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defaultThemeVersion="124226"/>
  <mc:AlternateContent xmlns:mc="http://schemas.openxmlformats.org/markup-compatibility/2006">
    <mc:Choice Requires="x15">
      <x15ac:absPath xmlns:x15ac="http://schemas.microsoft.com/office/spreadsheetml/2010/11/ac" url="C:\Users\Fizmat\Desktop\Бюджет 2026\РБ\"/>
    </mc:Choice>
  </mc:AlternateContent>
  <xr:revisionPtr revIDLastSave="0" documentId="13_ncr:1_{8E69F8E0-2D1E-436D-B4D9-B63F45FC1BAD}" xr6:coauthVersionLast="47" xr6:coauthVersionMax="47" xr10:uidLastSave="{00000000-0000-0000-0000-000000000000}"/>
  <bookViews>
    <workbookView xWindow="-120" yWindow="-120" windowWidth="29040" windowHeight="15720" tabRatio="777" activeTab="3" xr2:uid="{00000000-000D-0000-FFFF-FFFF00000000}"/>
  </bookViews>
  <sheets>
    <sheet name="сводная" sheetId="58" r:id="rId1"/>
    <sheet name="Свод " sheetId="154" r:id="rId2"/>
    <sheet name="СВОД ФЗП" sheetId="190" r:id="rId3"/>
    <sheet name="Сводная общая 2026г." sheetId="297" r:id="rId4"/>
    <sheet name="Сводная общая 2027г." sheetId="327" r:id="rId5"/>
    <sheet name="Сводная общая 2028г." sheetId="328" r:id="rId6"/>
    <sheet name="ШР СВОД Алматы 2026 " sheetId="340" r:id="rId7"/>
    <sheet name="ШР РБ Алматы" sheetId="341" r:id="rId8"/>
    <sheet name="Тариф Свод Алматы 2026 " sheetId="342" r:id="rId9"/>
    <sheet name="Тариф РБ Алматы" sheetId="343" r:id="rId10"/>
    <sheet name="ШР 2027" sheetId="329" r:id="rId11"/>
    <sheet name="ШР 2028" sheetId="330" r:id="rId12"/>
    <sheet name="Тариф 2027" sheetId="336" r:id="rId13"/>
    <sheet name="Тариф 2028" sheetId="333" r:id="rId14"/>
    <sheet name="Калькуляция 2026" sheetId="208" r:id="rId15"/>
    <sheet name="Калькуляция 2027" sheetId="189" r:id="rId16"/>
    <sheet name="Калькуляция 2028" sheetId="306" r:id="rId17"/>
    <sheet name="Средняя стоимость на 1 ого" sheetId="75" r:id="rId18"/>
    <sheet name="План командир 2026" sheetId="301" r:id="rId19"/>
    <sheet name="План командир 2027" sheetId="334" r:id="rId20"/>
    <sheet name="План командир 2028" sheetId="335" r:id="rId21"/>
  </sheets>
  <externalReferences>
    <externalReference r:id="rId22"/>
    <externalReference r:id="rId23"/>
  </externalReferences>
  <definedNames>
    <definedName name="_Toc226895311_10">"$#ССЫЛ!.$#ССЫЛ!$#ССЫЛ!"</definedName>
    <definedName name="_xlnm._FilterDatabase" localSheetId="12" hidden="1">'Тариф 2027'!$A$3:$BN$201</definedName>
    <definedName name="_xlnm._FilterDatabase" localSheetId="13" hidden="1">'Тариф 2028'!$A$3:$BN$201</definedName>
    <definedName name="_xlnm._FilterDatabase" localSheetId="9" hidden="1">'Тариф РБ Алматы'!$A$3:$BN$161</definedName>
    <definedName name="_xlnm._FilterDatabase" localSheetId="8" hidden="1">'Тариф Свод Алматы 2026 '!$A$3:$BN$182</definedName>
    <definedName name="Excel_BuiltIn_Print_Titles_29" localSheetId="12">#REF!</definedName>
    <definedName name="Excel_BuiltIn_Print_Titles_29" localSheetId="13">#REF!</definedName>
    <definedName name="Excel_BuiltIn_Print_Titles_29" localSheetId="9">#REF!</definedName>
    <definedName name="Excel_BuiltIn_Print_Titles_29" localSheetId="8">#REF!</definedName>
    <definedName name="Excel_BuiltIn_Print_Titles_29" localSheetId="7">#REF!</definedName>
    <definedName name="Excel_BuiltIn_Print_Titles_29" localSheetId="6">#REF!</definedName>
    <definedName name="Excel_BuiltIn_Print_Titles_29">#REF!</definedName>
    <definedName name="k">#N/A</definedName>
    <definedName name="m">#N/A</definedName>
    <definedName name="n">#N/A</definedName>
    <definedName name="а" localSheetId="12">#REF!</definedName>
    <definedName name="а" localSheetId="13">#REF!</definedName>
    <definedName name="а" localSheetId="9">#REF!</definedName>
    <definedName name="а" localSheetId="8">#REF!</definedName>
    <definedName name="а" localSheetId="7">#REF!</definedName>
    <definedName name="а" localSheetId="6">#REF!</definedName>
    <definedName name="а">#REF!</definedName>
    <definedName name="аа" localSheetId="12">#REF!</definedName>
    <definedName name="аа" localSheetId="13">#REF!</definedName>
    <definedName name="аа" localSheetId="9">#REF!</definedName>
    <definedName name="аа" localSheetId="8">#REF!</definedName>
    <definedName name="аа" localSheetId="7">#REF!</definedName>
    <definedName name="аа" localSheetId="6">#REF!</definedName>
    <definedName name="аа">#REF!</definedName>
    <definedName name="астана" localSheetId="12">#REF!</definedName>
    <definedName name="астана" localSheetId="13">#REF!</definedName>
    <definedName name="астана" localSheetId="9">#REF!</definedName>
    <definedName name="астана" localSheetId="8">#REF!</definedName>
    <definedName name="астана" localSheetId="7">#REF!</definedName>
    <definedName name="астана" localSheetId="6">#REF!</definedName>
    <definedName name="астана">#REF!</definedName>
    <definedName name="ВидПредмета">#NAME?</definedName>
    <definedName name="вода" localSheetId="12">#REF!</definedName>
    <definedName name="вода" localSheetId="13">#REF!</definedName>
    <definedName name="вода" localSheetId="9">#REF!</definedName>
    <definedName name="вода" localSheetId="8">#REF!</definedName>
    <definedName name="вода" localSheetId="7">#REF!</definedName>
    <definedName name="вода" localSheetId="6">#REF!</definedName>
    <definedName name="вода">#REF!</definedName>
    <definedName name="г" localSheetId="12">#REF!</definedName>
    <definedName name="г" localSheetId="13">#REF!</definedName>
    <definedName name="г" localSheetId="9">#REF!</definedName>
    <definedName name="г" localSheetId="8">#REF!</definedName>
    <definedName name="г" localSheetId="7">#REF!</definedName>
    <definedName name="г" localSheetId="6">#REF!</definedName>
    <definedName name="г">#REF!</definedName>
    <definedName name="Год">#NAME?</definedName>
    <definedName name="Интеллектуальная_школа_Первого_Президента_физико_математического_направления_в_городе_Астана" localSheetId="12">#REF!</definedName>
    <definedName name="Интеллектуальная_школа_Первого_Президента_физико_математического_направления_в_городе_Астана" localSheetId="13">#REF!</definedName>
    <definedName name="Интеллектуальная_школа_Первого_Президента_физико_математического_направления_в_городе_Астана" localSheetId="9">#REF!</definedName>
    <definedName name="Интеллектуальная_школа_Первого_Президента_физико_математического_направления_в_городе_Астана" localSheetId="8">#REF!</definedName>
    <definedName name="Интеллектуальная_школа_Первого_Президента_физико_математического_направления_в_городе_Астана" localSheetId="7">#REF!</definedName>
    <definedName name="Интеллектуальная_школа_Первого_Президента_физико_математического_направления_в_городе_Астана" localSheetId="6">#REF!</definedName>
    <definedName name="Интеллектуальная_школа_Первого_Президента_физико_математического_направления_в_городе_Астана">#REF!</definedName>
    <definedName name="кк" localSheetId="12">#REF!</definedName>
    <definedName name="кк" localSheetId="13">#REF!</definedName>
    <definedName name="кк" localSheetId="9">#REF!</definedName>
    <definedName name="кк" localSheetId="8">#REF!</definedName>
    <definedName name="кк" localSheetId="7">#REF!</definedName>
    <definedName name="кк" localSheetId="6">#REF!</definedName>
    <definedName name="кк">#REF!</definedName>
    <definedName name="л" localSheetId="12">#REF!</definedName>
    <definedName name="л" localSheetId="13">#REF!</definedName>
    <definedName name="л" localSheetId="9">#REF!</definedName>
    <definedName name="л" localSheetId="8">#REF!</definedName>
    <definedName name="л" localSheetId="7">#REF!</definedName>
    <definedName name="л" localSheetId="6">#REF!</definedName>
    <definedName name="л">#REF!</definedName>
    <definedName name="ллл" localSheetId="12">#REF!</definedName>
    <definedName name="ллл" localSheetId="13">#REF!</definedName>
    <definedName name="ллл" localSheetId="9">#REF!</definedName>
    <definedName name="ллл" localSheetId="8">#REF!</definedName>
    <definedName name="ллл" localSheetId="7">#REF!</definedName>
    <definedName name="ллл" localSheetId="6">#REF!</definedName>
    <definedName name="ллл">#REF!</definedName>
    <definedName name="март" localSheetId="9">#REF!</definedName>
    <definedName name="март" localSheetId="8">#REF!</definedName>
    <definedName name="март" localSheetId="7">#REF!</definedName>
    <definedName name="март" localSheetId="6">#REF!</definedName>
    <definedName name="март">#REF!</definedName>
    <definedName name="_xlnm.Print_Area" localSheetId="14">'Калькуляция 2026'!$A$4:$C$41</definedName>
    <definedName name="_xlnm.Print_Area" localSheetId="15">'Калькуляция 2027'!$A$4:$C$41</definedName>
    <definedName name="_xlnm.Print_Area" localSheetId="16">'Калькуляция 2028'!$A$4:$C$41</definedName>
    <definedName name="_xlnm.Print_Area" localSheetId="1">'Свод '!$A$1:$E$45</definedName>
    <definedName name="_xlnm.Print_Area" localSheetId="0">сводная!$A$1:$I$21</definedName>
    <definedName name="_xlnm.Print_Area" localSheetId="3">'Сводная общая 2026г.'!$A$1:$H$557</definedName>
    <definedName name="_xlnm.Print_Area" localSheetId="4">'Сводная общая 2027г.'!$A$1:$H$554</definedName>
    <definedName name="_xlnm.Print_Area" localSheetId="5">'Сводная общая 2028г.'!$A$1:$H$554</definedName>
    <definedName name="_xlnm.Print_Area" localSheetId="17">'Средняя стоимость на 1 ого'!$A$1:$F$14</definedName>
    <definedName name="пнпп" localSheetId="12">#REF!</definedName>
    <definedName name="пнпп" localSheetId="13">#REF!</definedName>
    <definedName name="пнпп" localSheetId="9">#REF!</definedName>
    <definedName name="пнпп" localSheetId="8">#REF!</definedName>
    <definedName name="пнпп" localSheetId="7">#REF!</definedName>
    <definedName name="пнпп" localSheetId="6">#REF!</definedName>
    <definedName name="пнпп">#REF!</definedName>
    <definedName name="пп" localSheetId="12">#REF!</definedName>
    <definedName name="пп" localSheetId="13">#REF!</definedName>
    <definedName name="пп" localSheetId="9">#REF!</definedName>
    <definedName name="пп" localSheetId="8">#REF!</definedName>
    <definedName name="пп" localSheetId="7">#REF!</definedName>
    <definedName name="пп" localSheetId="6">#REF!</definedName>
    <definedName name="пп">#REF!</definedName>
    <definedName name="ппре" localSheetId="12">#REF!</definedName>
    <definedName name="ппре" localSheetId="13">#REF!</definedName>
    <definedName name="ппре" localSheetId="9">#REF!</definedName>
    <definedName name="ппре" localSheetId="8">#REF!</definedName>
    <definedName name="ппре" localSheetId="7">#REF!</definedName>
    <definedName name="ппре" localSheetId="6">#REF!</definedName>
    <definedName name="ппре">#REF!</definedName>
    <definedName name="прпам" localSheetId="12">#REF!</definedName>
    <definedName name="прпам" localSheetId="13">#REF!</definedName>
    <definedName name="прпам" localSheetId="9">#REF!</definedName>
    <definedName name="прпам" localSheetId="8">#REF!</definedName>
    <definedName name="прпам" localSheetId="7">#REF!</definedName>
    <definedName name="прпам" localSheetId="6">#REF!</definedName>
    <definedName name="прпам">#REF!</definedName>
    <definedName name="Способ">#NAME?</definedName>
    <definedName name="Тарификация" localSheetId="12">#REF!</definedName>
    <definedName name="Тарификация" localSheetId="13">#REF!</definedName>
    <definedName name="Тарификация" localSheetId="9">#REF!</definedName>
    <definedName name="Тарификация" localSheetId="8">#REF!</definedName>
    <definedName name="Тарификация" localSheetId="7">#REF!</definedName>
    <definedName name="Тарификация" localSheetId="6">#REF!</definedName>
    <definedName name="Тарификация">#REF!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66" i="297" l="1"/>
  <c r="J318" i="297"/>
  <c r="I332" i="297"/>
  <c r="I318" i="297"/>
  <c r="I316" i="297"/>
  <c r="K512" i="297"/>
  <c r="K514" i="297"/>
  <c r="J514" i="297"/>
  <c r="K513" i="297"/>
  <c r="J513" i="297"/>
  <c r="I513" i="297"/>
  <c r="D7" i="306" l="1"/>
  <c r="E7" i="306" s="1"/>
  <c r="D8" i="306"/>
  <c r="E8" i="306" s="1"/>
  <c r="D9" i="306"/>
  <c r="E9" i="306" s="1"/>
  <c r="D10" i="306"/>
  <c r="E10" i="306"/>
  <c r="D11" i="306"/>
  <c r="E11" i="306" s="1"/>
  <c r="C6" i="306"/>
  <c r="C7" i="306"/>
  <c r="C8" i="306"/>
  <c r="C9" i="306"/>
  <c r="C10" i="306"/>
  <c r="C11" i="306"/>
  <c r="C12" i="306"/>
  <c r="C13" i="306"/>
  <c r="C14" i="306"/>
  <c r="C15" i="306"/>
  <c r="C16" i="306"/>
  <c r="C17" i="306"/>
  <c r="C18" i="306"/>
  <c r="C19" i="306"/>
  <c r="C20" i="306"/>
  <c r="C5" i="306"/>
  <c r="A7" i="306"/>
  <c r="A8" i="306"/>
  <c r="A9" i="306"/>
  <c r="A10" i="306" s="1"/>
  <c r="A11" i="306" s="1"/>
  <c r="A12" i="306" s="1"/>
  <c r="A13" i="306" s="1"/>
  <c r="D7" i="189"/>
  <c r="E7" i="189"/>
  <c r="C6" i="189"/>
  <c r="C7" i="189"/>
  <c r="C8" i="189"/>
  <c r="C9" i="189"/>
  <c r="C10" i="189"/>
  <c r="C11" i="189"/>
  <c r="C12" i="189"/>
  <c r="C13" i="189"/>
  <c r="C14" i="189"/>
  <c r="C15" i="189"/>
  <c r="C16" i="189"/>
  <c r="C17" i="189"/>
  <c r="C18" i="189"/>
  <c r="C19" i="189"/>
  <c r="C20" i="189"/>
  <c r="A7" i="189"/>
  <c r="A8" i="189"/>
  <c r="A9" i="189" s="1"/>
  <c r="A10" i="189" s="1"/>
  <c r="A11" i="189" s="1"/>
  <c r="A12" i="189" s="1"/>
  <c r="A13" i="189" s="1"/>
  <c r="A14" i="189" s="1"/>
  <c r="A15" i="189" s="1"/>
  <c r="A16" i="189" s="1"/>
  <c r="A17" i="189" s="1"/>
  <c r="A18" i="189" s="1"/>
  <c r="A19" i="189" s="1"/>
  <c r="A20" i="189" s="1"/>
  <c r="E7" i="208"/>
  <c r="D7" i="208"/>
  <c r="C6" i="208"/>
  <c r="C7" i="208"/>
  <c r="C8" i="208"/>
  <c r="C9" i="208"/>
  <c r="C10" i="208"/>
  <c r="C5" i="208"/>
  <c r="A7" i="208"/>
  <c r="A8" i="208"/>
  <c r="A9" i="208"/>
  <c r="A10" i="208" s="1"/>
  <c r="A11" i="208" s="1"/>
  <c r="A12" i="208" s="1"/>
  <c r="A13" i="208" s="1"/>
  <c r="A14" i="208" s="1"/>
  <c r="A15" i="208" s="1"/>
  <c r="A16" i="208" s="1"/>
  <c r="A17" i="208" s="1"/>
  <c r="A18" i="208" s="1"/>
  <c r="A19" i="208" s="1"/>
  <c r="A20" i="208" s="1"/>
  <c r="I13" i="190"/>
  <c r="J13" i="190"/>
  <c r="K13" i="190"/>
  <c r="H13" i="190"/>
  <c r="G13" i="190"/>
  <c r="E13" i="190"/>
  <c r="I12" i="190"/>
  <c r="J12" i="190"/>
  <c r="K12" i="190"/>
  <c r="H12" i="190"/>
  <c r="G12" i="190"/>
  <c r="E12" i="190"/>
  <c r="D13" i="190"/>
  <c r="C13" i="190"/>
  <c r="C12" i="190"/>
  <c r="W167" i="343"/>
  <c r="W169" i="343" s="1"/>
  <c r="W174" i="343" s="1"/>
  <c r="W176" i="343" s="1"/>
  <c r="BN160" i="343"/>
  <c r="AY160" i="343"/>
  <c r="AX160" i="343"/>
  <c r="AV160" i="343"/>
  <c r="AU160" i="343"/>
  <c r="AT160" i="343"/>
  <c r="AS160" i="343"/>
  <c r="AK160" i="343"/>
  <c r="AJ160" i="343"/>
  <c r="AG160" i="343"/>
  <c r="AF160" i="343"/>
  <c r="AE160" i="343"/>
  <c r="AC160" i="343"/>
  <c r="AA160" i="343"/>
  <c r="V160" i="343"/>
  <c r="U160" i="343"/>
  <c r="T160" i="343"/>
  <c r="S160" i="343"/>
  <c r="R160" i="343"/>
  <c r="Q160" i="343"/>
  <c r="P160" i="343"/>
  <c r="O160" i="343"/>
  <c r="N160" i="343"/>
  <c r="M160" i="343"/>
  <c r="L160" i="343"/>
  <c r="AR159" i="343"/>
  <c r="AQ159" i="343"/>
  <c r="AP159" i="343"/>
  <c r="AO159" i="343"/>
  <c r="AN159" i="343"/>
  <c r="W159" i="343"/>
  <c r="Q159" i="343"/>
  <c r="K159" i="343"/>
  <c r="AQ158" i="343"/>
  <c r="AO158" i="343"/>
  <c r="AN158" i="343"/>
  <c r="AR158" i="343" s="1"/>
  <c r="AI158" i="343"/>
  <c r="AD158" i="343"/>
  <c r="AB158" i="343"/>
  <c r="W158" i="343"/>
  <c r="Q158" i="343"/>
  <c r="K158" i="343"/>
  <c r="AN157" i="343"/>
  <c r="AI157" i="343"/>
  <c r="AD157" i="343"/>
  <c r="AB157" i="343"/>
  <c r="W157" i="343"/>
  <c r="Q157" i="343"/>
  <c r="K157" i="343"/>
  <c r="AR156" i="343"/>
  <c r="AQ156" i="343"/>
  <c r="AP156" i="343"/>
  <c r="AN156" i="343"/>
  <c r="AO156" i="343" s="1"/>
  <c r="AI156" i="343"/>
  <c r="AD156" i="343"/>
  <c r="AB156" i="343"/>
  <c r="W156" i="343"/>
  <c r="Q156" i="343"/>
  <c r="K156" i="343"/>
  <c r="AN155" i="343"/>
  <c r="AI155" i="343"/>
  <c r="AD155" i="343"/>
  <c r="AB155" i="343"/>
  <c r="W155" i="343"/>
  <c r="Q155" i="343"/>
  <c r="K155" i="343"/>
  <c r="AR154" i="343"/>
  <c r="AQ154" i="343"/>
  <c r="AP154" i="343"/>
  <c r="AO154" i="343"/>
  <c r="AN154" i="343"/>
  <c r="AI154" i="343"/>
  <c r="AD154" i="343"/>
  <c r="AB154" i="343"/>
  <c r="W154" i="343"/>
  <c r="Q154" i="343"/>
  <c r="X154" i="343" s="1"/>
  <c r="AL154" i="343" s="1"/>
  <c r="K154" i="343"/>
  <c r="BG153" i="343"/>
  <c r="AX153" i="343"/>
  <c r="AW153" i="343"/>
  <c r="AN153" i="343"/>
  <c r="AL153" i="343"/>
  <c r="AM153" i="343" s="1"/>
  <c r="AI153" i="343"/>
  <c r="AD153" i="343"/>
  <c r="AB153" i="343"/>
  <c r="W153" i="343"/>
  <c r="Q153" i="343"/>
  <c r="X153" i="343" s="1"/>
  <c r="Y153" i="343" s="1"/>
  <c r="K153" i="343"/>
  <c r="AP152" i="343"/>
  <c r="AO152" i="343"/>
  <c r="AN152" i="343"/>
  <c r="AI152" i="343"/>
  <c r="AD152" i="343"/>
  <c r="AB152" i="343"/>
  <c r="W152" i="343"/>
  <c r="Q152" i="343"/>
  <c r="X152" i="343" s="1"/>
  <c r="AL152" i="343" s="1"/>
  <c r="K152" i="343"/>
  <c r="AQ151" i="343"/>
  <c r="AN151" i="343"/>
  <c r="AL151" i="343"/>
  <c r="AI151" i="343"/>
  <c r="AD151" i="343"/>
  <c r="AB151" i="343"/>
  <c r="W151" i="343"/>
  <c r="Q151" i="343"/>
  <c r="X151" i="343" s="1"/>
  <c r="Y151" i="343" s="1"/>
  <c r="K151" i="343"/>
  <c r="AR150" i="343"/>
  <c r="AQ150" i="343"/>
  <c r="AP150" i="343"/>
  <c r="AO150" i="343"/>
  <c r="AN150" i="343"/>
  <c r="AI150" i="343"/>
  <c r="AD150" i="343"/>
  <c r="AB150" i="343"/>
  <c r="W150" i="343"/>
  <c r="Q150" i="343"/>
  <c r="X150" i="343" s="1"/>
  <c r="AL150" i="343" s="1"/>
  <c r="K150" i="343"/>
  <c r="B150" i="343"/>
  <c r="B151" i="343" s="1"/>
  <c r="B152" i="343" s="1"/>
  <c r="B153" i="343" s="1"/>
  <c r="B154" i="343" s="1"/>
  <c r="B155" i="343" s="1"/>
  <c r="B156" i="343" s="1"/>
  <c r="B157" i="343" s="1"/>
  <c r="B158" i="343" s="1"/>
  <c r="B159" i="343" s="1"/>
  <c r="AO149" i="343"/>
  <c r="AN149" i="343"/>
  <c r="AR149" i="343" s="1"/>
  <c r="AI149" i="343"/>
  <c r="AD149" i="343"/>
  <c r="AB149" i="343"/>
  <c r="W149" i="343"/>
  <c r="Q149" i="343"/>
  <c r="X149" i="343" s="1"/>
  <c r="K149" i="343"/>
  <c r="B149" i="343"/>
  <c r="AR148" i="343"/>
  <c r="AP148" i="343"/>
  <c r="AO148" i="343"/>
  <c r="AN148" i="343"/>
  <c r="AI148" i="343"/>
  <c r="AD148" i="343"/>
  <c r="AB148" i="343"/>
  <c r="W148" i="343"/>
  <c r="Q148" i="343"/>
  <c r="K148" i="343"/>
  <c r="BN147" i="343"/>
  <c r="AY147" i="343"/>
  <c r="AV147" i="343"/>
  <c r="AU147" i="343"/>
  <c r="AT147" i="343"/>
  <c r="AS147" i="343"/>
  <c r="AK147" i="343"/>
  <c r="AJ147" i="343"/>
  <c r="AI147" i="343"/>
  <c r="AH147" i="343"/>
  <c r="AG147" i="343"/>
  <c r="AE147" i="343"/>
  <c r="AC147" i="343"/>
  <c r="AA147" i="343"/>
  <c r="V147" i="343"/>
  <c r="U147" i="343"/>
  <c r="T147" i="343"/>
  <c r="S147" i="343"/>
  <c r="R147" i="343"/>
  <c r="P147" i="343"/>
  <c r="O147" i="343"/>
  <c r="N147" i="343"/>
  <c r="M147" i="343"/>
  <c r="L147" i="343"/>
  <c r="AW146" i="343"/>
  <c r="AN146" i="343"/>
  <c r="AD146" i="343"/>
  <c r="AB146" i="343"/>
  <c r="Y146" i="343"/>
  <c r="W146" i="343"/>
  <c r="Q146" i="343"/>
  <c r="X146" i="343" s="1"/>
  <c r="AL146" i="343" s="1"/>
  <c r="K146" i="343"/>
  <c r="B146" i="343"/>
  <c r="AX145" i="343"/>
  <c r="AX147" i="343" s="1"/>
  <c r="AW145" i="343"/>
  <c r="AQ145" i="343"/>
  <c r="AP145" i="343"/>
  <c r="AO145" i="343"/>
  <c r="AN145" i="343"/>
  <c r="AD145" i="343"/>
  <c r="AB145" i="343"/>
  <c r="W145" i="343"/>
  <c r="Q145" i="343"/>
  <c r="X145" i="343" s="1"/>
  <c r="AL145" i="343" s="1"/>
  <c r="K145" i="343"/>
  <c r="B145" i="343"/>
  <c r="AX144" i="343"/>
  <c r="AW144" i="343"/>
  <c r="AQ144" i="343"/>
  <c r="AN144" i="343"/>
  <c r="AG144" i="343"/>
  <c r="AD144" i="343"/>
  <c r="AB144" i="343"/>
  <c r="W144" i="343"/>
  <c r="Q144" i="343"/>
  <c r="X144" i="343" s="1"/>
  <c r="AL144" i="343" s="1"/>
  <c r="K144" i="343"/>
  <c r="B144" i="343"/>
  <c r="AX143" i="343"/>
  <c r="AW143" i="343"/>
  <c r="AR143" i="343"/>
  <c r="AP143" i="343"/>
  <c r="AN143" i="343"/>
  <c r="AG143" i="343"/>
  <c r="AD143" i="343"/>
  <c r="AB143" i="343"/>
  <c r="AB147" i="343" s="1"/>
  <c r="X143" i="343"/>
  <c r="W143" i="343"/>
  <c r="Q143" i="343"/>
  <c r="K143" i="343"/>
  <c r="BN142" i="343"/>
  <c r="AY142" i="343"/>
  <c r="AV142" i="343"/>
  <c r="AU142" i="343"/>
  <c r="AT142" i="343"/>
  <c r="AS142" i="343"/>
  <c r="AK142" i="343"/>
  <c r="AJ142" i="343"/>
  <c r="AI142" i="343"/>
  <c r="AH142" i="343"/>
  <c r="AH161" i="343" s="1"/>
  <c r="AE142" i="343"/>
  <c r="AC142" i="343"/>
  <c r="AA142" i="343"/>
  <c r="V142" i="343"/>
  <c r="U142" i="343"/>
  <c r="T142" i="343"/>
  <c r="S142" i="343"/>
  <c r="R142" i="343"/>
  <c r="P142" i="343"/>
  <c r="O142" i="343"/>
  <c r="N142" i="343"/>
  <c r="M142" i="343"/>
  <c r="L142" i="343"/>
  <c r="K142" i="343"/>
  <c r="AW141" i="343"/>
  <c r="AQ141" i="343"/>
  <c r="AP141" i="343"/>
  <c r="AN141" i="343"/>
  <c r="AR141" i="343" s="1"/>
  <c r="AD141" i="343"/>
  <c r="AB141" i="343"/>
  <c r="W141" i="343"/>
  <c r="Q141" i="343"/>
  <c r="K141" i="343"/>
  <c r="AX140" i="343"/>
  <c r="AX142" i="343" s="1"/>
  <c r="AW140" i="343"/>
  <c r="AR140" i="343"/>
  <c r="AQ140" i="343"/>
  <c r="AN140" i="343"/>
  <c r="AP140" i="343" s="1"/>
  <c r="AG140" i="343"/>
  <c r="AG142" i="343" s="1"/>
  <c r="AD140" i="343"/>
  <c r="AB140" i="343"/>
  <c r="X140" i="343"/>
  <c r="AL140" i="343" s="1"/>
  <c r="W140" i="343"/>
  <c r="Q140" i="343"/>
  <c r="K140" i="343"/>
  <c r="AN139" i="343"/>
  <c r="AD139" i="343"/>
  <c r="AB139" i="343"/>
  <c r="AB142" i="343" s="1"/>
  <c r="W139" i="343"/>
  <c r="Q139" i="343"/>
  <c r="K139" i="343"/>
  <c r="B139" i="343"/>
  <c r="B140" i="343" s="1"/>
  <c r="B141" i="343" s="1"/>
  <c r="AR138" i="343"/>
  <c r="AQ138" i="343"/>
  <c r="AN138" i="343"/>
  <c r="AO138" i="343" s="1"/>
  <c r="AD138" i="343"/>
  <c r="AB138" i="343"/>
  <c r="W138" i="343"/>
  <c r="Q138" i="343"/>
  <c r="K138" i="343"/>
  <c r="BN137" i="343"/>
  <c r="AY137" i="343"/>
  <c r="AX137" i="343"/>
  <c r="AV137" i="343"/>
  <c r="AU137" i="343"/>
  <c r="AT137" i="343"/>
  <c r="AS137" i="343"/>
  <c r="AK137" i="343"/>
  <c r="AJ137" i="343"/>
  <c r="AE137" i="343"/>
  <c r="AD137" i="343"/>
  <c r="AC137" i="343"/>
  <c r="AA137" i="343"/>
  <c r="V137" i="343"/>
  <c r="U137" i="343"/>
  <c r="T137" i="343"/>
  <c r="S137" i="343"/>
  <c r="R137" i="343"/>
  <c r="Q137" i="343"/>
  <c r="P137" i="343"/>
  <c r="O137" i="343"/>
  <c r="N137" i="343"/>
  <c r="M137" i="343"/>
  <c r="L137" i="343"/>
  <c r="AW136" i="343"/>
  <c r="AN136" i="343"/>
  <c r="AM136" i="343"/>
  <c r="AD136" i="343"/>
  <c r="AB136" i="343"/>
  <c r="AB137" i="343" s="1"/>
  <c r="W136" i="343"/>
  <c r="Q136" i="343"/>
  <c r="X136" i="343" s="1"/>
  <c r="AL136" i="343" s="1"/>
  <c r="K136" i="343"/>
  <c r="AR135" i="343"/>
  <c r="AQ135" i="343"/>
  <c r="AO135" i="343"/>
  <c r="AN135" i="343"/>
  <c r="AI135" i="343"/>
  <c r="AG135" i="343"/>
  <c r="AG137" i="343" s="1"/>
  <c r="AD135" i="343"/>
  <c r="AB135" i="343"/>
  <c r="W135" i="343"/>
  <c r="W137" i="343" s="1"/>
  <c r="Q135" i="343"/>
  <c r="K135" i="343"/>
  <c r="B135" i="343"/>
  <c r="B136" i="343" s="1"/>
  <c r="AX134" i="343"/>
  <c r="AW134" i="343"/>
  <c r="AN134" i="343"/>
  <c r="AM134" i="343"/>
  <c r="AL134" i="343"/>
  <c r="AI134" i="343"/>
  <c r="AI137" i="343" s="1"/>
  <c r="AG134" i="343"/>
  <c r="AD134" i="343"/>
  <c r="AB134" i="343"/>
  <c r="W134" i="343"/>
  <c r="Q134" i="343"/>
  <c r="X134" i="343" s="1"/>
  <c r="K134" i="343"/>
  <c r="B134" i="343"/>
  <c r="BN133" i="343"/>
  <c r="AY133" i="343"/>
  <c r="AV133" i="343"/>
  <c r="AU133" i="343"/>
  <c r="AT133" i="343"/>
  <c r="AS133" i="343"/>
  <c r="AK133" i="343"/>
  <c r="AJ133" i="343"/>
  <c r="AE133" i="343"/>
  <c r="AC133" i="343"/>
  <c r="AA133" i="343"/>
  <c r="V133" i="343"/>
  <c r="U133" i="343"/>
  <c r="T133" i="343"/>
  <c r="S133" i="343"/>
  <c r="R133" i="343"/>
  <c r="P133" i="343"/>
  <c r="O133" i="343"/>
  <c r="N133" i="343"/>
  <c r="M133" i="343"/>
  <c r="L133" i="343"/>
  <c r="AX132" i="343"/>
  <c r="AX133" i="343" s="1"/>
  <c r="AW132" i="343"/>
  <c r="AN132" i="343"/>
  <c r="AL132" i="343"/>
  <c r="AM132" i="343" s="1"/>
  <c r="AD132" i="343"/>
  <c r="AB132" i="343"/>
  <c r="W132" i="343"/>
  <c r="Q132" i="343"/>
  <c r="X132" i="343" s="1"/>
  <c r="K132" i="343"/>
  <c r="AW131" i="343"/>
  <c r="AR131" i="343"/>
  <c r="AQ131" i="343"/>
  <c r="AO131" i="343"/>
  <c r="AN131" i="343"/>
  <c r="AI131" i="343"/>
  <c r="AG131" i="343"/>
  <c r="AD131" i="343"/>
  <c r="AB131" i="343"/>
  <c r="W131" i="343"/>
  <c r="Q131" i="343"/>
  <c r="X131" i="343" s="1"/>
  <c r="K131" i="343"/>
  <c r="BG130" i="343"/>
  <c r="AW130" i="343"/>
  <c r="AN130" i="343"/>
  <c r="AW129" i="343"/>
  <c r="AQ129" i="343"/>
  <c r="AO129" i="343"/>
  <c r="AN129" i="343"/>
  <c r="AD129" i="343"/>
  <c r="AB129" i="343"/>
  <c r="W129" i="343"/>
  <c r="Q129" i="343"/>
  <c r="K129" i="343"/>
  <c r="AW128" i="343"/>
  <c r="AO128" i="343"/>
  <c r="AN128" i="343"/>
  <c r="AI128" i="343"/>
  <c r="AD128" i="343"/>
  <c r="AB128" i="343"/>
  <c r="W128" i="343"/>
  <c r="Q128" i="343"/>
  <c r="K128" i="343"/>
  <c r="AX127" i="343"/>
  <c r="AW127" i="343"/>
  <c r="AN127" i="343"/>
  <c r="AG127" i="343"/>
  <c r="AD127" i="343"/>
  <c r="AB127" i="343"/>
  <c r="W127" i="343"/>
  <c r="Q127" i="343"/>
  <c r="X127" i="343" s="1"/>
  <c r="K127" i="343"/>
  <c r="AW126" i="343"/>
  <c r="AQ126" i="343"/>
  <c r="AO126" i="343"/>
  <c r="AN126" i="343"/>
  <c r="AI126" i="343"/>
  <c r="AG126" i="343"/>
  <c r="AD126" i="343"/>
  <c r="AB126" i="343"/>
  <c r="W126" i="343"/>
  <c r="X126" i="343" s="1"/>
  <c r="Q126" i="343"/>
  <c r="K126" i="343"/>
  <c r="B126" i="343"/>
  <c r="B127" i="343" s="1"/>
  <c r="B128" i="343" s="1"/>
  <c r="B129" i="343" s="1"/>
  <c r="B130" i="343" s="1"/>
  <c r="B131" i="343" s="1"/>
  <c r="B132" i="343" s="1"/>
  <c r="AX125" i="343"/>
  <c r="AW125" i="343"/>
  <c r="AQ125" i="343"/>
  <c r="AP125" i="343"/>
  <c r="AO125" i="343"/>
  <c r="AN125" i="343"/>
  <c r="AI125" i="343"/>
  <c r="AG125" i="343"/>
  <c r="AD125" i="343"/>
  <c r="AB125" i="343"/>
  <c r="W125" i="343"/>
  <c r="Q125" i="343"/>
  <c r="K125" i="343"/>
  <c r="BN124" i="343"/>
  <c r="AY124" i="343"/>
  <c r="AV124" i="343"/>
  <c r="AU124" i="343"/>
  <c r="AT124" i="343"/>
  <c r="AS124" i="343"/>
  <c r="AK124" i="343"/>
  <c r="AJ124" i="343"/>
  <c r="AE124" i="343"/>
  <c r="AC124" i="343"/>
  <c r="AB124" i="343"/>
  <c r="AA124" i="343"/>
  <c r="V124" i="343"/>
  <c r="U124" i="343"/>
  <c r="T124" i="343"/>
  <c r="S124" i="343"/>
  <c r="R124" i="343"/>
  <c r="P124" i="343"/>
  <c r="O124" i="343"/>
  <c r="N124" i="343"/>
  <c r="M124" i="343"/>
  <c r="L124" i="343"/>
  <c r="AX123" i="343"/>
  <c r="AW123" i="343"/>
  <c r="AR123" i="343"/>
  <c r="AP123" i="343"/>
  <c r="AO123" i="343"/>
  <c r="AN123" i="343"/>
  <c r="AL123" i="343"/>
  <c r="AD123" i="343"/>
  <c r="AB123" i="343"/>
  <c r="W123" i="343"/>
  <c r="X123" i="343" s="1"/>
  <c r="Q123" i="343"/>
  <c r="K123" i="343"/>
  <c r="AR122" i="343"/>
  <c r="AQ122" i="343"/>
  <c r="AP122" i="343"/>
  <c r="AN122" i="343"/>
  <c r="AO122" i="343" s="1"/>
  <c r="AG122" i="343"/>
  <c r="AD122" i="343"/>
  <c r="AB122" i="343"/>
  <c r="X122" i="343"/>
  <c r="AL122" i="343" s="1"/>
  <c r="W122" i="343"/>
  <c r="Q122" i="343"/>
  <c r="K122" i="343"/>
  <c r="AX121" i="343"/>
  <c r="AX124" i="343" s="1"/>
  <c r="AW121" i="343"/>
  <c r="AR121" i="343"/>
  <c r="AP121" i="343"/>
  <c r="AO121" i="343"/>
  <c r="AN121" i="343"/>
  <c r="AQ121" i="343" s="1"/>
  <c r="AL121" i="343"/>
  <c r="AM121" i="343" s="1"/>
  <c r="AI121" i="343"/>
  <c r="AD121" i="343"/>
  <c r="AB121" i="343"/>
  <c r="W121" i="343"/>
  <c r="Q121" i="343"/>
  <c r="X121" i="343" s="1"/>
  <c r="K121" i="343"/>
  <c r="Y121" i="343" s="1"/>
  <c r="B121" i="343"/>
  <c r="B122" i="343" s="1"/>
  <c r="B123" i="343" s="1"/>
  <c r="AR120" i="343"/>
  <c r="AQ120" i="343"/>
  <c r="AP120" i="343"/>
  <c r="AO120" i="343"/>
  <c r="AN120" i="343"/>
  <c r="AG120" i="343"/>
  <c r="AD120" i="343"/>
  <c r="AB120" i="343"/>
  <c r="W120" i="343"/>
  <c r="Q120" i="343"/>
  <c r="X120" i="343" s="1"/>
  <c r="AL120" i="343" s="1"/>
  <c r="AM120" i="343" s="1"/>
  <c r="K120" i="343"/>
  <c r="BG119" i="343"/>
  <c r="AN119" i="343"/>
  <c r="AL119" i="343"/>
  <c r="AM119" i="343" s="1"/>
  <c r="AD119" i="343"/>
  <c r="AB119" i="343"/>
  <c r="Z119" i="343"/>
  <c r="W119" i="343"/>
  <c r="Q119" i="343"/>
  <c r="X119" i="343" s="1"/>
  <c r="Y119" i="343" s="1"/>
  <c r="K119" i="343"/>
  <c r="B119" i="343"/>
  <c r="B120" i="343" s="1"/>
  <c r="AO118" i="343"/>
  <c r="AN118" i="343"/>
  <c r="AM118" i="343"/>
  <c r="AL118" i="343"/>
  <c r="AI118" i="343"/>
  <c r="AG118" i="343"/>
  <c r="AD118" i="343"/>
  <c r="AB118" i="343"/>
  <c r="W118" i="343"/>
  <c r="Q118" i="343"/>
  <c r="X118" i="343" s="1"/>
  <c r="Y118" i="343" s="1"/>
  <c r="K118" i="343"/>
  <c r="AN117" i="343"/>
  <c r="AI117" i="343"/>
  <c r="AI124" i="343" s="1"/>
  <c r="AG117" i="343"/>
  <c r="AD117" i="343"/>
  <c r="AD124" i="343" s="1"/>
  <c r="AB117" i="343"/>
  <c r="X117" i="343"/>
  <c r="W117" i="343"/>
  <c r="W124" i="343" s="1"/>
  <c r="Q117" i="343"/>
  <c r="K117" i="343"/>
  <c r="B117" i="343"/>
  <c r="B118" i="343" s="1"/>
  <c r="BN116" i="343"/>
  <c r="AY116" i="343"/>
  <c r="AV116" i="343"/>
  <c r="AU116" i="343"/>
  <c r="AT116" i="343"/>
  <c r="AS116" i="343"/>
  <c r="AK116" i="343"/>
  <c r="AJ116" i="343"/>
  <c r="AE116" i="343"/>
  <c r="AC116" i="343"/>
  <c r="AA116" i="343"/>
  <c r="V116" i="343"/>
  <c r="U116" i="343"/>
  <c r="T116" i="343"/>
  <c r="S116" i="343"/>
  <c r="R116" i="343"/>
  <c r="P116" i="343"/>
  <c r="O116" i="343"/>
  <c r="N116" i="343"/>
  <c r="M116" i="343"/>
  <c r="L116" i="343"/>
  <c r="AX115" i="343"/>
  <c r="AW115" i="343"/>
  <c r="AQ115" i="343"/>
  <c r="AO115" i="343"/>
  <c r="AN115" i="343"/>
  <c r="AR115" i="343" s="1"/>
  <c r="AI115" i="343"/>
  <c r="AG115" i="343"/>
  <c r="AD115" i="343"/>
  <c r="AB115" i="343"/>
  <c r="X115" i="343"/>
  <c r="W115" i="343"/>
  <c r="Q115" i="343"/>
  <c r="K115" i="343"/>
  <c r="AQ114" i="343"/>
  <c r="AN114" i="343"/>
  <c r="AI114" i="343"/>
  <c r="AG114" i="343"/>
  <c r="AD114" i="343"/>
  <c r="AB114" i="343"/>
  <c r="W114" i="343"/>
  <c r="X114" i="343" s="1"/>
  <c r="AL114" i="343" s="1"/>
  <c r="Q114" i="343"/>
  <c r="K114" i="343"/>
  <c r="AX113" i="343"/>
  <c r="AW113" i="343"/>
  <c r="AP113" i="343"/>
  <c r="AN113" i="343"/>
  <c r="AI113" i="343"/>
  <c r="AD113" i="343"/>
  <c r="AB113" i="343"/>
  <c r="W113" i="343"/>
  <c r="Q113" i="343"/>
  <c r="X113" i="343" s="1"/>
  <c r="AL113" i="343" s="1"/>
  <c r="K113" i="343"/>
  <c r="AR112" i="343"/>
  <c r="AO112" i="343"/>
  <c r="AN112" i="343"/>
  <c r="AQ112" i="343" s="1"/>
  <c r="AM112" i="343"/>
  <c r="AL112" i="343"/>
  <c r="AI112" i="343"/>
  <c r="AG112" i="343"/>
  <c r="AD112" i="343"/>
  <c r="AB112" i="343"/>
  <c r="X112" i="343"/>
  <c r="W112" i="343"/>
  <c r="Q112" i="343"/>
  <c r="K112" i="343"/>
  <c r="AR111" i="343"/>
  <c r="AQ111" i="343"/>
  <c r="AO111" i="343"/>
  <c r="AN111" i="343"/>
  <c r="AP111" i="343" s="1"/>
  <c r="AD111" i="343"/>
  <c r="AB111" i="343"/>
  <c r="W111" i="343"/>
  <c r="Q111" i="343"/>
  <c r="K111" i="343"/>
  <c r="AN110" i="343"/>
  <c r="AI110" i="343"/>
  <c r="AD110" i="343"/>
  <c r="AB110" i="343"/>
  <c r="W110" i="343"/>
  <c r="Q110" i="343"/>
  <c r="X110" i="343" s="1"/>
  <c r="AL110" i="343" s="1"/>
  <c r="K110" i="343"/>
  <c r="B110" i="343"/>
  <c r="B111" i="343" s="1"/>
  <c r="B112" i="343" s="1"/>
  <c r="B113" i="343" s="1"/>
  <c r="B114" i="343" s="1"/>
  <c r="B115" i="343" s="1"/>
  <c r="AX109" i="343"/>
  <c r="AW109" i="343"/>
  <c r="AR109" i="343"/>
  <c r="AQ109" i="343"/>
  <c r="AN109" i="343"/>
  <c r="AP109" i="343" s="1"/>
  <c r="AI109" i="343"/>
  <c r="AD109" i="343"/>
  <c r="AB109" i="343"/>
  <c r="X109" i="343"/>
  <c r="W109" i="343"/>
  <c r="Q109" i="343"/>
  <c r="K109" i="343"/>
  <c r="AR108" i="343"/>
  <c r="AP108" i="343"/>
  <c r="AO108" i="343"/>
  <c r="AN108" i="343"/>
  <c r="AG108" i="343"/>
  <c r="AD108" i="343"/>
  <c r="AB108" i="343"/>
  <c r="W108" i="343"/>
  <c r="X108" i="343" s="1"/>
  <c r="AL108" i="343" s="1"/>
  <c r="Q108" i="343"/>
  <c r="K108" i="343"/>
  <c r="AO107" i="343"/>
  <c r="AN107" i="343"/>
  <c r="AR107" i="343" s="1"/>
  <c r="AD107" i="343"/>
  <c r="AB107" i="343"/>
  <c r="W107" i="343"/>
  <c r="Q107" i="343"/>
  <c r="K107" i="343"/>
  <c r="B107" i="343"/>
  <c r="B108" i="343" s="1"/>
  <c r="B109" i="343" s="1"/>
  <c r="AN106" i="343"/>
  <c r="AD106" i="343"/>
  <c r="AB106" i="343"/>
  <c r="W106" i="343"/>
  <c r="Q106" i="343"/>
  <c r="K106" i="343"/>
  <c r="BN105" i="343"/>
  <c r="AY105" i="343"/>
  <c r="AY161" i="343" s="1"/>
  <c r="AW105" i="343"/>
  <c r="AW161" i="343" s="1"/>
  <c r="AH105" i="343"/>
  <c r="AF105" i="343"/>
  <c r="AF161" i="343" s="1"/>
  <c r="BN104" i="343"/>
  <c r="AY104" i="343"/>
  <c r="AV104" i="343"/>
  <c r="AU104" i="343"/>
  <c r="AT104" i="343"/>
  <c r="AS104" i="343"/>
  <c r="AS105" i="343" s="1"/>
  <c r="AS161" i="343" s="1"/>
  <c r="AN104" i="343"/>
  <c r="AE104" i="343"/>
  <c r="AC104" i="343"/>
  <c r="AA104" i="343"/>
  <c r="V104" i="343"/>
  <c r="U104" i="343"/>
  <c r="T104" i="343"/>
  <c r="S104" i="343"/>
  <c r="S105" i="343" s="1"/>
  <c r="R104" i="343"/>
  <c r="R105" i="343" s="1"/>
  <c r="R161" i="343" s="1"/>
  <c r="P104" i="343"/>
  <c r="P105" i="343" s="1"/>
  <c r="P161" i="343" s="1"/>
  <c r="O104" i="343"/>
  <c r="N104" i="343"/>
  <c r="N105" i="343" s="1"/>
  <c r="N161" i="343" s="1"/>
  <c r="M104" i="343"/>
  <c r="L104" i="343"/>
  <c r="AW103" i="343"/>
  <c r="AN103" i="343"/>
  <c r="AD103" i="343"/>
  <c r="AB103" i="343"/>
  <c r="W103" i="343"/>
  <c r="Q103" i="343"/>
  <c r="X103" i="343" s="1"/>
  <c r="K103" i="343"/>
  <c r="AQ102" i="343"/>
  <c r="AO102" i="343"/>
  <c r="AN102" i="343"/>
  <c r="AP102" i="343" s="1"/>
  <c r="AD102" i="343"/>
  <c r="AB102" i="343"/>
  <c r="W102" i="343"/>
  <c r="X102" i="343" s="1"/>
  <c r="Q102" i="343"/>
  <c r="K102" i="343"/>
  <c r="AX101" i="343"/>
  <c r="AW101" i="343"/>
  <c r="AR101" i="343"/>
  <c r="AO101" i="343"/>
  <c r="AN101" i="343"/>
  <c r="AQ101" i="343" s="1"/>
  <c r="AM101" i="343"/>
  <c r="AL101" i="343"/>
  <c r="AG101" i="343"/>
  <c r="AD101" i="343"/>
  <c r="AB101" i="343"/>
  <c r="W101" i="343"/>
  <c r="Q101" i="343"/>
  <c r="X101" i="343" s="1"/>
  <c r="K101" i="343"/>
  <c r="AX100" i="343"/>
  <c r="AW100" i="343"/>
  <c r="AR100" i="343"/>
  <c r="AQ100" i="343"/>
  <c r="AP100" i="343"/>
  <c r="AO100" i="343"/>
  <c r="AN100" i="343"/>
  <c r="AD100" i="343"/>
  <c r="AB100" i="343"/>
  <c r="W100" i="343"/>
  <c r="Q100" i="343"/>
  <c r="K100" i="343"/>
  <c r="B100" i="343"/>
  <c r="B101" i="343" s="1"/>
  <c r="B102" i="343" s="1"/>
  <c r="B103" i="343" s="1"/>
  <c r="AR99" i="343"/>
  <c r="AQ99" i="343"/>
  <c r="AP99" i="343"/>
  <c r="AO99" i="343"/>
  <c r="AN99" i="343"/>
  <c r="AM99" i="343"/>
  <c r="AL99" i="343"/>
  <c r="AK99" i="343"/>
  <c r="AJ99" i="343"/>
  <c r="AD99" i="343"/>
  <c r="AB99" i="343"/>
  <c r="W99" i="343"/>
  <c r="Q99" i="343"/>
  <c r="X99" i="343" s="1"/>
  <c r="K99" i="343"/>
  <c r="AX98" i="343"/>
  <c r="AW98" i="343"/>
  <c r="AQ98" i="343"/>
  <c r="AO98" i="343"/>
  <c r="AN98" i="343"/>
  <c r="AD98" i="343"/>
  <c r="AB98" i="343"/>
  <c r="W98" i="343"/>
  <c r="Q98" i="343"/>
  <c r="X98" i="343" s="1"/>
  <c r="K98" i="343"/>
  <c r="AN97" i="343"/>
  <c r="AD97" i="343"/>
  <c r="AB97" i="343"/>
  <c r="W97" i="343"/>
  <c r="Q97" i="343"/>
  <c r="X97" i="343" s="1"/>
  <c r="K97" i="343"/>
  <c r="AX96" i="343"/>
  <c r="AW96" i="343"/>
  <c r="AQ96" i="343"/>
  <c r="AP96" i="343"/>
  <c r="AO96" i="343"/>
  <c r="AN96" i="343"/>
  <c r="AI96" i="343"/>
  <c r="AD96" i="343"/>
  <c r="AB96" i="343"/>
  <c r="W96" i="343"/>
  <c r="Q96" i="343"/>
  <c r="X96" i="343" s="1"/>
  <c r="K96" i="343"/>
  <c r="AX95" i="343"/>
  <c r="AW95" i="343"/>
  <c r="AQ95" i="343"/>
  <c r="AO95" i="343"/>
  <c r="AN95" i="343"/>
  <c r="AG95" i="343"/>
  <c r="AD95" i="343"/>
  <c r="AB95" i="343"/>
  <c r="W95" i="343"/>
  <c r="X95" i="343" s="1"/>
  <c r="Q95" i="343"/>
  <c r="K95" i="343"/>
  <c r="AN94" i="343"/>
  <c r="AL94" i="343"/>
  <c r="AM94" i="343" s="1"/>
  <c r="AJ94" i="343"/>
  <c r="AK94" i="343" s="1"/>
  <c r="AD94" i="343"/>
  <c r="AB94" i="343"/>
  <c r="Z94" i="343"/>
  <c r="Y94" i="343"/>
  <c r="X94" i="343"/>
  <c r="W94" i="343"/>
  <c r="Q94" i="343"/>
  <c r="K94" i="343"/>
  <c r="AX93" i="343"/>
  <c r="AW93" i="343"/>
  <c r="AN93" i="343"/>
  <c r="AJ93" i="343"/>
  <c r="AK93" i="343" s="1"/>
  <c r="AG93" i="343"/>
  <c r="AD93" i="343"/>
  <c r="AB93" i="343"/>
  <c r="W93" i="343"/>
  <c r="Q93" i="343"/>
  <c r="X93" i="343" s="1"/>
  <c r="AL93" i="343" s="1"/>
  <c r="AM93" i="343" s="1"/>
  <c r="K93" i="343"/>
  <c r="BG92" i="343"/>
  <c r="AP92" i="343"/>
  <c r="AN92" i="343"/>
  <c r="AL92" i="343"/>
  <c r="AM92" i="343" s="1"/>
  <c r="AJ92" i="343"/>
  <c r="AK92" i="343" s="1"/>
  <c r="AD92" i="343"/>
  <c r="AB92" i="343"/>
  <c r="W92" i="343"/>
  <c r="X92" i="343" s="1"/>
  <c r="Y92" i="343" s="1"/>
  <c r="Q92" i="343"/>
  <c r="K92" i="343"/>
  <c r="B92" i="343"/>
  <c r="B93" i="343" s="1"/>
  <c r="B94" i="343" s="1"/>
  <c r="B95" i="343" s="1"/>
  <c r="B96" i="343" s="1"/>
  <c r="B97" i="343" s="1"/>
  <c r="B98" i="343" s="1"/>
  <c r="B99" i="343" s="1"/>
  <c r="AP91" i="343"/>
  <c r="AN91" i="343"/>
  <c r="AD91" i="343"/>
  <c r="AB91" i="343"/>
  <c r="W91" i="343"/>
  <c r="Q91" i="343"/>
  <c r="X91" i="343" s="1"/>
  <c r="K91" i="343"/>
  <c r="AX90" i="343"/>
  <c r="AW90" i="343"/>
  <c r="AP90" i="343"/>
  <c r="AN90" i="343"/>
  <c r="AD90" i="343"/>
  <c r="AB90" i="343"/>
  <c r="W90" i="343"/>
  <c r="Q90" i="343"/>
  <c r="X90" i="343" s="1"/>
  <c r="K90" i="343"/>
  <c r="B90" i="343"/>
  <c r="B91" i="343" s="1"/>
  <c r="BG89" i="343"/>
  <c r="AX89" i="343"/>
  <c r="AW89" i="343"/>
  <c r="AQ89" i="343"/>
  <c r="AO89" i="343"/>
  <c r="AN89" i="343"/>
  <c r="AP89" i="343" s="1"/>
  <c r="AD89" i="343"/>
  <c r="AB89" i="343"/>
  <c r="Y89" i="343"/>
  <c r="X89" i="343"/>
  <c r="W89" i="343"/>
  <c r="Q89" i="343"/>
  <c r="K89" i="343"/>
  <c r="AX88" i="343"/>
  <c r="AW88" i="343"/>
  <c r="AP88" i="343"/>
  <c r="AN88" i="343"/>
  <c r="AL88" i="343"/>
  <c r="AM88" i="343" s="1"/>
  <c r="AD88" i="343"/>
  <c r="AB88" i="343"/>
  <c r="W88" i="343"/>
  <c r="Q88" i="343"/>
  <c r="X88" i="343" s="1"/>
  <c r="AJ88" i="343" s="1"/>
  <c r="AK88" i="343" s="1"/>
  <c r="K88" i="343"/>
  <c r="B88" i="343"/>
  <c r="B89" i="343" s="1"/>
  <c r="AO87" i="343"/>
  <c r="AN87" i="343"/>
  <c r="AR87" i="343" s="1"/>
  <c r="AD87" i="343"/>
  <c r="AB87" i="343"/>
  <c r="X87" i="343"/>
  <c r="W87" i="343"/>
  <c r="Q87" i="343"/>
  <c r="K87" i="343"/>
  <c r="AX86" i="343"/>
  <c r="AW86" i="343"/>
  <c r="AR86" i="343"/>
  <c r="AN86" i="343"/>
  <c r="AO86" i="343" s="1"/>
  <c r="AG86" i="343"/>
  <c r="AD86" i="343"/>
  <c r="AB86" i="343"/>
  <c r="W86" i="343"/>
  <c r="Q86" i="343"/>
  <c r="K86" i="343"/>
  <c r="B86" i="343"/>
  <c r="B87" i="343" s="1"/>
  <c r="AR85" i="343"/>
  <c r="AQ85" i="343"/>
  <c r="AP85" i="343"/>
  <c r="AN85" i="343"/>
  <c r="AO85" i="343" s="1"/>
  <c r="AL85" i="343"/>
  <c r="AJ85" i="343"/>
  <c r="AK85" i="343" s="1"/>
  <c r="AD85" i="343"/>
  <c r="AB85" i="343"/>
  <c r="W85" i="343"/>
  <c r="X85" i="343" s="1"/>
  <c r="Q85" i="343"/>
  <c r="K85" i="343"/>
  <c r="B85" i="343"/>
  <c r="AX84" i="343"/>
  <c r="AX104" i="343" s="1"/>
  <c r="AW84" i="343"/>
  <c r="AR84" i="343"/>
  <c r="AN84" i="343"/>
  <c r="AJ84" i="343"/>
  <c r="AI84" i="343"/>
  <c r="AI104" i="343" s="1"/>
  <c r="AG84" i="343"/>
  <c r="AG104" i="343" s="1"/>
  <c r="AD84" i="343"/>
  <c r="AB84" i="343"/>
  <c r="Z84" i="343"/>
  <c r="Y84" i="343"/>
  <c r="W84" i="343"/>
  <c r="Q84" i="343"/>
  <c r="X84" i="343" s="1"/>
  <c r="K84" i="343"/>
  <c r="BN83" i="343"/>
  <c r="AY83" i="343"/>
  <c r="AX83" i="343"/>
  <c r="AV83" i="343"/>
  <c r="AU83" i="343"/>
  <c r="AU105" i="343" s="1"/>
  <c r="AU161" i="343" s="1"/>
  <c r="AS83" i="343"/>
  <c r="AI83" i="343"/>
  <c r="AE83" i="343"/>
  <c r="AC83" i="343"/>
  <c r="AA83" i="343"/>
  <c r="AA105" i="343" s="1"/>
  <c r="V83" i="343"/>
  <c r="U83" i="343"/>
  <c r="T83" i="343"/>
  <c r="S83" i="343"/>
  <c r="R83" i="343"/>
  <c r="P83" i="343"/>
  <c r="O83" i="343"/>
  <c r="N83" i="343"/>
  <c r="M83" i="343"/>
  <c r="L83" i="343"/>
  <c r="AW82" i="343"/>
  <c r="AT82" i="343"/>
  <c r="AP82" i="343"/>
  <c r="AN82" i="343"/>
  <c r="AR82" i="343" s="1"/>
  <c r="AM82" i="343"/>
  <c r="AL82" i="343"/>
  <c r="AK82" i="343"/>
  <c r="AJ82" i="343"/>
  <c r="AD82" i="343"/>
  <c r="AB82" i="343"/>
  <c r="W82" i="343"/>
  <c r="X82" i="343" s="1"/>
  <c r="Q82" i="343"/>
  <c r="K82" i="343"/>
  <c r="Y82" i="343" s="1"/>
  <c r="AW81" i="343"/>
  <c r="AT81" i="343"/>
  <c r="AP81" i="343"/>
  <c r="AN81" i="343"/>
  <c r="AD81" i="343"/>
  <c r="AB81" i="343"/>
  <c r="W81" i="343"/>
  <c r="Q81" i="343"/>
  <c r="K81" i="343"/>
  <c r="AW80" i="343"/>
  <c r="AT80" i="343"/>
  <c r="AN80" i="343"/>
  <c r="AP80" i="343" s="1"/>
  <c r="AD80" i="343"/>
  <c r="AB80" i="343"/>
  <c r="W80" i="343"/>
  <c r="Q80" i="343"/>
  <c r="K80" i="343"/>
  <c r="AW79" i="343"/>
  <c r="AT79" i="343"/>
  <c r="AR79" i="343"/>
  <c r="AQ79" i="343"/>
  <c r="AP79" i="343"/>
  <c r="AN79" i="343"/>
  <c r="AD79" i="343"/>
  <c r="AB79" i="343"/>
  <c r="X79" i="343"/>
  <c r="W79" i="343"/>
  <c r="Q79" i="343"/>
  <c r="K79" i="343"/>
  <c r="AX78" i="343"/>
  <c r="AW78" i="343"/>
  <c r="AN78" i="343"/>
  <c r="AD78" i="343"/>
  <c r="AB78" i="343"/>
  <c r="W78" i="343"/>
  <c r="Q78" i="343"/>
  <c r="K78" i="343"/>
  <c r="AX77" i="343"/>
  <c r="AW77" i="343"/>
  <c r="AO77" i="343"/>
  <c r="AN77" i="343"/>
  <c r="AD77" i="343"/>
  <c r="AB77" i="343"/>
  <c r="W77" i="343"/>
  <c r="Q77" i="343"/>
  <c r="X77" i="343" s="1"/>
  <c r="K77" i="343"/>
  <c r="B77" i="343"/>
  <c r="B78" i="343" s="1"/>
  <c r="B79" i="343" s="1"/>
  <c r="B80" i="343" s="1"/>
  <c r="B81" i="343" s="1"/>
  <c r="B82" i="343" s="1"/>
  <c r="AX76" i="343"/>
  <c r="AW76" i="343"/>
  <c r="AN76" i="343"/>
  <c r="AL76" i="343"/>
  <c r="AK76" i="343"/>
  <c r="AD76" i="343"/>
  <c r="AB76" i="343"/>
  <c r="W76" i="343"/>
  <c r="X76" i="343" s="1"/>
  <c r="AJ76" i="343" s="1"/>
  <c r="Q76" i="343"/>
  <c r="K76" i="343"/>
  <c r="AW75" i="343"/>
  <c r="AO75" i="343"/>
  <c r="AN75" i="343"/>
  <c r="AD75" i="343"/>
  <c r="AB75" i="343"/>
  <c r="W75" i="343"/>
  <c r="Q75" i="343"/>
  <c r="K75" i="343"/>
  <c r="AW74" i="343"/>
  <c r="AR74" i="343"/>
  <c r="AN74" i="343"/>
  <c r="AD74" i="343"/>
  <c r="AB74" i="343"/>
  <c r="W74" i="343"/>
  <c r="Q74" i="343"/>
  <c r="X74" i="343" s="1"/>
  <c r="K74" i="343"/>
  <c r="AX73" i="343"/>
  <c r="AW73" i="343"/>
  <c r="AP73" i="343"/>
  <c r="AN73" i="343"/>
  <c r="AO73" i="343" s="1"/>
  <c r="AG73" i="343"/>
  <c r="AD73" i="343"/>
  <c r="AB73" i="343"/>
  <c r="W73" i="343"/>
  <c r="Q73" i="343"/>
  <c r="X73" i="343" s="1"/>
  <c r="K73" i="343"/>
  <c r="AW72" i="343"/>
  <c r="AN72" i="343"/>
  <c r="AG72" i="343"/>
  <c r="AD72" i="343"/>
  <c r="AB72" i="343"/>
  <c r="Y72" i="343"/>
  <c r="W72" i="343"/>
  <c r="Q72" i="343"/>
  <c r="X72" i="343" s="1"/>
  <c r="K72" i="343"/>
  <c r="AX71" i="343"/>
  <c r="AW71" i="343"/>
  <c r="AR71" i="343"/>
  <c r="AP71" i="343"/>
  <c r="AO71" i="343"/>
  <c r="AN71" i="343"/>
  <c r="AQ71" i="343" s="1"/>
  <c r="AI71" i="343"/>
  <c r="AG71" i="343"/>
  <c r="AD71" i="343"/>
  <c r="AB71" i="343"/>
  <c r="Z71" i="343"/>
  <c r="Y71" i="343"/>
  <c r="X71" i="343"/>
  <c r="W71" i="343"/>
  <c r="Q71" i="343"/>
  <c r="K71" i="343"/>
  <c r="AX70" i="343"/>
  <c r="AW70" i="343"/>
  <c r="AQ70" i="343"/>
  <c r="AO70" i="343"/>
  <c r="AN70" i="343"/>
  <c r="AD70" i="343"/>
  <c r="AB70" i="343"/>
  <c r="W70" i="343"/>
  <c r="Q70" i="343"/>
  <c r="X70" i="343" s="1"/>
  <c r="K70" i="343"/>
  <c r="AX69" i="343"/>
  <c r="AW69" i="343"/>
  <c r="AO69" i="343"/>
  <c r="AN69" i="343"/>
  <c r="AQ69" i="343" s="1"/>
  <c r="AG69" i="343"/>
  <c r="AD69" i="343"/>
  <c r="AB69" i="343"/>
  <c r="X69" i="343"/>
  <c r="W69" i="343"/>
  <c r="Q69" i="343"/>
  <c r="K69" i="343"/>
  <c r="AX68" i="343"/>
  <c r="AW68" i="343"/>
  <c r="AN68" i="343"/>
  <c r="AD68" i="343"/>
  <c r="AB68" i="343"/>
  <c r="W68" i="343"/>
  <c r="Q68" i="343"/>
  <c r="X68" i="343" s="1"/>
  <c r="K68" i="343"/>
  <c r="AX67" i="343"/>
  <c r="AW67" i="343"/>
  <c r="AR67" i="343"/>
  <c r="AQ67" i="343"/>
  <c r="AN67" i="343"/>
  <c r="AO67" i="343" s="1"/>
  <c r="AG67" i="343"/>
  <c r="AD67" i="343"/>
  <c r="AB67" i="343"/>
  <c r="W67" i="343"/>
  <c r="Q67" i="343"/>
  <c r="X67" i="343" s="1"/>
  <c r="K67" i="343"/>
  <c r="B67" i="343"/>
  <c r="B68" i="343" s="1"/>
  <c r="B69" i="343" s="1"/>
  <c r="B70" i="343" s="1"/>
  <c r="B71" i="343" s="1"/>
  <c r="B72" i="343" s="1"/>
  <c r="B73" i="343" s="1"/>
  <c r="B74" i="343" s="1"/>
  <c r="B75" i="343" s="1"/>
  <c r="B76" i="343" s="1"/>
  <c r="AW66" i="343"/>
  <c r="AN66" i="343"/>
  <c r="AD66" i="343"/>
  <c r="AB66" i="343"/>
  <c r="X66" i="343"/>
  <c r="Y66" i="343" s="1"/>
  <c r="W66" i="343"/>
  <c r="Q66" i="343"/>
  <c r="K66" i="343"/>
  <c r="BN65" i="343"/>
  <c r="AY65" i="343"/>
  <c r="AV65" i="343"/>
  <c r="AU65" i="343"/>
  <c r="AT65" i="343"/>
  <c r="AS65" i="343"/>
  <c r="AE65" i="343"/>
  <c r="AC65" i="343"/>
  <c r="AA65" i="343"/>
  <c r="V65" i="343"/>
  <c r="U65" i="343"/>
  <c r="T65" i="343"/>
  <c r="S65" i="343"/>
  <c r="R65" i="343"/>
  <c r="P65" i="343"/>
  <c r="O65" i="343"/>
  <c r="N65" i="343"/>
  <c r="M65" i="343"/>
  <c r="M105" i="343" s="1"/>
  <c r="M161" i="343" s="1"/>
  <c r="L65" i="343"/>
  <c r="BG64" i="343"/>
  <c r="AW64" i="343"/>
  <c r="AR64" i="343"/>
  <c r="AQ64" i="343"/>
  <c r="AO64" i="343"/>
  <c r="AN64" i="343"/>
  <c r="AP64" i="343" s="1"/>
  <c r="AM64" i="343"/>
  <c r="AJ64" i="343"/>
  <c r="AK64" i="343" s="1"/>
  <c r="AD64" i="343"/>
  <c r="AB64" i="343"/>
  <c r="Z64" i="343"/>
  <c r="AZ64" i="343" s="1"/>
  <c r="X64" i="343"/>
  <c r="AL64" i="343" s="1"/>
  <c r="W64" i="343"/>
  <c r="Q64" i="343"/>
  <c r="K64" i="343"/>
  <c r="Y64" i="343" s="1"/>
  <c r="AX63" i="343"/>
  <c r="AX65" i="343" s="1"/>
  <c r="AW63" i="343"/>
  <c r="AR63" i="343"/>
  <c r="AQ63" i="343"/>
  <c r="AN63" i="343"/>
  <c r="AO63" i="343" s="1"/>
  <c r="AD63" i="343"/>
  <c r="AB63" i="343"/>
  <c r="W63" i="343"/>
  <c r="X63" i="343" s="1"/>
  <c r="Q63" i="343"/>
  <c r="K63" i="343"/>
  <c r="AX62" i="343"/>
  <c r="AW62" i="343"/>
  <c r="AR62" i="343"/>
  <c r="AQ62" i="343"/>
  <c r="AP62" i="343"/>
  <c r="AO62" i="343"/>
  <c r="AN62" i="343"/>
  <c r="AD62" i="343"/>
  <c r="AB62" i="343"/>
  <c r="W62" i="343"/>
  <c r="Q62" i="343"/>
  <c r="X62" i="343" s="1"/>
  <c r="K62" i="343"/>
  <c r="AW61" i="343"/>
  <c r="AN61" i="343"/>
  <c r="AG61" i="343"/>
  <c r="AD61" i="343"/>
  <c r="AB61" i="343"/>
  <c r="W61" i="343"/>
  <c r="Q61" i="343"/>
  <c r="X61" i="343" s="1"/>
  <c r="K61" i="343"/>
  <c r="AW60" i="343"/>
  <c r="AR60" i="343"/>
  <c r="AN60" i="343"/>
  <c r="AO60" i="343" s="1"/>
  <c r="AI60" i="343"/>
  <c r="AI65" i="343" s="1"/>
  <c r="AG60" i="343"/>
  <c r="AD60" i="343"/>
  <c r="AB60" i="343"/>
  <c r="W60" i="343"/>
  <c r="Q60" i="343"/>
  <c r="K60" i="343"/>
  <c r="AW59" i="343"/>
  <c r="AR59" i="343"/>
  <c r="AQ59" i="343"/>
  <c r="AP59" i="343"/>
  <c r="AN59" i="343"/>
  <c r="AO59" i="343" s="1"/>
  <c r="AD59" i="343"/>
  <c r="AB59" i="343"/>
  <c r="W59" i="343"/>
  <c r="Q59" i="343"/>
  <c r="X59" i="343" s="1"/>
  <c r="K59" i="343"/>
  <c r="BG58" i="343"/>
  <c r="AX58" i="343"/>
  <c r="AW58" i="343"/>
  <c r="AR58" i="343"/>
  <c r="AQ58" i="343"/>
  <c r="AO58" i="343"/>
  <c r="AN58" i="343"/>
  <c r="AP58" i="343" s="1"/>
  <c r="AM58" i="343"/>
  <c r="AL58" i="343"/>
  <c r="AK58" i="343"/>
  <c r="AG58" i="343"/>
  <c r="AD58" i="343"/>
  <c r="AB58" i="343"/>
  <c r="X58" i="343"/>
  <c r="AJ58" i="343" s="1"/>
  <c r="W58" i="343"/>
  <c r="Q58" i="343"/>
  <c r="K58" i="343"/>
  <c r="Y58" i="343" s="1"/>
  <c r="AX57" i="343"/>
  <c r="AW57" i="343"/>
  <c r="AR57" i="343"/>
  <c r="AQ57" i="343"/>
  <c r="AO57" i="343"/>
  <c r="AN57" i="343"/>
  <c r="AG57" i="343"/>
  <c r="AD57" i="343"/>
  <c r="AB57" i="343"/>
  <c r="Z57" i="343"/>
  <c r="Y57" i="343"/>
  <c r="BG57" i="343" s="1"/>
  <c r="W57" i="343"/>
  <c r="X57" i="343" s="1"/>
  <c r="Q57" i="343"/>
  <c r="K57" i="343"/>
  <c r="AX56" i="343"/>
  <c r="AW56" i="343"/>
  <c r="AN56" i="343"/>
  <c r="AK56" i="343"/>
  <c r="AJ56" i="343"/>
  <c r="AD56" i="343"/>
  <c r="AB56" i="343"/>
  <c r="W56" i="343"/>
  <c r="Q56" i="343"/>
  <c r="X56" i="343" s="1"/>
  <c r="K56" i="343"/>
  <c r="AX55" i="343"/>
  <c r="AW55" i="343"/>
  <c r="AN55" i="343"/>
  <c r="AD55" i="343"/>
  <c r="AB55" i="343"/>
  <c r="W55" i="343"/>
  <c r="Q55" i="343"/>
  <c r="K55" i="343"/>
  <c r="AX54" i="343"/>
  <c r="AW54" i="343"/>
  <c r="AP54" i="343"/>
  <c r="AN54" i="343"/>
  <c r="AG54" i="343"/>
  <c r="AD54" i="343"/>
  <c r="AB54" i="343"/>
  <c r="X54" i="343"/>
  <c r="W54" i="343"/>
  <c r="Q54" i="343"/>
  <c r="K54" i="343"/>
  <c r="AW53" i="343"/>
  <c r="AR53" i="343"/>
  <c r="AQ53" i="343"/>
  <c r="AO53" i="343"/>
  <c r="AN53" i="343"/>
  <c r="AP53" i="343" s="1"/>
  <c r="AD53" i="343"/>
  <c r="AB53" i="343"/>
  <c r="W53" i="343"/>
  <c r="Q53" i="343"/>
  <c r="X53" i="343" s="1"/>
  <c r="K53" i="343"/>
  <c r="AW52" i="343"/>
  <c r="AN52" i="343"/>
  <c r="AD52" i="343"/>
  <c r="AB52" i="343"/>
  <c r="W52" i="343"/>
  <c r="X52" i="343" s="1"/>
  <c r="Q52" i="343"/>
  <c r="K52" i="343"/>
  <c r="AX51" i="343"/>
  <c r="AW51" i="343"/>
  <c r="AQ51" i="343"/>
  <c r="AN51" i="343"/>
  <c r="AD51" i="343"/>
  <c r="AB51" i="343"/>
  <c r="W51" i="343"/>
  <c r="Q51" i="343"/>
  <c r="X51" i="343" s="1"/>
  <c r="K51" i="343"/>
  <c r="B51" i="343"/>
  <c r="B52" i="343" s="1"/>
  <c r="B53" i="343" s="1"/>
  <c r="B54" i="343" s="1"/>
  <c r="B55" i="343" s="1"/>
  <c r="B56" i="343" s="1"/>
  <c r="B57" i="343" s="1"/>
  <c r="B58" i="343" s="1"/>
  <c r="B59" i="343" s="1"/>
  <c r="B60" i="343" s="1"/>
  <c r="B61" i="343" s="1"/>
  <c r="B62" i="343" s="1"/>
  <c r="B63" i="343" s="1"/>
  <c r="B64" i="343" s="1"/>
  <c r="AW50" i="343"/>
  <c r="AN50" i="343"/>
  <c r="AG50" i="343"/>
  <c r="AD50" i="343"/>
  <c r="AB50" i="343"/>
  <c r="W50" i="343"/>
  <c r="Q50" i="343"/>
  <c r="X50" i="343" s="1"/>
  <c r="AL50" i="343" s="1"/>
  <c r="AM50" i="343" s="1"/>
  <c r="K50" i="343"/>
  <c r="AW49" i="343"/>
  <c r="AR49" i="343"/>
  <c r="AO49" i="343"/>
  <c r="AN49" i="343"/>
  <c r="AQ49" i="343" s="1"/>
  <c r="AG49" i="343"/>
  <c r="AD49" i="343"/>
  <c r="AB49" i="343"/>
  <c r="W49" i="343"/>
  <c r="Q49" i="343"/>
  <c r="X49" i="343" s="1"/>
  <c r="K49" i="343"/>
  <c r="B49" i="343"/>
  <c r="B50" i="343" s="1"/>
  <c r="AX48" i="343"/>
  <c r="AW48" i="343"/>
  <c r="AQ48" i="343"/>
  <c r="AO48" i="343"/>
  <c r="AN48" i="343"/>
  <c r="AP48" i="343" s="1"/>
  <c r="AD48" i="343"/>
  <c r="AB48" i="343"/>
  <c r="W48" i="343"/>
  <c r="Q48" i="343"/>
  <c r="K48" i="343"/>
  <c r="B48" i="343"/>
  <c r="AW47" i="343"/>
  <c r="AQ47" i="343"/>
  <c r="AN47" i="343"/>
  <c r="AG47" i="343"/>
  <c r="AD47" i="343"/>
  <c r="AB47" i="343"/>
  <c r="X47" i="343"/>
  <c r="AL47" i="343" s="1"/>
  <c r="W47" i="343"/>
  <c r="Q47" i="343"/>
  <c r="K47" i="343"/>
  <c r="B47" i="343"/>
  <c r="AX46" i="343"/>
  <c r="AW46" i="343"/>
  <c r="AN46" i="343"/>
  <c r="AD46" i="343"/>
  <c r="AB46" i="343"/>
  <c r="W46" i="343"/>
  <c r="Q46" i="343"/>
  <c r="K46" i="343"/>
  <c r="BN45" i="343"/>
  <c r="AY45" i="343"/>
  <c r="AV45" i="343"/>
  <c r="AV105" i="343" s="1"/>
  <c r="AV161" i="343" s="1"/>
  <c r="AU45" i="343"/>
  <c r="AT45" i="343"/>
  <c r="AS45" i="343"/>
  <c r="AI45" i="343"/>
  <c r="AI105" i="343" s="1"/>
  <c r="AE45" i="343"/>
  <c r="AE105" i="343" s="1"/>
  <c r="AC45" i="343"/>
  <c r="AA45" i="343"/>
  <c r="V45" i="343"/>
  <c r="U45" i="343"/>
  <c r="T45" i="343"/>
  <c r="S45" i="343"/>
  <c r="R45" i="343"/>
  <c r="P45" i="343"/>
  <c r="O45" i="343"/>
  <c r="N45" i="343"/>
  <c r="M45" i="343"/>
  <c r="L45" i="343"/>
  <c r="L105" i="343" s="1"/>
  <c r="L161" i="343" s="1"/>
  <c r="AX44" i="343"/>
  <c r="AW44" i="343"/>
  <c r="AN44" i="343"/>
  <c r="AI44" i="343"/>
  <c r="AG44" i="343"/>
  <c r="AD44" i="343"/>
  <c r="AB44" i="343"/>
  <c r="W44" i="343"/>
  <c r="X44" i="343" s="1"/>
  <c r="Q44" i="343"/>
  <c r="K44" i="343"/>
  <c r="AX43" i="343"/>
  <c r="AW43" i="343"/>
  <c r="AQ43" i="343"/>
  <c r="AN43" i="343"/>
  <c r="AD43" i="343"/>
  <c r="AB43" i="343"/>
  <c r="X43" i="343"/>
  <c r="W43" i="343"/>
  <c r="Q43" i="343"/>
  <c r="K43" i="343"/>
  <c r="AW42" i="343"/>
  <c r="AR42" i="343"/>
  <c r="AQ42" i="343"/>
  <c r="AN42" i="343"/>
  <c r="AP42" i="343" s="1"/>
  <c r="AG42" i="343"/>
  <c r="AD42" i="343"/>
  <c r="AB42" i="343"/>
  <c r="W42" i="343"/>
  <c r="Q42" i="343"/>
  <c r="X42" i="343" s="1"/>
  <c r="K42" i="343"/>
  <c r="AW41" i="343"/>
  <c r="AR41" i="343"/>
  <c r="AP41" i="343"/>
  <c r="AN41" i="343"/>
  <c r="AQ41" i="343" s="1"/>
  <c r="AD41" i="343"/>
  <c r="AB41" i="343"/>
  <c r="W41" i="343"/>
  <c r="Q41" i="343"/>
  <c r="X41" i="343" s="1"/>
  <c r="AL41" i="343" s="1"/>
  <c r="K41" i="343"/>
  <c r="AX40" i="343"/>
  <c r="AW40" i="343"/>
  <c r="AR40" i="343"/>
  <c r="AP40" i="343"/>
  <c r="AO40" i="343"/>
  <c r="AN40" i="343"/>
  <c r="AD40" i="343"/>
  <c r="AB40" i="343"/>
  <c r="W40" i="343"/>
  <c r="Q40" i="343"/>
  <c r="X40" i="343" s="1"/>
  <c r="K40" i="343"/>
  <c r="AW39" i="343"/>
  <c r="AN39" i="343"/>
  <c r="AD39" i="343"/>
  <c r="AB39" i="343"/>
  <c r="X39" i="343"/>
  <c r="W39" i="343"/>
  <c r="Q39" i="343"/>
  <c r="K39" i="343"/>
  <c r="AW38" i="343"/>
  <c r="AN38" i="343"/>
  <c r="AD38" i="343"/>
  <c r="AB38" i="343"/>
  <c r="W38" i="343"/>
  <c r="Q38" i="343"/>
  <c r="X38" i="343" s="1"/>
  <c r="K38" i="343"/>
  <c r="AW37" i="343"/>
  <c r="AN37" i="343"/>
  <c r="AO37" i="343" s="1"/>
  <c r="AI37" i="343"/>
  <c r="AG37" i="343"/>
  <c r="AD37" i="343"/>
  <c r="AB37" i="343"/>
  <c r="W37" i="343"/>
  <c r="Q37" i="343"/>
  <c r="X37" i="343" s="1"/>
  <c r="K37" i="343"/>
  <c r="AW36" i="343"/>
  <c r="AN36" i="343"/>
  <c r="AL36" i="343"/>
  <c r="AK36" i="343"/>
  <c r="AD36" i="343"/>
  <c r="AB36" i="343"/>
  <c r="Z36" i="343"/>
  <c r="Y36" i="343"/>
  <c r="X36" i="343"/>
  <c r="AJ36" i="343" s="1"/>
  <c r="W36" i="343"/>
  <c r="Q36" i="343"/>
  <c r="K36" i="343"/>
  <c r="AW35" i="343"/>
  <c r="AR35" i="343"/>
  <c r="AQ35" i="343"/>
  <c r="AO35" i="343"/>
  <c r="AN35" i="343"/>
  <c r="AI35" i="343"/>
  <c r="AG35" i="343"/>
  <c r="AD35" i="343"/>
  <c r="AB35" i="343"/>
  <c r="X35" i="343"/>
  <c r="W35" i="343"/>
  <c r="Q35" i="343"/>
  <c r="K35" i="343"/>
  <c r="AW34" i="343"/>
  <c r="AN34" i="343"/>
  <c r="AD34" i="343"/>
  <c r="AB34" i="343"/>
  <c r="X34" i="343"/>
  <c r="W34" i="343"/>
  <c r="Q34" i="343"/>
  <c r="K34" i="343"/>
  <c r="AX33" i="343"/>
  <c r="AW33" i="343"/>
  <c r="AQ33" i="343"/>
  <c r="AP33" i="343"/>
  <c r="AO33" i="343"/>
  <c r="AN33" i="343"/>
  <c r="AR33" i="343" s="1"/>
  <c r="AM33" i="343"/>
  <c r="AK33" i="343"/>
  <c r="AJ33" i="343"/>
  <c r="AD33" i="343"/>
  <c r="AB33" i="343"/>
  <c r="W33" i="343"/>
  <c r="X33" i="343" s="1"/>
  <c r="AL33" i="343" s="1"/>
  <c r="Q33" i="343"/>
  <c r="K33" i="343"/>
  <c r="Y33" i="343" s="1"/>
  <c r="AW32" i="343"/>
  <c r="AR32" i="343"/>
  <c r="AQ32" i="343"/>
  <c r="AP32" i="343"/>
  <c r="AO32" i="343"/>
  <c r="AN32" i="343"/>
  <c r="AM32" i="343"/>
  <c r="AL32" i="343"/>
  <c r="AJ32" i="343"/>
  <c r="AK32" i="343" s="1"/>
  <c r="AG32" i="343"/>
  <c r="AD32" i="343"/>
  <c r="AB32" i="343"/>
  <c r="Y32" i="343"/>
  <c r="W32" i="343"/>
  <c r="Q32" i="343"/>
  <c r="X32" i="343" s="1"/>
  <c r="K32" i="343"/>
  <c r="AX31" i="343"/>
  <c r="AW31" i="343"/>
  <c r="AO31" i="343"/>
  <c r="AN31" i="343"/>
  <c r="AD31" i="343"/>
  <c r="AB31" i="343"/>
  <c r="X31" i="343"/>
  <c r="W31" i="343"/>
  <c r="Q31" i="343"/>
  <c r="K31" i="343"/>
  <c r="AW30" i="343"/>
  <c r="AN30" i="343"/>
  <c r="AG30" i="343"/>
  <c r="AD30" i="343"/>
  <c r="AB30" i="343"/>
  <c r="W30" i="343"/>
  <c r="Q30" i="343"/>
  <c r="X30" i="343" s="1"/>
  <c r="K30" i="343"/>
  <c r="AW29" i="343"/>
  <c r="AP29" i="343"/>
  <c r="AN29" i="343"/>
  <c r="AO29" i="343" s="1"/>
  <c r="AD29" i="343"/>
  <c r="AB29" i="343"/>
  <c r="W29" i="343"/>
  <c r="Q29" i="343"/>
  <c r="K29" i="343"/>
  <c r="AX28" i="343"/>
  <c r="AW28" i="343"/>
  <c r="AN28" i="343"/>
  <c r="AL28" i="343"/>
  <c r="AD28" i="343"/>
  <c r="AB28" i="343"/>
  <c r="W28" i="343"/>
  <c r="Q28" i="343"/>
  <c r="X28" i="343" s="1"/>
  <c r="AJ28" i="343" s="1"/>
  <c r="AK28" i="343" s="1"/>
  <c r="K28" i="343"/>
  <c r="AW27" i="343"/>
  <c r="AR27" i="343"/>
  <c r="AQ27" i="343"/>
  <c r="AN27" i="343"/>
  <c r="AP27" i="343" s="1"/>
  <c r="AI27" i="343"/>
  <c r="AG27" i="343"/>
  <c r="AD27" i="343"/>
  <c r="AB27" i="343"/>
  <c r="W27" i="343"/>
  <c r="Q27" i="343"/>
  <c r="X27" i="343" s="1"/>
  <c r="K27" i="343"/>
  <c r="AW26" i="343"/>
  <c r="AN26" i="343"/>
  <c r="AL26" i="343"/>
  <c r="AM26" i="343" s="1"/>
  <c r="AG26" i="343"/>
  <c r="AD26" i="343"/>
  <c r="AB26" i="343"/>
  <c r="W26" i="343"/>
  <c r="Q26" i="343"/>
  <c r="X26" i="343" s="1"/>
  <c r="AJ26" i="343" s="1"/>
  <c r="AK26" i="343" s="1"/>
  <c r="K26" i="343"/>
  <c r="AW25" i="343"/>
  <c r="AN25" i="343"/>
  <c r="AG25" i="343"/>
  <c r="AD25" i="343"/>
  <c r="AB25" i="343"/>
  <c r="W25" i="343"/>
  <c r="Q25" i="343"/>
  <c r="X25" i="343" s="1"/>
  <c r="K25" i="343"/>
  <c r="AW24" i="343"/>
  <c r="AR24" i="343"/>
  <c r="AQ24" i="343"/>
  <c r="AP24" i="343"/>
  <c r="AN24" i="343"/>
  <c r="AD24" i="343"/>
  <c r="AB24" i="343"/>
  <c r="W24" i="343"/>
  <c r="Q24" i="343"/>
  <c r="X24" i="343" s="1"/>
  <c r="K24" i="343"/>
  <c r="AW23" i="343"/>
  <c r="AR23" i="343"/>
  <c r="AQ23" i="343"/>
  <c r="AP23" i="343"/>
  <c r="AO23" i="343"/>
  <c r="AN23" i="343"/>
  <c r="AG23" i="343"/>
  <c r="AD23" i="343"/>
  <c r="AB23" i="343"/>
  <c r="X23" i="343"/>
  <c r="W23" i="343"/>
  <c r="Q23" i="343"/>
  <c r="K23" i="343"/>
  <c r="Y23" i="343" s="1"/>
  <c r="AW22" i="343"/>
  <c r="AN22" i="343"/>
  <c r="AG22" i="343"/>
  <c r="AD22" i="343"/>
  <c r="AB22" i="343"/>
  <c r="W22" i="343"/>
  <c r="Q22" i="343"/>
  <c r="K22" i="343"/>
  <c r="BG21" i="343"/>
  <c r="AW21" i="343"/>
  <c r="AR21" i="343"/>
  <c r="AQ21" i="343"/>
  <c r="AP21" i="343"/>
  <c r="AO21" i="343"/>
  <c r="AN21" i="343"/>
  <c r="AM21" i="343"/>
  <c r="AL21" i="343"/>
  <c r="AJ21" i="343"/>
  <c r="AK21" i="343" s="1"/>
  <c r="AG21" i="343"/>
  <c r="AD21" i="343"/>
  <c r="AB21" i="343"/>
  <c r="AB45" i="343" s="1"/>
  <c r="Z21" i="343"/>
  <c r="Y21" i="343"/>
  <c r="W21" i="343"/>
  <c r="Q21" i="343"/>
  <c r="X21" i="343" s="1"/>
  <c r="K21" i="343"/>
  <c r="AW20" i="343"/>
  <c r="AO20" i="343"/>
  <c r="AN20" i="343"/>
  <c r="AD20" i="343"/>
  <c r="AB20" i="343"/>
  <c r="W20" i="343"/>
  <c r="X20" i="343" s="1"/>
  <c r="Q20" i="343"/>
  <c r="K20" i="343"/>
  <c r="A20" i="343"/>
  <c r="A21" i="343" s="1"/>
  <c r="A22" i="343" s="1"/>
  <c r="A23" i="343" s="1"/>
  <c r="A24" i="343" s="1"/>
  <c r="A25" i="343" s="1"/>
  <c r="A26" i="343" s="1"/>
  <c r="A27" i="343" s="1"/>
  <c r="A28" i="343" s="1"/>
  <c r="A29" i="343" s="1"/>
  <c r="A30" i="343" s="1"/>
  <c r="A31" i="343" s="1"/>
  <c r="A32" i="343" s="1"/>
  <c r="A33" i="343" s="1"/>
  <c r="A34" i="343" s="1"/>
  <c r="A35" i="343" s="1"/>
  <c r="A36" i="343" s="1"/>
  <c r="A37" i="343" s="1"/>
  <c r="A38" i="343" s="1"/>
  <c r="A39" i="343" s="1"/>
  <c r="A40" i="343" s="1"/>
  <c r="A41" i="343" s="1"/>
  <c r="A42" i="343" s="1"/>
  <c r="A43" i="343" s="1"/>
  <c r="A44" i="343" s="1"/>
  <c r="A46" i="343" s="1"/>
  <c r="A47" i="343" s="1"/>
  <c r="A48" i="343" s="1"/>
  <c r="A49" i="343" s="1"/>
  <c r="A50" i="343" s="1"/>
  <c r="A51" i="343" s="1"/>
  <c r="A52" i="343" s="1"/>
  <c r="A53" i="343" s="1"/>
  <c r="A54" i="343" s="1"/>
  <c r="A55" i="343" s="1"/>
  <c r="A56" i="343" s="1"/>
  <c r="A57" i="343" s="1"/>
  <c r="A58" i="343" s="1"/>
  <c r="A59" i="343" s="1"/>
  <c r="A60" i="343" s="1"/>
  <c r="A61" i="343" s="1"/>
  <c r="A62" i="343" s="1"/>
  <c r="A63" i="343" s="1"/>
  <c r="A64" i="343" s="1"/>
  <c r="A66" i="343" s="1"/>
  <c r="A67" i="343" s="1"/>
  <c r="A68" i="343" s="1"/>
  <c r="A69" i="343" s="1"/>
  <c r="A70" i="343" s="1"/>
  <c r="A71" i="343" s="1"/>
  <c r="A72" i="343" s="1"/>
  <c r="A73" i="343" s="1"/>
  <c r="A74" i="343" s="1"/>
  <c r="A75" i="343" s="1"/>
  <c r="A76" i="343" s="1"/>
  <c r="A77" i="343" s="1"/>
  <c r="A78" i="343" s="1"/>
  <c r="A79" i="343" s="1"/>
  <c r="A80" i="343" s="1"/>
  <c r="A81" i="343" s="1"/>
  <c r="A82" i="343" s="1"/>
  <c r="A84" i="343" s="1"/>
  <c r="A85" i="343" s="1"/>
  <c r="A86" i="343" s="1"/>
  <c r="A87" i="343" s="1"/>
  <c r="A88" i="343" s="1"/>
  <c r="A89" i="343" s="1"/>
  <c r="A90" i="343" s="1"/>
  <c r="A91" i="343" s="1"/>
  <c r="A92" i="343" s="1"/>
  <c r="A93" i="343" s="1"/>
  <c r="A94" i="343" s="1"/>
  <c r="A95" i="343" s="1"/>
  <c r="A96" i="343" s="1"/>
  <c r="A97" i="343" s="1"/>
  <c r="A98" i="343" s="1"/>
  <c r="A99" i="343" s="1"/>
  <c r="A100" i="343" s="1"/>
  <c r="A101" i="343" s="1"/>
  <c r="A102" i="343" s="1"/>
  <c r="A103" i="343" s="1"/>
  <c r="A106" i="343" s="1"/>
  <c r="A107" i="343" s="1"/>
  <c r="A108" i="343" s="1"/>
  <c r="A109" i="343" s="1"/>
  <c r="A110" i="343" s="1"/>
  <c r="A111" i="343" s="1"/>
  <c r="A112" i="343" s="1"/>
  <c r="A113" i="343" s="1"/>
  <c r="A114" i="343" s="1"/>
  <c r="A115" i="343" s="1"/>
  <c r="A117" i="343" s="1"/>
  <c r="A118" i="343" s="1"/>
  <c r="A119" i="343" s="1"/>
  <c r="A120" i="343" s="1"/>
  <c r="A121" i="343" s="1"/>
  <c r="A122" i="343" s="1"/>
  <c r="A123" i="343" s="1"/>
  <c r="A125" i="343" s="1"/>
  <c r="A126" i="343" s="1"/>
  <c r="A127" i="343" s="1"/>
  <c r="A128" i="343" s="1"/>
  <c r="A129" i="343" s="1"/>
  <c r="A130" i="343" s="1"/>
  <c r="A131" i="343" s="1"/>
  <c r="A132" i="343" s="1"/>
  <c r="A134" i="343" s="1"/>
  <c r="A135" i="343" s="1"/>
  <c r="A136" i="343" s="1"/>
  <c r="A138" i="343" s="1"/>
  <c r="A139" i="343" s="1"/>
  <c r="A140" i="343" s="1"/>
  <c r="A141" i="343" s="1"/>
  <c r="A143" i="343" s="1"/>
  <c r="A144" i="343" s="1"/>
  <c r="A145" i="343" s="1"/>
  <c r="A146" i="343" s="1"/>
  <c r="A148" i="343" s="1"/>
  <c r="A149" i="343" s="1"/>
  <c r="A150" i="343" s="1"/>
  <c r="A151" i="343" s="1"/>
  <c r="A152" i="343" s="1"/>
  <c r="A153" i="343" s="1"/>
  <c r="A154" i="343" s="1"/>
  <c r="A155" i="343" s="1"/>
  <c r="A156" i="343" s="1"/>
  <c r="A157" i="343" s="1"/>
  <c r="A158" i="343" s="1"/>
  <c r="A159" i="343" s="1"/>
  <c r="AX19" i="343"/>
  <c r="AW19" i="343"/>
  <c r="AN19" i="343"/>
  <c r="AD19" i="343"/>
  <c r="AB19" i="343"/>
  <c r="X19" i="343"/>
  <c r="W19" i="343"/>
  <c r="Q19" i="343"/>
  <c r="K19" i="343"/>
  <c r="AW18" i="343"/>
  <c r="AN18" i="343"/>
  <c r="AI18" i="343"/>
  <c r="AG18" i="343"/>
  <c r="AD18" i="343"/>
  <c r="AB18" i="343"/>
  <c r="W18" i="343"/>
  <c r="Q18" i="343"/>
  <c r="K18" i="343"/>
  <c r="AW17" i="343"/>
  <c r="AR17" i="343"/>
  <c r="AO17" i="343"/>
  <c r="AN17" i="343"/>
  <c r="AQ17" i="343" s="1"/>
  <c r="AD17" i="343"/>
  <c r="AB17" i="343"/>
  <c r="W17" i="343"/>
  <c r="Q17" i="343"/>
  <c r="X17" i="343" s="1"/>
  <c r="K17" i="343"/>
  <c r="B17" i="343"/>
  <c r="B18" i="343" s="1"/>
  <c r="B19" i="343" s="1"/>
  <c r="B20" i="343" s="1"/>
  <c r="B21" i="343" s="1"/>
  <c r="B22" i="343" s="1"/>
  <c r="B23" i="343" s="1"/>
  <c r="B24" i="343" s="1"/>
  <c r="B25" i="343" s="1"/>
  <c r="B26" i="343" s="1"/>
  <c r="B27" i="343" s="1"/>
  <c r="B28" i="343" s="1"/>
  <c r="B29" i="343" s="1"/>
  <c r="B30" i="343" s="1"/>
  <c r="B31" i="343" s="1"/>
  <c r="B32" i="343" s="1"/>
  <c r="B33" i="343" s="1"/>
  <c r="B34" i="343" s="1"/>
  <c r="B35" i="343" s="1"/>
  <c r="B36" i="343" s="1"/>
  <c r="B37" i="343" s="1"/>
  <c r="B38" i="343" s="1"/>
  <c r="B39" i="343" s="1"/>
  <c r="B40" i="343" s="1"/>
  <c r="B41" i="343" s="1"/>
  <c r="B42" i="343" s="1"/>
  <c r="B43" i="343" s="1"/>
  <c r="B44" i="343" s="1"/>
  <c r="AX16" i="343"/>
  <c r="AW16" i="343"/>
  <c r="AO16" i="343"/>
  <c r="AN16" i="343"/>
  <c r="AQ16" i="343" s="1"/>
  <c r="AD16" i="343"/>
  <c r="AB16" i="343"/>
  <c r="X16" i="343"/>
  <c r="W16" i="343"/>
  <c r="Q16" i="343"/>
  <c r="K16" i="343"/>
  <c r="A16" i="343"/>
  <c r="A17" i="343" s="1"/>
  <c r="A18" i="343" s="1"/>
  <c r="A19" i="343" s="1"/>
  <c r="AX15" i="343"/>
  <c r="AW15" i="343"/>
  <c r="AN15" i="343"/>
  <c r="AG15" i="343"/>
  <c r="AD15" i="343"/>
  <c r="AB15" i="343"/>
  <c r="X15" i="343"/>
  <c r="W15" i="343"/>
  <c r="Q15" i="343"/>
  <c r="K15" i="343"/>
  <c r="B15" i="343"/>
  <c r="B16" i="343" s="1"/>
  <c r="A15" i="343"/>
  <c r="AX14" i="343"/>
  <c r="AW14" i="343"/>
  <c r="AN14" i="343"/>
  <c r="AG14" i="343"/>
  <c r="AD14" i="343"/>
  <c r="AB14" i="343"/>
  <c r="W14" i="343"/>
  <c r="Q14" i="343"/>
  <c r="K14" i="343"/>
  <c r="W197" i="342"/>
  <c r="W190" i="342"/>
  <c r="W195" i="342" s="1"/>
  <c r="W188" i="342"/>
  <c r="BN181" i="342"/>
  <c r="AY181" i="342"/>
  <c r="AX181" i="342"/>
  <c r="AV181" i="342"/>
  <c r="AU181" i="342"/>
  <c r="AT181" i="342"/>
  <c r="AS181" i="342"/>
  <c r="AK181" i="342"/>
  <c r="AJ181" i="342"/>
  <c r="AG181" i="342"/>
  <c r="AF181" i="342"/>
  <c r="AE181" i="342"/>
  <c r="AC181" i="342"/>
  <c r="AA181" i="342"/>
  <c r="V181" i="342"/>
  <c r="U181" i="342"/>
  <c r="T181" i="342"/>
  <c r="S181" i="342"/>
  <c r="R181" i="342"/>
  <c r="P181" i="342"/>
  <c r="O181" i="342"/>
  <c r="N181" i="342"/>
  <c r="M181" i="342"/>
  <c r="L181" i="342"/>
  <c r="AR180" i="342"/>
  <c r="AQ180" i="342"/>
  <c r="AN180" i="342"/>
  <c r="W180" i="342"/>
  <c r="Q180" i="342"/>
  <c r="X180" i="342" s="1"/>
  <c r="K180" i="342"/>
  <c r="AR179" i="342"/>
  <c r="AQ179" i="342"/>
  <c r="AP179" i="342"/>
  <c r="AO179" i="342"/>
  <c r="AN179" i="342"/>
  <c r="AI179" i="342"/>
  <c r="AD179" i="342"/>
  <c r="AB179" i="342"/>
  <c r="W179" i="342"/>
  <c r="Q179" i="342"/>
  <c r="K179" i="342"/>
  <c r="AR178" i="342"/>
  <c r="AQ178" i="342"/>
  <c r="AN178" i="342"/>
  <c r="AP178" i="342" s="1"/>
  <c r="AI178" i="342"/>
  <c r="AD178" i="342"/>
  <c r="AB178" i="342"/>
  <c r="W178" i="342"/>
  <c r="Q178" i="342"/>
  <c r="X178" i="342" s="1"/>
  <c r="AL178" i="342" s="1"/>
  <c r="K178" i="342"/>
  <c r="AP177" i="342"/>
  <c r="AO177" i="342"/>
  <c r="AN177" i="342"/>
  <c r="AI177" i="342"/>
  <c r="AD177" i="342"/>
  <c r="AB177" i="342"/>
  <c r="W177" i="342"/>
  <c r="Q177" i="342"/>
  <c r="X177" i="342" s="1"/>
  <c r="K177" i="342"/>
  <c r="AR176" i="342"/>
  <c r="AP176" i="342"/>
  <c r="AN176" i="342"/>
  <c r="AI176" i="342"/>
  <c r="AD176" i="342"/>
  <c r="AB176" i="342"/>
  <c r="W176" i="342"/>
  <c r="Q176" i="342"/>
  <c r="X176" i="342" s="1"/>
  <c r="AL176" i="342" s="1"/>
  <c r="K176" i="342"/>
  <c r="AR175" i="342"/>
  <c r="AQ175" i="342"/>
  <c r="AP175" i="342"/>
  <c r="AO175" i="342"/>
  <c r="AN175" i="342"/>
  <c r="AI175" i="342"/>
  <c r="AD175" i="342"/>
  <c r="AB175" i="342"/>
  <c r="W175" i="342"/>
  <c r="Q175" i="342"/>
  <c r="K175" i="342"/>
  <c r="AX174" i="342"/>
  <c r="AW174" i="342"/>
  <c r="AQ174" i="342"/>
  <c r="AP174" i="342"/>
  <c r="AO174" i="342"/>
  <c r="AN174" i="342"/>
  <c r="AR174" i="342" s="1"/>
  <c r="AI174" i="342"/>
  <c r="AD174" i="342"/>
  <c r="AB174" i="342"/>
  <c r="W174" i="342"/>
  <c r="Q174" i="342"/>
  <c r="K174" i="342"/>
  <c r="AR173" i="342"/>
  <c r="AQ173" i="342"/>
  <c r="AP173" i="342"/>
  <c r="AO173" i="342"/>
  <c r="AN173" i="342"/>
  <c r="AI173" i="342"/>
  <c r="AD173" i="342"/>
  <c r="AB173" i="342"/>
  <c r="Y173" i="342"/>
  <c r="W173" i="342"/>
  <c r="X173" i="342" s="1"/>
  <c r="AL173" i="342" s="1"/>
  <c r="Q173" i="342"/>
  <c r="K173" i="342"/>
  <c r="AM173" i="342" s="1"/>
  <c r="AR172" i="342"/>
  <c r="AQ172" i="342"/>
  <c r="AP172" i="342"/>
  <c r="AO172" i="342"/>
  <c r="AN172" i="342"/>
  <c r="AL172" i="342"/>
  <c r="AI172" i="342"/>
  <c r="AD172" i="342"/>
  <c r="AB172" i="342"/>
  <c r="W172" i="342"/>
  <c r="Q172" i="342"/>
  <c r="X172" i="342" s="1"/>
  <c r="Y172" i="342" s="1"/>
  <c r="K172" i="342"/>
  <c r="AO171" i="342"/>
  <c r="AN171" i="342"/>
  <c r="AI171" i="342"/>
  <c r="AI181" i="342" s="1"/>
  <c r="AD171" i="342"/>
  <c r="AB171" i="342"/>
  <c r="Y171" i="342"/>
  <c r="W171" i="342"/>
  <c r="Q171" i="342"/>
  <c r="X171" i="342" s="1"/>
  <c r="AL171" i="342" s="1"/>
  <c r="K171" i="342"/>
  <c r="AR170" i="342"/>
  <c r="AQ170" i="342"/>
  <c r="AP170" i="342"/>
  <c r="AN170" i="342"/>
  <c r="AO170" i="342" s="1"/>
  <c r="AI170" i="342"/>
  <c r="AD170" i="342"/>
  <c r="AB170" i="342"/>
  <c r="X170" i="342"/>
  <c r="AL170" i="342" s="1"/>
  <c r="W170" i="342"/>
  <c r="Q170" i="342"/>
  <c r="K170" i="342"/>
  <c r="AR169" i="342"/>
  <c r="AQ169" i="342"/>
  <c r="AP169" i="342"/>
  <c r="AO169" i="342"/>
  <c r="AN169" i="342"/>
  <c r="AI169" i="342"/>
  <c r="AD169" i="342"/>
  <c r="AB169" i="342"/>
  <c r="W169" i="342"/>
  <c r="Q169" i="342"/>
  <c r="X169" i="342" s="1"/>
  <c r="AL169" i="342" s="1"/>
  <c r="K169" i="342"/>
  <c r="AX168" i="342"/>
  <c r="AW168" i="342"/>
  <c r="AR168" i="342"/>
  <c r="AN168" i="342"/>
  <c r="AD168" i="342"/>
  <c r="AB168" i="342"/>
  <c r="W168" i="342"/>
  <c r="Q168" i="342"/>
  <c r="K168" i="342"/>
  <c r="AR167" i="342"/>
  <c r="AP167" i="342"/>
  <c r="AO167" i="342"/>
  <c r="AN167" i="342"/>
  <c r="AQ167" i="342" s="1"/>
  <c r="AD167" i="342"/>
  <c r="AB167" i="342"/>
  <c r="W167" i="342"/>
  <c r="Q167" i="342"/>
  <c r="K167" i="342"/>
  <c r="AR166" i="342"/>
  <c r="AQ166" i="342"/>
  <c r="AO166" i="342"/>
  <c r="AN166" i="342"/>
  <c r="AP166" i="342" s="1"/>
  <c r="AD166" i="342"/>
  <c r="AB166" i="342"/>
  <c r="X166" i="342"/>
  <c r="AL166" i="342" s="1"/>
  <c r="W166" i="342"/>
  <c r="Q166" i="342"/>
  <c r="K166" i="342"/>
  <c r="B166" i="342"/>
  <c r="B167" i="342" s="1"/>
  <c r="B168" i="342" s="1"/>
  <c r="B169" i="342" s="1"/>
  <c r="B170" i="342" s="1"/>
  <c r="B171" i="342" s="1"/>
  <c r="B172" i="342" s="1"/>
  <c r="B173" i="342" s="1"/>
  <c r="B174" i="342" s="1"/>
  <c r="B175" i="342" s="1"/>
  <c r="B176" i="342" s="1"/>
  <c r="B177" i="342" s="1"/>
  <c r="B178" i="342" s="1"/>
  <c r="B179" i="342" s="1"/>
  <c r="B180" i="342" s="1"/>
  <c r="AO165" i="342"/>
  <c r="AN165" i="342"/>
  <c r="AN181" i="342" s="1"/>
  <c r="AD165" i="342"/>
  <c r="AB165" i="342"/>
  <c r="W165" i="342"/>
  <c r="Q165" i="342"/>
  <c r="X165" i="342" s="1"/>
  <c r="K165" i="342"/>
  <c r="B165" i="342"/>
  <c r="BN164" i="342"/>
  <c r="AY164" i="342"/>
  <c r="AX164" i="342"/>
  <c r="AV164" i="342"/>
  <c r="AU164" i="342"/>
  <c r="AT164" i="342"/>
  <c r="AS164" i="342"/>
  <c r="AK164" i="342"/>
  <c r="AJ164" i="342"/>
  <c r="AI164" i="342"/>
  <c r="AH164" i="342"/>
  <c r="AG164" i="342"/>
  <c r="AF164" i="342"/>
  <c r="AE164" i="342"/>
  <c r="AC164" i="342"/>
  <c r="AA164" i="342"/>
  <c r="V164" i="342"/>
  <c r="U164" i="342"/>
  <c r="T164" i="342"/>
  <c r="S164" i="342"/>
  <c r="R164" i="342"/>
  <c r="P164" i="342"/>
  <c r="O164" i="342"/>
  <c r="N164" i="342"/>
  <c r="M164" i="342"/>
  <c r="L164" i="342"/>
  <c r="AW163" i="342"/>
  <c r="AR163" i="342"/>
  <c r="AQ163" i="342"/>
  <c r="AN163" i="342"/>
  <c r="AP163" i="342" s="1"/>
  <c r="AD163" i="342"/>
  <c r="AB163" i="342"/>
  <c r="Y163" i="342"/>
  <c r="X163" i="342"/>
  <c r="AL163" i="342" s="1"/>
  <c r="W163" i="342"/>
  <c r="Q163" i="342"/>
  <c r="K163" i="342"/>
  <c r="AW162" i="342"/>
  <c r="AR162" i="342"/>
  <c r="AQ162" i="342"/>
  <c r="AP162" i="342"/>
  <c r="AO162" i="342"/>
  <c r="AN162" i="342"/>
  <c r="AM162" i="342"/>
  <c r="AD162" i="342"/>
  <c r="AB162" i="342"/>
  <c r="W162" i="342"/>
  <c r="Q162" i="342"/>
  <c r="X162" i="342" s="1"/>
  <c r="AL162" i="342" s="1"/>
  <c r="K162" i="342"/>
  <c r="AW161" i="342"/>
  <c r="AR161" i="342"/>
  <c r="AQ161" i="342"/>
  <c r="AP161" i="342"/>
  <c r="AO161" i="342"/>
  <c r="AN161" i="342"/>
  <c r="AD161" i="342"/>
  <c r="AB161" i="342"/>
  <c r="W161" i="342"/>
  <c r="Q161" i="342"/>
  <c r="X161" i="342" s="1"/>
  <c r="AL161" i="342" s="1"/>
  <c r="K161" i="342"/>
  <c r="AW160" i="342"/>
  <c r="AO160" i="342"/>
  <c r="AN160" i="342"/>
  <c r="AD160" i="342"/>
  <c r="AB160" i="342"/>
  <c r="W160" i="342"/>
  <c r="Q160" i="342"/>
  <c r="X160" i="342" s="1"/>
  <c r="AL160" i="342" s="1"/>
  <c r="K160" i="342"/>
  <c r="BG159" i="342"/>
  <c r="AW159" i="342"/>
  <c r="AN159" i="342"/>
  <c r="AL159" i="342"/>
  <c r="AM159" i="342" s="1"/>
  <c r="AD159" i="342"/>
  <c r="AB159" i="342"/>
  <c r="W159" i="342"/>
  <c r="X159" i="342" s="1"/>
  <c r="Y159" i="342" s="1"/>
  <c r="Q159" i="342"/>
  <c r="K159" i="342"/>
  <c r="AW158" i="342"/>
  <c r="AN158" i="342"/>
  <c r="AD158" i="342"/>
  <c r="AB158" i="342"/>
  <c r="X158" i="342"/>
  <c r="AL158" i="342" s="1"/>
  <c r="AM158" i="342" s="1"/>
  <c r="W158" i="342"/>
  <c r="Q158" i="342"/>
  <c r="K158" i="342"/>
  <c r="AW157" i="342"/>
  <c r="AR157" i="342"/>
  <c r="AQ157" i="342"/>
  <c r="AP157" i="342"/>
  <c r="AO157" i="342"/>
  <c r="AN157" i="342"/>
  <c r="AD157" i="342"/>
  <c r="AB157" i="342"/>
  <c r="W157" i="342"/>
  <c r="Q157" i="342"/>
  <c r="X157" i="342" s="1"/>
  <c r="AL157" i="342" s="1"/>
  <c r="K157" i="342"/>
  <c r="B157" i="342"/>
  <c r="B158" i="342" s="1"/>
  <c r="B159" i="342" s="1"/>
  <c r="B160" i="342" s="1"/>
  <c r="B161" i="342" s="1"/>
  <c r="B162" i="342" s="1"/>
  <c r="B163" i="342" s="1"/>
  <c r="AN156" i="342"/>
  <c r="AD156" i="342"/>
  <c r="AB156" i="342"/>
  <c r="AB164" i="342" s="1"/>
  <c r="W156" i="342"/>
  <c r="Q156" i="342"/>
  <c r="K156" i="342"/>
  <c r="BN155" i="342"/>
  <c r="AY155" i="342"/>
  <c r="AV155" i="342"/>
  <c r="AU155" i="342"/>
  <c r="AT155" i="342"/>
  <c r="AS155" i="342"/>
  <c r="AK155" i="342"/>
  <c r="AJ155" i="342"/>
  <c r="AG155" i="342"/>
  <c r="AE155" i="342"/>
  <c r="AC155" i="342"/>
  <c r="AA155" i="342"/>
  <c r="W155" i="342"/>
  <c r="V155" i="342"/>
  <c r="U155" i="342"/>
  <c r="T155" i="342"/>
  <c r="S155" i="342"/>
  <c r="R155" i="342"/>
  <c r="P155" i="342"/>
  <c r="O155" i="342"/>
  <c r="N155" i="342"/>
  <c r="M155" i="342"/>
  <c r="L155" i="342"/>
  <c r="AX154" i="342"/>
  <c r="AW154" i="342"/>
  <c r="AR154" i="342"/>
  <c r="AQ154" i="342"/>
  <c r="AP154" i="342"/>
  <c r="AO154" i="342"/>
  <c r="AN154" i="342"/>
  <c r="AD154" i="342"/>
  <c r="AB154" i="342"/>
  <c r="W154" i="342"/>
  <c r="Q154" i="342"/>
  <c r="X154" i="342" s="1"/>
  <c r="AL154" i="342" s="1"/>
  <c r="K154" i="342"/>
  <c r="AR153" i="342"/>
  <c r="AQ153" i="342"/>
  <c r="AP153" i="342"/>
  <c r="AO153" i="342"/>
  <c r="AN153" i="342"/>
  <c r="AI153" i="342"/>
  <c r="AI155" i="342" s="1"/>
  <c r="AD153" i="342"/>
  <c r="AB153" i="342"/>
  <c r="X153" i="342"/>
  <c r="W153" i="342"/>
  <c r="Q153" i="342"/>
  <c r="K153" i="342"/>
  <c r="AN152" i="342"/>
  <c r="AD152" i="342"/>
  <c r="AB152" i="342"/>
  <c r="W152" i="342"/>
  <c r="Q152" i="342"/>
  <c r="K152" i="342"/>
  <c r="AR151" i="342"/>
  <c r="AN151" i="342"/>
  <c r="AD151" i="342"/>
  <c r="AB151" i="342"/>
  <c r="W151" i="342"/>
  <c r="Q151" i="342"/>
  <c r="X151" i="342" s="1"/>
  <c r="K151" i="342"/>
  <c r="AR150" i="342"/>
  <c r="AQ150" i="342"/>
  <c r="AP150" i="342"/>
  <c r="AO150" i="342"/>
  <c r="AN150" i="342"/>
  <c r="AM150" i="342"/>
  <c r="AD150" i="342"/>
  <c r="AB150" i="342"/>
  <c r="X150" i="342"/>
  <c r="AL150" i="342" s="1"/>
  <c r="W150" i="342"/>
  <c r="Q150" i="342"/>
  <c r="K150" i="342"/>
  <c r="AX149" i="342"/>
  <c r="AW149" i="342"/>
  <c r="AR149" i="342"/>
  <c r="AQ149" i="342"/>
  <c r="AP149" i="342"/>
  <c r="AO149" i="342"/>
  <c r="AN149" i="342"/>
  <c r="AG149" i="342"/>
  <c r="AD149" i="342"/>
  <c r="AB149" i="342"/>
  <c r="X149" i="342"/>
  <c r="AL149" i="342" s="1"/>
  <c r="W149" i="342"/>
  <c r="Q149" i="342"/>
  <c r="K149" i="342"/>
  <c r="B149" i="342"/>
  <c r="B150" i="342" s="1"/>
  <c r="B151" i="342" s="1"/>
  <c r="B152" i="342" s="1"/>
  <c r="B153" i="342" s="1"/>
  <c r="B154" i="342" s="1"/>
  <c r="AX148" i="342"/>
  <c r="AX155" i="342" s="1"/>
  <c r="AW148" i="342"/>
  <c r="AR148" i="342"/>
  <c r="AQ148" i="342"/>
  <c r="AO148" i="342"/>
  <c r="AN148" i="342"/>
  <c r="AD148" i="342"/>
  <c r="AB148" i="342"/>
  <c r="W148" i="342"/>
  <c r="Q148" i="342"/>
  <c r="K148" i="342"/>
  <c r="BN147" i="342"/>
  <c r="AY147" i="342"/>
  <c r="AV147" i="342"/>
  <c r="AU147" i="342"/>
  <c r="AT147" i="342"/>
  <c r="AS147" i="342"/>
  <c r="AK147" i="342"/>
  <c r="AJ147" i="342"/>
  <c r="AI147" i="342"/>
  <c r="AH147" i="342"/>
  <c r="AG147" i="342"/>
  <c r="AE147" i="342"/>
  <c r="AC147" i="342"/>
  <c r="AA147" i="342"/>
  <c r="W147" i="342"/>
  <c r="V147" i="342"/>
  <c r="U147" i="342"/>
  <c r="T147" i="342"/>
  <c r="S147" i="342"/>
  <c r="R147" i="342"/>
  <c r="P147" i="342"/>
  <c r="O147" i="342"/>
  <c r="N147" i="342"/>
  <c r="M147" i="342"/>
  <c r="L147" i="342"/>
  <c r="AW146" i="342"/>
  <c r="AN146" i="342"/>
  <c r="AD146" i="342"/>
  <c r="AB146" i="342"/>
  <c r="W146" i="342"/>
  <c r="Q146" i="342"/>
  <c r="X146" i="342" s="1"/>
  <c r="AL146" i="342" s="1"/>
  <c r="K146" i="342"/>
  <c r="AX145" i="342"/>
  <c r="AW145" i="342"/>
  <c r="AN145" i="342"/>
  <c r="AD145" i="342"/>
  <c r="AB145" i="342"/>
  <c r="W145" i="342"/>
  <c r="Q145" i="342"/>
  <c r="K145" i="342"/>
  <c r="AX144" i="342"/>
  <c r="AW144" i="342"/>
  <c r="AR144" i="342"/>
  <c r="AN144" i="342"/>
  <c r="AG144" i="342"/>
  <c r="AD144" i="342"/>
  <c r="AB144" i="342"/>
  <c r="W144" i="342"/>
  <c r="Q144" i="342"/>
  <c r="X144" i="342" s="1"/>
  <c r="K144" i="342"/>
  <c r="B144" i="342"/>
  <c r="B145" i="342" s="1"/>
  <c r="B146" i="342" s="1"/>
  <c r="AX143" i="342"/>
  <c r="AW143" i="342"/>
  <c r="AN143" i="342"/>
  <c r="AG143" i="342"/>
  <c r="AD143" i="342"/>
  <c r="AB143" i="342"/>
  <c r="AB147" i="342" s="1"/>
  <c r="W143" i="342"/>
  <c r="Q143" i="342"/>
  <c r="K143" i="342"/>
  <c r="BN142" i="342"/>
  <c r="AY142" i="342"/>
  <c r="AV142" i="342"/>
  <c r="AU142" i="342"/>
  <c r="AT142" i="342"/>
  <c r="AS142" i="342"/>
  <c r="AK142" i="342"/>
  <c r="AJ142" i="342"/>
  <c r="AI142" i="342"/>
  <c r="AH142" i="342"/>
  <c r="AG142" i="342"/>
  <c r="AE142" i="342"/>
  <c r="AC142" i="342"/>
  <c r="AB142" i="342"/>
  <c r="AA142" i="342"/>
  <c r="V142" i="342"/>
  <c r="U142" i="342"/>
  <c r="T142" i="342"/>
  <c r="S142" i="342"/>
  <c r="R142" i="342"/>
  <c r="P142" i="342"/>
  <c r="O142" i="342"/>
  <c r="N142" i="342"/>
  <c r="M142" i="342"/>
  <c r="L142" i="342"/>
  <c r="AW141" i="342"/>
  <c r="AR141" i="342"/>
  <c r="AQ141" i="342"/>
  <c r="AP141" i="342"/>
  <c r="AN141" i="342"/>
  <c r="AD141" i="342"/>
  <c r="AB141" i="342"/>
  <c r="W141" i="342"/>
  <c r="Q141" i="342"/>
  <c r="X141" i="342" s="1"/>
  <c r="AL141" i="342" s="1"/>
  <c r="K141" i="342"/>
  <c r="AX140" i="342"/>
  <c r="AX142" i="342" s="1"/>
  <c r="AW140" i="342"/>
  <c r="AN140" i="342"/>
  <c r="AG140" i="342"/>
  <c r="AD140" i="342"/>
  <c r="AB140" i="342"/>
  <c r="W140" i="342"/>
  <c r="Q140" i="342"/>
  <c r="X140" i="342" s="1"/>
  <c r="AL140" i="342" s="1"/>
  <c r="K140" i="342"/>
  <c r="AR139" i="342"/>
  <c r="AO139" i="342"/>
  <c r="AN139" i="342"/>
  <c r="AQ139" i="342" s="1"/>
  <c r="AD139" i="342"/>
  <c r="AB139" i="342"/>
  <c r="W139" i="342"/>
  <c r="Q139" i="342"/>
  <c r="K139" i="342"/>
  <c r="B139" i="342"/>
  <c r="B140" i="342" s="1"/>
  <c r="B141" i="342" s="1"/>
  <c r="AN138" i="342"/>
  <c r="AD138" i="342"/>
  <c r="AB138" i="342"/>
  <c r="W138" i="342"/>
  <c r="Q138" i="342"/>
  <c r="K138" i="342"/>
  <c r="BN137" i="342"/>
  <c r="AY137" i="342"/>
  <c r="AV137" i="342"/>
  <c r="AU137" i="342"/>
  <c r="AT137" i="342"/>
  <c r="AS137" i="342"/>
  <c r="AK137" i="342"/>
  <c r="AJ137" i="342"/>
  <c r="AI137" i="342"/>
  <c r="AE137" i="342"/>
  <c r="AD137" i="342"/>
  <c r="AC137" i="342"/>
  <c r="AA137" i="342"/>
  <c r="V137" i="342"/>
  <c r="U137" i="342"/>
  <c r="T137" i="342"/>
  <c r="S137" i="342"/>
  <c r="R137" i="342"/>
  <c r="Q137" i="342"/>
  <c r="P137" i="342"/>
  <c r="O137" i="342"/>
  <c r="N137" i="342"/>
  <c r="M137" i="342"/>
  <c r="L137" i="342"/>
  <c r="AW136" i="342"/>
  <c r="AN136" i="342"/>
  <c r="AR136" i="342" s="1"/>
  <c r="AM136" i="342"/>
  <c r="AD136" i="342"/>
  <c r="AB136" i="342"/>
  <c r="X136" i="342"/>
  <c r="AL136" i="342" s="1"/>
  <c r="W136" i="342"/>
  <c r="Q136" i="342"/>
  <c r="K136" i="342"/>
  <c r="AN135" i="342"/>
  <c r="AI135" i="342"/>
  <c r="AG135" i="342"/>
  <c r="AG137" i="342" s="1"/>
  <c r="AD135" i="342"/>
  <c r="AB135" i="342"/>
  <c r="W135" i="342"/>
  <c r="Q135" i="342"/>
  <c r="X135" i="342" s="1"/>
  <c r="AL135" i="342" s="1"/>
  <c r="K135" i="342"/>
  <c r="AX134" i="342"/>
  <c r="AX137" i="342" s="1"/>
  <c r="AW134" i="342"/>
  <c r="AR134" i="342"/>
  <c r="AQ134" i="342"/>
  <c r="AP134" i="342"/>
  <c r="AO134" i="342"/>
  <c r="AN134" i="342"/>
  <c r="AM134" i="342"/>
  <c r="AI134" i="342"/>
  <c r="AG134" i="342"/>
  <c r="AD134" i="342"/>
  <c r="AB134" i="342"/>
  <c r="AB137" i="342" s="1"/>
  <c r="W134" i="342"/>
  <c r="Q134" i="342"/>
  <c r="X134" i="342" s="1"/>
  <c r="AL134" i="342" s="1"/>
  <c r="K134" i="342"/>
  <c r="B134" i="342"/>
  <c r="B135" i="342" s="1"/>
  <c r="B136" i="342" s="1"/>
  <c r="BN133" i="342"/>
  <c r="AY133" i="342"/>
  <c r="AV133" i="342"/>
  <c r="AU133" i="342"/>
  <c r="AT133" i="342"/>
  <c r="AS133" i="342"/>
  <c r="AK133" i="342"/>
  <c r="AJ133" i="342"/>
  <c r="AE133" i="342"/>
  <c r="AC133" i="342"/>
  <c r="AA133" i="342"/>
  <c r="V133" i="342"/>
  <c r="U133" i="342"/>
  <c r="T133" i="342"/>
  <c r="S133" i="342"/>
  <c r="R133" i="342"/>
  <c r="P133" i="342"/>
  <c r="O133" i="342"/>
  <c r="N133" i="342"/>
  <c r="M133" i="342"/>
  <c r="L133" i="342"/>
  <c r="AX132" i="342"/>
  <c r="AW132" i="342"/>
  <c r="AN132" i="342"/>
  <c r="AD132" i="342"/>
  <c r="AB132" i="342"/>
  <c r="W132" i="342"/>
  <c r="Q132" i="342"/>
  <c r="X132" i="342" s="1"/>
  <c r="AL132" i="342" s="1"/>
  <c r="AM132" i="342" s="1"/>
  <c r="K132" i="342"/>
  <c r="AW131" i="342"/>
  <c r="AQ131" i="342"/>
  <c r="AO131" i="342"/>
  <c r="AN131" i="342"/>
  <c r="AR131" i="342" s="1"/>
  <c r="AI131" i="342"/>
  <c r="AG131" i="342"/>
  <c r="AD131" i="342"/>
  <c r="AB131" i="342"/>
  <c r="X131" i="342"/>
  <c r="W131" i="342"/>
  <c r="Q131" i="342"/>
  <c r="K131" i="342"/>
  <c r="BG130" i="342"/>
  <c r="AW130" i="342"/>
  <c r="AN130" i="342"/>
  <c r="AQ130" i="342" s="1"/>
  <c r="AW129" i="342"/>
  <c r="AQ129" i="342"/>
  <c r="AO129" i="342"/>
  <c r="AN129" i="342"/>
  <c r="AP129" i="342" s="1"/>
  <c r="AD129" i="342"/>
  <c r="AB129" i="342"/>
  <c r="W129" i="342"/>
  <c r="Q129" i="342"/>
  <c r="X129" i="342" s="1"/>
  <c r="AL129" i="342" s="1"/>
  <c r="K129" i="342"/>
  <c r="AW128" i="342"/>
  <c r="AN128" i="342"/>
  <c r="AI128" i="342"/>
  <c r="AD128" i="342"/>
  <c r="AB128" i="342"/>
  <c r="W128" i="342"/>
  <c r="Q128" i="342"/>
  <c r="K128" i="342"/>
  <c r="AX127" i="342"/>
  <c r="AW127" i="342"/>
  <c r="AR127" i="342"/>
  <c r="AQ127" i="342"/>
  <c r="AO127" i="342"/>
  <c r="AN127" i="342"/>
  <c r="AG127" i="342"/>
  <c r="AD127" i="342"/>
  <c r="AB127" i="342"/>
  <c r="W127" i="342"/>
  <c r="Q127" i="342"/>
  <c r="X127" i="342" s="1"/>
  <c r="AL127" i="342" s="1"/>
  <c r="K127" i="342"/>
  <c r="AW126" i="342"/>
  <c r="AP126" i="342"/>
  <c r="AN126" i="342"/>
  <c r="AL126" i="342"/>
  <c r="AI126" i="342"/>
  <c r="AG126" i="342"/>
  <c r="AD126" i="342"/>
  <c r="AB126" i="342"/>
  <c r="W126" i="342"/>
  <c r="X126" i="342" s="1"/>
  <c r="Y126" i="342" s="1"/>
  <c r="Q126" i="342"/>
  <c r="K126" i="342"/>
  <c r="B126" i="342"/>
  <c r="B127" i="342" s="1"/>
  <c r="B128" i="342" s="1"/>
  <c r="B129" i="342" s="1"/>
  <c r="B130" i="342" s="1"/>
  <c r="B131" i="342" s="1"/>
  <c r="B132" i="342" s="1"/>
  <c r="AX125" i="342"/>
  <c r="AW125" i="342"/>
  <c r="AO125" i="342"/>
  <c r="AN125" i="342"/>
  <c r="AI125" i="342"/>
  <c r="AG125" i="342"/>
  <c r="AD125" i="342"/>
  <c r="AB125" i="342"/>
  <c r="W125" i="342"/>
  <c r="W133" i="342" s="1"/>
  <c r="Q125" i="342"/>
  <c r="K125" i="342"/>
  <c r="BN124" i="342"/>
  <c r="AY124" i="342"/>
  <c r="AV124" i="342"/>
  <c r="AU124" i="342"/>
  <c r="AT124" i="342"/>
  <c r="AS124" i="342"/>
  <c r="AK124" i="342"/>
  <c r="AJ124" i="342"/>
  <c r="AG124" i="342"/>
  <c r="AE124" i="342"/>
  <c r="AD124" i="342"/>
  <c r="AC124" i="342"/>
  <c r="AA124" i="342"/>
  <c r="V124" i="342"/>
  <c r="U124" i="342"/>
  <c r="T124" i="342"/>
  <c r="S124" i="342"/>
  <c r="R124" i="342"/>
  <c r="P124" i="342"/>
  <c r="O124" i="342"/>
  <c r="N124" i="342"/>
  <c r="M124" i="342"/>
  <c r="L124" i="342"/>
  <c r="K124" i="342"/>
  <c r="AX123" i="342"/>
  <c r="AW123" i="342"/>
  <c r="AR123" i="342"/>
  <c r="AQ123" i="342"/>
  <c r="AP123" i="342"/>
  <c r="AO123" i="342"/>
  <c r="AN123" i="342"/>
  <c r="AL123" i="342"/>
  <c r="AD123" i="342"/>
  <c r="AB123" i="342"/>
  <c r="Y123" i="342"/>
  <c r="W123" i="342"/>
  <c r="Q123" i="342"/>
  <c r="X123" i="342" s="1"/>
  <c r="K123" i="342"/>
  <c r="AQ122" i="342"/>
  <c r="AO122" i="342"/>
  <c r="AN122" i="342"/>
  <c r="AG122" i="342"/>
  <c r="AD122" i="342"/>
  <c r="AB122" i="342"/>
  <c r="W122" i="342"/>
  <c r="Q122" i="342"/>
  <c r="X122" i="342" s="1"/>
  <c r="K122" i="342"/>
  <c r="BG121" i="342"/>
  <c r="AX121" i="342"/>
  <c r="AW121" i="342"/>
  <c r="AN121" i="342"/>
  <c r="AL121" i="342"/>
  <c r="AM121" i="342" s="1"/>
  <c r="AI121" i="342"/>
  <c r="AD121" i="342"/>
  <c r="AB121" i="342"/>
  <c r="W121" i="342"/>
  <c r="X121" i="342" s="1"/>
  <c r="Y121" i="342" s="1"/>
  <c r="Z121" i="342" s="1"/>
  <c r="Q121" i="342"/>
  <c r="K121" i="342"/>
  <c r="AR120" i="342"/>
  <c r="AQ120" i="342"/>
  <c r="AP120" i="342"/>
  <c r="AO120" i="342"/>
  <c r="AN120" i="342"/>
  <c r="AG120" i="342"/>
  <c r="AD120" i="342"/>
  <c r="AB120" i="342"/>
  <c r="W120" i="342"/>
  <c r="Q120" i="342"/>
  <c r="X120" i="342" s="1"/>
  <c r="AL120" i="342" s="1"/>
  <c r="K120" i="342"/>
  <c r="AR119" i="342"/>
  <c r="AQ119" i="342"/>
  <c r="AP119" i="342"/>
  <c r="AN119" i="342"/>
  <c r="AO119" i="342" s="1"/>
  <c r="AD119" i="342"/>
  <c r="AB119" i="342"/>
  <c r="W119" i="342"/>
  <c r="Q119" i="342"/>
  <c r="X119" i="342" s="1"/>
  <c r="AL119" i="342" s="1"/>
  <c r="AM119" i="342" s="1"/>
  <c r="K119" i="342"/>
  <c r="AP118" i="342"/>
  <c r="AN118" i="342"/>
  <c r="AI118" i="342"/>
  <c r="AG118" i="342"/>
  <c r="AD118" i="342"/>
  <c r="AB118" i="342"/>
  <c r="W118" i="342"/>
  <c r="Q118" i="342"/>
  <c r="X118" i="342" s="1"/>
  <c r="AL118" i="342" s="1"/>
  <c r="AM118" i="342" s="1"/>
  <c r="K118" i="342"/>
  <c r="B118" i="342"/>
  <c r="B119" i="342" s="1"/>
  <c r="B120" i="342" s="1"/>
  <c r="B121" i="342" s="1"/>
  <c r="B122" i="342" s="1"/>
  <c r="B123" i="342" s="1"/>
  <c r="AQ117" i="342"/>
  <c r="AO117" i="342"/>
  <c r="AN117" i="342"/>
  <c r="AI117" i="342"/>
  <c r="AG117" i="342"/>
  <c r="AD117" i="342"/>
  <c r="AB117" i="342"/>
  <c r="W117" i="342"/>
  <c r="Q117" i="342"/>
  <c r="K117" i="342"/>
  <c r="B117" i="342"/>
  <c r="BN116" i="342"/>
  <c r="AY116" i="342"/>
  <c r="AV116" i="342"/>
  <c r="AU116" i="342"/>
  <c r="AT116" i="342"/>
  <c r="AS116" i="342"/>
  <c r="AK116" i="342"/>
  <c r="AJ116" i="342"/>
  <c r="AE116" i="342"/>
  <c r="AC116" i="342"/>
  <c r="AA116" i="342"/>
  <c r="V116" i="342"/>
  <c r="U116" i="342"/>
  <c r="T116" i="342"/>
  <c r="S116" i="342"/>
  <c r="R116" i="342"/>
  <c r="Q116" i="342"/>
  <c r="P116" i="342"/>
  <c r="O116" i="342"/>
  <c r="N116" i="342"/>
  <c r="M116" i="342"/>
  <c r="L116" i="342"/>
  <c r="AX115" i="342"/>
  <c r="AW115" i="342"/>
  <c r="AN115" i="342"/>
  <c r="AI115" i="342"/>
  <c r="AG115" i="342"/>
  <c r="AD115" i="342"/>
  <c r="AB115" i="342"/>
  <c r="W115" i="342"/>
  <c r="Q115" i="342"/>
  <c r="K115" i="342"/>
  <c r="AQ114" i="342"/>
  <c r="AN114" i="342"/>
  <c r="AI114" i="342"/>
  <c r="AG114" i="342"/>
  <c r="AD114" i="342"/>
  <c r="AB114" i="342"/>
  <c r="X114" i="342"/>
  <c r="W114" i="342"/>
  <c r="Q114" i="342"/>
  <c r="K114" i="342"/>
  <c r="AX113" i="342"/>
  <c r="AW113" i="342"/>
  <c r="AN113" i="342"/>
  <c r="AI113" i="342"/>
  <c r="AD113" i="342"/>
  <c r="AB113" i="342"/>
  <c r="W113" i="342"/>
  <c r="Q113" i="342"/>
  <c r="X113" i="342" s="1"/>
  <c r="K113" i="342"/>
  <c r="AR112" i="342"/>
  <c r="AQ112" i="342"/>
  <c r="AO112" i="342"/>
  <c r="AN112" i="342"/>
  <c r="AI112" i="342"/>
  <c r="AG112" i="342"/>
  <c r="AD112" i="342"/>
  <c r="AB112" i="342"/>
  <c r="W112" i="342"/>
  <c r="Q112" i="342"/>
  <c r="K112" i="342"/>
  <c r="AP111" i="342"/>
  <c r="AN111" i="342"/>
  <c r="AD111" i="342"/>
  <c r="AB111" i="342"/>
  <c r="W111" i="342"/>
  <c r="Q111" i="342"/>
  <c r="X111" i="342" s="1"/>
  <c r="K111" i="342"/>
  <c r="B111" i="342"/>
  <c r="B112" i="342" s="1"/>
  <c r="B113" i="342" s="1"/>
  <c r="B114" i="342" s="1"/>
  <c r="B115" i="342" s="1"/>
  <c r="AN110" i="342"/>
  <c r="AI110" i="342"/>
  <c r="AI116" i="342" s="1"/>
  <c r="AD110" i="342"/>
  <c r="AB110" i="342"/>
  <c r="Y110" i="342"/>
  <c r="X110" i="342"/>
  <c r="AL110" i="342" s="1"/>
  <c r="W110" i="342"/>
  <c r="Q110" i="342"/>
  <c r="K110" i="342"/>
  <c r="AX109" i="342"/>
  <c r="AW109" i="342"/>
  <c r="AQ109" i="342"/>
  <c r="AN109" i="342"/>
  <c r="AI109" i="342"/>
  <c r="AD109" i="342"/>
  <c r="AB109" i="342"/>
  <c r="W109" i="342"/>
  <c r="Q109" i="342"/>
  <c r="X109" i="342" s="1"/>
  <c r="AL109" i="342" s="1"/>
  <c r="K109" i="342"/>
  <c r="B109" i="342"/>
  <c r="B110" i="342" s="1"/>
  <c r="AR108" i="342"/>
  <c r="AP108" i="342"/>
  <c r="AO108" i="342"/>
  <c r="AN108" i="342"/>
  <c r="AG108" i="342"/>
  <c r="AG116" i="342" s="1"/>
  <c r="AD108" i="342"/>
  <c r="AB108" i="342"/>
  <c r="W108" i="342"/>
  <c r="Q108" i="342"/>
  <c r="K108" i="342"/>
  <c r="B108" i="342"/>
  <c r="AO107" i="342"/>
  <c r="AN107" i="342"/>
  <c r="AR107" i="342" s="1"/>
  <c r="AL107" i="342"/>
  <c r="AM107" i="342" s="1"/>
  <c r="AD107" i="342"/>
  <c r="AD116" i="342" s="1"/>
  <c r="AB107" i="342"/>
  <c r="X107" i="342"/>
  <c r="Y107" i="342" s="1"/>
  <c r="W107" i="342"/>
  <c r="Q107" i="342"/>
  <c r="K107" i="342"/>
  <c r="B107" i="342"/>
  <c r="AN106" i="342"/>
  <c r="AD106" i="342"/>
  <c r="AB106" i="342"/>
  <c r="W106" i="342"/>
  <c r="Q106" i="342"/>
  <c r="K106" i="342"/>
  <c r="BN105" i="342"/>
  <c r="AW105" i="342"/>
  <c r="AW182" i="342" s="1"/>
  <c r="AH105" i="342"/>
  <c r="AH182" i="342" s="1"/>
  <c r="AF105" i="342"/>
  <c r="AF182" i="342" s="1"/>
  <c r="AA105" i="342"/>
  <c r="AA182" i="342" s="1"/>
  <c r="O105" i="342"/>
  <c r="N105" i="342"/>
  <c r="M105" i="342"/>
  <c r="M182" i="342" s="1"/>
  <c r="BN104" i="342"/>
  <c r="AY104" i="342"/>
  <c r="AV104" i="342"/>
  <c r="AU104" i="342"/>
  <c r="AT104" i="342"/>
  <c r="AS104" i="342"/>
  <c r="AI104" i="342"/>
  <c r="AE104" i="342"/>
  <c r="AE105" i="342" s="1"/>
  <c r="AE182" i="342" s="1"/>
  <c r="AC104" i="342"/>
  <c r="AA104" i="342"/>
  <c r="V104" i="342"/>
  <c r="U104" i="342"/>
  <c r="T104" i="342"/>
  <c r="S104" i="342"/>
  <c r="R104" i="342"/>
  <c r="P104" i="342"/>
  <c r="O104" i="342"/>
  <c r="N104" i="342"/>
  <c r="M104" i="342"/>
  <c r="L104" i="342"/>
  <c r="AW103" i="342"/>
  <c r="AR103" i="342"/>
  <c r="AP103" i="342"/>
  <c r="AN103" i="342"/>
  <c r="AQ103" i="342" s="1"/>
  <c r="AL103" i="342"/>
  <c r="AJ103" i="342"/>
  <c r="AK103" i="342" s="1"/>
  <c r="AD103" i="342"/>
  <c r="AB103" i="342"/>
  <c r="X103" i="342"/>
  <c r="W103" i="342"/>
  <c r="Q103" i="342"/>
  <c r="K103" i="342"/>
  <c r="AP102" i="342"/>
  <c r="AO102" i="342"/>
  <c r="AN102" i="342"/>
  <c r="AQ102" i="342" s="1"/>
  <c r="AD102" i="342"/>
  <c r="AB102" i="342"/>
  <c r="W102" i="342"/>
  <c r="Q102" i="342"/>
  <c r="X102" i="342" s="1"/>
  <c r="K102" i="342"/>
  <c r="AX101" i="342"/>
  <c r="AW101" i="342"/>
  <c r="AN101" i="342"/>
  <c r="AL101" i="342"/>
  <c r="AM101" i="342" s="1"/>
  <c r="AG101" i="342"/>
  <c r="AD101" i="342"/>
  <c r="AB101" i="342"/>
  <c r="Y101" i="342"/>
  <c r="W101" i="342"/>
  <c r="Q101" i="342"/>
  <c r="X101" i="342" s="1"/>
  <c r="AJ101" i="342" s="1"/>
  <c r="AK101" i="342" s="1"/>
  <c r="K101" i="342"/>
  <c r="AX100" i="342"/>
  <c r="AW100" i="342"/>
  <c r="AQ100" i="342"/>
  <c r="AP100" i="342"/>
  <c r="AO100" i="342"/>
  <c r="AN100" i="342"/>
  <c r="AR100" i="342" s="1"/>
  <c r="AD100" i="342"/>
  <c r="AB100" i="342"/>
  <c r="Y100" i="342"/>
  <c r="W100" i="342"/>
  <c r="X100" i="342" s="1"/>
  <c r="Q100" i="342"/>
  <c r="K100" i="342"/>
  <c r="AR99" i="342"/>
  <c r="AQ99" i="342"/>
  <c r="AP99" i="342"/>
  <c r="AO99" i="342"/>
  <c r="AN99" i="342"/>
  <c r="AD99" i="342"/>
  <c r="AB99" i="342"/>
  <c r="Y99" i="342"/>
  <c r="BG99" i="342" s="1"/>
  <c r="X99" i="342"/>
  <c r="W99" i="342"/>
  <c r="Q99" i="342"/>
  <c r="K99" i="342"/>
  <c r="AX98" i="342"/>
  <c r="AW98" i="342"/>
  <c r="AR98" i="342"/>
  <c r="AQ98" i="342"/>
  <c r="AN98" i="342"/>
  <c r="AO98" i="342" s="1"/>
  <c r="AD98" i="342"/>
  <c r="AB98" i="342"/>
  <c r="W98" i="342"/>
  <c r="Q98" i="342"/>
  <c r="K98" i="342"/>
  <c r="B98" i="342"/>
  <c r="B99" i="342" s="1"/>
  <c r="B100" i="342" s="1"/>
  <c r="B101" i="342" s="1"/>
  <c r="B102" i="342" s="1"/>
  <c r="B103" i="342" s="1"/>
  <c r="AN97" i="342"/>
  <c r="AD97" i="342"/>
  <c r="AB97" i="342"/>
  <c r="W97" i="342"/>
  <c r="Q97" i="342"/>
  <c r="X97" i="342" s="1"/>
  <c r="K97" i="342"/>
  <c r="AX96" i="342"/>
  <c r="AW96" i="342"/>
  <c r="AP96" i="342"/>
  <c r="AN96" i="342"/>
  <c r="AO96" i="342" s="1"/>
  <c r="AJ96" i="342"/>
  <c r="AK96" i="342" s="1"/>
  <c r="AI96" i="342"/>
  <c r="AD96" i="342"/>
  <c r="AB96" i="342"/>
  <c r="W96" i="342"/>
  <c r="Q96" i="342"/>
  <c r="X96" i="342" s="1"/>
  <c r="AL96" i="342" s="1"/>
  <c r="K96" i="342"/>
  <c r="AX95" i="342"/>
  <c r="AW95" i="342"/>
  <c r="AN95" i="342"/>
  <c r="AM95" i="342"/>
  <c r="AK95" i="342"/>
  <c r="AJ95" i="342"/>
  <c r="AG95" i="342"/>
  <c r="AD95" i="342"/>
  <c r="AB95" i="342"/>
  <c r="Z95" i="342"/>
  <c r="W95" i="342"/>
  <c r="Q95" i="342"/>
  <c r="X95" i="342" s="1"/>
  <c r="AL95" i="342" s="1"/>
  <c r="K95" i="342"/>
  <c r="Y95" i="342" s="1"/>
  <c r="AN94" i="342"/>
  <c r="AD94" i="342"/>
  <c r="AB94" i="342"/>
  <c r="W94" i="342"/>
  <c r="Q94" i="342"/>
  <c r="K94" i="342"/>
  <c r="B94" i="342"/>
  <c r="B95" i="342" s="1"/>
  <c r="B96" i="342" s="1"/>
  <c r="B97" i="342" s="1"/>
  <c r="AX93" i="342"/>
  <c r="AW93" i="342"/>
  <c r="AR93" i="342"/>
  <c r="AQ93" i="342"/>
  <c r="AO93" i="342"/>
  <c r="AN93" i="342"/>
  <c r="AG93" i="342"/>
  <c r="AD93" i="342"/>
  <c r="AB93" i="342"/>
  <c r="W93" i="342"/>
  <c r="W104" i="342" s="1"/>
  <c r="Q93" i="342"/>
  <c r="K93" i="342"/>
  <c r="AN92" i="342"/>
  <c r="AL92" i="342"/>
  <c r="AM92" i="342" s="1"/>
  <c r="AK92" i="342"/>
  <c r="AD92" i="342"/>
  <c r="AB92" i="342"/>
  <c r="Y92" i="342"/>
  <c r="W92" i="342"/>
  <c r="Q92" i="342"/>
  <c r="X92" i="342" s="1"/>
  <c r="AJ92" i="342" s="1"/>
  <c r="K92" i="342"/>
  <c r="AQ91" i="342"/>
  <c r="AP91" i="342"/>
  <c r="AO91" i="342"/>
  <c r="AN91" i="342"/>
  <c r="AJ91" i="342"/>
  <c r="AK91" i="342" s="1"/>
  <c r="AD91" i="342"/>
  <c r="AB91" i="342"/>
  <c r="W91" i="342"/>
  <c r="X91" i="342" s="1"/>
  <c r="Q91" i="342"/>
  <c r="K91" i="342"/>
  <c r="AX90" i="342"/>
  <c r="AW90" i="342"/>
  <c r="AR90" i="342"/>
  <c r="AQ90" i="342"/>
  <c r="AP90" i="342"/>
  <c r="AO90" i="342"/>
  <c r="AN90" i="342"/>
  <c r="AD90" i="342"/>
  <c r="AB90" i="342"/>
  <c r="Z90" i="342"/>
  <c r="Y90" i="342"/>
  <c r="X90" i="342"/>
  <c r="W90" i="342"/>
  <c r="Q90" i="342"/>
  <c r="K90" i="342"/>
  <c r="AX89" i="342"/>
  <c r="AW89" i="342"/>
  <c r="AO89" i="342"/>
  <c r="AN89" i="342"/>
  <c r="AQ89" i="342" s="1"/>
  <c r="AL89" i="342"/>
  <c r="AM89" i="342" s="1"/>
  <c r="AJ89" i="342"/>
  <c r="AK89" i="342" s="1"/>
  <c r="AD89" i="342"/>
  <c r="AB89" i="342"/>
  <c r="W89" i="342"/>
  <c r="Q89" i="342"/>
  <c r="X89" i="342" s="1"/>
  <c r="Y89" i="342" s="1"/>
  <c r="K89" i="342"/>
  <c r="AX88" i="342"/>
  <c r="AW88" i="342"/>
  <c r="AN88" i="342"/>
  <c r="AL88" i="342"/>
  <c r="AJ88" i="342"/>
  <c r="AK88" i="342" s="1"/>
  <c r="AD88" i="342"/>
  <c r="AB88" i="342"/>
  <c r="W88" i="342"/>
  <c r="X88" i="342" s="1"/>
  <c r="Q88" i="342"/>
  <c r="K88" i="342"/>
  <c r="AN87" i="342"/>
  <c r="AN104" i="342" s="1"/>
  <c r="AM87" i="342"/>
  <c r="AL87" i="342"/>
  <c r="AK87" i="342"/>
  <c r="AD87" i="342"/>
  <c r="AB87" i="342"/>
  <c r="W87" i="342"/>
  <c r="Q87" i="342"/>
  <c r="X87" i="342" s="1"/>
  <c r="AJ87" i="342" s="1"/>
  <c r="K87" i="342"/>
  <c r="Y87" i="342" s="1"/>
  <c r="AX86" i="342"/>
  <c r="AW86" i="342"/>
  <c r="AR86" i="342"/>
  <c r="AN86" i="342"/>
  <c r="AP86" i="342" s="1"/>
  <c r="AG86" i="342"/>
  <c r="AD86" i="342"/>
  <c r="AB86" i="342"/>
  <c r="W86" i="342"/>
  <c r="Q86" i="342"/>
  <c r="K86" i="342"/>
  <c r="B86" i="342"/>
  <c r="B87" i="342" s="1"/>
  <c r="B88" i="342" s="1"/>
  <c r="B89" i="342" s="1"/>
  <c r="B90" i="342" s="1"/>
  <c r="B91" i="342" s="1"/>
  <c r="B92" i="342" s="1"/>
  <c r="B93" i="342" s="1"/>
  <c r="AP85" i="342"/>
  <c r="AO85" i="342"/>
  <c r="AN85" i="342"/>
  <c r="AD85" i="342"/>
  <c r="AB85" i="342"/>
  <c r="W85" i="342"/>
  <c r="X85" i="342" s="1"/>
  <c r="Q85" i="342"/>
  <c r="K85" i="342"/>
  <c r="B85" i="342"/>
  <c r="AX84" i="342"/>
  <c r="AX104" i="342" s="1"/>
  <c r="AW84" i="342"/>
  <c r="AO84" i="342"/>
  <c r="AN84" i="342"/>
  <c r="AI84" i="342"/>
  <c r="AG84" i="342"/>
  <c r="AD84" i="342"/>
  <c r="AB84" i="342"/>
  <c r="W84" i="342"/>
  <c r="X84" i="342" s="1"/>
  <c r="Q84" i="342"/>
  <c r="K84" i="342"/>
  <c r="BN83" i="342"/>
  <c r="AY83" i="342"/>
  <c r="AV83" i="342"/>
  <c r="AU83" i="342"/>
  <c r="AS83" i="342"/>
  <c r="AI83" i="342"/>
  <c r="AE83" i="342"/>
  <c r="AC83" i="342"/>
  <c r="AA83" i="342"/>
  <c r="V83" i="342"/>
  <c r="V105" i="342" s="1"/>
  <c r="V182" i="342" s="1"/>
  <c r="U83" i="342"/>
  <c r="T83" i="342"/>
  <c r="S83" i="342"/>
  <c r="S105" i="342" s="1"/>
  <c r="S182" i="342" s="1"/>
  <c r="R83" i="342"/>
  <c r="R105" i="342" s="1"/>
  <c r="R182" i="342" s="1"/>
  <c r="P83" i="342"/>
  <c r="O83" i="342"/>
  <c r="N83" i="342"/>
  <c r="M83" i="342"/>
  <c r="L83" i="342"/>
  <c r="AW82" i="342"/>
  <c r="AT82" i="342"/>
  <c r="AQ82" i="342"/>
  <c r="AP82" i="342"/>
  <c r="AN82" i="342"/>
  <c r="AR82" i="342" s="1"/>
  <c r="AD82" i="342"/>
  <c r="AB82" i="342"/>
  <c r="X82" i="342"/>
  <c r="W82" i="342"/>
  <c r="Q82" i="342"/>
  <c r="K82" i="342"/>
  <c r="AW81" i="342"/>
  <c r="AT81" i="342"/>
  <c r="AR81" i="342"/>
  <c r="AQ81" i="342"/>
  <c r="AP81" i="342"/>
  <c r="AN81" i="342"/>
  <c r="AD81" i="342"/>
  <c r="AB81" i="342"/>
  <c r="W81" i="342"/>
  <c r="Q81" i="342"/>
  <c r="K81" i="342"/>
  <c r="AW80" i="342"/>
  <c r="AT80" i="342"/>
  <c r="AR80" i="342"/>
  <c r="AQ80" i="342"/>
  <c r="AN80" i="342"/>
  <c r="AP80" i="342" s="1"/>
  <c r="AL80" i="342"/>
  <c r="AD80" i="342"/>
  <c r="AB80" i="342"/>
  <c r="W80" i="342"/>
  <c r="Q80" i="342"/>
  <c r="X80" i="342" s="1"/>
  <c r="AJ80" i="342" s="1"/>
  <c r="AK80" i="342" s="1"/>
  <c r="K80" i="342"/>
  <c r="B80" i="342"/>
  <c r="B81" i="342" s="1"/>
  <c r="B82" i="342" s="1"/>
  <c r="AW79" i="342"/>
  <c r="AT79" i="342"/>
  <c r="AT83" i="342" s="1"/>
  <c r="AR79" i="342"/>
  <c r="AQ79" i="342"/>
  <c r="AP79" i="342"/>
  <c r="AO79" i="342"/>
  <c r="AN79" i="342"/>
  <c r="AL79" i="342"/>
  <c r="AM79" i="342" s="1"/>
  <c r="AD79" i="342"/>
  <c r="AB79" i="342"/>
  <c r="X79" i="342"/>
  <c r="W79" i="342"/>
  <c r="Q79" i="342"/>
  <c r="K79" i="342"/>
  <c r="AX78" i="342"/>
  <c r="AW78" i="342"/>
  <c r="AR78" i="342"/>
  <c r="AQ78" i="342"/>
  <c r="AO78" i="342"/>
  <c r="AN78" i="342"/>
  <c r="AD78" i="342"/>
  <c r="AB78" i="342"/>
  <c r="W78" i="342"/>
  <c r="Q78" i="342"/>
  <c r="X78" i="342" s="1"/>
  <c r="K78" i="342"/>
  <c r="B78" i="342"/>
  <c r="B79" i="342" s="1"/>
  <c r="AX77" i="342"/>
  <c r="AW77" i="342"/>
  <c r="AR77" i="342"/>
  <c r="AQ77" i="342"/>
  <c r="AO77" i="342"/>
  <c r="AN77" i="342"/>
  <c r="AJ77" i="342"/>
  <c r="AK77" i="342" s="1"/>
  <c r="AD77" i="342"/>
  <c r="AB77" i="342"/>
  <c r="X77" i="342"/>
  <c r="AL77" i="342" s="1"/>
  <c r="W77" i="342"/>
  <c r="Q77" i="342"/>
  <c r="K77" i="342"/>
  <c r="AX76" i="342"/>
  <c r="AW76" i="342"/>
  <c r="AR76" i="342"/>
  <c r="AO76" i="342"/>
  <c r="AN76" i="342"/>
  <c r="AD76" i="342"/>
  <c r="AB76" i="342"/>
  <c r="X76" i="342"/>
  <c r="W76" i="342"/>
  <c r="Q76" i="342"/>
  <c r="K76" i="342"/>
  <c r="AW75" i="342"/>
  <c r="AN75" i="342"/>
  <c r="AD75" i="342"/>
  <c r="AB75" i="342"/>
  <c r="W75" i="342"/>
  <c r="Q75" i="342"/>
  <c r="K75" i="342"/>
  <c r="AW74" i="342"/>
  <c r="AR74" i="342"/>
  <c r="AQ74" i="342"/>
  <c r="AP74" i="342"/>
  <c r="AO74" i="342"/>
  <c r="AN74" i="342"/>
  <c r="AD74" i="342"/>
  <c r="AB74" i="342"/>
  <c r="Y74" i="342"/>
  <c r="W74" i="342"/>
  <c r="Q74" i="342"/>
  <c r="X74" i="342" s="1"/>
  <c r="K74" i="342"/>
  <c r="B74" i="342"/>
  <c r="B75" i="342" s="1"/>
  <c r="B76" i="342" s="1"/>
  <c r="B77" i="342" s="1"/>
  <c r="AX73" i="342"/>
  <c r="AW73" i="342"/>
  <c r="AN73" i="342"/>
  <c r="AG73" i="342"/>
  <c r="AG83" i="342" s="1"/>
  <c r="AD73" i="342"/>
  <c r="AB73" i="342"/>
  <c r="W73" i="342"/>
  <c r="Q73" i="342"/>
  <c r="X73" i="342" s="1"/>
  <c r="K73" i="342"/>
  <c r="B73" i="342"/>
  <c r="AW72" i="342"/>
  <c r="AR72" i="342"/>
  <c r="AQ72" i="342"/>
  <c r="AP72" i="342"/>
  <c r="AN72" i="342"/>
  <c r="AG72" i="342"/>
  <c r="AD72" i="342"/>
  <c r="AB72" i="342"/>
  <c r="W72" i="342"/>
  <c r="Q72" i="342"/>
  <c r="X72" i="342" s="1"/>
  <c r="K72" i="342"/>
  <c r="AX71" i="342"/>
  <c r="AW71" i="342"/>
  <c r="AN71" i="342"/>
  <c r="AI71" i="342"/>
  <c r="AG71" i="342"/>
  <c r="AD71" i="342"/>
  <c r="AB71" i="342"/>
  <c r="X71" i="342"/>
  <c r="W71" i="342"/>
  <c r="Q71" i="342"/>
  <c r="K71" i="342"/>
  <c r="AX70" i="342"/>
  <c r="AW70" i="342"/>
  <c r="AP70" i="342"/>
  <c r="AN70" i="342"/>
  <c r="AD70" i="342"/>
  <c r="AB70" i="342"/>
  <c r="W70" i="342"/>
  <c r="Q70" i="342"/>
  <c r="X70" i="342" s="1"/>
  <c r="K70" i="342"/>
  <c r="B70" i="342"/>
  <c r="B71" i="342" s="1"/>
  <c r="B72" i="342" s="1"/>
  <c r="AX69" i="342"/>
  <c r="AW69" i="342"/>
  <c r="AN69" i="342"/>
  <c r="AG69" i="342"/>
  <c r="AD69" i="342"/>
  <c r="AB69" i="342"/>
  <c r="X69" i="342"/>
  <c r="W69" i="342"/>
  <c r="Q69" i="342"/>
  <c r="K69" i="342"/>
  <c r="B69" i="342"/>
  <c r="AX68" i="342"/>
  <c r="AW68" i="342"/>
  <c r="AR68" i="342"/>
  <c r="AQ68" i="342"/>
  <c r="AP68" i="342"/>
  <c r="AN68" i="342"/>
  <c r="AL68" i="342"/>
  <c r="AD68" i="342"/>
  <c r="AB68" i="342"/>
  <c r="X68" i="342"/>
  <c r="AJ68" i="342" s="1"/>
  <c r="AK68" i="342" s="1"/>
  <c r="W68" i="342"/>
  <c r="Q68" i="342"/>
  <c r="K68" i="342"/>
  <c r="B68" i="342"/>
  <c r="AX67" i="342"/>
  <c r="AX83" i="342" s="1"/>
  <c r="AW67" i="342"/>
  <c r="AR67" i="342"/>
  <c r="AN67" i="342"/>
  <c r="AG67" i="342"/>
  <c r="AD67" i="342"/>
  <c r="AB67" i="342"/>
  <c r="W67" i="342"/>
  <c r="W83" i="342" s="1"/>
  <c r="Q67" i="342"/>
  <c r="X67" i="342" s="1"/>
  <c r="K67" i="342"/>
  <c r="B67" i="342"/>
  <c r="AW66" i="342"/>
  <c r="AN66" i="342"/>
  <c r="AL66" i="342"/>
  <c r="AK66" i="342"/>
  <c r="AJ66" i="342"/>
  <c r="AD66" i="342"/>
  <c r="AB66" i="342"/>
  <c r="Y66" i="342"/>
  <c r="X66" i="342"/>
  <c r="W66" i="342"/>
  <c r="Q66" i="342"/>
  <c r="K66" i="342"/>
  <c r="BN65" i="342"/>
  <c r="AY65" i="342"/>
  <c r="AV65" i="342"/>
  <c r="AV105" i="342" s="1"/>
  <c r="AU65" i="342"/>
  <c r="AT65" i="342"/>
  <c r="AS65" i="342"/>
  <c r="AE65" i="342"/>
  <c r="AC65" i="342"/>
  <c r="AA65" i="342"/>
  <c r="V65" i="342"/>
  <c r="U65" i="342"/>
  <c r="T65" i="342"/>
  <c r="S65" i="342"/>
  <c r="R65" i="342"/>
  <c r="P65" i="342"/>
  <c r="O65" i="342"/>
  <c r="N65" i="342"/>
  <c r="M65" i="342"/>
  <c r="L65" i="342"/>
  <c r="AW64" i="342"/>
  <c r="AR64" i="342"/>
  <c r="AQ64" i="342"/>
  <c r="AN64" i="342"/>
  <c r="AP64" i="342" s="1"/>
  <c r="AD64" i="342"/>
  <c r="AB64" i="342"/>
  <c r="X64" i="342"/>
  <c r="W64" i="342"/>
  <c r="Q64" i="342"/>
  <c r="K64" i="342"/>
  <c r="AX63" i="342"/>
  <c r="AW63" i="342"/>
  <c r="AN63" i="342"/>
  <c r="AD63" i="342"/>
  <c r="AB63" i="342"/>
  <c r="W63" i="342"/>
  <c r="X63" i="342" s="1"/>
  <c r="Q63" i="342"/>
  <c r="K63" i="342"/>
  <c r="AX62" i="342"/>
  <c r="AW62" i="342"/>
  <c r="AR62" i="342"/>
  <c r="AQ62" i="342"/>
  <c r="AP62" i="342"/>
  <c r="AO62" i="342"/>
  <c r="AN62" i="342"/>
  <c r="AD62" i="342"/>
  <c r="AB62" i="342"/>
  <c r="W62" i="342"/>
  <c r="Q62" i="342"/>
  <c r="X62" i="342" s="1"/>
  <c r="K62" i="342"/>
  <c r="AW61" i="342"/>
  <c r="AR61" i="342"/>
  <c r="AQ61" i="342"/>
  <c r="AN61" i="342"/>
  <c r="AP61" i="342" s="1"/>
  <c r="AG61" i="342"/>
  <c r="AD61" i="342"/>
  <c r="AB61" i="342"/>
  <c r="W61" i="342"/>
  <c r="Q61" i="342"/>
  <c r="K61" i="342"/>
  <c r="AW60" i="342"/>
  <c r="AR60" i="342"/>
  <c r="AO60" i="342"/>
  <c r="AN60" i="342"/>
  <c r="AQ60" i="342" s="1"/>
  <c r="AI60" i="342"/>
  <c r="AI65" i="342" s="1"/>
  <c r="AG60" i="342"/>
  <c r="AD60" i="342"/>
  <c r="AB60" i="342"/>
  <c r="W60" i="342"/>
  <c r="Q60" i="342"/>
  <c r="K60" i="342"/>
  <c r="AW59" i="342"/>
  <c r="AP59" i="342"/>
  <c r="AN59" i="342"/>
  <c r="AD59" i="342"/>
  <c r="AB59" i="342"/>
  <c r="W59" i="342"/>
  <c r="Q59" i="342"/>
  <c r="K59" i="342"/>
  <c r="AX58" i="342"/>
  <c r="AW58" i="342"/>
  <c r="AO58" i="342"/>
  <c r="AN58" i="342"/>
  <c r="AG58" i="342"/>
  <c r="AD58" i="342"/>
  <c r="AB58" i="342"/>
  <c r="W58" i="342"/>
  <c r="X58" i="342" s="1"/>
  <c r="Q58" i="342"/>
  <c r="K58" i="342"/>
  <c r="AX57" i="342"/>
  <c r="AW57" i="342"/>
  <c r="AR57" i="342"/>
  <c r="AQ57" i="342"/>
  <c r="AO57" i="342"/>
  <c r="AN57" i="342"/>
  <c r="AG57" i="342"/>
  <c r="AD57" i="342"/>
  <c r="AB57" i="342"/>
  <c r="W57" i="342"/>
  <c r="Q57" i="342"/>
  <c r="X57" i="342" s="1"/>
  <c r="K57" i="342"/>
  <c r="AX56" i="342"/>
  <c r="AW56" i="342"/>
  <c r="AN56" i="342"/>
  <c r="AD56" i="342"/>
  <c r="AB56" i="342"/>
  <c r="W56" i="342"/>
  <c r="X56" i="342" s="1"/>
  <c r="Q56" i="342"/>
  <c r="K56" i="342"/>
  <c r="AX55" i="342"/>
  <c r="AW55" i="342"/>
  <c r="AR55" i="342"/>
  <c r="AQ55" i="342"/>
  <c r="AN55" i="342"/>
  <c r="AL55" i="342"/>
  <c r="AJ55" i="342"/>
  <c r="AK55" i="342" s="1"/>
  <c r="AD55" i="342"/>
  <c r="AB55" i="342"/>
  <c r="W55" i="342"/>
  <c r="Q55" i="342"/>
  <c r="X55" i="342" s="1"/>
  <c r="K55" i="342"/>
  <c r="AX54" i="342"/>
  <c r="AW54" i="342"/>
  <c r="AR54" i="342"/>
  <c r="AQ54" i="342"/>
  <c r="AO54" i="342"/>
  <c r="AN54" i="342"/>
  <c r="AG54" i="342"/>
  <c r="AD54" i="342"/>
  <c r="AB54" i="342"/>
  <c r="W54" i="342"/>
  <c r="Q54" i="342"/>
  <c r="X54" i="342" s="1"/>
  <c r="K54" i="342"/>
  <c r="AW53" i="342"/>
  <c r="AN53" i="342"/>
  <c r="AD53" i="342"/>
  <c r="AB53" i="342"/>
  <c r="Y53" i="342"/>
  <c r="BG53" i="342" s="1"/>
  <c r="X53" i="342"/>
  <c r="W53" i="342"/>
  <c r="Q53" i="342"/>
  <c r="K53" i="342"/>
  <c r="AW52" i="342"/>
  <c r="AR52" i="342"/>
  <c r="AQ52" i="342"/>
  <c r="AP52" i="342"/>
  <c r="AO52" i="342"/>
  <c r="AN52" i="342"/>
  <c r="AL52" i="342"/>
  <c r="AJ52" i="342"/>
  <c r="AK52" i="342" s="1"/>
  <c r="AD52" i="342"/>
  <c r="AB52" i="342"/>
  <c r="W52" i="342"/>
  <c r="Q52" i="342"/>
  <c r="X52" i="342" s="1"/>
  <c r="K52" i="342"/>
  <c r="B52" i="342"/>
  <c r="B53" i="342" s="1"/>
  <c r="B54" i="342" s="1"/>
  <c r="B55" i="342" s="1"/>
  <c r="B56" i="342" s="1"/>
  <c r="B57" i="342" s="1"/>
  <c r="B58" i="342" s="1"/>
  <c r="B59" i="342" s="1"/>
  <c r="B60" i="342" s="1"/>
  <c r="B61" i="342" s="1"/>
  <c r="B62" i="342" s="1"/>
  <c r="B63" i="342" s="1"/>
  <c r="B64" i="342" s="1"/>
  <c r="AX51" i="342"/>
  <c r="AW51" i="342"/>
  <c r="AQ51" i="342"/>
  <c r="AO51" i="342"/>
  <c r="AN51" i="342"/>
  <c r="AP51" i="342" s="1"/>
  <c r="AD51" i="342"/>
  <c r="AB51" i="342"/>
  <c r="W51" i="342"/>
  <c r="Q51" i="342"/>
  <c r="X51" i="342" s="1"/>
  <c r="AL51" i="342" s="1"/>
  <c r="K51" i="342"/>
  <c r="AW50" i="342"/>
  <c r="AN50" i="342"/>
  <c r="AM50" i="342"/>
  <c r="AL50" i="342"/>
  <c r="AJ50" i="342"/>
  <c r="AK50" i="342" s="1"/>
  <c r="AG50" i="342"/>
  <c r="AD50" i="342"/>
  <c r="AB50" i="342"/>
  <c r="Z50" i="342"/>
  <c r="Y50" i="342"/>
  <c r="X50" i="342"/>
  <c r="W50" i="342"/>
  <c r="Q50" i="342"/>
  <c r="K50" i="342"/>
  <c r="AW49" i="342"/>
  <c r="AR49" i="342"/>
  <c r="AN49" i="342"/>
  <c r="AQ49" i="342" s="1"/>
  <c r="AG49" i="342"/>
  <c r="AG65" i="342" s="1"/>
  <c r="AD49" i="342"/>
  <c r="AD65" i="342" s="1"/>
  <c r="AB49" i="342"/>
  <c r="X49" i="342"/>
  <c r="W49" i="342"/>
  <c r="Q49" i="342"/>
  <c r="K49" i="342"/>
  <c r="B49" i="342"/>
  <c r="B50" i="342" s="1"/>
  <c r="B51" i="342" s="1"/>
  <c r="AX48" i="342"/>
  <c r="AW48" i="342"/>
  <c r="AO48" i="342"/>
  <c r="AN48" i="342"/>
  <c r="AL48" i="342"/>
  <c r="AM48" i="342" s="1"/>
  <c r="AD48" i="342"/>
  <c r="AB48" i="342"/>
  <c r="Y48" i="342"/>
  <c r="X48" i="342"/>
  <c r="AJ48" i="342" s="1"/>
  <c r="AK48" i="342" s="1"/>
  <c r="W48" i="342"/>
  <c r="Q48" i="342"/>
  <c r="K48" i="342"/>
  <c r="AW47" i="342"/>
  <c r="AR47" i="342"/>
  <c r="AQ47" i="342"/>
  <c r="AN47" i="342"/>
  <c r="AG47" i="342"/>
  <c r="AD47" i="342"/>
  <c r="AB47" i="342"/>
  <c r="X47" i="342"/>
  <c r="Y47" i="342" s="1"/>
  <c r="W47" i="342"/>
  <c r="Q47" i="342"/>
  <c r="K47" i="342"/>
  <c r="B47" i="342"/>
  <c r="B48" i="342" s="1"/>
  <c r="AX46" i="342"/>
  <c r="AW46" i="342"/>
  <c r="AQ46" i="342"/>
  <c r="AN46" i="342"/>
  <c r="AD46" i="342"/>
  <c r="AB46" i="342"/>
  <c r="W46" i="342"/>
  <c r="Q46" i="342"/>
  <c r="K46" i="342"/>
  <c r="BN45" i="342"/>
  <c r="AY45" i="342"/>
  <c r="AY105" i="342" s="1"/>
  <c r="AV45" i="342"/>
  <c r="AU45" i="342"/>
  <c r="AT45" i="342"/>
  <c r="AS45" i="342"/>
  <c r="AS105" i="342" s="1"/>
  <c r="AE45" i="342"/>
  <c r="AC45" i="342"/>
  <c r="AA45" i="342"/>
  <c r="V45" i="342"/>
  <c r="U45" i="342"/>
  <c r="T45" i="342"/>
  <c r="S45" i="342"/>
  <c r="R45" i="342"/>
  <c r="P45" i="342"/>
  <c r="O45" i="342"/>
  <c r="N45" i="342"/>
  <c r="M45" i="342"/>
  <c r="L45" i="342"/>
  <c r="AX44" i="342"/>
  <c r="AW44" i="342"/>
  <c r="AR44" i="342"/>
  <c r="AP44" i="342"/>
  <c r="AO44" i="342"/>
  <c r="AN44" i="342"/>
  <c r="AI44" i="342"/>
  <c r="AG44" i="342"/>
  <c r="AD44" i="342"/>
  <c r="AB44" i="342"/>
  <c r="X44" i="342"/>
  <c r="AL44" i="342" s="1"/>
  <c r="W44" i="342"/>
  <c r="Q44" i="342"/>
  <c r="K44" i="342"/>
  <c r="AX43" i="342"/>
  <c r="AW43" i="342"/>
  <c r="AR43" i="342"/>
  <c r="AQ43" i="342"/>
  <c r="AN43" i="342"/>
  <c r="AD43" i="342"/>
  <c r="AB43" i="342"/>
  <c r="W43" i="342"/>
  <c r="Q43" i="342"/>
  <c r="X43" i="342" s="1"/>
  <c r="AJ43" i="342" s="1"/>
  <c r="AK43" i="342" s="1"/>
  <c r="K43" i="342"/>
  <c r="AW42" i="342"/>
  <c r="AR42" i="342"/>
  <c r="AQ42" i="342"/>
  <c r="AP42" i="342"/>
  <c r="AN42" i="342"/>
  <c r="AG42" i="342"/>
  <c r="AD42" i="342"/>
  <c r="AB42" i="342"/>
  <c r="X42" i="342"/>
  <c r="W42" i="342"/>
  <c r="Q42" i="342"/>
  <c r="K42" i="342"/>
  <c r="AW41" i="342"/>
  <c r="AR41" i="342"/>
  <c r="AQ41" i="342"/>
  <c r="AN41" i="342"/>
  <c r="AP41" i="342" s="1"/>
  <c r="AD41" i="342"/>
  <c r="AB41" i="342"/>
  <c r="W41" i="342"/>
  <c r="Q41" i="342"/>
  <c r="X41" i="342" s="1"/>
  <c r="K41" i="342"/>
  <c r="AX40" i="342"/>
  <c r="AW40" i="342"/>
  <c r="AN40" i="342"/>
  <c r="AD40" i="342"/>
  <c r="AB40" i="342"/>
  <c r="W40" i="342"/>
  <c r="Q40" i="342"/>
  <c r="K40" i="342"/>
  <c r="AW39" i="342"/>
  <c r="AO39" i="342"/>
  <c r="AN39" i="342"/>
  <c r="AL39" i="342"/>
  <c r="AM39" i="342" s="1"/>
  <c r="AD39" i="342"/>
  <c r="AB39" i="342"/>
  <c r="X39" i="342"/>
  <c r="AJ39" i="342" s="1"/>
  <c r="AK39" i="342" s="1"/>
  <c r="W39" i="342"/>
  <c r="Q39" i="342"/>
  <c r="K39" i="342"/>
  <c r="AW38" i="342"/>
  <c r="AR38" i="342"/>
  <c r="AQ38" i="342"/>
  <c r="AO38" i="342"/>
  <c r="AN38" i="342"/>
  <c r="AD38" i="342"/>
  <c r="AB38" i="342"/>
  <c r="W38" i="342"/>
  <c r="Q38" i="342"/>
  <c r="X38" i="342" s="1"/>
  <c r="K38" i="342"/>
  <c r="AW37" i="342"/>
  <c r="AN37" i="342"/>
  <c r="AL37" i="342"/>
  <c r="AM37" i="342" s="1"/>
  <c r="AK37" i="342"/>
  <c r="AI37" i="342"/>
  <c r="AG37" i="342"/>
  <c r="AD37" i="342"/>
  <c r="AB37" i="342"/>
  <c r="Y37" i="342"/>
  <c r="X37" i="342"/>
  <c r="AJ37" i="342" s="1"/>
  <c r="W37" i="342"/>
  <c r="Q37" i="342"/>
  <c r="K37" i="342"/>
  <c r="AW36" i="342"/>
  <c r="AN36" i="342"/>
  <c r="AQ36" i="342" s="1"/>
  <c r="AD36" i="342"/>
  <c r="AB36" i="342"/>
  <c r="W36" i="342"/>
  <c r="X36" i="342" s="1"/>
  <c r="Q36" i="342"/>
  <c r="K36" i="342"/>
  <c r="AW35" i="342"/>
  <c r="AR35" i="342"/>
  <c r="AQ35" i="342"/>
  <c r="AO35" i="342"/>
  <c r="AN35" i="342"/>
  <c r="AI35" i="342"/>
  <c r="AG35" i="342"/>
  <c r="AD35" i="342"/>
  <c r="AB35" i="342"/>
  <c r="W35" i="342"/>
  <c r="X35" i="342" s="1"/>
  <c r="Q35" i="342"/>
  <c r="K35" i="342"/>
  <c r="BG34" i="342"/>
  <c r="AW34" i="342"/>
  <c r="AQ34" i="342"/>
  <c r="AP34" i="342"/>
  <c r="AO34" i="342"/>
  <c r="AN34" i="342"/>
  <c r="AR34" i="342" s="1"/>
  <c r="AJ34" i="342"/>
  <c r="AK34" i="342" s="1"/>
  <c r="AD34" i="342"/>
  <c r="AB34" i="342"/>
  <c r="Y34" i="342"/>
  <c r="X34" i="342"/>
  <c r="AL34" i="342" s="1"/>
  <c r="AM34" i="342" s="1"/>
  <c r="W34" i="342"/>
  <c r="Q34" i="342"/>
  <c r="K34" i="342"/>
  <c r="AX33" i="342"/>
  <c r="AW33" i="342"/>
  <c r="AO33" i="342"/>
  <c r="AN33" i="342"/>
  <c r="AQ33" i="342" s="1"/>
  <c r="AD33" i="342"/>
  <c r="AB33" i="342"/>
  <c r="W33" i="342"/>
  <c r="Q33" i="342"/>
  <c r="K33" i="342"/>
  <c r="AW32" i="342"/>
  <c r="AN32" i="342"/>
  <c r="AG32" i="342"/>
  <c r="AD32" i="342"/>
  <c r="AB32" i="342"/>
  <c r="W32" i="342"/>
  <c r="Q32" i="342"/>
  <c r="X32" i="342" s="1"/>
  <c r="K32" i="342"/>
  <c r="AX31" i="342"/>
  <c r="AW31" i="342"/>
  <c r="AN31" i="342"/>
  <c r="AD31" i="342"/>
  <c r="AB31" i="342"/>
  <c r="W31" i="342"/>
  <c r="X31" i="342" s="1"/>
  <c r="Q31" i="342"/>
  <c r="K31" i="342"/>
  <c r="AW30" i="342"/>
  <c r="AO30" i="342"/>
  <c r="AN30" i="342"/>
  <c r="AL30" i="342"/>
  <c r="AK30" i="342"/>
  <c r="AJ30" i="342"/>
  <c r="AG30" i="342"/>
  <c r="AD30" i="342"/>
  <c r="AB30" i="342"/>
  <c r="X30" i="342"/>
  <c r="W30" i="342"/>
  <c r="Q30" i="342"/>
  <c r="K30" i="342"/>
  <c r="BG29" i="342"/>
  <c r="AW29" i="342"/>
  <c r="AO29" i="342"/>
  <c r="AN29" i="342"/>
  <c r="AP29" i="342" s="1"/>
  <c r="AM29" i="342"/>
  <c r="AL29" i="342"/>
  <c r="AJ29" i="342"/>
  <c r="AK29" i="342" s="1"/>
  <c r="AD29" i="342"/>
  <c r="AB29" i="342"/>
  <c r="Y29" i="342"/>
  <c r="Z29" i="342" s="1"/>
  <c r="X29" i="342"/>
  <c r="W29" i="342"/>
  <c r="Q29" i="342"/>
  <c r="K29" i="342"/>
  <c r="AX28" i="342"/>
  <c r="AW28" i="342"/>
  <c r="AN28" i="342"/>
  <c r="AR28" i="342" s="1"/>
  <c r="AD28" i="342"/>
  <c r="AB28" i="342"/>
  <c r="W28" i="342"/>
  <c r="X28" i="342" s="1"/>
  <c r="Q28" i="342"/>
  <c r="K28" i="342"/>
  <c r="AW27" i="342"/>
  <c r="AN27" i="342"/>
  <c r="AQ27" i="342" s="1"/>
  <c r="AI27" i="342"/>
  <c r="AG27" i="342"/>
  <c r="AD27" i="342"/>
  <c r="AB27" i="342"/>
  <c r="W27" i="342"/>
  <c r="Q27" i="342"/>
  <c r="X27" i="342" s="1"/>
  <c r="K27" i="342"/>
  <c r="AW26" i="342"/>
  <c r="AR26" i="342"/>
  <c r="AN26" i="342"/>
  <c r="AQ26" i="342" s="1"/>
  <c r="AG26" i="342"/>
  <c r="AD26" i="342"/>
  <c r="AB26" i="342"/>
  <c r="W26" i="342"/>
  <c r="Q26" i="342"/>
  <c r="X26" i="342" s="1"/>
  <c r="K26" i="342"/>
  <c r="AW25" i="342"/>
  <c r="AP25" i="342"/>
  <c r="AO25" i="342"/>
  <c r="AN25" i="342"/>
  <c r="AQ25" i="342" s="1"/>
  <c r="AG25" i="342"/>
  <c r="AD25" i="342"/>
  <c r="AB25" i="342"/>
  <c r="X25" i="342"/>
  <c r="W25" i="342"/>
  <c r="Q25" i="342"/>
  <c r="K25" i="342"/>
  <c r="B25" i="342"/>
  <c r="B26" i="342" s="1"/>
  <c r="B27" i="342" s="1"/>
  <c r="B28" i="342" s="1"/>
  <c r="B29" i="342" s="1"/>
  <c r="B30" i="342" s="1"/>
  <c r="B31" i="342" s="1"/>
  <c r="B32" i="342" s="1"/>
  <c r="B33" i="342" s="1"/>
  <c r="B34" i="342" s="1"/>
  <c r="B35" i="342" s="1"/>
  <c r="B36" i="342" s="1"/>
  <c r="B37" i="342" s="1"/>
  <c r="B38" i="342" s="1"/>
  <c r="B39" i="342" s="1"/>
  <c r="B40" i="342" s="1"/>
  <c r="B41" i="342" s="1"/>
  <c r="B42" i="342" s="1"/>
  <c r="B43" i="342" s="1"/>
  <c r="B44" i="342" s="1"/>
  <c r="AW24" i="342"/>
  <c r="AR24" i="342"/>
  <c r="AQ24" i="342"/>
  <c r="AP24" i="342"/>
  <c r="AN24" i="342"/>
  <c r="AD24" i="342"/>
  <c r="AB24" i="342"/>
  <c r="W24" i="342"/>
  <c r="Q24" i="342"/>
  <c r="X24" i="342" s="1"/>
  <c r="K24" i="342"/>
  <c r="AW23" i="342"/>
  <c r="AN23" i="342"/>
  <c r="AQ23" i="342" s="1"/>
  <c r="AL23" i="342"/>
  <c r="AM23" i="342" s="1"/>
  <c r="AG23" i="342"/>
  <c r="AD23" i="342"/>
  <c r="AB23" i="342"/>
  <c r="Z23" i="342"/>
  <c r="Y23" i="342"/>
  <c r="X23" i="342"/>
  <c r="AJ23" i="342" s="1"/>
  <c r="AK23" i="342" s="1"/>
  <c r="W23" i="342"/>
  <c r="Q23" i="342"/>
  <c r="K23" i="342"/>
  <c r="AW22" i="342"/>
  <c r="AN22" i="342"/>
  <c r="AG22" i="342"/>
  <c r="AD22" i="342"/>
  <c r="AB22" i="342"/>
  <c r="W22" i="342"/>
  <c r="Q22" i="342"/>
  <c r="K22" i="342"/>
  <c r="B22" i="342"/>
  <c r="B23" i="342" s="1"/>
  <c r="B24" i="342" s="1"/>
  <c r="AW21" i="342"/>
  <c r="AR21" i="342"/>
  <c r="AQ21" i="342"/>
  <c r="AP21" i="342"/>
  <c r="AO21" i="342"/>
  <c r="AN21" i="342"/>
  <c r="AG21" i="342"/>
  <c r="AD21" i="342"/>
  <c r="AB21" i="342"/>
  <c r="W21" i="342"/>
  <c r="Q21" i="342"/>
  <c r="K21" i="342"/>
  <c r="AW20" i="342"/>
  <c r="AN20" i="342"/>
  <c r="AD20" i="342"/>
  <c r="AB20" i="342"/>
  <c r="W20" i="342"/>
  <c r="Q20" i="342"/>
  <c r="X20" i="342" s="1"/>
  <c r="K20" i="342"/>
  <c r="AX19" i="342"/>
  <c r="AW19" i="342"/>
  <c r="AN19" i="342"/>
  <c r="AJ19" i="342"/>
  <c r="AK19" i="342" s="1"/>
  <c r="AD19" i="342"/>
  <c r="AB19" i="342"/>
  <c r="Y19" i="342"/>
  <c r="W19" i="342"/>
  <c r="Q19" i="342"/>
  <c r="X19" i="342" s="1"/>
  <c r="K19" i="342"/>
  <c r="AW18" i="342"/>
  <c r="AR18" i="342"/>
  <c r="AQ18" i="342"/>
  <c r="AO18" i="342"/>
  <c r="AN18" i="342"/>
  <c r="AJ18" i="342"/>
  <c r="AK18" i="342" s="1"/>
  <c r="AI18" i="342"/>
  <c r="AI45" i="342" s="1"/>
  <c r="AG18" i="342"/>
  <c r="AD18" i="342"/>
  <c r="AB18" i="342"/>
  <c r="W18" i="342"/>
  <c r="Q18" i="342"/>
  <c r="X18" i="342" s="1"/>
  <c r="K18" i="342"/>
  <c r="AW17" i="342"/>
  <c r="AN17" i="342"/>
  <c r="AD17" i="342"/>
  <c r="AB17" i="342"/>
  <c r="W17" i="342"/>
  <c r="Q17" i="342"/>
  <c r="K17" i="342"/>
  <c r="A17" i="342"/>
  <c r="A18" i="342" s="1"/>
  <c r="A19" i="342" s="1"/>
  <c r="A20" i="342" s="1"/>
  <c r="A21" i="342" s="1"/>
  <c r="A22" i="342" s="1"/>
  <c r="A23" i="342" s="1"/>
  <c r="A24" i="342" s="1"/>
  <c r="A25" i="342" s="1"/>
  <c r="A26" i="342" s="1"/>
  <c r="A27" i="342" s="1"/>
  <c r="A28" i="342" s="1"/>
  <c r="A29" i="342" s="1"/>
  <c r="A30" i="342" s="1"/>
  <c r="A31" i="342" s="1"/>
  <c r="A32" i="342" s="1"/>
  <c r="A33" i="342" s="1"/>
  <c r="A34" i="342" s="1"/>
  <c r="A35" i="342" s="1"/>
  <c r="A36" i="342" s="1"/>
  <c r="A37" i="342" s="1"/>
  <c r="A38" i="342" s="1"/>
  <c r="A39" i="342" s="1"/>
  <c r="A40" i="342" s="1"/>
  <c r="A41" i="342" s="1"/>
  <c r="A42" i="342" s="1"/>
  <c r="A43" i="342" s="1"/>
  <c r="A44" i="342" s="1"/>
  <c r="A46" i="342" s="1"/>
  <c r="A47" i="342" s="1"/>
  <c r="A48" i="342" s="1"/>
  <c r="A49" i="342" s="1"/>
  <c r="A50" i="342" s="1"/>
  <c r="A51" i="342" s="1"/>
  <c r="A52" i="342" s="1"/>
  <c r="A53" i="342" s="1"/>
  <c r="A54" i="342" s="1"/>
  <c r="A55" i="342" s="1"/>
  <c r="A56" i="342" s="1"/>
  <c r="A57" i="342" s="1"/>
  <c r="A58" i="342" s="1"/>
  <c r="A59" i="342" s="1"/>
  <c r="A60" i="342" s="1"/>
  <c r="A61" i="342" s="1"/>
  <c r="A62" i="342" s="1"/>
  <c r="A63" i="342" s="1"/>
  <c r="A64" i="342" s="1"/>
  <c r="A66" i="342" s="1"/>
  <c r="A67" i="342" s="1"/>
  <c r="A68" i="342" s="1"/>
  <c r="A69" i="342" s="1"/>
  <c r="A70" i="342" s="1"/>
  <c r="A71" i="342" s="1"/>
  <c r="A72" i="342" s="1"/>
  <c r="A73" i="342" s="1"/>
  <c r="A74" i="342" s="1"/>
  <c r="A75" i="342" s="1"/>
  <c r="A76" i="342" s="1"/>
  <c r="A77" i="342" s="1"/>
  <c r="A78" i="342" s="1"/>
  <c r="A79" i="342" s="1"/>
  <c r="A80" i="342" s="1"/>
  <c r="A81" i="342" s="1"/>
  <c r="A82" i="342" s="1"/>
  <c r="A84" i="342" s="1"/>
  <c r="A85" i="342" s="1"/>
  <c r="A86" i="342" s="1"/>
  <c r="A87" i="342" s="1"/>
  <c r="A88" i="342" s="1"/>
  <c r="A89" i="342" s="1"/>
  <c r="A90" i="342" s="1"/>
  <c r="A91" i="342" s="1"/>
  <c r="A92" i="342" s="1"/>
  <c r="A93" i="342" s="1"/>
  <c r="A94" i="342" s="1"/>
  <c r="A95" i="342" s="1"/>
  <c r="A96" i="342" s="1"/>
  <c r="A97" i="342" s="1"/>
  <c r="A98" i="342" s="1"/>
  <c r="A99" i="342" s="1"/>
  <c r="A100" i="342" s="1"/>
  <c r="A101" i="342" s="1"/>
  <c r="A102" i="342" s="1"/>
  <c r="A103" i="342" s="1"/>
  <c r="A106" i="342" s="1"/>
  <c r="A107" i="342" s="1"/>
  <c r="A108" i="342" s="1"/>
  <c r="A109" i="342" s="1"/>
  <c r="A110" i="342" s="1"/>
  <c r="A111" i="342" s="1"/>
  <c r="A112" i="342" s="1"/>
  <c r="A113" i="342" s="1"/>
  <c r="A114" i="342" s="1"/>
  <c r="A115" i="342" s="1"/>
  <c r="A117" i="342" s="1"/>
  <c r="A118" i="342" s="1"/>
  <c r="A119" i="342" s="1"/>
  <c r="A120" i="342" s="1"/>
  <c r="A121" i="342" s="1"/>
  <c r="A122" i="342" s="1"/>
  <c r="A123" i="342" s="1"/>
  <c r="A125" i="342" s="1"/>
  <c r="A126" i="342" s="1"/>
  <c r="A127" i="342" s="1"/>
  <c r="A128" i="342" s="1"/>
  <c r="A129" i="342" s="1"/>
  <c r="A130" i="342" s="1"/>
  <c r="A131" i="342" s="1"/>
  <c r="A132" i="342" s="1"/>
  <c r="A134" i="342" s="1"/>
  <c r="A135" i="342" s="1"/>
  <c r="A136" i="342" s="1"/>
  <c r="A138" i="342" s="1"/>
  <c r="A139" i="342" s="1"/>
  <c r="A140" i="342" s="1"/>
  <c r="A141" i="342" s="1"/>
  <c r="A143" i="342" s="1"/>
  <c r="A144" i="342" s="1"/>
  <c r="A145" i="342" s="1"/>
  <c r="A146" i="342" s="1"/>
  <c r="A148" i="342" s="1"/>
  <c r="A149" i="342" s="1"/>
  <c r="A150" i="342" s="1"/>
  <c r="A151" i="342" s="1"/>
  <c r="A152" i="342" s="1"/>
  <c r="A153" i="342" s="1"/>
  <c r="A154" i="342" s="1"/>
  <c r="A156" i="342" s="1"/>
  <c r="A157" i="342" s="1"/>
  <c r="A158" i="342" s="1"/>
  <c r="A159" i="342" s="1"/>
  <c r="A160" i="342" s="1"/>
  <c r="A161" i="342" s="1"/>
  <c r="A162" i="342" s="1"/>
  <c r="A163" i="342" s="1"/>
  <c r="A165" i="342" s="1"/>
  <c r="A166" i="342" s="1"/>
  <c r="A167" i="342" s="1"/>
  <c r="A168" i="342" s="1"/>
  <c r="A169" i="342" s="1"/>
  <c r="A170" i="342" s="1"/>
  <c r="A171" i="342" s="1"/>
  <c r="A172" i="342" s="1"/>
  <c r="A173" i="342" s="1"/>
  <c r="A174" i="342" s="1"/>
  <c r="A175" i="342" s="1"/>
  <c r="A176" i="342" s="1"/>
  <c r="A177" i="342" s="1"/>
  <c r="A178" i="342" s="1"/>
  <c r="A179" i="342" s="1"/>
  <c r="A180" i="342" s="1"/>
  <c r="AX16" i="342"/>
  <c r="AW16" i="342"/>
  <c r="AN16" i="342"/>
  <c r="AD16" i="342"/>
  <c r="AB16" i="342"/>
  <c r="W16" i="342"/>
  <c r="Q16" i="342"/>
  <c r="X16" i="342" s="1"/>
  <c r="K16" i="342"/>
  <c r="B16" i="342"/>
  <c r="B17" i="342" s="1"/>
  <c r="B18" i="342" s="1"/>
  <c r="B19" i="342" s="1"/>
  <c r="B20" i="342" s="1"/>
  <c r="B21" i="342" s="1"/>
  <c r="A16" i="342"/>
  <c r="AX15" i="342"/>
  <c r="AW15" i="342"/>
  <c r="AN15" i="342"/>
  <c r="AG15" i="342"/>
  <c r="AD15" i="342"/>
  <c r="AB15" i="342"/>
  <c r="W15" i="342"/>
  <c r="Q15" i="342"/>
  <c r="K15" i="342"/>
  <c r="B15" i="342"/>
  <c r="A15" i="342"/>
  <c r="AX14" i="342"/>
  <c r="AW14" i="342"/>
  <c r="AR14" i="342"/>
  <c r="AQ14" i="342"/>
  <c r="AP14" i="342"/>
  <c r="AN14" i="342"/>
  <c r="AG14" i="342"/>
  <c r="AD14" i="342"/>
  <c r="AB14" i="342"/>
  <c r="W14" i="342"/>
  <c r="Q14" i="342"/>
  <c r="K14" i="342"/>
  <c r="F173" i="341"/>
  <c r="R172" i="341"/>
  <c r="Q172" i="341"/>
  <c r="P171" i="341"/>
  <c r="R170" i="341"/>
  <c r="Q170" i="341"/>
  <c r="O170" i="341"/>
  <c r="N170" i="341"/>
  <c r="M170" i="341"/>
  <c r="L170" i="341"/>
  <c r="K170" i="341"/>
  <c r="F170" i="341"/>
  <c r="E170" i="341"/>
  <c r="D170" i="341"/>
  <c r="P169" i="341"/>
  <c r="I169" i="341"/>
  <c r="A169" i="341"/>
  <c r="P168" i="341"/>
  <c r="I168" i="341"/>
  <c r="Z168" i="341" s="1"/>
  <c r="P167" i="341"/>
  <c r="I167" i="341"/>
  <c r="P166" i="341"/>
  <c r="I166" i="341"/>
  <c r="Z166" i="341" s="1"/>
  <c r="P165" i="341"/>
  <c r="P170" i="341" s="1"/>
  <c r="I165" i="341"/>
  <c r="A165" i="341"/>
  <c r="A166" i="341" s="1"/>
  <c r="A167" i="341" s="1"/>
  <c r="A168" i="341" s="1"/>
  <c r="Z164" i="341"/>
  <c r="Y164" i="341"/>
  <c r="AA164" i="341" s="1"/>
  <c r="W164" i="341"/>
  <c r="T164" i="341"/>
  <c r="R164" i="341"/>
  <c r="I164" i="341"/>
  <c r="J164" i="341" s="1"/>
  <c r="S164" i="341" s="1"/>
  <c r="I163" i="341"/>
  <c r="A163" i="341"/>
  <c r="A164" i="341" s="1"/>
  <c r="I162" i="341"/>
  <c r="Z162" i="341" s="1"/>
  <c r="I161" i="341"/>
  <c r="A161" i="341"/>
  <c r="A162" i="341" s="1"/>
  <c r="I160" i="341"/>
  <c r="J160" i="341" s="1"/>
  <c r="S160" i="341" s="1"/>
  <c r="A160" i="341"/>
  <c r="Z159" i="341"/>
  <c r="Y159" i="341"/>
  <c r="AA159" i="341" s="1"/>
  <c r="J159" i="341"/>
  <c r="S159" i="341" s="1"/>
  <c r="T159" i="341" s="1"/>
  <c r="W159" i="341" s="1"/>
  <c r="I159" i="341"/>
  <c r="Z158" i="341"/>
  <c r="T158" i="341"/>
  <c r="S158" i="341"/>
  <c r="I158" i="341"/>
  <c r="J158" i="341" s="1"/>
  <c r="Z156" i="341"/>
  <c r="R156" i="341"/>
  <c r="Q156" i="341"/>
  <c r="P156" i="341"/>
  <c r="O156" i="341"/>
  <c r="N156" i="341"/>
  <c r="M156" i="341"/>
  <c r="L156" i="341"/>
  <c r="K156" i="341"/>
  <c r="I156" i="341"/>
  <c r="F156" i="341"/>
  <c r="F171" i="341" s="1"/>
  <c r="D156" i="341"/>
  <c r="I155" i="341"/>
  <c r="Z155" i="341" s="1"/>
  <c r="R153" i="341"/>
  <c r="Q153" i="341"/>
  <c r="P153" i="341"/>
  <c r="O153" i="341"/>
  <c r="N153" i="341"/>
  <c r="L153" i="341"/>
  <c r="F153" i="341"/>
  <c r="E153" i="341"/>
  <c r="D153" i="341"/>
  <c r="Z152" i="341"/>
  <c r="I152" i="341"/>
  <c r="I151" i="341"/>
  <c r="Z151" i="341" s="1"/>
  <c r="Z150" i="341"/>
  <c r="I150" i="341"/>
  <c r="Z149" i="341"/>
  <c r="I149" i="341"/>
  <c r="Z148" i="341"/>
  <c r="I148" i="341"/>
  <c r="Z147" i="341"/>
  <c r="I147" i="341"/>
  <c r="Z146" i="341"/>
  <c r="I146" i="341"/>
  <c r="Z145" i="341"/>
  <c r="I145" i="341"/>
  <c r="Z144" i="341"/>
  <c r="K144" i="341"/>
  <c r="I144" i="341"/>
  <c r="J144" i="341" s="1"/>
  <c r="S144" i="341" s="1"/>
  <c r="Z143" i="341"/>
  <c r="I143" i="341"/>
  <c r="Z142" i="341"/>
  <c r="I142" i="341"/>
  <c r="Z141" i="341"/>
  <c r="I141" i="341"/>
  <c r="Z140" i="341"/>
  <c r="I140" i="341"/>
  <c r="Z139" i="341"/>
  <c r="I139" i="341"/>
  <c r="I138" i="341"/>
  <c r="J138" i="341" s="1"/>
  <c r="S138" i="341" s="1"/>
  <c r="I137" i="341"/>
  <c r="Z136" i="341"/>
  <c r="J136" i="341"/>
  <c r="S136" i="341" s="1"/>
  <c r="I136" i="341"/>
  <c r="I135" i="341"/>
  <c r="J135" i="341" s="1"/>
  <c r="Z134" i="341"/>
  <c r="I134" i="341"/>
  <c r="Z133" i="341"/>
  <c r="S133" i="341"/>
  <c r="T133" i="341" s="1"/>
  <c r="J133" i="341"/>
  <c r="I133" i="341"/>
  <c r="A133" i="341"/>
  <c r="A134" i="341" s="1"/>
  <c r="A135" i="341" s="1"/>
  <c r="A136" i="341" s="1"/>
  <c r="A137" i="341" s="1"/>
  <c r="A138" i="341" s="1"/>
  <c r="A139" i="341" s="1"/>
  <c r="A140" i="341" s="1"/>
  <c r="A141" i="341" s="1"/>
  <c r="A142" i="341" s="1"/>
  <c r="A143" i="341" s="1"/>
  <c r="A144" i="341" s="1"/>
  <c r="A145" i="341" s="1"/>
  <c r="A146" i="341" s="1"/>
  <c r="A147" i="341" s="1"/>
  <c r="A148" i="341" s="1"/>
  <c r="A149" i="341" s="1"/>
  <c r="A150" i="341" s="1"/>
  <c r="A151" i="341" s="1"/>
  <c r="A152" i="341" s="1"/>
  <c r="A155" i="341" s="1"/>
  <c r="A158" i="341" s="1"/>
  <c r="A159" i="341" s="1"/>
  <c r="I132" i="341"/>
  <c r="S131" i="341"/>
  <c r="J131" i="341"/>
  <c r="I131" i="341"/>
  <c r="I130" i="341"/>
  <c r="Z130" i="341" s="1"/>
  <c r="I129" i="341"/>
  <c r="Z129" i="341" s="1"/>
  <c r="M128" i="341"/>
  <c r="K128" i="341"/>
  <c r="K153" i="341" s="1"/>
  <c r="J128" i="341"/>
  <c r="I128" i="341"/>
  <c r="R126" i="341"/>
  <c r="Q126" i="341"/>
  <c r="P126" i="341"/>
  <c r="O126" i="341"/>
  <c r="N126" i="341"/>
  <c r="N172" i="341" s="1"/>
  <c r="M126" i="341"/>
  <c r="L126" i="341"/>
  <c r="K126" i="341"/>
  <c r="F126" i="341"/>
  <c r="F172" i="341" s="1"/>
  <c r="E126" i="341"/>
  <c r="E172" i="341" s="1"/>
  <c r="D126" i="341"/>
  <c r="D172" i="341" s="1"/>
  <c r="D173" i="341" s="1"/>
  <c r="I125" i="341"/>
  <c r="A125" i="341"/>
  <c r="A128" i="341" s="1"/>
  <c r="A129" i="341" s="1"/>
  <c r="A130" i="341" s="1"/>
  <c r="A131" i="341" s="1"/>
  <c r="A132" i="341" s="1"/>
  <c r="O122" i="341"/>
  <c r="N122" i="341"/>
  <c r="M122" i="341"/>
  <c r="L122" i="341"/>
  <c r="K122" i="341"/>
  <c r="E122" i="341"/>
  <c r="D122" i="341"/>
  <c r="P121" i="341"/>
  <c r="I121" i="341"/>
  <c r="A121" i="341"/>
  <c r="Z120" i="341"/>
  <c r="P120" i="341"/>
  <c r="J120" i="341"/>
  <c r="I120" i="341"/>
  <c r="Z119" i="341"/>
  <c r="Q119" i="341"/>
  <c r="S119" i="341" s="1"/>
  <c r="T119" i="341" s="1"/>
  <c r="J119" i="341"/>
  <c r="I119" i="341"/>
  <c r="AA118" i="341"/>
  <c r="Z118" i="341"/>
  <c r="Y118" i="341"/>
  <c r="U118" i="341"/>
  <c r="Q118" i="341"/>
  <c r="I118" i="341"/>
  <c r="J118" i="341" s="1"/>
  <c r="S118" i="341" s="1"/>
  <c r="T118" i="341" s="1"/>
  <c r="W118" i="341" s="1"/>
  <c r="Z117" i="341"/>
  <c r="T117" i="341"/>
  <c r="Y117" i="341" s="1"/>
  <c r="AA117" i="341" s="1"/>
  <c r="P117" i="341"/>
  <c r="I117" i="341"/>
  <c r="J117" i="341" s="1"/>
  <c r="S117" i="341" s="1"/>
  <c r="P116" i="341"/>
  <c r="I116" i="341"/>
  <c r="Z116" i="341" s="1"/>
  <c r="Z115" i="341"/>
  <c r="P115" i="341"/>
  <c r="J115" i="341"/>
  <c r="S115" i="341" s="1"/>
  <c r="I115" i="341"/>
  <c r="P114" i="341"/>
  <c r="I114" i="341"/>
  <c r="Z114" i="341" s="1"/>
  <c r="Q113" i="341"/>
  <c r="I113" i="341"/>
  <c r="A113" i="341"/>
  <c r="A114" i="341" s="1"/>
  <c r="A115" i="341" s="1"/>
  <c r="A116" i="341" s="1"/>
  <c r="A117" i="341" s="1"/>
  <c r="A118" i="341" s="1"/>
  <c r="A119" i="341" s="1"/>
  <c r="A120" i="341" s="1"/>
  <c r="Z112" i="341"/>
  <c r="P112" i="341"/>
  <c r="I112" i="341"/>
  <c r="Z111" i="341"/>
  <c r="P111" i="341"/>
  <c r="P122" i="341" s="1"/>
  <c r="J111" i="341"/>
  <c r="I111" i="341"/>
  <c r="Q110" i="341"/>
  <c r="Q122" i="341" s="1"/>
  <c r="I110" i="341"/>
  <c r="Z110" i="341" s="1"/>
  <c r="R109" i="341"/>
  <c r="S109" i="341" s="1"/>
  <c r="T109" i="341" s="1"/>
  <c r="U109" i="341" s="1"/>
  <c r="J109" i="341"/>
  <c r="I109" i="341"/>
  <c r="Z109" i="341" s="1"/>
  <c r="R108" i="341"/>
  <c r="J108" i="341"/>
  <c r="S108" i="341" s="1"/>
  <c r="I108" i="341"/>
  <c r="I107" i="341"/>
  <c r="Z107" i="341" s="1"/>
  <c r="A107" i="341"/>
  <c r="A108" i="341" s="1"/>
  <c r="A109" i="341" s="1"/>
  <c r="A110" i="341" s="1"/>
  <c r="A111" i="341" s="1"/>
  <c r="A112" i="341" s="1"/>
  <c r="I106" i="341"/>
  <c r="Z106" i="341" s="1"/>
  <c r="I105" i="341"/>
  <c r="Z105" i="341" s="1"/>
  <c r="A105" i="341"/>
  <c r="A106" i="341" s="1"/>
  <c r="T104" i="341"/>
  <c r="S104" i="341"/>
  <c r="J104" i="341"/>
  <c r="I104" i="341"/>
  <c r="Z104" i="341" s="1"/>
  <c r="Z103" i="341"/>
  <c r="J103" i="341"/>
  <c r="S103" i="341" s="1"/>
  <c r="T103" i="341" s="1"/>
  <c r="I103" i="341"/>
  <c r="A103" i="341"/>
  <c r="A104" i="341" s="1"/>
  <c r="I102" i="341"/>
  <c r="I101" i="341"/>
  <c r="Z101" i="341" s="1"/>
  <c r="I100" i="341"/>
  <c r="Z99" i="341"/>
  <c r="J99" i="341"/>
  <c r="S99" i="341" s="1"/>
  <c r="I99" i="341"/>
  <c r="O98" i="341"/>
  <c r="I98" i="341"/>
  <c r="Z97" i="341"/>
  <c r="U97" i="341"/>
  <c r="S97" i="341"/>
  <c r="T97" i="341" s="1"/>
  <c r="R97" i="341"/>
  <c r="J97" i="341"/>
  <c r="I97" i="341"/>
  <c r="Z96" i="341"/>
  <c r="Y96" i="341"/>
  <c r="AA96" i="341" s="1"/>
  <c r="T96" i="341"/>
  <c r="I96" i="341"/>
  <c r="J96" i="341" s="1"/>
  <c r="S96" i="341" s="1"/>
  <c r="Z95" i="341"/>
  <c r="I95" i="341"/>
  <c r="R93" i="341"/>
  <c r="Q93" i="341"/>
  <c r="Q171" i="341" s="1"/>
  <c r="P93" i="341"/>
  <c r="O93" i="341"/>
  <c r="O171" i="341" s="1"/>
  <c r="N93" i="341"/>
  <c r="N171" i="341" s="1"/>
  <c r="M93" i="341"/>
  <c r="M171" i="341" s="1"/>
  <c r="L93" i="341"/>
  <c r="L171" i="341" s="1"/>
  <c r="K93" i="341"/>
  <c r="E93" i="341"/>
  <c r="D93" i="341"/>
  <c r="Z92" i="341"/>
  <c r="J92" i="341"/>
  <c r="S92" i="341" s="1"/>
  <c r="T92" i="341" s="1"/>
  <c r="I92" i="341"/>
  <c r="Z91" i="341"/>
  <c r="Z93" i="341" s="1"/>
  <c r="I91" i="341"/>
  <c r="Z90" i="341"/>
  <c r="J90" i="341"/>
  <c r="I90" i="341"/>
  <c r="R88" i="341"/>
  <c r="Q88" i="341"/>
  <c r="O88" i="341"/>
  <c r="N88" i="341"/>
  <c r="L88" i="341"/>
  <c r="E88" i="341"/>
  <c r="D88" i="341"/>
  <c r="S87" i="341"/>
  <c r="T87" i="341" s="1"/>
  <c r="W87" i="341" s="1"/>
  <c r="J87" i="341"/>
  <c r="I87" i="341"/>
  <c r="Z87" i="341" s="1"/>
  <c r="I86" i="341"/>
  <c r="I85" i="341"/>
  <c r="Z85" i="341" s="1"/>
  <c r="I84" i="341"/>
  <c r="Z83" i="341"/>
  <c r="S83" i="341"/>
  <c r="T83" i="341" s="1"/>
  <c r="Y83" i="341" s="1"/>
  <c r="AA83" i="341" s="1"/>
  <c r="J83" i="341"/>
  <c r="I83" i="341"/>
  <c r="Z82" i="341"/>
  <c r="Y82" i="341"/>
  <c r="AA82" i="341" s="1"/>
  <c r="S82" i="341"/>
  <c r="T82" i="341" s="1"/>
  <c r="J82" i="341"/>
  <c r="I82" i="341"/>
  <c r="Z81" i="341"/>
  <c r="S81" i="341"/>
  <c r="T81" i="341" s="1"/>
  <c r="J81" i="341"/>
  <c r="I81" i="341"/>
  <c r="Z80" i="341"/>
  <c r="T80" i="341"/>
  <c r="I80" i="341"/>
  <c r="J80" i="341" s="1"/>
  <c r="S80" i="341" s="1"/>
  <c r="Z79" i="341"/>
  <c r="I79" i="341"/>
  <c r="Z78" i="341"/>
  <c r="I78" i="341"/>
  <c r="Z77" i="341"/>
  <c r="J77" i="341"/>
  <c r="S77" i="341" s="1"/>
  <c r="I77" i="341"/>
  <c r="Z76" i="341"/>
  <c r="J76" i="341"/>
  <c r="S76" i="341" s="1"/>
  <c r="I76" i="341"/>
  <c r="J75" i="341"/>
  <c r="S75" i="341" s="1"/>
  <c r="I75" i="341"/>
  <c r="K74" i="341"/>
  <c r="I74" i="341"/>
  <c r="Z74" i="341" s="1"/>
  <c r="I73" i="341"/>
  <c r="A73" i="341"/>
  <c r="A74" i="341" s="1"/>
  <c r="A75" i="341" s="1"/>
  <c r="A76" i="341" s="1"/>
  <c r="A77" i="341" s="1"/>
  <c r="A78" i="341" s="1"/>
  <c r="A79" i="341" s="1"/>
  <c r="A80" i="341" s="1"/>
  <c r="A81" i="341" s="1"/>
  <c r="A82" i="341" s="1"/>
  <c r="A83" i="341" s="1"/>
  <c r="A84" i="341" s="1"/>
  <c r="A85" i="341" s="1"/>
  <c r="A86" i="341" s="1"/>
  <c r="A87" i="341" s="1"/>
  <c r="A90" i="341" s="1"/>
  <c r="A91" i="341" s="1"/>
  <c r="A92" i="341" s="1"/>
  <c r="A95" i="341" s="1"/>
  <c r="A96" i="341" s="1"/>
  <c r="A97" i="341" s="1"/>
  <c r="A98" i="341" s="1"/>
  <c r="A99" i="341" s="1"/>
  <c r="A100" i="341" s="1"/>
  <c r="A101" i="341" s="1"/>
  <c r="A102" i="341" s="1"/>
  <c r="P72" i="341"/>
  <c r="I72" i="341"/>
  <c r="Z72" i="341" s="1"/>
  <c r="Z71" i="341"/>
  <c r="W71" i="341"/>
  <c r="P71" i="341"/>
  <c r="S71" i="341" s="1"/>
  <c r="T71" i="341" s="1"/>
  <c r="J71" i="341"/>
  <c r="I71" i="341"/>
  <c r="Z70" i="341"/>
  <c r="S70" i="341"/>
  <c r="T70" i="341" s="1"/>
  <c r="P70" i="341"/>
  <c r="J70" i="341"/>
  <c r="I70" i="341"/>
  <c r="Z69" i="341"/>
  <c r="K69" i="341"/>
  <c r="I69" i="341"/>
  <c r="M69" i="341" s="1"/>
  <c r="I68" i="341"/>
  <c r="S67" i="341"/>
  <c r="K67" i="341"/>
  <c r="K88" i="341" s="1"/>
  <c r="J67" i="341"/>
  <c r="I67" i="341"/>
  <c r="I66" i="341"/>
  <c r="M66" i="341" s="1"/>
  <c r="I65" i="341"/>
  <c r="A65" i="341"/>
  <c r="A66" i="341" s="1"/>
  <c r="A67" i="341" s="1"/>
  <c r="A68" i="341" s="1"/>
  <c r="A69" i="341" s="1"/>
  <c r="A70" i="341" s="1"/>
  <c r="A71" i="341" s="1"/>
  <c r="A72" i="341" s="1"/>
  <c r="S64" i="341"/>
  <c r="T64" i="341" s="1"/>
  <c r="J64" i="341"/>
  <c r="I64" i="341"/>
  <c r="Z64" i="341" s="1"/>
  <c r="S63" i="341"/>
  <c r="T63" i="341" s="1"/>
  <c r="J63" i="341"/>
  <c r="I63" i="341"/>
  <c r="Z63" i="341" s="1"/>
  <c r="I62" i="341"/>
  <c r="I61" i="341"/>
  <c r="Z61" i="341" s="1"/>
  <c r="A61" i="341"/>
  <c r="A62" i="341" s="1"/>
  <c r="A63" i="341" s="1"/>
  <c r="A64" i="341" s="1"/>
  <c r="I60" i="341"/>
  <c r="A60" i="341"/>
  <c r="Z59" i="341"/>
  <c r="Y59" i="341"/>
  <c r="AA59" i="341" s="1"/>
  <c r="W59" i="341"/>
  <c r="V59" i="341"/>
  <c r="X59" i="341" s="1"/>
  <c r="U59" i="341"/>
  <c r="J59" i="341"/>
  <c r="S59" i="341" s="1"/>
  <c r="T59" i="341" s="1"/>
  <c r="I59" i="341"/>
  <c r="A59" i="341"/>
  <c r="Z58" i="341"/>
  <c r="T58" i="341"/>
  <c r="U58" i="341" s="1"/>
  <c r="S58" i="341"/>
  <c r="J58" i="341"/>
  <c r="I58" i="341"/>
  <c r="Z57" i="341"/>
  <c r="I57" i="341"/>
  <c r="J57" i="341" s="1"/>
  <c r="S57" i="341" s="1"/>
  <c r="T57" i="341" s="1"/>
  <c r="Z56" i="341"/>
  <c r="I56" i="341"/>
  <c r="A56" i="341"/>
  <c r="A57" i="341" s="1"/>
  <c r="A58" i="341" s="1"/>
  <c r="Z55" i="341"/>
  <c r="I55" i="341"/>
  <c r="I54" i="341"/>
  <c r="A54" i="341"/>
  <c r="A55" i="341" s="1"/>
  <c r="Z53" i="341"/>
  <c r="I53" i="341"/>
  <c r="Z52" i="341"/>
  <c r="J52" i="341"/>
  <c r="S52" i="341" s="1"/>
  <c r="T52" i="341" s="1"/>
  <c r="I52" i="341"/>
  <c r="I51" i="341"/>
  <c r="Z51" i="341" s="1"/>
  <c r="A51" i="341"/>
  <c r="A52" i="341" s="1"/>
  <c r="A53" i="341" s="1"/>
  <c r="I50" i="341"/>
  <c r="Z50" i="341" s="1"/>
  <c r="A50" i="341"/>
  <c r="J49" i="341"/>
  <c r="S49" i="341" s="1"/>
  <c r="I49" i="341"/>
  <c r="I48" i="341"/>
  <c r="S47" i="341"/>
  <c r="T47" i="341" s="1"/>
  <c r="J47" i="341"/>
  <c r="I47" i="341"/>
  <c r="Z47" i="341" s="1"/>
  <c r="I46" i="341"/>
  <c r="Z46" i="341" s="1"/>
  <c r="J45" i="341"/>
  <c r="S45" i="341" s="1"/>
  <c r="I45" i="341"/>
  <c r="Z45" i="341" s="1"/>
  <c r="J44" i="341"/>
  <c r="S44" i="341" s="1"/>
  <c r="I44" i="341"/>
  <c r="Z43" i="341"/>
  <c r="J43" i="341"/>
  <c r="I43" i="341"/>
  <c r="AA42" i="341"/>
  <c r="Z42" i="341"/>
  <c r="Y42" i="341"/>
  <c r="W42" i="341"/>
  <c r="U42" i="341"/>
  <c r="T42" i="341"/>
  <c r="S42" i="341"/>
  <c r="J42" i="341"/>
  <c r="I42" i="341"/>
  <c r="R39" i="341"/>
  <c r="Q39" i="341"/>
  <c r="P39" i="341"/>
  <c r="O39" i="341"/>
  <c r="N39" i="341"/>
  <c r="M39" i="341"/>
  <c r="L39" i="341"/>
  <c r="K39" i="341"/>
  <c r="E39" i="341"/>
  <c r="D39" i="341"/>
  <c r="D171" i="341" s="1"/>
  <c r="Z38" i="341"/>
  <c r="S38" i="341"/>
  <c r="J38" i="341"/>
  <c r="I38" i="341"/>
  <c r="I37" i="341"/>
  <c r="Z36" i="341"/>
  <c r="I36" i="341"/>
  <c r="S35" i="341"/>
  <c r="T35" i="341" s="1"/>
  <c r="J35" i="341"/>
  <c r="I35" i="341"/>
  <c r="Z35" i="341" s="1"/>
  <c r="I34" i="341"/>
  <c r="J34" i="341" s="1"/>
  <c r="S34" i="341" s="1"/>
  <c r="I33" i="341"/>
  <c r="Z33" i="341" s="1"/>
  <c r="I32" i="341"/>
  <c r="I31" i="341"/>
  <c r="Z30" i="341"/>
  <c r="T30" i="341"/>
  <c r="Y30" i="341" s="1"/>
  <c r="AA30" i="341" s="1"/>
  <c r="S30" i="341"/>
  <c r="J30" i="341"/>
  <c r="I30" i="341"/>
  <c r="Z29" i="341"/>
  <c r="J29" i="341"/>
  <c r="S29" i="341" s="1"/>
  <c r="I29" i="341"/>
  <c r="T29" i="341" s="1"/>
  <c r="Z28" i="341"/>
  <c r="J28" i="341"/>
  <c r="S28" i="341" s="1"/>
  <c r="T28" i="341" s="1"/>
  <c r="I28" i="341"/>
  <c r="Z27" i="341"/>
  <c r="T27" i="341"/>
  <c r="S27" i="341"/>
  <c r="J27" i="341"/>
  <c r="I27" i="341"/>
  <c r="R26" i="341"/>
  <c r="R40" i="341" s="1"/>
  <c r="Q26" i="341"/>
  <c r="Q40" i="341" s="1"/>
  <c r="P26" i="341"/>
  <c r="O26" i="341"/>
  <c r="N26" i="341"/>
  <c r="N40" i="341" s="1"/>
  <c r="M26" i="341"/>
  <c r="L26" i="341"/>
  <c r="K26" i="341"/>
  <c r="F26" i="341"/>
  <c r="E26" i="341"/>
  <c r="D26" i="341"/>
  <c r="Z25" i="341"/>
  <c r="T25" i="341"/>
  <c r="I25" i="341"/>
  <c r="J25" i="341" s="1"/>
  <c r="S25" i="341" s="1"/>
  <c r="I24" i="341"/>
  <c r="Z24" i="341" s="1"/>
  <c r="A24" i="341"/>
  <c r="A25" i="341" s="1"/>
  <c r="A27" i="341" s="1"/>
  <c r="A28" i="341" s="1"/>
  <c r="A29" i="341" s="1"/>
  <c r="A30" i="341" s="1"/>
  <c r="A31" i="341" s="1"/>
  <c r="A32" i="341" s="1"/>
  <c r="A33" i="341" s="1"/>
  <c r="A34" i="341" s="1"/>
  <c r="A35" i="341" s="1"/>
  <c r="A36" i="341" s="1"/>
  <c r="A37" i="341" s="1"/>
  <c r="A38" i="341" s="1"/>
  <c r="A42" i="341" s="1"/>
  <c r="A43" i="341" s="1"/>
  <c r="A44" i="341" s="1"/>
  <c r="A45" i="341" s="1"/>
  <c r="A46" i="341" s="1"/>
  <c r="A47" i="341" s="1"/>
  <c r="A48" i="341" s="1"/>
  <c r="A49" i="341" s="1"/>
  <c r="Z23" i="341"/>
  <c r="I23" i="341"/>
  <c r="Z22" i="341"/>
  <c r="Z26" i="341" s="1"/>
  <c r="J22" i="341"/>
  <c r="S22" i="341" s="1"/>
  <c r="T22" i="341" s="1"/>
  <c r="I22" i="341"/>
  <c r="Z21" i="341"/>
  <c r="Y21" i="341"/>
  <c r="AA21" i="341" s="1"/>
  <c r="W21" i="341"/>
  <c r="U21" i="341"/>
  <c r="T21" i="341"/>
  <c r="S21" i="341"/>
  <c r="J21" i="341"/>
  <c r="I21" i="341"/>
  <c r="Z20" i="341"/>
  <c r="T20" i="341"/>
  <c r="I20" i="341"/>
  <c r="J20" i="341" s="1"/>
  <c r="S20" i="341" s="1"/>
  <c r="A20" i="341"/>
  <c r="A21" i="341" s="1"/>
  <c r="A22" i="341" s="1"/>
  <c r="A23" i="341" s="1"/>
  <c r="Z19" i="341"/>
  <c r="I19" i="341"/>
  <c r="J19" i="341" s="1"/>
  <c r="D188" i="340"/>
  <c r="F187" i="340"/>
  <c r="R186" i="340"/>
  <c r="Q186" i="340"/>
  <c r="O186" i="340"/>
  <c r="N186" i="340"/>
  <c r="M186" i="340"/>
  <c r="L186" i="340"/>
  <c r="K186" i="340"/>
  <c r="F186" i="340"/>
  <c r="E186" i="340"/>
  <c r="D186" i="340"/>
  <c r="Z185" i="340"/>
  <c r="Y185" i="340"/>
  <c r="AA185" i="340" s="1"/>
  <c r="W185" i="340"/>
  <c r="V185" i="340"/>
  <c r="X185" i="340" s="1"/>
  <c r="P185" i="340"/>
  <c r="I185" i="340"/>
  <c r="J185" i="340" s="1"/>
  <c r="S185" i="340" s="1"/>
  <c r="T185" i="340" s="1"/>
  <c r="U185" i="340" s="1"/>
  <c r="Z184" i="340"/>
  <c r="P184" i="340"/>
  <c r="I184" i="340"/>
  <c r="Z183" i="340"/>
  <c r="P183" i="340"/>
  <c r="J183" i="340"/>
  <c r="S183" i="340" s="1"/>
  <c r="I183" i="340"/>
  <c r="P182" i="340"/>
  <c r="J182" i="340"/>
  <c r="S182" i="340" s="1"/>
  <c r="I182" i="340"/>
  <c r="P181" i="340"/>
  <c r="P186" i="340" s="1"/>
  <c r="J181" i="340"/>
  <c r="I181" i="340"/>
  <c r="Z181" i="340" s="1"/>
  <c r="R180" i="340"/>
  <c r="I180" i="340"/>
  <c r="Z180" i="340" s="1"/>
  <c r="I179" i="340"/>
  <c r="Z179" i="340" s="1"/>
  <c r="Z178" i="340"/>
  <c r="I178" i="340"/>
  <c r="Z177" i="340"/>
  <c r="S177" i="340"/>
  <c r="T177" i="340" s="1"/>
  <c r="J177" i="340"/>
  <c r="I177" i="340"/>
  <c r="Z176" i="340"/>
  <c r="Y176" i="340"/>
  <c r="AA176" i="340" s="1"/>
  <c r="S176" i="340"/>
  <c r="T176" i="340" s="1"/>
  <c r="J176" i="340"/>
  <c r="I176" i="340"/>
  <c r="Z175" i="340"/>
  <c r="T175" i="340"/>
  <c r="I175" i="340"/>
  <c r="J175" i="340" s="1"/>
  <c r="S175" i="340" s="1"/>
  <c r="Z174" i="340"/>
  <c r="I174" i="340"/>
  <c r="J174" i="340" s="1"/>
  <c r="R172" i="340"/>
  <c r="Q172" i="340"/>
  <c r="P172" i="340"/>
  <c r="O172" i="340"/>
  <c r="N172" i="340"/>
  <c r="M172" i="340"/>
  <c r="L172" i="340"/>
  <c r="K172" i="340"/>
  <c r="F172" i="340"/>
  <c r="D172" i="340"/>
  <c r="J171" i="340"/>
  <c r="I171" i="340"/>
  <c r="R169" i="340"/>
  <c r="Q169" i="340"/>
  <c r="P169" i="340"/>
  <c r="O169" i="340"/>
  <c r="N169" i="340"/>
  <c r="L169" i="340"/>
  <c r="K169" i="340"/>
  <c r="F169" i="340"/>
  <c r="E169" i="340"/>
  <c r="D169" i="340"/>
  <c r="J168" i="340"/>
  <c r="S168" i="340" s="1"/>
  <c r="T168" i="340" s="1"/>
  <c r="I168" i="340"/>
  <c r="Z168" i="340" s="1"/>
  <c r="J167" i="340"/>
  <c r="S167" i="340" s="1"/>
  <c r="I167" i="340"/>
  <c r="I166" i="340"/>
  <c r="Z166" i="340" s="1"/>
  <c r="Z165" i="340"/>
  <c r="J165" i="340"/>
  <c r="S165" i="340" s="1"/>
  <c r="T165" i="340" s="1"/>
  <c r="I165" i="340"/>
  <c r="Z164" i="340"/>
  <c r="I164" i="340"/>
  <c r="Z163" i="340"/>
  <c r="S163" i="340"/>
  <c r="T163" i="340" s="1"/>
  <c r="J163" i="340"/>
  <c r="I163" i="340"/>
  <c r="Z162" i="340"/>
  <c r="Y162" i="340"/>
  <c r="AA162" i="340" s="1"/>
  <c r="S162" i="340"/>
  <c r="T162" i="340" s="1"/>
  <c r="J162" i="340"/>
  <c r="I162" i="340"/>
  <c r="Z161" i="340"/>
  <c r="S161" i="340"/>
  <c r="T161" i="340" s="1"/>
  <c r="J161" i="340"/>
  <c r="I161" i="340"/>
  <c r="Z160" i="340"/>
  <c r="K160" i="340"/>
  <c r="I160" i="340"/>
  <c r="J160" i="340" s="1"/>
  <c r="S160" i="340" s="1"/>
  <c r="T160" i="340" s="1"/>
  <c r="I159" i="340"/>
  <c r="I158" i="340"/>
  <c r="Z157" i="340"/>
  <c r="S157" i="340"/>
  <c r="J157" i="340"/>
  <c r="I157" i="340"/>
  <c r="Z156" i="340"/>
  <c r="I156" i="340"/>
  <c r="M156" i="340" s="1"/>
  <c r="I155" i="340"/>
  <c r="Z155" i="340" s="1"/>
  <c r="J154" i="340"/>
  <c r="S154" i="340" s="1"/>
  <c r="I154" i="340"/>
  <c r="J153" i="340"/>
  <c r="S153" i="340" s="1"/>
  <c r="T153" i="340" s="1"/>
  <c r="I153" i="340"/>
  <c r="Z153" i="340" s="1"/>
  <c r="I152" i="340"/>
  <c r="Z152" i="340" s="1"/>
  <c r="J151" i="340"/>
  <c r="I151" i="340"/>
  <c r="Z151" i="340" s="1"/>
  <c r="Z150" i="340"/>
  <c r="M150" i="340"/>
  <c r="J150" i="340"/>
  <c r="I150" i="340"/>
  <c r="I149" i="340"/>
  <c r="J148" i="340"/>
  <c r="I148" i="340"/>
  <c r="Z148" i="340" s="1"/>
  <c r="S147" i="340"/>
  <c r="T147" i="340" s="1"/>
  <c r="J147" i="340"/>
  <c r="I147" i="340"/>
  <c r="Z147" i="340" s="1"/>
  <c r="I146" i="340"/>
  <c r="Z146" i="340" s="1"/>
  <c r="Z145" i="340"/>
  <c r="S145" i="340"/>
  <c r="T145" i="340" s="1"/>
  <c r="J145" i="340"/>
  <c r="I145" i="340"/>
  <c r="Z144" i="340"/>
  <c r="M144" i="340"/>
  <c r="K144" i="340"/>
  <c r="I144" i="340"/>
  <c r="R142" i="340"/>
  <c r="Q142" i="340"/>
  <c r="P142" i="340"/>
  <c r="O142" i="340"/>
  <c r="N142" i="340"/>
  <c r="M142" i="340"/>
  <c r="L142" i="340"/>
  <c r="K142" i="340"/>
  <c r="J142" i="340"/>
  <c r="F142" i="340"/>
  <c r="E142" i="340"/>
  <c r="D142" i="340"/>
  <c r="J141" i="340"/>
  <c r="S141" i="340" s="1"/>
  <c r="S142" i="340" s="1"/>
  <c r="I141" i="340"/>
  <c r="R138" i="340"/>
  <c r="N138" i="340"/>
  <c r="M138" i="340"/>
  <c r="L138" i="340"/>
  <c r="K138" i="340"/>
  <c r="E138" i="340"/>
  <c r="D138" i="340"/>
  <c r="P137" i="340"/>
  <c r="J137" i="340"/>
  <c r="S137" i="340" s="1"/>
  <c r="I137" i="340"/>
  <c r="Z137" i="340" s="1"/>
  <c r="P136" i="340"/>
  <c r="J136" i="340"/>
  <c r="S136" i="340" s="1"/>
  <c r="I136" i="340"/>
  <c r="Q135" i="340"/>
  <c r="I135" i="340"/>
  <c r="Z134" i="340"/>
  <c r="Y134" i="340"/>
  <c r="AA134" i="340" s="1"/>
  <c r="Q134" i="340"/>
  <c r="J134" i="340"/>
  <c r="S134" i="340" s="1"/>
  <c r="T134" i="340" s="1"/>
  <c r="I134" i="340"/>
  <c r="Z133" i="340"/>
  <c r="P133" i="340"/>
  <c r="I133" i="340"/>
  <c r="J133" i="340" s="1"/>
  <c r="S133" i="340" s="1"/>
  <c r="T133" i="340" s="1"/>
  <c r="U133" i="340" s="1"/>
  <c r="Z132" i="340"/>
  <c r="P132" i="340"/>
  <c r="I132" i="340"/>
  <c r="Z131" i="340"/>
  <c r="P131" i="340"/>
  <c r="J131" i="340"/>
  <c r="S131" i="340" s="1"/>
  <c r="I131" i="340"/>
  <c r="Z130" i="340"/>
  <c r="P130" i="340"/>
  <c r="I130" i="340"/>
  <c r="J130" i="340" s="1"/>
  <c r="S130" i="340" s="1"/>
  <c r="T130" i="340" s="1"/>
  <c r="Q129" i="340"/>
  <c r="I129" i="340"/>
  <c r="P128" i="340"/>
  <c r="I128" i="340"/>
  <c r="Z128" i="340" s="1"/>
  <c r="Z127" i="340"/>
  <c r="S127" i="340"/>
  <c r="T127" i="340" s="1"/>
  <c r="P127" i="340"/>
  <c r="J127" i="340"/>
  <c r="I127" i="340"/>
  <c r="Z126" i="340"/>
  <c r="Q126" i="340"/>
  <c r="Q138" i="340" s="1"/>
  <c r="J126" i="340"/>
  <c r="S126" i="340" s="1"/>
  <c r="T126" i="340" s="1"/>
  <c r="I126" i="340"/>
  <c r="Z125" i="340"/>
  <c r="R125" i="340"/>
  <c r="I125" i="340"/>
  <c r="J125" i="340" s="1"/>
  <c r="S125" i="340" s="1"/>
  <c r="T125" i="340" s="1"/>
  <c r="U125" i="340" s="1"/>
  <c r="Z124" i="340"/>
  <c r="R124" i="340"/>
  <c r="I124" i="340"/>
  <c r="Z123" i="340"/>
  <c r="I123" i="340"/>
  <c r="I122" i="340"/>
  <c r="Z121" i="340"/>
  <c r="S121" i="340"/>
  <c r="T121" i="340" s="1"/>
  <c r="J121" i="340"/>
  <c r="I121" i="340"/>
  <c r="I120" i="340"/>
  <c r="I119" i="340"/>
  <c r="Z119" i="340" s="1"/>
  <c r="S118" i="340"/>
  <c r="T118" i="340" s="1"/>
  <c r="J118" i="340"/>
  <c r="I118" i="340"/>
  <c r="Z118" i="340" s="1"/>
  <c r="J117" i="340"/>
  <c r="S117" i="340" s="1"/>
  <c r="I117" i="340"/>
  <c r="I116" i="340"/>
  <c r="Z116" i="340" s="1"/>
  <c r="I115" i="340"/>
  <c r="O114" i="340"/>
  <c r="O138" i="340" s="1"/>
  <c r="I114" i="340"/>
  <c r="Z113" i="340"/>
  <c r="Y113" i="340"/>
  <c r="AA113" i="340" s="1"/>
  <c r="W113" i="340"/>
  <c r="T113" i="340"/>
  <c r="S113" i="340"/>
  <c r="R113" i="340"/>
  <c r="J113" i="340"/>
  <c r="I113" i="340"/>
  <c r="Z112" i="340"/>
  <c r="Y112" i="340"/>
  <c r="AA112" i="340" s="1"/>
  <c r="W112" i="340"/>
  <c r="T112" i="340"/>
  <c r="I112" i="340"/>
  <c r="J112" i="340" s="1"/>
  <c r="S112" i="340" s="1"/>
  <c r="Z111" i="340"/>
  <c r="I111" i="340"/>
  <c r="R109" i="340"/>
  <c r="Q109" i="340"/>
  <c r="P109" i="340"/>
  <c r="O109" i="340"/>
  <c r="O187" i="340" s="1"/>
  <c r="N109" i="340"/>
  <c r="M109" i="340"/>
  <c r="L109" i="340"/>
  <c r="K109" i="340"/>
  <c r="E109" i="340"/>
  <c r="D109" i="340"/>
  <c r="Z108" i="340"/>
  <c r="S108" i="340"/>
  <c r="T108" i="340" s="1"/>
  <c r="J108" i="340"/>
  <c r="I108" i="340"/>
  <c r="Z107" i="340"/>
  <c r="Z109" i="340" s="1"/>
  <c r="I107" i="340"/>
  <c r="I109" i="340" s="1"/>
  <c r="Z106" i="340"/>
  <c r="J106" i="340"/>
  <c r="S106" i="340" s="1"/>
  <c r="I106" i="340"/>
  <c r="R104" i="340"/>
  <c r="Q104" i="340"/>
  <c r="O104" i="340"/>
  <c r="N104" i="340"/>
  <c r="L104" i="340"/>
  <c r="K104" i="340"/>
  <c r="K188" i="340" s="1"/>
  <c r="E104" i="340"/>
  <c r="D104" i="340"/>
  <c r="J103" i="340"/>
  <c r="S103" i="340" s="1"/>
  <c r="T103" i="340" s="1"/>
  <c r="I103" i="340"/>
  <c r="Z103" i="340" s="1"/>
  <c r="I102" i="340"/>
  <c r="Z102" i="340" s="1"/>
  <c r="I101" i="340"/>
  <c r="I100" i="340"/>
  <c r="Z100" i="340" s="1"/>
  <c r="Z99" i="340"/>
  <c r="W99" i="340"/>
  <c r="I99" i="340"/>
  <c r="J99" i="340" s="1"/>
  <c r="S99" i="340" s="1"/>
  <c r="T99" i="340" s="1"/>
  <c r="Z98" i="340"/>
  <c r="T98" i="340"/>
  <c r="W98" i="340" s="1"/>
  <c r="S98" i="340"/>
  <c r="J98" i="340"/>
  <c r="I98" i="340"/>
  <c r="Z97" i="340"/>
  <c r="S97" i="340"/>
  <c r="T97" i="340" s="1"/>
  <c r="J97" i="340"/>
  <c r="I97" i="340"/>
  <c r="Z96" i="340"/>
  <c r="W96" i="340"/>
  <c r="I96" i="340"/>
  <c r="J96" i="340" s="1"/>
  <c r="S96" i="340" s="1"/>
  <c r="T96" i="340" s="1"/>
  <c r="Z95" i="340"/>
  <c r="I95" i="340"/>
  <c r="I94" i="340"/>
  <c r="Z94" i="340" s="1"/>
  <c r="Z93" i="340"/>
  <c r="J93" i="340"/>
  <c r="S93" i="340" s="1"/>
  <c r="I93" i="340"/>
  <c r="Z92" i="340"/>
  <c r="I92" i="340"/>
  <c r="J92" i="340" s="1"/>
  <c r="S92" i="340" s="1"/>
  <c r="I91" i="340"/>
  <c r="K90" i="340"/>
  <c r="S90" i="340" s="1"/>
  <c r="T90" i="340" s="1"/>
  <c r="J90" i="340"/>
  <c r="I90" i="340"/>
  <c r="Z90" i="340" s="1"/>
  <c r="I89" i="340"/>
  <c r="J89" i="340" s="1"/>
  <c r="S89" i="340" s="1"/>
  <c r="P88" i="340"/>
  <c r="I88" i="340"/>
  <c r="Z87" i="340"/>
  <c r="P87" i="340"/>
  <c r="I87" i="340"/>
  <c r="J87" i="340" s="1"/>
  <c r="S87" i="340" s="1"/>
  <c r="T87" i="340" s="1"/>
  <c r="Z86" i="340"/>
  <c r="P86" i="340"/>
  <c r="P104" i="340" s="1"/>
  <c r="J86" i="340"/>
  <c r="S86" i="340" s="1"/>
  <c r="T86" i="340" s="1"/>
  <c r="I86" i="340"/>
  <c r="Z85" i="340"/>
  <c r="K85" i="340"/>
  <c r="I85" i="340"/>
  <c r="M85" i="340" s="1"/>
  <c r="Z84" i="340"/>
  <c r="I84" i="340"/>
  <c r="J84" i="340" s="1"/>
  <c r="K83" i="340"/>
  <c r="I83" i="340"/>
  <c r="J83" i="340" s="1"/>
  <c r="S83" i="340" s="1"/>
  <c r="I82" i="340"/>
  <c r="Z82" i="340" s="1"/>
  <c r="J81" i="340"/>
  <c r="S81" i="340" s="1"/>
  <c r="I81" i="340"/>
  <c r="I80" i="340"/>
  <c r="Z80" i="340" s="1"/>
  <c r="I79" i="340"/>
  <c r="Z79" i="340" s="1"/>
  <c r="T78" i="340"/>
  <c r="Y78" i="340" s="1"/>
  <c r="AA78" i="340" s="1"/>
  <c r="S78" i="340"/>
  <c r="J78" i="340"/>
  <c r="I78" i="340"/>
  <c r="Z78" i="340" s="1"/>
  <c r="I77" i="340"/>
  <c r="Z76" i="340"/>
  <c r="I76" i="340"/>
  <c r="Z75" i="340"/>
  <c r="W75" i="340"/>
  <c r="U75" i="340"/>
  <c r="V75" i="340" s="1"/>
  <c r="X75" i="340" s="1"/>
  <c r="J75" i="340"/>
  <c r="S75" i="340" s="1"/>
  <c r="T75" i="340" s="1"/>
  <c r="Y75" i="340" s="1"/>
  <c r="AA75" i="340" s="1"/>
  <c r="I75" i="340"/>
  <c r="Z74" i="340"/>
  <c r="T74" i="340"/>
  <c r="S74" i="340"/>
  <c r="J74" i="340"/>
  <c r="I74" i="340"/>
  <c r="Z73" i="340"/>
  <c r="I73" i="340"/>
  <c r="J73" i="340" s="1"/>
  <c r="S73" i="340" s="1"/>
  <c r="T73" i="340" s="1"/>
  <c r="Z72" i="340"/>
  <c r="I72" i="340"/>
  <c r="I71" i="340"/>
  <c r="I70" i="340"/>
  <c r="Z69" i="340"/>
  <c r="I69" i="340"/>
  <c r="I68" i="340"/>
  <c r="Z67" i="340"/>
  <c r="T67" i="340"/>
  <c r="I67" i="340"/>
  <c r="J67" i="340" s="1"/>
  <c r="S67" i="340" s="1"/>
  <c r="I66" i="340"/>
  <c r="J66" i="340" s="1"/>
  <c r="S66" i="340" s="1"/>
  <c r="I65" i="340"/>
  <c r="J65" i="340" s="1"/>
  <c r="S65" i="340" s="1"/>
  <c r="I64" i="340"/>
  <c r="Z64" i="340" s="1"/>
  <c r="S63" i="340"/>
  <c r="T63" i="340" s="1"/>
  <c r="J63" i="340"/>
  <c r="I63" i="340"/>
  <c r="Z63" i="340" s="1"/>
  <c r="Z62" i="340"/>
  <c r="J62" i="340"/>
  <c r="S62" i="340" s="1"/>
  <c r="I62" i="340"/>
  <c r="I61" i="340"/>
  <c r="Z61" i="340" s="1"/>
  <c r="I60" i="340"/>
  <c r="J60" i="340" s="1"/>
  <c r="S60" i="340" s="1"/>
  <c r="AA59" i="340"/>
  <c r="Z59" i="340"/>
  <c r="Y59" i="340"/>
  <c r="W59" i="340"/>
  <c r="V59" i="340"/>
  <c r="X59" i="340" s="1"/>
  <c r="J59" i="340"/>
  <c r="S59" i="340" s="1"/>
  <c r="T59" i="340" s="1"/>
  <c r="U59" i="340" s="1"/>
  <c r="I59" i="340"/>
  <c r="Z58" i="340"/>
  <c r="T58" i="340"/>
  <c r="S58" i="340"/>
  <c r="J58" i="340"/>
  <c r="I58" i="340"/>
  <c r="Z57" i="340"/>
  <c r="T57" i="340"/>
  <c r="I57" i="340"/>
  <c r="J57" i="340" s="1"/>
  <c r="S57" i="340" s="1"/>
  <c r="Z56" i="340"/>
  <c r="I56" i="340"/>
  <c r="I55" i="340"/>
  <c r="I54" i="340"/>
  <c r="J54" i="340" s="1"/>
  <c r="S54" i="340" s="1"/>
  <c r="Z53" i="340"/>
  <c r="I53" i="340"/>
  <c r="Z52" i="340"/>
  <c r="J52" i="340"/>
  <c r="S52" i="340" s="1"/>
  <c r="T52" i="340" s="1"/>
  <c r="I52" i="340"/>
  <c r="I51" i="340"/>
  <c r="S50" i="340"/>
  <c r="T50" i="340" s="1"/>
  <c r="J50" i="340"/>
  <c r="I50" i="340"/>
  <c r="Z50" i="340" s="1"/>
  <c r="I49" i="340"/>
  <c r="I48" i="340"/>
  <c r="W47" i="340"/>
  <c r="T47" i="340"/>
  <c r="U47" i="340" s="1"/>
  <c r="S47" i="340"/>
  <c r="J47" i="340"/>
  <c r="I47" i="340"/>
  <c r="Z47" i="340" s="1"/>
  <c r="I46" i="340"/>
  <c r="I45" i="340"/>
  <c r="Z45" i="340" s="1"/>
  <c r="J44" i="340"/>
  <c r="S44" i="340" s="1"/>
  <c r="I44" i="340"/>
  <c r="Z43" i="340"/>
  <c r="J43" i="340"/>
  <c r="I43" i="340"/>
  <c r="Z42" i="340"/>
  <c r="Y42" i="340"/>
  <c r="AA42" i="340" s="1"/>
  <c r="T42" i="340"/>
  <c r="S42" i="340"/>
  <c r="J42" i="340"/>
  <c r="I42" i="340"/>
  <c r="P40" i="340"/>
  <c r="N40" i="340"/>
  <c r="M40" i="340"/>
  <c r="K40" i="340"/>
  <c r="R39" i="340"/>
  <c r="Q39" i="340"/>
  <c r="P39" i="340"/>
  <c r="O39" i="340"/>
  <c r="N39" i="340"/>
  <c r="M39" i="340"/>
  <c r="L39" i="340"/>
  <c r="K39" i="340"/>
  <c r="E39" i="340"/>
  <c r="E40" i="340" s="1"/>
  <c r="D39" i="340"/>
  <c r="D40" i="340" s="1"/>
  <c r="Z38" i="340"/>
  <c r="I38" i="340"/>
  <c r="J38" i="340" s="1"/>
  <c r="S38" i="340" s="1"/>
  <c r="T38" i="340" s="1"/>
  <c r="Y38" i="340" s="1"/>
  <c r="AA38" i="340" s="1"/>
  <c r="Z37" i="340"/>
  <c r="S37" i="340"/>
  <c r="T37" i="340" s="1"/>
  <c r="J37" i="340"/>
  <c r="I37" i="340"/>
  <c r="J36" i="340"/>
  <c r="S36" i="340" s="1"/>
  <c r="I36" i="340"/>
  <c r="I35" i="340"/>
  <c r="Z35" i="340" s="1"/>
  <c r="I34" i="340"/>
  <c r="Z34" i="340" s="1"/>
  <c r="I33" i="340"/>
  <c r="Z33" i="340" s="1"/>
  <c r="A33" i="340"/>
  <c r="A34" i="340" s="1"/>
  <c r="A35" i="340" s="1"/>
  <c r="A36" i="340" s="1"/>
  <c r="A37" i="340" s="1"/>
  <c r="A38" i="340" s="1"/>
  <c r="A42" i="340" s="1"/>
  <c r="A43" i="340" s="1"/>
  <c r="A44" i="340" s="1"/>
  <c r="A45" i="340" s="1"/>
  <c r="A46" i="340" s="1"/>
  <c r="A47" i="340" s="1"/>
  <c r="A48" i="340" s="1"/>
  <c r="A49" i="340" s="1"/>
  <c r="A50" i="340" s="1"/>
  <c r="A51" i="340" s="1"/>
  <c r="A52" i="340" s="1"/>
  <c r="A53" i="340" s="1"/>
  <c r="A54" i="340" s="1"/>
  <c r="A55" i="340" s="1"/>
  <c r="A56" i="340" s="1"/>
  <c r="A57" i="340" s="1"/>
  <c r="A58" i="340" s="1"/>
  <c r="A59" i="340" s="1"/>
  <c r="A60" i="340" s="1"/>
  <c r="A61" i="340" s="1"/>
  <c r="A62" i="340" s="1"/>
  <c r="A63" i="340" s="1"/>
  <c r="A64" i="340" s="1"/>
  <c r="A65" i="340" s="1"/>
  <c r="A66" i="340" s="1"/>
  <c r="A67" i="340" s="1"/>
  <c r="A68" i="340" s="1"/>
  <c r="A69" i="340" s="1"/>
  <c r="A70" i="340" s="1"/>
  <c r="A71" i="340" s="1"/>
  <c r="A72" i="340" s="1"/>
  <c r="A73" i="340" s="1"/>
  <c r="A74" i="340" s="1"/>
  <c r="A75" i="340" s="1"/>
  <c r="A76" i="340" s="1"/>
  <c r="A77" i="340" s="1"/>
  <c r="A78" i="340" s="1"/>
  <c r="A79" i="340" s="1"/>
  <c r="A80" i="340" s="1"/>
  <c r="A81" i="340" s="1"/>
  <c r="A82" i="340" s="1"/>
  <c r="A83" i="340" s="1"/>
  <c r="A84" i="340" s="1"/>
  <c r="A85" i="340" s="1"/>
  <c r="A86" i="340" s="1"/>
  <c r="A87" i="340" s="1"/>
  <c r="A88" i="340" s="1"/>
  <c r="A89" i="340" s="1"/>
  <c r="A90" i="340" s="1"/>
  <c r="A91" i="340" s="1"/>
  <c r="A92" i="340" s="1"/>
  <c r="A93" i="340" s="1"/>
  <c r="A94" i="340" s="1"/>
  <c r="A95" i="340" s="1"/>
  <c r="A96" i="340" s="1"/>
  <c r="A97" i="340" s="1"/>
  <c r="A98" i="340" s="1"/>
  <c r="A99" i="340" s="1"/>
  <c r="A100" i="340" s="1"/>
  <c r="A101" i="340" s="1"/>
  <c r="A102" i="340" s="1"/>
  <c r="A103" i="340" s="1"/>
  <c r="A106" i="340" s="1"/>
  <c r="A107" i="340" s="1"/>
  <c r="A108" i="340" s="1"/>
  <c r="A111" i="340" s="1"/>
  <c r="A112" i="340" s="1"/>
  <c r="A113" i="340" s="1"/>
  <c r="A114" i="340" s="1"/>
  <c r="A115" i="340" s="1"/>
  <c r="A116" i="340" s="1"/>
  <c r="A117" i="340" s="1"/>
  <c r="A118" i="340" s="1"/>
  <c r="A119" i="340" s="1"/>
  <c r="A120" i="340" s="1"/>
  <c r="A121" i="340" s="1"/>
  <c r="A122" i="340" s="1"/>
  <c r="A123" i="340" s="1"/>
  <c r="A124" i="340" s="1"/>
  <c r="A125" i="340" s="1"/>
  <c r="A126" i="340" s="1"/>
  <c r="A127" i="340" s="1"/>
  <c r="A128" i="340" s="1"/>
  <c r="A129" i="340" s="1"/>
  <c r="A130" i="340" s="1"/>
  <c r="A131" i="340" s="1"/>
  <c r="A132" i="340" s="1"/>
  <c r="A133" i="340" s="1"/>
  <c r="A134" i="340" s="1"/>
  <c r="A135" i="340" s="1"/>
  <c r="A136" i="340" s="1"/>
  <c r="A137" i="340" s="1"/>
  <c r="A141" i="340" s="1"/>
  <c r="A144" i="340" s="1"/>
  <c r="A145" i="340" s="1"/>
  <c r="A146" i="340" s="1"/>
  <c r="A147" i="340" s="1"/>
  <c r="A148" i="340" s="1"/>
  <c r="A149" i="340" s="1"/>
  <c r="A150" i="340" s="1"/>
  <c r="A151" i="340" s="1"/>
  <c r="A152" i="340" s="1"/>
  <c r="A153" i="340" s="1"/>
  <c r="A154" i="340" s="1"/>
  <c r="A155" i="340" s="1"/>
  <c r="A156" i="340" s="1"/>
  <c r="A157" i="340" s="1"/>
  <c r="A158" i="340" s="1"/>
  <c r="A159" i="340" s="1"/>
  <c r="A160" i="340" s="1"/>
  <c r="A161" i="340" s="1"/>
  <c r="A162" i="340" s="1"/>
  <c r="A163" i="340" s="1"/>
  <c r="A164" i="340" s="1"/>
  <c r="A165" i="340" s="1"/>
  <c r="A166" i="340" s="1"/>
  <c r="A167" i="340" s="1"/>
  <c r="A168" i="340" s="1"/>
  <c r="A171" i="340" s="1"/>
  <c r="A174" i="340" s="1"/>
  <c r="A175" i="340" s="1"/>
  <c r="A176" i="340" s="1"/>
  <c r="A177" i="340" s="1"/>
  <c r="A178" i="340" s="1"/>
  <c r="A179" i="340" s="1"/>
  <c r="A180" i="340" s="1"/>
  <c r="A181" i="340" s="1"/>
  <c r="A182" i="340" s="1"/>
  <c r="A183" i="340" s="1"/>
  <c r="A184" i="340" s="1"/>
  <c r="A185" i="340" s="1"/>
  <c r="Z32" i="340"/>
  <c r="I32" i="340"/>
  <c r="I31" i="340"/>
  <c r="Z30" i="340"/>
  <c r="I30" i="340"/>
  <c r="J30" i="340" s="1"/>
  <c r="S30" i="340" s="1"/>
  <c r="T30" i="340" s="1"/>
  <c r="Z29" i="340"/>
  <c r="Y29" i="340"/>
  <c r="AA29" i="340" s="1"/>
  <c r="J29" i="340"/>
  <c r="S29" i="340" s="1"/>
  <c r="T29" i="340" s="1"/>
  <c r="I29" i="340"/>
  <c r="Z28" i="340"/>
  <c r="S28" i="340"/>
  <c r="T28" i="340" s="1"/>
  <c r="J28" i="340"/>
  <c r="I28" i="340"/>
  <c r="Z27" i="340"/>
  <c r="S27" i="340"/>
  <c r="J27" i="340"/>
  <c r="I27" i="340"/>
  <c r="R26" i="340"/>
  <c r="Q26" i="340"/>
  <c r="P26" i="340"/>
  <c r="O26" i="340"/>
  <c r="O188" i="340" s="1"/>
  <c r="O189" i="340" s="1"/>
  <c r="N26" i="340"/>
  <c r="M26" i="340"/>
  <c r="K26" i="340"/>
  <c r="I26" i="340"/>
  <c r="F26" i="340"/>
  <c r="F188" i="340" s="1"/>
  <c r="F189" i="340" s="1"/>
  <c r="E26" i="340"/>
  <c r="E188" i="340" s="1"/>
  <c r="D26" i="340"/>
  <c r="J25" i="340"/>
  <c r="I25" i="340"/>
  <c r="Z25" i="340" s="1"/>
  <c r="I24" i="340"/>
  <c r="Z23" i="340"/>
  <c r="J23" i="340"/>
  <c r="S23" i="340" s="1"/>
  <c r="T23" i="340" s="1"/>
  <c r="I23" i="340"/>
  <c r="I22" i="340"/>
  <c r="J22" i="340" s="1"/>
  <c r="S21" i="340"/>
  <c r="L21" i="340"/>
  <c r="J21" i="340"/>
  <c r="I21" i="340"/>
  <c r="J20" i="340"/>
  <c r="I20" i="340"/>
  <c r="Z20" i="340" s="1"/>
  <c r="A20" i="340"/>
  <c r="A21" i="340" s="1"/>
  <c r="A22" i="340" s="1"/>
  <c r="A23" i="340" s="1"/>
  <c r="A24" i="340" s="1"/>
  <c r="A25" i="340" s="1"/>
  <c r="A27" i="340" s="1"/>
  <c r="A28" i="340" s="1"/>
  <c r="A29" i="340" s="1"/>
  <c r="A30" i="340" s="1"/>
  <c r="A31" i="340" s="1"/>
  <c r="A32" i="340" s="1"/>
  <c r="I19" i="340"/>
  <c r="J19" i="340" s="1"/>
  <c r="E12" i="154"/>
  <c r="D12" i="154"/>
  <c r="S19" i="340" l="1"/>
  <c r="AD112" i="340"/>
  <c r="AC112" i="340" s="1"/>
  <c r="AF112" i="340" s="1"/>
  <c r="AE112" i="340"/>
  <c r="AB112" i="340"/>
  <c r="D189" i="340"/>
  <c r="BG47" i="342"/>
  <c r="Z47" i="342"/>
  <c r="AZ47" i="342" s="1"/>
  <c r="BA47" i="342" s="1"/>
  <c r="AE38" i="340"/>
  <c r="AD38" i="340"/>
  <c r="AB38" i="340"/>
  <c r="AD78" i="340"/>
  <c r="AB78" i="340"/>
  <c r="AE78" i="340"/>
  <c r="AE162" i="340"/>
  <c r="AD162" i="340"/>
  <c r="AB162" i="340"/>
  <c r="Y63" i="341"/>
  <c r="AA63" i="341" s="1"/>
  <c r="W63" i="341"/>
  <c r="V63" i="341"/>
  <c r="X63" i="341" s="1"/>
  <c r="U63" i="341"/>
  <c r="AE29" i="340"/>
  <c r="AD29" i="340"/>
  <c r="AB29" i="340"/>
  <c r="Y90" i="340"/>
  <c r="AA90" i="340" s="1"/>
  <c r="W90" i="340"/>
  <c r="U90" i="340"/>
  <c r="Y118" i="340"/>
  <c r="AA118" i="340" s="1"/>
  <c r="W118" i="340"/>
  <c r="V118" i="340"/>
  <c r="U118" i="340"/>
  <c r="X118" i="340" s="1"/>
  <c r="AE42" i="340"/>
  <c r="AD42" i="340"/>
  <c r="AB42" i="340"/>
  <c r="Y147" i="340"/>
  <c r="AA147" i="340" s="1"/>
  <c r="W147" i="340"/>
  <c r="U147" i="340"/>
  <c r="Y87" i="340"/>
  <c r="AA87" i="340" s="1"/>
  <c r="W87" i="340"/>
  <c r="V87" i="340" s="1"/>
  <c r="X87" i="340" s="1"/>
  <c r="U87" i="340"/>
  <c r="W37" i="340"/>
  <c r="Y37" i="340"/>
  <c r="AA37" i="340" s="1"/>
  <c r="U37" i="340"/>
  <c r="W57" i="340"/>
  <c r="V57" i="340"/>
  <c r="Y57" i="340"/>
  <c r="AA57" i="340" s="1"/>
  <c r="W127" i="340"/>
  <c r="V127" i="340" s="1"/>
  <c r="X127" i="340" s="1"/>
  <c r="U127" i="340"/>
  <c r="Y127" i="340"/>
  <c r="AA127" i="340" s="1"/>
  <c r="AE134" i="340"/>
  <c r="AD134" i="340"/>
  <c r="AB134" i="340"/>
  <c r="AE59" i="341"/>
  <c r="AD59" i="341"/>
  <c r="AC59" i="341"/>
  <c r="AF59" i="341" s="1"/>
  <c r="AB59" i="341"/>
  <c r="Y70" i="341"/>
  <c r="AA70" i="341" s="1"/>
  <c r="W70" i="341"/>
  <c r="U70" i="341"/>
  <c r="V70" i="341" s="1"/>
  <c r="U117" i="341"/>
  <c r="U57" i="340"/>
  <c r="X57" i="340" s="1"/>
  <c r="Y73" i="340"/>
  <c r="AA73" i="340" s="1"/>
  <c r="W73" i="340"/>
  <c r="V73" i="340" s="1"/>
  <c r="U73" i="340"/>
  <c r="X73" i="340" s="1"/>
  <c r="AE113" i="340"/>
  <c r="AD113" i="340"/>
  <c r="AC113" i="340" s="1"/>
  <c r="AF113" i="340" s="1"/>
  <c r="AB113" i="340"/>
  <c r="AE176" i="340"/>
  <c r="AD176" i="340"/>
  <c r="AB176" i="340"/>
  <c r="AE30" i="341"/>
  <c r="AD30" i="341"/>
  <c r="AC30" i="341" s="1"/>
  <c r="AF30" i="341" s="1"/>
  <c r="AB30" i="341"/>
  <c r="V117" i="341"/>
  <c r="X117" i="341" s="1"/>
  <c r="Q104" i="342"/>
  <c r="X86" i="342"/>
  <c r="AQ121" i="342"/>
  <c r="AR121" i="342"/>
  <c r="AP121" i="342"/>
  <c r="AO121" i="342"/>
  <c r="AZ121" i="342" s="1"/>
  <c r="BA121" i="342" s="1"/>
  <c r="AN124" i="342"/>
  <c r="AQ155" i="343"/>
  <c r="AR155" i="343"/>
  <c r="AP155" i="343"/>
  <c r="AO155" i="343"/>
  <c r="Z120" i="340"/>
  <c r="T161" i="341"/>
  <c r="AL36" i="342"/>
  <c r="AJ36" i="342"/>
  <c r="AK36" i="342" s="1"/>
  <c r="AR36" i="342"/>
  <c r="V96" i="340"/>
  <c r="X96" i="340" s="1"/>
  <c r="U96" i="340"/>
  <c r="Y96" i="340"/>
  <c r="AA96" i="340" s="1"/>
  <c r="J120" i="340"/>
  <c r="S120" i="340" s="1"/>
  <c r="T120" i="340" s="1"/>
  <c r="Z136" i="340"/>
  <c r="T136" i="340"/>
  <c r="Y160" i="340"/>
  <c r="AA160" i="340" s="1"/>
  <c r="W160" i="340"/>
  <c r="U160" i="340"/>
  <c r="Y36" i="342"/>
  <c r="Y51" i="342"/>
  <c r="AM51" i="342"/>
  <c r="AR51" i="342"/>
  <c r="X168" i="342"/>
  <c r="Q181" i="342"/>
  <c r="AL47" i="342"/>
  <c r="AJ47" i="342"/>
  <c r="AK47" i="342" s="1"/>
  <c r="Z154" i="340"/>
  <c r="T154" i="340"/>
  <c r="W52" i="341"/>
  <c r="V52" i="341"/>
  <c r="U52" i="341"/>
  <c r="X52" i="341" s="1"/>
  <c r="Y52" i="341"/>
  <c r="AA52" i="341" s="1"/>
  <c r="Y81" i="341"/>
  <c r="AA81" i="341" s="1"/>
  <c r="W81" i="341"/>
  <c r="U81" i="341"/>
  <c r="T98" i="341"/>
  <c r="J98" i="341"/>
  <c r="S98" i="341" s="1"/>
  <c r="I122" i="341"/>
  <c r="Z98" i="341"/>
  <c r="U78" i="340"/>
  <c r="W121" i="340"/>
  <c r="V121" i="340" s="1"/>
  <c r="X121" i="340" s="1"/>
  <c r="U121" i="340"/>
  <c r="Y121" i="340"/>
  <c r="AA121" i="340" s="1"/>
  <c r="Z129" i="340"/>
  <c r="J129" i="340"/>
  <c r="S129" i="340" s="1"/>
  <c r="T129" i="340" s="1"/>
  <c r="V87" i="341"/>
  <c r="U158" i="341"/>
  <c r="V158" i="341" s="1"/>
  <c r="AQ32" i="342"/>
  <c r="AP32" i="342"/>
  <c r="AR32" i="342"/>
  <c r="AO32" i="342"/>
  <c r="AR143" i="342"/>
  <c r="AN147" i="342"/>
  <c r="AQ143" i="342"/>
  <c r="AO143" i="342"/>
  <c r="J101" i="340"/>
  <c r="S101" i="340" s="1"/>
  <c r="T101" i="340" s="1"/>
  <c r="Z115" i="340"/>
  <c r="J115" i="340"/>
  <c r="S115" i="340" s="1"/>
  <c r="T115" i="340" s="1"/>
  <c r="V133" i="340"/>
  <c r="X133" i="340" s="1"/>
  <c r="BG19" i="342"/>
  <c r="V164" i="341"/>
  <c r="AJ24" i="342"/>
  <c r="AK24" i="342" s="1"/>
  <c r="AL24" i="342"/>
  <c r="AM24" i="342" s="1"/>
  <c r="Y71" i="342"/>
  <c r="AM102" i="342"/>
  <c r="AR102" i="342"/>
  <c r="Y102" i="342"/>
  <c r="AP26" i="343"/>
  <c r="AR26" i="343"/>
  <c r="AQ26" i="343"/>
  <c r="AO26" i="343"/>
  <c r="Z89" i="340"/>
  <c r="T89" i="340"/>
  <c r="Y103" i="340"/>
  <c r="AA103" i="340" s="1"/>
  <c r="W103" i="340"/>
  <c r="V103" i="340" s="1"/>
  <c r="X103" i="340" s="1"/>
  <c r="U103" i="340"/>
  <c r="T160" i="341"/>
  <c r="I170" i="341"/>
  <c r="Z160" i="341"/>
  <c r="Z170" i="341" s="1"/>
  <c r="Y28" i="340"/>
  <c r="AA28" i="340" s="1"/>
  <c r="W28" i="340"/>
  <c r="V28" i="340"/>
  <c r="U28" i="340"/>
  <c r="X28" i="340" s="1"/>
  <c r="Y67" i="340"/>
  <c r="AA67" i="340" s="1"/>
  <c r="X67" i="340"/>
  <c r="W67" i="340"/>
  <c r="V67" i="340"/>
  <c r="U67" i="340"/>
  <c r="W117" i="341"/>
  <c r="AC117" i="341" s="1"/>
  <c r="AF117" i="341" s="1"/>
  <c r="W52" i="340"/>
  <c r="U52" i="340"/>
  <c r="Y52" i="340"/>
  <c r="AA52" i="340" s="1"/>
  <c r="Z19" i="340"/>
  <c r="T19" i="340"/>
  <c r="W78" i="340"/>
  <c r="AC78" i="340" s="1"/>
  <c r="AF78" i="340" s="1"/>
  <c r="W133" i="340"/>
  <c r="W145" i="340"/>
  <c r="V145" i="340" s="1"/>
  <c r="X145" i="340" s="1"/>
  <c r="U145" i="340"/>
  <c r="Y145" i="340"/>
  <c r="AA145" i="340" s="1"/>
  <c r="W165" i="340"/>
  <c r="V165" i="340" s="1"/>
  <c r="X165" i="340" s="1"/>
  <c r="U165" i="340"/>
  <c r="Y165" i="340"/>
  <c r="AA165" i="340" s="1"/>
  <c r="Y47" i="341"/>
  <c r="AA47" i="341" s="1"/>
  <c r="W47" i="341"/>
  <c r="V47" i="341" s="1"/>
  <c r="X47" i="341" s="1"/>
  <c r="U47" i="341"/>
  <c r="AE82" i="341"/>
  <c r="AD82" i="341"/>
  <c r="AB82" i="341"/>
  <c r="Y31" i="342"/>
  <c r="AL31" i="342"/>
  <c r="AM31" i="342" s="1"/>
  <c r="AJ31" i="342"/>
  <c r="AK31" i="342" s="1"/>
  <c r="Y133" i="340"/>
  <c r="AA133" i="340" s="1"/>
  <c r="W175" i="340"/>
  <c r="Y175" i="340"/>
  <c r="AA175" i="340" s="1"/>
  <c r="Y35" i="341"/>
  <c r="AA35" i="341" s="1"/>
  <c r="X35" i="341"/>
  <c r="W35" i="341"/>
  <c r="V35" i="341"/>
  <c r="U35" i="341"/>
  <c r="Z73" i="341"/>
  <c r="S128" i="341"/>
  <c r="AL63" i="342"/>
  <c r="AJ63" i="342"/>
  <c r="AK63" i="342" s="1"/>
  <c r="Y63" i="342"/>
  <c r="AR69" i="342"/>
  <c r="AQ69" i="342"/>
  <c r="AO69" i="342"/>
  <c r="AP69" i="342"/>
  <c r="Y106" i="342"/>
  <c r="K116" i="342"/>
  <c r="AE59" i="340"/>
  <c r="AD59" i="340"/>
  <c r="AC59" i="340" s="1"/>
  <c r="AF59" i="340" s="1"/>
  <c r="AE83" i="341"/>
  <c r="AD83" i="341"/>
  <c r="AB83" i="341"/>
  <c r="AP26" i="342"/>
  <c r="AL26" i="342"/>
  <c r="AM26" i="342" s="1"/>
  <c r="AJ26" i="342"/>
  <c r="AK26" i="342" s="1"/>
  <c r="Y26" i="342"/>
  <c r="W57" i="341"/>
  <c r="V57" i="341"/>
  <c r="U57" i="341"/>
  <c r="X57" i="341" s="1"/>
  <c r="Y57" i="341"/>
  <c r="AA57" i="341" s="1"/>
  <c r="J113" i="341"/>
  <c r="S113" i="341" s="1"/>
  <c r="T113" i="341" s="1"/>
  <c r="Z113" i="341"/>
  <c r="Y87" i="341"/>
  <c r="AA87" i="341" s="1"/>
  <c r="U87" i="341"/>
  <c r="X87" i="341" s="1"/>
  <c r="Z122" i="341"/>
  <c r="Y109" i="341"/>
  <c r="AA109" i="341" s="1"/>
  <c r="W109" i="341"/>
  <c r="V109" i="341"/>
  <c r="X109" i="341" s="1"/>
  <c r="Y158" i="341"/>
  <c r="W158" i="341"/>
  <c r="AL25" i="342"/>
  <c r="AJ25" i="342"/>
  <c r="AK25" i="342" s="1"/>
  <c r="U63" i="340"/>
  <c r="X63" i="340" s="1"/>
  <c r="Y63" i="340"/>
  <c r="AA63" i="340" s="1"/>
  <c r="W63" i="340"/>
  <c r="V63" i="340"/>
  <c r="W130" i="340"/>
  <c r="U130" i="340"/>
  <c r="Y130" i="340"/>
  <c r="AA130" i="340" s="1"/>
  <c r="Y161" i="340"/>
  <c r="AA161" i="340" s="1"/>
  <c r="U161" i="340"/>
  <c r="V161" i="340" s="1"/>
  <c r="X161" i="340" s="1"/>
  <c r="W161" i="340"/>
  <c r="T106" i="340"/>
  <c r="AP78" i="342"/>
  <c r="AL78" i="342"/>
  <c r="AJ78" i="342"/>
  <c r="AK78" i="342" s="1"/>
  <c r="Z36" i="340"/>
  <c r="T36" i="340"/>
  <c r="J55" i="340"/>
  <c r="S55" i="340" s="1"/>
  <c r="T55" i="340" s="1"/>
  <c r="Z55" i="340"/>
  <c r="Z101" i="340"/>
  <c r="U175" i="340"/>
  <c r="V175" i="340" s="1"/>
  <c r="X175" i="340" s="1"/>
  <c r="J23" i="341"/>
  <c r="S23" i="341" s="1"/>
  <c r="T23" i="341" s="1"/>
  <c r="I26" i="341"/>
  <c r="J73" i="341"/>
  <c r="S73" i="341" s="1"/>
  <c r="T73" i="341" s="1"/>
  <c r="AE164" i="341"/>
  <c r="AD164" i="341"/>
  <c r="AC164" i="341" s="1"/>
  <c r="AF164" i="341" s="1"/>
  <c r="AB164" i="341"/>
  <c r="AJ71" i="342"/>
  <c r="AK71" i="342" s="1"/>
  <c r="AL71" i="342"/>
  <c r="AM71" i="342" s="1"/>
  <c r="Y78" i="342"/>
  <c r="T27" i="340"/>
  <c r="Z66" i="340"/>
  <c r="T66" i="340"/>
  <c r="Y98" i="340"/>
  <c r="AA98" i="340" s="1"/>
  <c r="AB59" i="340"/>
  <c r="U98" i="340"/>
  <c r="AE117" i="341"/>
  <c r="AD117" i="341"/>
  <c r="AB117" i="341"/>
  <c r="AR159" i="342"/>
  <c r="AQ159" i="342"/>
  <c r="AP159" i="342"/>
  <c r="AO159" i="342"/>
  <c r="Z135" i="340"/>
  <c r="T135" i="340"/>
  <c r="J135" i="340"/>
  <c r="S135" i="340" s="1"/>
  <c r="I40" i="340"/>
  <c r="Y86" i="340"/>
  <c r="AA86" i="340" s="1"/>
  <c r="W86" i="340"/>
  <c r="U86" i="340"/>
  <c r="AE185" i="340"/>
  <c r="AD185" i="340"/>
  <c r="AC185" i="340" s="1"/>
  <c r="AF185" i="340" s="1"/>
  <c r="AB185" i="340"/>
  <c r="AL35" i="342"/>
  <c r="AJ35" i="342"/>
  <c r="AK35" i="342" s="1"/>
  <c r="Y35" i="342"/>
  <c r="AP35" i="342"/>
  <c r="S20" i="340"/>
  <c r="T20" i="340" s="1"/>
  <c r="V126" i="340"/>
  <c r="U126" i="340"/>
  <c r="W126" i="340"/>
  <c r="Y126" i="340"/>
  <c r="AA126" i="340" s="1"/>
  <c r="X126" i="340"/>
  <c r="W30" i="340"/>
  <c r="U30" i="340"/>
  <c r="Y30" i="340"/>
  <c r="AA30" i="340" s="1"/>
  <c r="Y50" i="340"/>
  <c r="AA50" i="340" s="1"/>
  <c r="W50" i="340"/>
  <c r="U50" i="340"/>
  <c r="I138" i="340"/>
  <c r="Z167" i="340"/>
  <c r="T167" i="340"/>
  <c r="Y20" i="341"/>
  <c r="AA20" i="341" s="1"/>
  <c r="W20" i="341"/>
  <c r="V20" i="341" s="1"/>
  <c r="X20" i="341" s="1"/>
  <c r="U20" i="341"/>
  <c r="Z49" i="341"/>
  <c r="T49" i="341"/>
  <c r="Q45" i="342"/>
  <c r="AR16" i="342"/>
  <c r="AQ16" i="342"/>
  <c r="AQ45" i="342" s="1"/>
  <c r="AP16" i="342"/>
  <c r="AO16" i="342"/>
  <c r="Z74" i="342"/>
  <c r="BG74" i="342"/>
  <c r="AZ29" i="342"/>
  <c r="BA29" i="342" s="1"/>
  <c r="AL54" i="342"/>
  <c r="AJ54" i="342"/>
  <c r="AK54" i="342" s="1"/>
  <c r="AL57" i="342"/>
  <c r="AM57" i="342" s="1"/>
  <c r="AP57" i="342"/>
  <c r="AJ57" i="342"/>
  <c r="AK57" i="342" s="1"/>
  <c r="Y57" i="342"/>
  <c r="Y86" i="343"/>
  <c r="S22" i="340"/>
  <c r="T22" i="340" s="1"/>
  <c r="W163" i="340"/>
  <c r="U163" i="340"/>
  <c r="V163" i="340" s="1"/>
  <c r="Y163" i="340"/>
  <c r="AA163" i="340" s="1"/>
  <c r="X92" i="341"/>
  <c r="Y92" i="341"/>
  <c r="AA92" i="341" s="1"/>
  <c r="U92" i="341"/>
  <c r="W92" i="341"/>
  <c r="V92" i="341"/>
  <c r="S111" i="341"/>
  <c r="T111" i="341" s="1"/>
  <c r="J162" i="341"/>
  <c r="S162" i="341" s="1"/>
  <c r="T162" i="341" s="1"/>
  <c r="AR31" i="342"/>
  <c r="AQ31" i="342"/>
  <c r="AO31" i="342"/>
  <c r="Y70" i="342"/>
  <c r="AM70" i="342"/>
  <c r="AQ115" i="342"/>
  <c r="AO115" i="342"/>
  <c r="AR115" i="342"/>
  <c r="AQ138" i="342"/>
  <c r="AN142" i="342"/>
  <c r="AR138" i="342"/>
  <c r="AO138" i="342"/>
  <c r="AO142" i="342" s="1"/>
  <c r="Y176" i="342"/>
  <c r="AM176" i="342"/>
  <c r="AL52" i="343"/>
  <c r="AJ52" i="343"/>
  <c r="AK52" i="343" s="1"/>
  <c r="AL111" i="342"/>
  <c r="AM111" i="342" s="1"/>
  <c r="Y111" i="342"/>
  <c r="Z24" i="340"/>
  <c r="L24" i="340"/>
  <c r="Y58" i="340"/>
  <c r="AA58" i="340" s="1"/>
  <c r="J24" i="340"/>
  <c r="O40" i="340"/>
  <c r="U58" i="340"/>
  <c r="J61" i="340"/>
  <c r="S61" i="340" s="1"/>
  <c r="U99" i="340"/>
  <c r="O40" i="341"/>
  <c r="O172" i="341"/>
  <c r="O173" i="341" s="1"/>
  <c r="Y28" i="341"/>
  <c r="AA28" i="341" s="1"/>
  <c r="W28" i="341"/>
  <c r="U28" i="341"/>
  <c r="J85" i="341"/>
  <c r="S85" i="341" s="1"/>
  <c r="W96" i="341"/>
  <c r="V96" i="341" s="1"/>
  <c r="X96" i="341" s="1"/>
  <c r="U96" i="341"/>
  <c r="AL28" i="342"/>
  <c r="AM28" i="342" s="1"/>
  <c r="AJ28" i="342"/>
  <c r="AK28" i="342" s="1"/>
  <c r="AP31" i="342"/>
  <c r="AB65" i="342"/>
  <c r="AP67" i="342"/>
  <c r="AO67" i="342"/>
  <c r="AQ67" i="342"/>
  <c r="AN83" i="342"/>
  <c r="AN105" i="342" s="1"/>
  <c r="AN182" i="342" s="1"/>
  <c r="Q65" i="343"/>
  <c r="X46" i="343"/>
  <c r="AX105" i="343"/>
  <c r="Y114" i="342"/>
  <c r="AL114" i="342"/>
  <c r="AM114" i="342" s="1"/>
  <c r="V21" i="341"/>
  <c r="X21" i="341" s="1"/>
  <c r="Y29" i="341"/>
  <c r="AA29" i="341" s="1"/>
  <c r="U29" i="341"/>
  <c r="V29" i="341" s="1"/>
  <c r="Y64" i="341"/>
  <c r="AA64" i="341" s="1"/>
  <c r="W64" i="341"/>
  <c r="U64" i="341"/>
  <c r="V64" i="341" s="1"/>
  <c r="AZ50" i="342"/>
  <c r="BA50" i="342" s="1"/>
  <c r="BG101" i="342"/>
  <c r="Z101" i="342"/>
  <c r="Y139" i="342"/>
  <c r="I39" i="340"/>
  <c r="J31" i="340"/>
  <c r="S31" i="340" s="1"/>
  <c r="T31" i="340" s="1"/>
  <c r="Z31" i="340"/>
  <c r="T71" i="340"/>
  <c r="J71" i="340"/>
  <c r="S71" i="340" s="1"/>
  <c r="Z71" i="340"/>
  <c r="Y99" i="340"/>
  <c r="AA99" i="340" s="1"/>
  <c r="P138" i="340"/>
  <c r="P187" i="340" s="1"/>
  <c r="J152" i="340"/>
  <c r="S152" i="340" s="1"/>
  <c r="T152" i="340" s="1"/>
  <c r="U25" i="341"/>
  <c r="Z88" i="341"/>
  <c r="U71" i="341"/>
  <c r="V71" i="341" s="1"/>
  <c r="Y71" i="341"/>
  <c r="AA71" i="341" s="1"/>
  <c r="Z75" i="341"/>
  <c r="T75" i="341"/>
  <c r="W82" i="341"/>
  <c r="AC82" i="341" s="1"/>
  <c r="AF82" i="341" s="1"/>
  <c r="U82" i="341"/>
  <c r="Z163" i="341"/>
  <c r="J163" i="341"/>
  <c r="S163" i="341" s="1"/>
  <c r="T163" i="341" s="1"/>
  <c r="Y38" i="342"/>
  <c r="AM38" i="342"/>
  <c r="AP38" i="342"/>
  <c r="AL17" i="343"/>
  <c r="AM17" i="343" s="1"/>
  <c r="AJ17" i="343"/>
  <c r="AK17" i="343" s="1"/>
  <c r="AP17" i="343"/>
  <c r="W133" i="341"/>
  <c r="V133" i="341"/>
  <c r="X133" i="341" s="1"/>
  <c r="U133" i="341"/>
  <c r="Y133" i="341"/>
  <c r="AA133" i="341" s="1"/>
  <c r="Z49" i="340"/>
  <c r="J49" i="340"/>
  <c r="S49" i="340" s="1"/>
  <c r="T49" i="340"/>
  <c r="AE96" i="341"/>
  <c r="AB96" i="341"/>
  <c r="AD96" i="341"/>
  <c r="AC96" i="341" s="1"/>
  <c r="AF96" i="341" s="1"/>
  <c r="Z68" i="340"/>
  <c r="T68" i="340"/>
  <c r="J68" i="340"/>
  <c r="S68" i="340" s="1"/>
  <c r="Y74" i="340"/>
  <c r="AA74" i="340" s="1"/>
  <c r="U74" i="340"/>
  <c r="W74" i="340"/>
  <c r="V74" i="340" s="1"/>
  <c r="X74" i="340" s="1"/>
  <c r="Z77" i="340"/>
  <c r="T91" i="340"/>
  <c r="W29" i="341"/>
  <c r="AE42" i="341"/>
  <c r="Z100" i="341"/>
  <c r="Y104" i="341"/>
  <c r="AA104" i="341" s="1"/>
  <c r="W104" i="341"/>
  <c r="V104" i="341"/>
  <c r="U104" i="341"/>
  <c r="X104" i="341" s="1"/>
  <c r="AE159" i="341"/>
  <c r="AD159" i="341"/>
  <c r="AC159" i="341" s="1"/>
  <c r="AF159" i="341" s="1"/>
  <c r="Y27" i="342"/>
  <c r="AL27" i="342"/>
  <c r="AM27" i="342" s="1"/>
  <c r="AJ27" i="342"/>
  <c r="AK27" i="342" s="1"/>
  <c r="AJ38" i="342"/>
  <c r="AK38" i="342" s="1"/>
  <c r="AL38" i="342"/>
  <c r="AR135" i="342"/>
  <c r="AQ135" i="342"/>
  <c r="AQ137" i="342" s="1"/>
  <c r="AP135" i="342"/>
  <c r="AO135" i="342"/>
  <c r="AO137" i="342" s="1"/>
  <c r="AD65" i="343"/>
  <c r="BG72" i="343"/>
  <c r="L25" i="340"/>
  <c r="S25" i="340" s="1"/>
  <c r="T25" i="340" s="1"/>
  <c r="I104" i="340"/>
  <c r="I188" i="340" s="1"/>
  <c r="Z44" i="340"/>
  <c r="T62" i="340"/>
  <c r="J77" i="340"/>
  <c r="S77" i="340" s="1"/>
  <c r="T77" i="340" s="1"/>
  <c r="Z141" i="340"/>
  <c r="Z142" i="340" s="1"/>
  <c r="I142" i="340"/>
  <c r="T141" i="340"/>
  <c r="AC21" i="341"/>
  <c r="W25" i="341"/>
  <c r="AB42" i="341"/>
  <c r="J51" i="341"/>
  <c r="S51" i="341" s="1"/>
  <c r="T51" i="341" s="1"/>
  <c r="J61" i="341"/>
  <c r="S61" i="341" s="1"/>
  <c r="J100" i="341"/>
  <c r="S100" i="341" s="1"/>
  <c r="T100" i="341" s="1"/>
  <c r="AB118" i="341"/>
  <c r="AX45" i="342"/>
  <c r="AR30" i="342"/>
  <c r="AQ30" i="342"/>
  <c r="AP49" i="342"/>
  <c r="AL49" i="342"/>
  <c r="AM49" i="342" s="1"/>
  <c r="AJ49" i="342"/>
  <c r="AK49" i="342" s="1"/>
  <c r="Y62" i="342"/>
  <c r="AO72" i="342"/>
  <c r="AJ72" i="342"/>
  <c r="AK72" i="342" s="1"/>
  <c r="AL72" i="342"/>
  <c r="AM72" i="342" s="1"/>
  <c r="X125" i="342"/>
  <c r="AR125" i="342" s="1"/>
  <c r="AR133" i="342" s="1"/>
  <c r="Q133" i="342"/>
  <c r="AM146" i="342"/>
  <c r="Y146" i="342"/>
  <c r="Z72" i="343"/>
  <c r="AZ72" i="343" s="1"/>
  <c r="BA72" i="343" s="1"/>
  <c r="AJ79" i="343"/>
  <c r="AK79" i="343" s="1"/>
  <c r="AL79" i="343"/>
  <c r="AO79" i="343"/>
  <c r="U29" i="340"/>
  <c r="V29" i="340" s="1"/>
  <c r="X29" i="340" s="1"/>
  <c r="T123" i="340"/>
  <c r="AC42" i="341"/>
  <c r="AL62" i="342"/>
  <c r="AM62" i="342" s="1"/>
  <c r="AJ62" i="342"/>
  <c r="AK62" i="342" s="1"/>
  <c r="BG100" i="342"/>
  <c r="Z100" i="342"/>
  <c r="BG107" i="342"/>
  <c r="Z107" i="342"/>
  <c r="BG163" i="342"/>
  <c r="U108" i="340"/>
  <c r="V108" i="340" s="1"/>
  <c r="X108" i="340" s="1"/>
  <c r="Y108" i="340"/>
  <c r="AA108" i="340" s="1"/>
  <c r="W108" i="340"/>
  <c r="Z32" i="341"/>
  <c r="J32" i="341"/>
  <c r="S32" i="341" s="1"/>
  <c r="T32" i="341"/>
  <c r="X118" i="341"/>
  <c r="J34" i="340"/>
  <c r="S34" i="340" s="1"/>
  <c r="T34" i="340" s="1"/>
  <c r="W58" i="340"/>
  <c r="T83" i="340"/>
  <c r="Z83" i="340"/>
  <c r="Q187" i="340"/>
  <c r="W29" i="340"/>
  <c r="AC29" i="340" s="1"/>
  <c r="AF29" i="340" s="1"/>
  <c r="R187" i="340"/>
  <c r="J123" i="340"/>
  <c r="S123" i="340" s="1"/>
  <c r="I169" i="340"/>
  <c r="S150" i="340"/>
  <c r="T150" i="340" s="1"/>
  <c r="Y153" i="340"/>
  <c r="AA153" i="340" s="1"/>
  <c r="W153" i="340"/>
  <c r="U153" i="340"/>
  <c r="V153" i="340" s="1"/>
  <c r="I172" i="340"/>
  <c r="Z171" i="340"/>
  <c r="Z172" i="340" s="1"/>
  <c r="Y25" i="341"/>
  <c r="AA25" i="341" s="1"/>
  <c r="AD42" i="341"/>
  <c r="T61" i="341"/>
  <c r="AD118" i="341"/>
  <c r="AC118" i="341" s="1"/>
  <c r="AF118" i="341" s="1"/>
  <c r="N173" i="341"/>
  <c r="U164" i="341"/>
  <c r="Z167" i="341"/>
  <c r="T167" i="341"/>
  <c r="J167" i="341"/>
  <c r="S167" i="341" s="1"/>
  <c r="AL19" i="342"/>
  <c r="AM19" i="342" s="1"/>
  <c r="AZ19" i="342" s="1"/>
  <c r="BA19" i="342" s="1"/>
  <c r="AP30" i="342"/>
  <c r="AJ56" i="342"/>
  <c r="AK56" i="342" s="1"/>
  <c r="AL56" i="342"/>
  <c r="AM56" i="342" s="1"/>
  <c r="Y56" i="342"/>
  <c r="AL97" i="342"/>
  <c r="AJ97" i="342"/>
  <c r="AK97" i="342" s="1"/>
  <c r="BG110" i="342"/>
  <c r="Z163" i="342"/>
  <c r="Y166" i="342"/>
  <c r="Z46" i="340"/>
  <c r="AJ20" i="342"/>
  <c r="AK20" i="342" s="1"/>
  <c r="AL20" i="342"/>
  <c r="AM20" i="342" s="1"/>
  <c r="BG66" i="342"/>
  <c r="Z66" i="342"/>
  <c r="Y77" i="343"/>
  <c r="AM77" i="343"/>
  <c r="L20" i="340"/>
  <c r="J46" i="340"/>
  <c r="S46" i="340" s="1"/>
  <c r="T46" i="340" s="1"/>
  <c r="T61" i="340"/>
  <c r="T85" i="341"/>
  <c r="W38" i="340"/>
  <c r="AC38" i="340" s="1"/>
  <c r="AF38" i="340" s="1"/>
  <c r="U38" i="340"/>
  <c r="V38" i="340" s="1"/>
  <c r="X38" i="340" s="1"/>
  <c r="Y47" i="340"/>
  <c r="AA47" i="340" s="1"/>
  <c r="T92" i="340"/>
  <c r="Y97" i="340"/>
  <c r="AA97" i="340" s="1"/>
  <c r="V97" i="340"/>
  <c r="W97" i="340"/>
  <c r="U97" i="340"/>
  <c r="X97" i="340" s="1"/>
  <c r="Y177" i="340"/>
  <c r="AA177" i="340" s="1"/>
  <c r="W177" i="340"/>
  <c r="U177" i="340"/>
  <c r="Z34" i="341"/>
  <c r="T34" i="341"/>
  <c r="Z135" i="341"/>
  <c r="AB159" i="341"/>
  <c r="AP20" i="342"/>
  <c r="AO20" i="342"/>
  <c r="AR20" i="342"/>
  <c r="AQ20" i="342"/>
  <c r="BG37" i="342"/>
  <c r="Z37" i="342"/>
  <c r="Y23" i="340"/>
  <c r="AA23" i="340" s="1"/>
  <c r="W23" i="340"/>
  <c r="U23" i="340"/>
  <c r="T44" i="340"/>
  <c r="V47" i="340"/>
  <c r="X47" i="340" s="1"/>
  <c r="AE75" i="340"/>
  <c r="AD75" i="340"/>
  <c r="AC75" i="340" s="1"/>
  <c r="AF75" i="340" s="1"/>
  <c r="AB75" i="340"/>
  <c r="Z117" i="340"/>
  <c r="T117" i="340"/>
  <c r="W162" i="340"/>
  <c r="AC162" i="340" s="1"/>
  <c r="AF162" i="340" s="1"/>
  <c r="U162" i="340"/>
  <c r="J172" i="340"/>
  <c r="S171" i="340"/>
  <c r="S172" i="340" s="1"/>
  <c r="AE118" i="341"/>
  <c r="M135" i="341"/>
  <c r="S135" i="341" s="1"/>
  <c r="T135" i="341" s="1"/>
  <c r="AM25" i="342"/>
  <c r="Y25" i="342"/>
  <c r="AR25" i="342"/>
  <c r="AR15" i="342"/>
  <c r="AQ15" i="342"/>
  <c r="AP15" i="342"/>
  <c r="AO15" i="342"/>
  <c r="J114" i="341"/>
  <c r="S114" i="341" s="1"/>
  <c r="M82" i="340"/>
  <c r="M104" i="340" s="1"/>
  <c r="J91" i="340"/>
  <c r="S91" i="340" s="1"/>
  <c r="M146" i="340"/>
  <c r="M169" i="340" s="1"/>
  <c r="M188" i="340" s="1"/>
  <c r="M189" i="340" s="1"/>
  <c r="T54" i="341"/>
  <c r="Z54" i="341"/>
  <c r="J66" i="341"/>
  <c r="S66" i="341" s="1"/>
  <c r="J101" i="341"/>
  <c r="S101" i="341" s="1"/>
  <c r="T101" i="341" s="1"/>
  <c r="T149" i="341"/>
  <c r="J161" i="341"/>
  <c r="S161" i="341" s="1"/>
  <c r="S170" i="341" s="1"/>
  <c r="T165" i="341"/>
  <c r="Z165" i="341"/>
  <c r="J165" i="341"/>
  <c r="S165" i="341" s="1"/>
  <c r="AM30" i="342"/>
  <c r="Y30" i="342"/>
  <c r="AR71" i="342"/>
  <c r="AQ71" i="342"/>
  <c r="AO71" i="342"/>
  <c r="AP71" i="342"/>
  <c r="AJ76" i="342"/>
  <c r="AK76" i="342" s="1"/>
  <c r="AL76" i="342"/>
  <c r="AM76" i="342" s="1"/>
  <c r="AR129" i="342"/>
  <c r="AM129" i="342"/>
  <c r="Y129" i="342"/>
  <c r="AP22" i="343"/>
  <c r="AR22" i="343"/>
  <c r="AQ22" i="343"/>
  <c r="AJ61" i="343"/>
  <c r="AK61" i="343" s="1"/>
  <c r="Y61" i="343"/>
  <c r="AL61" i="343"/>
  <c r="AM61" i="343" s="1"/>
  <c r="AR119" i="343"/>
  <c r="AQ119" i="343"/>
  <c r="AP119" i="343"/>
  <c r="AO119" i="343"/>
  <c r="AO133" i="343"/>
  <c r="T79" i="340"/>
  <c r="Z88" i="340"/>
  <c r="T88" i="340"/>
  <c r="J88" i="340"/>
  <c r="S88" i="340" s="1"/>
  <c r="J102" i="340"/>
  <c r="S102" i="340" s="1"/>
  <c r="J107" i="340"/>
  <c r="S107" i="340" s="1"/>
  <c r="S109" i="340" s="1"/>
  <c r="AD21" i="341"/>
  <c r="I88" i="341"/>
  <c r="J54" i="341"/>
  <c r="S54" i="341" s="1"/>
  <c r="W58" i="341"/>
  <c r="V58" i="341" s="1"/>
  <c r="X58" i="341" s="1"/>
  <c r="Z62" i="341"/>
  <c r="J62" i="341"/>
  <c r="S62" i="341" s="1"/>
  <c r="T62" i="341" s="1"/>
  <c r="Y103" i="341"/>
  <c r="AA103" i="341" s="1"/>
  <c r="U103" i="341"/>
  <c r="V103" i="341" s="1"/>
  <c r="J106" i="341"/>
  <c r="S106" i="341" s="1"/>
  <c r="Z108" i="341"/>
  <c r="T108" i="341"/>
  <c r="J110" i="341"/>
  <c r="S110" i="341" s="1"/>
  <c r="K45" i="342"/>
  <c r="K105" i="342" s="1"/>
  <c r="AR39" i="342"/>
  <c r="AQ39" i="342"/>
  <c r="Y76" i="342"/>
  <c r="AO87" i="342"/>
  <c r="AO126" i="342"/>
  <c r="AO133" i="342" s="1"/>
  <c r="AR126" i="342"/>
  <c r="AQ126" i="342"/>
  <c r="AM157" i="342"/>
  <c r="Y157" i="342"/>
  <c r="K164" i="342"/>
  <c r="S43" i="341"/>
  <c r="AN105" i="343"/>
  <c r="BG146" i="343"/>
  <c r="Z146" i="343"/>
  <c r="P188" i="340"/>
  <c r="AS182" i="342"/>
  <c r="AM66" i="342"/>
  <c r="Y81" i="343"/>
  <c r="J79" i="340"/>
  <c r="S79" i="340" s="1"/>
  <c r="J46" i="341"/>
  <c r="S46" i="341" s="1"/>
  <c r="T60" i="340"/>
  <c r="Z86" i="341"/>
  <c r="J86" i="341"/>
  <c r="S86" i="341" s="1"/>
  <c r="T86" i="341" s="1"/>
  <c r="AP87" i="342"/>
  <c r="AJ51" i="343"/>
  <c r="AK51" i="343" s="1"/>
  <c r="AL51" i="343"/>
  <c r="AM51" i="343" s="1"/>
  <c r="J35" i="340"/>
  <c r="S35" i="340" s="1"/>
  <c r="T35" i="340" s="1"/>
  <c r="J45" i="340"/>
  <c r="S45" i="340" s="1"/>
  <c r="T45" i="340" s="1"/>
  <c r="T76" i="340"/>
  <c r="T102" i="340"/>
  <c r="T107" i="340"/>
  <c r="J116" i="340"/>
  <c r="S116" i="340" s="1"/>
  <c r="Z122" i="340"/>
  <c r="W125" i="340"/>
  <c r="M148" i="340"/>
  <c r="S148" i="340" s="1"/>
  <c r="T148" i="340" s="1"/>
  <c r="M151" i="340"/>
  <c r="S151" i="340" s="1"/>
  <c r="T151" i="340" s="1"/>
  <c r="J155" i="340"/>
  <c r="S155" i="340" s="1"/>
  <c r="Y168" i="340"/>
  <c r="AA168" i="340" s="1"/>
  <c r="U168" i="340"/>
  <c r="V168" i="340" s="1"/>
  <c r="X168" i="340" s="1"/>
  <c r="U22" i="341"/>
  <c r="I39" i="341"/>
  <c r="I171" i="341" s="1"/>
  <c r="D40" i="341"/>
  <c r="Z48" i="341"/>
  <c r="J48" i="341"/>
  <c r="S48" i="341" s="1"/>
  <c r="T48" i="341" s="1"/>
  <c r="Y58" i="341"/>
  <c r="AA58" i="341" s="1"/>
  <c r="Y80" i="341"/>
  <c r="AA80" i="341" s="1"/>
  <c r="W80" i="341"/>
  <c r="V80" i="341"/>
  <c r="X80" i="341" s="1"/>
  <c r="U80" i="341"/>
  <c r="W103" i="341"/>
  <c r="T106" i="341"/>
  <c r="T110" i="341"/>
  <c r="V118" i="341"/>
  <c r="T145" i="341"/>
  <c r="J168" i="341"/>
  <c r="S168" i="341" s="1"/>
  <c r="T168" i="341" s="1"/>
  <c r="AO23" i="342"/>
  <c r="Y32" i="342"/>
  <c r="AL32" i="342"/>
  <c r="AM32" i="342" s="1"/>
  <c r="AJ32" i="342"/>
  <c r="AK32" i="342" s="1"/>
  <c r="AP39" i="342"/>
  <c r="AJ44" i="342"/>
  <c r="AK44" i="342" s="1"/>
  <c r="AY182" i="342"/>
  <c r="Y68" i="342"/>
  <c r="AJ69" i="342"/>
  <c r="AK69" i="342" s="1"/>
  <c r="AL69" i="342"/>
  <c r="AM69" i="342" s="1"/>
  <c r="AQ87" i="342"/>
  <c r="Y96" i="342"/>
  <c r="AM96" i="342"/>
  <c r="Y132" i="342"/>
  <c r="W142" i="342"/>
  <c r="AL70" i="342"/>
  <c r="AJ70" i="342"/>
  <c r="AK70" i="342" s="1"/>
  <c r="Y113" i="342"/>
  <c r="AL113" i="342"/>
  <c r="AM113" i="342" s="1"/>
  <c r="AD83" i="343"/>
  <c r="J82" i="340"/>
  <c r="J122" i="340"/>
  <c r="S122" i="340" s="1"/>
  <c r="T122" i="340" s="1"/>
  <c r="J146" i="340"/>
  <c r="J158" i="340"/>
  <c r="S158" i="340" s="1"/>
  <c r="T158" i="340" s="1"/>
  <c r="S181" i="340"/>
  <c r="T181" i="340" s="1"/>
  <c r="Z66" i="341"/>
  <c r="T66" i="341"/>
  <c r="Z158" i="340"/>
  <c r="Z65" i="340"/>
  <c r="T65" i="340"/>
  <c r="V125" i="340"/>
  <c r="Z39" i="340"/>
  <c r="Z48" i="340"/>
  <c r="J48" i="340"/>
  <c r="S48" i="340" s="1"/>
  <c r="T48" i="340" s="1"/>
  <c r="Z51" i="340"/>
  <c r="Z60" i="340"/>
  <c r="T70" i="340"/>
  <c r="Z70" i="340"/>
  <c r="Z104" i="340" s="1"/>
  <c r="Z91" i="340"/>
  <c r="X125" i="340"/>
  <c r="U134" i="340"/>
  <c r="M155" i="340"/>
  <c r="J164" i="340"/>
  <c r="S164" i="340" s="1"/>
  <c r="T164" i="340" s="1"/>
  <c r="J166" i="340"/>
  <c r="S166" i="340" s="1"/>
  <c r="T166" i="340" s="1"/>
  <c r="S174" i="340"/>
  <c r="J186" i="340"/>
  <c r="S19" i="341"/>
  <c r="J26" i="341"/>
  <c r="W22" i="341"/>
  <c r="Y27" i="341"/>
  <c r="W27" i="341"/>
  <c r="Z37" i="341"/>
  <c r="V42" i="341"/>
  <c r="T44" i="341"/>
  <c r="T55" i="341"/>
  <c r="J55" i="341"/>
  <c r="S55" i="341" s="1"/>
  <c r="R122" i="341"/>
  <c r="R171" i="341" s="1"/>
  <c r="R173" i="341" s="1"/>
  <c r="Z161" i="341"/>
  <c r="X14" i="342"/>
  <c r="AP23" i="342"/>
  <c r="AZ23" i="342" s="1"/>
  <c r="BA23" i="342" s="1"/>
  <c r="AR37" i="342"/>
  <c r="AQ37" i="342"/>
  <c r="AO37" i="342"/>
  <c r="AJ67" i="342"/>
  <c r="AK67" i="342" s="1"/>
  <c r="AL67" i="342"/>
  <c r="Y67" i="342"/>
  <c r="AU105" i="342"/>
  <c r="AU182" i="342" s="1"/>
  <c r="AR87" i="342"/>
  <c r="L105" i="342"/>
  <c r="L182" i="342" s="1"/>
  <c r="AL131" i="342"/>
  <c r="AM131" i="342" s="1"/>
  <c r="AP131" i="342"/>
  <c r="Y131" i="342"/>
  <c r="AR158" i="342"/>
  <c r="AQ158" i="342"/>
  <c r="AO158" i="342"/>
  <c r="AP158" i="342"/>
  <c r="AB65" i="343"/>
  <c r="Y51" i="343"/>
  <c r="AL87" i="343"/>
  <c r="AJ87" i="343"/>
  <c r="AK87" i="343" s="1"/>
  <c r="Y87" i="343"/>
  <c r="U83" i="341"/>
  <c r="V83" i="341" s="1"/>
  <c r="AP130" i="342"/>
  <c r="AO130" i="342"/>
  <c r="AR130" i="342"/>
  <c r="T114" i="340"/>
  <c r="U30" i="341"/>
  <c r="W83" i="341"/>
  <c r="AC83" i="341" s="1"/>
  <c r="AF83" i="341" s="1"/>
  <c r="S90" i="341"/>
  <c r="J105" i="341"/>
  <c r="S105" i="341" s="1"/>
  <c r="T105" i="341" s="1"/>
  <c r="T114" i="341"/>
  <c r="Y112" i="342"/>
  <c r="Y141" i="342"/>
  <c r="AM141" i="342"/>
  <c r="BG171" i="342"/>
  <c r="Z171" i="342"/>
  <c r="J33" i="340"/>
  <c r="S33" i="340" s="1"/>
  <c r="T33" i="340" s="1"/>
  <c r="J100" i="340"/>
  <c r="S100" i="340" s="1"/>
  <c r="T100" i="340" s="1"/>
  <c r="D187" i="340"/>
  <c r="M68" i="341"/>
  <c r="M88" i="341" s="1"/>
  <c r="Z68" i="341"/>
  <c r="J68" i="341"/>
  <c r="AR50" i="342"/>
  <c r="AP50" i="342"/>
  <c r="AQ50" i="342"/>
  <c r="AO50" i="342"/>
  <c r="AP88" i="342"/>
  <c r="AZ88" i="342" s="1"/>
  <c r="AO88" i="342"/>
  <c r="AR88" i="342"/>
  <c r="AQ88" i="342"/>
  <c r="E187" i="340"/>
  <c r="S43" i="340"/>
  <c r="J51" i="340"/>
  <c r="S51" i="340" s="1"/>
  <c r="T51" i="340" s="1"/>
  <c r="T54" i="340"/>
  <c r="Z54" i="340"/>
  <c r="T94" i="340"/>
  <c r="J94" i="340"/>
  <c r="S94" i="340" s="1"/>
  <c r="J128" i="340"/>
  <c r="S128" i="340" s="1"/>
  <c r="T128" i="340" s="1"/>
  <c r="J24" i="341"/>
  <c r="S24" i="341" s="1"/>
  <c r="W30" i="341"/>
  <c r="L22" i="340"/>
  <c r="Z22" i="340"/>
  <c r="M84" i="340"/>
  <c r="S84" i="340" s="1"/>
  <c r="T84" i="340" s="1"/>
  <c r="T24" i="341"/>
  <c r="E171" i="341"/>
  <c r="E173" i="341" s="1"/>
  <c r="E40" i="341"/>
  <c r="T46" i="341"/>
  <c r="AM41" i="342"/>
  <c r="AO41" i="342"/>
  <c r="Y41" i="342"/>
  <c r="AM54" i="342"/>
  <c r="AP54" i="342"/>
  <c r="AL35" i="343"/>
  <c r="AM35" i="343" s="1"/>
  <c r="AJ35" i="343"/>
  <c r="AK35" i="343" s="1"/>
  <c r="N187" i="340"/>
  <c r="J76" i="340"/>
  <c r="S76" i="340" s="1"/>
  <c r="T21" i="340"/>
  <c r="Z21" i="340"/>
  <c r="J32" i="340"/>
  <c r="S32" i="340" s="1"/>
  <c r="T32" i="340" s="1"/>
  <c r="J70" i="340"/>
  <c r="S70" i="340" s="1"/>
  <c r="Z81" i="340"/>
  <c r="T81" i="340"/>
  <c r="U112" i="340"/>
  <c r="U113" i="340"/>
  <c r="Z114" i="340"/>
  <c r="Z138" i="340" s="1"/>
  <c r="T116" i="340"/>
  <c r="Y125" i="340"/>
  <c r="AA125" i="340" s="1"/>
  <c r="T137" i="340"/>
  <c r="W168" i="340"/>
  <c r="J180" i="340"/>
  <c r="S180" i="340" s="1"/>
  <c r="T180" i="340" s="1"/>
  <c r="U27" i="341"/>
  <c r="X27" i="341" s="1"/>
  <c r="J37" i="341"/>
  <c r="S37" i="341" s="1"/>
  <c r="T37" i="341" s="1"/>
  <c r="Z60" i="341"/>
  <c r="J60" i="341"/>
  <c r="S60" i="341" s="1"/>
  <c r="T60" i="341" s="1"/>
  <c r="T84" i="341"/>
  <c r="J84" i="341"/>
  <c r="S84" i="341" s="1"/>
  <c r="Z84" i="341"/>
  <c r="Y97" i="341"/>
  <c r="AA97" i="341" s="1"/>
  <c r="X97" i="341"/>
  <c r="W97" i="341"/>
  <c r="V97" i="341"/>
  <c r="S120" i="341"/>
  <c r="T120" i="341" s="1"/>
  <c r="I126" i="341"/>
  <c r="Z125" i="341"/>
  <c r="Z126" i="341" s="1"/>
  <c r="J125" i="341"/>
  <c r="J130" i="341"/>
  <c r="S130" i="341" s="1"/>
  <c r="T130" i="341" s="1"/>
  <c r="M132" i="341"/>
  <c r="J132" i="341"/>
  <c r="S132" i="341" s="1"/>
  <c r="T132" i="341" s="1"/>
  <c r="Z132" i="341"/>
  <c r="J166" i="341"/>
  <c r="S166" i="341" s="1"/>
  <c r="T166" i="341" s="1"/>
  <c r="X17" i="342"/>
  <c r="X22" i="342"/>
  <c r="AR23" i="342"/>
  <c r="AP37" i="342"/>
  <c r="AM63" i="342"/>
  <c r="AR122" i="342"/>
  <c r="AP122" i="342"/>
  <c r="AM140" i="342"/>
  <c r="Y140" i="342"/>
  <c r="K142" i="342"/>
  <c r="AP145" i="342"/>
  <c r="AQ145" i="342"/>
  <c r="AO145" i="342"/>
  <c r="AL63" i="343"/>
  <c r="AM63" i="343" s="1"/>
  <c r="AJ63" i="343"/>
  <c r="AK63" i="343" s="1"/>
  <c r="AP63" i="343"/>
  <c r="AJ85" i="342"/>
  <c r="AK85" i="342" s="1"/>
  <c r="AL85" i="342"/>
  <c r="AM85" i="342" s="1"/>
  <c r="N182" i="342"/>
  <c r="AL95" i="343"/>
  <c r="AM95" i="343" s="1"/>
  <c r="AJ95" i="343"/>
  <c r="AK95" i="343" s="1"/>
  <c r="AF21" i="341"/>
  <c r="AE21" i="341"/>
  <c r="AB21" i="341"/>
  <c r="J116" i="341"/>
  <c r="S116" i="341" s="1"/>
  <c r="T116" i="341" s="1"/>
  <c r="Z138" i="341"/>
  <c r="T138" i="341"/>
  <c r="AR53" i="342"/>
  <c r="AQ53" i="342"/>
  <c r="AP53" i="342"/>
  <c r="O182" i="342"/>
  <c r="J114" i="340"/>
  <c r="S114" i="340" s="1"/>
  <c r="T179" i="340"/>
  <c r="J179" i="340"/>
  <c r="S179" i="340" s="1"/>
  <c r="AO53" i="342"/>
  <c r="AP137" i="342"/>
  <c r="AL165" i="342"/>
  <c r="Y165" i="342"/>
  <c r="R40" i="340"/>
  <c r="Q173" i="341"/>
  <c r="AI105" i="342"/>
  <c r="AP113" i="342"/>
  <c r="AR113" i="342"/>
  <c r="AQ113" i="342"/>
  <c r="AO113" i="342"/>
  <c r="E189" i="340"/>
  <c r="W42" i="340"/>
  <c r="AC42" i="340" s="1"/>
  <c r="V42" i="340"/>
  <c r="U42" i="340"/>
  <c r="T72" i="340"/>
  <c r="W134" i="340"/>
  <c r="AC134" i="340" s="1"/>
  <c r="AF134" i="340" s="1"/>
  <c r="T155" i="340"/>
  <c r="W176" i="340"/>
  <c r="AC176" i="340" s="1"/>
  <c r="AF176" i="340" s="1"/>
  <c r="U176" i="340"/>
  <c r="I186" i="340"/>
  <c r="J178" i="340"/>
  <c r="S178" i="340" s="1"/>
  <c r="T178" i="340" s="1"/>
  <c r="Z182" i="340"/>
  <c r="Z186" i="340" s="1"/>
  <c r="T182" i="340"/>
  <c r="Y22" i="341"/>
  <c r="AA22" i="341" s="1"/>
  <c r="V27" i="341"/>
  <c r="Z44" i="341"/>
  <c r="I93" i="341"/>
  <c r="J91" i="341"/>
  <c r="S91" i="341" s="1"/>
  <c r="T91" i="341" s="1"/>
  <c r="I153" i="341"/>
  <c r="Z128" i="341"/>
  <c r="T128" i="341"/>
  <c r="M130" i="341"/>
  <c r="M153" i="341" s="1"/>
  <c r="AL18" i="342"/>
  <c r="AM18" i="342" s="1"/>
  <c r="Y18" i="342"/>
  <c r="Y20" i="342"/>
  <c r="Y54" i="342"/>
  <c r="AJ58" i="342"/>
  <c r="AK58" i="342" s="1"/>
  <c r="Y58" i="342"/>
  <c r="AL58" i="342"/>
  <c r="AM58" i="342" s="1"/>
  <c r="Q83" i="342"/>
  <c r="Y86" i="342"/>
  <c r="AQ86" i="342"/>
  <c r="AD142" i="342"/>
  <c r="AL151" i="342"/>
  <c r="Y151" i="342"/>
  <c r="AL44" i="343"/>
  <c r="Y44" i="343"/>
  <c r="AJ44" i="343"/>
  <c r="AK44" i="343" s="1"/>
  <c r="AL68" i="343"/>
  <c r="AJ68" i="343"/>
  <c r="AK68" i="343" s="1"/>
  <c r="Y68" i="343"/>
  <c r="AL72" i="343"/>
  <c r="AJ72" i="343"/>
  <c r="AK72" i="343" s="1"/>
  <c r="T31" i="341"/>
  <c r="J31" i="341"/>
  <c r="S31" i="341" s="1"/>
  <c r="T115" i="341"/>
  <c r="W45" i="342"/>
  <c r="W105" i="342" s="1"/>
  <c r="W182" i="342" s="1"/>
  <c r="AP18" i="342"/>
  <c r="AR48" i="342"/>
  <c r="AP48" i="342"/>
  <c r="X98" i="342"/>
  <c r="AP98" i="342" s="1"/>
  <c r="AL100" i="342"/>
  <c r="AM100" i="342" s="1"/>
  <c r="AJ100" i="342"/>
  <c r="AK100" i="342" s="1"/>
  <c r="AJ102" i="342"/>
  <c r="AK102" i="342" s="1"/>
  <c r="AL102" i="342"/>
  <c r="X139" i="342"/>
  <c r="AL139" i="342" s="1"/>
  <c r="AM139" i="342" s="1"/>
  <c r="Q142" i="342"/>
  <c r="AL180" i="342"/>
  <c r="AM180" i="342" s="1"/>
  <c r="Y180" i="342"/>
  <c r="T53" i="340"/>
  <c r="T36" i="341"/>
  <c r="Z65" i="341"/>
  <c r="T65" i="341"/>
  <c r="J65" i="341"/>
  <c r="S65" i="341" s="1"/>
  <c r="U119" i="341"/>
  <c r="AL41" i="342"/>
  <c r="AJ41" i="342"/>
  <c r="AK41" i="342" s="1"/>
  <c r="AJ42" i="342"/>
  <c r="AK42" i="342" s="1"/>
  <c r="AL42" i="342"/>
  <c r="AQ48" i="342"/>
  <c r="AQ65" i="342" s="1"/>
  <c r="AR73" i="342"/>
  <c r="AQ73" i="342"/>
  <c r="AP73" i="342"/>
  <c r="AO73" i="342"/>
  <c r="AR75" i="342"/>
  <c r="AQ75" i="342"/>
  <c r="AO75" i="342"/>
  <c r="AP75" i="342"/>
  <c r="AL84" i="342"/>
  <c r="Y84" i="342"/>
  <c r="AJ84" i="342"/>
  <c r="Y88" i="342"/>
  <c r="AM88" i="342"/>
  <c r="AP132" i="342"/>
  <c r="AR132" i="342"/>
  <c r="AQ132" i="342"/>
  <c r="AO132" i="342"/>
  <c r="AZ132" i="342" s="1"/>
  <c r="AR146" i="342"/>
  <c r="AP146" i="342"/>
  <c r="AQ146" i="342"/>
  <c r="AI161" i="343"/>
  <c r="AM72" i="343"/>
  <c r="AO72" i="343"/>
  <c r="X141" i="343"/>
  <c r="Q142" i="343"/>
  <c r="J53" i="340"/>
  <c r="S53" i="340" s="1"/>
  <c r="J64" i="340"/>
  <c r="S64" i="340" s="1"/>
  <c r="T69" i="340"/>
  <c r="J119" i="340"/>
  <c r="S119" i="340" s="1"/>
  <c r="J124" i="340"/>
  <c r="S124" i="340" s="1"/>
  <c r="T124" i="340" s="1"/>
  <c r="T132" i="340"/>
  <c r="J132" i="340"/>
  <c r="S132" i="340" s="1"/>
  <c r="J149" i="340"/>
  <c r="S149" i="340" s="1"/>
  <c r="Z149" i="340"/>
  <c r="Z169" i="340" s="1"/>
  <c r="K172" i="341"/>
  <c r="K173" i="341" s="1"/>
  <c r="J33" i="341"/>
  <c r="S33" i="341" s="1"/>
  <c r="T33" i="341" s="1"/>
  <c r="K40" i="341"/>
  <c r="T45" i="341"/>
  <c r="J74" i="341"/>
  <c r="S74" i="341" s="1"/>
  <c r="T74" i="341" s="1"/>
  <c r="W119" i="341"/>
  <c r="Z137" i="341"/>
  <c r="M139" i="341"/>
  <c r="U159" i="341"/>
  <c r="V159" i="341" s="1"/>
  <c r="Y42" i="342"/>
  <c r="Y44" i="342"/>
  <c r="AM44" i="342"/>
  <c r="AQ44" i="342"/>
  <c r="Q65" i="342"/>
  <c r="AM47" i="342"/>
  <c r="Z53" i="342"/>
  <c r="AB104" i="342"/>
  <c r="BG92" i="342"/>
  <c r="Z92" i="342"/>
  <c r="AR128" i="342"/>
  <c r="Y150" i="342"/>
  <c r="AQ18" i="343"/>
  <c r="AO18" i="343"/>
  <c r="Y100" i="343"/>
  <c r="AJ102" i="343"/>
  <c r="AK102" i="343" s="1"/>
  <c r="AR102" i="343"/>
  <c r="Y102" i="343"/>
  <c r="AL102" i="343"/>
  <c r="J69" i="340"/>
  <c r="S69" i="340" s="1"/>
  <c r="J80" i="340"/>
  <c r="S80" i="340" s="1"/>
  <c r="T80" i="340" s="1"/>
  <c r="T93" i="340"/>
  <c r="J156" i="340"/>
  <c r="S156" i="340" s="1"/>
  <c r="T156" i="340" s="1"/>
  <c r="L172" i="341"/>
  <c r="L173" i="341" s="1"/>
  <c r="L40" i="341"/>
  <c r="J50" i="341"/>
  <c r="S50" i="341" s="1"/>
  <c r="T50" i="341" s="1"/>
  <c r="J129" i="341"/>
  <c r="S129" i="341" s="1"/>
  <c r="T129" i="341" s="1"/>
  <c r="J134" i="341"/>
  <c r="S134" i="341" s="1"/>
  <c r="T134" i="341" s="1"/>
  <c r="J137" i="341"/>
  <c r="S137" i="341" s="1"/>
  <c r="T137" i="341" s="1"/>
  <c r="J139" i="341"/>
  <c r="S139" i="341" s="1"/>
  <c r="T139" i="341" s="1"/>
  <c r="T150" i="341"/>
  <c r="X15" i="342"/>
  <c r="W65" i="342"/>
  <c r="AR59" i="342"/>
  <c r="AQ59" i="342"/>
  <c r="AO59" i="342"/>
  <c r="AM109" i="342"/>
  <c r="Y109" i="342"/>
  <c r="AM120" i="342"/>
  <c r="Y120" i="342"/>
  <c r="AO128" i="342"/>
  <c r="K147" i="342"/>
  <c r="AM166" i="342"/>
  <c r="AR18" i="343"/>
  <c r="AR38" i="343"/>
  <c r="AP38" i="343"/>
  <c r="AQ38" i="343"/>
  <c r="AO38" i="343"/>
  <c r="W83" i="343"/>
  <c r="X100" i="343"/>
  <c r="N188" i="340"/>
  <c r="N189" i="340" s="1"/>
  <c r="T64" i="340"/>
  <c r="T119" i="340"/>
  <c r="T131" i="340"/>
  <c r="T149" i="340"/>
  <c r="J159" i="340"/>
  <c r="S159" i="340" s="1"/>
  <c r="T159" i="340" s="1"/>
  <c r="Z159" i="340"/>
  <c r="M40" i="341"/>
  <c r="Z31" i="341"/>
  <c r="Z39" i="341" s="1"/>
  <c r="T38" i="341"/>
  <c r="T67" i="341"/>
  <c r="Z67" i="341"/>
  <c r="P88" i="341"/>
  <c r="T76" i="341"/>
  <c r="T99" i="341"/>
  <c r="Y119" i="341"/>
  <c r="AA119" i="341" s="1"/>
  <c r="J121" i="341"/>
  <c r="S121" i="341" s="1"/>
  <c r="T121" i="341" s="1"/>
  <c r="Z121" i="341"/>
  <c r="M134" i="341"/>
  <c r="Y24" i="342"/>
  <c r="X40" i="342"/>
  <c r="Y43" i="342"/>
  <c r="X46" i="342"/>
  <c r="K65" i="342"/>
  <c r="AM77" i="342"/>
  <c r="Y77" i="342"/>
  <c r="AG104" i="342"/>
  <c r="BG90" i="342"/>
  <c r="AL91" i="342"/>
  <c r="AM91" i="342" s="1"/>
  <c r="Y91" i="342"/>
  <c r="AR91" i="342"/>
  <c r="Y97" i="342"/>
  <c r="AM97" i="342"/>
  <c r="AQ128" i="342"/>
  <c r="Q147" i="342"/>
  <c r="X143" i="342"/>
  <c r="AL67" i="343"/>
  <c r="AJ67" i="343"/>
  <c r="AK67" i="343" s="1"/>
  <c r="AR68" i="343"/>
  <c r="AQ68" i="343"/>
  <c r="AP68" i="343"/>
  <c r="AO68" i="343"/>
  <c r="AL96" i="343"/>
  <c r="AM96" i="343" s="1"/>
  <c r="AR96" i="343"/>
  <c r="AJ96" i="343"/>
  <c r="AK96" i="343" s="1"/>
  <c r="AP46" i="342"/>
  <c r="AO46" i="342"/>
  <c r="AN65" i="342"/>
  <c r="Y72" i="342"/>
  <c r="AR84" i="342"/>
  <c r="AP84" i="342"/>
  <c r="AO92" i="342"/>
  <c r="AR92" i="342"/>
  <c r="AQ92" i="342"/>
  <c r="AP92" i="342"/>
  <c r="P105" i="342"/>
  <c r="P182" i="342" s="1"/>
  <c r="AT105" i="342"/>
  <c r="AT182" i="342" s="1"/>
  <c r="X156" i="342"/>
  <c r="Q164" i="342"/>
  <c r="AL20" i="343"/>
  <c r="AM20" i="343" s="1"/>
  <c r="AJ20" i="343"/>
  <c r="AK20" i="343" s="1"/>
  <c r="Y20" i="343"/>
  <c r="Y22" i="343"/>
  <c r="AO36" i="343"/>
  <c r="AR36" i="343"/>
  <c r="AQ36" i="343"/>
  <c r="AP36" i="343"/>
  <c r="AJ77" i="343"/>
  <c r="AK77" i="343" s="1"/>
  <c r="AL77" i="343"/>
  <c r="AA161" i="343"/>
  <c r="T53" i="341"/>
  <c r="J78" i="341"/>
  <c r="S78" i="341" s="1"/>
  <c r="T78" i="341" s="1"/>
  <c r="T141" i="341"/>
  <c r="T152" i="341"/>
  <c r="AR17" i="342"/>
  <c r="AQ17" i="342"/>
  <c r="AQ19" i="342"/>
  <c r="AP19" i="342"/>
  <c r="AO19" i="342"/>
  <c r="AR22" i="342"/>
  <c r="AQ22" i="342"/>
  <c r="AP22" i="342"/>
  <c r="AQ29" i="342"/>
  <c r="AM52" i="342"/>
  <c r="Y52" i="342"/>
  <c r="AV182" i="342"/>
  <c r="AM80" i="342"/>
  <c r="AQ84" i="342"/>
  <c r="BG89" i="342"/>
  <c r="Z89" i="342"/>
  <c r="AZ89" i="342" s="1"/>
  <c r="BA89" i="342" s="1"/>
  <c r="Z123" i="342"/>
  <c r="BG123" i="342"/>
  <c r="AQ152" i="342"/>
  <c r="AP152" i="342"/>
  <c r="AO152" i="342"/>
  <c r="W45" i="343"/>
  <c r="AR34" i="343"/>
  <c r="AP34" i="343"/>
  <c r="AM40" i="343"/>
  <c r="AQ40" i="343"/>
  <c r="AB104" i="343"/>
  <c r="AB105" i="343" s="1"/>
  <c r="AB161" i="343" s="1"/>
  <c r="J56" i="340"/>
  <c r="S56" i="340" s="1"/>
  <c r="T56" i="340" s="1"/>
  <c r="J72" i="340"/>
  <c r="S72" i="340" s="1"/>
  <c r="J85" i="340"/>
  <c r="S85" i="340" s="1"/>
  <c r="T85" i="340" s="1"/>
  <c r="J95" i="340"/>
  <c r="S95" i="340" s="1"/>
  <c r="T95" i="340" s="1"/>
  <c r="J111" i="340"/>
  <c r="R188" i="340"/>
  <c r="R189" i="340" s="1"/>
  <c r="J36" i="341"/>
  <c r="S36" i="341" s="1"/>
  <c r="J53" i="341"/>
  <c r="S53" i="341" s="1"/>
  <c r="J72" i="341"/>
  <c r="S72" i="341" s="1"/>
  <c r="T72" i="341" s="1"/>
  <c r="J107" i="341"/>
  <c r="S107" i="341" s="1"/>
  <c r="J112" i="341"/>
  <c r="S112" i="341" s="1"/>
  <c r="T112" i="341" s="1"/>
  <c r="J169" i="341"/>
  <c r="S169" i="341" s="1"/>
  <c r="T169" i="341" s="1"/>
  <c r="Z169" i="341"/>
  <c r="AL16" i="342"/>
  <c r="AM16" i="342" s="1"/>
  <c r="AJ16" i="342"/>
  <c r="AK16" i="342" s="1"/>
  <c r="AO17" i="342"/>
  <c r="AR19" i="342"/>
  <c r="AO22" i="342"/>
  <c r="AO28" i="342"/>
  <c r="AR29" i="342"/>
  <c r="Z34" i="342"/>
  <c r="AZ34" i="342" s="1"/>
  <c r="BA34" i="342" s="1"/>
  <c r="AR63" i="342"/>
  <c r="AQ63" i="342"/>
  <c r="AP63" i="342"/>
  <c r="AO63" i="342"/>
  <c r="AB83" i="342"/>
  <c r="AO94" i="342"/>
  <c r="AR95" i="342"/>
  <c r="AQ95" i="342"/>
  <c r="AP95" i="342"/>
  <c r="AO95" i="342"/>
  <c r="AO104" i="342" s="1"/>
  <c r="AR101" i="342"/>
  <c r="AQ101" i="342"/>
  <c r="AP101" i="342"/>
  <c r="AO101" i="342"/>
  <c r="Y122" i="342"/>
  <c r="AL122" i="342"/>
  <c r="AM122" i="342" s="1"/>
  <c r="AR137" i="342"/>
  <c r="K155" i="342"/>
  <c r="AP148" i="342"/>
  <c r="AP155" i="342" s="1"/>
  <c r="Z159" i="342"/>
  <c r="AZ159" i="342" s="1"/>
  <c r="BA159" i="342"/>
  <c r="K45" i="343"/>
  <c r="K105" i="343" s="1"/>
  <c r="K161" i="343" s="1"/>
  <c r="AL16" i="343"/>
  <c r="AM16" i="343" s="1"/>
  <c r="AJ16" i="343"/>
  <c r="AK16" i="343" s="1"/>
  <c r="Y16" i="343"/>
  <c r="AO34" i="343"/>
  <c r="AJ40" i="343"/>
  <c r="AK40" i="343" s="1"/>
  <c r="AL40" i="343"/>
  <c r="AO42" i="343"/>
  <c r="Y42" i="343"/>
  <c r="Y76" i="343"/>
  <c r="AM76" i="343"/>
  <c r="AL98" i="343"/>
  <c r="AM98" i="343" s="1"/>
  <c r="AJ98" i="343"/>
  <c r="AK98" i="343" s="1"/>
  <c r="X107" i="343"/>
  <c r="AP107" i="343" s="1"/>
  <c r="Q116" i="343"/>
  <c r="Q188" i="340"/>
  <c r="Q189" i="340" s="1"/>
  <c r="K187" i="340"/>
  <c r="K189" i="340" s="1"/>
  <c r="Q40" i="340"/>
  <c r="L187" i="340"/>
  <c r="J144" i="340"/>
  <c r="T157" i="340"/>
  <c r="J184" i="340"/>
  <c r="S184" i="340" s="1"/>
  <c r="T184" i="340" s="1"/>
  <c r="T136" i="341"/>
  <c r="J155" i="341"/>
  <c r="X21" i="342"/>
  <c r="AP28" i="342"/>
  <c r="AM35" i="342"/>
  <c r="Y39" i="342"/>
  <c r="AL43" i="342"/>
  <c r="AM43" i="342" s="1"/>
  <c r="AP47" i="342"/>
  <c r="AO47" i="342"/>
  <c r="Z48" i="342"/>
  <c r="AZ48" i="342" s="1"/>
  <c r="BA48" i="342" s="1"/>
  <c r="BG48" i="342"/>
  <c r="AJ51" i="342"/>
  <c r="AK51" i="342" s="1"/>
  <c r="AP55" i="342"/>
  <c r="AO55" i="342"/>
  <c r="AD83" i="342"/>
  <c r="AR70" i="342"/>
  <c r="AQ70" i="342"/>
  <c r="AO70" i="342"/>
  <c r="AM73" i="342"/>
  <c r="Y73" i="342"/>
  <c r="AL74" i="342"/>
  <c r="AM74" i="342" s="1"/>
  <c r="AJ74" i="342"/>
  <c r="AK74" i="342" s="1"/>
  <c r="AX105" i="342"/>
  <c r="AQ85" i="342"/>
  <c r="AR85" i="342"/>
  <c r="AP94" i="342"/>
  <c r="T105" i="342"/>
  <c r="T182" i="342" s="1"/>
  <c r="BG173" i="342"/>
  <c r="Z173" i="342"/>
  <c r="AZ173" i="342" s="1"/>
  <c r="BA173" i="342" s="1"/>
  <c r="X14" i="343"/>
  <c r="Q45" i="343"/>
  <c r="AQ34" i="343"/>
  <c r="AM52" i="343"/>
  <c r="Y52" i="343"/>
  <c r="AJ73" i="343"/>
  <c r="AK73" i="343" s="1"/>
  <c r="AL73" i="343"/>
  <c r="AM73" i="343" s="1"/>
  <c r="M187" i="340"/>
  <c r="T183" i="340"/>
  <c r="T77" i="341"/>
  <c r="J102" i="341"/>
  <c r="S102" i="341" s="1"/>
  <c r="T102" i="341" s="1"/>
  <c r="Z102" i="341"/>
  <c r="T107" i="341"/>
  <c r="T131" i="341"/>
  <c r="Z131" i="341"/>
  <c r="T140" i="341"/>
  <c r="M140" i="341"/>
  <c r="J140" i="341"/>
  <c r="S140" i="341" s="1"/>
  <c r="Y16" i="342"/>
  <c r="BG23" i="342"/>
  <c r="AQ28" i="342"/>
  <c r="X33" i="342"/>
  <c r="AP43" i="342"/>
  <c r="AO43" i="342"/>
  <c r="AR56" i="342"/>
  <c r="AP56" i="342"/>
  <c r="AQ56" i="342"/>
  <c r="AO56" i="342"/>
  <c r="AJ73" i="342"/>
  <c r="AK73" i="342" s="1"/>
  <c r="AL73" i="342"/>
  <c r="Y80" i="342"/>
  <c r="AL90" i="342"/>
  <c r="AM90" i="342" s="1"/>
  <c r="AJ90" i="342"/>
  <c r="AK90" i="342" s="1"/>
  <c r="AZ90" i="342" s="1"/>
  <c r="BA90" i="342" s="1"/>
  <c r="X93" i="342"/>
  <c r="X104" i="342" s="1"/>
  <c r="AR94" i="342"/>
  <c r="AR106" i="342"/>
  <c r="AQ106" i="342"/>
  <c r="AO106" i="342"/>
  <c r="Y40" i="343"/>
  <c r="AM41" i="343"/>
  <c r="Y41" i="343"/>
  <c r="AO41" i="343"/>
  <c r="AR58" i="342"/>
  <c r="AP58" i="342"/>
  <c r="AR66" i="342"/>
  <c r="AP66" i="342"/>
  <c r="AQ66" i="342"/>
  <c r="AO66" i="342"/>
  <c r="BN182" i="342"/>
  <c r="AP109" i="342"/>
  <c r="AO109" i="342"/>
  <c r="AB124" i="342"/>
  <c r="W181" i="342"/>
  <c r="Y15" i="343"/>
  <c r="AL15" i="343"/>
  <c r="AM15" i="343" s="1"/>
  <c r="AJ15" i="343"/>
  <c r="AK15" i="343" s="1"/>
  <c r="X172" i="343"/>
  <c r="AL19" i="343"/>
  <c r="AM19" i="343" s="1"/>
  <c r="AJ19" i="343"/>
  <c r="AK19" i="343" s="1"/>
  <c r="Y19" i="343"/>
  <c r="AZ21" i="343"/>
  <c r="BA21" i="343" s="1"/>
  <c r="Y31" i="343"/>
  <c r="AL31" i="343"/>
  <c r="AM31" i="343" s="1"/>
  <c r="AJ31" i="343"/>
  <c r="AK31" i="343" s="1"/>
  <c r="BG36" i="343"/>
  <c r="AJ43" i="343"/>
  <c r="AK43" i="343" s="1"/>
  <c r="Y43" i="343"/>
  <c r="AL43" i="343"/>
  <c r="AM43" i="343" s="1"/>
  <c r="AL54" i="343"/>
  <c r="AM54" i="343" s="1"/>
  <c r="AJ54" i="343"/>
  <c r="AK54" i="343" s="1"/>
  <c r="Z66" i="343"/>
  <c r="BG66" i="343"/>
  <c r="X86" i="343"/>
  <c r="Q104" i="343"/>
  <c r="P172" i="341"/>
  <c r="P173" i="341" s="1"/>
  <c r="P40" i="341"/>
  <c r="AQ40" i="342"/>
  <c r="AQ58" i="342"/>
  <c r="AD104" i="342"/>
  <c r="AQ96" i="342"/>
  <c r="AR109" i="342"/>
  <c r="AR110" i="342"/>
  <c r="AQ110" i="342"/>
  <c r="AI124" i="342"/>
  <c r="BG126" i="342"/>
  <c r="Y127" i="342"/>
  <c r="AP127" i="342"/>
  <c r="AM127" i="342"/>
  <c r="Y160" i="342"/>
  <c r="AM160" i="342"/>
  <c r="AB181" i="342"/>
  <c r="AM171" i="342"/>
  <c r="AJ39" i="343"/>
  <c r="AK39" i="343" s="1"/>
  <c r="AL39" i="343"/>
  <c r="AL53" i="343"/>
  <c r="AM53" i="343" s="1"/>
  <c r="AJ53" i="343"/>
  <c r="AK53" i="343" s="1"/>
  <c r="AL74" i="343"/>
  <c r="AM74" i="343" s="1"/>
  <c r="AJ74" i="343"/>
  <c r="AK74" i="343" s="1"/>
  <c r="W142" i="343"/>
  <c r="X138" i="343"/>
  <c r="K171" i="341"/>
  <c r="J56" i="341"/>
  <c r="S56" i="341" s="1"/>
  <c r="T56" i="341" s="1"/>
  <c r="J69" i="341"/>
  <c r="S69" i="341" s="1"/>
  <c r="T69" i="341" s="1"/>
  <c r="J79" i="341"/>
  <c r="S79" i="341" s="1"/>
  <c r="T79" i="341" s="1"/>
  <c r="J95" i="341"/>
  <c r="J141" i="341"/>
  <c r="S141" i="341" s="1"/>
  <c r="J142" i="341"/>
  <c r="S142" i="341" s="1"/>
  <c r="T142" i="341" s="1"/>
  <c r="J143" i="341"/>
  <c r="S143" i="341" s="1"/>
  <c r="T143" i="341" s="1"/>
  <c r="J145" i="341"/>
  <c r="S145" i="341" s="1"/>
  <c r="J146" i="341"/>
  <c r="S146" i="341" s="1"/>
  <c r="T146" i="341" s="1"/>
  <c r="J147" i="341"/>
  <c r="S147" i="341" s="1"/>
  <c r="T147" i="341" s="1"/>
  <c r="J148" i="341"/>
  <c r="S148" i="341" s="1"/>
  <c r="T148" i="341" s="1"/>
  <c r="J149" i="341"/>
  <c r="S149" i="341" s="1"/>
  <c r="J150" i="341"/>
  <c r="S150" i="341" s="1"/>
  <c r="J151" i="341"/>
  <c r="S151" i="341" s="1"/>
  <c r="J152" i="341"/>
  <c r="S152" i="341" s="1"/>
  <c r="AB45" i="342"/>
  <c r="AO27" i="342"/>
  <c r="AO36" i="342"/>
  <c r="AO40" i="342"/>
  <c r="AX65" i="342"/>
  <c r="AM68" i="342"/>
  <c r="AZ68" i="342" s="1"/>
  <c r="AO68" i="342"/>
  <c r="AL82" i="342"/>
  <c r="AM82" i="342" s="1"/>
  <c r="AJ82" i="342"/>
  <c r="AK82" i="342" s="1"/>
  <c r="BG95" i="342"/>
  <c r="AR96" i="342"/>
  <c r="AR97" i="342"/>
  <c r="AQ97" i="342"/>
  <c r="AO97" i="342"/>
  <c r="Z99" i="342"/>
  <c r="AO110" i="342"/>
  <c r="Z126" i="342"/>
  <c r="AL144" i="342"/>
  <c r="AM144" i="342" s="1"/>
  <c r="Y144" i="342"/>
  <c r="Y149" i="342"/>
  <c r="AM149" i="342"/>
  <c r="Y154" i="342"/>
  <c r="AM154" i="342"/>
  <c r="AD164" i="342"/>
  <c r="AM161" i="342"/>
  <c r="Y161" i="342"/>
  <c r="BG172" i="342"/>
  <c r="Z172" i="342"/>
  <c r="AM178" i="342"/>
  <c r="Y178" i="342"/>
  <c r="AR14" i="343"/>
  <c r="AN45" i="343"/>
  <c r="AQ14" i="343"/>
  <c r="AR19" i="343"/>
  <c r="AP19" i="343"/>
  <c r="AZ19" i="343" s="1"/>
  <c r="AQ19" i="343"/>
  <c r="AR28" i="343"/>
  <c r="AQ28" i="343"/>
  <c r="AO28" i="343"/>
  <c r="Y30" i="343"/>
  <c r="AM30" i="343"/>
  <c r="Y39" i="343"/>
  <c r="Y47" i="343"/>
  <c r="AM47" i="343"/>
  <c r="AO47" i="343"/>
  <c r="W65" i="343"/>
  <c r="AJ66" i="343"/>
  <c r="AD45" i="342"/>
  <c r="AO26" i="342"/>
  <c r="AP27" i="342"/>
  <c r="AP36" i="342"/>
  <c r="AP40" i="342"/>
  <c r="AO64" i="342"/>
  <c r="AQ76" i="342"/>
  <c r="AP76" i="342"/>
  <c r="Y82" i="342"/>
  <c r="AP97" i="342"/>
  <c r="AX116" i="342"/>
  <c r="AP110" i="342"/>
  <c r="AR118" i="342"/>
  <c r="AQ118" i="342"/>
  <c r="AQ124" i="342" s="1"/>
  <c r="W137" i="342"/>
  <c r="AD147" i="342"/>
  <c r="X145" i="342"/>
  <c r="AR145" i="342" s="1"/>
  <c r="AL153" i="342"/>
  <c r="Y153" i="342"/>
  <c r="AL177" i="342"/>
  <c r="AM177" i="342" s="1"/>
  <c r="Y177" i="342"/>
  <c r="AO14" i="343"/>
  <c r="AO19" i="343"/>
  <c r="BG23" i="343"/>
  <c r="Z23" i="343"/>
  <c r="AZ23" i="343" s="1"/>
  <c r="BA23" i="343" s="1"/>
  <c r="AP28" i="343"/>
  <c r="AL30" i="343"/>
  <c r="AJ30" i="343"/>
  <c r="AK30" i="343" s="1"/>
  <c r="AO43" i="343"/>
  <c r="AR44" i="343"/>
  <c r="AP44" i="343"/>
  <c r="AQ44" i="343"/>
  <c r="AO44" i="343"/>
  <c r="AL66" i="343"/>
  <c r="Y69" i="343"/>
  <c r="AL69" i="343"/>
  <c r="AM69" i="343" s="1"/>
  <c r="AJ69" i="343"/>
  <c r="AK69" i="343" s="1"/>
  <c r="Z89" i="343"/>
  <c r="AL117" i="343"/>
  <c r="AL124" i="343" s="1"/>
  <c r="X124" i="343"/>
  <c r="T144" i="341"/>
  <c r="T151" i="341"/>
  <c r="AG45" i="342"/>
  <c r="AR27" i="342"/>
  <c r="AR40" i="342"/>
  <c r="BG50" i="342"/>
  <c r="AR117" i="342"/>
  <c r="AP117" i="342"/>
  <c r="AP124" i="342" s="1"/>
  <c r="AO118" i="342"/>
  <c r="AO124" i="342" s="1"/>
  <c r="AD155" i="342"/>
  <c r="AP151" i="342"/>
  <c r="AM151" i="342"/>
  <c r="AM152" i="342"/>
  <c r="AP14" i="343"/>
  <c r="AM38" i="343"/>
  <c r="Y38" i="343"/>
  <c r="AJ50" i="343"/>
  <c r="AK50" i="343" s="1"/>
  <c r="AQ54" i="343"/>
  <c r="AO54" i="343"/>
  <c r="AR54" i="343"/>
  <c r="AQ60" i="343"/>
  <c r="K65" i="343"/>
  <c r="AL103" i="343"/>
  <c r="AM103" i="343" s="1"/>
  <c r="AJ103" i="343"/>
  <c r="AK103" i="343" s="1"/>
  <c r="AD147" i="343"/>
  <c r="BG33" i="343"/>
  <c r="AN65" i="343"/>
  <c r="AP46" i="343"/>
  <c r="AQ46" i="343"/>
  <c r="AO46" i="343"/>
  <c r="AD104" i="343"/>
  <c r="AR89" i="343"/>
  <c r="AL89" i="343"/>
  <c r="AM89" i="343" s="1"/>
  <c r="BG94" i="343"/>
  <c r="O105" i="343"/>
  <c r="O161" i="343" s="1"/>
  <c r="K133" i="343"/>
  <c r="K137" i="343"/>
  <c r="AM42" i="342"/>
  <c r="AO42" i="342"/>
  <c r="AM53" i="342"/>
  <c r="Y64" i="342"/>
  <c r="AM64" i="342"/>
  <c r="Y79" i="342"/>
  <c r="W116" i="342"/>
  <c r="X106" i="342"/>
  <c r="AB133" i="342"/>
  <c r="AP140" i="342"/>
  <c r="AO140" i="342"/>
  <c r="AB155" i="342"/>
  <c r="Y162" i="342"/>
  <c r="AP165" i="342"/>
  <c r="AO15" i="343"/>
  <c r="AR15" i="343"/>
  <c r="AP15" i="343"/>
  <c r="Y28" i="343"/>
  <c r="AM28" i="343"/>
  <c r="AQ30" i="343"/>
  <c r="AO30" i="343"/>
  <c r="AR30" i="343"/>
  <c r="AM37" i="343"/>
  <c r="AP37" i="343"/>
  <c r="AL38" i="343"/>
  <c r="AJ38" i="343"/>
  <c r="AK38" i="343" s="1"/>
  <c r="AR97" i="343"/>
  <c r="AP97" i="343"/>
  <c r="AQ132" i="343"/>
  <c r="AO132" i="343"/>
  <c r="AZ132" i="343" s="1"/>
  <c r="AR132" i="343"/>
  <c r="AP132" i="343"/>
  <c r="AM145" i="343"/>
  <c r="Y145" i="343"/>
  <c r="AR145" i="343"/>
  <c r="Y157" i="343"/>
  <c r="AM157" i="343"/>
  <c r="AM36" i="342"/>
  <c r="AO86" i="342"/>
  <c r="Z87" i="342"/>
  <c r="BG87" i="342"/>
  <c r="AM123" i="342"/>
  <c r="AD133" i="342"/>
  <c r="AP136" i="342"/>
  <c r="AQ140" i="342"/>
  <c r="AX147" i="342"/>
  <c r="AQ165" i="342"/>
  <c r="AQ15" i="343"/>
  <c r="AL25" i="343"/>
  <c r="AM25" i="343" s="1"/>
  <c r="AJ25" i="343"/>
  <c r="AK25" i="343" s="1"/>
  <c r="AP30" i="343"/>
  <c r="Z33" i="343"/>
  <c r="AZ33" i="343" s="1"/>
  <c r="BA33" i="343" s="1"/>
  <c r="Y35" i="343"/>
  <c r="AL37" i="343"/>
  <c r="AJ37" i="343"/>
  <c r="AK37" i="343" s="1"/>
  <c r="AQ39" i="343"/>
  <c r="AR39" i="343"/>
  <c r="AP39" i="343"/>
  <c r="AO39" i="343"/>
  <c r="AK84" i="343"/>
  <c r="AJ91" i="343"/>
  <c r="AK91" i="343" s="1"/>
  <c r="AL91" i="343"/>
  <c r="AM91" i="343" s="1"/>
  <c r="AO97" i="343"/>
  <c r="AO109" i="343"/>
  <c r="AL109" i="343"/>
  <c r="AM109" i="343" s="1"/>
  <c r="AN45" i="342"/>
  <c r="AO24" i="342"/>
  <c r="Y28" i="342"/>
  <c r="AO49" i="342"/>
  <c r="Y69" i="342"/>
  <c r="X75" i="342"/>
  <c r="X81" i="342"/>
  <c r="AC105" i="342"/>
  <c r="AC182" i="342" s="1"/>
  <c r="AB116" i="342"/>
  <c r="AG133" i="342"/>
  <c r="AQ136" i="342"/>
  <c r="AR140" i="342"/>
  <c r="AQ144" i="342"/>
  <c r="AP144" i="342"/>
  <c r="AO144" i="342"/>
  <c r="AR165" i="342"/>
  <c r="AR177" i="342"/>
  <c r="AQ177" i="342"/>
  <c r="AL24" i="343"/>
  <c r="AM24" i="343" s="1"/>
  <c r="AJ24" i="343"/>
  <c r="AK24" i="343" s="1"/>
  <c r="AO24" i="343"/>
  <c r="AR50" i="343"/>
  <c r="AQ50" i="343"/>
  <c r="AO50" i="343"/>
  <c r="AP50" i="343"/>
  <c r="Y55" i="343"/>
  <c r="AP55" i="343"/>
  <c r="AR76" i="343"/>
  <c r="AP76" i="343"/>
  <c r="AQ76" i="343"/>
  <c r="AO76" i="343"/>
  <c r="AJ90" i="343"/>
  <c r="AK90" i="343" s="1"/>
  <c r="AL90" i="343"/>
  <c r="AQ97" i="343"/>
  <c r="S161" i="343"/>
  <c r="Y108" i="343"/>
  <c r="AM108" i="343"/>
  <c r="AQ108" i="343"/>
  <c r="AR110" i="343"/>
  <c r="AP110" i="343"/>
  <c r="AQ110" i="343"/>
  <c r="AO110" i="343"/>
  <c r="Y127" i="343"/>
  <c r="AL127" i="343"/>
  <c r="AM127" i="343" s="1"/>
  <c r="AL53" i="342"/>
  <c r="AJ53" i="342"/>
  <c r="AK53" i="342" s="1"/>
  <c r="Y55" i="342"/>
  <c r="AM55" i="342"/>
  <c r="X61" i="342"/>
  <c r="AL64" i="342"/>
  <c r="AJ64" i="342"/>
  <c r="AK64" i="342" s="1"/>
  <c r="X83" i="342"/>
  <c r="AP77" i="342"/>
  <c r="X189" i="342"/>
  <c r="AJ79" i="342"/>
  <c r="AK79" i="342" s="1"/>
  <c r="AJ99" i="342"/>
  <c r="AK99" i="342" s="1"/>
  <c r="AL99" i="342"/>
  <c r="AM99" i="342" s="1"/>
  <c r="X115" i="342"/>
  <c r="AP115" i="342" s="1"/>
  <c r="AI133" i="342"/>
  <c r="AM135" i="342"/>
  <c r="AM137" i="342" s="1"/>
  <c r="Y135" i="342"/>
  <c r="AX45" i="343"/>
  <c r="Y25" i="343"/>
  <c r="AL27" i="343"/>
  <c r="AJ27" i="343"/>
  <c r="AK27" i="343" s="1"/>
  <c r="Y37" i="343"/>
  <c r="AP61" i="343"/>
  <c r="AQ61" i="343"/>
  <c r="AR61" i="343"/>
  <c r="AO61" i="343"/>
  <c r="Y67" i="343"/>
  <c r="AM67" i="343"/>
  <c r="AP67" i="343"/>
  <c r="K83" i="343"/>
  <c r="Y74" i="343"/>
  <c r="Y88" i="343"/>
  <c r="AJ89" i="343"/>
  <c r="AK89" i="343" s="1"/>
  <c r="T105" i="343"/>
  <c r="T161" i="343" s="1"/>
  <c r="AB116" i="343"/>
  <c r="AM27" i="343"/>
  <c r="Y34" i="343"/>
  <c r="AJ34" i="343"/>
  <c r="AK34" i="343" s="1"/>
  <c r="AL42" i="343"/>
  <c r="AM42" i="343" s="1"/>
  <c r="AJ42" i="343"/>
  <c r="AK42" i="343" s="1"/>
  <c r="AP51" i="343"/>
  <c r="AR51" i="343"/>
  <c r="AO51" i="343"/>
  <c r="AL59" i="343"/>
  <c r="AM59" i="343" s="1"/>
  <c r="AJ59" i="343"/>
  <c r="AK59" i="343" s="1"/>
  <c r="Y59" i="343"/>
  <c r="AQ74" i="343"/>
  <c r="AO74" i="343"/>
  <c r="AP74" i="343"/>
  <c r="AR75" i="343"/>
  <c r="AQ75" i="343"/>
  <c r="AP75" i="343"/>
  <c r="AJ97" i="343"/>
  <c r="AK97" i="343" s="1"/>
  <c r="Y97" i="343"/>
  <c r="V105" i="343"/>
  <c r="V161" i="343" s="1"/>
  <c r="X60" i="342"/>
  <c r="Y60" i="342" s="1"/>
  <c r="AM78" i="342"/>
  <c r="Y108" i="342"/>
  <c r="AR114" i="342"/>
  <c r="AP114" i="342"/>
  <c r="AO114" i="342"/>
  <c r="AL137" i="342"/>
  <c r="X174" i="342"/>
  <c r="AL174" i="342" s="1"/>
  <c r="AM174" i="342" s="1"/>
  <c r="AP16" i="343"/>
  <c r="AP49" i="343"/>
  <c r="AO56" i="343"/>
  <c r="AL56" i="343"/>
  <c r="AM56" i="343" s="1"/>
  <c r="Y56" i="343"/>
  <c r="Y62" i="343"/>
  <c r="BA64" i="343"/>
  <c r="Y70" i="343"/>
  <c r="AM70" i="343"/>
  <c r="AQ73" i="343"/>
  <c r="AP77" i="343"/>
  <c r="AP87" i="343"/>
  <c r="AR90" i="343"/>
  <c r="AQ90" i="343"/>
  <c r="AO90" i="343"/>
  <c r="AJ101" i="343"/>
  <c r="AK101" i="343" s="1"/>
  <c r="Y101" i="343"/>
  <c r="BN161" i="343"/>
  <c r="AR118" i="343"/>
  <c r="AP118" i="343"/>
  <c r="AQ118" i="343"/>
  <c r="Y123" i="343"/>
  <c r="AM123" i="343"/>
  <c r="AP151" i="343"/>
  <c r="AO151" i="343"/>
  <c r="AO160" i="343" s="1"/>
  <c r="AN164" i="342"/>
  <c r="AR156" i="342"/>
  <c r="AR164" i="342" s="1"/>
  <c r="AQ156" i="342"/>
  <c r="AQ164" i="342" s="1"/>
  <c r="AO156" i="342"/>
  <c r="Y158" i="342"/>
  <c r="AR16" i="343"/>
  <c r="AL23" i="343"/>
  <c r="AM23" i="343" s="1"/>
  <c r="AJ23" i="343"/>
  <c r="AK23" i="343" s="1"/>
  <c r="AQ25" i="343"/>
  <c r="AR25" i="343"/>
  <c r="AP25" i="343"/>
  <c r="AO25" i="343"/>
  <c r="BG32" i="343"/>
  <c r="Z32" i="343"/>
  <c r="AZ32" i="343" s="1"/>
  <c r="BA32" i="343" s="1"/>
  <c r="AL49" i="343"/>
  <c r="AM49" i="343" s="1"/>
  <c r="AJ49" i="343"/>
  <c r="AK49" i="343" s="1"/>
  <c r="AJ62" i="343"/>
  <c r="AK62" i="343" s="1"/>
  <c r="AL62" i="343"/>
  <c r="AM62" i="343" s="1"/>
  <c r="AR66" i="343"/>
  <c r="AQ66" i="343"/>
  <c r="AN83" i="343"/>
  <c r="AO66" i="343"/>
  <c r="AL70" i="343"/>
  <c r="AJ70" i="343"/>
  <c r="AK70" i="343" s="1"/>
  <c r="AR73" i="343"/>
  <c r="AQ78" i="343"/>
  <c r="AP78" i="343"/>
  <c r="AO78" i="343"/>
  <c r="AQ87" i="343"/>
  <c r="AR93" i="343"/>
  <c r="AQ93" i="343"/>
  <c r="AP93" i="343"/>
  <c r="AO93" i="343"/>
  <c r="K116" i="343"/>
  <c r="Y110" i="343"/>
  <c r="AM110" i="343"/>
  <c r="AP33" i="342"/>
  <c r="Y49" i="342"/>
  <c r="K104" i="342"/>
  <c r="Y85" i="342"/>
  <c r="AP89" i="342"/>
  <c r="Y103" i="342"/>
  <c r="AM103" i="342"/>
  <c r="U105" i="342"/>
  <c r="U182" i="342" s="1"/>
  <c r="AP107" i="342"/>
  <c r="Q124" i="342"/>
  <c r="X117" i="342"/>
  <c r="AX133" i="342"/>
  <c r="Y134" i="342"/>
  <c r="AP156" i="342"/>
  <c r="AR160" i="342"/>
  <c r="AQ160" i="342"/>
  <c r="AP160" i="342"/>
  <c r="Y179" i="342"/>
  <c r="Y27" i="343"/>
  <c r="AL34" i="343"/>
  <c r="AM34" i="343" s="1"/>
  <c r="AJ41" i="343"/>
  <c r="AK41" i="343" s="1"/>
  <c r="AL57" i="343"/>
  <c r="AM57" i="343" s="1"/>
  <c r="AJ57" i="343"/>
  <c r="AK57" i="343" s="1"/>
  <c r="AZ57" i="343" s="1"/>
  <c r="BA57" i="343" s="1"/>
  <c r="AP66" i="343"/>
  <c r="AQ77" i="343"/>
  <c r="AR78" i="343"/>
  <c r="BG84" i="343"/>
  <c r="AR94" i="343"/>
  <c r="AQ94" i="343"/>
  <c r="AP94" i="343"/>
  <c r="AO94" i="343"/>
  <c r="AZ94" i="343" s="1"/>
  <c r="BA94" i="343" s="1"/>
  <c r="AL97" i="343"/>
  <c r="AM97" i="343" s="1"/>
  <c r="AP103" i="343"/>
  <c r="AR103" i="343"/>
  <c r="AQ103" i="343"/>
  <c r="AL143" i="343"/>
  <c r="AL147" i="343" s="1"/>
  <c r="X147" i="343"/>
  <c r="AR151" i="343"/>
  <c r="AR160" i="343" s="1"/>
  <c r="X59" i="342"/>
  <c r="AM67" i="342"/>
  <c r="K83" i="342"/>
  <c r="AR89" i="342"/>
  <c r="AQ107" i="342"/>
  <c r="AM110" i="342"/>
  <c r="AZ110" i="342" s="1"/>
  <c r="BA110" i="342" s="1"/>
  <c r="AR111" i="342"/>
  <c r="AQ111" i="342"/>
  <c r="AO111" i="342"/>
  <c r="W124" i="342"/>
  <c r="Y119" i="342"/>
  <c r="X128" i="342"/>
  <c r="Y136" i="342"/>
  <c r="X137" i="342"/>
  <c r="X138" i="342"/>
  <c r="W164" i="342"/>
  <c r="AO168" i="342"/>
  <c r="AQ168" i="342"/>
  <c r="AP168" i="342"/>
  <c r="Y49" i="343"/>
  <c r="AR77" i="343"/>
  <c r="AQ92" i="343"/>
  <c r="AR92" i="343"/>
  <c r="AO92" i="343"/>
  <c r="W116" i="343"/>
  <c r="X106" i="343"/>
  <c r="X171" i="343" s="1"/>
  <c r="AL115" i="343"/>
  <c r="AM115" i="343" s="1"/>
  <c r="Y115" i="343"/>
  <c r="AP115" i="343"/>
  <c r="Y120" i="343"/>
  <c r="Y26" i="343"/>
  <c r="AE161" i="343"/>
  <c r="Y50" i="343"/>
  <c r="Y53" i="343"/>
  <c r="AM90" i="343"/>
  <c r="Y90" i="343"/>
  <c r="Y91" i="343"/>
  <c r="AD116" i="343"/>
  <c r="AQ113" i="343"/>
  <c r="AO113" i="343"/>
  <c r="X125" i="343"/>
  <c r="AR125" i="343" s="1"/>
  <c r="AR133" i="343" s="1"/>
  <c r="Q133" i="343"/>
  <c r="X94" i="342"/>
  <c r="X108" i="342"/>
  <c r="Y118" i="342"/>
  <c r="AP125" i="342"/>
  <c r="K137" i="342"/>
  <c r="Q155" i="342"/>
  <c r="X152" i="342"/>
  <c r="AL152" i="342" s="1"/>
  <c r="X179" i="342"/>
  <c r="AL179" i="342" s="1"/>
  <c r="AM179" i="342" s="1"/>
  <c r="X22" i="343"/>
  <c r="AO22" i="343" s="1"/>
  <c r="AQ29" i="343"/>
  <c r="AQ55" i="343"/>
  <c r="AR55" i="343"/>
  <c r="AO55" i="343"/>
  <c r="AZ68" i="343"/>
  <c r="AP69" i="343"/>
  <c r="AQ82" i="343"/>
  <c r="AR113" i="343"/>
  <c r="AB160" i="343"/>
  <c r="AM170" i="342"/>
  <c r="Y170" i="342"/>
  <c r="AG65" i="343"/>
  <c r="AR52" i="343"/>
  <c r="AP52" i="343"/>
  <c r="AR69" i="343"/>
  <c r="AT83" i="343"/>
  <c r="AT105" i="343" s="1"/>
  <c r="AT161" i="343" s="1"/>
  <c r="AR106" i="343"/>
  <c r="AR116" i="343" s="1"/>
  <c r="AP106" i="343"/>
  <c r="AQ107" i="343"/>
  <c r="BG118" i="343"/>
  <c r="AL131" i="343"/>
  <c r="Y131" i="343"/>
  <c r="X112" i="342"/>
  <c r="AL112" i="342" s="1"/>
  <c r="AM112" i="342" s="1"/>
  <c r="AX124" i="342"/>
  <c r="AQ125" i="342"/>
  <c r="K133" i="342"/>
  <c r="AM126" i="342"/>
  <c r="X148" i="342"/>
  <c r="Y148" i="342" s="1"/>
  <c r="AQ151" i="342"/>
  <c r="AQ155" i="342" s="1"/>
  <c r="AO151" i="342"/>
  <c r="AO155" i="342" s="1"/>
  <c r="AO178" i="342"/>
  <c r="AD45" i="343"/>
  <c r="AO27" i="343"/>
  <c r="AQ37" i="343"/>
  <c r="AM39" i="343"/>
  <c r="AJ47" i="343"/>
  <c r="AK47" i="343" s="1"/>
  <c r="AO52" i="343"/>
  <c r="Y63" i="343"/>
  <c r="X78" i="343"/>
  <c r="AQ80" i="343"/>
  <c r="X104" i="343"/>
  <c r="AL84" i="343"/>
  <c r="Z92" i="343"/>
  <c r="AO106" i="343"/>
  <c r="AO116" i="343" s="1"/>
  <c r="AP112" i="343"/>
  <c r="AN137" i="343"/>
  <c r="AR134" i="343"/>
  <c r="AR137" i="343" s="1"/>
  <c r="AQ134" i="343"/>
  <c r="AP134" i="343"/>
  <c r="AR153" i="343"/>
  <c r="AQ153" i="343"/>
  <c r="AO153" i="343"/>
  <c r="K181" i="342"/>
  <c r="AG45" i="343"/>
  <c r="AQ20" i="343"/>
  <c r="AP20" i="343"/>
  <c r="AR20" i="343"/>
  <c r="AR37" i="343"/>
  <c r="AM44" i="343"/>
  <c r="AQ52" i="343"/>
  <c r="Z58" i="343"/>
  <c r="AZ58" i="343" s="1"/>
  <c r="BA58" i="343"/>
  <c r="Q83" i="343"/>
  <c r="BG71" i="343"/>
  <c r="X75" i="343"/>
  <c r="AR80" i="343"/>
  <c r="Y98" i="343"/>
  <c r="AQ106" i="343"/>
  <c r="Z118" i="343"/>
  <c r="AL126" i="343"/>
  <c r="AM126" i="343" s="1"/>
  <c r="Y126" i="343"/>
  <c r="AR129" i="343"/>
  <c r="AP129" i="343"/>
  <c r="AO134" i="343"/>
  <c r="AO137" i="343" s="1"/>
  <c r="AP153" i="343"/>
  <c r="AQ171" i="342"/>
  <c r="AP171" i="342"/>
  <c r="X175" i="342"/>
  <c r="AL175" i="342" s="1"/>
  <c r="AM175" i="342" s="1"/>
  <c r="AR31" i="343"/>
  <c r="AQ31" i="343"/>
  <c r="AQ81" i="343"/>
  <c r="AR81" i="343"/>
  <c r="AM85" i="343"/>
  <c r="K104" i="343"/>
  <c r="Y85" i="343"/>
  <c r="Y104" i="343" s="1"/>
  <c r="U105" i="343"/>
  <c r="U161" i="343" s="1"/>
  <c r="AM146" i="343"/>
  <c r="AM114" i="343"/>
  <c r="Y114" i="343"/>
  <c r="Y117" i="343"/>
  <c r="AM117" i="343"/>
  <c r="AM124" i="343" s="1"/>
  <c r="K124" i="343"/>
  <c r="AP117" i="343"/>
  <c r="AP124" i="343" s="1"/>
  <c r="AN137" i="342"/>
  <c r="AM163" i="342"/>
  <c r="AD181" i="342"/>
  <c r="X167" i="342"/>
  <c r="AR171" i="342"/>
  <c r="X29" i="343"/>
  <c r="AR29" i="343" s="1"/>
  <c r="AP31" i="343"/>
  <c r="X48" i="343"/>
  <c r="AR56" i="343"/>
  <c r="AP56" i="343"/>
  <c r="AQ56" i="343"/>
  <c r="AP57" i="343"/>
  <c r="AG83" i="343"/>
  <c r="AG105" i="343" s="1"/>
  <c r="AG161" i="343" s="1"/>
  <c r="AR72" i="343"/>
  <c r="AQ72" i="343"/>
  <c r="AP72" i="343"/>
  <c r="BG82" i="343"/>
  <c r="AQ84" i="343"/>
  <c r="AO84" i="343"/>
  <c r="AP84" i="343"/>
  <c r="AR98" i="343"/>
  <c r="AP98" i="343"/>
  <c r="AM102" i="343"/>
  <c r="Q124" i="343"/>
  <c r="AL137" i="343"/>
  <c r="AM169" i="342"/>
  <c r="Y169" i="342"/>
  <c r="AQ176" i="342"/>
  <c r="AO176" i="342"/>
  <c r="AP35" i="343"/>
  <c r="AM36" i="343"/>
  <c r="AZ36" i="343" s="1"/>
  <c r="BA36" i="343" s="1"/>
  <c r="AR43" i="343"/>
  <c r="AP43" i="343"/>
  <c r="AR47" i="343"/>
  <c r="AP47" i="343"/>
  <c r="Y54" i="343"/>
  <c r="X60" i="343"/>
  <c r="AP60" i="343" s="1"/>
  <c r="AR70" i="343"/>
  <c r="AP70" i="343"/>
  <c r="AL71" i="343"/>
  <c r="AM71" i="343" s="1"/>
  <c r="AJ71" i="343"/>
  <c r="AK71" i="343" s="1"/>
  <c r="AZ71" i="343" s="1"/>
  <c r="BA71" i="343" s="1"/>
  <c r="Y73" i="343"/>
  <c r="X80" i="343"/>
  <c r="X168" i="343" s="1"/>
  <c r="Z82" i="343"/>
  <c r="Y113" i="343"/>
  <c r="AQ123" i="343"/>
  <c r="AR139" i="343"/>
  <c r="AR142" i="343" s="1"/>
  <c r="AP139" i="343"/>
  <c r="AN142" i="343"/>
  <c r="AQ139" i="343"/>
  <c r="AQ142" i="343" s="1"/>
  <c r="AO139" i="343"/>
  <c r="AO144" i="343"/>
  <c r="AR144" i="343"/>
  <c r="AR147" i="343" s="1"/>
  <c r="AP144" i="343"/>
  <c r="AP147" i="343" s="1"/>
  <c r="AM153" i="342"/>
  <c r="AM172" i="342"/>
  <c r="Y24" i="343"/>
  <c r="AC105" i="343"/>
  <c r="AC161" i="343" s="1"/>
  <c r="AP114" i="343"/>
  <c r="AO114" i="343"/>
  <c r="Y122" i="343"/>
  <c r="AM122" i="343"/>
  <c r="AB133" i="343"/>
  <c r="AM150" i="343"/>
  <c r="Y150" i="343"/>
  <c r="AB83" i="343"/>
  <c r="Y79" i="343"/>
  <c r="AM79" i="343"/>
  <c r="W104" i="343"/>
  <c r="W105" i="343" s="1"/>
  <c r="AD133" i="343"/>
  <c r="AR127" i="343"/>
  <c r="AP127" i="343"/>
  <c r="AQ127" i="343"/>
  <c r="AQ133" i="343" s="1"/>
  <c r="AR130" i="343"/>
  <c r="AP130" i="343"/>
  <c r="AO130" i="343"/>
  <c r="AR136" i="343"/>
  <c r="AP136" i="343"/>
  <c r="Y140" i="343"/>
  <c r="AM140" i="343"/>
  <c r="AN155" i="342"/>
  <c r="AO180" i="342"/>
  <c r="AP180" i="342"/>
  <c r="Y17" i="343"/>
  <c r="X18" i="343"/>
  <c r="AP86" i="343"/>
  <c r="AM87" i="343"/>
  <c r="AR95" i="343"/>
  <c r="AP95" i="343"/>
  <c r="Y96" i="343"/>
  <c r="Y103" i="343"/>
  <c r="AR114" i="343"/>
  <c r="AG133" i="343"/>
  <c r="AO127" i="343"/>
  <c r="X129" i="343"/>
  <c r="AL129" i="343" s="1"/>
  <c r="AM129" i="343" s="1"/>
  <c r="AQ130" i="343"/>
  <c r="AQ136" i="343"/>
  <c r="AI116" i="343"/>
  <c r="AG116" i="343"/>
  <c r="AM113" i="343"/>
  <c r="AZ119" i="343"/>
  <c r="BA119" i="343" s="1"/>
  <c r="Y149" i="343"/>
  <c r="AL149" i="343"/>
  <c r="AM149" i="343" s="1"/>
  <c r="AQ88" i="343"/>
  <c r="AO88" i="343"/>
  <c r="AZ88" i="343" s="1"/>
  <c r="AR91" i="343"/>
  <c r="AQ91" i="343"/>
  <c r="AO91" i="343"/>
  <c r="Y99" i="343"/>
  <c r="Y112" i="343"/>
  <c r="Y132" i="343"/>
  <c r="AQ146" i="343"/>
  <c r="AP146" i="343"/>
  <c r="AR146" i="343"/>
  <c r="AD160" i="343"/>
  <c r="Z151" i="343"/>
  <c r="BG151" i="343"/>
  <c r="AP131" i="343"/>
  <c r="K147" i="343"/>
  <c r="Y143" i="343"/>
  <c r="Y154" i="343"/>
  <c r="AM154" i="343"/>
  <c r="AR88" i="343"/>
  <c r="Y95" i="343"/>
  <c r="AP101" i="343"/>
  <c r="Z121" i="343"/>
  <c r="AZ121" i="343" s="1"/>
  <c r="BA121" i="343" s="1"/>
  <c r="BG121" i="343"/>
  <c r="X128" i="343"/>
  <c r="AL128" i="343" s="1"/>
  <c r="AM128" i="343" s="1"/>
  <c r="Q147" i="343"/>
  <c r="X156" i="343"/>
  <c r="X55" i="343"/>
  <c r="AM68" i="343"/>
  <c r="X81" i="343"/>
  <c r="Y93" i="343"/>
  <c r="AG124" i="343"/>
  <c r="AR128" i="343"/>
  <c r="Y136" i="343"/>
  <c r="AP149" i="343"/>
  <c r="AP160" i="343" s="1"/>
  <c r="AM152" i="343"/>
  <c r="AD142" i="343"/>
  <c r="K160" i="343"/>
  <c r="AQ149" i="343"/>
  <c r="AR157" i="343"/>
  <c r="AQ157" i="343"/>
  <c r="AP157" i="343"/>
  <c r="AO157" i="343"/>
  <c r="AX116" i="343"/>
  <c r="AQ128" i="343"/>
  <c r="X148" i="343"/>
  <c r="Y159" i="343"/>
  <c r="AM159" i="343"/>
  <c r="AZ159" i="343" s="1"/>
  <c r="Y109" i="343"/>
  <c r="AM131" i="343"/>
  <c r="W160" i="343"/>
  <c r="Y152" i="343"/>
  <c r="AQ117" i="343"/>
  <c r="AQ124" i="343" s="1"/>
  <c r="AO117" i="343"/>
  <c r="AN124" i="343"/>
  <c r="AI133" i="343"/>
  <c r="X139" i="343"/>
  <c r="AL139" i="343" s="1"/>
  <c r="AM139" i="343" s="1"/>
  <c r="AI160" i="343"/>
  <c r="X157" i="343"/>
  <c r="AL157" i="343" s="1"/>
  <c r="X111" i="343"/>
  <c r="AR117" i="343"/>
  <c r="AR124" i="343" s="1"/>
  <c r="AR126" i="343"/>
  <c r="AP126" i="343"/>
  <c r="Y134" i="343"/>
  <c r="AO140" i="343"/>
  <c r="AR152" i="343"/>
  <c r="AQ152" i="343"/>
  <c r="Z153" i="343"/>
  <c r="X155" i="343"/>
  <c r="AP158" i="343"/>
  <c r="AN147" i="343"/>
  <c r="AQ143" i="343"/>
  <c r="AO143" i="343"/>
  <c r="AM144" i="343"/>
  <c r="Y144" i="343"/>
  <c r="AN160" i="343"/>
  <c r="AQ148" i="343"/>
  <c r="AQ160" i="343" s="1"/>
  <c r="AM151" i="343"/>
  <c r="X135" i="343"/>
  <c r="AL135" i="343" s="1"/>
  <c r="AM135" i="343" s="1"/>
  <c r="AM137" i="343" s="1"/>
  <c r="W147" i="343"/>
  <c r="X159" i="343"/>
  <c r="AL159" i="343" s="1"/>
  <c r="W133" i="343"/>
  <c r="Y129" i="343"/>
  <c r="X158" i="343"/>
  <c r="L29" i="190"/>
  <c r="L28" i="190"/>
  <c r="H30" i="190"/>
  <c r="H29" i="190"/>
  <c r="H28" i="190"/>
  <c r="L21" i="190"/>
  <c r="L20" i="190"/>
  <c r="H22" i="190"/>
  <c r="H21" i="190"/>
  <c r="H20" i="190"/>
  <c r="A16" i="154"/>
  <c r="Y100" i="341" l="1"/>
  <c r="AA100" i="341" s="1"/>
  <c r="W100" i="341"/>
  <c r="U100" i="341"/>
  <c r="BF32" i="343"/>
  <c r="BH32" i="343" s="1"/>
  <c r="BB32" i="343"/>
  <c r="BC32" i="343"/>
  <c r="U184" i="340"/>
  <c r="V184" i="340" s="1"/>
  <c r="X184" i="340" s="1"/>
  <c r="W184" i="340"/>
  <c r="Y184" i="340"/>
  <c r="AA184" i="340" s="1"/>
  <c r="Y23" i="341"/>
  <c r="AA23" i="341" s="1"/>
  <c r="W23" i="341"/>
  <c r="U23" i="341"/>
  <c r="W113" i="341"/>
  <c r="U113" i="341"/>
  <c r="V113" i="341" s="1"/>
  <c r="Y113" i="341"/>
  <c r="AA113" i="341" s="1"/>
  <c r="BC29" i="342"/>
  <c r="BB29" i="342"/>
  <c r="BD29" i="342" s="1"/>
  <c r="BE29" i="342" s="1"/>
  <c r="BF29" i="342"/>
  <c r="BH29" i="342" s="1"/>
  <c r="BC121" i="342"/>
  <c r="BD121" i="342"/>
  <c r="BB121" i="342"/>
  <c r="BE121" i="342" s="1"/>
  <c r="BF121" i="342"/>
  <c r="BH121" i="342" s="1"/>
  <c r="BF90" i="342"/>
  <c r="BH90" i="342" s="1"/>
  <c r="BC90" i="342"/>
  <c r="BB90" i="342"/>
  <c r="Y151" i="340"/>
  <c r="AA151" i="340" s="1"/>
  <c r="W151" i="340"/>
  <c r="U151" i="340"/>
  <c r="V151" i="340" s="1"/>
  <c r="X151" i="340" s="1"/>
  <c r="Y77" i="340"/>
  <c r="AA77" i="340" s="1"/>
  <c r="W77" i="340"/>
  <c r="V77" i="340" s="1"/>
  <c r="U77" i="340"/>
  <c r="X98" i="340"/>
  <c r="BC57" i="343"/>
  <c r="BB57" i="343"/>
  <c r="BF57" i="343"/>
  <c r="BH57" i="343" s="1"/>
  <c r="Y148" i="341"/>
  <c r="AA148" i="341" s="1"/>
  <c r="W148" i="341"/>
  <c r="U148" i="341"/>
  <c r="V148" i="341" s="1"/>
  <c r="X148" i="341" s="1"/>
  <c r="BB173" i="342"/>
  <c r="BD173" i="342"/>
  <c r="BF173" i="342"/>
  <c r="BH173" i="342" s="1"/>
  <c r="BC173" i="342"/>
  <c r="BE173" i="342" s="1"/>
  <c r="BC23" i="342"/>
  <c r="BE23" i="342" s="1"/>
  <c r="BB23" i="342"/>
  <c r="BF23" i="342"/>
  <c r="BH23" i="342" s="1"/>
  <c r="BD23" i="342"/>
  <c r="Y166" i="340"/>
  <c r="AA166" i="340" s="1"/>
  <c r="W166" i="340"/>
  <c r="V166" i="340" s="1"/>
  <c r="X166" i="340" s="1"/>
  <c r="U166" i="340"/>
  <c r="Y148" i="340"/>
  <c r="AA148" i="340" s="1"/>
  <c r="U148" i="340"/>
  <c r="V148" i="340" s="1"/>
  <c r="X148" i="340" s="1"/>
  <c r="W148" i="340"/>
  <c r="U135" i="341"/>
  <c r="V135" i="341" s="1"/>
  <c r="Y135" i="341"/>
  <c r="AA135" i="341" s="1"/>
  <c r="W135" i="341"/>
  <c r="Y163" i="341"/>
  <c r="AA163" i="341" s="1"/>
  <c r="W163" i="341"/>
  <c r="V163" i="341" s="1"/>
  <c r="X163" i="341" s="1"/>
  <c r="U163" i="341"/>
  <c r="Y129" i="340"/>
  <c r="AA129" i="340" s="1"/>
  <c r="W129" i="340"/>
  <c r="U129" i="340"/>
  <c r="Y120" i="340"/>
  <c r="AA120" i="340" s="1"/>
  <c r="W120" i="340"/>
  <c r="U120" i="340"/>
  <c r="BB121" i="343"/>
  <c r="BD121" i="343" s="1"/>
  <c r="BE121" i="343" s="1"/>
  <c r="BF121" i="343"/>
  <c r="BH121" i="343" s="1"/>
  <c r="BC121" i="343"/>
  <c r="BB21" i="343"/>
  <c r="BC21" i="343"/>
  <c r="BF21" i="343"/>
  <c r="BH21" i="343" s="1"/>
  <c r="BD21" i="343"/>
  <c r="BE21" i="343" s="1"/>
  <c r="W91" i="341"/>
  <c r="U91" i="341"/>
  <c r="V91" i="341" s="1"/>
  <c r="Y91" i="341"/>
  <c r="AA91" i="341" s="1"/>
  <c r="AF42" i="340"/>
  <c r="W25" i="340"/>
  <c r="U25" i="340"/>
  <c r="V25" i="340" s="1"/>
  <c r="X25" i="340" s="1"/>
  <c r="Y25" i="340"/>
  <c r="AA25" i="340" s="1"/>
  <c r="W115" i="340"/>
  <c r="U115" i="340"/>
  <c r="Y115" i="340"/>
  <c r="AA115" i="340" s="1"/>
  <c r="BF23" i="343"/>
  <c r="BH23" i="343" s="1"/>
  <c r="BC23" i="343"/>
  <c r="BB23" i="343"/>
  <c r="U143" i="341"/>
  <c r="V143" i="341" s="1"/>
  <c r="Y143" i="341"/>
  <c r="AA143" i="341" s="1"/>
  <c r="W143" i="341"/>
  <c r="Y132" i="341"/>
  <c r="AA132" i="341" s="1"/>
  <c r="W132" i="341"/>
  <c r="U132" i="341"/>
  <c r="X37" i="341"/>
  <c r="W37" i="341"/>
  <c r="V37" i="341"/>
  <c r="U37" i="341"/>
  <c r="Y37" i="341"/>
  <c r="AA37" i="341" s="1"/>
  <c r="V158" i="340"/>
  <c r="U158" i="340"/>
  <c r="X158" i="340" s="1"/>
  <c r="Y158" i="340"/>
  <c r="AA158" i="340" s="1"/>
  <c r="W158" i="340"/>
  <c r="U137" i="341"/>
  <c r="V137" i="341" s="1"/>
  <c r="X137" i="341" s="1"/>
  <c r="Y137" i="341"/>
  <c r="AA137" i="341" s="1"/>
  <c r="W137" i="341"/>
  <c r="Y48" i="341"/>
  <c r="AA48" i="341" s="1"/>
  <c r="U48" i="341"/>
  <c r="W48" i="341"/>
  <c r="U45" i="340"/>
  <c r="Y45" i="340"/>
  <c r="AA45" i="340" s="1"/>
  <c r="W45" i="340"/>
  <c r="W46" i="340"/>
  <c r="U46" i="340"/>
  <c r="Y46" i="340"/>
  <c r="AA46" i="340" s="1"/>
  <c r="V46" i="340"/>
  <c r="X46" i="340" s="1"/>
  <c r="T170" i="341"/>
  <c r="U146" i="341"/>
  <c r="Y146" i="341"/>
  <c r="AA146" i="341" s="1"/>
  <c r="W146" i="341"/>
  <c r="V146" i="341" s="1"/>
  <c r="W112" i="341"/>
  <c r="U112" i="341"/>
  <c r="V112" i="341" s="1"/>
  <c r="X112" i="341" s="1"/>
  <c r="Y112" i="341"/>
  <c r="AA112" i="341" s="1"/>
  <c r="Y105" i="341"/>
  <c r="AA105" i="341" s="1"/>
  <c r="W105" i="341"/>
  <c r="U105" i="341"/>
  <c r="BC94" i="343"/>
  <c r="BB94" i="343"/>
  <c r="BD94" i="343" s="1"/>
  <c r="BE94" i="343" s="1"/>
  <c r="BF94" i="343"/>
  <c r="BH94" i="343" s="1"/>
  <c r="Y79" i="341"/>
  <c r="AA79" i="341" s="1"/>
  <c r="W79" i="341"/>
  <c r="U79" i="341"/>
  <c r="V79" i="341" s="1"/>
  <c r="X79" i="341" s="1"/>
  <c r="BC34" i="342"/>
  <c r="BB34" i="342"/>
  <c r="BD34" i="342" s="1"/>
  <c r="BE34" i="342" s="1"/>
  <c r="BF34" i="342"/>
  <c r="BH34" i="342" s="1"/>
  <c r="BF89" i="342"/>
  <c r="BH89" i="342" s="1"/>
  <c r="BC89" i="342"/>
  <c r="BB89" i="342"/>
  <c r="W134" i="341"/>
  <c r="U134" i="341"/>
  <c r="V134" i="341" s="1"/>
  <c r="Y134" i="341"/>
  <c r="AA134" i="341" s="1"/>
  <c r="M172" i="341"/>
  <c r="M173" i="341" s="1"/>
  <c r="Y35" i="340"/>
  <c r="AA35" i="340" s="1"/>
  <c r="U35" i="340"/>
  <c r="X35" i="340" s="1"/>
  <c r="W35" i="340"/>
  <c r="V35" i="340" s="1"/>
  <c r="Y51" i="341"/>
  <c r="AA51" i="341" s="1"/>
  <c r="W51" i="341"/>
  <c r="V51" i="341"/>
  <c r="X51" i="341" s="1"/>
  <c r="U51" i="341"/>
  <c r="BF36" i="343"/>
  <c r="BH36" i="343" s="1"/>
  <c r="BD36" i="343"/>
  <c r="BE36" i="343" s="1"/>
  <c r="BB36" i="343"/>
  <c r="BC36" i="343"/>
  <c r="BG148" i="342"/>
  <c r="Z148" i="342"/>
  <c r="Y128" i="340"/>
  <c r="AA128" i="340" s="1"/>
  <c r="W128" i="340"/>
  <c r="V128" i="340"/>
  <c r="X128" i="340" s="1"/>
  <c r="U128" i="340"/>
  <c r="W122" i="340"/>
  <c r="U122" i="340"/>
  <c r="V122" i="340" s="1"/>
  <c r="Y122" i="340"/>
  <c r="AA122" i="340" s="1"/>
  <c r="Y95" i="340"/>
  <c r="AA95" i="340" s="1"/>
  <c r="W95" i="340"/>
  <c r="U95" i="340"/>
  <c r="Z171" i="341"/>
  <c r="Z40" i="341"/>
  <c r="Y116" i="341"/>
  <c r="AA116" i="341" s="1"/>
  <c r="W116" i="341"/>
  <c r="U116" i="341"/>
  <c r="BB19" i="342"/>
  <c r="BE19" i="342" s="1"/>
  <c r="BF19" i="342"/>
  <c r="BH19" i="342" s="1"/>
  <c r="BD19" i="342"/>
  <c r="BC19" i="342"/>
  <c r="W20" i="340"/>
  <c r="Y20" i="340"/>
  <c r="AA20" i="340" s="1"/>
  <c r="U20" i="340"/>
  <c r="V20" i="340" s="1"/>
  <c r="Y83" i="342"/>
  <c r="Y56" i="341"/>
  <c r="AA56" i="341" s="1"/>
  <c r="W56" i="341"/>
  <c r="U56" i="341"/>
  <c r="X56" i="341" s="1"/>
  <c r="V56" i="341"/>
  <c r="U78" i="341"/>
  <c r="V78" i="341" s="1"/>
  <c r="X78" i="341" s="1"/>
  <c r="W78" i="341"/>
  <c r="Y78" i="341"/>
  <c r="AA78" i="341" s="1"/>
  <c r="U178" i="340"/>
  <c r="Y178" i="340"/>
  <c r="AA178" i="340" s="1"/>
  <c r="W178" i="340"/>
  <c r="V178" i="340"/>
  <c r="X178" i="340" s="1"/>
  <c r="U100" i="340"/>
  <c r="W100" i="340"/>
  <c r="V100" i="340" s="1"/>
  <c r="X100" i="340" s="1"/>
  <c r="Y100" i="340"/>
  <c r="AA100" i="340" s="1"/>
  <c r="Y48" i="340"/>
  <c r="AA48" i="340" s="1"/>
  <c r="U48" i="340"/>
  <c r="V48" i="340" s="1"/>
  <c r="W48" i="340"/>
  <c r="Y62" i="341"/>
  <c r="AA62" i="341" s="1"/>
  <c r="U62" i="341"/>
  <c r="V62" i="341"/>
  <c r="X62" i="341" s="1"/>
  <c r="W62" i="341"/>
  <c r="Y152" i="340"/>
  <c r="AA152" i="340" s="1"/>
  <c r="W152" i="340"/>
  <c r="U152" i="340"/>
  <c r="X81" i="341"/>
  <c r="U124" i="340"/>
  <c r="V124" i="340" s="1"/>
  <c r="W124" i="340"/>
  <c r="Y124" i="340"/>
  <c r="AA124" i="340" s="1"/>
  <c r="W32" i="340"/>
  <c r="U32" i="340"/>
  <c r="V32" i="340" s="1"/>
  <c r="Y32" i="340"/>
  <c r="AA32" i="340" s="1"/>
  <c r="U60" i="341"/>
  <c r="Y60" i="341"/>
  <c r="AA60" i="341" s="1"/>
  <c r="W60" i="341"/>
  <c r="V60" i="341" s="1"/>
  <c r="X60" i="341" s="1"/>
  <c r="X99" i="340"/>
  <c r="U142" i="341"/>
  <c r="Y142" i="341"/>
  <c r="AA142" i="341" s="1"/>
  <c r="W142" i="341"/>
  <c r="Y101" i="340"/>
  <c r="AA101" i="340" s="1"/>
  <c r="W101" i="340"/>
  <c r="U101" i="340"/>
  <c r="BB72" i="343"/>
  <c r="BD72" i="343" s="1"/>
  <c r="BF72" i="343"/>
  <c r="BH72" i="343" s="1"/>
  <c r="BC72" i="343"/>
  <c r="BE72" i="343" s="1"/>
  <c r="BB50" i="342"/>
  <c r="BD50" i="342" s="1"/>
  <c r="BF50" i="342"/>
  <c r="BH50" i="342" s="1"/>
  <c r="BC50" i="342"/>
  <c r="Y22" i="340"/>
  <c r="AA22" i="340" s="1"/>
  <c r="U22" i="340"/>
  <c r="W22" i="340"/>
  <c r="V22" i="340" s="1"/>
  <c r="BF47" i="342"/>
  <c r="BH47" i="342" s="1"/>
  <c r="BC47" i="342"/>
  <c r="BD47" i="342"/>
  <c r="BB47" i="342"/>
  <c r="BE47" i="342" s="1"/>
  <c r="BB110" i="342"/>
  <c r="BD110" i="342" s="1"/>
  <c r="BE110" i="342" s="1"/>
  <c r="BF110" i="342"/>
  <c r="BH110" i="342" s="1"/>
  <c r="BC110" i="342"/>
  <c r="Z60" i="342"/>
  <c r="BG60" i="342"/>
  <c r="Y33" i="341"/>
  <c r="AA33" i="341" s="1"/>
  <c r="U33" i="341"/>
  <c r="V33" i="341" s="1"/>
  <c r="X33" i="341" s="1"/>
  <c r="W33" i="341"/>
  <c r="T39" i="341"/>
  <c r="Y51" i="340"/>
  <c r="AA51" i="340" s="1"/>
  <c r="W51" i="340"/>
  <c r="V51" i="340"/>
  <c r="X51" i="340" s="1"/>
  <c r="U51" i="340"/>
  <c r="Y33" i="340"/>
  <c r="AA33" i="340" s="1"/>
  <c r="W33" i="340"/>
  <c r="U33" i="340"/>
  <c r="Y73" i="341"/>
  <c r="AA73" i="341" s="1"/>
  <c r="U73" i="341"/>
  <c r="W73" i="341"/>
  <c r="X160" i="340"/>
  <c r="W147" i="341"/>
  <c r="V147" i="341"/>
  <c r="X147" i="341" s="1"/>
  <c r="U147" i="341"/>
  <c r="Y147" i="341"/>
  <c r="AA147" i="341" s="1"/>
  <c r="U84" i="340"/>
  <c r="X84" i="340" s="1"/>
  <c r="W84" i="340"/>
  <c r="V84" i="340"/>
  <c r="Y84" i="340"/>
  <c r="AA84" i="340" s="1"/>
  <c r="U164" i="340"/>
  <c r="V164" i="340" s="1"/>
  <c r="X164" i="340" s="1"/>
  <c r="W164" i="340"/>
  <c r="Y164" i="340"/>
  <c r="AA164" i="340" s="1"/>
  <c r="Y101" i="341"/>
  <c r="AA101" i="341" s="1"/>
  <c r="W101" i="341"/>
  <c r="U101" i="341"/>
  <c r="Y34" i="340"/>
  <c r="AA34" i="340" s="1"/>
  <c r="W34" i="340"/>
  <c r="U34" i="340"/>
  <c r="U31" i="340"/>
  <c r="Y31" i="340"/>
  <c r="AA31" i="340" s="1"/>
  <c r="W31" i="340"/>
  <c r="V31" i="340" s="1"/>
  <c r="X31" i="340" s="1"/>
  <c r="U55" i="340"/>
  <c r="V55" i="340" s="1"/>
  <c r="X55" i="340" s="1"/>
  <c r="Y55" i="340"/>
  <c r="AA55" i="340" s="1"/>
  <c r="W55" i="340"/>
  <c r="U139" i="341"/>
  <c r="Y139" i="341"/>
  <c r="AA139" i="341" s="1"/>
  <c r="W139" i="341"/>
  <c r="BF71" i="343"/>
  <c r="BH71" i="343" s="1"/>
  <c r="BB71" i="343"/>
  <c r="BC71" i="343"/>
  <c r="BD71" i="343" s="1"/>
  <c r="BC119" i="343"/>
  <c r="BD119" i="343"/>
  <c r="BF119" i="343"/>
  <c r="BH119" i="343" s="1"/>
  <c r="BB119" i="343"/>
  <c r="BE119" i="343" s="1"/>
  <c r="BB33" i="343"/>
  <c r="BD33" i="343"/>
  <c r="BF33" i="343"/>
  <c r="BH33" i="343" s="1"/>
  <c r="BC33" i="343"/>
  <c r="BE33" i="343" s="1"/>
  <c r="W56" i="340"/>
  <c r="V56" i="340"/>
  <c r="X56" i="340" s="1"/>
  <c r="U56" i="340"/>
  <c r="Y56" i="340"/>
  <c r="AA56" i="340" s="1"/>
  <c r="U159" i="340"/>
  <c r="Y159" i="340"/>
  <c r="AA159" i="340" s="1"/>
  <c r="W159" i="340"/>
  <c r="Y168" i="341"/>
  <c r="AA168" i="341" s="1"/>
  <c r="W168" i="341"/>
  <c r="U168" i="341"/>
  <c r="V168" i="341"/>
  <c r="X168" i="341" s="1"/>
  <c r="Y86" i="341"/>
  <c r="AA86" i="341" s="1"/>
  <c r="W86" i="341"/>
  <c r="U86" i="341"/>
  <c r="W162" i="341"/>
  <c r="U162" i="341"/>
  <c r="V162" i="341" s="1"/>
  <c r="X162" i="341" s="1"/>
  <c r="Y162" i="341"/>
  <c r="AA162" i="341" s="1"/>
  <c r="X130" i="340"/>
  <c r="Y18" i="343"/>
  <c r="AJ18" i="343"/>
  <c r="AK18" i="343" s="1"/>
  <c r="AL18" i="343"/>
  <c r="AM18" i="343" s="1"/>
  <c r="AL94" i="342"/>
  <c r="AM94" i="342" s="1"/>
  <c r="AJ94" i="342"/>
  <c r="AK94" i="342" s="1"/>
  <c r="Y98" i="341"/>
  <c r="AA98" i="341" s="1"/>
  <c r="U98" i="341"/>
  <c r="V98" i="341" s="1"/>
  <c r="W98" i="341"/>
  <c r="AL158" i="343"/>
  <c r="AM158" i="343" s="1"/>
  <c r="Y158" i="343"/>
  <c r="AL156" i="343"/>
  <c r="AM156" i="343" s="1"/>
  <c r="Y156" i="343"/>
  <c r="Z113" i="343"/>
  <c r="AZ113" i="343" s="1"/>
  <c r="BA113" i="343"/>
  <c r="BG113" i="343"/>
  <c r="AJ75" i="343"/>
  <c r="AK75" i="343" s="1"/>
  <c r="Y75" i="343"/>
  <c r="X83" i="343"/>
  <c r="X105" i="343" s="1"/>
  <c r="X161" i="343" s="1"/>
  <c r="AL75" i="343"/>
  <c r="AM75" i="343" s="1"/>
  <c r="BG26" i="343"/>
  <c r="Z26" i="343"/>
  <c r="AZ26" i="343" s="1"/>
  <c r="BA26" i="343" s="1"/>
  <c r="AR83" i="343"/>
  <c r="BG158" i="342"/>
  <c r="Z158" i="342"/>
  <c r="AZ158" i="342" s="1"/>
  <c r="BA158" i="342" s="1"/>
  <c r="BG88" i="343"/>
  <c r="BA88" i="343"/>
  <c r="Y128" i="343"/>
  <c r="Z47" i="343"/>
  <c r="AZ47" i="343" s="1"/>
  <c r="BA47" i="343" s="1"/>
  <c r="BG47" i="343"/>
  <c r="X173" i="343"/>
  <c r="BG40" i="343"/>
  <c r="BA40" i="343"/>
  <c r="W183" i="340"/>
  <c r="V183" i="340"/>
  <c r="U183" i="340"/>
  <c r="X183" i="340" s="1"/>
  <c r="Y183" i="340"/>
  <c r="AA183" i="340" s="1"/>
  <c r="J169" i="340"/>
  <c r="S144" i="340"/>
  <c r="S111" i="340"/>
  <c r="J138" i="340"/>
  <c r="AP104" i="342"/>
  <c r="Y174" i="342"/>
  <c r="AL46" i="342"/>
  <c r="X65" i="342"/>
  <c r="X105" i="342" s="1"/>
  <c r="X182" i="342" s="1"/>
  <c r="X196" i="342" s="1"/>
  <c r="AJ46" i="342"/>
  <c r="Y46" i="342"/>
  <c r="AB105" i="342"/>
  <c r="AB182" i="342" s="1"/>
  <c r="Y74" i="341"/>
  <c r="AA74" i="341" s="1"/>
  <c r="X74" i="341"/>
  <c r="W74" i="341"/>
  <c r="V74" i="341"/>
  <c r="U74" i="341"/>
  <c r="AL141" i="343"/>
  <c r="AM141" i="343" s="1"/>
  <c r="Y141" i="343"/>
  <c r="BG84" i="342"/>
  <c r="Z84" i="342"/>
  <c r="AI182" i="342"/>
  <c r="X192" i="342"/>
  <c r="AL17" i="342"/>
  <c r="AM17" i="342" s="1"/>
  <c r="AJ17" i="342"/>
  <c r="AK17" i="342" s="1"/>
  <c r="Y17" i="342"/>
  <c r="Y116" i="340"/>
  <c r="AA116" i="340" s="1"/>
  <c r="U116" i="340"/>
  <c r="V116" i="340" s="1"/>
  <c r="W116" i="340"/>
  <c r="Z112" i="342"/>
  <c r="BG112" i="342"/>
  <c r="X134" i="340"/>
  <c r="Z113" i="342"/>
  <c r="AZ113" i="342" s="1"/>
  <c r="BA113" i="342" s="1"/>
  <c r="BG113" i="342"/>
  <c r="Y108" i="341"/>
  <c r="AA108" i="341" s="1"/>
  <c r="W108" i="341"/>
  <c r="U108" i="341"/>
  <c r="Y61" i="340"/>
  <c r="AA61" i="340" s="1"/>
  <c r="W61" i="340"/>
  <c r="U61" i="340"/>
  <c r="V61" i="340" s="1"/>
  <c r="X61" i="340" s="1"/>
  <c r="AZ95" i="342"/>
  <c r="BA95" i="342" s="1"/>
  <c r="AD71" i="341"/>
  <c r="AC71" i="341"/>
  <c r="AF71" i="341" s="1"/>
  <c r="AB71" i="341"/>
  <c r="AE71" i="341"/>
  <c r="Z139" i="342"/>
  <c r="BG139" i="342"/>
  <c r="S24" i="340"/>
  <c r="T24" i="340" s="1"/>
  <c r="AQ142" i="342"/>
  <c r="AE92" i="341"/>
  <c r="AD92" i="341"/>
  <c r="AC92" i="341" s="1"/>
  <c r="AF92" i="341" s="1"/>
  <c r="AB92" i="341"/>
  <c r="X158" i="341"/>
  <c r="AE57" i="341"/>
  <c r="AD57" i="341"/>
  <c r="AC57" i="341" s="1"/>
  <c r="AF57" i="341" s="1"/>
  <c r="AB57" i="341"/>
  <c r="Y81" i="340"/>
  <c r="AA81" i="340" s="1"/>
  <c r="U81" i="340"/>
  <c r="W81" i="340"/>
  <c r="AL168" i="342"/>
  <c r="AM168" i="342" s="1"/>
  <c r="AZ168" i="342" s="1"/>
  <c r="Y168" i="342"/>
  <c r="Z100" i="343"/>
  <c r="BG100" i="343"/>
  <c r="W83" i="340"/>
  <c r="U83" i="340"/>
  <c r="V83" i="340" s="1"/>
  <c r="Y83" i="340"/>
  <c r="AA83" i="340" s="1"/>
  <c r="Z112" i="343"/>
  <c r="AZ112" i="343" s="1"/>
  <c r="BG112" i="343"/>
  <c r="BA112" i="343"/>
  <c r="BG144" i="342"/>
  <c r="Z144" i="342"/>
  <c r="AZ144" i="342" s="1"/>
  <c r="BA144" i="342"/>
  <c r="AZ82" i="343"/>
  <c r="BA82" i="343" s="1"/>
  <c r="BA120" i="343"/>
  <c r="Z120" i="343"/>
  <c r="AZ120" i="343" s="1"/>
  <c r="BG120" i="343"/>
  <c r="AO181" i="342"/>
  <c r="Y59" i="342"/>
  <c r="AJ59" i="342"/>
  <c r="AK59" i="342" s="1"/>
  <c r="AL59" i="342"/>
  <c r="AM59" i="342" s="1"/>
  <c r="Y106" i="343"/>
  <c r="AO164" i="342"/>
  <c r="Z74" i="343"/>
  <c r="AZ74" i="343" s="1"/>
  <c r="BG74" i="343"/>
  <c r="BA74" i="343"/>
  <c r="BG127" i="343"/>
  <c r="Z127" i="343"/>
  <c r="AZ127" i="343" s="1"/>
  <c r="BA127" i="343"/>
  <c r="X116" i="342"/>
  <c r="AL106" i="342"/>
  <c r="AZ89" i="343"/>
  <c r="BA89" i="343" s="1"/>
  <c r="Z82" i="342"/>
  <c r="AZ82" i="342" s="1"/>
  <c r="BG82" i="342"/>
  <c r="BA82" i="342"/>
  <c r="BG39" i="343"/>
  <c r="BA39" i="343"/>
  <c r="Z39" i="343"/>
  <c r="AZ39" i="343" s="1"/>
  <c r="Z161" i="342"/>
  <c r="AZ161" i="342" s="1"/>
  <c r="BA161" i="342" s="1"/>
  <c r="BG161" i="342"/>
  <c r="BG43" i="343"/>
  <c r="Z43" i="343"/>
  <c r="AZ43" i="343" s="1"/>
  <c r="BA43" i="343"/>
  <c r="AO116" i="342"/>
  <c r="AL33" i="342"/>
  <c r="AM33" i="342" s="1"/>
  <c r="AJ33" i="342"/>
  <c r="AK33" i="342" s="1"/>
  <c r="Y33" i="342"/>
  <c r="AP93" i="342"/>
  <c r="BB48" i="342"/>
  <c r="BF48" i="342"/>
  <c r="BH48" i="342" s="1"/>
  <c r="BC48" i="342"/>
  <c r="BG16" i="343"/>
  <c r="Z16" i="343"/>
  <c r="AZ16" i="343" s="1"/>
  <c r="BA16" i="343" s="1"/>
  <c r="AR104" i="342"/>
  <c r="Z43" i="342"/>
  <c r="AZ43" i="342" s="1"/>
  <c r="BG43" i="342"/>
  <c r="BA43" i="342"/>
  <c r="S39" i="341"/>
  <c r="U150" i="341"/>
  <c r="V150" i="341" s="1"/>
  <c r="Y150" i="341"/>
  <c r="AA150" i="341" s="1"/>
  <c r="W150" i="341"/>
  <c r="AZ53" i="342"/>
  <c r="BA53" i="342" s="1"/>
  <c r="Y45" i="341"/>
  <c r="AA45" i="341" s="1"/>
  <c r="V45" i="341"/>
  <c r="U45" i="341"/>
  <c r="X45" i="341"/>
  <c r="W45" i="341"/>
  <c r="V119" i="341"/>
  <c r="X119" i="341" s="1"/>
  <c r="AL98" i="342"/>
  <c r="AM98" i="342" s="1"/>
  <c r="AJ98" i="342"/>
  <c r="AK98" i="342" s="1"/>
  <c r="AZ98" i="342" s="1"/>
  <c r="BG151" i="342"/>
  <c r="Z151" i="342"/>
  <c r="AZ151" i="342" s="1"/>
  <c r="BA151" i="342" s="1"/>
  <c r="Y128" i="341"/>
  <c r="W128" i="341"/>
  <c r="U128" i="341"/>
  <c r="T153" i="341"/>
  <c r="V176" i="340"/>
  <c r="X176" i="340" s="1"/>
  <c r="AE97" i="341"/>
  <c r="AD97" i="341"/>
  <c r="AC97" i="341"/>
  <c r="AF97" i="341" s="1"/>
  <c r="AB97" i="341"/>
  <c r="X83" i="341"/>
  <c r="V114" i="341"/>
  <c r="X114" i="341" s="1"/>
  <c r="U114" i="341"/>
  <c r="Y114" i="341"/>
  <c r="AA114" i="341" s="1"/>
  <c r="W114" i="341"/>
  <c r="V134" i="340"/>
  <c r="W107" i="340"/>
  <c r="V107" i="340"/>
  <c r="U107" i="340"/>
  <c r="X107" i="340" s="1"/>
  <c r="Y107" i="340"/>
  <c r="AA107" i="340" s="1"/>
  <c r="Z81" i="343"/>
  <c r="BG81" i="343"/>
  <c r="Z157" i="342"/>
  <c r="AZ157" i="342" s="1"/>
  <c r="BA157" i="342"/>
  <c r="BG157" i="342"/>
  <c r="Y165" i="341"/>
  <c r="AA165" i="341" s="1"/>
  <c r="U165" i="341"/>
  <c r="V165" i="341" s="1"/>
  <c r="X165" i="341" s="1"/>
  <c r="W165" i="341"/>
  <c r="Y61" i="341"/>
  <c r="AA61" i="341" s="1"/>
  <c r="W61" i="341"/>
  <c r="U61" i="341"/>
  <c r="V25" i="341"/>
  <c r="X25" i="341" s="1"/>
  <c r="X71" i="341"/>
  <c r="AE58" i="340"/>
  <c r="AF58" i="340" s="1"/>
  <c r="AB58" i="340"/>
  <c r="AD58" i="340"/>
  <c r="AC58" i="340"/>
  <c r="Y98" i="342"/>
  <c r="U54" i="340"/>
  <c r="V54" i="340" s="1"/>
  <c r="X54" i="340" s="1"/>
  <c r="Y54" i="340"/>
  <c r="AA54" i="340" s="1"/>
  <c r="W54" i="340"/>
  <c r="AD25" i="341"/>
  <c r="AC25" i="341"/>
  <c r="AB25" i="341"/>
  <c r="AF25" i="341"/>
  <c r="AE25" i="341"/>
  <c r="AE57" i="340"/>
  <c r="AF57" i="340" s="1"/>
  <c r="AD57" i="340"/>
  <c r="AC57" i="340"/>
  <c r="AB57" i="340"/>
  <c r="BG136" i="342"/>
  <c r="Z136" i="342"/>
  <c r="AZ136" i="342" s="1"/>
  <c r="BA136" i="342" s="1"/>
  <c r="BG154" i="342"/>
  <c r="Z154" i="342"/>
  <c r="AZ154" i="342" s="1"/>
  <c r="BA154" i="342" s="1"/>
  <c r="Z20" i="343"/>
  <c r="AZ20" i="343" s="1"/>
  <c r="BA20" i="343" s="1"/>
  <c r="BG20" i="343"/>
  <c r="W92" i="340"/>
  <c r="U92" i="340"/>
  <c r="V92" i="340" s="1"/>
  <c r="Y92" i="340"/>
  <c r="AA92" i="340" s="1"/>
  <c r="AZ153" i="343"/>
  <c r="BA153" i="343" s="1"/>
  <c r="Z169" i="342"/>
  <c r="AZ169" i="342" s="1"/>
  <c r="BG169" i="342"/>
  <c r="BA169" i="342"/>
  <c r="Z118" i="342"/>
  <c r="AZ118" i="342" s="1"/>
  <c r="BG118" i="342"/>
  <c r="BA118" i="342"/>
  <c r="AL115" i="342"/>
  <c r="AM115" i="342" s="1"/>
  <c r="Y115" i="342"/>
  <c r="Y116" i="342" s="1"/>
  <c r="U85" i="340"/>
  <c r="Y85" i="340"/>
  <c r="AA85" i="340" s="1"/>
  <c r="W85" i="340"/>
  <c r="V85" i="340"/>
  <c r="X85" i="340" s="1"/>
  <c r="AZ123" i="342"/>
  <c r="BA123" i="342" s="1"/>
  <c r="BG72" i="342"/>
  <c r="Z72" i="342"/>
  <c r="AZ72" i="342" s="1"/>
  <c r="BA72" i="342" s="1"/>
  <c r="AL143" i="342"/>
  <c r="X147" i="342"/>
  <c r="Y143" i="342"/>
  <c r="BG102" i="343"/>
  <c r="Z102" i="343"/>
  <c r="AZ102" i="343" s="1"/>
  <c r="BA102" i="343" s="1"/>
  <c r="AM84" i="342"/>
  <c r="Z153" i="341"/>
  <c r="Z172" i="341" s="1"/>
  <c r="Z173" i="341" s="1"/>
  <c r="U138" i="341"/>
  <c r="V138" i="341" s="1"/>
  <c r="Y138" i="341"/>
  <c r="AA138" i="341" s="1"/>
  <c r="W138" i="341"/>
  <c r="W166" i="341"/>
  <c r="Y166" i="341"/>
  <c r="AA166" i="341" s="1"/>
  <c r="U166" i="341"/>
  <c r="U94" i="340"/>
  <c r="Y94" i="340"/>
  <c r="AA94" i="340" s="1"/>
  <c r="W94" i="340"/>
  <c r="V94" i="340"/>
  <c r="X94" i="340" s="1"/>
  <c r="S68" i="341"/>
  <c r="T68" i="341" s="1"/>
  <c r="Z51" i="343"/>
  <c r="AZ51" i="343" s="1"/>
  <c r="BA51" i="343" s="1"/>
  <c r="BG51" i="343"/>
  <c r="Z32" i="342"/>
  <c r="AZ32" i="342" s="1"/>
  <c r="BA32" i="342" s="1"/>
  <c r="BG32" i="342"/>
  <c r="Y102" i="340"/>
  <c r="AA102" i="340" s="1"/>
  <c r="W102" i="340"/>
  <c r="U102" i="340"/>
  <c r="V102" i="340" s="1"/>
  <c r="L26" i="340"/>
  <c r="V62" i="340"/>
  <c r="U62" i="340"/>
  <c r="X62" i="340"/>
  <c r="W62" i="340"/>
  <c r="Y62" i="340"/>
  <c r="AA62" i="340" s="1"/>
  <c r="BA27" i="342"/>
  <c r="Z27" i="342"/>
  <c r="AZ27" i="342" s="1"/>
  <c r="BG27" i="342"/>
  <c r="W91" i="340"/>
  <c r="U91" i="340"/>
  <c r="Y91" i="340"/>
  <c r="AA91" i="340" s="1"/>
  <c r="BA114" i="342"/>
  <c r="Z114" i="342"/>
  <c r="AZ114" i="342" s="1"/>
  <c r="BG114" i="342"/>
  <c r="X163" i="340"/>
  <c r="AA158" i="341"/>
  <c r="AP106" i="342"/>
  <c r="AP116" i="342" s="1"/>
  <c r="AB103" i="340"/>
  <c r="AD103" i="340"/>
  <c r="AC103" i="340" s="1"/>
  <c r="AF103" i="340" s="1"/>
  <c r="AE103" i="340"/>
  <c r="AB96" i="340"/>
  <c r="AD96" i="340"/>
  <c r="AC96" i="340" s="1"/>
  <c r="AF96" i="340" s="1"/>
  <c r="AE96" i="340"/>
  <c r="X70" i="341"/>
  <c r="AZ107" i="342"/>
  <c r="BA107" i="342" s="1"/>
  <c r="Z28" i="343"/>
  <c r="AZ28" i="343" s="1"/>
  <c r="BG28" i="343"/>
  <c r="BA28" i="343"/>
  <c r="AB103" i="341"/>
  <c r="AE103" i="341"/>
  <c r="AF103" i="341" s="1"/>
  <c r="AD103" i="341"/>
  <c r="AC103" i="341"/>
  <c r="BA129" i="343"/>
  <c r="Z129" i="343"/>
  <c r="AZ129" i="343" s="1"/>
  <c r="BG129" i="343"/>
  <c r="Z152" i="343"/>
  <c r="AZ152" i="343" s="1"/>
  <c r="BA152" i="343"/>
  <c r="BG152" i="343"/>
  <c r="AZ151" i="343"/>
  <c r="BA151" i="343" s="1"/>
  <c r="Z149" i="343"/>
  <c r="AZ149" i="343" s="1"/>
  <c r="BA149" i="343" s="1"/>
  <c r="BG149" i="343"/>
  <c r="BG24" i="343"/>
  <c r="Z24" i="343"/>
  <c r="AZ24" i="343" s="1"/>
  <c r="BA24" i="343" s="1"/>
  <c r="AJ80" i="343"/>
  <c r="AK80" i="343" s="1"/>
  <c r="AL80" i="343"/>
  <c r="AM80" i="343" s="1"/>
  <c r="Y80" i="343"/>
  <c r="Y117" i="342"/>
  <c r="X124" i="342"/>
  <c r="AL117" i="342"/>
  <c r="Z59" i="343"/>
  <c r="AZ59" i="343" s="1"/>
  <c r="BA59" i="343"/>
  <c r="BG59" i="343"/>
  <c r="BA157" i="343"/>
  <c r="Z157" i="343"/>
  <c r="AZ157" i="343" s="1"/>
  <c r="BG157" i="343"/>
  <c r="H14" i="190"/>
  <c r="H13" i="297" s="1"/>
  <c r="X137" i="343"/>
  <c r="BA73" i="343"/>
  <c r="BG73" i="343"/>
  <c r="Z73" i="343"/>
  <c r="AZ73" i="343" s="1"/>
  <c r="Y124" i="343"/>
  <c r="BG117" i="343"/>
  <c r="Z117" i="343"/>
  <c r="AQ137" i="343"/>
  <c r="AL108" i="342"/>
  <c r="AM108" i="342" s="1"/>
  <c r="AQ108" i="342"/>
  <c r="AQ116" i="342" s="1"/>
  <c r="BG115" i="343"/>
  <c r="Z115" i="343"/>
  <c r="AZ115" i="343" s="1"/>
  <c r="BA115" i="343"/>
  <c r="X142" i="342"/>
  <c r="Y138" i="342"/>
  <c r="AL138" i="342"/>
  <c r="AP83" i="343"/>
  <c r="AQ181" i="342"/>
  <c r="Y94" i="342"/>
  <c r="Z30" i="343"/>
  <c r="AZ30" i="343" s="1"/>
  <c r="BA30" i="343" s="1"/>
  <c r="BG30" i="343"/>
  <c r="AD105" i="342"/>
  <c r="AD182" i="342" s="1"/>
  <c r="AR116" i="342"/>
  <c r="AQ94" i="342"/>
  <c r="AQ104" i="342" s="1"/>
  <c r="AQ105" i="342" s="1"/>
  <c r="AL40" i="342"/>
  <c r="AM40" i="342" s="1"/>
  <c r="AJ40" i="342"/>
  <c r="AK40" i="342" s="1"/>
  <c r="AZ40" i="342" s="1"/>
  <c r="Y40" i="342"/>
  <c r="X112" i="340"/>
  <c r="BG41" i="342"/>
  <c r="BA41" i="342"/>
  <c r="Z41" i="342"/>
  <c r="AZ41" i="342" s="1"/>
  <c r="S93" i="341"/>
  <c r="T90" i="341"/>
  <c r="AA27" i="341"/>
  <c r="W76" i="340"/>
  <c r="U76" i="340"/>
  <c r="V76" i="340" s="1"/>
  <c r="X76" i="340" s="1"/>
  <c r="Y76" i="340"/>
  <c r="AA76" i="340" s="1"/>
  <c r="X103" i="341"/>
  <c r="Y149" i="341"/>
  <c r="AA149" i="341" s="1"/>
  <c r="W149" i="341"/>
  <c r="U149" i="341"/>
  <c r="V149" i="341" s="1"/>
  <c r="X149" i="341" s="1"/>
  <c r="BG25" i="342"/>
  <c r="Z25" i="342"/>
  <c r="AZ25" i="342" s="1"/>
  <c r="BA25" i="342" s="1"/>
  <c r="AZ101" i="342"/>
  <c r="BA101" i="342" s="1"/>
  <c r="AX161" i="343"/>
  <c r="AE163" i="340"/>
  <c r="AD163" i="340"/>
  <c r="AC163" i="340"/>
  <c r="AF163" i="340" s="1"/>
  <c r="AB163" i="340"/>
  <c r="AE20" i="341"/>
  <c r="AD20" i="341"/>
  <c r="AC20" i="341"/>
  <c r="AF20" i="341" s="1"/>
  <c r="AB20" i="341"/>
  <c r="V86" i="340"/>
  <c r="X86" i="340" s="1"/>
  <c r="BA78" i="342"/>
  <c r="Z78" i="342"/>
  <c r="AZ78" i="342" s="1"/>
  <c r="BG78" i="342"/>
  <c r="AE161" i="340"/>
  <c r="AB161" i="340"/>
  <c r="AD161" i="340"/>
  <c r="AC161" i="340" s="1"/>
  <c r="AF161" i="340" s="1"/>
  <c r="Y89" i="340"/>
  <c r="AA89" i="340" s="1"/>
  <c r="W89" i="340"/>
  <c r="V89" i="340"/>
  <c r="X89" i="340" s="1"/>
  <c r="U89" i="340"/>
  <c r="AE70" i="341"/>
  <c r="AD70" i="341"/>
  <c r="AC70" i="341"/>
  <c r="AF70" i="341" s="1"/>
  <c r="AB70" i="341"/>
  <c r="V98" i="340"/>
  <c r="AD87" i="340"/>
  <c r="AC87" i="340" s="1"/>
  <c r="AF87" i="340" s="1"/>
  <c r="AB87" i="340"/>
  <c r="AE87" i="340"/>
  <c r="U84" i="341"/>
  <c r="V84" i="341" s="1"/>
  <c r="X84" i="341" s="1"/>
  <c r="Y84" i="341"/>
  <c r="AA84" i="341" s="1"/>
  <c r="W84" i="341"/>
  <c r="BG67" i="343"/>
  <c r="Z67" i="343"/>
  <c r="AZ67" i="343" s="1"/>
  <c r="BA67" i="343" s="1"/>
  <c r="X145" i="341"/>
  <c r="W145" i="341"/>
  <c r="V145" i="341"/>
  <c r="U145" i="341"/>
  <c r="Y145" i="341"/>
  <c r="AA145" i="341" s="1"/>
  <c r="P189" i="340"/>
  <c r="BG146" i="342"/>
  <c r="Z146" i="342"/>
  <c r="AZ146" i="342" s="1"/>
  <c r="BA146" i="342" s="1"/>
  <c r="V28" i="341"/>
  <c r="X28" i="341" s="1"/>
  <c r="Z106" i="342"/>
  <c r="BG106" i="342"/>
  <c r="AB47" i="341"/>
  <c r="AD47" i="341"/>
  <c r="AC47" i="341" s="1"/>
  <c r="AF47" i="341" s="1"/>
  <c r="AE47" i="341"/>
  <c r="W19" i="340"/>
  <c r="U19" i="340"/>
  <c r="Y19" i="340"/>
  <c r="V19" i="340"/>
  <c r="V147" i="340"/>
  <c r="X147" i="340" s="1"/>
  <c r="Z109" i="343"/>
  <c r="AZ109" i="343" s="1"/>
  <c r="BA109" i="343"/>
  <c r="BG109" i="343"/>
  <c r="X133" i="343"/>
  <c r="AL125" i="343"/>
  <c r="Y125" i="343"/>
  <c r="AL128" i="342"/>
  <c r="AM128" i="342" s="1"/>
  <c r="Y128" i="342"/>
  <c r="BA70" i="343"/>
  <c r="BG70" i="343"/>
  <c r="Z70" i="343"/>
  <c r="AZ70" i="343" s="1"/>
  <c r="BG108" i="342"/>
  <c r="Z108" i="342"/>
  <c r="AR124" i="342"/>
  <c r="AM66" i="343"/>
  <c r="Y107" i="343"/>
  <c r="AL107" i="343"/>
  <c r="AM107" i="343" s="1"/>
  <c r="J170" i="341"/>
  <c r="Z97" i="342"/>
  <c r="AZ97" i="342" s="1"/>
  <c r="BA97" i="342" s="1"/>
  <c r="BG97" i="342"/>
  <c r="BA44" i="342"/>
  <c r="BG44" i="342"/>
  <c r="Z44" i="342"/>
  <c r="AZ44" i="342" s="1"/>
  <c r="Y36" i="341"/>
  <c r="AA36" i="341" s="1"/>
  <c r="W36" i="341"/>
  <c r="U36" i="341"/>
  <c r="V36" i="341" s="1"/>
  <c r="U115" i="341"/>
  <c r="W115" i="341"/>
  <c r="V115" i="341"/>
  <c r="X115" i="341" s="1"/>
  <c r="Y115" i="341"/>
  <c r="AA115" i="341" s="1"/>
  <c r="V72" i="340"/>
  <c r="X72" i="340" s="1"/>
  <c r="W72" i="340"/>
  <c r="U72" i="340"/>
  <c r="Y72" i="340"/>
  <c r="AA72" i="340" s="1"/>
  <c r="BG165" i="342"/>
  <c r="Z165" i="342"/>
  <c r="Y46" i="341"/>
  <c r="AA46" i="341" s="1"/>
  <c r="W46" i="341"/>
  <c r="V46" i="341"/>
  <c r="X46" i="341" s="1"/>
  <c r="U46" i="341"/>
  <c r="S104" i="340"/>
  <c r="T43" i="340"/>
  <c r="U114" i="340"/>
  <c r="V114" i="340" s="1"/>
  <c r="W114" i="340"/>
  <c r="Y114" i="340"/>
  <c r="AA114" i="340" s="1"/>
  <c r="V30" i="341"/>
  <c r="X30" i="341" s="1"/>
  <c r="V22" i="341"/>
  <c r="X22" i="341" s="1"/>
  <c r="AZ146" i="343"/>
  <c r="BA146" i="343" s="1"/>
  <c r="Y79" i="340"/>
  <c r="AA79" i="340" s="1"/>
  <c r="W79" i="340"/>
  <c r="U79" i="340"/>
  <c r="Y44" i="340"/>
  <c r="AA44" i="340" s="1"/>
  <c r="W44" i="340"/>
  <c r="U44" i="340"/>
  <c r="V44" i="340" s="1"/>
  <c r="X44" i="340" s="1"/>
  <c r="T171" i="340"/>
  <c r="Y49" i="340"/>
  <c r="AA49" i="340" s="1"/>
  <c r="W49" i="340"/>
  <c r="U49" i="340"/>
  <c r="V49" i="340" s="1"/>
  <c r="BG111" i="342"/>
  <c r="Z111" i="342"/>
  <c r="AZ111" i="342" s="1"/>
  <c r="BA111" i="342" s="1"/>
  <c r="Z70" i="342"/>
  <c r="AZ70" i="342" s="1"/>
  <c r="BA70" i="342"/>
  <c r="BG70" i="342"/>
  <c r="AZ74" i="342"/>
  <c r="BA74" i="342" s="1"/>
  <c r="Y36" i="340"/>
  <c r="AA36" i="340" s="1"/>
  <c r="W36" i="340"/>
  <c r="U36" i="340"/>
  <c r="V36" i="340" s="1"/>
  <c r="X36" i="340" s="1"/>
  <c r="V130" i="340"/>
  <c r="AE175" i="340"/>
  <c r="AD175" i="340"/>
  <c r="AC175" i="340"/>
  <c r="AF175" i="340" s="1"/>
  <c r="AB175" i="340"/>
  <c r="Z26" i="340"/>
  <c r="V81" i="341"/>
  <c r="AL86" i="342"/>
  <c r="AM86" i="342" s="1"/>
  <c r="AJ86" i="342"/>
  <c r="AK86" i="342" s="1"/>
  <c r="V90" i="340"/>
  <c r="X90" i="340" s="1"/>
  <c r="AX182" i="342"/>
  <c r="Z17" i="343"/>
  <c r="AZ17" i="343" s="1"/>
  <c r="BA17" i="343"/>
  <c r="BG17" i="343"/>
  <c r="U70" i="340"/>
  <c r="V70" i="340" s="1"/>
  <c r="X70" i="340" s="1"/>
  <c r="Y70" i="340"/>
  <c r="AA70" i="340" s="1"/>
  <c r="W70" i="340"/>
  <c r="AZ66" i="342"/>
  <c r="Z38" i="342"/>
  <c r="AZ38" i="342" s="1"/>
  <c r="BA38" i="342" s="1"/>
  <c r="BG38" i="342"/>
  <c r="AE35" i="341"/>
  <c r="AC35" i="341"/>
  <c r="AF35" i="341" s="1"/>
  <c r="AD35" i="341"/>
  <c r="AB35" i="341"/>
  <c r="AE67" i="340"/>
  <c r="AD67" i="340"/>
  <c r="AB67" i="340"/>
  <c r="AC67" i="340"/>
  <c r="AF67" i="340" s="1"/>
  <c r="BA132" i="343"/>
  <c r="BG132" i="343"/>
  <c r="BA79" i="343"/>
  <c r="BG79" i="343"/>
  <c r="Z79" i="343"/>
  <c r="AZ79" i="343" s="1"/>
  <c r="AL48" i="343"/>
  <c r="AM48" i="343" s="1"/>
  <c r="AR48" i="343"/>
  <c r="Y48" i="343"/>
  <c r="AJ48" i="343"/>
  <c r="AK48" i="343" s="1"/>
  <c r="BG119" i="342"/>
  <c r="Z119" i="342"/>
  <c r="AZ119" i="342" s="1"/>
  <c r="BA119" i="342" s="1"/>
  <c r="BG103" i="342"/>
  <c r="Z103" i="342"/>
  <c r="AZ103" i="342" s="1"/>
  <c r="BA103" i="342" s="1"/>
  <c r="BB64" i="343"/>
  <c r="BD64" i="343" s="1"/>
  <c r="BC64" i="343"/>
  <c r="BF64" i="343"/>
  <c r="BH64" i="343" s="1"/>
  <c r="AL81" i="342"/>
  <c r="AM81" i="342" s="1"/>
  <c r="AJ81" i="342"/>
  <c r="AK81" i="342" s="1"/>
  <c r="BG64" i="342"/>
  <c r="Z64" i="342"/>
  <c r="AZ64" i="342" s="1"/>
  <c r="BA64" i="342"/>
  <c r="AD105" i="343"/>
  <c r="AD161" i="343" s="1"/>
  <c r="BA153" i="342"/>
  <c r="Z153" i="342"/>
  <c r="AZ153" i="342" s="1"/>
  <c r="BG153" i="342"/>
  <c r="BG149" i="342"/>
  <c r="Z149" i="342"/>
  <c r="AZ149" i="342" s="1"/>
  <c r="BA149" i="342"/>
  <c r="S95" i="341"/>
  <c r="J122" i="341"/>
  <c r="BA31" i="343"/>
  <c r="BG31" i="343"/>
  <c r="Z31" i="343"/>
  <c r="AZ31" i="343" s="1"/>
  <c r="AO83" i="342"/>
  <c r="AO105" i="342" s="1"/>
  <c r="AO182" i="342" s="1"/>
  <c r="Z73" i="342"/>
  <c r="AZ73" i="342" s="1"/>
  <c r="BG73" i="342"/>
  <c r="BA73" i="342"/>
  <c r="AR33" i="342"/>
  <c r="AR45" i="342" s="1"/>
  <c r="AZ98" i="343"/>
  <c r="Y152" i="341"/>
  <c r="AA152" i="341" s="1"/>
  <c r="W152" i="341"/>
  <c r="U152" i="341"/>
  <c r="V152" i="341" s="1"/>
  <c r="X152" i="341" s="1"/>
  <c r="Y121" i="341"/>
  <c r="AA121" i="341" s="1"/>
  <c r="W121" i="341"/>
  <c r="U121" i="341"/>
  <c r="Y149" i="340"/>
  <c r="AA149" i="340" s="1"/>
  <c r="W149" i="340"/>
  <c r="V149" i="340" s="1"/>
  <c r="U149" i="340"/>
  <c r="X149" i="340" s="1"/>
  <c r="BG120" i="342"/>
  <c r="Z120" i="342"/>
  <c r="AZ120" i="342" s="1"/>
  <c r="BA120" i="342"/>
  <c r="BG42" i="342"/>
  <c r="Z42" i="342"/>
  <c r="AZ42" i="342" s="1"/>
  <c r="BA42" i="342" s="1"/>
  <c r="Z86" i="342"/>
  <c r="BG86" i="342"/>
  <c r="AM165" i="342"/>
  <c r="AM181" i="342" s="1"/>
  <c r="AL181" i="342"/>
  <c r="X188" i="342"/>
  <c r="X190" i="342" s="1"/>
  <c r="X195" i="342" s="1"/>
  <c r="AL14" i="342"/>
  <c r="X45" i="342"/>
  <c r="AJ14" i="342"/>
  <c r="AO14" i="342"/>
  <c r="AO45" i="342" s="1"/>
  <c r="S26" i="341"/>
  <c r="T19" i="341"/>
  <c r="Y181" i="340"/>
  <c r="AA181" i="340" s="1"/>
  <c r="W181" i="340"/>
  <c r="V181" i="340" s="1"/>
  <c r="U181" i="340"/>
  <c r="X181" i="340" s="1"/>
  <c r="Z96" i="342"/>
  <c r="AZ96" i="342" s="1"/>
  <c r="BG96" i="342"/>
  <c r="BA96" i="342"/>
  <c r="W110" i="341"/>
  <c r="V110" i="341" s="1"/>
  <c r="X110" i="341" s="1"/>
  <c r="Y110" i="341"/>
  <c r="AA110" i="341" s="1"/>
  <c r="U110" i="341"/>
  <c r="BG76" i="342"/>
  <c r="Z76" i="342"/>
  <c r="AZ76" i="342" s="1"/>
  <c r="BA76" i="342" s="1"/>
  <c r="AB47" i="340"/>
  <c r="AD47" i="340"/>
  <c r="AC47" i="340" s="1"/>
  <c r="AF47" i="340" s="1"/>
  <c r="AE47" i="340"/>
  <c r="AZ100" i="342"/>
  <c r="BA100" i="342" s="1"/>
  <c r="AE86" i="340"/>
  <c r="AD86" i="340"/>
  <c r="AC86" i="340"/>
  <c r="AF86" i="340" s="1"/>
  <c r="AB86" i="340"/>
  <c r="AE109" i="341"/>
  <c r="AD109" i="341"/>
  <c r="AC109" i="341" s="1"/>
  <c r="AF109" i="341" s="1"/>
  <c r="AB109" i="341"/>
  <c r="AD52" i="340"/>
  <c r="AE52" i="340"/>
  <c r="AC52" i="340"/>
  <c r="AF52" i="340" s="1"/>
  <c r="AB52" i="340"/>
  <c r="Z51" i="342"/>
  <c r="AZ51" i="342" s="1"/>
  <c r="BG51" i="342"/>
  <c r="BA51" i="342"/>
  <c r="Q105" i="342"/>
  <c r="Q182" i="342" s="1"/>
  <c r="Z177" i="342"/>
  <c r="AZ177" i="342" s="1"/>
  <c r="BA177" i="342"/>
  <c r="BG177" i="342"/>
  <c r="AL60" i="343"/>
  <c r="AM60" i="343" s="1"/>
  <c r="Y60" i="343"/>
  <c r="AJ60" i="343"/>
  <c r="AK60" i="343" s="1"/>
  <c r="BG27" i="343"/>
  <c r="Z27" i="343"/>
  <c r="AZ27" i="343" s="1"/>
  <c r="BA27" i="343"/>
  <c r="AE119" i="341"/>
  <c r="AD119" i="341"/>
  <c r="AC119" i="341" s="1"/>
  <c r="AF119" i="341" s="1"/>
  <c r="AB119" i="341"/>
  <c r="Y106" i="341"/>
  <c r="AA106" i="341" s="1"/>
  <c r="W106" i="341"/>
  <c r="U106" i="341"/>
  <c r="V106" i="341" s="1"/>
  <c r="AP128" i="343"/>
  <c r="AP133" i="343" s="1"/>
  <c r="AQ65" i="343"/>
  <c r="Y145" i="342"/>
  <c r="AL145" i="342"/>
  <c r="AM145" i="342" s="1"/>
  <c r="BG19" i="343"/>
  <c r="BA19" i="343"/>
  <c r="Z109" i="342"/>
  <c r="AZ109" i="342" s="1"/>
  <c r="BA109" i="342" s="1"/>
  <c r="BG109" i="342"/>
  <c r="BG180" i="342"/>
  <c r="Y24" i="341"/>
  <c r="AA24" i="341" s="1"/>
  <c r="W24" i="341"/>
  <c r="V24" i="341"/>
  <c r="X24" i="341" s="1"/>
  <c r="U24" i="341"/>
  <c r="T174" i="340"/>
  <c r="S186" i="340"/>
  <c r="AB168" i="340"/>
  <c r="AE168" i="340"/>
  <c r="AD168" i="340"/>
  <c r="AC168" i="340"/>
  <c r="AF168" i="340" s="1"/>
  <c r="AN161" i="343"/>
  <c r="X162" i="340"/>
  <c r="V23" i="340"/>
  <c r="X23" i="340" s="1"/>
  <c r="X193" i="342"/>
  <c r="W32" i="341"/>
  <c r="U32" i="341"/>
  <c r="Y32" i="341"/>
  <c r="AA32" i="341" s="1"/>
  <c r="AB133" i="341"/>
  <c r="AD133" i="341"/>
  <c r="AC133" i="341"/>
  <c r="AF133" i="341" s="1"/>
  <c r="AE133" i="341"/>
  <c r="Z86" i="343"/>
  <c r="BG86" i="343"/>
  <c r="V50" i="340"/>
  <c r="X50" i="340" s="1"/>
  <c r="AE98" i="340"/>
  <c r="AD98" i="340"/>
  <c r="AC98" i="340" s="1"/>
  <c r="AF98" i="340" s="1"/>
  <c r="AB98" i="340"/>
  <c r="AD165" i="340"/>
  <c r="AC165" i="340" s="1"/>
  <c r="AF165" i="340" s="1"/>
  <c r="AB165" i="340"/>
  <c r="AE165" i="340"/>
  <c r="V52" i="340"/>
  <c r="X52" i="340" s="1"/>
  <c r="AD121" i="340"/>
  <c r="AC121" i="340"/>
  <c r="AB121" i="340"/>
  <c r="AE121" i="340"/>
  <c r="AF121" i="340" s="1"/>
  <c r="AE81" i="341"/>
  <c r="AB81" i="341"/>
  <c r="AD81" i="341"/>
  <c r="AC81" i="341" s="1"/>
  <c r="AF81" i="341" s="1"/>
  <c r="AC90" i="340"/>
  <c r="AF90" i="340" s="1"/>
  <c r="AB90" i="340"/>
  <c r="AD90" i="340"/>
  <c r="AE90" i="340"/>
  <c r="Y139" i="343"/>
  <c r="AR104" i="343"/>
  <c r="Z140" i="343"/>
  <c r="AZ140" i="343" s="1"/>
  <c r="BA140" i="343" s="1"/>
  <c r="BG140" i="343"/>
  <c r="AO104" i="343"/>
  <c r="AL104" i="343"/>
  <c r="AM84" i="343"/>
  <c r="BG91" i="343"/>
  <c r="Z91" i="343"/>
  <c r="AZ91" i="343" s="1"/>
  <c r="BA91" i="343" s="1"/>
  <c r="Z56" i="343"/>
  <c r="AZ56" i="343" s="1"/>
  <c r="BA56" i="343" s="1"/>
  <c r="BG56" i="343"/>
  <c r="Z97" i="343"/>
  <c r="AZ97" i="343" s="1"/>
  <c r="BA97" i="343" s="1"/>
  <c r="BG97" i="343"/>
  <c r="BG37" i="343"/>
  <c r="Z37" i="343"/>
  <c r="AZ37" i="343" s="1"/>
  <c r="BA37" i="343"/>
  <c r="AZ87" i="342"/>
  <c r="BA87" i="342" s="1"/>
  <c r="AP181" i="342"/>
  <c r="AP65" i="343"/>
  <c r="BG38" i="343"/>
  <c r="Z38" i="343"/>
  <c r="AZ38" i="343" s="1"/>
  <c r="BA38" i="343" s="1"/>
  <c r="AQ45" i="343"/>
  <c r="AZ126" i="342"/>
  <c r="BA126" i="342" s="1"/>
  <c r="AL86" i="343"/>
  <c r="AM86" i="343" s="1"/>
  <c r="AJ86" i="343"/>
  <c r="AR83" i="342"/>
  <c r="Y131" i="341"/>
  <c r="AA131" i="341" s="1"/>
  <c r="W131" i="341"/>
  <c r="U131" i="341"/>
  <c r="V131" i="341" s="1"/>
  <c r="AP17" i="342"/>
  <c r="AP45" i="342" s="1"/>
  <c r="BA76" i="343"/>
  <c r="BG76" i="343"/>
  <c r="Z76" i="343"/>
  <c r="AZ76" i="343" s="1"/>
  <c r="BG52" i="342"/>
  <c r="Z52" i="342"/>
  <c r="AZ52" i="342" s="1"/>
  <c r="BA52" i="342"/>
  <c r="W76" i="341"/>
  <c r="U76" i="341"/>
  <c r="Y76" i="341"/>
  <c r="AA76" i="341" s="1"/>
  <c r="Y64" i="340"/>
  <c r="AA64" i="340" s="1"/>
  <c r="W64" i="340"/>
  <c r="U64" i="340"/>
  <c r="V64" i="340" s="1"/>
  <c r="BA150" i="342"/>
  <c r="BG150" i="342"/>
  <c r="Z150" i="342"/>
  <c r="AZ150" i="342" s="1"/>
  <c r="AZ180" i="342"/>
  <c r="BA180" i="342" s="1"/>
  <c r="Z58" i="342"/>
  <c r="AZ58" i="342" s="1"/>
  <c r="BA58" i="342" s="1"/>
  <c r="BG58" i="342"/>
  <c r="AE22" i="341"/>
  <c r="AD22" i="341"/>
  <c r="AC22" i="341" s="1"/>
  <c r="AF22" i="341" s="1"/>
  <c r="AB22" i="341"/>
  <c r="X42" i="340"/>
  <c r="S146" i="340"/>
  <c r="T146" i="340" s="1"/>
  <c r="V162" i="340"/>
  <c r="V177" i="340"/>
  <c r="X177" i="340" s="1"/>
  <c r="X153" i="340"/>
  <c r="X29" i="341"/>
  <c r="X64" i="341"/>
  <c r="AQ86" i="343"/>
  <c r="AQ104" i="343" s="1"/>
  <c r="AQ105" i="343" s="1"/>
  <c r="AQ161" i="343" s="1"/>
  <c r="BG63" i="342"/>
  <c r="Z63" i="342"/>
  <c r="AZ63" i="342" s="1"/>
  <c r="BA63" i="342"/>
  <c r="AE133" i="340"/>
  <c r="AF133" i="340" s="1"/>
  <c r="AD133" i="340"/>
  <c r="AB133" i="340"/>
  <c r="AC133" i="340"/>
  <c r="AE28" i="340"/>
  <c r="AD28" i="340"/>
  <c r="AC28" i="340"/>
  <c r="AF28" i="340" s="1"/>
  <c r="AB28" i="340"/>
  <c r="BG102" i="342"/>
  <c r="Z102" i="342"/>
  <c r="AZ102" i="342" s="1"/>
  <c r="BA102" i="342"/>
  <c r="V78" i="340"/>
  <c r="X78" i="340" s="1"/>
  <c r="AE52" i="341"/>
  <c r="AF52" i="341"/>
  <c r="AD52" i="341"/>
  <c r="AC52" i="341"/>
  <c r="AB52" i="341"/>
  <c r="V160" i="340"/>
  <c r="AE37" i="340"/>
  <c r="AB37" i="340"/>
  <c r="AD37" i="340"/>
  <c r="AC37" i="340" s="1"/>
  <c r="AF37" i="340" s="1"/>
  <c r="BG55" i="343"/>
  <c r="Z55" i="343"/>
  <c r="AZ55" i="343" s="1"/>
  <c r="BA55" i="343" s="1"/>
  <c r="BG22" i="343"/>
  <c r="Z22" i="343"/>
  <c r="AZ22" i="343" s="1"/>
  <c r="BA22" i="343"/>
  <c r="AE97" i="340"/>
  <c r="AD97" i="340"/>
  <c r="AC97" i="340" s="1"/>
  <c r="AF97" i="340" s="1"/>
  <c r="AB97" i="340"/>
  <c r="BG52" i="343"/>
  <c r="Z52" i="343"/>
  <c r="AZ52" i="343" s="1"/>
  <c r="BA52" i="343" s="1"/>
  <c r="AB147" i="340"/>
  <c r="AE147" i="340"/>
  <c r="AD147" i="340"/>
  <c r="AC147" i="340" s="1"/>
  <c r="AF147" i="340" s="1"/>
  <c r="Z95" i="343"/>
  <c r="AZ95" i="343" s="1"/>
  <c r="BA95" i="343" s="1"/>
  <c r="BG95" i="343"/>
  <c r="BG179" i="342"/>
  <c r="Z179" i="342"/>
  <c r="AZ179" i="342" s="1"/>
  <c r="BA179" i="342" s="1"/>
  <c r="Z34" i="343"/>
  <c r="AZ34" i="343" s="1"/>
  <c r="BG34" i="343"/>
  <c r="BA34" i="343"/>
  <c r="Z162" i="342"/>
  <c r="AZ162" i="342" s="1"/>
  <c r="BA162" i="342" s="1"/>
  <c r="BG162" i="342"/>
  <c r="AP128" i="342"/>
  <c r="AP133" i="342" s="1"/>
  <c r="Y180" i="340"/>
  <c r="AA180" i="340" s="1"/>
  <c r="W180" i="340"/>
  <c r="U180" i="340"/>
  <c r="J93" i="341"/>
  <c r="Y14" i="342"/>
  <c r="U167" i="341"/>
  <c r="V167" i="341" s="1"/>
  <c r="X167" i="341" s="1"/>
  <c r="W167" i="341"/>
  <c r="Y167" i="341"/>
  <c r="AA167" i="341" s="1"/>
  <c r="AB153" i="340"/>
  <c r="AC153" i="340"/>
  <c r="AE153" i="340"/>
  <c r="AF153" i="340"/>
  <c r="AD153" i="340"/>
  <c r="AB104" i="341"/>
  <c r="AD104" i="341"/>
  <c r="AC104" i="341" s="1"/>
  <c r="AF104" i="341" s="1"/>
  <c r="AE104" i="341"/>
  <c r="W68" i="340"/>
  <c r="U68" i="340"/>
  <c r="V68" i="340" s="1"/>
  <c r="X68" i="340" s="1"/>
  <c r="Y68" i="340"/>
  <c r="AA68" i="340" s="1"/>
  <c r="U71" i="340"/>
  <c r="X71" i="340"/>
  <c r="V71" i="340"/>
  <c r="Y71" i="340"/>
  <c r="AA71" i="340" s="1"/>
  <c r="W71" i="340"/>
  <c r="BA176" i="342"/>
  <c r="Z176" i="342"/>
  <c r="AZ176" i="342" s="1"/>
  <c r="BG176" i="342"/>
  <c r="BG35" i="342"/>
  <c r="Z35" i="342"/>
  <c r="AZ35" i="342" s="1"/>
  <c r="BA35" i="342" s="1"/>
  <c r="W135" i="340"/>
  <c r="U135" i="340"/>
  <c r="Y135" i="340"/>
  <c r="AA135" i="340" s="1"/>
  <c r="Y66" i="340"/>
  <c r="AA66" i="340" s="1"/>
  <c r="W66" i="340"/>
  <c r="V66" i="340"/>
  <c r="X66" i="340" s="1"/>
  <c r="U66" i="340"/>
  <c r="AC63" i="340"/>
  <c r="AB63" i="340"/>
  <c r="AE63" i="340"/>
  <c r="AF63" i="340" s="1"/>
  <c r="AD63" i="340"/>
  <c r="AB87" i="341"/>
  <c r="AE87" i="341"/>
  <c r="AD87" i="341"/>
  <c r="AC87" i="341" s="1"/>
  <c r="AF87" i="341" s="1"/>
  <c r="AO147" i="342"/>
  <c r="AE73" i="340"/>
  <c r="AD73" i="340"/>
  <c r="AC73" i="340"/>
  <c r="AF73" i="340" s="1"/>
  <c r="AB73" i="340"/>
  <c r="V37" i="340"/>
  <c r="X37" i="340" s="1"/>
  <c r="AP116" i="343"/>
  <c r="BG24" i="342"/>
  <c r="Z24" i="342"/>
  <c r="AZ24" i="342" s="1"/>
  <c r="BA24" i="342"/>
  <c r="BG129" i="342"/>
  <c r="Z129" i="342"/>
  <c r="AZ129" i="342" s="1"/>
  <c r="BA129" i="342" s="1"/>
  <c r="Z77" i="343"/>
  <c r="AZ77" i="343" s="1"/>
  <c r="BA77" i="343"/>
  <c r="BG77" i="343"/>
  <c r="AJ46" i="343"/>
  <c r="X65" i="343"/>
  <c r="AL46" i="343"/>
  <c r="Y167" i="340"/>
  <c r="AA167" i="340" s="1"/>
  <c r="W167" i="340"/>
  <c r="U167" i="340"/>
  <c r="AE130" i="340"/>
  <c r="AF130" i="340" s="1"/>
  <c r="AC130" i="340"/>
  <c r="AD130" i="340"/>
  <c r="AB130" i="340"/>
  <c r="Z26" i="342"/>
  <c r="AZ26" i="342" s="1"/>
  <c r="BA26" i="342" s="1"/>
  <c r="BG26" i="342"/>
  <c r="U170" i="341"/>
  <c r="AB63" i="341"/>
  <c r="AE63" i="341"/>
  <c r="AD63" i="341"/>
  <c r="AC63" i="341" s="1"/>
  <c r="AF63" i="341" s="1"/>
  <c r="X116" i="343"/>
  <c r="AL106" i="343"/>
  <c r="BG79" i="342"/>
  <c r="Z79" i="342"/>
  <c r="AZ79" i="342" s="1"/>
  <c r="BA79" i="342" s="1"/>
  <c r="BG69" i="343"/>
  <c r="Z69" i="343"/>
  <c r="AZ69" i="343" s="1"/>
  <c r="BA69" i="343" s="1"/>
  <c r="AL93" i="342"/>
  <c r="AM93" i="342" s="1"/>
  <c r="AJ93" i="342"/>
  <c r="AK93" i="342" s="1"/>
  <c r="Y93" i="342"/>
  <c r="Y104" i="342" s="1"/>
  <c r="Z39" i="342"/>
  <c r="AZ39" i="342" s="1"/>
  <c r="BA39" i="342" s="1"/>
  <c r="BG39" i="342"/>
  <c r="X181" i="342"/>
  <c r="AE126" i="340"/>
  <c r="AD126" i="340"/>
  <c r="AC126" i="340" s="1"/>
  <c r="AF126" i="340" s="1"/>
  <c r="AB126" i="340"/>
  <c r="BG159" i="343"/>
  <c r="BA159" i="343"/>
  <c r="Z123" i="343"/>
  <c r="AZ123" i="343" s="1"/>
  <c r="BA123" i="343"/>
  <c r="BG123" i="343"/>
  <c r="AL75" i="342"/>
  <c r="AM75" i="342" s="1"/>
  <c r="AM83" i="342" s="1"/>
  <c r="AJ75" i="342"/>
  <c r="AK75" i="342" s="1"/>
  <c r="AK83" i="342" s="1"/>
  <c r="BG160" i="342"/>
  <c r="Z160" i="342"/>
  <c r="AZ160" i="342" s="1"/>
  <c r="BA160" i="342" s="1"/>
  <c r="Z80" i="342"/>
  <c r="AZ80" i="342" s="1"/>
  <c r="BA80" i="342" s="1"/>
  <c r="BG80" i="342"/>
  <c r="V131" i="340"/>
  <c r="U131" i="340"/>
  <c r="X131" i="340" s="1"/>
  <c r="Y131" i="340"/>
  <c r="AA131" i="340" s="1"/>
  <c r="W131" i="340"/>
  <c r="AP18" i="343"/>
  <c r="U132" i="340"/>
  <c r="Y132" i="340"/>
  <c r="AA132" i="340" s="1"/>
  <c r="W132" i="340"/>
  <c r="V132" i="340" s="1"/>
  <c r="X132" i="340" s="1"/>
  <c r="W53" i="340"/>
  <c r="U53" i="340"/>
  <c r="V53" i="340" s="1"/>
  <c r="Y53" i="340"/>
  <c r="AA53" i="340" s="1"/>
  <c r="Y34" i="341"/>
  <c r="AA34" i="341" s="1"/>
  <c r="V34" i="341"/>
  <c r="X34" i="341" s="1"/>
  <c r="W34" i="341"/>
  <c r="U34" i="341"/>
  <c r="X133" i="342"/>
  <c r="AL125" i="342"/>
  <c r="Y125" i="342"/>
  <c r="AE74" i="340"/>
  <c r="AC74" i="340"/>
  <c r="AF74" i="340" s="1"/>
  <c r="AB74" i="340"/>
  <c r="AD74" i="340"/>
  <c r="AE99" i="340"/>
  <c r="AD99" i="340"/>
  <c r="AC99" i="340"/>
  <c r="AF99" i="340" s="1"/>
  <c r="AB99" i="340"/>
  <c r="AF28" i="341"/>
  <c r="AE28" i="341"/>
  <c r="AD28" i="341"/>
  <c r="AB28" i="341"/>
  <c r="AC28" i="341"/>
  <c r="AL111" i="343"/>
  <c r="AM111" i="343" s="1"/>
  <c r="Y111" i="343"/>
  <c r="Z85" i="343"/>
  <c r="BG85" i="343"/>
  <c r="BG104" i="343" s="1"/>
  <c r="BG108" i="343"/>
  <c r="Z108" i="343"/>
  <c r="AZ108" i="343" s="1"/>
  <c r="BA108" i="343" s="1"/>
  <c r="W69" i="341"/>
  <c r="U69" i="341"/>
  <c r="V69" i="341" s="1"/>
  <c r="X69" i="341" s="1"/>
  <c r="Y69" i="341"/>
  <c r="AA69" i="341" s="1"/>
  <c r="X167" i="343"/>
  <c r="X169" i="343" s="1"/>
  <c r="AL14" i="343"/>
  <c r="Y14" i="343"/>
  <c r="X45" i="343"/>
  <c r="AJ14" i="343"/>
  <c r="AL21" i="342"/>
  <c r="AM21" i="342" s="1"/>
  <c r="AJ21" i="342"/>
  <c r="AK21" i="342" s="1"/>
  <c r="Y21" i="342"/>
  <c r="W99" i="341"/>
  <c r="V99" i="341"/>
  <c r="U99" i="341"/>
  <c r="Y99" i="341"/>
  <c r="AA99" i="341" s="1"/>
  <c r="X99" i="341"/>
  <c r="AL167" i="342"/>
  <c r="AM167" i="342" s="1"/>
  <c r="AZ167" i="342" s="1"/>
  <c r="Y167" i="342"/>
  <c r="Y181" i="342" s="1"/>
  <c r="BG90" i="343"/>
  <c r="Z90" i="343"/>
  <c r="AZ90" i="343" s="1"/>
  <c r="BA90" i="343"/>
  <c r="BG28" i="342"/>
  <c r="Z28" i="342"/>
  <c r="AZ28" i="342" s="1"/>
  <c r="BA28" i="342" s="1"/>
  <c r="AR46" i="343"/>
  <c r="AR65" i="343" s="1"/>
  <c r="BG42" i="343"/>
  <c r="Z42" i="343"/>
  <c r="AZ42" i="343" s="1"/>
  <c r="BA42" i="343"/>
  <c r="Y72" i="341"/>
  <c r="AA72" i="341" s="1"/>
  <c r="W72" i="341"/>
  <c r="V72" i="341" s="1"/>
  <c r="X72" i="341" s="1"/>
  <c r="U72" i="341"/>
  <c r="W53" i="341"/>
  <c r="U53" i="341"/>
  <c r="V53" i="341" s="1"/>
  <c r="X53" i="341" s="1"/>
  <c r="Y53" i="341"/>
  <c r="AA53" i="341" s="1"/>
  <c r="BA68" i="343"/>
  <c r="BG68" i="343"/>
  <c r="W179" i="340"/>
  <c r="U179" i="340"/>
  <c r="Y179" i="340"/>
  <c r="AA179" i="340" s="1"/>
  <c r="U55" i="341"/>
  <c r="V55" i="341" s="1"/>
  <c r="W55" i="341"/>
  <c r="Y55" i="341"/>
  <c r="AA55" i="341" s="1"/>
  <c r="BG93" i="343"/>
  <c r="Z93" i="343"/>
  <c r="AZ93" i="343" s="1"/>
  <c r="BA93" i="343" s="1"/>
  <c r="AQ133" i="342"/>
  <c r="AR45" i="343"/>
  <c r="AL138" i="343"/>
  <c r="X142" i="343"/>
  <c r="AP138" i="343"/>
  <c r="AP142" i="343" s="1"/>
  <c r="Y138" i="343"/>
  <c r="AR46" i="342"/>
  <c r="AR65" i="342" s="1"/>
  <c r="AG105" i="342"/>
  <c r="AG182" i="342" s="1"/>
  <c r="W69" i="340"/>
  <c r="V69" i="340"/>
  <c r="X69" i="340" s="1"/>
  <c r="U69" i="340"/>
  <c r="Y69" i="340"/>
  <c r="AA69" i="340" s="1"/>
  <c r="Y44" i="341"/>
  <c r="AA44" i="341" s="1"/>
  <c r="W44" i="341"/>
  <c r="V44" i="341"/>
  <c r="U44" i="341"/>
  <c r="X44" i="341" s="1"/>
  <c r="S82" i="340"/>
  <c r="T82" i="340" s="1"/>
  <c r="AD23" i="340"/>
  <c r="AE23" i="340"/>
  <c r="AC23" i="340"/>
  <c r="AF23" i="340" s="1"/>
  <c r="AB23" i="340"/>
  <c r="V82" i="341"/>
  <c r="X82" i="341" s="1"/>
  <c r="AB64" i="341"/>
  <c r="AD64" i="341"/>
  <c r="AC64" i="341"/>
  <c r="AF64" i="341" s="1"/>
  <c r="AE64" i="341"/>
  <c r="V99" i="340"/>
  <c r="U111" i="341"/>
  <c r="Y111" i="341"/>
  <c r="AA111" i="341" s="1"/>
  <c r="W111" i="341"/>
  <c r="V111" i="341"/>
  <c r="X111" i="341" s="1"/>
  <c r="BG57" i="342"/>
  <c r="Z57" i="342"/>
  <c r="AZ57" i="342" s="1"/>
  <c r="BA57" i="342"/>
  <c r="AE50" i="340"/>
  <c r="AD50" i="340"/>
  <c r="AC50" i="340" s="1"/>
  <c r="AF50" i="340" s="1"/>
  <c r="AB50" i="340"/>
  <c r="T109" i="340"/>
  <c r="Y106" i="340"/>
  <c r="W106" i="340"/>
  <c r="W109" i="340" s="1"/>
  <c r="U106" i="340"/>
  <c r="U109" i="340" s="1"/>
  <c r="AQ116" i="343"/>
  <c r="Z49" i="343"/>
  <c r="AZ49" i="343" s="1"/>
  <c r="BG49" i="343"/>
  <c r="BA49" i="343"/>
  <c r="AZ110" i="343"/>
  <c r="BA110" i="343" s="1"/>
  <c r="BG101" i="343"/>
  <c r="Z101" i="343"/>
  <c r="AZ101" i="343" s="1"/>
  <c r="BA101" i="343"/>
  <c r="Z55" i="342"/>
  <c r="AZ55" i="342" s="1"/>
  <c r="BA55" i="342" s="1"/>
  <c r="BG55" i="342"/>
  <c r="Y151" i="341"/>
  <c r="AA151" i="341" s="1"/>
  <c r="W151" i="341"/>
  <c r="V151" i="341" s="1"/>
  <c r="X151" i="341" s="1"/>
  <c r="U151" i="341"/>
  <c r="BA178" i="342"/>
  <c r="Z178" i="342"/>
  <c r="AZ178" i="342" s="1"/>
  <c r="BG178" i="342"/>
  <c r="W102" i="341"/>
  <c r="U102" i="341"/>
  <c r="Y102" i="341"/>
  <c r="AA102" i="341" s="1"/>
  <c r="U136" i="341"/>
  <c r="V136" i="341" s="1"/>
  <c r="X136" i="341" s="1"/>
  <c r="Y136" i="341"/>
  <c r="AA136" i="341" s="1"/>
  <c r="W136" i="341"/>
  <c r="Z122" i="342"/>
  <c r="AZ122" i="342" s="1"/>
  <c r="BA122" i="342" s="1"/>
  <c r="BG122" i="342"/>
  <c r="BG77" i="342"/>
  <c r="Z77" i="342"/>
  <c r="AZ77" i="342" s="1"/>
  <c r="BA77" i="342" s="1"/>
  <c r="W67" i="341"/>
  <c r="U67" i="341"/>
  <c r="Y67" i="341"/>
  <c r="AA67" i="341" s="1"/>
  <c r="U93" i="340"/>
  <c r="V93" i="340" s="1"/>
  <c r="X93" i="340" s="1"/>
  <c r="W93" i="340"/>
  <c r="Y93" i="340"/>
  <c r="AA93" i="340" s="1"/>
  <c r="AZ92" i="342"/>
  <c r="BA92" i="342" s="1"/>
  <c r="Z20" i="342"/>
  <c r="AZ20" i="342" s="1"/>
  <c r="BG20" i="342"/>
  <c r="BA20" i="342"/>
  <c r="W120" i="341"/>
  <c r="V120" i="341"/>
  <c r="X120" i="341" s="1"/>
  <c r="U120" i="341"/>
  <c r="Y120" i="341"/>
  <c r="AA120" i="341" s="1"/>
  <c r="BG141" i="342"/>
  <c r="Z141" i="342"/>
  <c r="AZ141" i="342" s="1"/>
  <c r="BA141" i="342" s="1"/>
  <c r="X42" i="341"/>
  <c r="W60" i="340"/>
  <c r="U60" i="340"/>
  <c r="Y60" i="340"/>
  <c r="AA60" i="340" s="1"/>
  <c r="T43" i="341"/>
  <c r="S88" i="341"/>
  <c r="BG30" i="342"/>
  <c r="Z30" i="342"/>
  <c r="AZ30" i="342" s="1"/>
  <c r="BA30" i="342" s="1"/>
  <c r="V113" i="340"/>
  <c r="X113" i="340" s="1"/>
  <c r="X164" i="341"/>
  <c r="AE108" i="340"/>
  <c r="AD108" i="340"/>
  <c r="AC108" i="340"/>
  <c r="AB108" i="340"/>
  <c r="AF108" i="340"/>
  <c r="U123" i="340"/>
  <c r="V123" i="340" s="1"/>
  <c r="X123" i="340" s="1"/>
  <c r="W123" i="340"/>
  <c r="Y123" i="340"/>
  <c r="AA123" i="340" s="1"/>
  <c r="BG62" i="342"/>
  <c r="Z62" i="342"/>
  <c r="AZ62" i="342" s="1"/>
  <c r="BA62" i="342"/>
  <c r="AP138" i="342"/>
  <c r="AP142" i="342" s="1"/>
  <c r="Y49" i="341"/>
  <c r="AA49" i="341" s="1"/>
  <c r="W49" i="341"/>
  <c r="U49" i="341"/>
  <c r="V49" i="341" s="1"/>
  <c r="V30" i="340"/>
  <c r="X30" i="340" s="1"/>
  <c r="S39" i="340"/>
  <c r="I172" i="341"/>
  <c r="I173" i="341" s="1"/>
  <c r="I40" i="341"/>
  <c r="S153" i="341"/>
  <c r="BG31" i="342"/>
  <c r="Z31" i="342"/>
  <c r="AZ31" i="342" s="1"/>
  <c r="BA31" i="342" s="1"/>
  <c r="V160" i="341"/>
  <c r="U160" i="341"/>
  <c r="Y160" i="341"/>
  <c r="AA160" i="341" s="1"/>
  <c r="W160" i="341"/>
  <c r="W170" i="341" s="1"/>
  <c r="AB160" i="340"/>
  <c r="AE160" i="340"/>
  <c r="AD160" i="340"/>
  <c r="AC160" i="340"/>
  <c r="AF160" i="340" s="1"/>
  <c r="J39" i="340"/>
  <c r="J187" i="340" s="1"/>
  <c r="BG145" i="343"/>
  <c r="Z145" i="343"/>
  <c r="AZ145" i="343" s="1"/>
  <c r="BA145" i="343"/>
  <c r="AO45" i="343"/>
  <c r="Y155" i="340"/>
  <c r="AA155" i="340" s="1"/>
  <c r="X155" i="340"/>
  <c r="W155" i="340"/>
  <c r="V155" i="340"/>
  <c r="U155" i="340"/>
  <c r="Y66" i="341"/>
  <c r="AA66" i="341" s="1"/>
  <c r="W66" i="341"/>
  <c r="U66" i="341"/>
  <c r="V66" i="341" s="1"/>
  <c r="Y88" i="340"/>
  <c r="AA88" i="340" s="1"/>
  <c r="W88" i="340"/>
  <c r="U88" i="340"/>
  <c r="BG56" i="342"/>
  <c r="Z56" i="342"/>
  <c r="AZ56" i="342" s="1"/>
  <c r="BA56" i="342"/>
  <c r="Z134" i="343"/>
  <c r="BG134" i="343"/>
  <c r="W161" i="343"/>
  <c r="BG16" i="342"/>
  <c r="Z16" i="342"/>
  <c r="AZ16" i="342" s="1"/>
  <c r="BA16" i="342" s="1"/>
  <c r="BF159" i="342"/>
  <c r="BH159" i="342" s="1"/>
  <c r="BB159" i="342"/>
  <c r="BE159" i="342" s="1"/>
  <c r="BC159" i="342"/>
  <c r="BD159" i="342"/>
  <c r="AO65" i="342"/>
  <c r="W129" i="341"/>
  <c r="V129" i="341" s="1"/>
  <c r="X129" i="341" s="1"/>
  <c r="Y129" i="341"/>
  <c r="AA129" i="341" s="1"/>
  <c r="U129" i="341"/>
  <c r="BA132" i="342"/>
  <c r="BG132" i="342"/>
  <c r="Z136" i="343"/>
  <c r="AZ136" i="343" s="1"/>
  <c r="BG136" i="343"/>
  <c r="BA136" i="343"/>
  <c r="AO142" i="343"/>
  <c r="Z62" i="343"/>
  <c r="AZ62" i="343" s="1"/>
  <c r="BA62" i="343"/>
  <c r="BG62" i="343"/>
  <c r="BG91" i="342"/>
  <c r="Z91" i="342"/>
  <c r="AZ91" i="342" s="1"/>
  <c r="BA91" i="342" s="1"/>
  <c r="Y50" i="341"/>
  <c r="AA50" i="341" s="1"/>
  <c r="W50" i="341"/>
  <c r="U50" i="341"/>
  <c r="V50" i="341" s="1"/>
  <c r="X50" i="341" s="1"/>
  <c r="U130" i="341"/>
  <c r="Y130" i="341"/>
  <c r="AA130" i="341" s="1"/>
  <c r="W130" i="341"/>
  <c r="V130" i="341"/>
  <c r="X130" i="341" s="1"/>
  <c r="BA131" i="342"/>
  <c r="BG131" i="342"/>
  <c r="Z131" i="342"/>
  <c r="AZ131" i="342" s="1"/>
  <c r="Z36" i="342"/>
  <c r="AZ36" i="342" s="1"/>
  <c r="BA36" i="342" s="1"/>
  <c r="BG36" i="342"/>
  <c r="BG144" i="343"/>
  <c r="BA144" i="343"/>
  <c r="Z144" i="343"/>
  <c r="AZ144" i="343" s="1"/>
  <c r="BG99" i="343"/>
  <c r="Z99" i="343"/>
  <c r="AZ99" i="343" s="1"/>
  <c r="BA99" i="343" s="1"/>
  <c r="AP104" i="343"/>
  <c r="AZ92" i="343"/>
  <c r="BA92" i="343" s="1"/>
  <c r="Y46" i="343"/>
  <c r="Q105" i="343"/>
  <c r="Q161" i="343" s="1"/>
  <c r="X164" i="342"/>
  <c r="AL156" i="342"/>
  <c r="Y156" i="342"/>
  <c r="AZ171" i="342"/>
  <c r="BA171" i="342" s="1"/>
  <c r="AJ22" i="343"/>
  <c r="AK22" i="343" s="1"/>
  <c r="AL22" i="343"/>
  <c r="AM22" i="343" s="1"/>
  <c r="Z49" i="342"/>
  <c r="AZ49" i="342" s="1"/>
  <c r="BA49" i="342"/>
  <c r="BG49" i="342"/>
  <c r="AO61" i="342"/>
  <c r="AL61" i="342"/>
  <c r="AM61" i="342" s="1"/>
  <c r="AJ61" i="342"/>
  <c r="AK61" i="342" s="1"/>
  <c r="Y61" i="342"/>
  <c r="BG127" i="342"/>
  <c r="Z127" i="342"/>
  <c r="AZ127" i="342" s="1"/>
  <c r="BA127" i="342"/>
  <c r="BG154" i="343"/>
  <c r="Z154" i="343"/>
  <c r="AZ154" i="343" s="1"/>
  <c r="BA154" i="343" s="1"/>
  <c r="AZ99" i="342"/>
  <c r="BA99" i="342" s="1"/>
  <c r="AL100" i="343"/>
  <c r="AM100" i="343" s="1"/>
  <c r="AJ100" i="343"/>
  <c r="AK100" i="343" s="1"/>
  <c r="Z54" i="342"/>
  <c r="AZ54" i="342" s="1"/>
  <c r="BA54" i="342" s="1"/>
  <c r="BG54" i="342"/>
  <c r="Y21" i="340"/>
  <c r="AA21" i="340" s="1"/>
  <c r="U21" i="340"/>
  <c r="W21" i="340"/>
  <c r="V21" i="340"/>
  <c r="X21" i="340" s="1"/>
  <c r="BA68" i="342"/>
  <c r="BG68" i="342"/>
  <c r="J88" i="341"/>
  <c r="J172" i="341" s="1"/>
  <c r="J173" i="341" s="1"/>
  <c r="Y117" i="340"/>
  <c r="AA117" i="340" s="1"/>
  <c r="V117" i="340"/>
  <c r="X117" i="340" s="1"/>
  <c r="U117" i="340"/>
  <c r="W117" i="340"/>
  <c r="W85" i="341"/>
  <c r="U85" i="341"/>
  <c r="V85" i="341" s="1"/>
  <c r="Y85" i="341"/>
  <c r="AA85" i="341" s="1"/>
  <c r="AM143" i="343"/>
  <c r="AM147" i="343" s="1"/>
  <c r="AO83" i="343"/>
  <c r="Z25" i="343"/>
  <c r="AZ25" i="343" s="1"/>
  <c r="BA25" i="343" s="1"/>
  <c r="BG25" i="343"/>
  <c r="Z143" i="343"/>
  <c r="Y147" i="343"/>
  <c r="BG143" i="343"/>
  <c r="BG147" i="343" s="1"/>
  <c r="BG103" i="343"/>
  <c r="BA103" i="343"/>
  <c r="Z103" i="343"/>
  <c r="AZ103" i="343" s="1"/>
  <c r="BG122" i="343"/>
  <c r="Z122" i="343"/>
  <c r="AZ122" i="343" s="1"/>
  <c r="BA122" i="343" s="1"/>
  <c r="BA98" i="343"/>
  <c r="BG98" i="343"/>
  <c r="Z63" i="343"/>
  <c r="AZ63" i="343" s="1"/>
  <c r="BA63" i="343" s="1"/>
  <c r="BG63" i="343"/>
  <c r="BG170" i="342"/>
  <c r="Z170" i="342"/>
  <c r="AZ170" i="342" s="1"/>
  <c r="BA170" i="342" s="1"/>
  <c r="Z50" i="343"/>
  <c r="AZ50" i="343" s="1"/>
  <c r="BA50" i="343" s="1"/>
  <c r="BG50" i="343"/>
  <c r="AP139" i="342"/>
  <c r="BG110" i="343"/>
  <c r="AR181" i="342"/>
  <c r="Y81" i="342"/>
  <c r="Y135" i="343"/>
  <c r="Y175" i="342"/>
  <c r="W144" i="341"/>
  <c r="Y144" i="341"/>
  <c r="AA144" i="341" s="1"/>
  <c r="U144" i="341"/>
  <c r="Z41" i="343"/>
  <c r="AZ41" i="343" s="1"/>
  <c r="BA41" i="343" s="1"/>
  <c r="BG41" i="343"/>
  <c r="U77" i="341"/>
  <c r="V77" i="341" s="1"/>
  <c r="X77" i="341" s="1"/>
  <c r="Y77" i="341"/>
  <c r="AA77" i="341" s="1"/>
  <c r="W77" i="341"/>
  <c r="AR152" i="342"/>
  <c r="AR155" i="342" s="1"/>
  <c r="W38" i="341"/>
  <c r="V38" i="341"/>
  <c r="X38" i="341" s="1"/>
  <c r="U38" i="341"/>
  <c r="Y38" i="341"/>
  <c r="AA38" i="341" s="1"/>
  <c r="Y80" i="340"/>
  <c r="AA80" i="340" s="1"/>
  <c r="X80" i="340"/>
  <c r="W80" i="340"/>
  <c r="V80" i="340"/>
  <c r="U80" i="340"/>
  <c r="BA88" i="342"/>
  <c r="BG88" i="342"/>
  <c r="Z18" i="342"/>
  <c r="AZ18" i="342" s="1"/>
  <c r="BG18" i="342"/>
  <c r="BA18" i="342"/>
  <c r="Y137" i="340"/>
  <c r="AA137" i="340" s="1"/>
  <c r="W137" i="340"/>
  <c r="U137" i="340"/>
  <c r="V137" i="340"/>
  <c r="X137" i="340" s="1"/>
  <c r="AB80" i="341"/>
  <c r="AD80" i="341"/>
  <c r="AC80" i="341" s="1"/>
  <c r="AF80" i="341" s="1"/>
  <c r="AE80" i="341"/>
  <c r="Z61" i="343"/>
  <c r="AZ61" i="343" s="1"/>
  <c r="BA61" i="343"/>
  <c r="BG61" i="343"/>
  <c r="AZ37" i="342"/>
  <c r="BA37" i="342" s="1"/>
  <c r="AE177" i="340"/>
  <c r="AD177" i="340"/>
  <c r="AC177" i="340"/>
  <c r="AF177" i="340" s="1"/>
  <c r="AB177" i="340"/>
  <c r="J109" i="340"/>
  <c r="BG166" i="342"/>
  <c r="Z166" i="342"/>
  <c r="AZ166" i="342" s="1"/>
  <c r="BA166" i="342" s="1"/>
  <c r="T142" i="340"/>
  <c r="Y141" i="340"/>
  <c r="U141" i="340"/>
  <c r="U142" i="340" s="1"/>
  <c r="W141" i="340"/>
  <c r="W142" i="340" s="1"/>
  <c r="W75" i="341"/>
  <c r="U75" i="341"/>
  <c r="V75" i="341" s="1"/>
  <c r="Y75" i="341"/>
  <c r="AA75" i="341" s="1"/>
  <c r="I187" i="340"/>
  <c r="I189" i="340" s="1"/>
  <c r="V58" i="340"/>
  <c r="X58" i="340" s="1"/>
  <c r="AR142" i="342"/>
  <c r="U27" i="340"/>
  <c r="U39" i="340" s="1"/>
  <c r="Y27" i="340"/>
  <c r="W27" i="340"/>
  <c r="T39" i="340"/>
  <c r="J153" i="341"/>
  <c r="AE145" i="340"/>
  <c r="AD145" i="340"/>
  <c r="AC145" i="340"/>
  <c r="AF145" i="340" s="1"/>
  <c r="AB145" i="340"/>
  <c r="Z71" i="342"/>
  <c r="AZ71" i="342" s="1"/>
  <c r="BG71" i="342"/>
  <c r="BA71" i="342"/>
  <c r="AP143" i="342"/>
  <c r="AP147" i="342" s="1"/>
  <c r="Y136" i="340"/>
  <c r="AA136" i="340" s="1"/>
  <c r="X136" i="340"/>
  <c r="W136" i="340"/>
  <c r="V136" i="340"/>
  <c r="U136" i="340"/>
  <c r="AD127" i="340"/>
  <c r="AC127" i="340"/>
  <c r="AB127" i="340"/>
  <c r="AE127" i="340"/>
  <c r="AF127" i="340"/>
  <c r="J26" i="340"/>
  <c r="BG114" i="343"/>
  <c r="BA114" i="343"/>
  <c r="Z114" i="343"/>
  <c r="AZ114" i="343" s="1"/>
  <c r="BB58" i="343"/>
  <c r="BF58" i="343"/>
  <c r="BH58" i="343" s="1"/>
  <c r="BD58" i="343"/>
  <c r="BE58" i="343" s="1"/>
  <c r="BC58" i="343"/>
  <c r="Y65" i="341"/>
  <c r="AA65" i="341" s="1"/>
  <c r="U65" i="341"/>
  <c r="X65" i="341" s="1"/>
  <c r="W65" i="341"/>
  <c r="V65" i="341"/>
  <c r="AD118" i="340"/>
  <c r="AE118" i="340"/>
  <c r="AB118" i="340"/>
  <c r="AC118" i="340"/>
  <c r="AF118" i="340" s="1"/>
  <c r="AL60" i="342"/>
  <c r="AM60" i="342" s="1"/>
  <c r="AP60" i="342"/>
  <c r="AP65" i="342" s="1"/>
  <c r="AJ60" i="342"/>
  <c r="AK60" i="342" s="1"/>
  <c r="AO65" i="343"/>
  <c r="AQ83" i="342"/>
  <c r="V140" i="341"/>
  <c r="X140" i="341"/>
  <c r="U140" i="341"/>
  <c r="Y140" i="341"/>
  <c r="AA140" i="341" s="1"/>
  <c r="W140" i="341"/>
  <c r="Y169" i="341"/>
  <c r="AA169" i="341" s="1"/>
  <c r="U169" i="341"/>
  <c r="X169" i="341" s="1"/>
  <c r="W169" i="341"/>
  <c r="V169" i="341" s="1"/>
  <c r="U141" i="341"/>
  <c r="W141" i="341"/>
  <c r="Y141" i="341"/>
  <c r="AA141" i="341" s="1"/>
  <c r="U31" i="341"/>
  <c r="V31" i="341" s="1"/>
  <c r="Y31" i="341"/>
  <c r="AA31" i="341" s="1"/>
  <c r="W31" i="341"/>
  <c r="W39" i="341" s="1"/>
  <c r="BG140" i="342"/>
  <c r="Z140" i="342"/>
  <c r="AZ140" i="342" s="1"/>
  <c r="BA140" i="342"/>
  <c r="U54" i="341"/>
  <c r="V54" i="341" s="1"/>
  <c r="Y54" i="341"/>
  <c r="AA54" i="341" s="1"/>
  <c r="W54" i="341"/>
  <c r="Y161" i="341"/>
  <c r="AA161" i="341" s="1"/>
  <c r="W161" i="341"/>
  <c r="U161" i="341"/>
  <c r="V161" i="341" s="1"/>
  <c r="X161" i="341" s="1"/>
  <c r="X160" i="343"/>
  <c r="AL148" i="343"/>
  <c r="Y148" i="343"/>
  <c r="Z150" i="343"/>
  <c r="AZ150" i="343" s="1"/>
  <c r="BG150" i="343"/>
  <c r="BA150" i="343"/>
  <c r="BG54" i="343"/>
  <c r="Z54" i="343"/>
  <c r="AZ54" i="343" s="1"/>
  <c r="BA54" i="343" s="1"/>
  <c r="AL29" i="343"/>
  <c r="AM29" i="343" s="1"/>
  <c r="AJ29" i="343"/>
  <c r="AK29" i="343" s="1"/>
  <c r="Y29" i="343"/>
  <c r="BG126" i="343"/>
  <c r="BA126" i="343"/>
  <c r="Z126" i="343"/>
  <c r="AZ126" i="343" s="1"/>
  <c r="AL148" i="342"/>
  <c r="X155" i="342"/>
  <c r="BG85" i="342"/>
  <c r="Z85" i="342"/>
  <c r="AZ85" i="342" s="1"/>
  <c r="BA85" i="342" s="1"/>
  <c r="Z69" i="342"/>
  <c r="AZ69" i="342" s="1"/>
  <c r="BA69" i="342"/>
  <c r="BG69" i="342"/>
  <c r="AP83" i="342"/>
  <c r="Y119" i="340"/>
  <c r="AA119" i="340" s="1"/>
  <c r="W119" i="340"/>
  <c r="U119" i="340"/>
  <c r="J39" i="341"/>
  <c r="J171" i="341" s="1"/>
  <c r="X159" i="341"/>
  <c r="J126" i="341"/>
  <c r="S125" i="341"/>
  <c r="AZ130" i="342"/>
  <c r="BA130" i="342" s="1"/>
  <c r="AO147" i="343"/>
  <c r="AZ118" i="343"/>
  <c r="BA118" i="343" s="1"/>
  <c r="Z35" i="343"/>
  <c r="AZ35" i="343" s="1"/>
  <c r="BA35" i="343" s="1"/>
  <c r="BG35" i="343"/>
  <c r="AP135" i="343"/>
  <c r="AP137" i="343" s="1"/>
  <c r="Y107" i="341"/>
  <c r="AA107" i="341" s="1"/>
  <c r="W107" i="341"/>
  <c r="U107" i="341"/>
  <c r="V107" i="341" s="1"/>
  <c r="X107" i="341" s="1"/>
  <c r="S155" i="341"/>
  <c r="J156" i="341"/>
  <c r="Y182" i="340"/>
  <c r="AA182" i="340" s="1"/>
  <c r="W182" i="340"/>
  <c r="U182" i="340"/>
  <c r="V182" i="340" s="1"/>
  <c r="AQ147" i="343"/>
  <c r="AP45" i="343"/>
  <c r="AK66" i="343"/>
  <c r="AZ66" i="343" s="1"/>
  <c r="W156" i="340"/>
  <c r="V156" i="340"/>
  <c r="X156" i="340" s="1"/>
  <c r="U156" i="340"/>
  <c r="Y156" i="340"/>
  <c r="AA156" i="340" s="1"/>
  <c r="Z187" i="340"/>
  <c r="K182" i="342"/>
  <c r="Y150" i="340"/>
  <c r="AA150" i="340" s="1"/>
  <c r="W150" i="340"/>
  <c r="U150" i="340"/>
  <c r="AQ147" i="342"/>
  <c r="AL81" i="343"/>
  <c r="AM81" i="343" s="1"/>
  <c r="AJ81" i="343"/>
  <c r="AK81" i="343" s="1"/>
  <c r="AZ130" i="343"/>
  <c r="BA130" i="343" s="1"/>
  <c r="AJ78" i="343"/>
  <c r="AK78" i="343" s="1"/>
  <c r="AL78" i="343"/>
  <c r="AM78" i="343" s="1"/>
  <c r="Y78" i="343"/>
  <c r="BG53" i="343"/>
  <c r="Z53" i="343"/>
  <c r="AZ53" i="343" s="1"/>
  <c r="BA53" i="343" s="1"/>
  <c r="AP164" i="342"/>
  <c r="AL155" i="343"/>
  <c r="AM155" i="343" s="1"/>
  <c r="Y155" i="343"/>
  <c r="AO124" i="343"/>
  <c r="AJ55" i="343"/>
  <c r="AK55" i="343" s="1"/>
  <c r="AL55" i="343"/>
  <c r="AM55" i="343" s="1"/>
  <c r="BG96" i="343"/>
  <c r="BA96" i="343"/>
  <c r="Z96" i="343"/>
  <c r="AZ96" i="343" s="1"/>
  <c r="Z131" i="343"/>
  <c r="AZ131" i="343" s="1"/>
  <c r="BG131" i="343"/>
  <c r="BA131" i="343"/>
  <c r="BG134" i="342"/>
  <c r="BG137" i="342" s="1"/>
  <c r="Y137" i="342"/>
  <c r="Z134" i="342"/>
  <c r="AQ83" i="343"/>
  <c r="BG135" i="342"/>
  <c r="Z135" i="342"/>
  <c r="AZ135" i="342" s="1"/>
  <c r="BA135" i="342" s="1"/>
  <c r="Y75" i="342"/>
  <c r="Y152" i="342"/>
  <c r="AZ172" i="342"/>
  <c r="BA172" i="342" s="1"/>
  <c r="Z15" i="343"/>
  <c r="AZ15" i="343" s="1"/>
  <c r="BA15" i="343" s="1"/>
  <c r="BG15" i="343"/>
  <c r="W157" i="340"/>
  <c r="U157" i="340"/>
  <c r="V157" i="340" s="1"/>
  <c r="Y157" i="340"/>
  <c r="AA157" i="340" s="1"/>
  <c r="AZ40" i="343"/>
  <c r="X194" i="342"/>
  <c r="AJ15" i="342"/>
  <c r="AK15" i="342" s="1"/>
  <c r="AL15" i="342"/>
  <c r="AM15" i="342" s="1"/>
  <c r="Y15" i="342"/>
  <c r="AK84" i="342"/>
  <c r="BA44" i="343"/>
  <c r="BG44" i="343"/>
  <c r="Z44" i="343"/>
  <c r="AZ44" i="343" s="1"/>
  <c r="AL22" i="342"/>
  <c r="AM22" i="342" s="1"/>
  <c r="AJ22" i="342"/>
  <c r="AK22" i="342" s="1"/>
  <c r="Y22" i="342"/>
  <c r="AF125" i="340"/>
  <c r="AE125" i="340"/>
  <c r="AB125" i="340"/>
  <c r="AD125" i="340"/>
  <c r="AC125" i="340"/>
  <c r="AP112" i="342"/>
  <c r="BG87" i="343"/>
  <c r="Z87" i="343"/>
  <c r="AZ87" i="343" s="1"/>
  <c r="BA87" i="343"/>
  <c r="BG67" i="342"/>
  <c r="Z67" i="342"/>
  <c r="AZ67" i="342" s="1"/>
  <c r="BA67" i="342"/>
  <c r="Y65" i="340"/>
  <c r="AA65" i="340" s="1"/>
  <c r="W65" i="340"/>
  <c r="U65" i="340"/>
  <c r="AE58" i="341"/>
  <c r="AB58" i="341"/>
  <c r="AD58" i="341"/>
  <c r="AC58" i="341" s="1"/>
  <c r="AF58" i="341" s="1"/>
  <c r="V112" i="340"/>
  <c r="AZ163" i="342"/>
  <c r="BA163" i="342" s="1"/>
  <c r="AF42" i="341"/>
  <c r="J104" i="340"/>
  <c r="AE29" i="341"/>
  <c r="AD29" i="341"/>
  <c r="AC29" i="341"/>
  <c r="AF29" i="341" s="1"/>
  <c r="AB29" i="341"/>
  <c r="AE30" i="340"/>
  <c r="AD30" i="340"/>
  <c r="AC30" i="340" s="1"/>
  <c r="AF30" i="340" s="1"/>
  <c r="AB30" i="340"/>
  <c r="AR147" i="342"/>
  <c r="Y154" i="340"/>
  <c r="AA154" i="340" s="1"/>
  <c r="W154" i="340"/>
  <c r="U154" i="340"/>
  <c r="V154" i="340" s="1"/>
  <c r="X154" i="340" s="1"/>
  <c r="C12" i="154"/>
  <c r="D499" i="297"/>
  <c r="H484" i="297"/>
  <c r="H483" i="297"/>
  <c r="D502" i="297"/>
  <c r="D493" i="297"/>
  <c r="D492" i="297"/>
  <c r="G570" i="297"/>
  <c r="F570" i="297"/>
  <c r="G569" i="297"/>
  <c r="F569" i="297"/>
  <c r="G568" i="297"/>
  <c r="F568" i="297"/>
  <c r="F567" i="297"/>
  <c r="F566" i="297"/>
  <c r="G565" i="297"/>
  <c r="F565" i="297"/>
  <c r="G564" i="297"/>
  <c r="F564" i="297"/>
  <c r="D533" i="297"/>
  <c r="D500" i="297"/>
  <c r="D496" i="297"/>
  <c r="BF170" i="342" l="1"/>
  <c r="BH170" i="342" s="1"/>
  <c r="BC170" i="342"/>
  <c r="BB170" i="342"/>
  <c r="X120" i="340"/>
  <c r="BF35" i="343"/>
  <c r="BH35" i="343" s="1"/>
  <c r="BC35" i="343"/>
  <c r="BE35" i="343" s="1"/>
  <c r="BB35" i="343"/>
  <c r="BD35" i="343" s="1"/>
  <c r="BD54" i="342"/>
  <c r="BC54" i="342"/>
  <c r="BF54" i="342"/>
  <c r="BH54" i="342" s="1"/>
  <c r="BB54" i="342"/>
  <c r="BE54" i="342" s="1"/>
  <c r="BF36" i="342"/>
  <c r="BH36" i="342" s="1"/>
  <c r="BB36" i="342"/>
  <c r="BD36" i="342" s="1"/>
  <c r="BC36" i="342"/>
  <c r="BF26" i="342"/>
  <c r="BH26" i="342" s="1"/>
  <c r="BC26" i="342"/>
  <c r="BB26" i="342"/>
  <c r="BF58" i="342"/>
  <c r="BH58" i="342" s="1"/>
  <c r="BC58" i="342"/>
  <c r="BB58" i="342"/>
  <c r="BD58" i="342" s="1"/>
  <c r="BE58" i="342" s="1"/>
  <c r="BF72" i="342"/>
  <c r="BH72" i="342" s="1"/>
  <c r="BC72" i="342"/>
  <c r="BD72" i="342" s="1"/>
  <c r="BE72" i="342" s="1"/>
  <c r="BB72" i="342"/>
  <c r="X22" i="340"/>
  <c r="X77" i="340"/>
  <c r="BC55" i="342"/>
  <c r="BB55" i="342"/>
  <c r="BD55" i="342" s="1"/>
  <c r="BE55" i="342" s="1"/>
  <c r="BF55" i="342"/>
  <c r="BH55" i="342" s="1"/>
  <c r="BC53" i="343"/>
  <c r="BD53" i="343" s="1"/>
  <c r="BE53" i="343" s="1"/>
  <c r="BF53" i="343"/>
  <c r="BH53" i="343" s="1"/>
  <c r="BB53" i="343"/>
  <c r="BC122" i="342"/>
  <c r="BF122" i="342"/>
  <c r="BH122" i="342" s="1"/>
  <c r="BB122" i="342"/>
  <c r="BB93" i="343"/>
  <c r="BE93" i="343" s="1"/>
  <c r="BC93" i="343"/>
  <c r="BF93" i="343"/>
  <c r="BH93" i="343" s="1"/>
  <c r="BD93" i="343"/>
  <c r="BF39" i="342"/>
  <c r="BH39" i="342" s="1"/>
  <c r="BC39" i="342"/>
  <c r="BD39" i="342" s="1"/>
  <c r="BE39" i="342" s="1"/>
  <c r="BB39" i="342"/>
  <c r="BF180" i="342"/>
  <c r="BH180" i="342" s="1"/>
  <c r="BC180" i="342"/>
  <c r="BD180" i="342" s="1"/>
  <c r="BE180" i="342" s="1"/>
  <c r="BB180" i="342"/>
  <c r="BB67" i="343"/>
  <c r="BD67" i="343" s="1"/>
  <c r="BF67" i="343"/>
  <c r="BH67" i="343" s="1"/>
  <c r="BC67" i="343"/>
  <c r="BE48" i="342"/>
  <c r="BF63" i="343"/>
  <c r="BH63" i="343" s="1"/>
  <c r="BE63" i="343"/>
  <c r="BC63" i="343"/>
  <c r="BD63" i="343"/>
  <c r="BB63" i="343"/>
  <c r="BC80" i="342"/>
  <c r="BB80" i="342"/>
  <c r="BD80" i="342" s="1"/>
  <c r="BE80" i="342" s="1"/>
  <c r="BF80" i="342"/>
  <c r="BH80" i="342" s="1"/>
  <c r="BC52" i="343"/>
  <c r="BB52" i="343"/>
  <c r="BF52" i="343"/>
  <c r="BH52" i="343" s="1"/>
  <c r="BD103" i="342"/>
  <c r="BE103" i="342"/>
  <c r="BC103" i="342"/>
  <c r="BF103" i="342"/>
  <c r="BH103" i="342" s="1"/>
  <c r="BB103" i="342"/>
  <c r="BC111" i="342"/>
  <c r="BD111" i="342" s="1"/>
  <c r="BE111" i="342" s="1"/>
  <c r="BB111" i="342"/>
  <c r="BF111" i="342"/>
  <c r="BH111" i="342" s="1"/>
  <c r="BC69" i="343"/>
  <c r="BF69" i="343"/>
  <c r="BH69" i="343" s="1"/>
  <c r="BB69" i="343"/>
  <c r="BD69" i="343" s="1"/>
  <c r="BF56" i="343"/>
  <c r="BH56" i="343" s="1"/>
  <c r="BD56" i="343"/>
  <c r="BC56" i="343"/>
  <c r="BB56" i="343"/>
  <c r="BE56" i="343" s="1"/>
  <c r="BC154" i="342"/>
  <c r="BF154" i="342"/>
  <c r="BH154" i="342" s="1"/>
  <c r="BB154" i="342"/>
  <c r="BD154" i="342" s="1"/>
  <c r="X132" i="341"/>
  <c r="AQ182" i="342"/>
  <c r="BF135" i="342"/>
  <c r="BH135" i="342" s="1"/>
  <c r="BC135" i="342"/>
  <c r="BB135" i="342"/>
  <c r="BD135" i="342" s="1"/>
  <c r="BF25" i="342"/>
  <c r="BH25" i="342" s="1"/>
  <c r="BB25" i="342"/>
  <c r="BD25" i="342" s="1"/>
  <c r="BC25" i="342"/>
  <c r="X144" i="341"/>
  <c r="BF76" i="342"/>
  <c r="BH76" i="342" s="1"/>
  <c r="BD76" i="342"/>
  <c r="BE76" i="342" s="1"/>
  <c r="BC76" i="342"/>
  <c r="BB76" i="342"/>
  <c r="BC119" i="342"/>
  <c r="BF119" i="342"/>
  <c r="BH119" i="342" s="1"/>
  <c r="BB119" i="342"/>
  <c r="BB20" i="343"/>
  <c r="BF20" i="343"/>
  <c r="BH20" i="343" s="1"/>
  <c r="BD20" i="343"/>
  <c r="BC20" i="343"/>
  <c r="BE20" i="343" s="1"/>
  <c r="BC47" i="343"/>
  <c r="BD47" i="343" s="1"/>
  <c r="BF47" i="343"/>
  <c r="BH47" i="343" s="1"/>
  <c r="BB47" i="343"/>
  <c r="BE47" i="343" s="1"/>
  <c r="BB28" i="342"/>
  <c r="BF28" i="342"/>
  <c r="BH28" i="342" s="1"/>
  <c r="BD28" i="342"/>
  <c r="BC28" i="342"/>
  <c r="BE28" i="342" s="1"/>
  <c r="X135" i="340"/>
  <c r="X48" i="341"/>
  <c r="BB38" i="342"/>
  <c r="BF38" i="342"/>
  <c r="BH38" i="342" s="1"/>
  <c r="BC38" i="342"/>
  <c r="X108" i="341"/>
  <c r="BF158" i="342"/>
  <c r="BH158" i="342" s="1"/>
  <c r="BB158" i="342"/>
  <c r="BD158" i="342" s="1"/>
  <c r="BE158" i="342" s="1"/>
  <c r="BC158" i="342"/>
  <c r="X101" i="340"/>
  <c r="BC54" i="343"/>
  <c r="BB54" i="343"/>
  <c r="BF54" i="343"/>
  <c r="BH54" i="343" s="1"/>
  <c r="BB146" i="342"/>
  <c r="BF146" i="342"/>
  <c r="BH146" i="342" s="1"/>
  <c r="BC146" i="342"/>
  <c r="X73" i="341"/>
  <c r="BC151" i="342"/>
  <c r="BB151" i="342"/>
  <c r="BF151" i="342"/>
  <c r="BH151" i="342" s="1"/>
  <c r="BD151" i="342"/>
  <c r="BE151" i="342" s="1"/>
  <c r="BA66" i="343"/>
  <c r="BC41" i="343"/>
  <c r="BF41" i="343"/>
  <c r="BH41" i="343" s="1"/>
  <c r="BB41" i="343"/>
  <c r="BD41" i="343" s="1"/>
  <c r="BE41" i="343" s="1"/>
  <c r="BC110" i="343"/>
  <c r="BD110" i="343"/>
  <c r="BF110" i="343"/>
  <c r="BH110" i="343" s="1"/>
  <c r="BB110" i="343"/>
  <c r="BE110" i="343" s="1"/>
  <c r="BF160" i="342"/>
  <c r="BH160" i="342" s="1"/>
  <c r="BC160" i="342"/>
  <c r="BB160" i="342"/>
  <c r="BD160" i="342" s="1"/>
  <c r="BE160" i="342" s="1"/>
  <c r="BF97" i="343"/>
  <c r="BH97" i="343" s="1"/>
  <c r="BC97" i="343"/>
  <c r="BB97" i="343"/>
  <c r="BD97" i="343"/>
  <c r="BE97" i="343"/>
  <c r="BC30" i="342"/>
  <c r="BF30" i="342"/>
  <c r="BH30" i="342" s="1"/>
  <c r="BB30" i="342"/>
  <c r="BD30" i="342" s="1"/>
  <c r="BE30" i="342" s="1"/>
  <c r="X179" i="340"/>
  <c r="BF79" i="342"/>
  <c r="BH79" i="342" s="1"/>
  <c r="BC79" i="342"/>
  <c r="BB79" i="342"/>
  <c r="BD79" i="342" s="1"/>
  <c r="BF162" i="342"/>
  <c r="BH162" i="342" s="1"/>
  <c r="BC162" i="342"/>
  <c r="BB162" i="342"/>
  <c r="BD162" i="342" s="1"/>
  <c r="BF35" i="342"/>
  <c r="BH35" i="342" s="1"/>
  <c r="BC35" i="342"/>
  <c r="BB35" i="342"/>
  <c r="BD15" i="343"/>
  <c r="BC15" i="343"/>
  <c r="BE15" i="343" s="1"/>
  <c r="BB15" i="343"/>
  <c r="BF15" i="343"/>
  <c r="BH15" i="343" s="1"/>
  <c r="BC91" i="342"/>
  <c r="BB91" i="342"/>
  <c r="BF91" i="342"/>
  <c r="BH91" i="342" s="1"/>
  <c r="BD91" i="342"/>
  <c r="BE91" i="342" s="1"/>
  <c r="BC179" i="342"/>
  <c r="BF179" i="342"/>
  <c r="BH179" i="342" s="1"/>
  <c r="BB179" i="342"/>
  <c r="BE109" i="342"/>
  <c r="BF109" i="342"/>
  <c r="BH109" i="342" s="1"/>
  <c r="BD109" i="342"/>
  <c r="BC109" i="342"/>
  <c r="BB109" i="342"/>
  <c r="BF97" i="342"/>
  <c r="BH97" i="342" s="1"/>
  <c r="BD97" i="342"/>
  <c r="BB97" i="342"/>
  <c r="BE97" i="342" s="1"/>
  <c r="BC97" i="342"/>
  <c r="BB24" i="343"/>
  <c r="BE24" i="343" s="1"/>
  <c r="BC24" i="343"/>
  <c r="BF24" i="343"/>
  <c r="BH24" i="343" s="1"/>
  <c r="BD24" i="343"/>
  <c r="BC32" i="342"/>
  <c r="BD32" i="342" s="1"/>
  <c r="BF32" i="342"/>
  <c r="BH32" i="342" s="1"/>
  <c r="BB32" i="342"/>
  <c r="BE32" i="342" s="1"/>
  <c r="BC102" i="343"/>
  <c r="BF102" i="343"/>
  <c r="BH102" i="343" s="1"/>
  <c r="BB102" i="343"/>
  <c r="BF161" i="342"/>
  <c r="BH161" i="342" s="1"/>
  <c r="BD161" i="342"/>
  <c r="BE161" i="342" s="1"/>
  <c r="BB161" i="342"/>
  <c r="BC161" i="342"/>
  <c r="BD26" i="343"/>
  <c r="BE26" i="343" s="1"/>
  <c r="BF26" i="343"/>
  <c r="BH26" i="343" s="1"/>
  <c r="BB26" i="343"/>
  <c r="BC26" i="343"/>
  <c r="BF108" i="343"/>
  <c r="BH108" i="343" s="1"/>
  <c r="BC108" i="343"/>
  <c r="BB108" i="343"/>
  <c r="BD108" i="343" s="1"/>
  <c r="BB140" i="343"/>
  <c r="BC140" i="343"/>
  <c r="BD140" i="343"/>
  <c r="BE140" i="343" s="1"/>
  <c r="BF140" i="343"/>
  <c r="BH140" i="343" s="1"/>
  <c r="X91" i="340"/>
  <c r="BB113" i="342"/>
  <c r="BD113" i="342" s="1"/>
  <c r="BE113" i="342" s="1"/>
  <c r="BC113" i="342"/>
  <c r="BF113" i="342"/>
  <c r="BH113" i="342" s="1"/>
  <c r="X100" i="341"/>
  <c r="BC154" i="343"/>
  <c r="BF154" i="343"/>
  <c r="BH154" i="343" s="1"/>
  <c r="BB154" i="343"/>
  <c r="BE122" i="343"/>
  <c r="BC122" i="343"/>
  <c r="BD122" i="343"/>
  <c r="BB122" i="343"/>
  <c r="BF122" i="343"/>
  <c r="BH122" i="343" s="1"/>
  <c r="BB91" i="343"/>
  <c r="BE91" i="343" s="1"/>
  <c r="BF91" i="343"/>
  <c r="BH91" i="343" s="1"/>
  <c r="BC91" i="343"/>
  <c r="BD91" i="343" s="1"/>
  <c r="BC136" i="342"/>
  <c r="BF136" i="342"/>
  <c r="BH136" i="342" s="1"/>
  <c r="BB136" i="342"/>
  <c r="BD136" i="342" s="1"/>
  <c r="BE99" i="343"/>
  <c r="BC99" i="343"/>
  <c r="BD99" i="343"/>
  <c r="BF99" i="343"/>
  <c r="BH99" i="343" s="1"/>
  <c r="BB99" i="343"/>
  <c r="BC38" i="343"/>
  <c r="BB38" i="343"/>
  <c r="BF38" i="343"/>
  <c r="BH38" i="343" s="1"/>
  <c r="BC42" i="342"/>
  <c r="BB42" i="342"/>
  <c r="BF42" i="342"/>
  <c r="BH42" i="342" s="1"/>
  <c r="BB30" i="343"/>
  <c r="BD30" i="343" s="1"/>
  <c r="BF30" i="343"/>
  <c r="BH30" i="343" s="1"/>
  <c r="BC30" i="343"/>
  <c r="BC51" i="343"/>
  <c r="BF51" i="343"/>
  <c r="BH51" i="343" s="1"/>
  <c r="BB51" i="343"/>
  <c r="BC16" i="343"/>
  <c r="BF16" i="343"/>
  <c r="BH16" i="343" s="1"/>
  <c r="BB16" i="343"/>
  <c r="BD16" i="343" s="1"/>
  <c r="BE16" i="343" s="1"/>
  <c r="X159" i="340"/>
  <c r="X142" i="341"/>
  <c r="X146" i="341"/>
  <c r="BE57" i="343"/>
  <c r="BF85" i="342"/>
  <c r="BH85" i="342" s="1"/>
  <c r="BC85" i="342"/>
  <c r="BB85" i="342"/>
  <c r="BD85" i="342" s="1"/>
  <c r="BE85" i="342" s="1"/>
  <c r="BB55" i="343"/>
  <c r="BD55" i="343" s="1"/>
  <c r="BE55" i="343" s="1"/>
  <c r="BC55" i="343"/>
  <c r="BF55" i="343"/>
  <c r="BH55" i="343" s="1"/>
  <c r="BB166" i="342"/>
  <c r="BC166" i="342"/>
  <c r="BF166" i="342"/>
  <c r="BH166" i="342" s="1"/>
  <c r="BF50" i="343"/>
  <c r="BH50" i="343" s="1"/>
  <c r="BB50" i="343"/>
  <c r="BD50" i="343" s="1"/>
  <c r="BC50" i="343"/>
  <c r="BF25" i="343"/>
  <c r="BH25" i="343" s="1"/>
  <c r="BB25" i="343"/>
  <c r="BD25" i="343" s="1"/>
  <c r="BC25" i="343"/>
  <c r="BF16" i="342"/>
  <c r="BH16" i="342" s="1"/>
  <c r="BC16" i="342"/>
  <c r="BD16" i="342" s="1"/>
  <c r="BE16" i="342" s="1"/>
  <c r="BB16" i="342"/>
  <c r="BF31" i="342"/>
  <c r="BH31" i="342" s="1"/>
  <c r="BB31" i="342"/>
  <c r="BE31" i="342" s="1"/>
  <c r="BC31" i="342"/>
  <c r="BD31" i="342" s="1"/>
  <c r="BB141" i="342"/>
  <c r="BC141" i="342"/>
  <c r="BF141" i="342"/>
  <c r="BH141" i="342" s="1"/>
  <c r="BF77" i="342"/>
  <c r="BH77" i="342" s="1"/>
  <c r="BD77" i="342"/>
  <c r="BE77" i="342" s="1"/>
  <c r="BC77" i="342"/>
  <c r="BB77" i="342"/>
  <c r="BF129" i="342"/>
  <c r="BH129" i="342" s="1"/>
  <c r="BC129" i="342"/>
  <c r="BB129" i="342"/>
  <c r="BD129" i="342"/>
  <c r="BE129" i="342" s="1"/>
  <c r="BB95" i="343"/>
  <c r="BD95" i="343" s="1"/>
  <c r="BE95" i="343" s="1"/>
  <c r="BC95" i="343"/>
  <c r="BF95" i="343"/>
  <c r="BH95" i="343" s="1"/>
  <c r="BC149" i="343"/>
  <c r="BD149" i="343" s="1"/>
  <c r="BF149" i="343"/>
  <c r="BH149" i="343" s="1"/>
  <c r="BB149" i="343"/>
  <c r="BE149" i="343" s="1"/>
  <c r="BB62" i="342"/>
  <c r="BF62" i="342"/>
  <c r="BH62" i="342" s="1"/>
  <c r="BC62" i="342"/>
  <c r="AB166" i="340"/>
  <c r="AE166" i="340"/>
  <c r="AD166" i="340"/>
  <c r="AC166" i="340" s="1"/>
  <c r="AF166" i="340" s="1"/>
  <c r="AB117" i="340"/>
  <c r="AE117" i="340"/>
  <c r="AD117" i="340"/>
  <c r="AC117" i="340" s="1"/>
  <c r="AF117" i="340" s="1"/>
  <c r="V167" i="340"/>
  <c r="X167" i="340" s="1"/>
  <c r="BF145" i="343"/>
  <c r="BH145" i="343" s="1"/>
  <c r="BD145" i="343"/>
  <c r="BC145" i="343"/>
  <c r="BE145" i="343" s="1"/>
  <c r="BB145" i="343"/>
  <c r="AE84" i="341"/>
  <c r="AD84" i="341"/>
  <c r="AC84" i="341" s="1"/>
  <c r="AF84" i="341" s="1"/>
  <c r="AB84" i="341"/>
  <c r="BD23" i="343"/>
  <c r="BE23" i="343" s="1"/>
  <c r="BG46" i="343"/>
  <c r="Y65" i="343"/>
  <c r="Z46" i="343"/>
  <c r="X157" i="340"/>
  <c r="AE156" i="340"/>
  <c r="AD156" i="340"/>
  <c r="AC156" i="340" s="1"/>
  <c r="AF156" i="340" s="1"/>
  <c r="AB156" i="340"/>
  <c r="AB65" i="341"/>
  <c r="AE65" i="341"/>
  <c r="AD65" i="341"/>
  <c r="AC65" i="341" s="1"/>
  <c r="AF65" i="341" s="1"/>
  <c r="BF144" i="343"/>
  <c r="BH144" i="343" s="1"/>
  <c r="BD144" i="343"/>
  <c r="BE144" i="343" s="1"/>
  <c r="BB144" i="343"/>
  <c r="BC144" i="343"/>
  <c r="X160" i="341"/>
  <c r="AE120" i="341"/>
  <c r="AD120" i="341"/>
  <c r="AC120" i="341" s="1"/>
  <c r="AF120" i="341" s="1"/>
  <c r="AB120" i="341"/>
  <c r="AB131" i="340"/>
  <c r="AE131" i="340"/>
  <c r="AD131" i="340"/>
  <c r="AC131" i="340"/>
  <c r="AF131" i="340" s="1"/>
  <c r="BF24" i="342"/>
  <c r="BH24" i="342" s="1"/>
  <c r="BC24" i="342"/>
  <c r="BB24" i="342"/>
  <c r="BD24" i="342" s="1"/>
  <c r="BE24" i="342" s="1"/>
  <c r="BG14" i="342"/>
  <c r="Z14" i="342"/>
  <c r="Y45" i="342"/>
  <c r="AK86" i="343"/>
  <c r="AK104" i="343" s="1"/>
  <c r="AJ104" i="343"/>
  <c r="U174" i="340"/>
  <c r="U186" i="340" s="1"/>
  <c r="Y174" i="340"/>
  <c r="W174" i="340"/>
  <c r="W186" i="340" s="1"/>
  <c r="T186" i="340"/>
  <c r="AJ45" i="342"/>
  <c r="AK14" i="342"/>
  <c r="AK45" i="342" s="1"/>
  <c r="BC153" i="342"/>
  <c r="BB153" i="342"/>
  <c r="BF153" i="342"/>
  <c r="BH153" i="342" s="1"/>
  <c r="BB17" i="343"/>
  <c r="BC17" i="343"/>
  <c r="BF17" i="343"/>
  <c r="BH17" i="343" s="1"/>
  <c r="X114" i="340"/>
  <c r="BF44" i="342"/>
  <c r="BH44" i="342" s="1"/>
  <c r="BB44" i="342"/>
  <c r="BD44" i="342" s="1"/>
  <c r="BE44" i="342" s="1"/>
  <c r="BC44" i="342"/>
  <c r="BF70" i="343"/>
  <c r="BH70" i="343" s="1"/>
  <c r="BC70" i="343"/>
  <c r="BB70" i="343"/>
  <c r="BD70" i="343" s="1"/>
  <c r="AA39" i="341"/>
  <c r="AE27" i="341"/>
  <c r="AC27" i="341"/>
  <c r="AF27" i="341" s="1"/>
  <c r="AD27" i="341"/>
  <c r="AB27" i="341"/>
  <c r="Z80" i="343"/>
  <c r="AZ80" i="343" s="1"/>
  <c r="BA80" i="343" s="1"/>
  <c r="BG80" i="343"/>
  <c r="BG83" i="343" s="1"/>
  <c r="BC153" i="343"/>
  <c r="BB153" i="343"/>
  <c r="BF153" i="343"/>
  <c r="BH153" i="343" s="1"/>
  <c r="AE165" i="341"/>
  <c r="AD165" i="341"/>
  <c r="AC165" i="341" s="1"/>
  <c r="AF165" i="341" s="1"/>
  <c r="AB165" i="341"/>
  <c r="AL116" i="342"/>
  <c r="AM106" i="342"/>
  <c r="AM116" i="342" s="1"/>
  <c r="BC120" i="343"/>
  <c r="BD120" i="343"/>
  <c r="BE120" i="343"/>
  <c r="BB120" i="343"/>
  <c r="BF120" i="343"/>
  <c r="BH120" i="343" s="1"/>
  <c r="BA168" i="342"/>
  <c r="BG168" i="342"/>
  <c r="AE183" i="340"/>
  <c r="AD183" i="340"/>
  <c r="AC183" i="340"/>
  <c r="AF183" i="340" s="1"/>
  <c r="AB183" i="340"/>
  <c r="X98" i="341"/>
  <c r="V159" i="340"/>
  <c r="AD34" i="340"/>
  <c r="AC34" i="340" s="1"/>
  <c r="AF34" i="340" s="1"/>
  <c r="AB34" i="340"/>
  <c r="AE34" i="340"/>
  <c r="AD147" i="341"/>
  <c r="AC147" i="341"/>
  <c r="AF147" i="341" s="1"/>
  <c r="AB147" i="341"/>
  <c r="AE147" i="341"/>
  <c r="AB33" i="340"/>
  <c r="AE33" i="340"/>
  <c r="AD33" i="340"/>
  <c r="AC33" i="340" s="1"/>
  <c r="AF33" i="340" s="1"/>
  <c r="BL110" i="342"/>
  <c r="BK110" i="342"/>
  <c r="BJ110" i="342" s="1"/>
  <c r="BM110" i="342" s="1"/>
  <c r="BI110" i="342"/>
  <c r="BE50" i="342"/>
  <c r="AB142" i="341"/>
  <c r="AE142" i="341"/>
  <c r="AD142" i="341"/>
  <c r="AC142" i="341" s="1"/>
  <c r="AF142" i="341" s="1"/>
  <c r="AD95" i="340"/>
  <c r="AB95" i="340"/>
  <c r="AC95" i="340"/>
  <c r="AF95" i="340" s="1"/>
  <c r="AE95" i="340"/>
  <c r="V45" i="340"/>
  <c r="X45" i="340" s="1"/>
  <c r="AE158" i="340"/>
  <c r="AB158" i="340"/>
  <c r="AD158" i="340"/>
  <c r="AC158" i="340"/>
  <c r="AF158" i="340" s="1"/>
  <c r="AE50" i="341"/>
  <c r="AD50" i="341"/>
  <c r="AC50" i="341" s="1"/>
  <c r="AF50" i="341" s="1"/>
  <c r="AB50" i="341"/>
  <c r="BC102" i="342"/>
  <c r="BD102" i="342"/>
  <c r="BF102" i="342"/>
  <c r="BH102" i="342" s="1"/>
  <c r="BE102" i="342"/>
  <c r="BB102" i="342"/>
  <c r="AE54" i="341"/>
  <c r="AD54" i="341"/>
  <c r="AB54" i="341"/>
  <c r="AC54" i="341"/>
  <c r="AF54" i="341" s="1"/>
  <c r="S26" i="340"/>
  <c r="Z61" i="342"/>
  <c r="AZ61" i="342" s="1"/>
  <c r="BA61" i="342" s="1"/>
  <c r="BG61" i="342"/>
  <c r="AL155" i="342"/>
  <c r="AM148" i="342"/>
  <c r="AM155" i="342" s="1"/>
  <c r="X31" i="341"/>
  <c r="AE157" i="340"/>
  <c r="AB157" i="340"/>
  <c r="AD157" i="340"/>
  <c r="AC157" i="340" s="1"/>
  <c r="AF157" i="340" s="1"/>
  <c r="S156" i="341"/>
  <c r="T155" i="341"/>
  <c r="AD31" i="341"/>
  <c r="AC31" i="341"/>
  <c r="AF31" i="341" s="1"/>
  <c r="AB31" i="341"/>
  <c r="AE31" i="341"/>
  <c r="Y39" i="340"/>
  <c r="AA27" i="340"/>
  <c r="AA141" i="340"/>
  <c r="Y142" i="340"/>
  <c r="BF99" i="342"/>
  <c r="BH99" i="342" s="1"/>
  <c r="BC99" i="342"/>
  <c r="BB99" i="342"/>
  <c r="Z137" i="343"/>
  <c r="AZ134" i="343"/>
  <c r="AJ83" i="342"/>
  <c r="V67" i="341"/>
  <c r="X67" i="341" s="1"/>
  <c r="V102" i="341"/>
  <c r="X102" i="341" s="1"/>
  <c r="V76" i="341"/>
  <c r="X76" i="341" s="1"/>
  <c r="AC32" i="341"/>
  <c r="AF32" i="341" s="1"/>
  <c r="AB32" i="341"/>
  <c r="AE32" i="341"/>
  <c r="AD32" i="341"/>
  <c r="X106" i="341"/>
  <c r="AE114" i="340"/>
  <c r="AD114" i="340"/>
  <c r="AC114" i="340" s="1"/>
  <c r="AF114" i="340" s="1"/>
  <c r="AB114" i="340"/>
  <c r="BG128" i="342"/>
  <c r="Z128" i="342"/>
  <c r="AZ128" i="342" s="1"/>
  <c r="BA128" i="342"/>
  <c r="Y39" i="341"/>
  <c r="Z94" i="342"/>
  <c r="AZ94" i="342" s="1"/>
  <c r="BA94" i="342" s="1"/>
  <c r="BG94" i="342"/>
  <c r="X138" i="341"/>
  <c r="BB123" i="342"/>
  <c r="BF123" i="342"/>
  <c r="BH123" i="342" s="1"/>
  <c r="BC123" i="342"/>
  <c r="BD123" i="342" s="1"/>
  <c r="X92" i="340"/>
  <c r="BD82" i="343"/>
  <c r="BC82" i="343"/>
  <c r="BB82" i="343"/>
  <c r="BE82" i="343"/>
  <c r="BF82" i="343"/>
  <c r="BH82" i="343" s="1"/>
  <c r="AE61" i="340"/>
  <c r="AD61" i="340"/>
  <c r="AC61" i="340" s="1"/>
  <c r="AF61" i="340" s="1"/>
  <c r="AB61" i="340"/>
  <c r="X116" i="340"/>
  <c r="AB159" i="340"/>
  <c r="AD159" i="340"/>
  <c r="AE159" i="340"/>
  <c r="AC159" i="340"/>
  <c r="AF159" i="340" s="1"/>
  <c r="V101" i="341"/>
  <c r="X101" i="341" s="1"/>
  <c r="BL50" i="342"/>
  <c r="BK50" i="342"/>
  <c r="BJ50" i="342"/>
  <c r="BM50" i="342" s="1"/>
  <c r="BI50" i="342"/>
  <c r="X122" i="340"/>
  <c r="X134" i="341"/>
  <c r="AD143" i="341"/>
  <c r="AC143" i="341" s="1"/>
  <c r="AF143" i="341" s="1"/>
  <c r="AB143" i="341"/>
  <c r="AE143" i="341"/>
  <c r="BK121" i="343"/>
  <c r="BL121" i="343"/>
  <c r="BJ121" i="343"/>
  <c r="BM121" i="343" s="1"/>
  <c r="BI121" i="343"/>
  <c r="AE148" i="341"/>
  <c r="AB148" i="341"/>
  <c r="AD148" i="341"/>
  <c r="AC148" i="341" s="1"/>
  <c r="AF148" i="341" s="1"/>
  <c r="AD151" i="340"/>
  <c r="AC151" i="340" s="1"/>
  <c r="AF151" i="340" s="1"/>
  <c r="AB151" i="340"/>
  <c r="AE151" i="340"/>
  <c r="AD184" i="340"/>
  <c r="AC184" i="340" s="1"/>
  <c r="AF184" i="340" s="1"/>
  <c r="AB184" i="340"/>
  <c r="AE184" i="340"/>
  <c r="BF63" i="342"/>
  <c r="BH63" i="342" s="1"/>
  <c r="BC63" i="342"/>
  <c r="BB63" i="342"/>
  <c r="BD63" i="342" s="1"/>
  <c r="BF131" i="343"/>
  <c r="BH131" i="343" s="1"/>
  <c r="BC131" i="343"/>
  <c r="BB131" i="343"/>
  <c r="BD131" i="343" s="1"/>
  <c r="BF42" i="343"/>
  <c r="BH42" i="343" s="1"/>
  <c r="BC42" i="343"/>
  <c r="BB42" i="343"/>
  <c r="BD42" i="343" s="1"/>
  <c r="V180" i="340"/>
  <c r="X180" i="340" s="1"/>
  <c r="AE110" i="341"/>
  <c r="AC110" i="341"/>
  <c r="AF110" i="341" s="1"/>
  <c r="AB110" i="341"/>
  <c r="AD110" i="341"/>
  <c r="Y133" i="343"/>
  <c r="BG125" i="343"/>
  <c r="Z125" i="343"/>
  <c r="BF73" i="343"/>
  <c r="BH73" i="343" s="1"/>
  <c r="BC73" i="343"/>
  <c r="BB73" i="343"/>
  <c r="AD62" i="340"/>
  <c r="AC62" i="340"/>
  <c r="AF62" i="340" s="1"/>
  <c r="AB62" i="340"/>
  <c r="AE62" i="340"/>
  <c r="BE43" i="343"/>
  <c r="BD43" i="343"/>
  <c r="BF43" i="343"/>
  <c r="BH43" i="343" s="1"/>
  <c r="BC43" i="343"/>
  <c r="BB43" i="343"/>
  <c r="Y24" i="340"/>
  <c r="AA24" i="340" s="1"/>
  <c r="W24" i="340"/>
  <c r="U24" i="340"/>
  <c r="V108" i="341"/>
  <c r="Z17" i="342"/>
  <c r="AZ17" i="342" s="1"/>
  <c r="BA17" i="342"/>
  <c r="BG17" i="342"/>
  <c r="AB74" i="341"/>
  <c r="AD74" i="341"/>
  <c r="AC74" i="341"/>
  <c r="AF74" i="341" s="1"/>
  <c r="AE74" i="341"/>
  <c r="V86" i="341"/>
  <c r="X86" i="341" s="1"/>
  <c r="AF56" i="340"/>
  <c r="AE56" i="340"/>
  <c r="AD56" i="340"/>
  <c r="AC56" i="340"/>
  <c r="AB56" i="340"/>
  <c r="BE71" i="343"/>
  <c r="BL19" i="342"/>
  <c r="BJ19" i="342"/>
  <c r="BM19" i="342" s="1"/>
  <c r="BI19" i="342"/>
  <c r="BK19" i="342"/>
  <c r="AE37" i="341"/>
  <c r="AF37" i="341" s="1"/>
  <c r="AC37" i="341"/>
  <c r="AD37" i="341"/>
  <c r="AB37" i="341"/>
  <c r="AC163" i="341"/>
  <c r="AF163" i="341" s="1"/>
  <c r="AE163" i="341"/>
  <c r="AD163" i="341"/>
  <c r="AB163" i="341"/>
  <c r="V119" i="340"/>
  <c r="X119" i="340" s="1"/>
  <c r="Z29" i="343"/>
  <c r="AZ29" i="343" s="1"/>
  <c r="BG29" i="343"/>
  <c r="BA29" i="343"/>
  <c r="AE161" i="341"/>
  <c r="AD161" i="341"/>
  <c r="AC161" i="341"/>
  <c r="AF161" i="341" s="1"/>
  <c r="AB161" i="341"/>
  <c r="V141" i="341"/>
  <c r="X141" i="341" s="1"/>
  <c r="AE144" i="341"/>
  <c r="AD144" i="341"/>
  <c r="AC144" i="341" s="1"/>
  <c r="AF144" i="341" s="1"/>
  <c r="AB144" i="341"/>
  <c r="Z147" i="343"/>
  <c r="AZ143" i="343"/>
  <c r="BG138" i="343"/>
  <c r="Y142" i="343"/>
  <c r="V179" i="340"/>
  <c r="X53" i="340"/>
  <c r="AB149" i="340"/>
  <c r="AF149" i="340"/>
  <c r="AC149" i="340"/>
  <c r="AE149" i="340"/>
  <c r="AD149" i="340"/>
  <c r="AF44" i="340"/>
  <c r="AE44" i="340"/>
  <c r="AD44" i="340"/>
  <c r="AB44" i="340"/>
  <c r="AC44" i="340"/>
  <c r="Y43" i="340"/>
  <c r="W43" i="340"/>
  <c r="V43" i="340"/>
  <c r="U43" i="340"/>
  <c r="U104" i="340" s="1"/>
  <c r="T104" i="340"/>
  <c r="AC115" i="341"/>
  <c r="AF115" i="341"/>
  <c r="AE115" i="341"/>
  <c r="AD115" i="341"/>
  <c r="AB115" i="341"/>
  <c r="AM125" i="343"/>
  <c r="AM133" i="343" s="1"/>
  <c r="AL133" i="343"/>
  <c r="AL142" i="342"/>
  <c r="AM138" i="342"/>
  <c r="U68" i="341"/>
  <c r="X68" i="341" s="1"/>
  <c r="Y68" i="341"/>
  <c r="AA68" i="341" s="1"/>
  <c r="W68" i="341"/>
  <c r="V68" i="341"/>
  <c r="V81" i="340"/>
  <c r="X81" i="340" s="1"/>
  <c r="BF40" i="343"/>
  <c r="BH40" i="343" s="1"/>
  <c r="BC40" i="343"/>
  <c r="BB40" i="343"/>
  <c r="AE98" i="341"/>
  <c r="AD98" i="341"/>
  <c r="AC98" i="341" s="1"/>
  <c r="AF98" i="341" s="1"/>
  <c r="AB98" i="341"/>
  <c r="AD55" i="340"/>
  <c r="AC55" i="340"/>
  <c r="AB55" i="340"/>
  <c r="AE55" i="340"/>
  <c r="AF55" i="340" s="1"/>
  <c r="V152" i="340"/>
  <c r="X152" i="340" s="1"/>
  <c r="AE100" i="340"/>
  <c r="AD100" i="340"/>
  <c r="AC100" i="340"/>
  <c r="AF100" i="340" s="1"/>
  <c r="AB100" i="340"/>
  <c r="BK36" i="343"/>
  <c r="BJ36" i="343" s="1"/>
  <c r="BM36" i="343" s="1"/>
  <c r="BI36" i="343"/>
  <c r="BL36" i="343"/>
  <c r="AC79" i="341"/>
  <c r="AB79" i="341"/>
  <c r="AD79" i="341"/>
  <c r="AE79" i="341"/>
  <c r="AF79" i="341" s="1"/>
  <c r="V48" i="341"/>
  <c r="BD90" i="342"/>
  <c r="BE90" i="342" s="1"/>
  <c r="AC116" i="340"/>
  <c r="AF116" i="340" s="1"/>
  <c r="AB116" i="340"/>
  <c r="AE116" i="340"/>
  <c r="AD116" i="340"/>
  <c r="AD99" i="341"/>
  <c r="AC99" i="341" s="1"/>
  <c r="AF99" i="341" s="1"/>
  <c r="AB99" i="341"/>
  <c r="AE99" i="341"/>
  <c r="AD38" i="341"/>
  <c r="AC38" i="341"/>
  <c r="AF38" i="341" s="1"/>
  <c r="AB38" i="341"/>
  <c r="AE38" i="341"/>
  <c r="BF20" i="342"/>
  <c r="BH20" i="342" s="1"/>
  <c r="BE20" i="342"/>
  <c r="BD20" i="342"/>
  <c r="BC20" i="342"/>
  <c r="BB20" i="342"/>
  <c r="BB28" i="343"/>
  <c r="BD28" i="343" s="1"/>
  <c r="BE28" i="343" s="1"/>
  <c r="BF28" i="343"/>
  <c r="BH28" i="343" s="1"/>
  <c r="BC28" i="343"/>
  <c r="AE158" i="341"/>
  <c r="AA170" i="341"/>
  <c r="AD158" i="341"/>
  <c r="AC158" i="341" s="1"/>
  <c r="AB158" i="341"/>
  <c r="AE85" i="340"/>
  <c r="AD85" i="340"/>
  <c r="AC85" i="340" s="1"/>
  <c r="AF85" i="340" s="1"/>
  <c r="AB85" i="340"/>
  <c r="AZ81" i="343"/>
  <c r="BA81" i="343" s="1"/>
  <c r="AR105" i="342"/>
  <c r="AR182" i="342" s="1"/>
  <c r="BC74" i="343"/>
  <c r="BF74" i="343"/>
  <c r="BH74" i="343" s="1"/>
  <c r="BB74" i="343"/>
  <c r="BD74" i="343" s="1"/>
  <c r="BC112" i="343"/>
  <c r="BF112" i="343"/>
  <c r="BH112" i="343" s="1"/>
  <c r="BB112" i="343"/>
  <c r="Y65" i="342"/>
  <c r="Y105" i="342" s="1"/>
  <c r="Y182" i="342" s="1"/>
  <c r="BG46" i="342"/>
  <c r="Z46" i="342"/>
  <c r="AC101" i="341"/>
  <c r="AF101" i="341" s="1"/>
  <c r="AB101" i="341"/>
  <c r="AE101" i="341"/>
  <c r="AD101" i="341"/>
  <c r="AE51" i="340"/>
  <c r="AB51" i="340"/>
  <c r="AD51" i="340"/>
  <c r="AC51" i="340" s="1"/>
  <c r="AF51" i="340" s="1"/>
  <c r="AE60" i="341"/>
  <c r="AD60" i="341"/>
  <c r="AC60" i="341" s="1"/>
  <c r="AF60" i="341" s="1"/>
  <c r="AB60" i="341"/>
  <c r="BI94" i="343"/>
  <c r="BM94" i="343" s="1"/>
  <c r="BK94" i="343"/>
  <c r="BJ94" i="343"/>
  <c r="BL94" i="343"/>
  <c r="BK23" i="343"/>
  <c r="BI23" i="343"/>
  <c r="BL23" i="343"/>
  <c r="BJ23" i="343"/>
  <c r="BM23" i="343" s="1"/>
  <c r="AD135" i="341"/>
  <c r="AC135" i="341" s="1"/>
  <c r="AF135" i="341" s="1"/>
  <c r="AB135" i="341"/>
  <c r="AE135" i="341"/>
  <c r="BI23" i="342"/>
  <c r="BK23" i="342"/>
  <c r="BJ23" i="342" s="1"/>
  <c r="BM23" i="342" s="1"/>
  <c r="BL23" i="342"/>
  <c r="BD57" i="343"/>
  <c r="X113" i="341"/>
  <c r="AB65" i="340"/>
  <c r="AD65" i="340"/>
  <c r="AC65" i="340" s="1"/>
  <c r="AF65" i="340" s="1"/>
  <c r="AE65" i="340"/>
  <c r="AC107" i="341"/>
  <c r="AB107" i="341"/>
  <c r="AF107" i="341"/>
  <c r="AE107" i="341"/>
  <c r="AD107" i="341"/>
  <c r="X54" i="341"/>
  <c r="V144" i="341"/>
  <c r="BF68" i="342"/>
  <c r="BH68" i="342" s="1"/>
  <c r="BB68" i="342"/>
  <c r="BC68" i="342"/>
  <c r="AL164" i="342"/>
  <c r="AM156" i="342"/>
  <c r="AM164" i="342" s="1"/>
  <c r="V88" i="340"/>
  <c r="X88" i="340" s="1"/>
  <c r="AB123" i="340"/>
  <c r="AE123" i="340"/>
  <c r="AD123" i="340"/>
  <c r="AC123" i="340" s="1"/>
  <c r="AF123" i="340" s="1"/>
  <c r="AE60" i="340"/>
  <c r="AD60" i="340"/>
  <c r="AC60" i="340" s="1"/>
  <c r="AF60" i="340" s="1"/>
  <c r="AB60" i="340"/>
  <c r="AB167" i="340"/>
  <c r="AE167" i="340"/>
  <c r="AD167" i="340"/>
  <c r="AC167" i="340" s="1"/>
  <c r="AF167" i="340" s="1"/>
  <c r="AC180" i="340"/>
  <c r="AB180" i="340"/>
  <c r="AD180" i="340"/>
  <c r="AE180" i="340"/>
  <c r="AF180" i="340" s="1"/>
  <c r="AM104" i="343"/>
  <c r="V121" i="341"/>
  <c r="X121" i="341" s="1"/>
  <c r="V79" i="340"/>
  <c r="X79" i="340" s="1"/>
  <c r="Y170" i="341"/>
  <c r="AM104" i="342"/>
  <c r="AD81" i="340"/>
  <c r="AC81" i="340"/>
  <c r="AE81" i="340"/>
  <c r="AB81" i="340"/>
  <c r="AF81" i="340" s="1"/>
  <c r="Z142" i="342"/>
  <c r="AZ139" i="342"/>
  <c r="BA139" i="342" s="1"/>
  <c r="AB108" i="341"/>
  <c r="AD108" i="341"/>
  <c r="AC108" i="341" s="1"/>
  <c r="AF108" i="341" s="1"/>
  <c r="AE108" i="341"/>
  <c r="AJ65" i="342"/>
  <c r="AK46" i="342"/>
  <c r="AK65" i="342" s="1"/>
  <c r="AB86" i="341"/>
  <c r="AE86" i="341"/>
  <c r="AD86" i="341"/>
  <c r="AC86" i="341" s="1"/>
  <c r="AF86" i="341" s="1"/>
  <c r="BL71" i="343"/>
  <c r="BJ71" i="343"/>
  <c r="BM71" i="343"/>
  <c r="BK71" i="343"/>
  <c r="BI71" i="343"/>
  <c r="AE164" i="340"/>
  <c r="AD164" i="340"/>
  <c r="AC164" i="340" s="1"/>
  <c r="AF164" i="340" s="1"/>
  <c r="AB164" i="340"/>
  <c r="BI72" i="343"/>
  <c r="BL72" i="343"/>
  <c r="BK72" i="343"/>
  <c r="BJ72" i="343" s="1"/>
  <c r="BM72" i="343" s="1"/>
  <c r="AE56" i="341"/>
  <c r="AD56" i="341"/>
  <c r="AC56" i="341" s="1"/>
  <c r="AF56" i="341" s="1"/>
  <c r="AB56" i="341"/>
  <c r="V116" i="341"/>
  <c r="X116" i="341" s="1"/>
  <c r="X91" i="341"/>
  <c r="V120" i="340"/>
  <c r="X135" i="341"/>
  <c r="BI90" i="342"/>
  <c r="BK90" i="342"/>
  <c r="BJ90" i="342" s="1"/>
  <c r="BM90" i="342" s="1"/>
  <c r="BL90" i="342"/>
  <c r="AE113" i="341"/>
  <c r="AD113" i="341"/>
  <c r="AC113" i="341" s="1"/>
  <c r="AF113" i="341" s="1"/>
  <c r="AB113" i="341"/>
  <c r="BF49" i="343"/>
  <c r="BH49" i="343" s="1"/>
  <c r="BB49" i="343"/>
  <c r="BD49" i="343" s="1"/>
  <c r="BC49" i="343"/>
  <c r="BB22" i="343"/>
  <c r="BD22" i="343" s="1"/>
  <c r="BE22" i="343" s="1"/>
  <c r="BF22" i="343"/>
  <c r="BH22" i="343" s="1"/>
  <c r="BC22" i="343"/>
  <c r="BB64" i="342"/>
  <c r="BD64" i="342" s="1"/>
  <c r="BF64" i="342"/>
  <c r="BH64" i="342" s="1"/>
  <c r="BC64" i="342"/>
  <c r="AE92" i="340"/>
  <c r="AB92" i="340"/>
  <c r="AD92" i="340"/>
  <c r="AC92" i="340" s="1"/>
  <c r="AF92" i="340" s="1"/>
  <c r="AE45" i="340"/>
  <c r="AD45" i="340"/>
  <c r="AC45" i="340" s="1"/>
  <c r="AF45" i="340" s="1"/>
  <c r="AB45" i="340"/>
  <c r="BC74" i="342"/>
  <c r="BF74" i="342"/>
  <c r="BH74" i="342" s="1"/>
  <c r="BB74" i="342"/>
  <c r="BD74" i="342" s="1"/>
  <c r="AL65" i="343"/>
  <c r="AL105" i="343" s="1"/>
  <c r="AL161" i="343" s="1"/>
  <c r="AM46" i="343"/>
  <c r="AM65" i="343" s="1"/>
  <c r="AE91" i="341"/>
  <c r="AD91" i="341"/>
  <c r="AC91" i="341"/>
  <c r="AF91" i="341" s="1"/>
  <c r="AB91" i="341"/>
  <c r="V60" i="340"/>
  <c r="X60" i="340" s="1"/>
  <c r="BC92" i="342"/>
  <c r="BD92" i="342" s="1"/>
  <c r="BF92" i="342"/>
  <c r="BH92" i="342" s="1"/>
  <c r="BB92" i="342"/>
  <c r="BE92" i="342" s="1"/>
  <c r="AD111" i="341"/>
  <c r="AC111" i="341" s="1"/>
  <c r="AF111" i="341" s="1"/>
  <c r="AE111" i="341"/>
  <c r="AB111" i="341"/>
  <c r="BC68" i="343"/>
  <c r="BB68" i="343"/>
  <c r="BF68" i="343"/>
  <c r="BH68" i="343" s="1"/>
  <c r="BD150" i="342"/>
  <c r="BC150" i="342"/>
  <c r="BF150" i="342"/>
  <c r="BH150" i="342" s="1"/>
  <c r="BB150" i="342"/>
  <c r="BE150" i="342" s="1"/>
  <c r="BC76" i="343"/>
  <c r="BE76" i="343" s="1"/>
  <c r="BD76" i="343"/>
  <c r="BB76" i="343"/>
  <c r="BF76" i="343"/>
  <c r="BH76" i="343" s="1"/>
  <c r="AO105" i="343"/>
  <c r="AO161" i="343" s="1"/>
  <c r="BB31" i="343"/>
  <c r="BC31" i="343"/>
  <c r="BD31" i="343" s="1"/>
  <c r="BF31" i="343"/>
  <c r="BH31" i="343" s="1"/>
  <c r="BE79" i="343"/>
  <c r="BB79" i="343"/>
  <c r="BD79" i="343"/>
  <c r="BC79" i="343"/>
  <c r="BF79" i="343"/>
  <c r="BH79" i="343" s="1"/>
  <c r="BA66" i="342"/>
  <c r="AM83" i="343"/>
  <c r="AB149" i="341"/>
  <c r="AE149" i="341"/>
  <c r="AD149" i="341"/>
  <c r="AC149" i="341" s="1"/>
  <c r="AF149" i="341" s="1"/>
  <c r="BG40" i="342"/>
  <c r="BA40" i="342"/>
  <c r="BC107" i="342"/>
  <c r="BB107" i="342"/>
  <c r="BF107" i="342"/>
  <c r="BH107" i="342" s="1"/>
  <c r="L40" i="340"/>
  <c r="L188" i="340"/>
  <c r="L189" i="340" s="1"/>
  <c r="AE94" i="340"/>
  <c r="AD94" i="340"/>
  <c r="AC94" i="340" s="1"/>
  <c r="AF94" i="340" s="1"/>
  <c r="AB94" i="340"/>
  <c r="V61" i="341"/>
  <c r="X61" i="341" s="1"/>
  <c r="AD83" i="340"/>
  <c r="AC83" i="340"/>
  <c r="AF83" i="340" s="1"/>
  <c r="AB83" i="340"/>
  <c r="AE83" i="340"/>
  <c r="AL65" i="342"/>
  <c r="AM46" i="342"/>
  <c r="AM65" i="342" s="1"/>
  <c r="AE139" i="341"/>
  <c r="AB139" i="341"/>
  <c r="AD139" i="341"/>
  <c r="AC139" i="341"/>
  <c r="AF139" i="341" s="1"/>
  <c r="V73" i="341"/>
  <c r="AB32" i="340"/>
  <c r="AE32" i="340"/>
  <c r="AD32" i="340"/>
  <c r="AC32" i="340" s="1"/>
  <c r="AF32" i="340" s="1"/>
  <c r="BD89" i="342"/>
  <c r="BE89" i="342" s="1"/>
  <c r="AB48" i="341"/>
  <c r="AC48" i="341"/>
  <c r="AF48" i="341" s="1"/>
  <c r="AE48" i="341"/>
  <c r="AD48" i="341"/>
  <c r="BL121" i="342"/>
  <c r="BK121" i="342"/>
  <c r="BJ121" i="342"/>
  <c r="BM121" i="342" s="1"/>
  <c r="BI121" i="342"/>
  <c r="BD32" i="343"/>
  <c r="BE32" i="343" s="1"/>
  <c r="AE129" i="341"/>
  <c r="AD129" i="341"/>
  <c r="AC129" i="341" s="1"/>
  <c r="AF129" i="341" s="1"/>
  <c r="AB129" i="341"/>
  <c r="BF126" i="342"/>
  <c r="BH126" i="342" s="1"/>
  <c r="BD126" i="342"/>
  <c r="BC126" i="342"/>
  <c r="BB126" i="342"/>
  <c r="BE126" i="342" s="1"/>
  <c r="Z48" i="343"/>
  <c r="AZ48" i="343" s="1"/>
  <c r="BA48" i="343"/>
  <c r="BG48" i="343"/>
  <c r="BC176" i="342"/>
  <c r="BB176" i="342"/>
  <c r="BD176" i="342" s="1"/>
  <c r="BF176" i="342"/>
  <c r="BH176" i="342" s="1"/>
  <c r="AK83" i="343"/>
  <c r="BC87" i="342"/>
  <c r="BD87" i="342" s="1"/>
  <c r="BF87" i="342"/>
  <c r="BH87" i="342" s="1"/>
  <c r="BB87" i="342"/>
  <c r="AZ86" i="342"/>
  <c r="BA86" i="342" s="1"/>
  <c r="AE121" i="341"/>
  <c r="AD121" i="341"/>
  <c r="AC121" i="341"/>
  <c r="AF121" i="341" s="1"/>
  <c r="AB121" i="341"/>
  <c r="AB79" i="340"/>
  <c r="AE79" i="340"/>
  <c r="AD79" i="340"/>
  <c r="AC79" i="340" s="1"/>
  <c r="AF79" i="340" s="1"/>
  <c r="AD46" i="341"/>
  <c r="AC46" i="341" s="1"/>
  <c r="AF46" i="341" s="1"/>
  <c r="AB46" i="341"/>
  <c r="AE46" i="341"/>
  <c r="AL83" i="343"/>
  <c r="BC157" i="343"/>
  <c r="BB157" i="343"/>
  <c r="BD157" i="343" s="1"/>
  <c r="BE157" i="343" s="1"/>
  <c r="BF157" i="343"/>
  <c r="BH157" i="343" s="1"/>
  <c r="BC151" i="343"/>
  <c r="BF151" i="343"/>
  <c r="BH151" i="343" s="1"/>
  <c r="BB151" i="343"/>
  <c r="X102" i="340"/>
  <c r="BF118" i="342"/>
  <c r="BH118" i="342" s="1"/>
  <c r="BD118" i="342"/>
  <c r="BC118" i="342"/>
  <c r="BE118" i="342" s="1"/>
  <c r="BB118" i="342"/>
  <c r="Y116" i="343"/>
  <c r="Z106" i="343"/>
  <c r="BG106" i="343"/>
  <c r="X83" i="340"/>
  <c r="Z104" i="342"/>
  <c r="AZ84" i="342"/>
  <c r="BG174" i="342"/>
  <c r="Z174" i="342"/>
  <c r="AZ174" i="342" s="1"/>
  <c r="BA174" i="342"/>
  <c r="BK33" i="343"/>
  <c r="BJ33" i="343" s="1"/>
  <c r="BM33" i="343" s="1"/>
  <c r="BL33" i="343"/>
  <c r="BI33" i="343"/>
  <c r="V139" i="341"/>
  <c r="X139" i="341" s="1"/>
  <c r="V101" i="340"/>
  <c r="X32" i="340"/>
  <c r="AE116" i="341"/>
  <c r="AD116" i="341"/>
  <c r="AC116" i="341"/>
  <c r="AF116" i="341" s="1"/>
  <c r="AB116" i="341"/>
  <c r="V132" i="341"/>
  <c r="AE120" i="340"/>
  <c r="AB120" i="340"/>
  <c r="AD120" i="340"/>
  <c r="AC120" i="340" s="1"/>
  <c r="AF120" i="340" s="1"/>
  <c r="BJ173" i="342"/>
  <c r="BM173" i="342" s="1"/>
  <c r="BL173" i="342"/>
  <c r="BK173" i="342"/>
  <c r="BI173" i="342"/>
  <c r="BI57" i="343"/>
  <c r="BL57" i="343"/>
  <c r="BK57" i="343"/>
  <c r="BJ57" i="343"/>
  <c r="BM57" i="343" s="1"/>
  <c r="AB136" i="340"/>
  <c r="AD136" i="340"/>
  <c r="AC136" i="340"/>
  <c r="AF136" i="340" s="1"/>
  <c r="AE136" i="340"/>
  <c r="AE155" i="340"/>
  <c r="AD155" i="340"/>
  <c r="AC155" i="340" s="1"/>
  <c r="AF155" i="340" s="1"/>
  <c r="AB155" i="340"/>
  <c r="AB53" i="340"/>
  <c r="AE53" i="340"/>
  <c r="AD53" i="340"/>
  <c r="AC53" i="340" s="1"/>
  <c r="AF53" i="340" s="1"/>
  <c r="BF52" i="342"/>
  <c r="BH52" i="342" s="1"/>
  <c r="BC52" i="342"/>
  <c r="BB52" i="342"/>
  <c r="BL159" i="342"/>
  <c r="BK159" i="342"/>
  <c r="BJ159" i="342" s="1"/>
  <c r="BM159" i="342" s="1"/>
  <c r="BI159" i="342"/>
  <c r="BF140" i="342"/>
  <c r="BH140" i="342" s="1"/>
  <c r="BC140" i="342"/>
  <c r="BB140" i="342"/>
  <c r="BF98" i="343"/>
  <c r="BH98" i="343" s="1"/>
  <c r="BC98" i="343"/>
  <c r="BB98" i="343"/>
  <c r="BD98" i="343" s="1"/>
  <c r="AF76" i="340"/>
  <c r="AE76" i="340"/>
  <c r="AD76" i="340"/>
  <c r="AC76" i="340"/>
  <c r="AB76" i="340"/>
  <c r="BC59" i="343"/>
  <c r="BB59" i="343"/>
  <c r="BD59" i="343" s="1"/>
  <c r="BF59" i="343"/>
  <c r="BH59" i="343" s="1"/>
  <c r="Y147" i="342"/>
  <c r="BG143" i="342"/>
  <c r="BG147" i="342" s="1"/>
  <c r="Z143" i="342"/>
  <c r="AE61" i="341"/>
  <c r="AD61" i="341"/>
  <c r="AC61" i="341" s="1"/>
  <c r="AF61" i="341" s="1"/>
  <c r="AB61" i="341"/>
  <c r="U153" i="341"/>
  <c r="BF53" i="342"/>
  <c r="BH53" i="342" s="1"/>
  <c r="BC53" i="342"/>
  <c r="BB53" i="342"/>
  <c r="BF88" i="343"/>
  <c r="BH88" i="343" s="1"/>
  <c r="BD88" i="343"/>
  <c r="BE88" i="343"/>
  <c r="BC88" i="343"/>
  <c r="BB88" i="343"/>
  <c r="AB168" i="341"/>
  <c r="AE168" i="341"/>
  <c r="AD168" i="341"/>
  <c r="AC168" i="341" s="1"/>
  <c r="AF168" i="341" s="1"/>
  <c r="AF84" i="340"/>
  <c r="AE84" i="340"/>
  <c r="AD84" i="340"/>
  <c r="AC84" i="340"/>
  <c r="AB84" i="340"/>
  <c r="AB33" i="341"/>
  <c r="AE33" i="341"/>
  <c r="AD33" i="341"/>
  <c r="AC33" i="341"/>
  <c r="AF33" i="341" s="1"/>
  <c r="AB20" i="340"/>
  <c r="AE20" i="340"/>
  <c r="AD20" i="340"/>
  <c r="AC20" i="340" s="1"/>
  <c r="AF20" i="340" s="1"/>
  <c r="BL34" i="342"/>
  <c r="BK34" i="342"/>
  <c r="BJ34" i="342" s="1"/>
  <c r="BM34" i="342" s="1"/>
  <c r="BI34" i="342"/>
  <c r="V105" i="341"/>
  <c r="X105" i="341" s="1"/>
  <c r="AB137" i="341"/>
  <c r="AE137" i="341"/>
  <c r="AD137" i="341"/>
  <c r="AC137" i="341" s="1"/>
  <c r="AF137" i="341" s="1"/>
  <c r="V129" i="340"/>
  <c r="X129" i="340" s="1"/>
  <c r="V23" i="341"/>
  <c r="X23" i="341" s="1"/>
  <c r="BB171" i="342"/>
  <c r="BF171" i="342"/>
  <c r="BH171" i="342" s="1"/>
  <c r="BC171" i="342"/>
  <c r="BB56" i="342"/>
  <c r="BC56" i="342"/>
  <c r="BD56" i="342"/>
  <c r="BE56" i="342" s="1"/>
  <c r="BF56" i="342"/>
  <c r="BH56" i="342" s="1"/>
  <c r="AE179" i="340"/>
  <c r="AD179" i="340"/>
  <c r="AC179" i="340"/>
  <c r="AF179" i="340" s="1"/>
  <c r="AB179" i="340"/>
  <c r="AE34" i="341"/>
  <c r="AD34" i="341"/>
  <c r="AC34" i="341" s="1"/>
  <c r="AF34" i="341" s="1"/>
  <c r="AB34" i="341"/>
  <c r="BF73" i="342"/>
  <c r="BH73" i="342" s="1"/>
  <c r="BC73" i="342"/>
  <c r="BB73" i="342"/>
  <c r="AE36" i="340"/>
  <c r="AD36" i="340"/>
  <c r="AC36" i="340"/>
  <c r="AF36" i="340" s="1"/>
  <c r="AB36" i="340"/>
  <c r="BF157" i="342"/>
  <c r="BH157" i="342" s="1"/>
  <c r="BC157" i="342"/>
  <c r="BB157" i="342"/>
  <c r="AB48" i="340"/>
  <c r="AF48" i="340"/>
  <c r="AE48" i="340"/>
  <c r="AD48" i="340"/>
  <c r="AC48" i="340"/>
  <c r="AE122" i="340"/>
  <c r="AD122" i="340"/>
  <c r="AC122" i="340"/>
  <c r="AF122" i="340" s="1"/>
  <c r="AB122" i="340"/>
  <c r="Z22" i="342"/>
  <c r="AZ22" i="342" s="1"/>
  <c r="BA22" i="342" s="1"/>
  <c r="BG22" i="342"/>
  <c r="AB80" i="340"/>
  <c r="AE80" i="340"/>
  <c r="AD80" i="340"/>
  <c r="AC80" i="340" s="1"/>
  <c r="AF80" i="340" s="1"/>
  <c r="BC127" i="342"/>
  <c r="BB127" i="342"/>
  <c r="BF127" i="342"/>
  <c r="BH127" i="342" s="1"/>
  <c r="BD127" i="342"/>
  <c r="BE127" i="342"/>
  <c r="Z107" i="343"/>
  <c r="AZ107" i="343" s="1"/>
  <c r="BG107" i="343"/>
  <c r="BA107" i="343"/>
  <c r="AZ106" i="342"/>
  <c r="Z116" i="342"/>
  <c r="BF115" i="343"/>
  <c r="BH115" i="343" s="1"/>
  <c r="BC115" i="343"/>
  <c r="BD115" i="343" s="1"/>
  <c r="BE115" i="343" s="1"/>
  <c r="BB115" i="343"/>
  <c r="AL104" i="342"/>
  <c r="AE107" i="340"/>
  <c r="AD107" i="340"/>
  <c r="AC107" i="340"/>
  <c r="AF107" i="340" s="1"/>
  <c r="AB107" i="340"/>
  <c r="AB152" i="340"/>
  <c r="AE152" i="340"/>
  <c r="AD152" i="340"/>
  <c r="AC152" i="340" s="1"/>
  <c r="AF152" i="340" s="1"/>
  <c r="BB44" i="343"/>
  <c r="BD44" i="343" s="1"/>
  <c r="BF44" i="343"/>
  <c r="BH44" i="343" s="1"/>
  <c r="BC44" i="343"/>
  <c r="BA152" i="342"/>
  <c r="Z152" i="342"/>
  <c r="AZ152" i="342" s="1"/>
  <c r="BG152" i="342"/>
  <c r="J188" i="340"/>
  <c r="J189" i="340" s="1"/>
  <c r="J40" i="340"/>
  <c r="AB88" i="340"/>
  <c r="AE88" i="340"/>
  <c r="AC88" i="340"/>
  <c r="AF88" i="340" s="1"/>
  <c r="AD88" i="340"/>
  <c r="AC93" i="340"/>
  <c r="AF93" i="340" s="1"/>
  <c r="AB93" i="340"/>
  <c r="AE93" i="340"/>
  <c r="AD93" i="340"/>
  <c r="AJ65" i="343"/>
  <c r="AK46" i="343"/>
  <c r="AK65" i="343" s="1"/>
  <c r="BC87" i="343"/>
  <c r="BB87" i="343"/>
  <c r="BD87" i="343"/>
  <c r="BE87" i="343" s="1"/>
  <c r="BF87" i="343"/>
  <c r="BH87" i="343" s="1"/>
  <c r="V150" i="340"/>
  <c r="X150" i="340" s="1"/>
  <c r="BF18" i="342"/>
  <c r="BH18" i="342" s="1"/>
  <c r="BC18" i="342"/>
  <c r="BB18" i="342"/>
  <c r="BF92" i="343"/>
  <c r="BH92" i="343" s="1"/>
  <c r="BB92" i="343"/>
  <c r="BC92" i="343"/>
  <c r="BD92" i="343" s="1"/>
  <c r="AD66" i="340"/>
  <c r="AC66" i="340"/>
  <c r="AB66" i="340"/>
  <c r="AF66" i="340"/>
  <c r="AE66" i="340"/>
  <c r="BE64" i="343"/>
  <c r="BF114" i="342"/>
  <c r="BH114" i="342" s="1"/>
  <c r="BC114" i="342"/>
  <c r="BB114" i="342"/>
  <c r="BE114" i="342" s="1"/>
  <c r="BD114" i="342"/>
  <c r="AE45" i="341"/>
  <c r="AD45" i="341"/>
  <c r="AC45" i="341" s="1"/>
  <c r="AF45" i="341" s="1"/>
  <c r="AB45" i="341"/>
  <c r="BB39" i="343"/>
  <c r="BD39" i="343"/>
  <c r="BE39" i="343" s="1"/>
  <c r="BF39" i="343"/>
  <c r="BH39" i="343" s="1"/>
  <c r="BC39" i="343"/>
  <c r="BC113" i="343"/>
  <c r="BF113" i="343"/>
  <c r="BH113" i="343" s="1"/>
  <c r="BB113" i="343"/>
  <c r="AD31" i="340"/>
  <c r="AC31" i="340" s="1"/>
  <c r="AF31" i="340" s="1"/>
  <c r="AB31" i="340"/>
  <c r="AE31" i="340"/>
  <c r="AE178" i="340"/>
  <c r="AD178" i="340"/>
  <c r="AC178" i="340"/>
  <c r="AF178" i="340" s="1"/>
  <c r="AB178" i="340"/>
  <c r="AE51" i="341"/>
  <c r="AD51" i="341"/>
  <c r="AC51" i="341" s="1"/>
  <c r="AF51" i="341" s="1"/>
  <c r="AB51" i="341"/>
  <c r="AD115" i="340"/>
  <c r="AC115" i="340"/>
  <c r="AF115" i="340" s="1"/>
  <c r="AB115" i="340"/>
  <c r="AE115" i="340"/>
  <c r="AE132" i="340"/>
  <c r="AD132" i="340"/>
  <c r="AC132" i="340" s="1"/>
  <c r="AF132" i="340" s="1"/>
  <c r="AB132" i="340"/>
  <c r="BB77" i="343"/>
  <c r="BF77" i="343"/>
  <c r="BH77" i="343" s="1"/>
  <c r="BC77" i="343"/>
  <c r="BD77" i="343" s="1"/>
  <c r="BE77" i="343" s="1"/>
  <c r="AD135" i="340"/>
  <c r="AC135" i="340"/>
  <c r="AF135" i="340" s="1"/>
  <c r="AB135" i="340"/>
  <c r="AE135" i="340"/>
  <c r="X64" i="340"/>
  <c r="BF149" i="342"/>
  <c r="BH149" i="342" s="1"/>
  <c r="BC149" i="342"/>
  <c r="BB149" i="342"/>
  <c r="BD149" i="342" s="1"/>
  <c r="BC152" i="343"/>
  <c r="BF152" i="343"/>
  <c r="BH152" i="343" s="1"/>
  <c r="BD152" i="343"/>
  <c r="BB152" i="343"/>
  <c r="BE152" i="343" s="1"/>
  <c r="AE44" i="341"/>
  <c r="AD44" i="341"/>
  <c r="AC44" i="341" s="1"/>
  <c r="AF44" i="341" s="1"/>
  <c r="AB44" i="341"/>
  <c r="BG14" i="343"/>
  <c r="Z14" i="343"/>
  <c r="Y45" i="343"/>
  <c r="AM125" i="342"/>
  <c r="AM133" i="342" s="1"/>
  <c r="AL133" i="342"/>
  <c r="BF123" i="343"/>
  <c r="BH123" i="343" s="1"/>
  <c r="BC123" i="343"/>
  <c r="BB123" i="343"/>
  <c r="AD68" i="340"/>
  <c r="AC68" i="340"/>
  <c r="AF68" i="340" s="1"/>
  <c r="AB68" i="340"/>
  <c r="AE68" i="340"/>
  <c r="AC167" i="341"/>
  <c r="AF167" i="341" s="1"/>
  <c r="AB167" i="341"/>
  <c r="AE167" i="341"/>
  <c r="AD167" i="341"/>
  <c r="AR105" i="343"/>
  <c r="AR161" i="343" s="1"/>
  <c r="AE181" i="340"/>
  <c r="AD181" i="340"/>
  <c r="AC181" i="340" s="1"/>
  <c r="AF181" i="340" s="1"/>
  <c r="AB181" i="340"/>
  <c r="AE70" i="340"/>
  <c r="AD70" i="340"/>
  <c r="AC70" i="340" s="1"/>
  <c r="AF70" i="340" s="1"/>
  <c r="AB70" i="340"/>
  <c r="X36" i="341"/>
  <c r="AZ108" i="342"/>
  <c r="BA108" i="342" s="1"/>
  <c r="V166" i="341"/>
  <c r="X166" i="341" s="1"/>
  <c r="X170" i="341" s="1"/>
  <c r="V128" i="341"/>
  <c r="V153" i="341" s="1"/>
  <c r="BD48" i="342"/>
  <c r="BF82" i="342"/>
  <c r="BH82" i="342" s="1"/>
  <c r="BC82" i="342"/>
  <c r="BB82" i="342"/>
  <c r="BD82" i="342" s="1"/>
  <c r="Z59" i="342"/>
  <c r="AZ59" i="342" s="1"/>
  <c r="BA59" i="342" s="1"/>
  <c r="BG59" i="342"/>
  <c r="BD95" i="342"/>
  <c r="BE95" i="342" s="1"/>
  <c r="BC95" i="342"/>
  <c r="BF95" i="342"/>
  <c r="BH95" i="342" s="1"/>
  <c r="BB95" i="342"/>
  <c r="S138" i="340"/>
  <c r="T111" i="340"/>
  <c r="BA156" i="343"/>
  <c r="Z156" i="343"/>
  <c r="AZ156" i="343" s="1"/>
  <c r="BG156" i="343"/>
  <c r="AD162" i="341"/>
  <c r="AC162" i="341" s="1"/>
  <c r="AF162" i="341" s="1"/>
  <c r="AE162" i="341"/>
  <c r="AB162" i="341"/>
  <c r="AL83" i="342"/>
  <c r="AD101" i="340"/>
  <c r="AC101" i="340"/>
  <c r="AB101" i="340"/>
  <c r="AE101" i="340"/>
  <c r="AF101" i="340" s="1"/>
  <c r="AD46" i="340"/>
  <c r="AC46" i="340"/>
  <c r="AF46" i="340" s="1"/>
  <c r="AB46" i="340"/>
  <c r="AE46" i="340"/>
  <c r="AC132" i="341"/>
  <c r="AF132" i="341" s="1"/>
  <c r="AB132" i="341"/>
  <c r="AD132" i="341"/>
  <c r="AE132" i="341"/>
  <c r="V115" i="340"/>
  <c r="X115" i="340" s="1"/>
  <c r="AE77" i="340"/>
  <c r="AD77" i="340"/>
  <c r="AC77" i="340"/>
  <c r="AB77" i="340"/>
  <c r="AF77" i="340"/>
  <c r="V100" i="341"/>
  <c r="AL45" i="342"/>
  <c r="AM14" i="342"/>
  <c r="AM45" i="342" s="1"/>
  <c r="T93" i="341"/>
  <c r="Y90" i="341"/>
  <c r="W90" i="341"/>
  <c r="W93" i="341" s="1"/>
  <c r="U90" i="341"/>
  <c r="U93" i="341" s="1"/>
  <c r="BD144" i="342"/>
  <c r="BE144" i="342" s="1"/>
  <c r="BF144" i="342"/>
  <c r="BH144" i="342" s="1"/>
  <c r="BB144" i="342"/>
  <c r="BC144" i="342"/>
  <c r="AD141" i="341"/>
  <c r="AC141" i="341" s="1"/>
  <c r="AF141" i="341" s="1"/>
  <c r="AE141" i="341"/>
  <c r="AB141" i="341"/>
  <c r="BG175" i="342"/>
  <c r="Z175" i="342"/>
  <c r="AZ175" i="342" s="1"/>
  <c r="BA175" i="342"/>
  <c r="AJ104" i="342"/>
  <c r="AJ105" i="342" s="1"/>
  <c r="AJ182" i="342" s="1"/>
  <c r="Z135" i="343"/>
  <c r="AZ135" i="343" s="1"/>
  <c r="BA135" i="343" s="1"/>
  <c r="BG135" i="343"/>
  <c r="BG137" i="343" s="1"/>
  <c r="V106" i="340"/>
  <c r="V109" i="340" s="1"/>
  <c r="BC136" i="343"/>
  <c r="BF136" i="343"/>
  <c r="BH136" i="343" s="1"/>
  <c r="BB136" i="343"/>
  <c r="AZ86" i="343"/>
  <c r="BA86" i="343" s="1"/>
  <c r="BC146" i="343"/>
  <c r="BD146" i="343" s="1"/>
  <c r="BE146" i="343" s="1"/>
  <c r="BB146" i="343"/>
  <c r="BF146" i="343"/>
  <c r="BH146" i="343" s="1"/>
  <c r="AE54" i="340"/>
  <c r="AD54" i="340"/>
  <c r="AC54" i="340" s="1"/>
  <c r="AF54" i="340" s="1"/>
  <c r="AB54" i="340"/>
  <c r="BL89" i="342"/>
  <c r="BK89" i="342"/>
  <c r="BI89" i="342"/>
  <c r="BJ89" i="342"/>
  <c r="BM89" i="342" s="1"/>
  <c r="AE91" i="340"/>
  <c r="AD91" i="340"/>
  <c r="AC91" i="340" s="1"/>
  <c r="AF91" i="340" s="1"/>
  <c r="AB91" i="340"/>
  <c r="BB118" i="343"/>
  <c r="BD118" i="343" s="1"/>
  <c r="BE118" i="343" s="1"/>
  <c r="BC118" i="343"/>
  <c r="BF118" i="343"/>
  <c r="BH118" i="343" s="1"/>
  <c r="BD37" i="342"/>
  <c r="BB37" i="342"/>
  <c r="BF37" i="342"/>
  <c r="BH37" i="342" s="1"/>
  <c r="BC37" i="342"/>
  <c r="BE37" i="342" s="1"/>
  <c r="AE154" i="340"/>
  <c r="AD154" i="340"/>
  <c r="AC154" i="340"/>
  <c r="AF154" i="340" s="1"/>
  <c r="AB154" i="340"/>
  <c r="AD150" i="340"/>
  <c r="AC150" i="340" s="1"/>
  <c r="AF150" i="340" s="1"/>
  <c r="AE150" i="340"/>
  <c r="AB150" i="340"/>
  <c r="Z148" i="343"/>
  <c r="BG148" i="343"/>
  <c r="Y160" i="343"/>
  <c r="BB49" i="342"/>
  <c r="BF49" i="342"/>
  <c r="BH49" i="342" s="1"/>
  <c r="BD49" i="342"/>
  <c r="BC49" i="342"/>
  <c r="BE49" i="342"/>
  <c r="X66" i="341"/>
  <c r="AD69" i="340"/>
  <c r="AB69" i="340"/>
  <c r="AC69" i="340"/>
  <c r="AF69" i="340" s="1"/>
  <c r="AE69" i="340"/>
  <c r="X55" i="341"/>
  <c r="AL45" i="343"/>
  <c r="AM14" i="343"/>
  <c r="AM45" i="343" s="1"/>
  <c r="V135" i="340"/>
  <c r="AB64" i="340"/>
  <c r="AE64" i="340"/>
  <c r="AD64" i="340"/>
  <c r="AC64" i="340" s="1"/>
  <c r="AF64" i="340" s="1"/>
  <c r="X131" i="341"/>
  <c r="Z139" i="343"/>
  <c r="BG139" i="343"/>
  <c r="W19" i="341"/>
  <c r="W26" i="341" s="1"/>
  <c r="U19" i="341"/>
  <c r="U26" i="341" s="1"/>
  <c r="Y19" i="341"/>
  <c r="T26" i="341"/>
  <c r="BF120" i="342"/>
  <c r="BH120" i="342" s="1"/>
  <c r="BC120" i="342"/>
  <c r="BB120" i="342"/>
  <c r="X49" i="340"/>
  <c r="J40" i="341"/>
  <c r="AB36" i="341"/>
  <c r="AD36" i="341"/>
  <c r="AC36" i="341" s="1"/>
  <c r="AF36" i="341" s="1"/>
  <c r="AE36" i="341"/>
  <c r="W26" i="340"/>
  <c r="AZ117" i="343"/>
  <c r="Z124" i="343"/>
  <c r="AL124" i="342"/>
  <c r="AM117" i="342"/>
  <c r="AM124" i="342" s="1"/>
  <c r="V91" i="340"/>
  <c r="AB102" i="340"/>
  <c r="AE102" i="340"/>
  <c r="AD102" i="340"/>
  <c r="AC102" i="340" s="1"/>
  <c r="AF102" i="340" s="1"/>
  <c r="AM143" i="342"/>
  <c r="AM147" i="342" s="1"/>
  <c r="AL147" i="342"/>
  <c r="BF169" i="342"/>
  <c r="BH169" i="342" s="1"/>
  <c r="BC169" i="342"/>
  <c r="BB169" i="342"/>
  <c r="W153" i="341"/>
  <c r="X150" i="341"/>
  <c r="AZ112" i="342"/>
  <c r="BA112" i="342" s="1"/>
  <c r="Z141" i="343"/>
  <c r="AZ141" i="343" s="1"/>
  <c r="BA141" i="343" s="1"/>
  <c r="BG141" i="343"/>
  <c r="T144" i="340"/>
  <c r="S169" i="340"/>
  <c r="V34" i="340"/>
  <c r="X34" i="340" s="1"/>
  <c r="V33" i="340"/>
  <c r="X33" i="340" s="1"/>
  <c r="AB22" i="340"/>
  <c r="AD22" i="340"/>
  <c r="AC22" i="340" s="1"/>
  <c r="AF22" i="340" s="1"/>
  <c r="AE22" i="340"/>
  <c r="X124" i="340"/>
  <c r="AD62" i="341"/>
  <c r="AC62" i="341"/>
  <c r="AF62" i="341" s="1"/>
  <c r="AB62" i="341"/>
  <c r="AE62" i="341"/>
  <c r="AE78" i="341"/>
  <c r="AD78" i="341"/>
  <c r="AB78" i="341"/>
  <c r="AC78" i="341"/>
  <c r="AF78" i="341" s="1"/>
  <c r="X20" i="340"/>
  <c r="V95" i="340"/>
  <c r="X95" i="340" s="1"/>
  <c r="Y155" i="342"/>
  <c r="BJ21" i="343"/>
  <c r="BM21" i="343" s="1"/>
  <c r="BL21" i="343"/>
  <c r="BK21" i="343"/>
  <c r="BI21" i="343"/>
  <c r="AB148" i="340"/>
  <c r="AD148" i="340"/>
  <c r="AC148" i="340"/>
  <c r="AE148" i="340"/>
  <c r="AF148" i="340" s="1"/>
  <c r="Z78" i="343"/>
  <c r="AZ78" i="343" s="1"/>
  <c r="BA78" i="343"/>
  <c r="BG78" i="343"/>
  <c r="BB126" i="343"/>
  <c r="BD126" i="343" s="1"/>
  <c r="BE126" i="343" s="1"/>
  <c r="BC126" i="343"/>
  <c r="BF126" i="343"/>
  <c r="BH126" i="343" s="1"/>
  <c r="Y83" i="343"/>
  <c r="Y105" i="343" s="1"/>
  <c r="AB72" i="341"/>
  <c r="AF72" i="341" s="1"/>
  <c r="AD72" i="341"/>
  <c r="AC72" i="341"/>
  <c r="AE72" i="341"/>
  <c r="AL116" i="343"/>
  <c r="AM106" i="343"/>
  <c r="AM116" i="343" s="1"/>
  <c r="BC177" i="342"/>
  <c r="BE177" i="342" s="1"/>
  <c r="BB177" i="342"/>
  <c r="BF177" i="342"/>
  <c r="BH177" i="342" s="1"/>
  <c r="BD177" i="342"/>
  <c r="BF43" i="342"/>
  <c r="BH43" i="342" s="1"/>
  <c r="BC43" i="342"/>
  <c r="BB43" i="342"/>
  <c r="BD43" i="342" s="1"/>
  <c r="AE134" i="341"/>
  <c r="AD134" i="341"/>
  <c r="AC134" i="341"/>
  <c r="AF134" i="341" s="1"/>
  <c r="AB134" i="341"/>
  <c r="V65" i="340"/>
  <c r="X65" i="340" s="1"/>
  <c r="BL58" i="343"/>
  <c r="BI58" i="343"/>
  <c r="BK58" i="343"/>
  <c r="BJ58" i="343" s="1"/>
  <c r="BM58" i="343" s="1"/>
  <c r="V27" i="340"/>
  <c r="V39" i="340" s="1"/>
  <c r="U39" i="341"/>
  <c r="V32" i="341"/>
  <c r="V39" i="341" s="1"/>
  <c r="BF130" i="343"/>
  <c r="BH130" i="343" s="1"/>
  <c r="BC130" i="343"/>
  <c r="BB130" i="343"/>
  <c r="BD130" i="343" s="1"/>
  <c r="BE130" i="343" s="1"/>
  <c r="Z156" i="342"/>
  <c r="BG156" i="342"/>
  <c r="BG164" i="342" s="1"/>
  <c r="Y164" i="342"/>
  <c r="U43" i="341"/>
  <c r="U88" i="341" s="1"/>
  <c r="Y43" i="341"/>
  <c r="W43" i="341"/>
  <c r="W88" i="341" s="1"/>
  <c r="T88" i="341"/>
  <c r="BF178" i="342"/>
  <c r="BH178" i="342" s="1"/>
  <c r="BC178" i="342"/>
  <c r="BB178" i="342"/>
  <c r="BD178" i="342" s="1"/>
  <c r="BE178" i="342" s="1"/>
  <c r="AD106" i="341"/>
  <c r="AC106" i="341" s="1"/>
  <c r="AF106" i="341" s="1"/>
  <c r="AB106" i="341"/>
  <c r="AE106" i="341"/>
  <c r="BG138" i="342"/>
  <c r="BG142" i="342" s="1"/>
  <c r="Y142" i="342"/>
  <c r="BC96" i="343"/>
  <c r="BB96" i="343"/>
  <c r="BF96" i="343"/>
  <c r="BH96" i="343" s="1"/>
  <c r="AB119" i="340"/>
  <c r="AD119" i="340"/>
  <c r="AE119" i="340"/>
  <c r="AC119" i="340"/>
  <c r="AF119" i="340" s="1"/>
  <c r="AE75" i="341"/>
  <c r="AD75" i="341"/>
  <c r="AC75" i="341"/>
  <c r="AF75" i="341" s="1"/>
  <c r="AB75" i="341"/>
  <c r="BF62" i="343"/>
  <c r="BH62" i="343" s="1"/>
  <c r="BD62" i="343"/>
  <c r="BE62" i="343"/>
  <c r="BC62" i="343"/>
  <c r="BB62" i="343"/>
  <c r="AL142" i="343"/>
  <c r="AM138" i="343"/>
  <c r="Z21" i="342"/>
  <c r="AZ21" i="342" s="1"/>
  <c r="BA21" i="342" s="1"/>
  <c r="BG21" i="342"/>
  <c r="AC71" i="340"/>
  <c r="AB71" i="340"/>
  <c r="AD71" i="340"/>
  <c r="AE71" i="340"/>
  <c r="AF71" i="340" s="1"/>
  <c r="BC100" i="342"/>
  <c r="BF100" i="342"/>
  <c r="BH100" i="342" s="1"/>
  <c r="BD100" i="342"/>
  <c r="BB100" i="342"/>
  <c r="BE100" i="342" s="1"/>
  <c r="Z188" i="340"/>
  <c r="Z189" i="340" s="1"/>
  <c r="Z40" i="340"/>
  <c r="BD109" i="343"/>
  <c r="BE109" i="343" s="1"/>
  <c r="BB109" i="343"/>
  <c r="BF109" i="343"/>
  <c r="BH109" i="343" s="1"/>
  <c r="BC109" i="343"/>
  <c r="BG115" i="342"/>
  <c r="BG116" i="342" s="1"/>
  <c r="Z115" i="342"/>
  <c r="AZ115" i="342" s="1"/>
  <c r="BA115" i="342"/>
  <c r="BA75" i="343"/>
  <c r="Z75" i="343"/>
  <c r="AZ75" i="343" s="1"/>
  <c r="AZ83" i="343" s="1"/>
  <c r="BG75" i="343"/>
  <c r="BL47" i="342"/>
  <c r="BK47" i="342"/>
  <c r="BJ47" i="342" s="1"/>
  <c r="BM47" i="342" s="1"/>
  <c r="BI47" i="342"/>
  <c r="AJ83" i="343"/>
  <c r="Z93" i="342"/>
  <c r="AZ93" i="342" s="1"/>
  <c r="BA93" i="342" s="1"/>
  <c r="BG93" i="342"/>
  <c r="BA75" i="342"/>
  <c r="BG75" i="342"/>
  <c r="Z75" i="342"/>
  <c r="AZ75" i="342" s="1"/>
  <c r="AZ83" i="342" s="1"/>
  <c r="BD69" i="342"/>
  <c r="BB69" i="342"/>
  <c r="BE69" i="342" s="1"/>
  <c r="BC69" i="342"/>
  <c r="BF69" i="342"/>
  <c r="BH69" i="342" s="1"/>
  <c r="AD85" i="341"/>
  <c r="AC85" i="341" s="1"/>
  <c r="AF85" i="341" s="1"/>
  <c r="AB85" i="341"/>
  <c r="AE85" i="341"/>
  <c r="AB151" i="341"/>
  <c r="AE151" i="341"/>
  <c r="AD151" i="341"/>
  <c r="AC151" i="341" s="1"/>
  <c r="AF151" i="341" s="1"/>
  <c r="Z111" i="343"/>
  <c r="AZ111" i="343" s="1"/>
  <c r="BA111" i="343"/>
  <c r="BG111" i="343"/>
  <c r="S122" i="341"/>
  <c r="S171" i="341" s="1"/>
  <c r="T95" i="341"/>
  <c r="BF132" i="343"/>
  <c r="BH132" i="343" s="1"/>
  <c r="BE132" i="343"/>
  <c r="BD132" i="343"/>
  <c r="BC132" i="343"/>
  <c r="BB132" i="343"/>
  <c r="AB89" i="340"/>
  <c r="AE89" i="340"/>
  <c r="AD89" i="340"/>
  <c r="AC89" i="340" s="1"/>
  <c r="AF89" i="340" s="1"/>
  <c r="Z128" i="343"/>
  <c r="AZ128" i="343" s="1"/>
  <c r="BA128" i="343"/>
  <c r="BG128" i="343"/>
  <c r="BL32" i="343"/>
  <c r="BK32" i="343"/>
  <c r="BJ32" i="343" s="1"/>
  <c r="BM32" i="343" s="1"/>
  <c r="BI32" i="343"/>
  <c r="BD163" i="342"/>
  <c r="BC163" i="342"/>
  <c r="BF163" i="342"/>
  <c r="BH163" i="342" s="1"/>
  <c r="BB163" i="342"/>
  <c r="BE163" i="342" s="1"/>
  <c r="BG15" i="342"/>
  <c r="Z15" i="342"/>
  <c r="AZ15" i="342" s="1"/>
  <c r="BA15" i="342" s="1"/>
  <c r="AZ84" i="343"/>
  <c r="X75" i="341"/>
  <c r="AB21" i="340"/>
  <c r="AE21" i="340"/>
  <c r="AD21" i="340"/>
  <c r="AC21" i="340"/>
  <c r="AF21" i="340" s="1"/>
  <c r="BE34" i="343"/>
  <c r="BD34" i="343"/>
  <c r="BB34" i="343"/>
  <c r="BF34" i="343"/>
  <c r="BH34" i="343" s="1"/>
  <c r="BC34" i="343"/>
  <c r="BF19" i="343"/>
  <c r="BH19" i="343" s="1"/>
  <c r="BB19" i="343"/>
  <c r="BD19" i="343"/>
  <c r="BE19" i="343" s="1"/>
  <c r="BC19" i="343"/>
  <c r="AE169" i="341"/>
  <c r="AD169" i="341"/>
  <c r="AB169" i="341"/>
  <c r="AC169" i="341"/>
  <c r="AF169" i="341" s="1"/>
  <c r="X182" i="340"/>
  <c r="BB130" i="342"/>
  <c r="BE130" i="342" s="1"/>
  <c r="BF130" i="342"/>
  <c r="BH130" i="342" s="1"/>
  <c r="BD130" i="342"/>
  <c r="BC130" i="342"/>
  <c r="AL160" i="343"/>
  <c r="AM148" i="343"/>
  <c r="AM160" i="343" s="1"/>
  <c r="AB140" i="341"/>
  <c r="AE140" i="341"/>
  <c r="AD140" i="341"/>
  <c r="AC140" i="341" s="1"/>
  <c r="AF140" i="341" s="1"/>
  <c r="BF61" i="343"/>
  <c r="BH61" i="343" s="1"/>
  <c r="BD61" i="343"/>
  <c r="BE61" i="343" s="1"/>
  <c r="BC61" i="343"/>
  <c r="BB61" i="343"/>
  <c r="BB88" i="342"/>
  <c r="BF88" i="342"/>
  <c r="BH88" i="342" s="1"/>
  <c r="BC88" i="342"/>
  <c r="X85" i="341"/>
  <c r="BF132" i="342"/>
  <c r="BH132" i="342" s="1"/>
  <c r="BC132" i="342"/>
  <c r="BB132" i="342"/>
  <c r="Y137" i="343"/>
  <c r="AE66" i="341"/>
  <c r="AF66" i="341" s="1"/>
  <c r="AC66" i="341"/>
  <c r="AD66" i="341"/>
  <c r="AB66" i="341"/>
  <c r="X49" i="341"/>
  <c r="BF101" i="343"/>
  <c r="BH101" i="343" s="1"/>
  <c r="BC101" i="343"/>
  <c r="BB101" i="343"/>
  <c r="AD55" i="341"/>
  <c r="AC55" i="341"/>
  <c r="AF55" i="341" s="1"/>
  <c r="AB55" i="341"/>
  <c r="AE55" i="341"/>
  <c r="X174" i="343"/>
  <c r="BF159" i="343"/>
  <c r="BH159" i="343" s="1"/>
  <c r="BB159" i="343"/>
  <c r="BC159" i="343"/>
  <c r="BD159" i="343" s="1"/>
  <c r="BE159" i="343" s="1"/>
  <c r="AE76" i="341"/>
  <c r="AB76" i="341"/>
  <c r="AD76" i="341"/>
  <c r="AC76" i="341" s="1"/>
  <c r="AF76" i="341" s="1"/>
  <c r="AE131" i="341"/>
  <c r="AD131" i="341"/>
  <c r="AC131" i="341" s="1"/>
  <c r="AF131" i="341" s="1"/>
  <c r="AB131" i="341"/>
  <c r="BA145" i="342"/>
  <c r="Z145" i="342"/>
  <c r="AZ145" i="342" s="1"/>
  <c r="BG145" i="342"/>
  <c r="S40" i="341"/>
  <c r="AE152" i="341"/>
  <c r="AB152" i="341"/>
  <c r="AD152" i="341"/>
  <c r="AC152" i="341" s="1"/>
  <c r="AF152" i="341" s="1"/>
  <c r="AB49" i="340"/>
  <c r="AE49" i="340"/>
  <c r="AD49" i="340"/>
  <c r="AC49" i="340" s="1"/>
  <c r="AF49" i="340" s="1"/>
  <c r="T26" i="340"/>
  <c r="AE145" i="341"/>
  <c r="AD145" i="341"/>
  <c r="AC145" i="341" s="1"/>
  <c r="AF145" i="341" s="1"/>
  <c r="AB145" i="341"/>
  <c r="BG124" i="343"/>
  <c r="AD166" i="341"/>
  <c r="AC166" i="341"/>
  <c r="AB166" i="341"/>
  <c r="AF166" i="341"/>
  <c r="AE166" i="341"/>
  <c r="AA128" i="341"/>
  <c r="Y153" i="341"/>
  <c r="AE150" i="341"/>
  <c r="AD150" i="341"/>
  <c r="AC150" i="341" s="1"/>
  <c r="AF150" i="341" s="1"/>
  <c r="AB150" i="341"/>
  <c r="BA158" i="343"/>
  <c r="Z158" i="343"/>
  <c r="AZ158" i="343" s="1"/>
  <c r="BG158" i="343"/>
  <c r="AZ60" i="342"/>
  <c r="BA60" i="342" s="1"/>
  <c r="V142" i="341"/>
  <c r="AE124" i="340"/>
  <c r="AC124" i="340"/>
  <c r="AF124" i="340" s="1"/>
  <c r="AD124" i="340"/>
  <c r="AB124" i="340"/>
  <c r="X48" i="340"/>
  <c r="Z155" i="342"/>
  <c r="AZ148" i="342"/>
  <c r="AE105" i="341"/>
  <c r="AB105" i="341"/>
  <c r="AD105" i="341"/>
  <c r="AC105" i="341" s="1"/>
  <c r="AF105" i="341" s="1"/>
  <c r="X143" i="341"/>
  <c r="AE129" i="340"/>
  <c r="AD129" i="340"/>
  <c r="AC129" i="340"/>
  <c r="AF129" i="340" s="1"/>
  <c r="AB129" i="340"/>
  <c r="AE23" i="341"/>
  <c r="AD23" i="341"/>
  <c r="AC23" i="341" s="1"/>
  <c r="AF23" i="341" s="1"/>
  <c r="AB23" i="341"/>
  <c r="BF57" i="342"/>
  <c r="BH57" i="342" s="1"/>
  <c r="BD57" i="342"/>
  <c r="BC57" i="342"/>
  <c r="BE57" i="342" s="1"/>
  <c r="BB57" i="342"/>
  <c r="BF78" i="342"/>
  <c r="BH78" i="342" s="1"/>
  <c r="BB78" i="342"/>
  <c r="BC78" i="342"/>
  <c r="BD78" i="342" s="1"/>
  <c r="BE78" i="342" s="1"/>
  <c r="BC27" i="342"/>
  <c r="BF27" i="342"/>
  <c r="BH27" i="342" s="1"/>
  <c r="BB27" i="342"/>
  <c r="BD27" i="342" s="1"/>
  <c r="AE138" i="341"/>
  <c r="AD138" i="341"/>
  <c r="AC138" i="341"/>
  <c r="AF138" i="341" s="1"/>
  <c r="AB138" i="341"/>
  <c r="BF127" i="343"/>
  <c r="BH127" i="343" s="1"/>
  <c r="BC127" i="343"/>
  <c r="BB127" i="343"/>
  <c r="BD127" i="343" s="1"/>
  <c r="BE127" i="343" s="1"/>
  <c r="X197" i="342"/>
  <c r="BB71" i="342"/>
  <c r="BF71" i="342"/>
  <c r="BH71" i="342" s="1"/>
  <c r="BC71" i="342"/>
  <c r="AE24" i="341"/>
  <c r="AD24" i="341"/>
  <c r="AC24" i="341"/>
  <c r="AF24" i="341" s="1"/>
  <c r="AB24" i="341"/>
  <c r="BC51" i="342"/>
  <c r="BB51" i="342"/>
  <c r="BF51" i="342"/>
  <c r="BH51" i="342" s="1"/>
  <c r="BC96" i="342"/>
  <c r="BE96" i="342" s="1"/>
  <c r="BB96" i="342"/>
  <c r="BF96" i="342"/>
  <c r="BH96" i="342" s="1"/>
  <c r="BD96" i="342"/>
  <c r="BB70" i="342"/>
  <c r="BF70" i="342"/>
  <c r="BH70" i="342" s="1"/>
  <c r="BC70" i="342"/>
  <c r="BF41" i="342"/>
  <c r="BH41" i="342" s="1"/>
  <c r="BD41" i="342"/>
  <c r="BE41" i="342" s="1"/>
  <c r="BC41" i="342"/>
  <c r="BB41" i="342"/>
  <c r="BF67" i="342"/>
  <c r="BH67" i="342" s="1"/>
  <c r="BC67" i="342"/>
  <c r="BB67" i="342"/>
  <c r="BB114" i="343"/>
  <c r="BC114" i="343"/>
  <c r="BF114" i="343"/>
  <c r="BH114" i="343" s="1"/>
  <c r="Y82" i="340"/>
  <c r="AA82" i="340" s="1"/>
  <c r="W82" i="340"/>
  <c r="V82" i="340"/>
  <c r="X82" i="340" s="1"/>
  <c r="U82" i="340"/>
  <c r="BI64" i="343"/>
  <c r="BL64" i="343"/>
  <c r="BK64" i="343"/>
  <c r="BJ64" i="343"/>
  <c r="BM64" i="343" s="1"/>
  <c r="AE146" i="341"/>
  <c r="AD146" i="341"/>
  <c r="AC146" i="341" s="1"/>
  <c r="AF146" i="341" s="1"/>
  <c r="AB146" i="341"/>
  <c r="BD172" i="342"/>
  <c r="BB172" i="342"/>
  <c r="BE172" i="342" s="1"/>
  <c r="BF172" i="342"/>
  <c r="BH172" i="342" s="1"/>
  <c r="BC172" i="342"/>
  <c r="BC131" i="342"/>
  <c r="BB131" i="342"/>
  <c r="BD131" i="342"/>
  <c r="BE131" i="342" s="1"/>
  <c r="BF131" i="342"/>
  <c r="BH131" i="342" s="1"/>
  <c r="AE137" i="340"/>
  <c r="AD137" i="340"/>
  <c r="AC137" i="340" s="1"/>
  <c r="AF137" i="340" s="1"/>
  <c r="AB137" i="340"/>
  <c r="S187" i="340"/>
  <c r="AE53" i="341"/>
  <c r="AD53" i="341"/>
  <c r="AC53" i="341"/>
  <c r="AF53" i="341" s="1"/>
  <c r="AB53" i="341"/>
  <c r="AZ85" i="343"/>
  <c r="BA85" i="343" s="1"/>
  <c r="Z104" i="343"/>
  <c r="AK104" i="342"/>
  <c r="BC150" i="343"/>
  <c r="BF150" i="343"/>
  <c r="BH150" i="343" s="1"/>
  <c r="BB150" i="343"/>
  <c r="BG81" i="342"/>
  <c r="BG83" i="342" s="1"/>
  <c r="Z81" i="342"/>
  <c r="AZ81" i="342" s="1"/>
  <c r="BA81" i="342" s="1"/>
  <c r="AJ45" i="343"/>
  <c r="AK14" i="343"/>
  <c r="AK45" i="343" s="1"/>
  <c r="BF37" i="343"/>
  <c r="BH37" i="343" s="1"/>
  <c r="BC37" i="343"/>
  <c r="BB37" i="343"/>
  <c r="BD37" i="343" s="1"/>
  <c r="BE37" i="343" s="1"/>
  <c r="BK48" i="342"/>
  <c r="BJ48" i="342"/>
  <c r="BI48" i="342"/>
  <c r="BL48" i="342"/>
  <c r="BM48" i="342"/>
  <c r="AP105" i="342"/>
  <c r="AP182" i="342" s="1"/>
  <c r="Z18" i="343"/>
  <c r="AZ18" i="343" s="1"/>
  <c r="BA18" i="343" s="1"/>
  <c r="BG18" i="343"/>
  <c r="AD73" i="341"/>
  <c r="AC73" i="341" s="1"/>
  <c r="AF73" i="341" s="1"/>
  <c r="AB73" i="341"/>
  <c r="AE73" i="341"/>
  <c r="AB128" i="340"/>
  <c r="AD128" i="340"/>
  <c r="AC128" i="340"/>
  <c r="AF128" i="340" s="1"/>
  <c r="AE128" i="340"/>
  <c r="AP105" i="343"/>
  <c r="AP161" i="343" s="1"/>
  <c r="AB136" i="341"/>
  <c r="AE136" i="341"/>
  <c r="AD136" i="341"/>
  <c r="AC136" i="341"/>
  <c r="AF136" i="341" s="1"/>
  <c r="AA106" i="340"/>
  <c r="Y109" i="340"/>
  <c r="BF90" i="343"/>
  <c r="BH90" i="343" s="1"/>
  <c r="BC90" i="343"/>
  <c r="BB90" i="343"/>
  <c r="Z125" i="342"/>
  <c r="Y133" i="342"/>
  <c r="BG125" i="342"/>
  <c r="BG133" i="342" s="1"/>
  <c r="Y146" i="340"/>
  <c r="AA146" i="340" s="1"/>
  <c r="W146" i="340"/>
  <c r="V146" i="340"/>
  <c r="U146" i="340"/>
  <c r="X146" i="340" s="1"/>
  <c r="BC27" i="343"/>
  <c r="BF27" i="343"/>
  <c r="BH27" i="343" s="1"/>
  <c r="BB27" i="343"/>
  <c r="BD27" i="343" s="1"/>
  <c r="BE27" i="343" s="1"/>
  <c r="AZ165" i="342"/>
  <c r="AA19" i="340"/>
  <c r="Y26" i="340"/>
  <c r="Z155" i="343"/>
  <c r="AZ155" i="343" s="1"/>
  <c r="BA155" i="343" s="1"/>
  <c r="BG155" i="343"/>
  <c r="AB77" i="341"/>
  <c r="AD77" i="341"/>
  <c r="AC77" i="341" s="1"/>
  <c r="AF77" i="341" s="1"/>
  <c r="AE77" i="341"/>
  <c r="AE130" i="341"/>
  <c r="AF130" i="341" s="1"/>
  <c r="AD130" i="341"/>
  <c r="AC130" i="341"/>
  <c r="AB130" i="341"/>
  <c r="Z137" i="342"/>
  <c r="AZ134" i="342"/>
  <c r="AE182" i="340"/>
  <c r="AD182" i="340"/>
  <c r="AC182" i="340" s="1"/>
  <c r="AF182" i="340" s="1"/>
  <c r="AB182" i="340"/>
  <c r="S126" i="341"/>
  <c r="S172" i="341" s="1"/>
  <c r="T125" i="341"/>
  <c r="W39" i="340"/>
  <c r="V141" i="340"/>
  <c r="BF103" i="343"/>
  <c r="BH103" i="343" s="1"/>
  <c r="BD103" i="343"/>
  <c r="BC103" i="343"/>
  <c r="BB103" i="343"/>
  <c r="BE103" i="343" s="1"/>
  <c r="AE160" i="341"/>
  <c r="AD160" i="341"/>
  <c r="AC160" i="341"/>
  <c r="AF160" i="341" s="1"/>
  <c r="AB160" i="341"/>
  <c r="AB49" i="341"/>
  <c r="AE49" i="341"/>
  <c r="AD49" i="341"/>
  <c r="AC49" i="341" s="1"/>
  <c r="AF49" i="341" s="1"/>
  <c r="AC67" i="341"/>
  <c r="AF67" i="341" s="1"/>
  <c r="AB67" i="341"/>
  <c r="AE67" i="341"/>
  <c r="AD67" i="341"/>
  <c r="AB102" i="341"/>
  <c r="AE102" i="341"/>
  <c r="AD102" i="341"/>
  <c r="AC102" i="341" s="1"/>
  <c r="AF102" i="341" s="1"/>
  <c r="BG167" i="342"/>
  <c r="BG181" i="342" s="1"/>
  <c r="BA167" i="342"/>
  <c r="AE69" i="341"/>
  <c r="AD69" i="341"/>
  <c r="AC69" i="341" s="1"/>
  <c r="AF69" i="341" s="1"/>
  <c r="AB69" i="341"/>
  <c r="BG60" i="343"/>
  <c r="Z60" i="343"/>
  <c r="AZ60" i="343" s="1"/>
  <c r="BA60" i="343"/>
  <c r="T172" i="340"/>
  <c r="W171" i="340"/>
  <c r="W172" i="340" s="1"/>
  <c r="U171" i="340"/>
  <c r="U172" i="340" s="1"/>
  <c r="Y171" i="340"/>
  <c r="AE72" i="340"/>
  <c r="AD72" i="340"/>
  <c r="AB72" i="340"/>
  <c r="AC72" i="340"/>
  <c r="AF72" i="340" s="1"/>
  <c r="X19" i="340"/>
  <c r="BB101" i="342"/>
  <c r="BD101" i="342" s="1"/>
  <c r="BF101" i="342"/>
  <c r="BH101" i="342" s="1"/>
  <c r="BC101" i="342"/>
  <c r="BG117" i="342"/>
  <c r="BG124" i="342" s="1"/>
  <c r="Y124" i="342"/>
  <c r="Z117" i="342"/>
  <c r="BB129" i="343"/>
  <c r="BF129" i="343"/>
  <c r="BH129" i="343" s="1"/>
  <c r="BC129" i="343"/>
  <c r="BG98" i="342"/>
  <c r="BG104" i="342" s="1"/>
  <c r="BA98" i="342"/>
  <c r="AE114" i="341"/>
  <c r="AD114" i="341"/>
  <c r="AC114" i="341" s="1"/>
  <c r="AF114" i="341" s="1"/>
  <c r="AB114" i="341"/>
  <c r="BG33" i="342"/>
  <c r="Z33" i="342"/>
  <c r="AZ33" i="342" s="1"/>
  <c r="BA33" i="342" s="1"/>
  <c r="BC89" i="343"/>
  <c r="BB89" i="343"/>
  <c r="BD89" i="343" s="1"/>
  <c r="BE89" i="343" s="1"/>
  <c r="BF89" i="343"/>
  <c r="BH89" i="343" s="1"/>
  <c r="AZ100" i="343"/>
  <c r="BA100" i="343" s="1"/>
  <c r="BJ119" i="343"/>
  <c r="BM119" i="343" s="1"/>
  <c r="BL119" i="343"/>
  <c r="BI119" i="343"/>
  <c r="BK119" i="343"/>
  <c r="BG155" i="342"/>
  <c r="AE35" i="340"/>
  <c r="AD35" i="340"/>
  <c r="AC35" i="340"/>
  <c r="AF35" i="340" s="1"/>
  <c r="AB35" i="340"/>
  <c r="AD112" i="341"/>
  <c r="AC112" i="341" s="1"/>
  <c r="AF112" i="341" s="1"/>
  <c r="AB112" i="341"/>
  <c r="AE112" i="341"/>
  <c r="AC25" i="340"/>
  <c r="AF25" i="340" s="1"/>
  <c r="AD25" i="340"/>
  <c r="AE25" i="340"/>
  <c r="AB25" i="340"/>
  <c r="BL29" i="342"/>
  <c r="BK29" i="342"/>
  <c r="BJ29" i="342" s="1"/>
  <c r="BM29" i="342" s="1"/>
  <c r="BI29" i="342"/>
  <c r="AC100" i="341"/>
  <c r="AB100" i="341"/>
  <c r="AD100" i="341"/>
  <c r="AE100" i="341"/>
  <c r="AF100" i="341" s="1"/>
  <c r="E18" i="154"/>
  <c r="E17" i="154"/>
  <c r="G96" i="328"/>
  <c r="G95" i="328"/>
  <c r="H93" i="328" s="1"/>
  <c r="D17" i="154"/>
  <c r="D18" i="154"/>
  <c r="G96" i="327"/>
  <c r="G95" i="327"/>
  <c r="H93" i="327" s="1"/>
  <c r="G82" i="297"/>
  <c r="G81" i="297"/>
  <c r="BC59" i="342" l="1"/>
  <c r="BB59" i="342"/>
  <c r="BD59" i="342" s="1"/>
  <c r="BE59" i="342" s="1"/>
  <c r="BF59" i="342"/>
  <c r="BH59" i="342" s="1"/>
  <c r="BD61" i="342"/>
  <c r="BC61" i="342"/>
  <c r="BB61" i="342"/>
  <c r="BE61" i="342"/>
  <c r="BF61" i="342"/>
  <c r="BH61" i="342" s="1"/>
  <c r="BE154" i="343"/>
  <c r="X24" i="340"/>
  <c r="X26" i="340" s="1"/>
  <c r="BE153" i="342"/>
  <c r="BE68" i="342"/>
  <c r="AF39" i="341"/>
  <c r="BE119" i="342"/>
  <c r="BE35" i="342"/>
  <c r="BE52" i="343"/>
  <c r="BE136" i="343"/>
  <c r="BE123" i="343"/>
  <c r="BE157" i="342"/>
  <c r="BC15" i="342"/>
  <c r="BF15" i="342"/>
  <c r="BH15" i="342" s="1"/>
  <c r="BB15" i="342"/>
  <c r="AC170" i="341"/>
  <c r="AF158" i="341"/>
  <c r="AF170" i="341" s="1"/>
  <c r="BE69" i="343"/>
  <c r="BE40" i="343"/>
  <c r="BC33" i="342"/>
  <c r="BB33" i="342"/>
  <c r="BD33" i="342" s="1"/>
  <c r="BE33" i="342" s="1"/>
  <c r="BF33" i="342"/>
  <c r="BH33" i="342" s="1"/>
  <c r="BB81" i="342"/>
  <c r="BF81" i="342"/>
  <c r="BH81" i="342" s="1"/>
  <c r="BC81" i="342"/>
  <c r="BC21" i="342"/>
  <c r="BF21" i="342"/>
  <c r="BH21" i="342" s="1"/>
  <c r="BB21" i="342"/>
  <c r="BE52" i="342"/>
  <c r="BB94" i="342"/>
  <c r="BE94" i="342" s="1"/>
  <c r="BF94" i="342"/>
  <c r="BH94" i="342" s="1"/>
  <c r="BC94" i="342"/>
  <c r="BD94" i="342"/>
  <c r="BE131" i="343"/>
  <c r="BF18" i="343"/>
  <c r="BH18" i="343" s="1"/>
  <c r="BC18" i="343"/>
  <c r="BB18" i="343"/>
  <c r="BE114" i="343"/>
  <c r="BE51" i="342"/>
  <c r="T171" i="341"/>
  <c r="BE53" i="342"/>
  <c r="BE17" i="343"/>
  <c r="BE79" i="342"/>
  <c r="S173" i="341"/>
  <c r="BC93" i="342"/>
  <c r="BB93" i="342"/>
  <c r="BF93" i="342"/>
  <c r="BH93" i="342" s="1"/>
  <c r="BD135" i="343"/>
  <c r="BE135" i="343" s="1"/>
  <c r="BB135" i="343"/>
  <c r="BF135" i="343"/>
  <c r="BH135" i="343" s="1"/>
  <c r="BC135" i="343"/>
  <c r="BD22" i="342"/>
  <c r="BB22" i="342"/>
  <c r="BC22" i="342"/>
  <c r="BE22" i="342" s="1"/>
  <c r="BF22" i="342"/>
  <c r="BH22" i="342" s="1"/>
  <c r="BE63" i="342"/>
  <c r="BG105" i="343"/>
  <c r="BE101" i="343"/>
  <c r="BC141" i="343"/>
  <c r="BD141" i="343" s="1"/>
  <c r="BE141" i="343" s="1"/>
  <c r="BF141" i="343"/>
  <c r="BH141" i="343" s="1"/>
  <c r="BB141" i="343"/>
  <c r="BE31" i="343"/>
  <c r="BE179" i="342"/>
  <c r="BC155" i="343"/>
  <c r="BF155" i="343"/>
  <c r="BH155" i="343" s="1"/>
  <c r="BD155" i="343"/>
  <c r="BE155" i="343" s="1"/>
  <c r="BB155" i="343"/>
  <c r="BD129" i="343"/>
  <c r="BE129" i="343" s="1"/>
  <c r="BE171" i="342"/>
  <c r="BC80" i="343"/>
  <c r="BB80" i="343"/>
  <c r="BE80" i="343" s="1"/>
  <c r="BF80" i="343"/>
  <c r="BH80" i="343" s="1"/>
  <c r="BD80" i="343"/>
  <c r="BE38" i="343"/>
  <c r="BE26" i="342"/>
  <c r="W125" i="341"/>
  <c r="W126" i="341" s="1"/>
  <c r="W172" i="341" s="1"/>
  <c r="U125" i="341"/>
  <c r="U126" i="341" s="1"/>
  <c r="T126" i="341"/>
  <c r="T172" i="341" s="1"/>
  <c r="T173" i="341" s="1"/>
  <c r="Y125" i="341"/>
  <c r="BL92" i="343"/>
  <c r="BK92" i="343"/>
  <c r="BJ92" i="343"/>
  <c r="BM92" i="343" s="1"/>
  <c r="BI92" i="343"/>
  <c r="BI27" i="343"/>
  <c r="BL27" i="343"/>
  <c r="BK27" i="343"/>
  <c r="BJ27" i="343"/>
  <c r="BM27" i="343" s="1"/>
  <c r="BI78" i="342"/>
  <c r="BL78" i="342"/>
  <c r="BK78" i="342"/>
  <c r="BJ78" i="342"/>
  <c r="BM78" i="342" s="1"/>
  <c r="BL88" i="342"/>
  <c r="BK88" i="342"/>
  <c r="BJ88" i="342" s="1"/>
  <c r="BM88" i="342" s="1"/>
  <c r="BI88" i="342"/>
  <c r="BK34" i="343"/>
  <c r="BJ34" i="343"/>
  <c r="BM34" i="343" s="1"/>
  <c r="BI34" i="343"/>
  <c r="BL34" i="343"/>
  <c r="AM142" i="343"/>
  <c r="AZ138" i="343"/>
  <c r="T40" i="341"/>
  <c r="AZ14" i="343"/>
  <c r="Z45" i="343"/>
  <c r="BI149" i="342"/>
  <c r="BL149" i="342"/>
  <c r="BK149" i="342"/>
  <c r="BJ149" i="342" s="1"/>
  <c r="BM149" i="342" s="1"/>
  <c r="BC152" i="342"/>
  <c r="BB152" i="342"/>
  <c r="BD152" i="342" s="1"/>
  <c r="BF152" i="342"/>
  <c r="BH152" i="342" s="1"/>
  <c r="AL105" i="342"/>
  <c r="AL182" i="342" s="1"/>
  <c r="BK73" i="342"/>
  <c r="BJ73" i="342" s="1"/>
  <c r="BM73" i="342" s="1"/>
  <c r="BI73" i="342"/>
  <c r="BL73" i="342"/>
  <c r="BB86" i="342"/>
  <c r="BC86" i="342"/>
  <c r="BD86" i="342" s="1"/>
  <c r="BE86" i="342" s="1"/>
  <c r="BF86" i="342"/>
  <c r="BH86" i="342" s="1"/>
  <c r="BI107" i="342"/>
  <c r="BL107" i="342"/>
  <c r="BK107" i="342"/>
  <c r="BJ107" i="342" s="1"/>
  <c r="BM107" i="342" s="1"/>
  <c r="BL150" i="342"/>
  <c r="BJ150" i="342"/>
  <c r="BK150" i="342"/>
  <c r="BI150" i="342"/>
  <c r="BM150" i="342"/>
  <c r="BC81" i="343"/>
  <c r="BF81" i="343"/>
  <c r="BH81" i="343" s="1"/>
  <c r="BB81" i="343"/>
  <c r="AZ125" i="343"/>
  <c r="Z133" i="343"/>
  <c r="AA39" i="340"/>
  <c r="AD27" i="340"/>
  <c r="AD39" i="340" s="1"/>
  <c r="AB27" i="340"/>
  <c r="AB39" i="340" s="1"/>
  <c r="AE27" i="340"/>
  <c r="AE39" i="340" s="1"/>
  <c r="BD153" i="343"/>
  <c r="BE153" i="343" s="1"/>
  <c r="BE70" i="343"/>
  <c r="AZ46" i="343"/>
  <c r="Z65" i="343"/>
  <c r="BK129" i="342"/>
  <c r="BL129" i="342"/>
  <c r="BI129" i="342"/>
  <c r="BJ129" i="342"/>
  <c r="BM129" i="342" s="1"/>
  <c r="BI31" i="342"/>
  <c r="BL31" i="342"/>
  <c r="BK31" i="342"/>
  <c r="BJ31" i="342" s="1"/>
  <c r="BM31" i="342" s="1"/>
  <c r="BD166" i="342"/>
  <c r="BE166" i="342" s="1"/>
  <c r="V170" i="341"/>
  <c r="BL122" i="343"/>
  <c r="BK122" i="343"/>
  <c r="BJ122" i="343" s="1"/>
  <c r="BM122" i="343" s="1"/>
  <c r="BI122" i="343"/>
  <c r="BK15" i="343"/>
  <c r="BJ15" i="343" s="1"/>
  <c r="BM15" i="343" s="1"/>
  <c r="BI15" i="343"/>
  <c r="BL15" i="343"/>
  <c r="BK97" i="343"/>
  <c r="BJ97" i="343" s="1"/>
  <c r="BM97" i="343" s="1"/>
  <c r="BL97" i="343"/>
  <c r="BI97" i="343"/>
  <c r="BC66" i="343"/>
  <c r="BC83" i="343" s="1"/>
  <c r="BA83" i="343"/>
  <c r="BF66" i="343"/>
  <c r="BB66" i="343"/>
  <c r="BL146" i="342"/>
  <c r="BK146" i="342"/>
  <c r="BJ146" i="342"/>
  <c r="BM146" i="342" s="1"/>
  <c r="BI146" i="342"/>
  <c r="BK158" i="342"/>
  <c r="BJ158" i="342"/>
  <c r="BM158" i="342" s="1"/>
  <c r="BI158" i="342"/>
  <c r="BL158" i="342"/>
  <c r="BL135" i="342"/>
  <c r="BK135" i="342"/>
  <c r="BJ135" i="342" s="1"/>
  <c r="BM135" i="342" s="1"/>
  <c r="BI135" i="342"/>
  <c r="BK53" i="343"/>
  <c r="BL53" i="343"/>
  <c r="BI53" i="343"/>
  <c r="BJ53" i="343"/>
  <c r="BM53" i="343" s="1"/>
  <c r="BL54" i="342"/>
  <c r="BK54" i="342"/>
  <c r="BI54" i="342"/>
  <c r="BM54" i="342" s="1"/>
  <c r="BJ54" i="342"/>
  <c r="Y172" i="340"/>
  <c r="AA171" i="340"/>
  <c r="BJ101" i="342"/>
  <c r="BM101" i="342" s="1"/>
  <c r="BL101" i="342"/>
  <c r="BK101" i="342"/>
  <c r="BI101" i="342"/>
  <c r="BL90" i="343"/>
  <c r="BK90" i="343"/>
  <c r="BJ90" i="343" s="1"/>
  <c r="BM90" i="343" s="1"/>
  <c r="BI90" i="343"/>
  <c r="BL127" i="343"/>
  <c r="BI127" i="343"/>
  <c r="BK127" i="343"/>
  <c r="BJ127" i="343"/>
  <c r="BM127" i="343" s="1"/>
  <c r="BK163" i="342"/>
  <c r="BJ163" i="342" s="1"/>
  <c r="BM163" i="342" s="1"/>
  <c r="BI163" i="342"/>
  <c r="BL163" i="342"/>
  <c r="BL103" i="343"/>
  <c r="BK103" i="343"/>
  <c r="BJ103" i="343" s="1"/>
  <c r="BM103" i="343" s="1"/>
  <c r="BI103" i="343"/>
  <c r="BK37" i="343"/>
  <c r="BI37" i="343"/>
  <c r="BJ37" i="343"/>
  <c r="BL37" i="343"/>
  <c r="BM37" i="343" s="1"/>
  <c r="BL172" i="342"/>
  <c r="BK172" i="342"/>
  <c r="BJ172" i="342" s="1"/>
  <c r="BM172" i="342" s="1"/>
  <c r="BI172" i="342"/>
  <c r="BI96" i="343"/>
  <c r="BL96" i="343"/>
  <c r="BK96" i="343"/>
  <c r="BJ96" i="343"/>
  <c r="BM96" i="343" s="1"/>
  <c r="BL130" i="343"/>
  <c r="BJ130" i="343"/>
  <c r="BM130" i="343" s="1"/>
  <c r="BI130" i="343"/>
  <c r="BK130" i="343"/>
  <c r="Y161" i="343"/>
  <c r="Y26" i="341"/>
  <c r="AA19" i="341"/>
  <c r="AZ148" i="343"/>
  <c r="Z160" i="343"/>
  <c r="BK118" i="343"/>
  <c r="BL118" i="343"/>
  <c r="BI118" i="343"/>
  <c r="BJ118" i="343"/>
  <c r="BM118" i="343" s="1"/>
  <c r="BG45" i="343"/>
  <c r="BD171" i="342"/>
  <c r="BD107" i="342"/>
  <c r="BE107" i="342" s="1"/>
  <c r="BG133" i="343"/>
  <c r="BB168" i="342"/>
  <c r="BD168" i="342" s="1"/>
  <c r="BC168" i="342"/>
  <c r="BF168" i="342"/>
  <c r="BH168" i="342" s="1"/>
  <c r="X175" i="343"/>
  <c r="X176" i="343" s="1"/>
  <c r="BL85" i="342"/>
  <c r="BK85" i="342"/>
  <c r="BJ85" i="342"/>
  <c r="BM85" i="342" s="1"/>
  <c r="BI85" i="342"/>
  <c r="BL99" i="343"/>
  <c r="BK99" i="343"/>
  <c r="BJ99" i="343"/>
  <c r="BM99" i="343" s="1"/>
  <c r="BI99" i="343"/>
  <c r="BK56" i="343"/>
  <c r="BJ56" i="343" s="1"/>
  <c r="BM56" i="343" s="1"/>
  <c r="BI56" i="343"/>
  <c r="BL56" i="343"/>
  <c r="BI52" i="343"/>
  <c r="BL52" i="343"/>
  <c r="BK52" i="343"/>
  <c r="BJ52" i="343" s="1"/>
  <c r="BM52" i="343" s="1"/>
  <c r="BF98" i="342"/>
  <c r="BH98" i="342" s="1"/>
  <c r="BC98" i="342"/>
  <c r="BB98" i="342"/>
  <c r="BD98" i="342" s="1"/>
  <c r="V142" i="340"/>
  <c r="X141" i="340"/>
  <c r="X142" i="340" s="1"/>
  <c r="AE106" i="340"/>
  <c r="AE109" i="340" s="1"/>
  <c r="AD106" i="340"/>
  <c r="AD109" i="340" s="1"/>
  <c r="AB106" i="340"/>
  <c r="AB109" i="340" s="1"/>
  <c r="AA109" i="340"/>
  <c r="BL41" i="342"/>
  <c r="BK41" i="342"/>
  <c r="BJ41" i="342" s="1"/>
  <c r="BM41" i="342" s="1"/>
  <c r="BI41" i="342"/>
  <c r="BC158" i="343"/>
  <c r="BD158" i="343"/>
  <c r="BB158" i="343"/>
  <c r="BF158" i="343"/>
  <c r="BH158" i="343" s="1"/>
  <c r="BE158" i="343"/>
  <c r="BK159" i="343"/>
  <c r="BJ159" i="343" s="1"/>
  <c r="BM159" i="343" s="1"/>
  <c r="BI159" i="343"/>
  <c r="BL159" i="343"/>
  <c r="BL130" i="342"/>
  <c r="BK130" i="342"/>
  <c r="BJ130" i="342" s="1"/>
  <c r="BM130" i="342" s="1"/>
  <c r="BI130" i="342"/>
  <c r="BI178" i="342"/>
  <c r="BK178" i="342"/>
  <c r="BJ178" i="342" s="1"/>
  <c r="BM178" i="342" s="1"/>
  <c r="BL178" i="342"/>
  <c r="BE43" i="342"/>
  <c r="BD169" i="342"/>
  <c r="BE169" i="342" s="1"/>
  <c r="AZ124" i="343"/>
  <c r="BA117" i="343"/>
  <c r="U172" i="341"/>
  <c r="U40" i="341"/>
  <c r="BE92" i="343"/>
  <c r="BE44" i="343"/>
  <c r="BE87" i="342"/>
  <c r="Z65" i="342"/>
  <c r="AZ46" i="342"/>
  <c r="BD40" i="343"/>
  <c r="BL43" i="343"/>
  <c r="BJ43" i="343"/>
  <c r="BM43" i="343" s="1"/>
  <c r="BK43" i="343"/>
  <c r="BI43" i="343"/>
  <c r="BL131" i="343"/>
  <c r="BK131" i="343"/>
  <c r="BJ131" i="343" s="1"/>
  <c r="BM131" i="343" s="1"/>
  <c r="BI131" i="343"/>
  <c r="BL120" i="343"/>
  <c r="BK120" i="343"/>
  <c r="BI120" i="343"/>
  <c r="BJ120" i="343"/>
  <c r="BM120" i="343" s="1"/>
  <c r="BG65" i="343"/>
  <c r="BL166" i="342"/>
  <c r="BI166" i="342"/>
  <c r="BK166" i="342"/>
  <c r="BJ166" i="342" s="1"/>
  <c r="BM166" i="342" s="1"/>
  <c r="BE30" i="343"/>
  <c r="BL32" i="342"/>
  <c r="BK32" i="342"/>
  <c r="BJ32" i="342" s="1"/>
  <c r="BM32" i="342" s="1"/>
  <c r="BI32" i="342"/>
  <c r="X32" i="341"/>
  <c r="X39" i="341" s="1"/>
  <c r="BL114" i="343"/>
  <c r="BI114" i="343"/>
  <c r="BK114" i="343"/>
  <c r="BJ114" i="343" s="1"/>
  <c r="BM114" i="343" s="1"/>
  <c r="BK68" i="343"/>
  <c r="BL68" i="343"/>
  <c r="BJ68" i="343"/>
  <c r="BM68" i="343" s="1"/>
  <c r="BI68" i="343"/>
  <c r="BL69" i="343"/>
  <c r="BK69" i="343"/>
  <c r="BJ69" i="343" s="1"/>
  <c r="BM69" i="343" s="1"/>
  <c r="BI69" i="343"/>
  <c r="BI52" i="342"/>
  <c r="BL52" i="342"/>
  <c r="BK52" i="342"/>
  <c r="BJ52" i="342" s="1"/>
  <c r="BM52" i="342" s="1"/>
  <c r="BB100" i="343"/>
  <c r="BF100" i="343"/>
  <c r="BH100" i="343" s="1"/>
  <c r="BD100" i="343"/>
  <c r="BC100" i="343"/>
  <c r="BE100" i="343"/>
  <c r="AB82" i="340"/>
  <c r="AE82" i="340"/>
  <c r="AF82" i="340" s="1"/>
  <c r="AD82" i="340"/>
  <c r="AC82" i="340"/>
  <c r="BD70" i="342"/>
  <c r="BE70" i="342" s="1"/>
  <c r="BD96" i="343"/>
  <c r="BE96" i="343" s="1"/>
  <c r="BK126" i="343"/>
  <c r="BL126" i="343"/>
  <c r="BJ126" i="343"/>
  <c r="BM126" i="343" s="1"/>
  <c r="BI126" i="343"/>
  <c r="W40" i="340"/>
  <c r="W188" i="340"/>
  <c r="V19" i="341"/>
  <c r="V90" i="341"/>
  <c r="BL44" i="343"/>
  <c r="BK44" i="343"/>
  <c r="BJ44" i="343" s="1"/>
  <c r="BM44" i="343" s="1"/>
  <c r="BI44" i="343"/>
  <c r="BD157" i="342"/>
  <c r="BL171" i="342"/>
  <c r="BK171" i="342"/>
  <c r="BJ171" i="342" s="1"/>
  <c r="BM171" i="342" s="1"/>
  <c r="BI171" i="342"/>
  <c r="BL118" i="342"/>
  <c r="BK118" i="342"/>
  <c r="BJ118" i="342"/>
  <c r="BM118" i="342" s="1"/>
  <c r="BI118" i="342"/>
  <c r="BK87" i="342"/>
  <c r="BJ87" i="342"/>
  <c r="BM87" i="342" s="1"/>
  <c r="BL87" i="342"/>
  <c r="BI87" i="342"/>
  <c r="BK126" i="342"/>
  <c r="BJ126" i="342" s="1"/>
  <c r="BM126" i="342" s="1"/>
  <c r="BI126" i="342"/>
  <c r="BL126" i="342"/>
  <c r="BL31" i="343"/>
  <c r="BK31" i="343"/>
  <c r="BJ31" i="343" s="1"/>
  <c r="BM31" i="343" s="1"/>
  <c r="BI31" i="343"/>
  <c r="BD68" i="343"/>
  <c r="BE68" i="343" s="1"/>
  <c r="BE49" i="343"/>
  <c r="AM105" i="343"/>
  <c r="AM161" i="343" s="1"/>
  <c r="BG65" i="342"/>
  <c r="BK24" i="342"/>
  <c r="BJ24" i="342"/>
  <c r="BI24" i="342"/>
  <c r="BL24" i="342"/>
  <c r="BM24" i="342"/>
  <c r="BL144" i="343"/>
  <c r="BK144" i="343"/>
  <c r="BJ144" i="343" s="1"/>
  <c r="BM144" i="343" s="1"/>
  <c r="BI144" i="343"/>
  <c r="BL30" i="343"/>
  <c r="BI30" i="343"/>
  <c r="BK30" i="343"/>
  <c r="BJ30" i="343" s="1"/>
  <c r="BM30" i="343" s="1"/>
  <c r="BL140" i="343"/>
  <c r="BK140" i="343"/>
  <c r="BJ140" i="343"/>
  <c r="BM140" i="343" s="1"/>
  <c r="BI140" i="343"/>
  <c r="BL26" i="343"/>
  <c r="BI26" i="343"/>
  <c r="BK26" i="343"/>
  <c r="BJ26" i="343"/>
  <c r="BM26" i="343" s="1"/>
  <c r="BI109" i="342"/>
  <c r="BL109" i="342"/>
  <c r="BM109" i="342" s="1"/>
  <c r="BK109" i="342"/>
  <c r="BJ109" i="342"/>
  <c r="BD38" i="342"/>
  <c r="BE38" i="342" s="1"/>
  <c r="BD52" i="343"/>
  <c r="BK63" i="343"/>
  <c r="BL63" i="343"/>
  <c r="BJ63" i="343"/>
  <c r="BM63" i="343" s="1"/>
  <c r="BI63" i="343"/>
  <c r="BI39" i="342"/>
  <c r="BL39" i="342"/>
  <c r="BJ39" i="342"/>
  <c r="BM39" i="342" s="1"/>
  <c r="BK39" i="342"/>
  <c r="BL55" i="342"/>
  <c r="BK55" i="342"/>
  <c r="BJ55" i="342" s="1"/>
  <c r="BM55" i="342" s="1"/>
  <c r="BI55" i="342"/>
  <c r="BL58" i="342"/>
  <c r="BK58" i="342"/>
  <c r="BJ58" i="342"/>
  <c r="BI58" i="342"/>
  <c r="BM58" i="342"/>
  <c r="BD52" i="342"/>
  <c r="BI44" i="342"/>
  <c r="BK44" i="342"/>
  <c r="BJ44" i="342" s="1"/>
  <c r="BM44" i="342" s="1"/>
  <c r="BL44" i="342"/>
  <c r="BI16" i="342"/>
  <c r="BL16" i="342"/>
  <c r="BK16" i="342"/>
  <c r="BJ16" i="342" s="1"/>
  <c r="BM16" i="342" s="1"/>
  <c r="BK55" i="343"/>
  <c r="BJ55" i="343"/>
  <c r="BM55" i="343" s="1"/>
  <c r="BL55" i="343"/>
  <c r="BI55" i="343"/>
  <c r="BJ93" i="343"/>
  <c r="BL93" i="343"/>
  <c r="BK93" i="343"/>
  <c r="BI93" i="343"/>
  <c r="BM93" i="343"/>
  <c r="BK129" i="343"/>
  <c r="BJ129" i="343"/>
  <c r="BM129" i="343" s="1"/>
  <c r="BI129" i="343"/>
  <c r="BL129" i="343"/>
  <c r="BF167" i="342"/>
  <c r="BH167" i="342" s="1"/>
  <c r="BB167" i="342"/>
  <c r="BE167" i="342" s="1"/>
  <c r="BC167" i="342"/>
  <c r="BD167" i="342" s="1"/>
  <c r="BD114" i="343"/>
  <c r="BI70" i="342"/>
  <c r="BL70" i="342"/>
  <c r="BK70" i="342"/>
  <c r="BJ70" i="342"/>
  <c r="BM70" i="342"/>
  <c r="AZ155" i="342"/>
  <c r="BA148" i="342"/>
  <c r="BL61" i="343"/>
  <c r="BI61" i="343"/>
  <c r="BJ61" i="343"/>
  <c r="BM61" i="343" s="1"/>
  <c r="BK61" i="343"/>
  <c r="T122" i="341"/>
  <c r="Y95" i="341"/>
  <c r="W95" i="341"/>
  <c r="W122" i="341" s="1"/>
  <c r="W171" i="341" s="1"/>
  <c r="U95" i="341"/>
  <c r="U122" i="341" s="1"/>
  <c r="U171" i="341" s="1"/>
  <c r="BI62" i="343"/>
  <c r="BK62" i="343"/>
  <c r="BL62" i="343"/>
  <c r="BJ62" i="343"/>
  <c r="BM62" i="343" s="1"/>
  <c r="AA43" i="341"/>
  <c r="Y88" i="341"/>
  <c r="BK177" i="342"/>
  <c r="BJ177" i="342"/>
  <c r="BM177" i="342" s="1"/>
  <c r="BI177" i="342"/>
  <c r="BL177" i="342"/>
  <c r="BK169" i="342"/>
  <c r="BJ169" i="342" s="1"/>
  <c r="BM169" i="342" s="1"/>
  <c r="BL169" i="342"/>
  <c r="BI169" i="342"/>
  <c r="BL146" i="343"/>
  <c r="BK146" i="343"/>
  <c r="BJ146" i="343" s="1"/>
  <c r="BM146" i="343" s="1"/>
  <c r="BI146" i="343"/>
  <c r="AA90" i="341"/>
  <c r="Y93" i="341"/>
  <c r="BD113" i="343"/>
  <c r="BE113" i="343" s="1"/>
  <c r="BL157" i="342"/>
  <c r="BK157" i="342"/>
  <c r="BJ157" i="342" s="1"/>
  <c r="BM157" i="342" s="1"/>
  <c r="BI157" i="342"/>
  <c r="AZ143" i="342"/>
  <c r="Z147" i="342"/>
  <c r="BE98" i="343"/>
  <c r="BD151" i="343"/>
  <c r="BE151" i="343" s="1"/>
  <c r="BD112" i="343"/>
  <c r="BE112" i="343" s="1"/>
  <c r="AB39" i="341"/>
  <c r="AA174" i="340"/>
  <c r="Y186" i="340"/>
  <c r="BL77" i="342"/>
  <c r="BK77" i="342"/>
  <c r="BJ77" i="342" s="1"/>
  <c r="BM77" i="342" s="1"/>
  <c r="BI77" i="342"/>
  <c r="BE25" i="343"/>
  <c r="BD42" i="342"/>
  <c r="BE42" i="342" s="1"/>
  <c r="BD154" i="343"/>
  <c r="BD179" i="342"/>
  <c r="BI151" i="342"/>
  <c r="BL151" i="342"/>
  <c r="BK151" i="342"/>
  <c r="BJ151" i="342" s="1"/>
  <c r="BM151" i="342" s="1"/>
  <c r="BD54" i="343"/>
  <c r="BE54" i="343" s="1"/>
  <c r="BI38" i="342"/>
  <c r="BL38" i="342"/>
  <c r="BK38" i="342"/>
  <c r="BJ38" i="342" s="1"/>
  <c r="BM38" i="342" s="1"/>
  <c r="BE67" i="343"/>
  <c r="BD26" i="342"/>
  <c r="BB174" i="342"/>
  <c r="BD174" i="342" s="1"/>
  <c r="BE174" i="342" s="1"/>
  <c r="BF174" i="342"/>
  <c r="BH174" i="342" s="1"/>
  <c r="BC174" i="342"/>
  <c r="BK40" i="343"/>
  <c r="BJ40" i="343" s="1"/>
  <c r="BM40" i="343" s="1"/>
  <c r="BL40" i="343"/>
  <c r="BI40" i="343"/>
  <c r="BF128" i="342"/>
  <c r="BH128" i="342" s="1"/>
  <c r="BD128" i="342"/>
  <c r="BE128" i="342"/>
  <c r="BC128" i="342"/>
  <c r="BB128" i="342"/>
  <c r="BI160" i="342"/>
  <c r="BJ160" i="342"/>
  <c r="BM160" i="342" s="1"/>
  <c r="BL160" i="342"/>
  <c r="BK160" i="342"/>
  <c r="AD146" i="340"/>
  <c r="AC146" i="340"/>
  <c r="AB146" i="340"/>
  <c r="AE146" i="340"/>
  <c r="AF146" i="340" s="1"/>
  <c r="BE27" i="342"/>
  <c r="BE82" i="342"/>
  <c r="BD123" i="343"/>
  <c r="BD18" i="342"/>
  <c r="BE18" i="342" s="1"/>
  <c r="AZ116" i="342"/>
  <c r="BA106" i="342"/>
  <c r="BL151" i="343"/>
  <c r="BK151" i="343"/>
  <c r="BJ151" i="343"/>
  <c r="BM151" i="343" s="1"/>
  <c r="BI151" i="343"/>
  <c r="BE176" i="342"/>
  <c r="BL49" i="343"/>
  <c r="BK49" i="343"/>
  <c r="BJ49" i="343" s="1"/>
  <c r="BM49" i="343" s="1"/>
  <c r="BI49" i="343"/>
  <c r="BF139" i="342"/>
  <c r="BH139" i="342" s="1"/>
  <c r="BC139" i="342"/>
  <c r="BD139" i="342" s="1"/>
  <c r="BB139" i="342"/>
  <c r="BK112" i="343"/>
  <c r="BJ112" i="343" s="1"/>
  <c r="BM112" i="343" s="1"/>
  <c r="BL112" i="343"/>
  <c r="BI112" i="343"/>
  <c r="AB170" i="341"/>
  <c r="BI63" i="342"/>
  <c r="BL63" i="342"/>
  <c r="BK63" i="342"/>
  <c r="BJ63" i="342" s="1"/>
  <c r="BM63" i="342" s="1"/>
  <c r="AZ137" i="343"/>
  <c r="BA134" i="343"/>
  <c r="Y155" i="341"/>
  <c r="W155" i="341"/>
  <c r="W156" i="341" s="1"/>
  <c r="U155" i="341"/>
  <c r="U156" i="341" s="1"/>
  <c r="T156" i="341"/>
  <c r="V155" i="341"/>
  <c r="V156" i="341" s="1"/>
  <c r="AD39" i="341"/>
  <c r="BD17" i="343"/>
  <c r="BD141" i="342"/>
  <c r="BE141" i="342" s="1"/>
  <c r="BE136" i="342"/>
  <c r="BK24" i="343"/>
  <c r="BI24" i="343"/>
  <c r="BL24" i="343"/>
  <c r="BJ24" i="343"/>
  <c r="BM24" i="343" s="1"/>
  <c r="BK179" i="342"/>
  <c r="BJ179" i="342" s="1"/>
  <c r="BM179" i="342" s="1"/>
  <c r="BI179" i="342"/>
  <c r="BL179" i="342"/>
  <c r="BD35" i="342"/>
  <c r="BJ110" i="343"/>
  <c r="BI110" i="343"/>
  <c r="BK110" i="343"/>
  <c r="BL110" i="343"/>
  <c r="BM110" i="343" s="1"/>
  <c r="BE25" i="342"/>
  <c r="BL67" i="343"/>
  <c r="BK67" i="343"/>
  <c r="BJ67" i="343" s="1"/>
  <c r="BM67" i="343" s="1"/>
  <c r="BI67" i="343"/>
  <c r="BL26" i="342"/>
  <c r="BK26" i="342"/>
  <c r="BJ26" i="342" s="1"/>
  <c r="BM26" i="342" s="1"/>
  <c r="BI26" i="342"/>
  <c r="BK35" i="343"/>
  <c r="BJ35" i="343" s="1"/>
  <c r="BM35" i="343" s="1"/>
  <c r="BL35" i="343"/>
  <c r="BI35" i="343"/>
  <c r="BL76" i="342"/>
  <c r="BK76" i="342"/>
  <c r="BJ76" i="342" s="1"/>
  <c r="BM76" i="342" s="1"/>
  <c r="BI76" i="342"/>
  <c r="BL71" i="342"/>
  <c r="BK71" i="342"/>
  <c r="BJ71" i="342" s="1"/>
  <c r="BM71" i="342" s="1"/>
  <c r="BI71" i="342"/>
  <c r="BD132" i="342"/>
  <c r="BE132" i="342" s="1"/>
  <c r="BL82" i="342"/>
  <c r="BK82" i="342"/>
  <c r="BJ82" i="342" s="1"/>
  <c r="BM82" i="342" s="1"/>
  <c r="BI82" i="342"/>
  <c r="BL152" i="343"/>
  <c r="BK152" i="343"/>
  <c r="BJ152" i="343" s="1"/>
  <c r="BM152" i="343" s="1"/>
  <c r="BI152" i="343"/>
  <c r="BJ18" i="342"/>
  <c r="BM18" i="342" s="1"/>
  <c r="BL18" i="342"/>
  <c r="BK18" i="342"/>
  <c r="BI18" i="342"/>
  <c r="Z105" i="342"/>
  <c r="BI76" i="343"/>
  <c r="BL76" i="343"/>
  <c r="BK76" i="343"/>
  <c r="BJ76" i="343"/>
  <c r="BM76" i="343" s="1"/>
  <c r="W104" i="340"/>
  <c r="BG142" i="343"/>
  <c r="AE39" i="341"/>
  <c r="AJ105" i="343"/>
  <c r="AJ161" i="343" s="1"/>
  <c r="BK95" i="343"/>
  <c r="BJ95" i="343" s="1"/>
  <c r="BM95" i="343" s="1"/>
  <c r="BL95" i="343"/>
  <c r="BI95" i="343"/>
  <c r="BI16" i="343"/>
  <c r="BL16" i="343"/>
  <c r="BK16" i="343"/>
  <c r="BJ16" i="343" s="1"/>
  <c r="BM16" i="343" s="1"/>
  <c r="BE108" i="343"/>
  <c r="BI35" i="342"/>
  <c r="BL35" i="342"/>
  <c r="BK35" i="342"/>
  <c r="BJ35" i="342" s="1"/>
  <c r="BM35" i="342" s="1"/>
  <c r="BI30" i="342"/>
  <c r="BM30" i="342"/>
  <c r="BL30" i="342"/>
  <c r="BK30" i="342"/>
  <c r="BJ30" i="342"/>
  <c r="BL20" i="343"/>
  <c r="BJ20" i="343"/>
  <c r="BM20" i="343" s="1"/>
  <c r="BK20" i="343"/>
  <c r="BI20" i="343"/>
  <c r="BE154" i="342"/>
  <c r="BK111" i="342"/>
  <c r="BJ111" i="342" s="1"/>
  <c r="BM111" i="342" s="1"/>
  <c r="BI111" i="342"/>
  <c r="BL111" i="342"/>
  <c r="Z124" i="342"/>
  <c r="AZ117" i="342"/>
  <c r="V171" i="340"/>
  <c r="V172" i="340" s="1"/>
  <c r="Y40" i="340"/>
  <c r="BK131" i="342"/>
  <c r="BJ131" i="342" s="1"/>
  <c r="BM131" i="342" s="1"/>
  <c r="BL131" i="342"/>
  <c r="BI131" i="342"/>
  <c r="BD71" i="342"/>
  <c r="BE71" i="342" s="1"/>
  <c r="AZ104" i="343"/>
  <c r="BA84" i="343"/>
  <c r="BC86" i="343"/>
  <c r="BE86" i="343" s="1"/>
  <c r="BB86" i="343"/>
  <c r="BF86" i="343"/>
  <c r="BH86" i="343" s="1"/>
  <c r="BD86" i="343"/>
  <c r="BL88" i="343"/>
  <c r="BK88" i="343"/>
  <c r="BI88" i="343"/>
  <c r="BJ88" i="343"/>
  <c r="BM88" i="343" s="1"/>
  <c r="BE59" i="343"/>
  <c r="Z83" i="342"/>
  <c r="BE74" i="342"/>
  <c r="BL64" i="342"/>
  <c r="BK64" i="342"/>
  <c r="BI64" i="342"/>
  <c r="BJ64" i="342"/>
  <c r="BM64" i="342" s="1"/>
  <c r="BE74" i="343"/>
  <c r="AE170" i="341"/>
  <c r="X43" i="340"/>
  <c r="X104" i="340" s="1"/>
  <c r="BD73" i="343"/>
  <c r="BE73" i="343" s="1"/>
  <c r="AK105" i="343"/>
  <c r="AK161" i="343" s="1"/>
  <c r="BK25" i="343"/>
  <c r="BJ25" i="343"/>
  <c r="BM25" i="343" s="1"/>
  <c r="BI25" i="343"/>
  <c r="BL25" i="343"/>
  <c r="BL161" i="342"/>
  <c r="BI161" i="342"/>
  <c r="BK161" i="342"/>
  <c r="BJ161" i="342" s="1"/>
  <c r="BM161" i="342" s="1"/>
  <c r="BL25" i="342"/>
  <c r="BK25" i="342"/>
  <c r="BJ25" i="342"/>
  <c r="BM25" i="342" s="1"/>
  <c r="BI25" i="342"/>
  <c r="BI80" i="342"/>
  <c r="BK80" i="342"/>
  <c r="BJ80" i="342" s="1"/>
  <c r="BM80" i="342" s="1"/>
  <c r="BL80" i="342"/>
  <c r="BL122" i="342"/>
  <c r="BI122" i="342"/>
  <c r="BK122" i="342"/>
  <c r="BJ122" i="342" s="1"/>
  <c r="BM122" i="342" s="1"/>
  <c r="BE36" i="342"/>
  <c r="BL82" i="343"/>
  <c r="BK82" i="343"/>
  <c r="BJ82" i="343"/>
  <c r="BM82" i="343" s="1"/>
  <c r="BI82" i="343"/>
  <c r="BL47" i="343"/>
  <c r="BI47" i="343"/>
  <c r="BK47" i="343"/>
  <c r="BJ47" i="343" s="1"/>
  <c r="BM47" i="343" s="1"/>
  <c r="BL132" i="343"/>
  <c r="BK132" i="343"/>
  <c r="BJ132" i="343" s="1"/>
  <c r="BM132" i="343" s="1"/>
  <c r="BI132" i="343"/>
  <c r="BI114" i="342"/>
  <c r="BL114" i="342"/>
  <c r="BK114" i="342"/>
  <c r="BJ114" i="342"/>
  <c r="BM114" i="342" s="1"/>
  <c r="BF17" i="342"/>
  <c r="BH17" i="342" s="1"/>
  <c r="BC17" i="342"/>
  <c r="BB17" i="342"/>
  <c r="BD17" i="342" s="1"/>
  <c r="BE17" i="342" s="1"/>
  <c r="V174" i="340"/>
  <c r="AA153" i="341"/>
  <c r="AE128" i="341"/>
  <c r="AE153" i="341" s="1"/>
  <c r="AC128" i="341"/>
  <c r="AC153" i="341" s="1"/>
  <c r="AD128" i="341"/>
  <c r="AD153" i="341" s="1"/>
  <c r="AB128" i="341"/>
  <c r="AB153" i="341" s="1"/>
  <c r="BK87" i="343"/>
  <c r="BJ87" i="343" s="1"/>
  <c r="BM87" i="343" s="1"/>
  <c r="BI87" i="343"/>
  <c r="BL87" i="343"/>
  <c r="BG116" i="343"/>
  <c r="AE68" i="341"/>
  <c r="AD68" i="341"/>
  <c r="AC68" i="341"/>
  <c r="AF68" i="341" s="1"/>
  <c r="AB68" i="341"/>
  <c r="AA43" i="340"/>
  <c r="Y104" i="340"/>
  <c r="AZ147" i="343"/>
  <c r="BA143" i="343"/>
  <c r="BE42" i="343"/>
  <c r="BD99" i="342"/>
  <c r="BE99" i="342" s="1"/>
  <c r="BD51" i="343"/>
  <c r="BE51" i="343" s="1"/>
  <c r="BI38" i="343"/>
  <c r="BL38" i="343"/>
  <c r="BK38" i="343"/>
  <c r="BJ38" i="343" s="1"/>
  <c r="BM38" i="343" s="1"/>
  <c r="BD102" i="343"/>
  <c r="BE102" i="343" s="1"/>
  <c r="BE162" i="342"/>
  <c r="BI154" i="342"/>
  <c r="BL154" i="342"/>
  <c r="BK154" i="342"/>
  <c r="BJ154" i="342" s="1"/>
  <c r="BM154" i="342" s="1"/>
  <c r="BD122" i="342"/>
  <c r="BE122" i="342" s="1"/>
  <c r="BC145" i="342"/>
  <c r="BB145" i="342"/>
  <c r="BD145" i="342" s="1"/>
  <c r="BF145" i="342"/>
  <c r="BH145" i="342" s="1"/>
  <c r="BL43" i="342"/>
  <c r="BK43" i="342"/>
  <c r="BJ43" i="342" s="1"/>
  <c r="BM43" i="342" s="1"/>
  <c r="BI43" i="342"/>
  <c r="BI149" i="343"/>
  <c r="BK149" i="343"/>
  <c r="BL149" i="343"/>
  <c r="BJ149" i="343"/>
  <c r="BM149" i="343" s="1"/>
  <c r="T188" i="340"/>
  <c r="T40" i="340"/>
  <c r="BC156" i="343"/>
  <c r="BF156" i="343"/>
  <c r="BH156" i="343" s="1"/>
  <c r="BB156" i="343"/>
  <c r="BD156" i="343" s="1"/>
  <c r="BE156" i="343" s="1"/>
  <c r="V104" i="340"/>
  <c r="BK141" i="342"/>
  <c r="BJ141" i="342" s="1"/>
  <c r="BM141" i="342" s="1"/>
  <c r="BL141" i="342"/>
  <c r="BI141" i="342"/>
  <c r="BI42" i="342"/>
  <c r="BL42" i="342"/>
  <c r="BK42" i="342"/>
  <c r="BJ42" i="342" s="1"/>
  <c r="BM42" i="342" s="1"/>
  <c r="BK54" i="343"/>
  <c r="BJ54" i="343" s="1"/>
  <c r="BM54" i="343" s="1"/>
  <c r="BI54" i="343"/>
  <c r="BL54" i="343"/>
  <c r="BL96" i="342"/>
  <c r="BI96" i="342"/>
  <c r="BK96" i="342"/>
  <c r="BJ96" i="342" s="1"/>
  <c r="BM96" i="342" s="1"/>
  <c r="BF128" i="343"/>
  <c r="BH128" i="343" s="1"/>
  <c r="BC128" i="343"/>
  <c r="BB128" i="343"/>
  <c r="BD128" i="343" s="1"/>
  <c r="T138" i="340"/>
  <c r="T187" i="340" s="1"/>
  <c r="Y111" i="340"/>
  <c r="W111" i="340"/>
  <c r="W138" i="340" s="1"/>
  <c r="W187" i="340" s="1"/>
  <c r="U111" i="340"/>
  <c r="U138" i="340" s="1"/>
  <c r="U187" i="340" s="1"/>
  <c r="AZ137" i="342"/>
  <c r="BA134" i="342"/>
  <c r="U144" i="340"/>
  <c r="U169" i="340" s="1"/>
  <c r="T169" i="340"/>
  <c r="Y144" i="340"/>
  <c r="W144" i="340"/>
  <c r="W169" i="340" s="1"/>
  <c r="V144" i="340"/>
  <c r="V169" i="340" s="1"/>
  <c r="BD101" i="343"/>
  <c r="Z164" i="342"/>
  <c r="AZ156" i="342"/>
  <c r="BD140" i="342"/>
  <c r="BE140" i="342" s="1"/>
  <c r="AZ106" i="343"/>
  <c r="Z116" i="343"/>
  <c r="BA83" i="342"/>
  <c r="BF66" i="342"/>
  <c r="BC66" i="342"/>
  <c r="BC83" i="342" s="1"/>
  <c r="BB66" i="342"/>
  <c r="BD68" i="342"/>
  <c r="V24" i="340"/>
  <c r="V26" i="340" s="1"/>
  <c r="BI102" i="342"/>
  <c r="BK102" i="342"/>
  <c r="BJ102" i="342" s="1"/>
  <c r="BM102" i="342" s="1"/>
  <c r="BL102" i="342"/>
  <c r="BJ62" i="342"/>
  <c r="BM62" i="342" s="1"/>
  <c r="BI62" i="342"/>
  <c r="BL62" i="342"/>
  <c r="BK62" i="342"/>
  <c r="BL113" i="342"/>
  <c r="BK113" i="342"/>
  <c r="BJ113" i="342" s="1"/>
  <c r="BM113" i="342" s="1"/>
  <c r="BI113" i="342"/>
  <c r="BL108" i="343"/>
  <c r="BI108" i="343"/>
  <c r="BK108" i="343"/>
  <c r="BJ108" i="343" s="1"/>
  <c r="BM108" i="343" s="1"/>
  <c r="BL91" i="342"/>
  <c r="BK91" i="342"/>
  <c r="BJ91" i="342"/>
  <c r="BM91" i="342" s="1"/>
  <c r="BI91" i="342"/>
  <c r="BL119" i="342"/>
  <c r="BK119" i="342"/>
  <c r="BJ119" i="342" s="1"/>
  <c r="BM119" i="342" s="1"/>
  <c r="BI119" i="342"/>
  <c r="AZ181" i="342"/>
  <c r="BA165" i="342"/>
  <c r="BD120" i="342"/>
  <c r="BE120" i="342" s="1"/>
  <c r="BI37" i="342"/>
  <c r="BL37" i="342"/>
  <c r="BK37" i="342"/>
  <c r="BJ37" i="342" s="1"/>
  <c r="BM37" i="342" s="1"/>
  <c r="BK136" i="343"/>
  <c r="BJ136" i="343"/>
  <c r="BM136" i="343" s="1"/>
  <c r="BL136" i="343"/>
  <c r="BI136" i="343"/>
  <c r="U26" i="340"/>
  <c r="BI127" i="342"/>
  <c r="BL127" i="342"/>
  <c r="BK127" i="342"/>
  <c r="BJ127" i="342"/>
  <c r="BM127" i="342"/>
  <c r="BD73" i="342"/>
  <c r="BE73" i="342" s="1"/>
  <c r="BD53" i="342"/>
  <c r="BI140" i="342"/>
  <c r="BL140" i="342"/>
  <c r="BK140" i="342"/>
  <c r="BJ140" i="342"/>
  <c r="BM140" i="342"/>
  <c r="BC48" i="343"/>
  <c r="BF48" i="343"/>
  <c r="BH48" i="343" s="1"/>
  <c r="BB48" i="343"/>
  <c r="BE64" i="342"/>
  <c r="BL74" i="343"/>
  <c r="BK74" i="343"/>
  <c r="BJ74" i="343"/>
  <c r="BM74" i="343" s="1"/>
  <c r="BI74" i="343"/>
  <c r="BK28" i="343"/>
  <c r="BI28" i="343"/>
  <c r="BL28" i="343"/>
  <c r="BJ28" i="343"/>
  <c r="BM28" i="343" s="1"/>
  <c r="AM142" i="342"/>
  <c r="AZ138" i="342"/>
  <c r="BK73" i="343"/>
  <c r="BJ73" i="343"/>
  <c r="BM73" i="343" s="1"/>
  <c r="BI73" i="343"/>
  <c r="BL73" i="343"/>
  <c r="BI42" i="343"/>
  <c r="BK42" i="343"/>
  <c r="BL42" i="343"/>
  <c r="BJ42" i="343"/>
  <c r="BM42" i="343" s="1"/>
  <c r="BE123" i="342"/>
  <c r="BJ99" i="342"/>
  <c r="BI99" i="342"/>
  <c r="BM99" i="342"/>
  <c r="BL99" i="342"/>
  <c r="BK99" i="342"/>
  <c r="Z45" i="342"/>
  <c r="AZ14" i="342"/>
  <c r="BE50" i="343"/>
  <c r="BK51" i="343"/>
  <c r="BL51" i="343"/>
  <c r="BI51" i="343"/>
  <c r="BJ51" i="343"/>
  <c r="BM51" i="343" s="1"/>
  <c r="BL91" i="343"/>
  <c r="BK91" i="343"/>
  <c r="BJ91" i="343" s="1"/>
  <c r="BM91" i="343" s="1"/>
  <c r="BI91" i="343"/>
  <c r="BM102" i="343"/>
  <c r="BK102" i="343"/>
  <c r="BI102" i="343"/>
  <c r="BJ102" i="343"/>
  <c r="BL102" i="343"/>
  <c r="BD146" i="342"/>
  <c r="BE146" i="342" s="1"/>
  <c r="BE135" i="342"/>
  <c r="BI36" i="342"/>
  <c r="BL36" i="342"/>
  <c r="BK36" i="342"/>
  <c r="BJ36" i="342" s="1"/>
  <c r="BM36" i="342" s="1"/>
  <c r="BD170" i="342"/>
  <c r="BE170" i="342" s="1"/>
  <c r="BK89" i="343"/>
  <c r="BI89" i="343"/>
  <c r="BJ89" i="343"/>
  <c r="BM89" i="343" s="1"/>
  <c r="BL89" i="343"/>
  <c r="W40" i="341"/>
  <c r="BF40" i="342"/>
  <c r="BH40" i="342" s="1"/>
  <c r="BB40" i="342"/>
  <c r="BC40" i="342"/>
  <c r="S40" i="340"/>
  <c r="S188" i="340"/>
  <c r="S189" i="340" s="1"/>
  <c r="BI79" i="342"/>
  <c r="BL79" i="342"/>
  <c r="BK79" i="342"/>
  <c r="BJ79" i="342" s="1"/>
  <c r="BM79" i="342" s="1"/>
  <c r="BJ57" i="342"/>
  <c r="BM57" i="342" s="1"/>
  <c r="BI57" i="342"/>
  <c r="BL57" i="342"/>
  <c r="BK57" i="342"/>
  <c r="BL69" i="342"/>
  <c r="BI69" i="342"/>
  <c r="BK69" i="342"/>
  <c r="BJ69" i="342" s="1"/>
  <c r="BM69" i="342" s="1"/>
  <c r="BI100" i="342"/>
  <c r="BK100" i="342"/>
  <c r="BJ100" i="342"/>
  <c r="BM100" i="342"/>
  <c r="BL100" i="342"/>
  <c r="V43" i="341"/>
  <c r="BK77" i="343"/>
  <c r="BJ77" i="343" s="1"/>
  <c r="BM77" i="343" s="1"/>
  <c r="BI77" i="343"/>
  <c r="BL77" i="343"/>
  <c r="BI98" i="343"/>
  <c r="BL98" i="343"/>
  <c r="BK98" i="343"/>
  <c r="BJ98" i="343"/>
  <c r="BM98" i="343" s="1"/>
  <c r="BL176" i="342"/>
  <c r="BK176" i="342"/>
  <c r="BJ176" i="342" s="1"/>
  <c r="BM176" i="342" s="1"/>
  <c r="BI176" i="342"/>
  <c r="BC29" i="343"/>
  <c r="BD29" i="343" s="1"/>
  <c r="BE29" i="343" s="1"/>
  <c r="BB29" i="343"/>
  <c r="BF29" i="343"/>
  <c r="BH29" i="343" s="1"/>
  <c r="AC39" i="341"/>
  <c r="BL154" i="343"/>
  <c r="BK154" i="343"/>
  <c r="BJ154" i="343"/>
  <c r="BM154" i="343" s="1"/>
  <c r="BI154" i="343"/>
  <c r="BD150" i="343"/>
  <c r="BE150" i="343" s="1"/>
  <c r="BF115" i="342"/>
  <c r="BH115" i="342" s="1"/>
  <c r="BD115" i="342"/>
  <c r="BE115" i="342"/>
  <c r="BC115" i="342"/>
  <c r="BB115" i="342"/>
  <c r="AD19" i="340"/>
  <c r="AD26" i="340" s="1"/>
  <c r="AB19" i="340"/>
  <c r="AA26" i="340"/>
  <c r="AE19" i="340"/>
  <c r="AE26" i="340" s="1"/>
  <c r="BL123" i="343"/>
  <c r="BI123" i="343"/>
  <c r="BK123" i="343"/>
  <c r="BJ123" i="343" s="1"/>
  <c r="BM123" i="343" s="1"/>
  <c r="BK56" i="342"/>
  <c r="BJ56" i="342"/>
  <c r="BM56" i="342" s="1"/>
  <c r="BL56" i="342"/>
  <c r="BI56" i="342"/>
  <c r="X171" i="340"/>
  <c r="X172" i="340" s="1"/>
  <c r="Z181" i="342"/>
  <c r="BK157" i="343"/>
  <c r="BJ157" i="343" s="1"/>
  <c r="BM157" i="343" s="1"/>
  <c r="BI157" i="343"/>
  <c r="BL157" i="343"/>
  <c r="BK74" i="342"/>
  <c r="BL74" i="342"/>
  <c r="BJ74" i="342"/>
  <c r="BM74" i="342" s="1"/>
  <c r="BI74" i="342"/>
  <c r="BL123" i="342"/>
  <c r="BK123" i="342"/>
  <c r="BJ123" i="342" s="1"/>
  <c r="BM123" i="342" s="1"/>
  <c r="BI123" i="342"/>
  <c r="BK67" i="342"/>
  <c r="BJ67" i="342" s="1"/>
  <c r="BM67" i="342" s="1"/>
  <c r="BL67" i="342"/>
  <c r="BI67" i="342"/>
  <c r="BD51" i="342"/>
  <c r="BE101" i="342"/>
  <c r="BC60" i="343"/>
  <c r="BB60" i="343"/>
  <c r="BF60" i="343"/>
  <c r="BH60" i="343" s="1"/>
  <c r="BD90" i="343"/>
  <c r="BE90" i="343" s="1"/>
  <c r="BB85" i="343"/>
  <c r="BD85" i="343" s="1"/>
  <c r="BF85" i="343"/>
  <c r="BH85" i="343" s="1"/>
  <c r="BC85" i="343"/>
  <c r="BD88" i="342"/>
  <c r="BE88" i="342" s="1"/>
  <c r="BL19" i="343"/>
  <c r="BI19" i="343"/>
  <c r="BK19" i="343"/>
  <c r="BJ19" i="343"/>
  <c r="BM19" i="343" s="1"/>
  <c r="BK109" i="343"/>
  <c r="BJ109" i="343"/>
  <c r="BM109" i="343" s="1"/>
  <c r="BL109" i="343"/>
  <c r="BI109" i="343"/>
  <c r="BL120" i="342"/>
  <c r="BM120" i="342" s="1"/>
  <c r="BK120" i="342"/>
  <c r="BJ120" i="342"/>
  <c r="BI120" i="342"/>
  <c r="BL95" i="342"/>
  <c r="BK95" i="342"/>
  <c r="BJ95" i="342"/>
  <c r="BI95" i="342"/>
  <c r="BM95" i="342"/>
  <c r="BC108" i="342"/>
  <c r="BF108" i="342"/>
  <c r="BH108" i="342" s="1"/>
  <c r="BB108" i="342"/>
  <c r="BD108" i="342" s="1"/>
  <c r="BE149" i="342"/>
  <c r="BL53" i="342"/>
  <c r="BK53" i="342"/>
  <c r="BJ53" i="342" s="1"/>
  <c r="BM53" i="342" s="1"/>
  <c r="BI53" i="342"/>
  <c r="BK79" i="343"/>
  <c r="BI79" i="343"/>
  <c r="BJ79" i="343"/>
  <c r="BL79" i="343"/>
  <c r="BM79" i="343"/>
  <c r="AM105" i="342"/>
  <c r="AM182" i="342" s="1"/>
  <c r="BI153" i="343"/>
  <c r="BK153" i="343"/>
  <c r="BJ153" i="343" s="1"/>
  <c r="BM153" i="343" s="1"/>
  <c r="BL153" i="343"/>
  <c r="BD153" i="342"/>
  <c r="BG45" i="342"/>
  <c r="BG105" i="342" s="1"/>
  <c r="BG182" i="342" s="1"/>
  <c r="BI145" i="343"/>
  <c r="BK145" i="343"/>
  <c r="BJ145" i="343" s="1"/>
  <c r="BM145" i="343" s="1"/>
  <c r="BL145" i="343"/>
  <c r="BD62" i="342"/>
  <c r="BE62" i="342" s="1"/>
  <c r="BD38" i="343"/>
  <c r="BI97" i="342"/>
  <c r="BL97" i="342"/>
  <c r="BK97" i="342"/>
  <c r="BJ97" i="342"/>
  <c r="BM97" i="342" s="1"/>
  <c r="BJ41" i="343"/>
  <c r="BL41" i="343"/>
  <c r="BI41" i="343"/>
  <c r="BM41" i="343"/>
  <c r="BK41" i="343"/>
  <c r="BK28" i="342"/>
  <c r="BJ28" i="342"/>
  <c r="BM28" i="342" s="1"/>
  <c r="BI28" i="342"/>
  <c r="BL28" i="342"/>
  <c r="BD119" i="342"/>
  <c r="BL103" i="342"/>
  <c r="BK103" i="342"/>
  <c r="BJ103" i="342" s="1"/>
  <c r="BM103" i="342" s="1"/>
  <c r="BI103" i="342"/>
  <c r="BL180" i="342"/>
  <c r="BK180" i="342"/>
  <c r="BJ180" i="342"/>
  <c r="BM180" i="342" s="1"/>
  <c r="BI180" i="342"/>
  <c r="BI72" i="342"/>
  <c r="BL72" i="342"/>
  <c r="BK72" i="342"/>
  <c r="BJ72" i="342" s="1"/>
  <c r="BM72" i="342" s="1"/>
  <c r="X27" i="340"/>
  <c r="X39" i="340" s="1"/>
  <c r="BC175" i="342"/>
  <c r="BF175" i="342"/>
  <c r="BH175" i="342" s="1"/>
  <c r="BB175" i="342"/>
  <c r="BK115" i="343"/>
  <c r="BI115" i="343"/>
  <c r="BJ115" i="343"/>
  <c r="BM115" i="343" s="1"/>
  <c r="BL115" i="343"/>
  <c r="BL20" i="342"/>
  <c r="BI20" i="342"/>
  <c r="BK20" i="342"/>
  <c r="BJ20" i="342" s="1"/>
  <c r="BM20" i="342" s="1"/>
  <c r="BK150" i="343"/>
  <c r="BJ150" i="343"/>
  <c r="BL150" i="343"/>
  <c r="BM150" i="343" s="1"/>
  <c r="BI150" i="343"/>
  <c r="BF75" i="343"/>
  <c r="BH75" i="343" s="1"/>
  <c r="BC75" i="343"/>
  <c r="BB75" i="343"/>
  <c r="AZ139" i="343"/>
  <c r="BA139" i="343" s="1"/>
  <c r="Z142" i="343"/>
  <c r="BL113" i="343"/>
  <c r="BK113" i="343"/>
  <c r="BJ113" i="343" s="1"/>
  <c r="BM113" i="343" s="1"/>
  <c r="BI113" i="343"/>
  <c r="BF107" i="343"/>
  <c r="BH107" i="343" s="1"/>
  <c r="BC107" i="343"/>
  <c r="BB107" i="343"/>
  <c r="BD107" i="343" s="1"/>
  <c r="AZ104" i="342"/>
  <c r="BA84" i="342"/>
  <c r="AD170" i="341"/>
  <c r="BM17" i="343"/>
  <c r="BL17" i="343"/>
  <c r="BJ17" i="343"/>
  <c r="BK17" i="343"/>
  <c r="BI17" i="343"/>
  <c r="BI136" i="342"/>
  <c r="BL136" i="342"/>
  <c r="BK136" i="342"/>
  <c r="BJ136" i="342"/>
  <c r="BM136" i="342" s="1"/>
  <c r="BK27" i="342"/>
  <c r="BJ27" i="342"/>
  <c r="BI27" i="342"/>
  <c r="BM27" i="342"/>
  <c r="BL27" i="342"/>
  <c r="BF111" i="343"/>
  <c r="BH111" i="343" s="1"/>
  <c r="BD111" i="343"/>
  <c r="BB111" i="343"/>
  <c r="BE111" i="343" s="1"/>
  <c r="BC111" i="343"/>
  <c r="BC78" i="343"/>
  <c r="BF78" i="343"/>
  <c r="BH78" i="343" s="1"/>
  <c r="BD78" i="343"/>
  <c r="BB78" i="343"/>
  <c r="BE78" i="343"/>
  <c r="Z133" i="342"/>
  <c r="AZ125" i="342"/>
  <c r="BD67" i="342"/>
  <c r="BE67" i="342" s="1"/>
  <c r="BL132" i="342"/>
  <c r="BK132" i="342"/>
  <c r="BI132" i="342"/>
  <c r="BJ132" i="342"/>
  <c r="BM132" i="342" s="1"/>
  <c r="BI39" i="343"/>
  <c r="BK39" i="343"/>
  <c r="BJ39" i="343" s="1"/>
  <c r="BM39" i="343" s="1"/>
  <c r="BL39" i="343"/>
  <c r="BL59" i="343"/>
  <c r="BI59" i="343"/>
  <c r="BK59" i="343"/>
  <c r="BJ59" i="343" s="1"/>
  <c r="BM59" i="343" s="1"/>
  <c r="X128" i="341"/>
  <c r="X153" i="341" s="1"/>
  <c r="AK105" i="342"/>
  <c r="AK182" i="342" s="1"/>
  <c r="BB75" i="342"/>
  <c r="BE75" i="342" s="1"/>
  <c r="BF75" i="342"/>
  <c r="BH75" i="342" s="1"/>
  <c r="BD75" i="342"/>
  <c r="BC75" i="342"/>
  <c r="BI49" i="342"/>
  <c r="BL49" i="342"/>
  <c r="BK49" i="342"/>
  <c r="BJ49" i="342"/>
  <c r="BM49" i="342" s="1"/>
  <c r="BD136" i="343"/>
  <c r="BL153" i="342"/>
  <c r="BK153" i="342"/>
  <c r="BJ153" i="342" s="1"/>
  <c r="BM153" i="342" s="1"/>
  <c r="BI153" i="342"/>
  <c r="BL51" i="342"/>
  <c r="BK51" i="342"/>
  <c r="BJ51" i="342" s="1"/>
  <c r="BM51" i="342" s="1"/>
  <c r="BI51" i="342"/>
  <c r="BC60" i="342"/>
  <c r="BF60" i="342"/>
  <c r="BH60" i="342" s="1"/>
  <c r="BB60" i="342"/>
  <c r="BD60" i="342" s="1"/>
  <c r="BL101" i="343"/>
  <c r="BK101" i="343"/>
  <c r="BJ101" i="343"/>
  <c r="BM101" i="343" s="1"/>
  <c r="BI101" i="343"/>
  <c r="BB112" i="342"/>
  <c r="BD112" i="342"/>
  <c r="BC112" i="342"/>
  <c r="BF112" i="342"/>
  <c r="BH112" i="342" s="1"/>
  <c r="BE112" i="342"/>
  <c r="BG160" i="343"/>
  <c r="BL144" i="342"/>
  <c r="BI144" i="342"/>
  <c r="BK144" i="342"/>
  <c r="BJ144" i="342"/>
  <c r="BM144" i="342"/>
  <c r="X106" i="340"/>
  <c r="X109" i="340" s="1"/>
  <c r="BK92" i="342"/>
  <c r="BJ92" i="342"/>
  <c r="BM92" i="342" s="1"/>
  <c r="BL92" i="342"/>
  <c r="BI92" i="342"/>
  <c r="BK22" i="343"/>
  <c r="BL22" i="343"/>
  <c r="BJ22" i="343"/>
  <c r="BM22" i="343" s="1"/>
  <c r="BI22" i="343"/>
  <c r="BI68" i="342"/>
  <c r="BL68" i="342"/>
  <c r="BK68" i="342"/>
  <c r="BJ68" i="342"/>
  <c r="BM68" i="342"/>
  <c r="AE24" i="340"/>
  <c r="AD24" i="340"/>
  <c r="AC24" i="340"/>
  <c r="AB24" i="340"/>
  <c r="AF24" i="340"/>
  <c r="AE141" i="340"/>
  <c r="AE142" i="340" s="1"/>
  <c r="AD141" i="340"/>
  <c r="AD142" i="340" s="1"/>
  <c r="AB141" i="340"/>
  <c r="AB142" i="340" s="1"/>
  <c r="AA142" i="340"/>
  <c r="BL70" i="343"/>
  <c r="BI70" i="343"/>
  <c r="BK70" i="343"/>
  <c r="BJ70" i="343" s="1"/>
  <c r="BM70" i="343" s="1"/>
  <c r="Z83" i="343"/>
  <c r="Z105" i="343" s="1"/>
  <c r="Z161" i="343" s="1"/>
  <c r="BL50" i="343"/>
  <c r="BK50" i="343"/>
  <c r="BJ50" i="343"/>
  <c r="BM50" i="343" s="1"/>
  <c r="BI50" i="343"/>
  <c r="BK162" i="342"/>
  <c r="BJ162" i="342" s="1"/>
  <c r="BM162" i="342" s="1"/>
  <c r="BI162" i="342"/>
  <c r="BL162" i="342"/>
  <c r="BK170" i="342"/>
  <c r="BJ170" i="342" s="1"/>
  <c r="BM170" i="342" s="1"/>
  <c r="BI170" i="342"/>
  <c r="BL170" i="342"/>
  <c r="H79" i="297"/>
  <c r="C18" i="154" s="1"/>
  <c r="C13" i="208" s="1"/>
  <c r="G511" i="297"/>
  <c r="K28" i="335"/>
  <c r="L28" i="335"/>
  <c r="N20" i="335"/>
  <c r="N23" i="335"/>
  <c r="N26" i="335"/>
  <c r="N28" i="335"/>
  <c r="N27" i="335"/>
  <c r="X40" i="340" l="1"/>
  <c r="X188" i="340"/>
  <c r="BE81" i="343"/>
  <c r="BE18" i="343"/>
  <c r="W173" i="341"/>
  <c r="BE21" i="342"/>
  <c r="BE60" i="343"/>
  <c r="BE48" i="343"/>
  <c r="BE66" i="342"/>
  <c r="Y188" i="340"/>
  <c r="BE175" i="342"/>
  <c r="BE75" i="343"/>
  <c r="BE40" i="342"/>
  <c r="BI167" i="342"/>
  <c r="BL167" i="342"/>
  <c r="BK167" i="342"/>
  <c r="BJ167" i="342" s="1"/>
  <c r="BM167" i="342" s="1"/>
  <c r="AZ65" i="343"/>
  <c r="BA46" i="343"/>
  <c r="Y126" i="341"/>
  <c r="Y172" i="341" s="1"/>
  <c r="AA125" i="341"/>
  <c r="BI15" i="342"/>
  <c r="BK15" i="342"/>
  <c r="BJ15" i="342"/>
  <c r="BM15" i="342" s="1"/>
  <c r="BL15" i="342"/>
  <c r="BE85" i="343"/>
  <c r="V88" i="341"/>
  <c r="X43" i="341"/>
  <c r="X88" i="341" s="1"/>
  <c r="AZ116" i="343"/>
  <c r="BA106" i="343"/>
  <c r="V111" i="340"/>
  <c r="V138" i="340" s="1"/>
  <c r="BL156" i="343"/>
  <c r="BK156" i="343"/>
  <c r="BJ156" i="343"/>
  <c r="BM156" i="343" s="1"/>
  <c r="BI156" i="343"/>
  <c r="BE145" i="342"/>
  <c r="BK86" i="343"/>
  <c r="BJ86" i="343" s="1"/>
  <c r="BM86" i="343" s="1"/>
  <c r="BI86" i="343"/>
  <c r="BL86" i="343"/>
  <c r="BA137" i="343"/>
  <c r="BC134" i="343"/>
  <c r="BC137" i="343" s="1"/>
  <c r="BB134" i="343"/>
  <c r="BB137" i="343" s="1"/>
  <c r="BF134" i="343"/>
  <c r="BD134" i="343"/>
  <c r="BD137" i="343" s="1"/>
  <c r="BE139" i="342"/>
  <c r="BC117" i="343"/>
  <c r="BC124" i="343" s="1"/>
  <c r="BA124" i="343"/>
  <c r="BB117" i="343"/>
  <c r="BB124" i="343" s="1"/>
  <c r="BD117" i="343"/>
  <c r="BD124" i="343" s="1"/>
  <c r="BF117" i="343"/>
  <c r="BE117" i="343"/>
  <c r="BE124" i="343" s="1"/>
  <c r="BE168" i="342"/>
  <c r="AZ160" i="343"/>
  <c r="BA148" i="343"/>
  <c r="BL141" i="343"/>
  <c r="BM141" i="343" s="1"/>
  <c r="BK141" i="343"/>
  <c r="BJ141" i="343"/>
  <c r="BI141" i="343"/>
  <c r="BD93" i="342"/>
  <c r="BE93" i="342" s="1"/>
  <c r="BL33" i="342"/>
  <c r="BI33" i="342"/>
  <c r="BK33" i="342"/>
  <c r="BJ33" i="342" s="1"/>
  <c r="BM33" i="342" s="1"/>
  <c r="AA155" i="341"/>
  <c r="Y156" i="341"/>
  <c r="U173" i="341"/>
  <c r="BH66" i="343"/>
  <c r="BF83" i="343"/>
  <c r="AZ45" i="343"/>
  <c r="AZ105" i="343" s="1"/>
  <c r="AZ161" i="343" s="1"/>
  <c r="BA14" i="343"/>
  <c r="BK112" i="342"/>
  <c r="BJ112" i="342"/>
  <c r="BM112" i="342" s="1"/>
  <c r="BI112" i="342"/>
  <c r="BL112" i="342"/>
  <c r="BL111" i="343"/>
  <c r="BK111" i="343"/>
  <c r="BJ111" i="343"/>
  <c r="BI111" i="343"/>
  <c r="BM111" i="343"/>
  <c r="BD75" i="343"/>
  <c r="AC141" i="340"/>
  <c r="BI75" i="342"/>
  <c r="BL75" i="342"/>
  <c r="BK75" i="342"/>
  <c r="BJ75" i="342" s="1"/>
  <c r="BM75" i="342" s="1"/>
  <c r="BF84" i="342"/>
  <c r="BA104" i="342"/>
  <c r="BC84" i="342"/>
  <c r="BC104" i="342" s="1"/>
  <c r="BB84" i="342"/>
  <c r="BB104" i="342" s="1"/>
  <c r="Y138" i="340"/>
  <c r="Y187" i="340" s="1"/>
  <c r="AA111" i="340"/>
  <c r="BI139" i="342"/>
  <c r="BL139" i="342"/>
  <c r="BK139" i="342"/>
  <c r="BJ139" i="342"/>
  <c r="BM139" i="342" s="1"/>
  <c r="BK128" i="342"/>
  <c r="BI128" i="342"/>
  <c r="BL128" i="342"/>
  <c r="BJ128" i="342"/>
  <c r="BM128" i="342" s="1"/>
  <c r="AE90" i="341"/>
  <c r="AE93" i="341" s="1"/>
  <c r="AD90" i="341"/>
  <c r="AD93" i="341" s="1"/>
  <c r="AA93" i="341"/>
  <c r="AC90" i="341"/>
  <c r="AC93" i="341" s="1"/>
  <c r="AB90" i="341"/>
  <c r="AB93" i="341" s="1"/>
  <c r="V93" i="341"/>
  <c r="V171" i="341" s="1"/>
  <c r="X90" i="341"/>
  <c r="X93" i="341" s="1"/>
  <c r="X171" i="341" s="1"/>
  <c r="BJ168" i="342"/>
  <c r="BM168" i="342" s="1"/>
  <c r="BL168" i="342"/>
  <c r="BK168" i="342"/>
  <c r="BI168" i="342"/>
  <c r="AE19" i="341"/>
  <c r="AE26" i="341" s="1"/>
  <c r="AA26" i="341"/>
  <c r="AD19" i="341"/>
  <c r="AD26" i="341" s="1"/>
  <c r="AB19" i="341"/>
  <c r="AB26" i="341" s="1"/>
  <c r="AC19" i="341"/>
  <c r="AC26" i="341" s="1"/>
  <c r="AE171" i="340"/>
  <c r="AE172" i="340" s="1"/>
  <c r="AD171" i="340"/>
  <c r="AD172" i="340" s="1"/>
  <c r="AC171" i="340"/>
  <c r="AC172" i="340" s="1"/>
  <c r="AB171" i="340"/>
  <c r="AB172" i="340" s="1"/>
  <c r="AA172" i="340"/>
  <c r="BD66" i="343"/>
  <c r="BD83" i="343" s="1"/>
  <c r="AZ124" i="342"/>
  <c r="BA117" i="342"/>
  <c r="BK93" i="342"/>
  <c r="BJ93" i="342" s="1"/>
  <c r="BM93" i="342" s="1"/>
  <c r="BL93" i="342"/>
  <c r="BI93" i="342"/>
  <c r="BE107" i="343"/>
  <c r="BL115" i="342"/>
  <c r="BK115" i="342"/>
  <c r="BJ115" i="342" s="1"/>
  <c r="BM115" i="342" s="1"/>
  <c r="BI115" i="342"/>
  <c r="BE128" i="343"/>
  <c r="BB143" i="343"/>
  <c r="BB147" i="343" s="1"/>
  <c r="BC143" i="343"/>
  <c r="BC147" i="343" s="1"/>
  <c r="BF143" i="343"/>
  <c r="BA147" i="343"/>
  <c r="BF84" i="343"/>
  <c r="BB84" i="343"/>
  <c r="BB104" i="343" s="1"/>
  <c r="BA104" i="343"/>
  <c r="BC84" i="343"/>
  <c r="BC104" i="343" s="1"/>
  <c r="BL158" i="343"/>
  <c r="BM158" i="343"/>
  <c r="BK158" i="343"/>
  <c r="BJ158" i="343"/>
  <c r="BI158" i="343"/>
  <c r="AC27" i="340"/>
  <c r="BE152" i="342"/>
  <c r="BK155" i="343"/>
  <c r="BJ155" i="343"/>
  <c r="BI155" i="343"/>
  <c r="BM155" i="343"/>
  <c r="BL155" i="343"/>
  <c r="BG161" i="343"/>
  <c r="BK75" i="343"/>
  <c r="BJ75" i="343"/>
  <c r="BM75" i="343" s="1"/>
  <c r="BI75" i="343"/>
  <c r="BL75" i="343"/>
  <c r="BK152" i="342"/>
  <c r="BJ152" i="342" s="1"/>
  <c r="BM152" i="342" s="1"/>
  <c r="BI152" i="342"/>
  <c r="BL152" i="342"/>
  <c r="BL61" i="342"/>
  <c r="BK61" i="342"/>
  <c r="BJ61" i="342" s="1"/>
  <c r="BM61" i="342" s="1"/>
  <c r="BI61" i="342"/>
  <c r="BA155" i="342"/>
  <c r="BB148" i="342"/>
  <c r="BB155" i="342" s="1"/>
  <c r="BF148" i="342"/>
  <c r="BC148" i="342"/>
  <c r="BC155" i="342" s="1"/>
  <c r="BD165" i="342"/>
  <c r="BD181" i="342" s="1"/>
  <c r="BC165" i="342"/>
  <c r="BC181" i="342" s="1"/>
  <c r="BB165" i="342"/>
  <c r="BB181" i="342" s="1"/>
  <c r="BA181" i="342"/>
  <c r="BF165" i="342"/>
  <c r="V40" i="340"/>
  <c r="V188" i="340"/>
  <c r="AE43" i="340"/>
  <c r="AE104" i="340" s="1"/>
  <c r="AB43" i="340"/>
  <c r="AB104" i="340" s="1"/>
  <c r="AD43" i="340"/>
  <c r="AD104" i="340" s="1"/>
  <c r="AA104" i="340"/>
  <c r="BE98" i="342"/>
  <c r="BL80" i="343"/>
  <c r="BM80" i="343"/>
  <c r="BK80" i="343"/>
  <c r="BJ80" i="343"/>
  <c r="BI80" i="343"/>
  <c r="BD21" i="342"/>
  <c r="Y169" i="340"/>
  <c r="AA144" i="340"/>
  <c r="V95" i="341"/>
  <c r="V122" i="341" s="1"/>
  <c r="AD40" i="340"/>
  <c r="BD175" i="342"/>
  <c r="BI107" i="343"/>
  <c r="BK107" i="343"/>
  <c r="BJ107" i="343" s="1"/>
  <c r="BM107" i="343" s="1"/>
  <c r="BL107" i="343"/>
  <c r="AZ147" i="342"/>
  <c r="BA143" i="342"/>
  <c r="BK21" i="342"/>
  <c r="BJ21" i="342" s="1"/>
  <c r="BM21" i="342" s="1"/>
  <c r="BL21" i="342"/>
  <c r="BI21" i="342"/>
  <c r="BL86" i="342"/>
  <c r="BK86" i="342"/>
  <c r="BJ86" i="342" s="1"/>
  <c r="BM86" i="342" s="1"/>
  <c r="BI86" i="342"/>
  <c r="BL40" i="342"/>
  <c r="BI40" i="342"/>
  <c r="BK40" i="342"/>
  <c r="BJ40" i="342"/>
  <c r="BM40" i="342" s="1"/>
  <c r="BK48" i="343"/>
  <c r="BI48" i="343"/>
  <c r="BL48" i="343"/>
  <c r="BJ48" i="343"/>
  <c r="BM48" i="343" s="1"/>
  <c r="BD66" i="342"/>
  <c r="BD83" i="342" s="1"/>
  <c r="BB134" i="342"/>
  <c r="BB137" i="342" s="1"/>
  <c r="BA137" i="342"/>
  <c r="BF134" i="342"/>
  <c r="BC134" i="342"/>
  <c r="BC137" i="342" s="1"/>
  <c r="X95" i="341"/>
  <c r="X122" i="341" s="1"/>
  <c r="BD81" i="343"/>
  <c r="BD18" i="343"/>
  <c r="BK59" i="342"/>
  <c r="BJ59" i="342"/>
  <c r="BI59" i="342"/>
  <c r="BL59" i="342"/>
  <c r="BM59" i="342"/>
  <c r="AZ164" i="342"/>
  <c r="BA156" i="342"/>
  <c r="AE43" i="341"/>
  <c r="AE88" i="341" s="1"/>
  <c r="AD43" i="341"/>
  <c r="AD88" i="341" s="1"/>
  <c r="AB43" i="341"/>
  <c r="AB88" i="341" s="1"/>
  <c r="AA88" i="341"/>
  <c r="AC174" i="340"/>
  <c r="AC186" i="340" s="1"/>
  <c r="AB174" i="340"/>
  <c r="AB186" i="340" s="1"/>
  <c r="AE174" i="340"/>
  <c r="AE186" i="340" s="1"/>
  <c r="AD174" i="340"/>
  <c r="AD186" i="340" s="1"/>
  <c r="AA186" i="340"/>
  <c r="V125" i="341"/>
  <c r="V126" i="341" s="1"/>
  <c r="AZ133" i="342"/>
  <c r="BA125" i="342"/>
  <c r="BE108" i="342"/>
  <c r="BK175" i="342"/>
  <c r="BJ175" i="342" s="1"/>
  <c r="BM175" i="342" s="1"/>
  <c r="BL175" i="342"/>
  <c r="BI175" i="342"/>
  <c r="AZ133" i="343"/>
  <c r="BA125" i="343"/>
  <c r="BI78" i="343"/>
  <c r="BL78" i="343"/>
  <c r="BK78" i="343"/>
  <c r="BJ78" i="343"/>
  <c r="BM78" i="343" s="1"/>
  <c r="Z182" i="342"/>
  <c r="BI98" i="342"/>
  <c r="BK98" i="342"/>
  <c r="BJ98" i="342"/>
  <c r="BL98" i="342"/>
  <c r="BM98" i="342"/>
  <c r="AZ45" i="342"/>
  <c r="BA14" i="342"/>
  <c r="AA40" i="340"/>
  <c r="BD48" i="343"/>
  <c r="Y122" i="341"/>
  <c r="AA95" i="341"/>
  <c r="BD81" i="342"/>
  <c r="BE81" i="342" s="1"/>
  <c r="BI60" i="343"/>
  <c r="BL60" i="343"/>
  <c r="BK60" i="343"/>
  <c r="BJ60" i="343"/>
  <c r="BM60" i="343" s="1"/>
  <c r="V26" i="341"/>
  <c r="X19" i="341"/>
  <c r="X26" i="341" s="1"/>
  <c r="Y40" i="341"/>
  <c r="BK108" i="342"/>
  <c r="BJ108" i="342"/>
  <c r="BM108" i="342" s="1"/>
  <c r="BI108" i="342"/>
  <c r="BL108" i="342"/>
  <c r="BD60" i="343"/>
  <c r="BI128" i="343"/>
  <c r="BK128" i="343"/>
  <c r="BL128" i="343"/>
  <c r="BJ128" i="343"/>
  <c r="BM128" i="343" s="1"/>
  <c r="BB83" i="342"/>
  <c r="BE60" i="342"/>
  <c r="BJ174" i="342"/>
  <c r="BM174" i="342" s="1"/>
  <c r="BL174" i="342"/>
  <c r="BK174" i="342"/>
  <c r="BI174" i="342"/>
  <c r="U40" i="340"/>
  <c r="U188" i="340"/>
  <c r="U189" i="340" s="1"/>
  <c r="AB26" i="340"/>
  <c r="BL29" i="343"/>
  <c r="BK29" i="343"/>
  <c r="BJ29" i="343"/>
  <c r="BI29" i="343"/>
  <c r="BM29" i="343"/>
  <c r="AZ142" i="342"/>
  <c r="BA138" i="342"/>
  <c r="BH66" i="342"/>
  <c r="BF83" i="342"/>
  <c r="BB106" i="342"/>
  <c r="BB116" i="342" s="1"/>
  <c r="BA116" i="342"/>
  <c r="BF106" i="342"/>
  <c r="BC106" i="342"/>
  <c r="BC116" i="342" s="1"/>
  <c r="AC106" i="340"/>
  <c r="BB83" i="343"/>
  <c r="BL81" i="343"/>
  <c r="BK81" i="343"/>
  <c r="BJ81" i="343"/>
  <c r="BM81" i="343" s="1"/>
  <c r="BI81" i="343"/>
  <c r="BL135" i="343"/>
  <c r="BK135" i="343"/>
  <c r="BJ135" i="343" s="1"/>
  <c r="BM135" i="343" s="1"/>
  <c r="BI135" i="343"/>
  <c r="BL18" i="343"/>
  <c r="BK18" i="343"/>
  <c r="BJ18" i="343"/>
  <c r="BM18" i="343" s="1"/>
  <c r="BI18" i="343"/>
  <c r="BD15" i="342"/>
  <c r="BE15" i="342" s="1"/>
  <c r="AZ142" i="343"/>
  <c r="BA138" i="343"/>
  <c r="BK94" i="342"/>
  <c r="BJ94" i="342" s="1"/>
  <c r="BM94" i="342" s="1"/>
  <c r="BL94" i="342"/>
  <c r="BI94" i="342"/>
  <c r="T189" i="340"/>
  <c r="W189" i="340"/>
  <c r="X144" i="340"/>
  <c r="X169" i="340" s="1"/>
  <c r="AF128" i="341"/>
  <c r="AF153" i="341" s="1"/>
  <c r="BI100" i="343"/>
  <c r="BL100" i="343"/>
  <c r="BK100" i="343"/>
  <c r="BJ100" i="343"/>
  <c r="BM100" i="343" s="1"/>
  <c r="BI22" i="342"/>
  <c r="BL22" i="342"/>
  <c r="BK22" i="342"/>
  <c r="BJ22" i="342" s="1"/>
  <c r="BM22" i="342" s="1"/>
  <c r="BD40" i="342"/>
  <c r="V186" i="340"/>
  <c r="X174" i="340"/>
  <c r="X186" i="340" s="1"/>
  <c r="X187" i="340" s="1"/>
  <c r="AZ65" i="342"/>
  <c r="AZ105" i="342" s="1"/>
  <c r="AZ182" i="342" s="1"/>
  <c r="BA46" i="342"/>
  <c r="AE40" i="340"/>
  <c r="BL60" i="342"/>
  <c r="BI60" i="342"/>
  <c r="BK60" i="342"/>
  <c r="BJ60" i="342" s="1"/>
  <c r="BM60" i="342" s="1"/>
  <c r="BB139" i="343"/>
  <c r="BD139" i="343" s="1"/>
  <c r="BC139" i="343"/>
  <c r="BF139" i="343"/>
  <c r="BH139" i="343" s="1"/>
  <c r="BK85" i="343"/>
  <c r="BJ85" i="343" s="1"/>
  <c r="BM85" i="343" s="1"/>
  <c r="BI85" i="343"/>
  <c r="BL85" i="343"/>
  <c r="AC19" i="340"/>
  <c r="X111" i="340"/>
  <c r="X138" i="340" s="1"/>
  <c r="BK145" i="342"/>
  <c r="BJ145" i="342"/>
  <c r="BM145" i="342" s="1"/>
  <c r="BL145" i="342"/>
  <c r="BI145" i="342"/>
  <c r="BI17" i="342"/>
  <c r="BL17" i="342"/>
  <c r="BK17" i="342"/>
  <c r="BJ17" i="342" s="1"/>
  <c r="BM17" i="342" s="1"/>
  <c r="X155" i="341"/>
  <c r="X156" i="341" s="1"/>
  <c r="BE66" i="343"/>
  <c r="BE83" i="343" s="1"/>
  <c r="BL81" i="342"/>
  <c r="BK81" i="342"/>
  <c r="BJ81" i="342" s="1"/>
  <c r="BM81" i="342" s="1"/>
  <c r="BI81" i="342"/>
  <c r="K29" i="190"/>
  <c r="J29" i="190"/>
  <c r="I29" i="190"/>
  <c r="G29" i="190"/>
  <c r="E29" i="190"/>
  <c r="D29" i="190"/>
  <c r="C29" i="190"/>
  <c r="K21" i="190"/>
  <c r="J21" i="190"/>
  <c r="I21" i="190"/>
  <c r="G21" i="190"/>
  <c r="E21" i="190"/>
  <c r="D21" i="190"/>
  <c r="C21" i="190"/>
  <c r="BN200" i="336"/>
  <c r="AY200" i="336"/>
  <c r="AV200" i="336"/>
  <c r="AU200" i="336"/>
  <c r="AT200" i="336"/>
  <c r="AS200" i="336"/>
  <c r="AK200" i="336"/>
  <c r="AJ200" i="336"/>
  <c r="AG200" i="336"/>
  <c r="AF200" i="336"/>
  <c r="AE200" i="336"/>
  <c r="AD200" i="336"/>
  <c r="AC200" i="336"/>
  <c r="AA200" i="336"/>
  <c r="W200" i="336"/>
  <c r="V200" i="336"/>
  <c r="U200" i="336"/>
  <c r="T200" i="336"/>
  <c r="S200" i="336"/>
  <c r="R200" i="336"/>
  <c r="P200" i="336"/>
  <c r="O200" i="336"/>
  <c r="N200" i="336"/>
  <c r="M200" i="336"/>
  <c r="L200" i="336"/>
  <c r="AR199" i="336"/>
  <c r="AQ199" i="336"/>
  <c r="AP199" i="336"/>
  <c r="AN199" i="336"/>
  <c r="AO199" i="336" s="1"/>
  <c r="Y199" i="336"/>
  <c r="X199" i="336"/>
  <c r="AL199" i="336" s="1"/>
  <c r="W199" i="336"/>
  <c r="Q199" i="336"/>
  <c r="K199" i="336"/>
  <c r="AM199" i="336" s="1"/>
  <c r="AZ199" i="336" s="1"/>
  <c r="AQ198" i="336"/>
  <c r="AP198" i="336"/>
  <c r="AO198" i="336"/>
  <c r="AN198" i="336"/>
  <c r="AR198" i="336" s="1"/>
  <c r="AL198" i="336"/>
  <c r="AM198" i="336" s="1"/>
  <c r="AI198" i="336"/>
  <c r="AD198" i="336"/>
  <c r="AB198" i="336"/>
  <c r="Z198" i="336"/>
  <c r="AZ198" i="336" s="1"/>
  <c r="X198" i="336"/>
  <c r="Y198" i="336" s="1"/>
  <c r="W198" i="336"/>
  <c r="Q198" i="336"/>
  <c r="K198" i="336"/>
  <c r="AQ197" i="336"/>
  <c r="AP197" i="336"/>
  <c r="AO197" i="336"/>
  <c r="AN197" i="336"/>
  <c r="AR197" i="336" s="1"/>
  <c r="AI197" i="336"/>
  <c r="AD197" i="336"/>
  <c r="AB197" i="336"/>
  <c r="W197" i="336"/>
  <c r="Q197" i="336"/>
  <c r="X197" i="336" s="1"/>
  <c r="AL197" i="336" s="1"/>
  <c r="K197" i="336"/>
  <c r="AN196" i="336"/>
  <c r="AL196" i="336"/>
  <c r="AM196" i="336" s="1"/>
  <c r="AI196" i="336"/>
  <c r="AD196" i="336"/>
  <c r="AB196" i="336"/>
  <c r="X196" i="336"/>
  <c r="Y196" i="336" s="1"/>
  <c r="W196" i="336"/>
  <c r="Q196" i="336"/>
  <c r="K196" i="336"/>
  <c r="AP195" i="336"/>
  <c r="AN195" i="336"/>
  <c r="AI195" i="336"/>
  <c r="AD195" i="336"/>
  <c r="AB195" i="336"/>
  <c r="X195" i="336"/>
  <c r="AL195" i="336" s="1"/>
  <c r="W195" i="336"/>
  <c r="Q195" i="336"/>
  <c r="K195" i="336"/>
  <c r="AR194" i="336"/>
  <c r="AQ194" i="336"/>
  <c r="AP194" i="336"/>
  <c r="AN194" i="336"/>
  <c r="AO194" i="336" s="1"/>
  <c r="AZ194" i="336" s="1"/>
  <c r="BA194" i="336" s="1"/>
  <c r="AL194" i="336"/>
  <c r="AM194" i="336" s="1"/>
  <c r="AI194" i="336"/>
  <c r="AD194" i="336"/>
  <c r="AB194" i="336"/>
  <c r="Z194" i="336"/>
  <c r="W194" i="336"/>
  <c r="Q194" i="336"/>
  <c r="X194" i="336" s="1"/>
  <c r="K194" i="336"/>
  <c r="Y194" i="336" s="1"/>
  <c r="BG194" i="336" s="1"/>
  <c r="AX193" i="336"/>
  <c r="AW193" i="336"/>
  <c r="AR193" i="336"/>
  <c r="AQ193" i="336"/>
  <c r="AP193" i="336"/>
  <c r="AO193" i="336"/>
  <c r="AN193" i="336"/>
  <c r="AI193" i="336"/>
  <c r="AD193" i="336"/>
  <c r="AB193" i="336"/>
  <c r="W193" i="336"/>
  <c r="Q193" i="336"/>
  <c r="X193" i="336" s="1"/>
  <c r="AL193" i="336" s="1"/>
  <c r="K193" i="336"/>
  <c r="AO192" i="336"/>
  <c r="AN192" i="336"/>
  <c r="AI192" i="336"/>
  <c r="AD192" i="336"/>
  <c r="AB192" i="336"/>
  <c r="AB200" i="336" s="1"/>
  <c r="X192" i="336"/>
  <c r="AL192" i="336" s="1"/>
  <c r="W192" i="336"/>
  <c r="Q192" i="336"/>
  <c r="K192" i="336"/>
  <c r="AN191" i="336"/>
  <c r="AI191" i="336"/>
  <c r="AD191" i="336"/>
  <c r="AB191" i="336"/>
  <c r="X191" i="336"/>
  <c r="AL191" i="336" s="1"/>
  <c r="W191" i="336"/>
  <c r="Q191" i="336"/>
  <c r="K191" i="336"/>
  <c r="AN190" i="336"/>
  <c r="AI190" i="336"/>
  <c r="AD190" i="336"/>
  <c r="AB190" i="336"/>
  <c r="X190" i="336"/>
  <c r="AL190" i="336" s="1"/>
  <c r="W190" i="336"/>
  <c r="Q190" i="336"/>
  <c r="K190" i="336"/>
  <c r="AR189" i="336"/>
  <c r="AQ189" i="336"/>
  <c r="AN189" i="336"/>
  <c r="AP189" i="336" s="1"/>
  <c r="AI189" i="336"/>
  <c r="AD189" i="336"/>
  <c r="AB189" i="336"/>
  <c r="W189" i="336"/>
  <c r="Q189" i="336"/>
  <c r="K189" i="336"/>
  <c r="AR188" i="336"/>
  <c r="AN188" i="336"/>
  <c r="AI188" i="336"/>
  <c r="AD188" i="336"/>
  <c r="AB188" i="336"/>
  <c r="W188" i="336"/>
  <c r="Q188" i="336"/>
  <c r="X188" i="336" s="1"/>
  <c r="AL188" i="336" s="1"/>
  <c r="K188" i="336"/>
  <c r="AX187" i="336"/>
  <c r="AX200" i="336" s="1"/>
  <c r="AW187" i="336"/>
  <c r="AW200" i="336" s="1"/>
  <c r="AR187" i="336"/>
  <c r="AQ187" i="336"/>
  <c r="AP187" i="336"/>
  <c r="AN187" i="336"/>
  <c r="AO187" i="336" s="1"/>
  <c r="AD187" i="336"/>
  <c r="AB187" i="336"/>
  <c r="W187" i="336"/>
  <c r="Q187" i="336"/>
  <c r="K187" i="336"/>
  <c r="AN186" i="336"/>
  <c r="AD186" i="336"/>
  <c r="AB186" i="336"/>
  <c r="X186" i="336"/>
  <c r="AL186" i="336" s="1"/>
  <c r="W186" i="336"/>
  <c r="Q186" i="336"/>
  <c r="K186" i="336"/>
  <c r="AM186" i="336" s="1"/>
  <c r="B186" i="336"/>
  <c r="B187" i="336" s="1"/>
  <c r="B188" i="336" s="1"/>
  <c r="B189" i="336" s="1"/>
  <c r="B190" i="336" s="1"/>
  <c r="B191" i="336" s="1"/>
  <c r="B192" i="336" s="1"/>
  <c r="B193" i="336" s="1"/>
  <c r="B194" i="336" s="1"/>
  <c r="B195" i="336" s="1"/>
  <c r="B196" i="336" s="1"/>
  <c r="B197" i="336" s="1"/>
  <c r="B198" i="336" s="1"/>
  <c r="B199" i="336" s="1"/>
  <c r="AR185" i="336"/>
  <c r="AQ185" i="336"/>
  <c r="AP185" i="336"/>
  <c r="AO185" i="336"/>
  <c r="AN185" i="336"/>
  <c r="AD185" i="336"/>
  <c r="AB185" i="336"/>
  <c r="X185" i="336"/>
  <c r="AL185" i="336" s="1"/>
  <c r="W185" i="336"/>
  <c r="Q185" i="336"/>
  <c r="K185" i="336"/>
  <c r="B185" i="336"/>
  <c r="AR184" i="336"/>
  <c r="AQ184" i="336"/>
  <c r="AN184" i="336"/>
  <c r="AO184" i="336" s="1"/>
  <c r="AD184" i="336"/>
  <c r="AB184" i="336"/>
  <c r="W184" i="336"/>
  <c r="Q184" i="336"/>
  <c r="K184" i="336"/>
  <c r="B184" i="336"/>
  <c r="BN183" i="336"/>
  <c r="AY183" i="336"/>
  <c r="AX183" i="336"/>
  <c r="AW183" i="336"/>
  <c r="AV183" i="336"/>
  <c r="AU183" i="336"/>
  <c r="AT183" i="336"/>
  <c r="AS183" i="336"/>
  <c r="AK183" i="336"/>
  <c r="AJ183" i="336"/>
  <c r="AI183" i="336"/>
  <c r="AH183" i="336"/>
  <c r="AG183" i="336"/>
  <c r="AF183" i="336"/>
  <c r="AE183" i="336"/>
  <c r="AC183" i="336"/>
  <c r="AA183" i="336"/>
  <c r="V183" i="336"/>
  <c r="U183" i="336"/>
  <c r="T183" i="336"/>
  <c r="S183" i="336"/>
  <c r="R183" i="336"/>
  <c r="P183" i="336"/>
  <c r="O183" i="336"/>
  <c r="N183" i="336"/>
  <c r="M183" i="336"/>
  <c r="L183" i="336"/>
  <c r="BG182" i="336"/>
  <c r="AX182" i="336"/>
  <c r="AW182" i="336"/>
  <c r="AQ182" i="336"/>
  <c r="AP182" i="336"/>
  <c r="AN182" i="336"/>
  <c r="AR182" i="336" s="1"/>
  <c r="AL182" i="336"/>
  <c r="AD182" i="336"/>
  <c r="AB182" i="336"/>
  <c r="Z182" i="336"/>
  <c r="Y182" i="336"/>
  <c r="W182" i="336"/>
  <c r="Q182" i="336"/>
  <c r="X182" i="336" s="1"/>
  <c r="K182" i="336"/>
  <c r="AW181" i="336"/>
  <c r="AQ181" i="336"/>
  <c r="AN181" i="336"/>
  <c r="AR181" i="336" s="1"/>
  <c r="AD181" i="336"/>
  <c r="AB181" i="336"/>
  <c r="X181" i="336"/>
  <c r="AL181" i="336" s="1"/>
  <c r="W181" i="336"/>
  <c r="W183" i="336" s="1"/>
  <c r="Q181" i="336"/>
  <c r="K181" i="336"/>
  <c r="AW180" i="336"/>
  <c r="AQ180" i="336"/>
  <c r="AP180" i="336"/>
  <c r="AO180" i="336"/>
  <c r="AN180" i="336"/>
  <c r="AR180" i="336" s="1"/>
  <c r="AD180" i="336"/>
  <c r="AB180" i="336"/>
  <c r="Y180" i="336"/>
  <c r="W180" i="336"/>
  <c r="Q180" i="336"/>
  <c r="X180" i="336" s="1"/>
  <c r="AL180" i="336" s="1"/>
  <c r="K180" i="336"/>
  <c r="AW179" i="336"/>
  <c r="AQ179" i="336"/>
  <c r="AP179" i="336"/>
  <c r="AO179" i="336"/>
  <c r="AN179" i="336"/>
  <c r="AR179" i="336" s="1"/>
  <c r="AD179" i="336"/>
  <c r="AB179" i="336"/>
  <c r="W179" i="336"/>
  <c r="Q179" i="336"/>
  <c r="X179" i="336" s="1"/>
  <c r="AL179" i="336" s="1"/>
  <c r="K179" i="336"/>
  <c r="AW178" i="336"/>
  <c r="AQ178" i="336"/>
  <c r="AP178" i="336"/>
  <c r="AO178" i="336"/>
  <c r="AN178" i="336"/>
  <c r="AR178" i="336" s="1"/>
  <c r="AD178" i="336"/>
  <c r="AB178" i="336"/>
  <c r="X178" i="336"/>
  <c r="W178" i="336"/>
  <c r="Q178" i="336"/>
  <c r="K178" i="336"/>
  <c r="AW177" i="336"/>
  <c r="AQ177" i="336"/>
  <c r="AP177" i="336"/>
  <c r="AN177" i="336"/>
  <c r="AR177" i="336" s="1"/>
  <c r="AL177" i="336"/>
  <c r="AD177" i="336"/>
  <c r="AB177" i="336"/>
  <c r="AB183" i="336" s="1"/>
  <c r="W177" i="336"/>
  <c r="Q177" i="336"/>
  <c r="X177" i="336" s="1"/>
  <c r="K177" i="336"/>
  <c r="AW176" i="336"/>
  <c r="AN176" i="336"/>
  <c r="AD176" i="336"/>
  <c r="AD183" i="336" s="1"/>
  <c r="AB176" i="336"/>
  <c r="W176" i="336"/>
  <c r="Q176" i="336"/>
  <c r="K176" i="336"/>
  <c r="B176" i="336"/>
  <c r="B177" i="336" s="1"/>
  <c r="B178" i="336" s="1"/>
  <c r="B179" i="336" s="1"/>
  <c r="B180" i="336" s="1"/>
  <c r="B181" i="336" s="1"/>
  <c r="B182" i="336" s="1"/>
  <c r="AP175" i="336"/>
  <c r="AO175" i="336"/>
  <c r="AN175" i="336"/>
  <c r="AD175" i="336"/>
  <c r="AB175" i="336"/>
  <c r="Y175" i="336"/>
  <c r="X175" i="336"/>
  <c r="W175" i="336"/>
  <c r="Q175" i="336"/>
  <c r="K175" i="336"/>
  <c r="BN174" i="336"/>
  <c r="AY174" i="336"/>
  <c r="AV174" i="336"/>
  <c r="AU174" i="336"/>
  <c r="AT174" i="336"/>
  <c r="AS174" i="336"/>
  <c r="AK174" i="336"/>
  <c r="AJ174" i="336"/>
  <c r="AI174" i="336"/>
  <c r="AE174" i="336"/>
  <c r="AC174" i="336"/>
  <c r="AA174" i="336"/>
  <c r="W174" i="336"/>
  <c r="V174" i="336"/>
  <c r="U174" i="336"/>
  <c r="T174" i="336"/>
  <c r="S174" i="336"/>
  <c r="R174" i="336"/>
  <c r="Q174" i="336"/>
  <c r="P174" i="336"/>
  <c r="O174" i="336"/>
  <c r="N174" i="336"/>
  <c r="M174" i="336"/>
  <c r="L174" i="336"/>
  <c r="AX173" i="336"/>
  <c r="AW173" i="336"/>
  <c r="AQ173" i="336"/>
  <c r="AP173" i="336"/>
  <c r="AO173" i="336"/>
  <c r="AN173" i="336"/>
  <c r="AL173" i="336"/>
  <c r="AD173" i="336"/>
  <c r="AB173" i="336"/>
  <c r="W173" i="336"/>
  <c r="Q173" i="336"/>
  <c r="X173" i="336" s="1"/>
  <c r="K173" i="336"/>
  <c r="AP172" i="336"/>
  <c r="AN172" i="336"/>
  <c r="AI172" i="336"/>
  <c r="AD172" i="336"/>
  <c r="AB172" i="336"/>
  <c r="W172" i="336"/>
  <c r="Q172" i="336"/>
  <c r="K172" i="336"/>
  <c r="AN171" i="336"/>
  <c r="AL171" i="336"/>
  <c r="AM171" i="336" s="1"/>
  <c r="AD171" i="336"/>
  <c r="AB171" i="336"/>
  <c r="Z171" i="336"/>
  <c r="Y171" i="336"/>
  <c r="BG171" i="336" s="1"/>
  <c r="W171" i="336"/>
  <c r="Q171" i="336"/>
  <c r="X171" i="336" s="1"/>
  <c r="K171" i="336"/>
  <c r="BG170" i="336"/>
  <c r="AO170" i="336"/>
  <c r="AN170" i="336"/>
  <c r="AD170" i="336"/>
  <c r="AB170" i="336"/>
  <c r="Z170" i="336"/>
  <c r="Y170" i="336"/>
  <c r="X170" i="336"/>
  <c r="AL170" i="336" s="1"/>
  <c r="W170" i="336"/>
  <c r="Q170" i="336"/>
  <c r="K170" i="336"/>
  <c r="AM170" i="336" s="1"/>
  <c r="B170" i="336"/>
  <c r="B171" i="336" s="1"/>
  <c r="B172" i="336" s="1"/>
  <c r="B173" i="336" s="1"/>
  <c r="AR169" i="336"/>
  <c r="AN169" i="336"/>
  <c r="AD169" i="336"/>
  <c r="AB169" i="336"/>
  <c r="AB174" i="336" s="1"/>
  <c r="X169" i="336"/>
  <c r="W169" i="336"/>
  <c r="Q169" i="336"/>
  <c r="K169" i="336"/>
  <c r="B169" i="336"/>
  <c r="AX168" i="336"/>
  <c r="AW168" i="336"/>
  <c r="AN168" i="336"/>
  <c r="AL168" i="336"/>
  <c r="AG168" i="336"/>
  <c r="AG174" i="336" s="1"/>
  <c r="AD168" i="336"/>
  <c r="AB168" i="336"/>
  <c r="Z168" i="336"/>
  <c r="Y168" i="336"/>
  <c r="W168" i="336"/>
  <c r="Q168" i="336"/>
  <c r="X168" i="336" s="1"/>
  <c r="K168" i="336"/>
  <c r="B168" i="336"/>
  <c r="AX167" i="336"/>
  <c r="AX174" i="336" s="1"/>
  <c r="AW167" i="336"/>
  <c r="AN167" i="336"/>
  <c r="AL167" i="336"/>
  <c r="AD167" i="336"/>
  <c r="AD174" i="336" s="1"/>
  <c r="AB167" i="336"/>
  <c r="W167" i="336"/>
  <c r="Q167" i="336"/>
  <c r="X167" i="336" s="1"/>
  <c r="K167" i="336"/>
  <c r="BN166" i="336"/>
  <c r="AY166" i="336"/>
  <c r="AV166" i="336"/>
  <c r="AU166" i="336"/>
  <c r="AT166" i="336"/>
  <c r="AS166" i="336"/>
  <c r="AK166" i="336"/>
  <c r="AJ166" i="336"/>
  <c r="AI166" i="336"/>
  <c r="AH166" i="336"/>
  <c r="AE166" i="336"/>
  <c r="AC166" i="336"/>
  <c r="AA166" i="336"/>
  <c r="V166" i="336"/>
  <c r="U166" i="336"/>
  <c r="T166" i="336"/>
  <c r="S166" i="336"/>
  <c r="R166" i="336"/>
  <c r="P166" i="336"/>
  <c r="O166" i="336"/>
  <c r="N166" i="336"/>
  <c r="M166" i="336"/>
  <c r="L166" i="336"/>
  <c r="AX165" i="336"/>
  <c r="AW165" i="336"/>
  <c r="AR165" i="336"/>
  <c r="AQ165" i="336"/>
  <c r="AP165" i="336"/>
  <c r="AN165" i="336"/>
  <c r="AG165" i="336"/>
  <c r="AG166" i="336" s="1"/>
  <c r="AD165" i="336"/>
  <c r="AB165" i="336"/>
  <c r="W165" i="336"/>
  <c r="X165" i="336" s="1"/>
  <c r="Q165" i="336"/>
  <c r="K165" i="336"/>
  <c r="B165" i="336"/>
  <c r="AX164" i="336"/>
  <c r="AW164" i="336"/>
  <c r="AN164" i="336"/>
  <c r="AD164" i="336"/>
  <c r="AB164" i="336"/>
  <c r="W164" i="336"/>
  <c r="Q164" i="336"/>
  <c r="X164" i="336" s="1"/>
  <c r="AL164" i="336" s="1"/>
  <c r="AM164" i="336" s="1"/>
  <c r="K164" i="336"/>
  <c r="B164" i="336"/>
  <c r="AX163" i="336"/>
  <c r="AW163" i="336"/>
  <c r="AO163" i="336"/>
  <c r="AN163" i="336"/>
  <c r="AG163" i="336"/>
  <c r="AD163" i="336"/>
  <c r="AB163" i="336"/>
  <c r="W163" i="336"/>
  <c r="Q163" i="336"/>
  <c r="X163" i="336" s="1"/>
  <c r="AL163" i="336" s="1"/>
  <c r="K163" i="336"/>
  <c r="B163" i="336"/>
  <c r="AX162" i="336"/>
  <c r="AW162" i="336"/>
  <c r="AR162" i="336"/>
  <c r="AQ162" i="336"/>
  <c r="AO162" i="336"/>
  <c r="AN162" i="336"/>
  <c r="AG162" i="336"/>
  <c r="AD162" i="336"/>
  <c r="AD166" i="336" s="1"/>
  <c r="AB162" i="336"/>
  <c r="X162" i="336"/>
  <c r="W162" i="336"/>
  <c r="W166" i="336" s="1"/>
  <c r="Q162" i="336"/>
  <c r="K162" i="336"/>
  <c r="BN161" i="336"/>
  <c r="AY161" i="336"/>
  <c r="AW161" i="336"/>
  <c r="AV161" i="336"/>
  <c r="AU161" i="336"/>
  <c r="AT161" i="336"/>
  <c r="AS161" i="336"/>
  <c r="AN161" i="336"/>
  <c r="AK161" i="336"/>
  <c r="AJ161" i="336"/>
  <c r="AI161" i="336"/>
  <c r="AH161" i="336"/>
  <c r="AE161" i="336"/>
  <c r="AC161" i="336"/>
  <c r="AA161" i="336"/>
  <c r="W161" i="336"/>
  <c r="V161" i="336"/>
  <c r="U161" i="336"/>
  <c r="T161" i="336"/>
  <c r="S161" i="336"/>
  <c r="R161" i="336"/>
  <c r="P161" i="336"/>
  <c r="O161" i="336"/>
  <c r="N161" i="336"/>
  <c r="M161" i="336"/>
  <c r="L161" i="336"/>
  <c r="AX160" i="336"/>
  <c r="AW160" i="336"/>
  <c r="AQ160" i="336"/>
  <c r="AP160" i="336"/>
  <c r="AO160" i="336"/>
  <c r="AN160" i="336"/>
  <c r="AR160" i="336" s="1"/>
  <c r="AD160" i="336"/>
  <c r="AB160" i="336"/>
  <c r="Y160" i="336"/>
  <c r="W160" i="336"/>
  <c r="Q160" i="336"/>
  <c r="X160" i="336" s="1"/>
  <c r="AL160" i="336" s="1"/>
  <c r="K160" i="336"/>
  <c r="AX159" i="336"/>
  <c r="AX161" i="336" s="1"/>
  <c r="AW159" i="336"/>
  <c r="AN159" i="336"/>
  <c r="AG159" i="336"/>
  <c r="AG161" i="336" s="1"/>
  <c r="AD159" i="336"/>
  <c r="AB159" i="336"/>
  <c r="W159" i="336"/>
  <c r="Q159" i="336"/>
  <c r="X159" i="336" s="1"/>
  <c r="AL159" i="336" s="1"/>
  <c r="K159" i="336"/>
  <c r="B159" i="336"/>
  <c r="B160" i="336" s="1"/>
  <c r="AR158" i="336"/>
  <c r="AO158" i="336"/>
  <c r="AN158" i="336"/>
  <c r="AD158" i="336"/>
  <c r="AB158" i="336"/>
  <c r="W158" i="336"/>
  <c r="Q158" i="336"/>
  <c r="K158" i="336"/>
  <c r="B158" i="336"/>
  <c r="AN157" i="336"/>
  <c r="AD157" i="336"/>
  <c r="AB157" i="336"/>
  <c r="X157" i="336"/>
  <c r="W157" i="336"/>
  <c r="Q157" i="336"/>
  <c r="K157" i="336"/>
  <c r="BN156" i="336"/>
  <c r="AY156" i="336"/>
  <c r="AV156" i="336"/>
  <c r="AU156" i="336"/>
  <c r="AT156" i="336"/>
  <c r="AS156" i="336"/>
  <c r="AN156" i="336"/>
  <c r="AK156" i="336"/>
  <c r="AJ156" i="336"/>
  <c r="AI156" i="336"/>
  <c r="AG156" i="336"/>
  <c r="AE156" i="336"/>
  <c r="AC156" i="336"/>
  <c r="AB156" i="336"/>
  <c r="AA156" i="336"/>
  <c r="V156" i="336"/>
  <c r="U156" i="336"/>
  <c r="T156" i="336"/>
  <c r="S156" i="336"/>
  <c r="R156" i="336"/>
  <c r="P156" i="336"/>
  <c r="O156" i="336"/>
  <c r="N156" i="336"/>
  <c r="M156" i="336"/>
  <c r="L156" i="336"/>
  <c r="AX155" i="336"/>
  <c r="AX156" i="336" s="1"/>
  <c r="AW155" i="336"/>
  <c r="AW156" i="336" s="1"/>
  <c r="AR155" i="336"/>
  <c r="AN155" i="336"/>
  <c r="AD155" i="336"/>
  <c r="AB155" i="336"/>
  <c r="W155" i="336"/>
  <c r="X155" i="336" s="1"/>
  <c r="Q155" i="336"/>
  <c r="K155" i="336"/>
  <c r="AR154" i="336"/>
  <c r="AN154" i="336"/>
  <c r="AI154" i="336"/>
  <c r="AG154" i="336"/>
  <c r="AD154" i="336"/>
  <c r="AD156" i="336" s="1"/>
  <c r="AB154" i="336"/>
  <c r="W154" i="336"/>
  <c r="Q154" i="336"/>
  <c r="K154" i="336"/>
  <c r="AX153" i="336"/>
  <c r="AW153" i="336"/>
  <c r="AP153" i="336"/>
  <c r="AN153" i="336"/>
  <c r="AL153" i="336"/>
  <c r="AI153" i="336"/>
  <c r="AG153" i="336"/>
  <c r="AD153" i="336"/>
  <c r="AB153" i="336"/>
  <c r="X153" i="336"/>
  <c r="W153" i="336"/>
  <c r="Q153" i="336"/>
  <c r="K153" i="336"/>
  <c r="B153" i="336"/>
  <c r="B154" i="336" s="1"/>
  <c r="B155" i="336" s="1"/>
  <c r="BN152" i="336"/>
  <c r="AY152" i="336"/>
  <c r="AX152" i="336"/>
  <c r="AV152" i="336"/>
  <c r="AU152" i="336"/>
  <c r="AT152" i="336"/>
  <c r="AS152" i="336"/>
  <c r="AK152" i="336"/>
  <c r="AJ152" i="336"/>
  <c r="AE152" i="336"/>
  <c r="AC152" i="336"/>
  <c r="AA152" i="336"/>
  <c r="W152" i="336"/>
  <c r="V152" i="336"/>
  <c r="U152" i="336"/>
  <c r="T152" i="336"/>
  <c r="S152" i="336"/>
  <c r="R152" i="336"/>
  <c r="P152" i="336"/>
  <c r="O152" i="336"/>
  <c r="N152" i="336"/>
  <c r="M152" i="336"/>
  <c r="L152" i="336"/>
  <c r="K152" i="336"/>
  <c r="AX151" i="336"/>
  <c r="AW151" i="336"/>
  <c r="AO151" i="336"/>
  <c r="AN151" i="336"/>
  <c r="AD151" i="336"/>
  <c r="AB151" i="336"/>
  <c r="X151" i="336"/>
  <c r="W151" i="336"/>
  <c r="Q151" i="336"/>
  <c r="K151" i="336"/>
  <c r="AW150" i="336"/>
  <c r="AN150" i="336"/>
  <c r="AL150" i="336"/>
  <c r="AM150" i="336" s="1"/>
  <c r="AI150" i="336"/>
  <c r="AG150" i="336"/>
  <c r="AD150" i="336"/>
  <c r="AB150" i="336"/>
  <c r="Z150" i="336"/>
  <c r="Y150" i="336"/>
  <c r="BG150" i="336" s="1"/>
  <c r="X150" i="336"/>
  <c r="W150" i="336"/>
  <c r="Q150" i="336"/>
  <c r="K150" i="336"/>
  <c r="BG149" i="336"/>
  <c r="AW149" i="336"/>
  <c r="AN149" i="336"/>
  <c r="AW148" i="336"/>
  <c r="AP148" i="336"/>
  <c r="AO148" i="336"/>
  <c r="AN148" i="336"/>
  <c r="AD148" i="336"/>
  <c r="AB148" i="336"/>
  <c r="X148" i="336"/>
  <c r="AL148" i="336" s="1"/>
  <c r="AM148" i="336" s="1"/>
  <c r="W148" i="336"/>
  <c r="Q148" i="336"/>
  <c r="K148" i="336"/>
  <c r="AW147" i="336"/>
  <c r="AO147" i="336"/>
  <c r="AN147" i="336"/>
  <c r="AI147" i="336"/>
  <c r="AD147" i="336"/>
  <c r="AB147" i="336"/>
  <c r="W147" i="336"/>
  <c r="Q147" i="336"/>
  <c r="X147" i="336" s="1"/>
  <c r="AL147" i="336" s="1"/>
  <c r="K147" i="336"/>
  <c r="AX146" i="336"/>
  <c r="AW146" i="336"/>
  <c r="AR146" i="336"/>
  <c r="AQ146" i="336"/>
  <c r="AP146" i="336"/>
  <c r="AO146" i="336"/>
  <c r="AN146" i="336"/>
  <c r="AM146" i="336"/>
  <c r="AG146" i="336"/>
  <c r="AD146" i="336"/>
  <c r="AD152" i="336" s="1"/>
  <c r="AB146" i="336"/>
  <c r="AB152" i="336" s="1"/>
  <c r="Z146" i="336"/>
  <c r="Y146" i="336"/>
  <c r="W146" i="336"/>
  <c r="X146" i="336" s="1"/>
  <c r="AL146" i="336" s="1"/>
  <c r="Q146" i="336"/>
  <c r="K146" i="336"/>
  <c r="B146" i="336"/>
  <c r="B147" i="336" s="1"/>
  <c r="B148" i="336" s="1"/>
  <c r="B149" i="336" s="1"/>
  <c r="B150" i="336" s="1"/>
  <c r="B151" i="336" s="1"/>
  <c r="AW145" i="336"/>
  <c r="AR145" i="336"/>
  <c r="AQ145" i="336"/>
  <c r="AN145" i="336"/>
  <c r="AI145" i="336"/>
  <c r="AG145" i="336"/>
  <c r="AD145" i="336"/>
  <c r="AB145" i="336"/>
  <c r="W145" i="336"/>
  <c r="Q145" i="336"/>
  <c r="X145" i="336" s="1"/>
  <c r="K145" i="336"/>
  <c r="B145" i="336"/>
  <c r="AX144" i="336"/>
  <c r="AW144" i="336"/>
  <c r="AP144" i="336"/>
  <c r="AN144" i="336"/>
  <c r="AI144" i="336"/>
  <c r="AI152" i="336" s="1"/>
  <c r="AG144" i="336"/>
  <c r="AG152" i="336" s="1"/>
  <c r="AD144" i="336"/>
  <c r="AB144" i="336"/>
  <c r="W144" i="336"/>
  <c r="Q144" i="336"/>
  <c r="K144" i="336"/>
  <c r="BN143" i="336"/>
  <c r="AY143" i="336"/>
  <c r="AW143" i="336"/>
  <c r="AV143" i="336"/>
  <c r="AU143" i="336"/>
  <c r="AT143" i="336"/>
  <c r="AS143" i="336"/>
  <c r="AK143" i="336"/>
  <c r="AJ143" i="336"/>
  <c r="AE143" i="336"/>
  <c r="AC143" i="336"/>
  <c r="AA143" i="336"/>
  <c r="V143" i="336"/>
  <c r="U143" i="336"/>
  <c r="T143" i="336"/>
  <c r="S143" i="336"/>
  <c r="R143" i="336"/>
  <c r="P143" i="336"/>
  <c r="O143" i="336"/>
  <c r="N143" i="336"/>
  <c r="M143" i="336"/>
  <c r="L143" i="336"/>
  <c r="AX142" i="336"/>
  <c r="AW142" i="336"/>
  <c r="AR142" i="336"/>
  <c r="AN142" i="336"/>
  <c r="AD142" i="336"/>
  <c r="AB142" i="336"/>
  <c r="W142" i="336"/>
  <c r="Q142" i="336"/>
  <c r="K142" i="336"/>
  <c r="AR141" i="336"/>
  <c r="AQ141" i="336"/>
  <c r="AN141" i="336"/>
  <c r="AO141" i="336" s="1"/>
  <c r="AG141" i="336"/>
  <c r="AD141" i="336"/>
  <c r="AB141" i="336"/>
  <c r="W141" i="336"/>
  <c r="X141" i="336" s="1"/>
  <c r="AL141" i="336" s="1"/>
  <c r="Q141" i="336"/>
  <c r="K141" i="336"/>
  <c r="AX140" i="336"/>
  <c r="AX143" i="336" s="1"/>
  <c r="AW140" i="336"/>
  <c r="AN140" i="336"/>
  <c r="AI140" i="336"/>
  <c r="AD140" i="336"/>
  <c r="AB140" i="336"/>
  <c r="W140" i="336"/>
  <c r="X140" i="336" s="1"/>
  <c r="AL140" i="336" s="1"/>
  <c r="Q140" i="336"/>
  <c r="K140" i="336"/>
  <c r="BG139" i="336"/>
  <c r="AN139" i="336"/>
  <c r="AL139" i="336"/>
  <c r="AM139" i="336" s="1"/>
  <c r="AG139" i="336"/>
  <c r="AD139" i="336"/>
  <c r="AB139" i="336"/>
  <c r="Z139" i="336"/>
  <c r="Y139" i="336"/>
  <c r="W139" i="336"/>
  <c r="Q139" i="336"/>
  <c r="X139" i="336" s="1"/>
  <c r="K139" i="336"/>
  <c r="AR138" i="336"/>
  <c r="AN138" i="336"/>
  <c r="AP138" i="336" s="1"/>
  <c r="AD138" i="336"/>
  <c r="AB138" i="336"/>
  <c r="X138" i="336"/>
  <c r="AL138" i="336" s="1"/>
  <c r="W138" i="336"/>
  <c r="Q138" i="336"/>
  <c r="K138" i="336"/>
  <c r="BG137" i="336"/>
  <c r="AO137" i="336"/>
  <c r="AN137" i="336"/>
  <c r="AQ137" i="336" s="1"/>
  <c r="AM137" i="336"/>
  <c r="AI137" i="336"/>
  <c r="AG137" i="336"/>
  <c r="AD137" i="336"/>
  <c r="AB137" i="336"/>
  <c r="Z137" i="336"/>
  <c r="W137" i="336"/>
  <c r="Q137" i="336"/>
  <c r="X137" i="336" s="1"/>
  <c r="AL137" i="336" s="1"/>
  <c r="K137" i="336"/>
  <c r="Y137" i="336" s="1"/>
  <c r="AR136" i="336"/>
  <c r="AQ136" i="336"/>
  <c r="AP136" i="336"/>
  <c r="AO136" i="336"/>
  <c r="AN136" i="336"/>
  <c r="AI136" i="336"/>
  <c r="AI143" i="336" s="1"/>
  <c r="AG136" i="336"/>
  <c r="AD136" i="336"/>
  <c r="AB136" i="336"/>
  <c r="W136" i="336"/>
  <c r="Q136" i="336"/>
  <c r="K136" i="336"/>
  <c r="B136" i="336"/>
  <c r="B137" i="336" s="1"/>
  <c r="B138" i="336" s="1"/>
  <c r="B139" i="336" s="1"/>
  <c r="B140" i="336" s="1"/>
  <c r="B141" i="336" s="1"/>
  <c r="B142" i="336" s="1"/>
  <c r="BN135" i="336"/>
  <c r="AY135" i="336"/>
  <c r="AV135" i="336"/>
  <c r="AU135" i="336"/>
  <c r="AT135" i="336"/>
  <c r="AS135" i="336"/>
  <c r="AK135" i="336"/>
  <c r="AJ135" i="336"/>
  <c r="AG135" i="336"/>
  <c r="AE135" i="336"/>
  <c r="AC135" i="336"/>
  <c r="AA135" i="336"/>
  <c r="V135" i="336"/>
  <c r="U135" i="336"/>
  <c r="T135" i="336"/>
  <c r="S135" i="336"/>
  <c r="R135" i="336"/>
  <c r="P135" i="336"/>
  <c r="O135" i="336"/>
  <c r="N135" i="336"/>
  <c r="M135" i="336"/>
  <c r="L135" i="336"/>
  <c r="AX134" i="336"/>
  <c r="AW134" i="336"/>
  <c r="AQ134" i="336"/>
  <c r="AN134" i="336"/>
  <c r="AI134" i="336"/>
  <c r="AG134" i="336"/>
  <c r="AD134" i="336"/>
  <c r="AB134" i="336"/>
  <c r="W134" i="336"/>
  <c r="Q134" i="336"/>
  <c r="X134" i="336" s="1"/>
  <c r="AL134" i="336" s="1"/>
  <c r="K134" i="336"/>
  <c r="AR133" i="336"/>
  <c r="AQ133" i="336"/>
  <c r="AP133" i="336"/>
  <c r="AO133" i="336"/>
  <c r="AN133" i="336"/>
  <c r="AI133" i="336"/>
  <c r="AG133" i="336"/>
  <c r="AD133" i="336"/>
  <c r="AB133" i="336"/>
  <c r="Y133" i="336"/>
  <c r="BG133" i="336" s="1"/>
  <c r="W133" i="336"/>
  <c r="Q133" i="336"/>
  <c r="X133" i="336" s="1"/>
  <c r="AL133" i="336" s="1"/>
  <c r="K133" i="336"/>
  <c r="AM133" i="336" s="1"/>
  <c r="AX132" i="336"/>
  <c r="AW132" i="336"/>
  <c r="AO132" i="336"/>
  <c r="AN132" i="336"/>
  <c r="AL132" i="336"/>
  <c r="AM132" i="336" s="1"/>
  <c r="AI132" i="336"/>
  <c r="AD132" i="336"/>
  <c r="AB132" i="336"/>
  <c r="Y132" i="336"/>
  <c r="X132" i="336"/>
  <c r="AR132" i="336" s="1"/>
  <c r="W132" i="336"/>
  <c r="Q132" i="336"/>
  <c r="K132" i="336"/>
  <c r="AN131" i="336"/>
  <c r="AI131" i="336"/>
  <c r="AG131" i="336"/>
  <c r="AD131" i="336"/>
  <c r="AB131" i="336"/>
  <c r="W131" i="336"/>
  <c r="Q131" i="336"/>
  <c r="X131" i="336" s="1"/>
  <c r="AL131" i="336" s="1"/>
  <c r="K131" i="336"/>
  <c r="BG130" i="336"/>
  <c r="AR130" i="336"/>
  <c r="AN130" i="336"/>
  <c r="AL130" i="336"/>
  <c r="AM130" i="336" s="1"/>
  <c r="AD130" i="336"/>
  <c r="AB130" i="336"/>
  <c r="X130" i="336"/>
  <c r="Y130" i="336" s="1"/>
  <c r="W130" i="336"/>
  <c r="Q130" i="336"/>
  <c r="K130" i="336"/>
  <c r="AR129" i="336"/>
  <c r="AQ129" i="336"/>
  <c r="AN129" i="336"/>
  <c r="AL129" i="336"/>
  <c r="AI129" i="336"/>
  <c r="AD129" i="336"/>
  <c r="AB129" i="336"/>
  <c r="X129" i="336"/>
  <c r="Y129" i="336" s="1"/>
  <c r="W129" i="336"/>
  <c r="Q129" i="336"/>
  <c r="K129" i="336"/>
  <c r="B129" i="336"/>
  <c r="B130" i="336" s="1"/>
  <c r="B131" i="336" s="1"/>
  <c r="B132" i="336" s="1"/>
  <c r="B133" i="336" s="1"/>
  <c r="B134" i="336" s="1"/>
  <c r="AX128" i="336"/>
  <c r="AX135" i="336" s="1"/>
  <c r="AW128" i="336"/>
  <c r="AR128" i="336"/>
  <c r="AN128" i="336"/>
  <c r="AM128" i="336"/>
  <c r="AI128" i="336"/>
  <c r="AD128" i="336"/>
  <c r="AB128" i="336"/>
  <c r="W128" i="336"/>
  <c r="X128" i="336" s="1"/>
  <c r="AL128" i="336" s="1"/>
  <c r="Q128" i="336"/>
  <c r="K128" i="336"/>
  <c r="Y128" i="336" s="1"/>
  <c r="B128" i="336"/>
  <c r="AR127" i="336"/>
  <c r="AN127" i="336"/>
  <c r="AG127" i="336"/>
  <c r="AD127" i="336"/>
  <c r="AB127" i="336"/>
  <c r="W127" i="336"/>
  <c r="X127" i="336" s="1"/>
  <c r="AL127" i="336" s="1"/>
  <c r="Q127" i="336"/>
  <c r="K127" i="336"/>
  <c r="AR126" i="336"/>
  <c r="AN126" i="336"/>
  <c r="AD126" i="336"/>
  <c r="AB126" i="336"/>
  <c r="X126" i="336"/>
  <c r="AL126" i="336" s="1"/>
  <c r="W126" i="336"/>
  <c r="Q126" i="336"/>
  <c r="K126" i="336"/>
  <c r="B126" i="336"/>
  <c r="B127" i="336" s="1"/>
  <c r="AR125" i="336"/>
  <c r="AQ125" i="336"/>
  <c r="AN125" i="336"/>
  <c r="AD125" i="336"/>
  <c r="AB125" i="336"/>
  <c r="W125" i="336"/>
  <c r="W135" i="336" s="1"/>
  <c r="Q125" i="336"/>
  <c r="K125" i="336"/>
  <c r="AC124" i="336"/>
  <c r="AC201" i="336" s="1"/>
  <c r="U124" i="336"/>
  <c r="U201" i="336" s="1"/>
  <c r="L124" i="336"/>
  <c r="L201" i="336" s="1"/>
  <c r="BN123" i="336"/>
  <c r="AY123" i="336"/>
  <c r="AV123" i="336"/>
  <c r="AU123" i="336"/>
  <c r="AT123" i="336"/>
  <c r="AS123" i="336"/>
  <c r="AE123" i="336"/>
  <c r="AE124" i="336" s="1"/>
  <c r="AC123" i="336"/>
  <c r="AA123" i="336"/>
  <c r="AA124" i="336" s="1"/>
  <c r="AA201" i="336" s="1"/>
  <c r="V123" i="336"/>
  <c r="U123" i="336"/>
  <c r="T123" i="336"/>
  <c r="S123" i="336"/>
  <c r="R123" i="336"/>
  <c r="P123" i="336"/>
  <c r="O123" i="336"/>
  <c r="N123" i="336"/>
  <c r="M123" i="336"/>
  <c r="L123" i="336"/>
  <c r="AX122" i="336"/>
  <c r="AW122" i="336"/>
  <c r="AR122" i="336"/>
  <c r="AQ122" i="336"/>
  <c r="AP122" i="336"/>
  <c r="AN122" i="336"/>
  <c r="AD122" i="336"/>
  <c r="AB122" i="336"/>
  <c r="W122" i="336"/>
  <c r="Q122" i="336"/>
  <c r="X122" i="336" s="1"/>
  <c r="K122" i="336"/>
  <c r="AQ121" i="336"/>
  <c r="AP121" i="336"/>
  <c r="AN121" i="336"/>
  <c r="AO121" i="336" s="1"/>
  <c r="AD121" i="336"/>
  <c r="AB121" i="336"/>
  <c r="X121" i="336"/>
  <c r="W121" i="336"/>
  <c r="Q121" i="336"/>
  <c r="K121" i="336"/>
  <c r="AX120" i="336"/>
  <c r="AW120" i="336"/>
  <c r="AP120" i="336"/>
  <c r="AO120" i="336"/>
  <c r="AN120" i="336"/>
  <c r="AG120" i="336"/>
  <c r="AD120" i="336"/>
  <c r="AB120" i="336"/>
  <c r="X120" i="336"/>
  <c r="W120" i="336"/>
  <c r="Q120" i="336"/>
  <c r="K120" i="336"/>
  <c r="AX119" i="336"/>
  <c r="AW119" i="336"/>
  <c r="AO119" i="336"/>
  <c r="AN119" i="336"/>
  <c r="AD119" i="336"/>
  <c r="AB119" i="336"/>
  <c r="W119" i="336"/>
  <c r="Q119" i="336"/>
  <c r="X119" i="336" s="1"/>
  <c r="K119" i="336"/>
  <c r="AN118" i="336"/>
  <c r="AD118" i="336"/>
  <c r="AB118" i="336"/>
  <c r="W118" i="336"/>
  <c r="Q118" i="336"/>
  <c r="X118" i="336" s="1"/>
  <c r="AL118" i="336" s="1"/>
  <c r="K118" i="336"/>
  <c r="AX117" i="336"/>
  <c r="AW117" i="336"/>
  <c r="AN117" i="336"/>
  <c r="AM117" i="336"/>
  <c r="AL117" i="336"/>
  <c r="AD117" i="336"/>
  <c r="AB117" i="336"/>
  <c r="X117" i="336"/>
  <c r="W117" i="336"/>
  <c r="Q117" i="336"/>
  <c r="K117" i="336"/>
  <c r="AQ116" i="336"/>
  <c r="AO116" i="336"/>
  <c r="AN116" i="336"/>
  <c r="AR116" i="336" s="1"/>
  <c r="AD116" i="336"/>
  <c r="AB116" i="336"/>
  <c r="W116" i="336"/>
  <c r="X116" i="336" s="1"/>
  <c r="Q116" i="336"/>
  <c r="K116" i="336"/>
  <c r="AX115" i="336"/>
  <c r="AW115" i="336"/>
  <c r="AQ115" i="336"/>
  <c r="AP115" i="336"/>
  <c r="AN115" i="336"/>
  <c r="AL115" i="336"/>
  <c r="AJ115" i="336"/>
  <c r="AK115" i="336" s="1"/>
  <c r="AI115" i="336"/>
  <c r="AI123" i="336" s="1"/>
  <c r="AD115" i="336"/>
  <c r="AB115" i="336"/>
  <c r="Z115" i="336"/>
  <c r="Y115" i="336"/>
  <c r="X115" i="336"/>
  <c r="W115" i="336"/>
  <c r="Q115" i="336"/>
  <c r="K115" i="336"/>
  <c r="AX114" i="336"/>
  <c r="AW114" i="336"/>
  <c r="AO114" i="336"/>
  <c r="AN114" i="336"/>
  <c r="AJ114" i="336"/>
  <c r="AK114" i="336" s="1"/>
  <c r="AG114" i="336"/>
  <c r="AD114" i="336"/>
  <c r="AB114" i="336"/>
  <c r="W114" i="336"/>
  <c r="Q114" i="336"/>
  <c r="X114" i="336" s="1"/>
  <c r="AL114" i="336" s="1"/>
  <c r="K114" i="336"/>
  <c r="AP113" i="336"/>
  <c r="AO113" i="336"/>
  <c r="AN113" i="336"/>
  <c r="AR113" i="336" s="1"/>
  <c r="AD113" i="336"/>
  <c r="AB113" i="336"/>
  <c r="W113" i="336"/>
  <c r="Q113" i="336"/>
  <c r="K113" i="336"/>
  <c r="AX112" i="336"/>
  <c r="AW112" i="336"/>
  <c r="AQ112" i="336"/>
  <c r="AO112" i="336"/>
  <c r="AN112" i="336"/>
  <c r="AR112" i="336" s="1"/>
  <c r="AM112" i="336"/>
  <c r="AL112" i="336"/>
  <c r="AG112" i="336"/>
  <c r="AD112" i="336"/>
  <c r="AB112" i="336"/>
  <c r="X112" i="336"/>
  <c r="W112" i="336"/>
  <c r="Q112" i="336"/>
  <c r="K112" i="336"/>
  <c r="AR111" i="336"/>
  <c r="AQ111" i="336"/>
  <c r="AP111" i="336"/>
  <c r="AO111" i="336"/>
  <c r="AN111" i="336"/>
  <c r="AD111" i="336"/>
  <c r="AB111" i="336"/>
  <c r="W111" i="336"/>
  <c r="Q111" i="336"/>
  <c r="X111" i="336" s="1"/>
  <c r="K111" i="336"/>
  <c r="AP110" i="336"/>
  <c r="AN110" i="336"/>
  <c r="AQ110" i="336" s="1"/>
  <c r="AD110" i="336"/>
  <c r="AB110" i="336"/>
  <c r="W110" i="336"/>
  <c r="Q110" i="336"/>
  <c r="X110" i="336" s="1"/>
  <c r="K110" i="336"/>
  <c r="AX109" i="336"/>
  <c r="AW109" i="336"/>
  <c r="AR109" i="336"/>
  <c r="AQ109" i="336"/>
  <c r="AN109" i="336"/>
  <c r="AP109" i="336" s="1"/>
  <c r="AD109" i="336"/>
  <c r="AB109" i="336"/>
  <c r="W109" i="336"/>
  <c r="X109" i="336" s="1"/>
  <c r="Q109" i="336"/>
  <c r="K109" i="336"/>
  <c r="AX108" i="336"/>
  <c r="AW108" i="336"/>
  <c r="AQ108" i="336"/>
  <c r="AP108" i="336"/>
  <c r="AO108" i="336"/>
  <c r="AN108" i="336"/>
  <c r="AD108" i="336"/>
  <c r="AB108" i="336"/>
  <c r="Y108" i="336"/>
  <c r="X108" i="336"/>
  <c r="W108" i="336"/>
  <c r="Q108" i="336"/>
  <c r="K108" i="336"/>
  <c r="AX107" i="336"/>
  <c r="AW107" i="336"/>
  <c r="AR107" i="336"/>
  <c r="AP107" i="336"/>
  <c r="AO107" i="336"/>
  <c r="AN107" i="336"/>
  <c r="AQ107" i="336" s="1"/>
  <c r="AD107" i="336"/>
  <c r="AB107" i="336"/>
  <c r="Y107" i="336"/>
  <c r="W107" i="336"/>
  <c r="Q107" i="336"/>
  <c r="X107" i="336" s="1"/>
  <c r="K107" i="336"/>
  <c r="AN106" i="336"/>
  <c r="AM106" i="336"/>
  <c r="AL106" i="336"/>
  <c r="AJ106" i="336"/>
  <c r="AK106" i="336" s="1"/>
  <c r="AD106" i="336"/>
  <c r="AB106" i="336"/>
  <c r="W106" i="336"/>
  <c r="Q106" i="336"/>
  <c r="X106" i="336" s="1"/>
  <c r="K106" i="336"/>
  <c r="AX105" i="336"/>
  <c r="AW105" i="336"/>
  <c r="AR105" i="336"/>
  <c r="AP105" i="336"/>
  <c r="AN105" i="336"/>
  <c r="AG105" i="336"/>
  <c r="AD105" i="336"/>
  <c r="AB105" i="336"/>
  <c r="W105" i="336"/>
  <c r="Q105" i="336"/>
  <c r="K105" i="336"/>
  <c r="AO104" i="336"/>
  <c r="AN104" i="336"/>
  <c r="AR104" i="336" s="1"/>
  <c r="AD104" i="336"/>
  <c r="AB104" i="336"/>
  <c r="X104" i="336"/>
  <c r="W104" i="336"/>
  <c r="Q104" i="336"/>
  <c r="K104" i="336"/>
  <c r="B104" i="336"/>
  <c r="B105" i="336" s="1"/>
  <c r="B106" i="336" s="1"/>
  <c r="B107" i="336" s="1"/>
  <c r="B108" i="336" s="1"/>
  <c r="B109" i="336" s="1"/>
  <c r="B110" i="336" s="1"/>
  <c r="B111" i="336" s="1"/>
  <c r="B112" i="336" s="1"/>
  <c r="B113" i="336" s="1"/>
  <c r="B114" i="336" s="1"/>
  <c r="B115" i="336" s="1"/>
  <c r="B116" i="336" s="1"/>
  <c r="B117" i="336" s="1"/>
  <c r="B118" i="336" s="1"/>
  <c r="B119" i="336" s="1"/>
  <c r="B120" i="336" s="1"/>
  <c r="B121" i="336" s="1"/>
  <c r="B122" i="336" s="1"/>
  <c r="AX103" i="336"/>
  <c r="AW103" i="336"/>
  <c r="AW123" i="336" s="1"/>
  <c r="AR103" i="336"/>
  <c r="AQ103" i="336"/>
  <c r="AO103" i="336"/>
  <c r="AN103" i="336"/>
  <c r="AI103" i="336"/>
  <c r="AG103" i="336"/>
  <c r="AD103" i="336"/>
  <c r="AB103" i="336"/>
  <c r="AB123" i="336" s="1"/>
  <c r="X103" i="336"/>
  <c r="W103" i="336"/>
  <c r="Q103" i="336"/>
  <c r="K103" i="336"/>
  <c r="AP103" i="336" s="1"/>
  <c r="BN102" i="336"/>
  <c r="AY102" i="336"/>
  <c r="AV102" i="336"/>
  <c r="AU102" i="336"/>
  <c r="AT102" i="336"/>
  <c r="AS102" i="336"/>
  <c r="AI102" i="336"/>
  <c r="AE102" i="336"/>
  <c r="AC102" i="336"/>
  <c r="AA102" i="336"/>
  <c r="V102" i="336"/>
  <c r="U102" i="336"/>
  <c r="T102" i="336"/>
  <c r="S102" i="336"/>
  <c r="S124" i="336" s="1"/>
  <c r="S201" i="336" s="1"/>
  <c r="R102" i="336"/>
  <c r="R124" i="336" s="1"/>
  <c r="R201" i="336" s="1"/>
  <c r="P102" i="336"/>
  <c r="O102" i="336"/>
  <c r="N102" i="336"/>
  <c r="M102" i="336"/>
  <c r="L102" i="336"/>
  <c r="AX101" i="336"/>
  <c r="AW101" i="336"/>
  <c r="AR101" i="336"/>
  <c r="AQ101" i="336"/>
  <c r="AP101" i="336"/>
  <c r="AN101" i="336"/>
  <c r="AG101" i="336"/>
  <c r="AD101" i="336"/>
  <c r="AB101" i="336"/>
  <c r="X101" i="336"/>
  <c r="W101" i="336"/>
  <c r="Q101" i="336"/>
  <c r="K101" i="336"/>
  <c r="AX100" i="336"/>
  <c r="AW100" i="336"/>
  <c r="AR100" i="336"/>
  <c r="AN100" i="336"/>
  <c r="AJ100" i="336"/>
  <c r="AK100" i="336" s="1"/>
  <c r="AD100" i="336"/>
  <c r="AB100" i="336"/>
  <c r="X100" i="336"/>
  <c r="AL100" i="336" s="1"/>
  <c r="W100" i="336"/>
  <c r="Q100" i="336"/>
  <c r="K100" i="336"/>
  <c r="AX99" i="336"/>
  <c r="AW99" i="336"/>
  <c r="AR99" i="336"/>
  <c r="AQ99" i="336"/>
  <c r="AP99" i="336"/>
  <c r="AN99" i="336"/>
  <c r="AD99" i="336"/>
  <c r="AB99" i="336"/>
  <c r="W99" i="336"/>
  <c r="Q99" i="336"/>
  <c r="X99" i="336" s="1"/>
  <c r="K99" i="336"/>
  <c r="AX98" i="336"/>
  <c r="AW98" i="336"/>
  <c r="AN98" i="336"/>
  <c r="AR98" i="336" s="1"/>
  <c r="AD98" i="336"/>
  <c r="AB98" i="336"/>
  <c r="X98" i="336"/>
  <c r="W98" i="336"/>
  <c r="Q98" i="336"/>
  <c r="K98" i="336"/>
  <c r="AX97" i="336"/>
  <c r="AW97" i="336"/>
  <c r="AR97" i="336"/>
  <c r="AQ97" i="336"/>
  <c r="AP97" i="336"/>
  <c r="AN97" i="336"/>
  <c r="AO97" i="336" s="1"/>
  <c r="AL97" i="336"/>
  <c r="AK97" i="336"/>
  <c r="AJ97" i="336"/>
  <c r="AD97" i="336"/>
  <c r="AB97" i="336"/>
  <c r="Y97" i="336"/>
  <c r="BG97" i="336" s="1"/>
  <c r="X97" i="336"/>
  <c r="W97" i="336"/>
  <c r="Q97" i="336"/>
  <c r="K97" i="336"/>
  <c r="AX96" i="336"/>
  <c r="AW96" i="336"/>
  <c r="AQ96" i="336"/>
  <c r="AO96" i="336"/>
  <c r="AN96" i="336"/>
  <c r="AR96" i="336" s="1"/>
  <c r="AD96" i="336"/>
  <c r="AB96" i="336"/>
  <c r="X96" i="336"/>
  <c r="W96" i="336"/>
  <c r="Q96" i="336"/>
  <c r="K96" i="336"/>
  <c r="AX95" i="336"/>
  <c r="AW95" i="336"/>
  <c r="AR95" i="336"/>
  <c r="AP95" i="336"/>
  <c r="AO95" i="336"/>
  <c r="AN95" i="336"/>
  <c r="AD95" i="336"/>
  <c r="AB95" i="336"/>
  <c r="W95" i="336"/>
  <c r="Q95" i="336"/>
  <c r="K95" i="336"/>
  <c r="AW94" i="336"/>
  <c r="AN94" i="336"/>
  <c r="AJ94" i="336"/>
  <c r="AK94" i="336" s="1"/>
  <c r="AD94" i="336"/>
  <c r="AB94" i="336"/>
  <c r="Y94" i="336"/>
  <c r="W94" i="336"/>
  <c r="X94" i="336" s="1"/>
  <c r="AL94" i="336" s="1"/>
  <c r="Q94" i="336"/>
  <c r="K94" i="336"/>
  <c r="AW93" i="336"/>
  <c r="AR93" i="336"/>
  <c r="AQ93" i="336"/>
  <c r="AP93" i="336"/>
  <c r="AO93" i="336"/>
  <c r="AN93" i="336"/>
  <c r="AD93" i="336"/>
  <c r="AB93" i="336"/>
  <c r="Y93" i="336"/>
  <c r="W93" i="336"/>
  <c r="Q93" i="336"/>
  <c r="X93" i="336" s="1"/>
  <c r="K93" i="336"/>
  <c r="AX92" i="336"/>
  <c r="AW92" i="336"/>
  <c r="AR92" i="336"/>
  <c r="AO92" i="336"/>
  <c r="AN92" i="336"/>
  <c r="AG92" i="336"/>
  <c r="AD92" i="336"/>
  <c r="AB92" i="336"/>
  <c r="W92" i="336"/>
  <c r="Q92" i="336"/>
  <c r="X92" i="336" s="1"/>
  <c r="K92" i="336"/>
  <c r="AW91" i="336"/>
  <c r="AR91" i="336"/>
  <c r="AQ91" i="336"/>
  <c r="AP91" i="336"/>
  <c r="AN91" i="336"/>
  <c r="AG91" i="336"/>
  <c r="AD91" i="336"/>
  <c r="AB91" i="336"/>
  <c r="W91" i="336"/>
  <c r="Q91" i="336"/>
  <c r="X91" i="336" s="1"/>
  <c r="K91" i="336"/>
  <c r="AX90" i="336"/>
  <c r="AW90" i="336"/>
  <c r="AR90" i="336"/>
  <c r="AQ90" i="336"/>
  <c r="AO90" i="336"/>
  <c r="AN90" i="336"/>
  <c r="AI90" i="336"/>
  <c r="AG90" i="336"/>
  <c r="AD90" i="336"/>
  <c r="AB90" i="336"/>
  <c r="W90" i="336"/>
  <c r="Q90" i="336"/>
  <c r="X90" i="336" s="1"/>
  <c r="AP90" i="336" s="1"/>
  <c r="K90" i="336"/>
  <c r="AX89" i="336"/>
  <c r="AW89" i="336"/>
  <c r="AO89" i="336"/>
  <c r="AN89" i="336"/>
  <c r="AD89" i="336"/>
  <c r="AB89" i="336"/>
  <c r="Y89" i="336"/>
  <c r="X89" i="336"/>
  <c r="W89" i="336"/>
  <c r="Q89" i="336"/>
  <c r="K89" i="336"/>
  <c r="AX88" i="336"/>
  <c r="AW88" i="336"/>
  <c r="AN88" i="336"/>
  <c r="AG88" i="336"/>
  <c r="AD88" i="336"/>
  <c r="AB88" i="336"/>
  <c r="W88" i="336"/>
  <c r="Q88" i="336"/>
  <c r="K88" i="336"/>
  <c r="BG87" i="336"/>
  <c r="AX87" i="336"/>
  <c r="AW87" i="336"/>
  <c r="AP87" i="336"/>
  <c r="AN87" i="336"/>
  <c r="AM87" i="336"/>
  <c r="AL87" i="336"/>
  <c r="AJ87" i="336"/>
  <c r="AK87" i="336" s="1"/>
  <c r="AD87" i="336"/>
  <c r="AB87" i="336"/>
  <c r="X87" i="336"/>
  <c r="Y87" i="336" s="1"/>
  <c r="W87" i="336"/>
  <c r="Q87" i="336"/>
  <c r="K87" i="336"/>
  <c r="B87" i="336"/>
  <c r="B88" i="336" s="1"/>
  <c r="B89" i="336" s="1"/>
  <c r="B90" i="336" s="1"/>
  <c r="B91" i="336" s="1"/>
  <c r="B92" i="336" s="1"/>
  <c r="B93" i="336" s="1"/>
  <c r="B94" i="336" s="1"/>
  <c r="B95" i="336" s="1"/>
  <c r="B96" i="336" s="1"/>
  <c r="B97" i="336" s="1"/>
  <c r="B98" i="336" s="1"/>
  <c r="B99" i="336" s="1"/>
  <c r="B100" i="336" s="1"/>
  <c r="B101" i="336" s="1"/>
  <c r="AX86" i="336"/>
  <c r="AW86" i="336"/>
  <c r="AN86" i="336"/>
  <c r="AQ86" i="336" s="1"/>
  <c r="AG86" i="336"/>
  <c r="AD86" i="336"/>
  <c r="AD102" i="336" s="1"/>
  <c r="AB86" i="336"/>
  <c r="W86" i="336"/>
  <c r="Q86" i="336"/>
  <c r="X86" i="336" s="1"/>
  <c r="K86" i="336"/>
  <c r="B86" i="336"/>
  <c r="AW85" i="336"/>
  <c r="AW102" i="336" s="1"/>
  <c r="AN85" i="336"/>
  <c r="AP85" i="336" s="1"/>
  <c r="AD85" i="336"/>
  <c r="AB85" i="336"/>
  <c r="W85" i="336"/>
  <c r="Q85" i="336"/>
  <c r="K85" i="336"/>
  <c r="BN84" i="336"/>
  <c r="AY84" i="336"/>
  <c r="AV84" i="336"/>
  <c r="AU84" i="336"/>
  <c r="AT84" i="336"/>
  <c r="AS84" i="336"/>
  <c r="AI84" i="336"/>
  <c r="AE84" i="336"/>
  <c r="AC84" i="336"/>
  <c r="AA84" i="336"/>
  <c r="V84" i="336"/>
  <c r="U84" i="336"/>
  <c r="T84" i="336"/>
  <c r="T124" i="336" s="1"/>
  <c r="T201" i="336" s="1"/>
  <c r="S84" i="336"/>
  <c r="R84" i="336"/>
  <c r="P84" i="336"/>
  <c r="O84" i="336"/>
  <c r="N84" i="336"/>
  <c r="M84" i="336"/>
  <c r="L84" i="336"/>
  <c r="AW83" i="336"/>
  <c r="AR83" i="336"/>
  <c r="AO83" i="336"/>
  <c r="AN83" i="336"/>
  <c r="AD83" i="336"/>
  <c r="AB83" i="336"/>
  <c r="X83" i="336"/>
  <c r="W83" i="336"/>
  <c r="Q83" i="336"/>
  <c r="K83" i="336"/>
  <c r="AX82" i="336"/>
  <c r="AW82" i="336"/>
  <c r="AQ82" i="336"/>
  <c r="AP82" i="336"/>
  <c r="AN82" i="336"/>
  <c r="AR82" i="336" s="1"/>
  <c r="AJ82" i="336"/>
  <c r="AK82" i="336" s="1"/>
  <c r="AD82" i="336"/>
  <c r="AB82" i="336"/>
  <c r="X82" i="336"/>
  <c r="AL82" i="336" s="1"/>
  <c r="W82" i="336"/>
  <c r="Q82" i="336"/>
  <c r="K82" i="336"/>
  <c r="AW81" i="336"/>
  <c r="AP81" i="336"/>
  <c r="AO81" i="336"/>
  <c r="AN81" i="336"/>
  <c r="AL81" i="336"/>
  <c r="AM81" i="336" s="1"/>
  <c r="AK81" i="336"/>
  <c r="AJ81" i="336"/>
  <c r="AG81" i="336"/>
  <c r="AD81" i="336"/>
  <c r="AB81" i="336"/>
  <c r="X81" i="336"/>
  <c r="W81" i="336"/>
  <c r="Q81" i="336"/>
  <c r="K81" i="336"/>
  <c r="AW80" i="336"/>
  <c r="AN80" i="336"/>
  <c r="AM80" i="336"/>
  <c r="AK80" i="336"/>
  <c r="AJ80" i="336"/>
  <c r="AI80" i="336"/>
  <c r="AG80" i="336"/>
  <c r="AD80" i="336"/>
  <c r="AB80" i="336"/>
  <c r="X80" i="336"/>
  <c r="AL80" i="336" s="1"/>
  <c r="W80" i="336"/>
  <c r="Q80" i="336"/>
  <c r="K80" i="336"/>
  <c r="AW79" i="336"/>
  <c r="AN79" i="336"/>
  <c r="AJ79" i="336"/>
  <c r="AK79" i="336" s="1"/>
  <c r="AD79" i="336"/>
  <c r="AB79" i="336"/>
  <c r="Z79" i="336"/>
  <c r="Y79" i="336"/>
  <c r="W79" i="336"/>
  <c r="Q79" i="336"/>
  <c r="X79" i="336" s="1"/>
  <c r="AL79" i="336" s="1"/>
  <c r="K79" i="336"/>
  <c r="BG78" i="336"/>
  <c r="AX78" i="336"/>
  <c r="AW78" i="336"/>
  <c r="AN78" i="336"/>
  <c r="AK78" i="336"/>
  <c r="AJ78" i="336"/>
  <c r="AG78" i="336"/>
  <c r="AD78" i="336"/>
  <c r="AB78" i="336"/>
  <c r="Y78" i="336"/>
  <c r="W78" i="336"/>
  <c r="Q78" i="336"/>
  <c r="X78" i="336" s="1"/>
  <c r="AL78" i="336" s="1"/>
  <c r="K78" i="336"/>
  <c r="AX77" i="336"/>
  <c r="AW77" i="336"/>
  <c r="AO77" i="336"/>
  <c r="AN77" i="336"/>
  <c r="AR77" i="336" s="1"/>
  <c r="AL77" i="336"/>
  <c r="AM77" i="336" s="1"/>
  <c r="AK77" i="336"/>
  <c r="AJ77" i="336"/>
  <c r="AG77" i="336"/>
  <c r="AD77" i="336"/>
  <c r="AB77" i="336"/>
  <c r="W77" i="336"/>
  <c r="Q77" i="336"/>
  <c r="X77" i="336" s="1"/>
  <c r="K77" i="336"/>
  <c r="Y77" i="336" s="1"/>
  <c r="AX76" i="336"/>
  <c r="AW76" i="336"/>
  <c r="AN76" i="336"/>
  <c r="AL76" i="336"/>
  <c r="AM76" i="336" s="1"/>
  <c r="AD76" i="336"/>
  <c r="AB76" i="336"/>
  <c r="W76" i="336"/>
  <c r="Q76" i="336"/>
  <c r="X76" i="336" s="1"/>
  <c r="AJ76" i="336" s="1"/>
  <c r="AK76" i="336" s="1"/>
  <c r="K76" i="336"/>
  <c r="Y76" i="336" s="1"/>
  <c r="AX75" i="336"/>
  <c r="AW75" i="336"/>
  <c r="AN75" i="336"/>
  <c r="AD75" i="336"/>
  <c r="AB75" i="336"/>
  <c r="W75" i="336"/>
  <c r="Q75" i="336"/>
  <c r="X75" i="336" s="1"/>
  <c r="K75" i="336"/>
  <c r="AX74" i="336"/>
  <c r="AW74" i="336"/>
  <c r="AN74" i="336"/>
  <c r="AL74" i="336"/>
  <c r="AM74" i="336" s="1"/>
  <c r="AK74" i="336"/>
  <c r="AJ74" i="336"/>
  <c r="AG74" i="336"/>
  <c r="AD74" i="336"/>
  <c r="AB74" i="336"/>
  <c r="W74" i="336"/>
  <c r="Q74" i="336"/>
  <c r="X74" i="336" s="1"/>
  <c r="Y74" i="336" s="1"/>
  <c r="K74" i="336"/>
  <c r="AW73" i="336"/>
  <c r="AN73" i="336"/>
  <c r="AM73" i="336"/>
  <c r="AL73" i="336"/>
  <c r="AD73" i="336"/>
  <c r="AB73" i="336"/>
  <c r="W73" i="336"/>
  <c r="Q73" i="336"/>
  <c r="X73" i="336" s="1"/>
  <c r="AJ73" i="336" s="1"/>
  <c r="AK73" i="336" s="1"/>
  <c r="K73" i="336"/>
  <c r="Y73" i="336" s="1"/>
  <c r="AW72" i="336"/>
  <c r="AR72" i="336"/>
  <c r="AQ72" i="336"/>
  <c r="AN72" i="336"/>
  <c r="AD72" i="336"/>
  <c r="AB72" i="336"/>
  <c r="W72" i="336"/>
  <c r="Q72" i="336"/>
  <c r="X72" i="336" s="1"/>
  <c r="K72" i="336"/>
  <c r="AX71" i="336"/>
  <c r="AW71" i="336"/>
  <c r="AQ71" i="336"/>
  <c r="AN71" i="336"/>
  <c r="AP71" i="336" s="1"/>
  <c r="AD71" i="336"/>
  <c r="AB71" i="336"/>
  <c r="W71" i="336"/>
  <c r="X71" i="336" s="1"/>
  <c r="Q71" i="336"/>
  <c r="K71" i="336"/>
  <c r="AW70" i="336"/>
  <c r="AR70" i="336"/>
  <c r="AP70" i="336"/>
  <c r="AN70" i="336"/>
  <c r="AQ70" i="336" s="1"/>
  <c r="AG70" i="336"/>
  <c r="AD70" i="336"/>
  <c r="AB70" i="336"/>
  <c r="Y70" i="336"/>
  <c r="Z70" i="336" s="1"/>
  <c r="X70" i="336"/>
  <c r="W70" i="336"/>
  <c r="Q70" i="336"/>
  <c r="K70" i="336"/>
  <c r="AW69" i="336"/>
  <c r="AR69" i="336"/>
  <c r="AN69" i="336"/>
  <c r="AQ69" i="336" s="1"/>
  <c r="AG69" i="336"/>
  <c r="AD69" i="336"/>
  <c r="AB69" i="336"/>
  <c r="W69" i="336"/>
  <c r="Q69" i="336"/>
  <c r="X69" i="336" s="1"/>
  <c r="K69" i="336"/>
  <c r="AX68" i="336"/>
  <c r="AW68" i="336"/>
  <c r="AN68" i="336"/>
  <c r="AJ68" i="336"/>
  <c r="AK68" i="336" s="1"/>
  <c r="AD68" i="336"/>
  <c r="AB68" i="336"/>
  <c r="W68" i="336"/>
  <c r="Q68" i="336"/>
  <c r="X68" i="336" s="1"/>
  <c r="K68" i="336"/>
  <c r="AW67" i="336"/>
  <c r="AN67" i="336"/>
  <c r="AL67" i="336"/>
  <c r="AM67" i="336" s="1"/>
  <c r="AG67" i="336"/>
  <c r="AD67" i="336"/>
  <c r="AB67" i="336"/>
  <c r="W67" i="336"/>
  <c r="Q67" i="336"/>
  <c r="X67" i="336" s="1"/>
  <c r="AJ67" i="336" s="1"/>
  <c r="AK67" i="336" s="1"/>
  <c r="K67" i="336"/>
  <c r="B67" i="336"/>
  <c r="B68" i="336" s="1"/>
  <c r="B69" i="336" s="1"/>
  <c r="B70" i="336" s="1"/>
  <c r="B71" i="336" s="1"/>
  <c r="B72" i="336" s="1"/>
  <c r="B73" i="336" s="1"/>
  <c r="B74" i="336" s="1"/>
  <c r="B75" i="336" s="1"/>
  <c r="B76" i="336" s="1"/>
  <c r="B77" i="336" s="1"/>
  <c r="B78" i="336" s="1"/>
  <c r="B79" i="336" s="1"/>
  <c r="B80" i="336" s="1"/>
  <c r="B81" i="336" s="1"/>
  <c r="B82" i="336" s="1"/>
  <c r="B83" i="336" s="1"/>
  <c r="AX66" i="336"/>
  <c r="AX84" i="336" s="1"/>
  <c r="AW66" i="336"/>
  <c r="AQ66" i="336"/>
  <c r="AP66" i="336"/>
  <c r="AO66" i="336"/>
  <c r="AN66" i="336"/>
  <c r="AD66" i="336"/>
  <c r="AB66" i="336"/>
  <c r="X66" i="336"/>
  <c r="W66" i="336"/>
  <c r="Q66" i="336"/>
  <c r="K66" i="336"/>
  <c r="BN65" i="336"/>
  <c r="AY65" i="336"/>
  <c r="AX65" i="336"/>
  <c r="AV65" i="336"/>
  <c r="AU65" i="336"/>
  <c r="AT65" i="336"/>
  <c r="AS65" i="336"/>
  <c r="AH65" i="336"/>
  <c r="AH124" i="336" s="1"/>
  <c r="AH201" i="336" s="1"/>
  <c r="AF65" i="336"/>
  <c r="AF124" i="336" s="1"/>
  <c r="AE65" i="336"/>
  <c r="AC65" i="336"/>
  <c r="AA65" i="336"/>
  <c r="V65" i="336"/>
  <c r="U65" i="336"/>
  <c r="T65" i="336"/>
  <c r="S65" i="336"/>
  <c r="R65" i="336"/>
  <c r="P65" i="336"/>
  <c r="O65" i="336"/>
  <c r="N65" i="336"/>
  <c r="M65" i="336"/>
  <c r="L65" i="336"/>
  <c r="AX64" i="336"/>
  <c r="AW64" i="336"/>
  <c r="AN64" i="336"/>
  <c r="AJ64" i="336"/>
  <c r="AK64" i="336" s="1"/>
  <c r="AI64" i="336"/>
  <c r="AG64" i="336"/>
  <c r="AD64" i="336"/>
  <c r="AB64" i="336"/>
  <c r="W64" i="336"/>
  <c r="Q64" i="336"/>
  <c r="X64" i="336" s="1"/>
  <c r="AL64" i="336" s="1"/>
  <c r="AM64" i="336" s="1"/>
  <c r="K64" i="336"/>
  <c r="AX63" i="336"/>
  <c r="AW63" i="336"/>
  <c r="AR63" i="336"/>
  <c r="AQ63" i="336"/>
  <c r="AP63" i="336"/>
  <c r="AN63" i="336"/>
  <c r="AD63" i="336"/>
  <c r="AB63" i="336"/>
  <c r="W63" i="336"/>
  <c r="X63" i="336" s="1"/>
  <c r="Q63" i="336"/>
  <c r="K63" i="336"/>
  <c r="AW62" i="336"/>
  <c r="AR62" i="336"/>
  <c r="AQ62" i="336"/>
  <c r="AN62" i="336"/>
  <c r="AP62" i="336" s="1"/>
  <c r="AG62" i="336"/>
  <c r="AD62" i="336"/>
  <c r="AB62" i="336"/>
  <c r="W62" i="336"/>
  <c r="Q62" i="336"/>
  <c r="X62" i="336" s="1"/>
  <c r="K62" i="336"/>
  <c r="Y62" i="336" s="1"/>
  <c r="AW61" i="336"/>
  <c r="AQ61" i="336"/>
  <c r="AP61" i="336"/>
  <c r="AN61" i="336"/>
  <c r="AR61" i="336" s="1"/>
  <c r="AD61" i="336"/>
  <c r="AB61" i="336"/>
  <c r="X61" i="336"/>
  <c r="W61" i="336"/>
  <c r="Q61" i="336"/>
  <c r="K61" i="336"/>
  <c r="AW60" i="336"/>
  <c r="AR60" i="336"/>
  <c r="AN60" i="336"/>
  <c r="AQ60" i="336" s="1"/>
  <c r="AL60" i="336"/>
  <c r="AJ60" i="336"/>
  <c r="AK60" i="336" s="1"/>
  <c r="AD60" i="336"/>
  <c r="AB60" i="336"/>
  <c r="Y60" i="336"/>
  <c r="BG60" i="336" s="1"/>
  <c r="W60" i="336"/>
  <c r="Q60" i="336"/>
  <c r="X60" i="336" s="1"/>
  <c r="K60" i="336"/>
  <c r="AW59" i="336"/>
  <c r="AN59" i="336"/>
  <c r="AD59" i="336"/>
  <c r="AB59" i="336"/>
  <c r="W59" i="336"/>
  <c r="X59" i="336" s="1"/>
  <c r="AL59" i="336" s="1"/>
  <c r="AM59" i="336" s="1"/>
  <c r="Q59" i="336"/>
  <c r="K59" i="336"/>
  <c r="BG58" i="336"/>
  <c r="AW58" i="336"/>
  <c r="AP58" i="336"/>
  <c r="AO58" i="336"/>
  <c r="AN58" i="336"/>
  <c r="AL58" i="336"/>
  <c r="AM58" i="336" s="1"/>
  <c r="AK58" i="336"/>
  <c r="AI58" i="336"/>
  <c r="AD58" i="336"/>
  <c r="AB58" i="336"/>
  <c r="Z58" i="336"/>
  <c r="W58" i="336"/>
  <c r="Q58" i="336"/>
  <c r="X58" i="336" s="1"/>
  <c r="AJ58" i="336" s="1"/>
  <c r="K58" i="336"/>
  <c r="Y58" i="336" s="1"/>
  <c r="AW57" i="336"/>
  <c r="AR57" i="336"/>
  <c r="AP57" i="336"/>
  <c r="AO57" i="336"/>
  <c r="AN57" i="336"/>
  <c r="AQ57" i="336" s="1"/>
  <c r="AD57" i="336"/>
  <c r="AB57" i="336"/>
  <c r="W57" i="336"/>
  <c r="Q57" i="336"/>
  <c r="X57" i="336" s="1"/>
  <c r="K57" i="336"/>
  <c r="Y57" i="336" s="1"/>
  <c r="AW56" i="336"/>
  <c r="AR56" i="336"/>
  <c r="AQ56" i="336"/>
  <c r="AO56" i="336"/>
  <c r="AN56" i="336"/>
  <c r="AI56" i="336"/>
  <c r="AD56" i="336"/>
  <c r="AB56" i="336"/>
  <c r="W56" i="336"/>
  <c r="Q56" i="336"/>
  <c r="X56" i="336" s="1"/>
  <c r="K56" i="336"/>
  <c r="Y56" i="336" s="1"/>
  <c r="AW55" i="336"/>
  <c r="AR55" i="336"/>
  <c r="AN55" i="336"/>
  <c r="AD55" i="336"/>
  <c r="AB55" i="336"/>
  <c r="W55" i="336"/>
  <c r="Q55" i="336"/>
  <c r="X55" i="336" s="1"/>
  <c r="K55" i="336"/>
  <c r="AX54" i="336"/>
  <c r="AW54" i="336"/>
  <c r="AQ54" i="336"/>
  <c r="AN54" i="336"/>
  <c r="AP54" i="336" s="1"/>
  <c r="AJ54" i="336"/>
  <c r="AK54" i="336" s="1"/>
  <c r="AD54" i="336"/>
  <c r="AB54" i="336"/>
  <c r="Y54" i="336"/>
  <c r="Z54" i="336" s="1"/>
  <c r="X54" i="336"/>
  <c r="W54" i="336"/>
  <c r="Q54" i="336"/>
  <c r="K54" i="336"/>
  <c r="BG53" i="336"/>
  <c r="AW53" i="336"/>
  <c r="AN53" i="336"/>
  <c r="AR53" i="336" s="1"/>
  <c r="AM53" i="336"/>
  <c r="AL53" i="336"/>
  <c r="AG53" i="336"/>
  <c r="AD53" i="336"/>
  <c r="AB53" i="336"/>
  <c r="W53" i="336"/>
  <c r="X53" i="336" s="1"/>
  <c r="Y53" i="336" s="1"/>
  <c r="Q53" i="336"/>
  <c r="K53" i="336"/>
  <c r="AX52" i="336"/>
  <c r="AW52" i="336"/>
  <c r="AP52" i="336"/>
  <c r="AO52" i="336"/>
  <c r="AN52" i="336"/>
  <c r="AR52" i="336" s="1"/>
  <c r="AL52" i="336"/>
  <c r="AM52" i="336" s="1"/>
  <c r="AD52" i="336"/>
  <c r="AB52" i="336"/>
  <c r="W52" i="336"/>
  <c r="Q52" i="336"/>
  <c r="X52" i="336" s="1"/>
  <c r="AJ52" i="336" s="1"/>
  <c r="AK52" i="336" s="1"/>
  <c r="K52" i="336"/>
  <c r="AW51" i="336"/>
  <c r="AN51" i="336"/>
  <c r="AR51" i="336" s="1"/>
  <c r="AG51" i="336"/>
  <c r="AD51" i="336"/>
  <c r="AB51" i="336"/>
  <c r="W51" i="336"/>
  <c r="Q51" i="336"/>
  <c r="X51" i="336" s="1"/>
  <c r="K51" i="336"/>
  <c r="AW50" i="336"/>
  <c r="AQ50" i="336"/>
  <c r="AP50" i="336"/>
  <c r="AN50" i="336"/>
  <c r="AO50" i="336" s="1"/>
  <c r="AD50" i="336"/>
  <c r="AB50" i="336"/>
  <c r="W50" i="336"/>
  <c r="Q50" i="336"/>
  <c r="X50" i="336" s="1"/>
  <c r="AR50" i="336" s="1"/>
  <c r="K50" i="336"/>
  <c r="AX49" i="336"/>
  <c r="AW49" i="336"/>
  <c r="AR49" i="336"/>
  <c r="AQ49" i="336"/>
  <c r="AP49" i="336"/>
  <c r="AO49" i="336"/>
  <c r="AN49" i="336"/>
  <c r="AD49" i="336"/>
  <c r="AB49" i="336"/>
  <c r="W49" i="336"/>
  <c r="Q49" i="336"/>
  <c r="X49" i="336" s="1"/>
  <c r="K49" i="336"/>
  <c r="AW48" i="336"/>
  <c r="AR48" i="336"/>
  <c r="AQ48" i="336"/>
  <c r="AN48" i="336"/>
  <c r="AP48" i="336" s="1"/>
  <c r="AJ48" i="336"/>
  <c r="AK48" i="336" s="1"/>
  <c r="AI48" i="336"/>
  <c r="AD48" i="336"/>
  <c r="AB48" i="336"/>
  <c r="Y48" i="336"/>
  <c r="W48" i="336"/>
  <c r="Q48" i="336"/>
  <c r="X48" i="336" s="1"/>
  <c r="AL48" i="336" s="1"/>
  <c r="K48" i="336"/>
  <c r="AW47" i="336"/>
  <c r="AN47" i="336"/>
  <c r="AD47" i="336"/>
  <c r="AB47" i="336"/>
  <c r="W47" i="336"/>
  <c r="X47" i="336" s="1"/>
  <c r="AL47" i="336" s="1"/>
  <c r="AM47" i="336" s="1"/>
  <c r="Q47" i="336"/>
  <c r="K47" i="336"/>
  <c r="AW46" i="336"/>
  <c r="AP46" i="336"/>
  <c r="AO46" i="336"/>
  <c r="AN46" i="336"/>
  <c r="AL46" i="336"/>
  <c r="AM46" i="336" s="1"/>
  <c r="AD46" i="336"/>
  <c r="AB46" i="336"/>
  <c r="W46" i="336"/>
  <c r="Q46" i="336"/>
  <c r="X46" i="336" s="1"/>
  <c r="AJ46" i="336" s="1"/>
  <c r="AK46" i="336" s="1"/>
  <c r="K46" i="336"/>
  <c r="A46" i="336"/>
  <c r="A47" i="336" s="1"/>
  <c r="A48" i="336" s="1"/>
  <c r="A49" i="336" s="1"/>
  <c r="A50" i="336" s="1"/>
  <c r="A51" i="336" s="1"/>
  <c r="A52" i="336" s="1"/>
  <c r="A53" i="336" s="1"/>
  <c r="A54" i="336" s="1"/>
  <c r="A55" i="336" s="1"/>
  <c r="A56" i="336" s="1"/>
  <c r="A57" i="336" s="1"/>
  <c r="A58" i="336" s="1"/>
  <c r="A59" i="336" s="1"/>
  <c r="A60" i="336" s="1"/>
  <c r="A61" i="336" s="1"/>
  <c r="A62" i="336" s="1"/>
  <c r="A63" i="336" s="1"/>
  <c r="A64" i="336" s="1"/>
  <c r="A66" i="336" s="1"/>
  <c r="A67" i="336" s="1"/>
  <c r="A68" i="336" s="1"/>
  <c r="A69" i="336" s="1"/>
  <c r="A70" i="336" s="1"/>
  <c r="A71" i="336" s="1"/>
  <c r="A72" i="336" s="1"/>
  <c r="A73" i="336" s="1"/>
  <c r="A74" i="336" s="1"/>
  <c r="A75" i="336" s="1"/>
  <c r="A76" i="336" s="1"/>
  <c r="A77" i="336" s="1"/>
  <c r="A78" i="336" s="1"/>
  <c r="A79" i="336" s="1"/>
  <c r="A80" i="336" s="1"/>
  <c r="A81" i="336" s="1"/>
  <c r="A82" i="336" s="1"/>
  <c r="A83" i="336" s="1"/>
  <c r="A85" i="336" s="1"/>
  <c r="A86" i="336" s="1"/>
  <c r="A87" i="336" s="1"/>
  <c r="A88" i="336" s="1"/>
  <c r="A89" i="336" s="1"/>
  <c r="A90" i="336" s="1"/>
  <c r="A91" i="336" s="1"/>
  <c r="A92" i="336" s="1"/>
  <c r="A93" i="336" s="1"/>
  <c r="A94" i="336" s="1"/>
  <c r="A95" i="336" s="1"/>
  <c r="A96" i="336" s="1"/>
  <c r="A97" i="336" s="1"/>
  <c r="A98" i="336" s="1"/>
  <c r="A99" i="336" s="1"/>
  <c r="A100" i="336" s="1"/>
  <c r="A101" i="336" s="1"/>
  <c r="A103" i="336" s="1"/>
  <c r="A104" i="336" s="1"/>
  <c r="A105" i="336" s="1"/>
  <c r="A106" i="336" s="1"/>
  <c r="A107" i="336" s="1"/>
  <c r="A108" i="336" s="1"/>
  <c r="A109" i="336" s="1"/>
  <c r="A110" i="336" s="1"/>
  <c r="A111" i="336" s="1"/>
  <c r="A112" i="336" s="1"/>
  <c r="A113" i="336" s="1"/>
  <c r="A114" i="336" s="1"/>
  <c r="A115" i="336" s="1"/>
  <c r="A116" i="336" s="1"/>
  <c r="A117" i="336" s="1"/>
  <c r="A118" i="336" s="1"/>
  <c r="A119" i="336" s="1"/>
  <c r="A120" i="336" s="1"/>
  <c r="A121" i="336" s="1"/>
  <c r="A122" i="336" s="1"/>
  <c r="A125" i="336" s="1"/>
  <c r="A126" i="336" s="1"/>
  <c r="A127" i="336" s="1"/>
  <c r="A128" i="336" s="1"/>
  <c r="A129" i="336" s="1"/>
  <c r="A130" i="336" s="1"/>
  <c r="A131" i="336" s="1"/>
  <c r="A132" i="336" s="1"/>
  <c r="A133" i="336" s="1"/>
  <c r="A134" i="336" s="1"/>
  <c r="A136" i="336" s="1"/>
  <c r="A137" i="336" s="1"/>
  <c r="A138" i="336" s="1"/>
  <c r="A139" i="336" s="1"/>
  <c r="A140" i="336" s="1"/>
  <c r="A141" i="336" s="1"/>
  <c r="A142" i="336" s="1"/>
  <c r="A144" i="336" s="1"/>
  <c r="A145" i="336" s="1"/>
  <c r="A146" i="336" s="1"/>
  <c r="A147" i="336" s="1"/>
  <c r="A148" i="336" s="1"/>
  <c r="A149" i="336" s="1"/>
  <c r="A150" i="336" s="1"/>
  <c r="A151" i="336" s="1"/>
  <c r="A153" i="336" s="1"/>
  <c r="A154" i="336" s="1"/>
  <c r="A155" i="336" s="1"/>
  <c r="A157" i="336" s="1"/>
  <c r="A158" i="336" s="1"/>
  <c r="A159" i="336" s="1"/>
  <c r="A160" i="336" s="1"/>
  <c r="A162" i="336" s="1"/>
  <c r="A163" i="336" s="1"/>
  <c r="A164" i="336" s="1"/>
  <c r="A165" i="336" s="1"/>
  <c r="A167" i="336" s="1"/>
  <c r="A168" i="336" s="1"/>
  <c r="A169" i="336" s="1"/>
  <c r="A170" i="336" s="1"/>
  <c r="A171" i="336" s="1"/>
  <c r="A172" i="336" s="1"/>
  <c r="A173" i="336" s="1"/>
  <c r="A175" i="336" s="1"/>
  <c r="A176" i="336" s="1"/>
  <c r="A177" i="336" s="1"/>
  <c r="A178" i="336" s="1"/>
  <c r="A179" i="336" s="1"/>
  <c r="A180" i="336" s="1"/>
  <c r="A181" i="336" s="1"/>
  <c r="A182" i="336" s="1"/>
  <c r="A184" i="336" s="1"/>
  <c r="A185" i="336" s="1"/>
  <c r="A186" i="336" s="1"/>
  <c r="A187" i="336" s="1"/>
  <c r="A188" i="336" s="1"/>
  <c r="A189" i="336" s="1"/>
  <c r="A190" i="336" s="1"/>
  <c r="A191" i="336" s="1"/>
  <c r="A192" i="336" s="1"/>
  <c r="A193" i="336" s="1"/>
  <c r="A194" i="336" s="1"/>
  <c r="A195" i="336" s="1"/>
  <c r="A196" i="336" s="1"/>
  <c r="A197" i="336" s="1"/>
  <c r="A198" i="336" s="1"/>
  <c r="A199" i="336" s="1"/>
  <c r="AW45" i="336"/>
  <c r="AQ45" i="336"/>
  <c r="AN45" i="336"/>
  <c r="AR45" i="336" s="1"/>
  <c r="AL45" i="336"/>
  <c r="AD45" i="336"/>
  <c r="AB45" i="336"/>
  <c r="W45" i="336"/>
  <c r="Q45" i="336"/>
  <c r="X45" i="336" s="1"/>
  <c r="AJ45" i="336" s="1"/>
  <c r="AK45" i="336" s="1"/>
  <c r="K45" i="336"/>
  <c r="Y45" i="336" s="1"/>
  <c r="AW44" i="336"/>
  <c r="AQ44" i="336"/>
  <c r="AP44" i="336"/>
  <c r="AO44" i="336"/>
  <c r="AN44" i="336"/>
  <c r="AD44" i="336"/>
  <c r="AB44" i="336"/>
  <c r="W44" i="336"/>
  <c r="Q44" i="336"/>
  <c r="X44" i="336" s="1"/>
  <c r="AL44" i="336" s="1"/>
  <c r="K44" i="336"/>
  <c r="A44" i="336"/>
  <c r="A45" i="336" s="1"/>
  <c r="AW43" i="336"/>
  <c r="AR43" i="336"/>
  <c r="AQ43" i="336"/>
  <c r="AP43" i="336"/>
  <c r="AN43" i="336"/>
  <c r="AD43" i="336"/>
  <c r="AB43" i="336"/>
  <c r="W43" i="336"/>
  <c r="Q43" i="336"/>
  <c r="X43" i="336" s="1"/>
  <c r="K43" i="336"/>
  <c r="A43" i="336"/>
  <c r="AW42" i="336"/>
  <c r="AR42" i="336"/>
  <c r="AN42" i="336"/>
  <c r="AD42" i="336"/>
  <c r="AB42" i="336"/>
  <c r="W42" i="336"/>
  <c r="Q42" i="336"/>
  <c r="X42" i="336" s="1"/>
  <c r="K42" i="336"/>
  <c r="AW41" i="336"/>
  <c r="AQ41" i="336"/>
  <c r="AP41" i="336"/>
  <c r="AN41" i="336"/>
  <c r="AR41" i="336" s="1"/>
  <c r="AD41" i="336"/>
  <c r="AB41" i="336"/>
  <c r="W41" i="336"/>
  <c r="X41" i="336" s="1"/>
  <c r="AL41" i="336" s="1"/>
  <c r="AM41" i="336" s="1"/>
  <c r="Q41" i="336"/>
  <c r="K41" i="336"/>
  <c r="A41" i="336"/>
  <c r="A42" i="336" s="1"/>
  <c r="AW40" i="336"/>
  <c r="AR40" i="336"/>
  <c r="AN40" i="336"/>
  <c r="AQ40" i="336" s="1"/>
  <c r="AL40" i="336"/>
  <c r="AM40" i="336" s="1"/>
  <c r="AJ40" i="336"/>
  <c r="AK40" i="336" s="1"/>
  <c r="AI40" i="336"/>
  <c r="AG40" i="336"/>
  <c r="AD40" i="336"/>
  <c r="AB40" i="336"/>
  <c r="W40" i="336"/>
  <c r="X40" i="336" s="1"/>
  <c r="Q40" i="336"/>
  <c r="K40" i="336"/>
  <c r="AW39" i="336"/>
  <c r="AP39" i="336"/>
  <c r="AO39" i="336"/>
  <c r="AN39" i="336"/>
  <c r="AJ39" i="336"/>
  <c r="AK39" i="336" s="1"/>
  <c r="AD39" i="336"/>
  <c r="AB39" i="336"/>
  <c r="W39" i="336"/>
  <c r="Q39" i="336"/>
  <c r="X39" i="336" s="1"/>
  <c r="AL39" i="336" s="1"/>
  <c r="AM39" i="336" s="1"/>
  <c r="K39" i="336"/>
  <c r="B39" i="336"/>
  <c r="B40" i="336" s="1"/>
  <c r="B41" i="336" s="1"/>
  <c r="B42" i="336" s="1"/>
  <c r="B43" i="336" s="1"/>
  <c r="B44" i="336" s="1"/>
  <c r="B45" i="336" s="1"/>
  <c r="B46" i="336" s="1"/>
  <c r="B47" i="336" s="1"/>
  <c r="B48" i="336" s="1"/>
  <c r="B49" i="336" s="1"/>
  <c r="B50" i="336" s="1"/>
  <c r="B51" i="336" s="1"/>
  <c r="B52" i="336" s="1"/>
  <c r="B53" i="336" s="1"/>
  <c r="B54" i="336" s="1"/>
  <c r="B55" i="336" s="1"/>
  <c r="B56" i="336" s="1"/>
  <c r="B57" i="336" s="1"/>
  <c r="B58" i="336" s="1"/>
  <c r="B59" i="336" s="1"/>
  <c r="B60" i="336" s="1"/>
  <c r="B61" i="336" s="1"/>
  <c r="B62" i="336" s="1"/>
  <c r="B63" i="336" s="1"/>
  <c r="B64" i="336" s="1"/>
  <c r="A39" i="336"/>
  <c r="A40" i="336" s="1"/>
  <c r="AX38" i="336"/>
  <c r="AW38" i="336"/>
  <c r="AQ38" i="336"/>
  <c r="AN38" i="336"/>
  <c r="AO38" i="336" s="1"/>
  <c r="AD38" i="336"/>
  <c r="AB38" i="336"/>
  <c r="W38" i="336"/>
  <c r="Q38" i="336"/>
  <c r="X38" i="336" s="1"/>
  <c r="K38" i="336"/>
  <c r="AD37" i="336"/>
  <c r="AB37" i="336"/>
  <c r="X37" i="336"/>
  <c r="Y37" i="336" s="1"/>
  <c r="Z37" i="336" s="1"/>
  <c r="W37" i="336"/>
  <c r="Q37" i="336"/>
  <c r="K37" i="336"/>
  <c r="AD36" i="336"/>
  <c r="AB36" i="336"/>
  <c r="W36" i="336"/>
  <c r="Q36" i="336"/>
  <c r="X36" i="336" s="1"/>
  <c r="K36" i="336"/>
  <c r="AG35" i="336"/>
  <c r="AD35" i="336"/>
  <c r="AB35" i="336"/>
  <c r="W35" i="336"/>
  <c r="Q35" i="336"/>
  <c r="X35" i="336" s="1"/>
  <c r="Y35" i="336" s="1"/>
  <c r="Z35" i="336" s="1"/>
  <c r="K35" i="336"/>
  <c r="AG34" i="336"/>
  <c r="AD34" i="336"/>
  <c r="AB34" i="336"/>
  <c r="Z34" i="336"/>
  <c r="Y34" i="336"/>
  <c r="X34" i="336"/>
  <c r="W34" i="336"/>
  <c r="Q34" i="336"/>
  <c r="K34" i="336"/>
  <c r="AG33" i="336"/>
  <c r="AD33" i="336"/>
  <c r="AB33" i="336"/>
  <c r="X33" i="336"/>
  <c r="Y33" i="336" s="1"/>
  <c r="Z33" i="336" s="1"/>
  <c r="W33" i="336"/>
  <c r="Q33" i="336"/>
  <c r="K33" i="336"/>
  <c r="AG32" i="336"/>
  <c r="AD32" i="336"/>
  <c r="AB32" i="336"/>
  <c r="Z32" i="336"/>
  <c r="W32" i="336"/>
  <c r="Q32" i="336"/>
  <c r="X32" i="336" s="1"/>
  <c r="K32" i="336"/>
  <c r="Y32" i="336" s="1"/>
  <c r="AD31" i="336"/>
  <c r="AB31" i="336"/>
  <c r="X31" i="336"/>
  <c r="Y31" i="336" s="1"/>
  <c r="Z31" i="336" s="1"/>
  <c r="W31" i="336"/>
  <c r="Q31" i="336"/>
  <c r="K31" i="336"/>
  <c r="AD30" i="336"/>
  <c r="AB30" i="336"/>
  <c r="X30" i="336"/>
  <c r="W30" i="336"/>
  <c r="Q30" i="336"/>
  <c r="K30" i="336"/>
  <c r="AI29" i="336"/>
  <c r="AI65" i="336" s="1"/>
  <c r="AG29" i="336"/>
  <c r="AD29" i="336"/>
  <c r="AB29" i="336"/>
  <c r="W29" i="336"/>
  <c r="Q29" i="336"/>
  <c r="X29" i="336" s="1"/>
  <c r="K29" i="336"/>
  <c r="AG28" i="336"/>
  <c r="AD28" i="336"/>
  <c r="AB28" i="336"/>
  <c r="W28" i="336"/>
  <c r="Q28" i="336"/>
  <c r="X28" i="336" s="1"/>
  <c r="K28" i="336"/>
  <c r="Y28" i="336" s="1"/>
  <c r="Z28" i="336" s="1"/>
  <c r="AG27" i="336"/>
  <c r="AD27" i="336"/>
  <c r="AB27" i="336"/>
  <c r="Y27" i="336"/>
  <c r="Z27" i="336" s="1"/>
  <c r="W27" i="336"/>
  <c r="Q27" i="336"/>
  <c r="X27" i="336" s="1"/>
  <c r="K27" i="336"/>
  <c r="AG26" i="336"/>
  <c r="AD26" i="336"/>
  <c r="AB26" i="336"/>
  <c r="W26" i="336"/>
  <c r="Q26" i="336"/>
  <c r="X26" i="336" s="1"/>
  <c r="K26" i="336"/>
  <c r="AG25" i="336"/>
  <c r="AD25" i="336"/>
  <c r="AB25" i="336"/>
  <c r="W25" i="336"/>
  <c r="Q25" i="336"/>
  <c r="X25" i="336" s="1"/>
  <c r="K25" i="336"/>
  <c r="Y25" i="336" s="1"/>
  <c r="Z25" i="336" s="1"/>
  <c r="AG24" i="336"/>
  <c r="AD24" i="336"/>
  <c r="AB24" i="336"/>
  <c r="W24" i="336"/>
  <c r="X24" i="336" s="1"/>
  <c r="Y24" i="336" s="1"/>
  <c r="Z24" i="336" s="1"/>
  <c r="Q24" i="336"/>
  <c r="K24" i="336"/>
  <c r="AG23" i="336"/>
  <c r="AD23" i="336"/>
  <c r="AB23" i="336"/>
  <c r="W23" i="336"/>
  <c r="Q23" i="336"/>
  <c r="X23" i="336" s="1"/>
  <c r="K23" i="336"/>
  <c r="Y23" i="336" s="1"/>
  <c r="Z23" i="336" s="1"/>
  <c r="AG22" i="336"/>
  <c r="AD22" i="336"/>
  <c r="AB22" i="336"/>
  <c r="W22" i="336"/>
  <c r="X22" i="336" s="1"/>
  <c r="Q22" i="336"/>
  <c r="K22" i="336"/>
  <c r="AI21" i="336"/>
  <c r="AG21" i="336"/>
  <c r="AD21" i="336"/>
  <c r="AB21" i="336"/>
  <c r="Z21" i="336"/>
  <c r="W21" i="336"/>
  <c r="X21" i="336" s="1"/>
  <c r="Y21" i="336" s="1"/>
  <c r="Q21" i="336"/>
  <c r="K21" i="336"/>
  <c r="AG20" i="336"/>
  <c r="AD20" i="336"/>
  <c r="AB20" i="336"/>
  <c r="W20" i="336"/>
  <c r="Q20" i="336"/>
  <c r="X20" i="336" s="1"/>
  <c r="K20" i="336"/>
  <c r="AG19" i="336"/>
  <c r="AD19" i="336"/>
  <c r="AB19" i="336"/>
  <c r="Y19" i="336"/>
  <c r="Z19" i="336" s="1"/>
  <c r="W19" i="336"/>
  <c r="Q19" i="336"/>
  <c r="X19" i="336" s="1"/>
  <c r="K19" i="336"/>
  <c r="A19" i="336"/>
  <c r="A20" i="336" s="1"/>
  <c r="A21" i="336" s="1"/>
  <c r="A22" i="336" s="1"/>
  <c r="A23" i="336" s="1"/>
  <c r="A24" i="336" s="1"/>
  <c r="A25" i="336" s="1"/>
  <c r="A26" i="336" s="1"/>
  <c r="A27" i="336" s="1"/>
  <c r="A28" i="336" s="1"/>
  <c r="A29" i="336" s="1"/>
  <c r="A30" i="336" s="1"/>
  <c r="A31" i="336" s="1"/>
  <c r="A32" i="336" s="1"/>
  <c r="A33" i="336" s="1"/>
  <c r="A34" i="336" s="1"/>
  <c r="A35" i="336" s="1"/>
  <c r="A36" i="336" s="1"/>
  <c r="A37" i="336" s="1"/>
  <c r="AG18" i="336"/>
  <c r="AD18" i="336"/>
  <c r="AB18" i="336"/>
  <c r="X18" i="336"/>
  <c r="Y18" i="336" s="1"/>
  <c r="Z18" i="336" s="1"/>
  <c r="W18" i="336"/>
  <c r="Q18" i="336"/>
  <c r="K18" i="336"/>
  <c r="AG17" i="336"/>
  <c r="AD17" i="336"/>
  <c r="AB17" i="336"/>
  <c r="W17" i="336"/>
  <c r="X17" i="336" s="1"/>
  <c r="Q17" i="336"/>
  <c r="K17" i="336"/>
  <c r="B17" i="336"/>
  <c r="B18" i="336" s="1"/>
  <c r="B19" i="336" s="1"/>
  <c r="B20" i="336" s="1"/>
  <c r="B21" i="336" s="1"/>
  <c r="B22" i="336" s="1"/>
  <c r="B23" i="336" s="1"/>
  <c r="B24" i="336" s="1"/>
  <c r="B25" i="336" s="1"/>
  <c r="B26" i="336" s="1"/>
  <c r="B27" i="336" s="1"/>
  <c r="B28" i="336" s="1"/>
  <c r="B29" i="336" s="1"/>
  <c r="B30" i="336" s="1"/>
  <c r="B31" i="336" s="1"/>
  <c r="B32" i="336" s="1"/>
  <c r="B33" i="336" s="1"/>
  <c r="B34" i="336" s="1"/>
  <c r="B35" i="336" s="1"/>
  <c r="B36" i="336" s="1"/>
  <c r="B37" i="336" s="1"/>
  <c r="A17" i="336"/>
  <c r="A18" i="336" s="1"/>
  <c r="AD16" i="336"/>
  <c r="AB16" i="336"/>
  <c r="W16" i="336"/>
  <c r="Q16" i="336"/>
  <c r="X16" i="336" s="1"/>
  <c r="Y16" i="336" s="1"/>
  <c r="Z16" i="336" s="1"/>
  <c r="K16" i="336"/>
  <c r="A16" i="336"/>
  <c r="AG15" i="336"/>
  <c r="AD15" i="336"/>
  <c r="AB15" i="336"/>
  <c r="X15" i="336"/>
  <c r="Y15" i="336" s="1"/>
  <c r="Z15" i="336" s="1"/>
  <c r="W15" i="336"/>
  <c r="Q15" i="336"/>
  <c r="K15" i="336"/>
  <c r="B15" i="336"/>
  <c r="B16" i="336" s="1"/>
  <c r="A15" i="336"/>
  <c r="AG14" i="336"/>
  <c r="AE14" i="336"/>
  <c r="W14" i="336"/>
  <c r="Q14" i="336"/>
  <c r="I14" i="336"/>
  <c r="Y173" i="341" l="1"/>
  <c r="AE111" i="340"/>
  <c r="AE138" i="340" s="1"/>
  <c r="AE187" i="340" s="1"/>
  <c r="AD111" i="340"/>
  <c r="AD138" i="340" s="1"/>
  <c r="AD187" i="340" s="1"/>
  <c r="AC111" i="340"/>
  <c r="AC138" i="340" s="1"/>
  <c r="AB111" i="340"/>
  <c r="AB138" i="340" s="1"/>
  <c r="AB187" i="340" s="1"/>
  <c r="AA138" i="340"/>
  <c r="AA187" i="340" s="1"/>
  <c r="BA133" i="343"/>
  <c r="BD125" i="343"/>
  <c r="BD133" i="343" s="1"/>
  <c r="BF125" i="343"/>
  <c r="BC125" i="343"/>
  <c r="BC133" i="343" s="1"/>
  <c r="BB125" i="343"/>
  <c r="BB133" i="343" s="1"/>
  <c r="AC39" i="340"/>
  <c r="AF27" i="340"/>
  <c r="AF39" i="340" s="1"/>
  <c r="BE165" i="342"/>
  <c r="BE181" i="342" s="1"/>
  <c r="BD143" i="343"/>
  <c r="BD147" i="343" s="1"/>
  <c r="BC148" i="343"/>
  <c r="BC160" i="343" s="1"/>
  <c r="BA160" i="343"/>
  <c r="BF148" i="343"/>
  <c r="BB148" i="343"/>
  <c r="BB160" i="343" s="1"/>
  <c r="X172" i="341"/>
  <c r="X173" i="341" s="1"/>
  <c r="X40" i="341"/>
  <c r="AC155" i="341"/>
  <c r="AC156" i="341" s="1"/>
  <c r="AA156" i="341"/>
  <c r="AE155" i="341"/>
  <c r="AE156" i="341" s="1"/>
  <c r="AD155" i="341"/>
  <c r="AD156" i="341" s="1"/>
  <c r="AB155" i="341"/>
  <c r="AB156" i="341" s="1"/>
  <c r="BL66" i="342"/>
  <c r="BL83" i="342" s="1"/>
  <c r="BK66" i="342"/>
  <c r="BK83" i="342" s="1"/>
  <c r="BH83" i="342"/>
  <c r="BJ66" i="342"/>
  <c r="BJ83" i="342" s="1"/>
  <c r="BI66" i="342"/>
  <c r="BI83" i="342" s="1"/>
  <c r="AC43" i="341"/>
  <c r="BF137" i="342"/>
  <c r="BH134" i="342"/>
  <c r="BE143" i="343"/>
  <c r="BE147" i="343" s="1"/>
  <c r="AF171" i="340"/>
  <c r="AF172" i="340" s="1"/>
  <c r="AC142" i="340"/>
  <c r="AF141" i="340"/>
  <c r="AF142" i="340" s="1"/>
  <c r="BI66" i="343"/>
  <c r="BI83" i="343" s="1"/>
  <c r="BK66" i="343"/>
  <c r="BK83" i="343" s="1"/>
  <c r="BL66" i="343"/>
  <c r="BL83" i="343" s="1"/>
  <c r="BH83" i="343"/>
  <c r="BE139" i="343"/>
  <c r="BC138" i="342"/>
  <c r="BC142" i="342" s="1"/>
  <c r="BB138" i="342"/>
  <c r="BB142" i="342" s="1"/>
  <c r="BD138" i="342"/>
  <c r="BD142" i="342" s="1"/>
  <c r="BA142" i="342"/>
  <c r="BF138" i="342"/>
  <c r="BB14" i="342"/>
  <c r="BB45" i="342" s="1"/>
  <c r="BA45" i="342"/>
  <c r="BF14" i="342"/>
  <c r="BC14" i="342"/>
  <c r="BC45" i="342" s="1"/>
  <c r="BF155" i="342"/>
  <c r="BH148" i="342"/>
  <c r="Y189" i="340"/>
  <c r="AA169" i="340"/>
  <c r="AA188" i="340" s="1"/>
  <c r="AA189" i="340" s="1"/>
  <c r="AE144" i="340"/>
  <c r="AE169" i="340" s="1"/>
  <c r="AE188" i="340" s="1"/>
  <c r="AE189" i="340" s="1"/>
  <c r="AD144" i="340"/>
  <c r="AD169" i="340" s="1"/>
  <c r="AD188" i="340" s="1"/>
  <c r="AD189" i="340" s="1"/>
  <c r="AC144" i="340"/>
  <c r="AC169" i="340" s="1"/>
  <c r="AB144" i="340"/>
  <c r="AB169" i="340" s="1"/>
  <c r="AB188" i="340" s="1"/>
  <c r="AB189" i="340" s="1"/>
  <c r="BE84" i="343"/>
  <c r="BE104" i="343" s="1"/>
  <c r="AB172" i="341"/>
  <c r="AB40" i="341"/>
  <c r="BB46" i="343"/>
  <c r="BB65" i="343" s="1"/>
  <c r="BF46" i="343"/>
  <c r="BC46" i="343"/>
  <c r="BC65" i="343" s="1"/>
  <c r="BC105" i="343" s="1"/>
  <c r="BC161" i="343" s="1"/>
  <c r="BA65" i="343"/>
  <c r="AC109" i="340"/>
  <c r="AF106" i="340"/>
  <c r="AF109" i="340" s="1"/>
  <c r="AB40" i="340"/>
  <c r="V189" i="340"/>
  <c r="BA105" i="343"/>
  <c r="BA161" i="343" s="1"/>
  <c r="AD172" i="341"/>
  <c r="AD173" i="341" s="1"/>
  <c r="AD40" i="341"/>
  <c r="AF90" i="341"/>
  <c r="AF93" i="341" s="1"/>
  <c r="BK139" i="343"/>
  <c r="BJ139" i="343"/>
  <c r="BI139" i="343"/>
  <c r="BM139" i="343"/>
  <c r="BL139" i="343"/>
  <c r="BF124" i="343"/>
  <c r="BH117" i="343"/>
  <c r="BA133" i="342"/>
  <c r="BF125" i="342"/>
  <c r="BC125" i="342"/>
  <c r="BC133" i="342" s="1"/>
  <c r="BB125" i="342"/>
  <c r="BB133" i="342" s="1"/>
  <c r="BD84" i="343"/>
  <c r="BD104" i="343" s="1"/>
  <c r="BD106" i="342"/>
  <c r="BD116" i="342" s="1"/>
  <c r="BA147" i="342"/>
  <c r="BF143" i="342"/>
  <c r="BB143" i="342"/>
  <c r="BB147" i="342" s="1"/>
  <c r="BE143" i="342"/>
  <c r="BE147" i="342" s="1"/>
  <c r="BC143" i="342"/>
  <c r="BC147" i="342" s="1"/>
  <c r="BD143" i="342"/>
  <c r="BD147" i="342" s="1"/>
  <c r="BF181" i="342"/>
  <c r="BH165" i="342"/>
  <c r="BF104" i="343"/>
  <c r="BH84" i="343"/>
  <c r="AE172" i="341"/>
  <c r="AE173" i="341" s="1"/>
  <c r="AE40" i="341"/>
  <c r="BF104" i="342"/>
  <c r="BH84" i="342"/>
  <c r="BF137" i="343"/>
  <c r="BH134" i="343"/>
  <c r="V187" i="340"/>
  <c r="BC138" i="343"/>
  <c r="BC142" i="343" s="1"/>
  <c r="BA142" i="343"/>
  <c r="BF138" i="343"/>
  <c r="BB138" i="343"/>
  <c r="BB142" i="343" s="1"/>
  <c r="BA164" i="342"/>
  <c r="BF156" i="342"/>
  <c r="BB156" i="342"/>
  <c r="BB164" i="342" s="1"/>
  <c r="BC156" i="342"/>
  <c r="BC164" i="342" s="1"/>
  <c r="BB105" i="343"/>
  <c r="BB161" i="343" s="1"/>
  <c r="AA40" i="341"/>
  <c r="BD84" i="342"/>
  <c r="AC26" i="340"/>
  <c r="AF19" i="340"/>
  <c r="AF26" i="340" s="1"/>
  <c r="BE106" i="342"/>
  <c r="BE116" i="342" s="1"/>
  <c r="AF19" i="341"/>
  <c r="AF26" i="341" s="1"/>
  <c r="BC106" i="343"/>
  <c r="BC116" i="343" s="1"/>
  <c r="BF106" i="343"/>
  <c r="BB106" i="343"/>
  <c r="BB116" i="343" s="1"/>
  <c r="BA116" i="343"/>
  <c r="BD106" i="343"/>
  <c r="BD116" i="343" s="1"/>
  <c r="X189" i="340"/>
  <c r="BE83" i="342"/>
  <c r="BB105" i="342"/>
  <c r="BB182" i="342" s="1"/>
  <c r="BF116" i="342"/>
  <c r="BH106" i="342"/>
  <c r="AE95" i="341"/>
  <c r="AE122" i="341" s="1"/>
  <c r="AE171" i="341" s="1"/>
  <c r="AD95" i="341"/>
  <c r="AD122" i="341" s="1"/>
  <c r="AD171" i="341" s="1"/>
  <c r="AC95" i="341"/>
  <c r="AC122" i="341" s="1"/>
  <c r="AC171" i="341" s="1"/>
  <c r="AA122" i="341"/>
  <c r="AA171" i="341" s="1"/>
  <c r="AB95" i="341"/>
  <c r="AB122" i="341" s="1"/>
  <c r="AB171" i="341" s="1"/>
  <c r="AF174" i="340"/>
  <c r="AF186" i="340" s="1"/>
  <c r="BF147" i="343"/>
  <c r="BH143" i="343"/>
  <c r="V172" i="341"/>
  <c r="V173" i="341" s="1"/>
  <c r="V40" i="341"/>
  <c r="BD134" i="342"/>
  <c r="BD137" i="342" s="1"/>
  <c r="BD148" i="342"/>
  <c r="BD155" i="342" s="1"/>
  <c r="BE148" i="342"/>
  <c r="BE155" i="342" s="1"/>
  <c r="AC43" i="340"/>
  <c r="AA126" i="341"/>
  <c r="AA172" i="341" s="1"/>
  <c r="AB125" i="341"/>
  <c r="AB126" i="341" s="1"/>
  <c r="AE125" i="341"/>
  <c r="AE126" i="341" s="1"/>
  <c r="AD125" i="341"/>
  <c r="AD126" i="341" s="1"/>
  <c r="AC40" i="341"/>
  <c r="X125" i="341"/>
  <c r="X126" i="341" s="1"/>
  <c r="BA65" i="342"/>
  <c r="BA105" i="342" s="1"/>
  <c r="BA182" i="342" s="1"/>
  <c r="BB46" i="342"/>
  <c r="BB65" i="342" s="1"/>
  <c r="BD46" i="342"/>
  <c r="BD65" i="342" s="1"/>
  <c r="BF46" i="342"/>
  <c r="BC46" i="342"/>
  <c r="BC65" i="342" s="1"/>
  <c r="BC105" i="342" s="1"/>
  <c r="BC182" i="342" s="1"/>
  <c r="Y171" i="341"/>
  <c r="BB117" i="342"/>
  <c r="BB124" i="342" s="1"/>
  <c r="BF117" i="342"/>
  <c r="BC117" i="342"/>
  <c r="BC124" i="342" s="1"/>
  <c r="BA124" i="342"/>
  <c r="BA45" i="343"/>
  <c r="BC14" i="343"/>
  <c r="BC45" i="343" s="1"/>
  <c r="BF14" i="343"/>
  <c r="BB14" i="343"/>
  <c r="BB45" i="343" s="1"/>
  <c r="BE134" i="343"/>
  <c r="BE137" i="343" s="1"/>
  <c r="AL42" i="336"/>
  <c r="AM42" i="336" s="1"/>
  <c r="AJ42" i="336"/>
  <c r="AK42" i="336" s="1"/>
  <c r="Y42" i="336"/>
  <c r="AJ43" i="336"/>
  <c r="AK43" i="336" s="1"/>
  <c r="AL43" i="336"/>
  <c r="BG62" i="336"/>
  <c r="Z62" i="336"/>
  <c r="Z56" i="336"/>
  <c r="BG56" i="336"/>
  <c r="AL56" i="336"/>
  <c r="AM56" i="336" s="1"/>
  <c r="AJ56" i="336"/>
  <c r="AK56" i="336" s="1"/>
  <c r="AP102" i="336"/>
  <c r="AL55" i="336"/>
  <c r="AJ55" i="336"/>
  <c r="AK55" i="336" s="1"/>
  <c r="AL49" i="336"/>
  <c r="AJ49" i="336"/>
  <c r="AK49" i="336" s="1"/>
  <c r="Y49" i="336"/>
  <c r="AL63" i="336"/>
  <c r="AJ63" i="336"/>
  <c r="AK63" i="336" s="1"/>
  <c r="AO63" i="336"/>
  <c r="AL71" i="336"/>
  <c r="AM71" i="336" s="1"/>
  <c r="AJ71" i="336"/>
  <c r="AK71" i="336" s="1"/>
  <c r="Y71" i="336"/>
  <c r="AM55" i="336"/>
  <c r="K84" i="336"/>
  <c r="AM66" i="336"/>
  <c r="Z77" i="336"/>
  <c r="BG77" i="336"/>
  <c r="Y82" i="336"/>
  <c r="AM82" i="336"/>
  <c r="Q84" i="336"/>
  <c r="Y104" i="336"/>
  <c r="X166" i="336"/>
  <c r="AL162" i="336"/>
  <c r="Y162" i="336"/>
  <c r="AP162" i="336"/>
  <c r="AB14" i="336"/>
  <c r="AB65" i="336" s="1"/>
  <c r="AD14" i="336"/>
  <c r="AD65" i="336" s="1"/>
  <c r="K14" i="336"/>
  <c r="Y26" i="336"/>
  <c r="Z26" i="336" s="1"/>
  <c r="Y30" i="336"/>
  <c r="Z30" i="336" s="1"/>
  <c r="AJ41" i="336"/>
  <c r="AK41" i="336" s="1"/>
  <c r="AP51" i="336"/>
  <c r="AM140" i="336"/>
  <c r="Y140" i="336"/>
  <c r="AL145" i="336"/>
  <c r="AM145" i="336" s="1"/>
  <c r="Y145" i="336"/>
  <c r="AM43" i="336"/>
  <c r="Y43" i="336"/>
  <c r="Y138" i="336"/>
  <c r="AO51" i="336"/>
  <c r="Q65" i="336"/>
  <c r="X14" i="336"/>
  <c r="X65" i="336" s="1"/>
  <c r="Y46" i="336"/>
  <c r="AQ51" i="336"/>
  <c r="Y55" i="336"/>
  <c r="BG57" i="336"/>
  <c r="Z57" i="336"/>
  <c r="X84" i="336"/>
  <c r="AL66" i="336"/>
  <c r="AJ66" i="336"/>
  <c r="AR71" i="336"/>
  <c r="BG73" i="336"/>
  <c r="Z73" i="336"/>
  <c r="Z76" i="336"/>
  <c r="AL83" i="336"/>
  <c r="AJ83" i="336"/>
  <c r="AK83" i="336" s="1"/>
  <c r="AL93" i="336"/>
  <c r="AJ93" i="336"/>
  <c r="AK93" i="336" s="1"/>
  <c r="AM44" i="336"/>
  <c r="Y44" i="336"/>
  <c r="BG45" i="336"/>
  <c r="Z45" i="336"/>
  <c r="BG89" i="336"/>
  <c r="Z89" i="336"/>
  <c r="AL103" i="336"/>
  <c r="AJ103" i="336"/>
  <c r="X123" i="336"/>
  <c r="BG54" i="336"/>
  <c r="Y103" i="336"/>
  <c r="Z108" i="336"/>
  <c r="W65" i="336"/>
  <c r="Y20" i="336"/>
  <c r="Z20" i="336" s="1"/>
  <c r="Y22" i="336"/>
  <c r="Z22" i="336" s="1"/>
  <c r="AQ42" i="336"/>
  <c r="AO42" i="336"/>
  <c r="AP42" i="336"/>
  <c r="AJ44" i="336"/>
  <c r="AK44" i="336" s="1"/>
  <c r="AM49" i="336"/>
  <c r="AQ52" i="336"/>
  <c r="AL57" i="336"/>
  <c r="AM57" i="336" s="1"/>
  <c r="AJ57" i="336"/>
  <c r="AK57" i="336" s="1"/>
  <c r="Y66" i="336"/>
  <c r="Y68" i="336"/>
  <c r="AL68" i="336"/>
  <c r="AM68" i="336" s="1"/>
  <c r="Y72" i="336"/>
  <c r="AL86" i="336"/>
  <c r="AM86" i="336" s="1"/>
  <c r="AJ86" i="336"/>
  <c r="AK86" i="336" s="1"/>
  <c r="AD123" i="336"/>
  <c r="AP131" i="336"/>
  <c r="AR131" i="336"/>
  <c r="AQ131" i="336"/>
  <c r="AO131" i="336"/>
  <c r="Y69" i="336"/>
  <c r="AJ69" i="336"/>
  <c r="AK69" i="336" s="1"/>
  <c r="AJ72" i="336"/>
  <c r="AK72" i="336" s="1"/>
  <c r="AL72" i="336"/>
  <c r="AM72" i="336" s="1"/>
  <c r="Z78" i="336"/>
  <c r="AZ78" i="336" s="1"/>
  <c r="BA78" i="336" s="1"/>
  <c r="BG93" i="336"/>
  <c r="AL120" i="336"/>
  <c r="AM120" i="336" s="1"/>
  <c r="AJ120" i="336"/>
  <c r="AK120" i="336" s="1"/>
  <c r="AN166" i="336"/>
  <c r="AM45" i="336"/>
  <c r="BG48" i="336"/>
  <c r="Z48" i="336"/>
  <c r="AZ58" i="336"/>
  <c r="BA58" i="336" s="1"/>
  <c r="AJ75" i="336"/>
  <c r="AK75" i="336" s="1"/>
  <c r="AL75" i="336"/>
  <c r="AM75" i="336" s="1"/>
  <c r="Z93" i="336"/>
  <c r="AQ100" i="336"/>
  <c r="AP100" i="336"/>
  <c r="AO100" i="336"/>
  <c r="Y111" i="336"/>
  <c r="AM111" i="336"/>
  <c r="Y120" i="336"/>
  <c r="Y39" i="336"/>
  <c r="AL169" i="336"/>
  <c r="AM169" i="336" s="1"/>
  <c r="Y169" i="336"/>
  <c r="AB84" i="336"/>
  <c r="AP88" i="336"/>
  <c r="AL92" i="336"/>
  <c r="AM92" i="336" s="1"/>
  <c r="AJ92" i="336"/>
  <c r="AK92" i="336" s="1"/>
  <c r="Y92" i="336"/>
  <c r="Y96" i="336"/>
  <c r="AL111" i="336"/>
  <c r="AJ111" i="336"/>
  <c r="AK111" i="336" s="1"/>
  <c r="AR150" i="336"/>
  <c r="AQ150" i="336"/>
  <c r="AO150" i="336"/>
  <c r="AZ150" i="336" s="1"/>
  <c r="BA150" i="336" s="1"/>
  <c r="Y40" i="336"/>
  <c r="AO45" i="336"/>
  <c r="AJ47" i="336"/>
  <c r="AK47" i="336" s="1"/>
  <c r="AR64" i="336"/>
  <c r="AQ64" i="336"/>
  <c r="AP64" i="336"/>
  <c r="AO64" i="336"/>
  <c r="Y75" i="336"/>
  <c r="AQ88" i="336"/>
  <c r="AR94" i="336"/>
  <c r="AQ94" i="336"/>
  <c r="AP94" i="336"/>
  <c r="AP150" i="336"/>
  <c r="AN65" i="336"/>
  <c r="BG70" i="336"/>
  <c r="AP38" i="336"/>
  <c r="AR44" i="336"/>
  <c r="AP45" i="336"/>
  <c r="Y51" i="336"/>
  <c r="Y52" i="336"/>
  <c r="AP72" i="336"/>
  <c r="AO72" i="336"/>
  <c r="AO82" i="336"/>
  <c r="AR88" i="336"/>
  <c r="AO94" i="336"/>
  <c r="AL98" i="336"/>
  <c r="AM98" i="336" s="1"/>
  <c r="Y98" i="336"/>
  <c r="AO98" i="336"/>
  <c r="AJ98" i="336"/>
  <c r="AK98" i="336" s="1"/>
  <c r="AL119" i="336"/>
  <c r="AJ119" i="336"/>
  <c r="AK119" i="336" s="1"/>
  <c r="AP56" i="336"/>
  <c r="Z60" i="336"/>
  <c r="AL96" i="336"/>
  <c r="AM96" i="336" s="1"/>
  <c r="AP96" i="336"/>
  <c r="AJ96" i="336"/>
  <c r="AK96" i="336" s="1"/>
  <c r="AQ117" i="336"/>
  <c r="AR117" i="336"/>
  <c r="AR47" i="336"/>
  <c r="AQ47" i="336"/>
  <c r="AP47" i="336"/>
  <c r="AO47" i="336"/>
  <c r="AL51" i="336"/>
  <c r="AM51" i="336" s="1"/>
  <c r="AJ51" i="336"/>
  <c r="AK51" i="336" s="1"/>
  <c r="AL61" i="336"/>
  <c r="AM61" i="336" s="1"/>
  <c r="AJ61" i="336"/>
  <c r="AK61" i="336" s="1"/>
  <c r="AL62" i="336"/>
  <c r="AM62" i="336" s="1"/>
  <c r="AJ62" i="336"/>
  <c r="AK62" i="336" s="1"/>
  <c r="AN84" i="336"/>
  <c r="AR67" i="336"/>
  <c r="AO67" i="336"/>
  <c r="AR68" i="336"/>
  <c r="AQ68" i="336"/>
  <c r="AP68" i="336"/>
  <c r="AP84" i="336" s="1"/>
  <c r="AP73" i="336"/>
  <c r="AO73" i="336"/>
  <c r="Y17" i="336"/>
  <c r="Z17" i="336" s="1"/>
  <c r="AR38" i="336"/>
  <c r="AJ50" i="336"/>
  <c r="AK50" i="336" s="1"/>
  <c r="AL50" i="336"/>
  <c r="Y50" i="336"/>
  <c r="Y61" i="336"/>
  <c r="AR66" i="336"/>
  <c r="AP67" i="336"/>
  <c r="AO68" i="336"/>
  <c r="AL69" i="336"/>
  <c r="AM69" i="336" s="1"/>
  <c r="AQ73" i="336"/>
  <c r="AL90" i="336"/>
  <c r="AM90" i="336" s="1"/>
  <c r="AJ90" i="336"/>
  <c r="AK90" i="336" s="1"/>
  <c r="BG108" i="336"/>
  <c r="AO117" i="336"/>
  <c r="AM141" i="336"/>
  <c r="Y141" i="336"/>
  <c r="AP141" i="336"/>
  <c r="AW65" i="336"/>
  <c r="AJ59" i="336"/>
  <c r="AK59" i="336" s="1"/>
  <c r="AW84" i="336"/>
  <c r="AQ67" i="336"/>
  <c r="AQ84" i="336" s="1"/>
  <c r="AR73" i="336"/>
  <c r="BG76" i="336"/>
  <c r="BG79" i="336"/>
  <c r="AP117" i="336"/>
  <c r="AZ117" i="336" s="1"/>
  <c r="AQ164" i="336"/>
  <c r="AP164" i="336"/>
  <c r="AO164" i="336"/>
  <c r="AR164" i="336"/>
  <c r="AR74" i="336"/>
  <c r="AQ74" i="336"/>
  <c r="AP74" i="336"/>
  <c r="AN102" i="336"/>
  <c r="AR85" i="336"/>
  <c r="AQ85" i="336"/>
  <c r="Y41" i="336"/>
  <c r="AR59" i="336"/>
  <c r="AQ59" i="336"/>
  <c r="AP59" i="336"/>
  <c r="AO59" i="336"/>
  <c r="AO74" i="336"/>
  <c r="AO85" i="336"/>
  <c r="AP139" i="336"/>
  <c r="AQ139" i="336"/>
  <c r="AO139" i="336"/>
  <c r="AR139" i="336"/>
  <c r="AQ106" i="336"/>
  <c r="AR106" i="336"/>
  <c r="AP106" i="336"/>
  <c r="Y47" i="336"/>
  <c r="AM50" i="336"/>
  <c r="Y59" i="336"/>
  <c r="AR79" i="336"/>
  <c r="AQ79" i="336"/>
  <c r="AP79" i="336"/>
  <c r="AO79" i="336"/>
  <c r="AM91" i="336"/>
  <c r="AO106" i="336"/>
  <c r="AL110" i="336"/>
  <c r="AR110" i="336"/>
  <c r="AJ110" i="336"/>
  <c r="AK110" i="336" s="1"/>
  <c r="Y148" i="336"/>
  <c r="AR75" i="336"/>
  <c r="AQ75" i="336"/>
  <c r="AP75" i="336"/>
  <c r="AO75" i="336"/>
  <c r="Y90" i="336"/>
  <c r="AL91" i="336"/>
  <c r="AJ91" i="336"/>
  <c r="AK91" i="336" s="1"/>
  <c r="AL108" i="336"/>
  <c r="AM108" i="336" s="1"/>
  <c r="AJ108" i="336"/>
  <c r="AK108" i="336" s="1"/>
  <c r="Y109" i="336"/>
  <c r="AL109" i="336"/>
  <c r="AM109" i="336" s="1"/>
  <c r="AJ109" i="336"/>
  <c r="AK109" i="336" s="1"/>
  <c r="BG129" i="336"/>
  <c r="Y38" i="336"/>
  <c r="AR39" i="336"/>
  <c r="AQ39" i="336"/>
  <c r="AQ65" i="336" s="1"/>
  <c r="AM48" i="336"/>
  <c r="Z53" i="336"/>
  <c r="AQ55" i="336"/>
  <c r="AO55" i="336"/>
  <c r="AP55" i="336"/>
  <c r="AM60" i="336"/>
  <c r="AM63" i="336"/>
  <c r="Y63" i="336"/>
  <c r="AM78" i="336"/>
  <c r="AM83" i="336"/>
  <c r="Y83" i="336"/>
  <c r="Y91" i="336"/>
  <c r="AE201" i="336"/>
  <c r="AP134" i="336"/>
  <c r="AO134" i="336"/>
  <c r="AR134" i="336"/>
  <c r="AZ137" i="336"/>
  <c r="BA137" i="336" s="1"/>
  <c r="Y29" i="336"/>
  <c r="Z29" i="336" s="1"/>
  <c r="Y36" i="336"/>
  <c r="Z36" i="336" s="1"/>
  <c r="AL38" i="336"/>
  <c r="AJ38" i="336"/>
  <c r="AO43" i="336"/>
  <c r="AR46" i="336"/>
  <c r="AQ46" i="336"/>
  <c r="AR58" i="336"/>
  <c r="AQ58" i="336"/>
  <c r="W84" i="336"/>
  <c r="Z74" i="336"/>
  <c r="BG74" i="336"/>
  <c r="AR76" i="336"/>
  <c r="AQ76" i="336"/>
  <c r="AP76" i="336"/>
  <c r="AO76" i="336"/>
  <c r="AR80" i="336"/>
  <c r="AQ80" i="336"/>
  <c r="AP80" i="336"/>
  <c r="AO80" i="336"/>
  <c r="AB102" i="336"/>
  <c r="AB124" i="336" s="1"/>
  <c r="AB201" i="336" s="1"/>
  <c r="AL89" i="336"/>
  <c r="AJ89" i="336"/>
  <c r="AK89" i="336" s="1"/>
  <c r="AW124" i="336"/>
  <c r="BG107" i="336"/>
  <c r="BG115" i="336"/>
  <c r="X142" i="336"/>
  <c r="BG160" i="336"/>
  <c r="Z160" i="336"/>
  <c r="AZ160" i="336" s="1"/>
  <c r="BA160" i="336" s="1"/>
  <c r="AL157" i="336"/>
  <c r="X161" i="336"/>
  <c r="AG65" i="336"/>
  <c r="AJ53" i="336"/>
  <c r="AK53" i="336" s="1"/>
  <c r="Y64" i="336"/>
  <c r="Y67" i="336"/>
  <c r="AQ118" i="336"/>
  <c r="AR118" i="336"/>
  <c r="AP118" i="336"/>
  <c r="AO118" i="336"/>
  <c r="AM153" i="336"/>
  <c r="Y153" i="336"/>
  <c r="K156" i="336"/>
  <c r="AQ153" i="336"/>
  <c r="AR54" i="336"/>
  <c r="AL54" i="336"/>
  <c r="AM54" i="336" s="1"/>
  <c r="AZ54" i="336" s="1"/>
  <c r="BA54" i="336" s="1"/>
  <c r="AO70" i="336"/>
  <c r="AL70" i="336"/>
  <c r="AM70" i="336" s="1"/>
  <c r="AJ70" i="336"/>
  <c r="AK70" i="336" s="1"/>
  <c r="AZ70" i="336" s="1"/>
  <c r="BA70" i="336" s="1"/>
  <c r="AR81" i="336"/>
  <c r="AQ81" i="336"/>
  <c r="AR89" i="336"/>
  <c r="AQ89" i="336"/>
  <c r="AP89" i="336"/>
  <c r="AJ99" i="336"/>
  <c r="AK99" i="336" s="1"/>
  <c r="AL99" i="336"/>
  <c r="AM99" i="336" s="1"/>
  <c r="AJ116" i="336"/>
  <c r="AK116" i="336" s="1"/>
  <c r="AP116" i="336"/>
  <c r="Y116" i="336"/>
  <c r="AL116" i="336"/>
  <c r="AM116" i="336" s="1"/>
  <c r="AZ170" i="336"/>
  <c r="BA170" i="336" s="1"/>
  <c r="BB194" i="336"/>
  <c r="BF194" i="336"/>
  <c r="BC194" i="336"/>
  <c r="AG102" i="336"/>
  <c r="AO87" i="336"/>
  <c r="AZ87" i="336" s="1"/>
  <c r="BA87" i="336" s="1"/>
  <c r="X88" i="336"/>
  <c r="AO88" i="336" s="1"/>
  <c r="AO99" i="336"/>
  <c r="Y99" i="336"/>
  <c r="AQ114" i="336"/>
  <c r="AP114" i="336"/>
  <c r="AL165" i="336"/>
  <c r="AM165" i="336" s="1"/>
  <c r="Y165" i="336"/>
  <c r="BG168" i="336"/>
  <c r="Q102" i="336"/>
  <c r="X85" i="336"/>
  <c r="AM97" i="336"/>
  <c r="V124" i="336"/>
  <c r="V201" i="336" s="1"/>
  <c r="AR121" i="336"/>
  <c r="Y121" i="336"/>
  <c r="AL122" i="336"/>
  <c r="AO122" i="336"/>
  <c r="Y122" i="336"/>
  <c r="M124" i="336"/>
  <c r="M201" i="336" s="1"/>
  <c r="AR135" i="336"/>
  <c r="AO53" i="336"/>
  <c r="AO40" i="336"/>
  <c r="AO65" i="336" s="1"/>
  <c r="AP53" i="336"/>
  <c r="AO60" i="336"/>
  <c r="AD84" i="336"/>
  <c r="AO69" i="336"/>
  <c r="AP77" i="336"/>
  <c r="AP78" i="336"/>
  <c r="AO78" i="336"/>
  <c r="Y81" i="336"/>
  <c r="AQ87" i="336"/>
  <c r="BA97" i="336"/>
  <c r="AM100" i="336"/>
  <c r="AO101" i="336"/>
  <c r="AJ104" i="336"/>
  <c r="AK104" i="336" s="1"/>
  <c r="AL104" i="336"/>
  <c r="AM104" i="336" s="1"/>
  <c r="AR114" i="336"/>
  <c r="AI124" i="336"/>
  <c r="Y118" i="336"/>
  <c r="AM118" i="336"/>
  <c r="AP137" i="336"/>
  <c r="Y167" i="336"/>
  <c r="K174" i="336"/>
  <c r="BG175" i="336"/>
  <c r="Z175" i="336"/>
  <c r="AM181" i="336"/>
  <c r="Y181" i="336"/>
  <c r="AP40" i="336"/>
  <c r="AO48" i="336"/>
  <c r="AQ53" i="336"/>
  <c r="AO54" i="336"/>
  <c r="AP60" i="336"/>
  <c r="AP69" i="336"/>
  <c r="AQ77" i="336"/>
  <c r="AQ78" i="336"/>
  <c r="AR87" i="336"/>
  <c r="AO91" i="336"/>
  <c r="O124" i="336"/>
  <c r="O201" i="336" s="1"/>
  <c r="AV124" i="336"/>
  <c r="AV201" i="336" s="1"/>
  <c r="AM127" i="336"/>
  <c r="AR137" i="336"/>
  <c r="AR143" i="336" s="1"/>
  <c r="AL151" i="336"/>
  <c r="AM151" i="336" s="1"/>
  <c r="AZ151" i="336" s="1"/>
  <c r="Y151" i="336"/>
  <c r="X174" i="336"/>
  <c r="BG196" i="336"/>
  <c r="Z196" i="336"/>
  <c r="AO41" i="336"/>
  <c r="AO61" i="336"/>
  <c r="AR78" i="336"/>
  <c r="AP119" i="336"/>
  <c r="AR119" i="336"/>
  <c r="AQ119" i="336"/>
  <c r="AJ121" i="336"/>
  <c r="AK121" i="336" s="1"/>
  <c r="AL121" i="336"/>
  <c r="AM121" i="336" s="1"/>
  <c r="BG94" i="336"/>
  <c r="Z94" i="336"/>
  <c r="AL101" i="336"/>
  <c r="AM101" i="336" s="1"/>
  <c r="AJ101" i="336"/>
  <c r="AK101" i="336" s="1"/>
  <c r="AY124" i="336"/>
  <c r="AY201" i="336" s="1"/>
  <c r="BG128" i="336"/>
  <c r="Z128" i="336"/>
  <c r="BG132" i="336"/>
  <c r="X158" i="336"/>
  <c r="AL158" i="336" s="1"/>
  <c r="Q161" i="336"/>
  <c r="AM195" i="336"/>
  <c r="Y195" i="336"/>
  <c r="AG84" i="336"/>
  <c r="Y80" i="336"/>
  <c r="AO86" i="336"/>
  <c r="Z97" i="336"/>
  <c r="AZ97" i="336" s="1"/>
  <c r="Y100" i="336"/>
  <c r="Y101" i="336"/>
  <c r="AJ122" i="336"/>
  <c r="AK122" i="336" s="1"/>
  <c r="Z132" i="336"/>
  <c r="AZ132" i="336" s="1"/>
  <c r="BA132" i="336" s="1"/>
  <c r="AQ140" i="336"/>
  <c r="AP140" i="336"/>
  <c r="AO140" i="336"/>
  <c r="AR140" i="336"/>
  <c r="AM191" i="336"/>
  <c r="Y191" i="336"/>
  <c r="AM103" i="336"/>
  <c r="K123" i="336"/>
  <c r="AO62" i="336"/>
  <c r="AF201" i="336"/>
  <c r="AO71" i="336"/>
  <c r="AP86" i="336"/>
  <c r="AM89" i="336"/>
  <c r="Q123" i="336"/>
  <c r="Q124" i="336" s="1"/>
  <c r="AX123" i="336"/>
  <c r="AL107" i="336"/>
  <c r="AJ107" i="336"/>
  <c r="AK107" i="336" s="1"/>
  <c r="AZ107" i="336" s="1"/>
  <c r="BA107" i="336" s="1"/>
  <c r="AJ118" i="336"/>
  <c r="AK118" i="336" s="1"/>
  <c r="K135" i="336"/>
  <c r="AM126" i="336"/>
  <c r="Y126" i="336"/>
  <c r="Y127" i="336"/>
  <c r="Z133" i="336"/>
  <c r="AZ133" i="336" s="1"/>
  <c r="BA133" i="336" s="1"/>
  <c r="AM79" i="336"/>
  <c r="AZ79" i="336" s="1"/>
  <c r="BA79" i="336" s="1"/>
  <c r="AQ83" i="336"/>
  <c r="AP83" i="336"/>
  <c r="AR86" i="336"/>
  <c r="X95" i="336"/>
  <c r="W123" i="336"/>
  <c r="Y114" i="336"/>
  <c r="AM114" i="336"/>
  <c r="Z130" i="336"/>
  <c r="AR149" i="336"/>
  <c r="AQ149" i="336"/>
  <c r="AP149" i="336"/>
  <c r="AO149" i="336"/>
  <c r="Y163" i="336"/>
  <c r="AM167" i="336"/>
  <c r="BG198" i="336"/>
  <c r="BA198" i="336"/>
  <c r="X136" i="336"/>
  <c r="Q143" i="336"/>
  <c r="AR157" i="336"/>
  <c r="AP157" i="336"/>
  <c r="AO157" i="336"/>
  <c r="K102" i="336"/>
  <c r="Y86" i="336"/>
  <c r="AX102" i="336"/>
  <c r="AQ105" i="336"/>
  <c r="AO105" i="336"/>
  <c r="AO123" i="336" s="1"/>
  <c r="AO110" i="336"/>
  <c r="AD135" i="336"/>
  <c r="AB135" i="336"/>
  <c r="W143" i="336"/>
  <c r="AQ157" i="336"/>
  <c r="AL175" i="336"/>
  <c r="X183" i="336"/>
  <c r="AR176" i="336"/>
  <c r="AQ176" i="336"/>
  <c r="AP176" i="336"/>
  <c r="AO176" i="336"/>
  <c r="AN183" i="336"/>
  <c r="Z180" i="336"/>
  <c r="BG180" i="336"/>
  <c r="AO196" i="336"/>
  <c r="AP196" i="336"/>
  <c r="AQ196" i="336"/>
  <c r="W102" i="336"/>
  <c r="AM94" i="336"/>
  <c r="AM131" i="336"/>
  <c r="Y131" i="336"/>
  <c r="AR196" i="336"/>
  <c r="BG199" i="336"/>
  <c r="BA199" i="336"/>
  <c r="AQ92" i="336"/>
  <c r="AP92" i="336"/>
  <c r="AM107" i="336"/>
  <c r="AJ112" i="336"/>
  <c r="AK112" i="336" s="1"/>
  <c r="AP112" i="336"/>
  <c r="AP125" i="336"/>
  <c r="AL155" i="336"/>
  <c r="AM155" i="336" s="1"/>
  <c r="Y155" i="336"/>
  <c r="AO155" i="336"/>
  <c r="Y186" i="336"/>
  <c r="AM93" i="336"/>
  <c r="Y105" i="336"/>
  <c r="AJ117" i="336"/>
  <c r="AK117" i="336" s="1"/>
  <c r="Y117" i="336"/>
  <c r="AQ128" i="336"/>
  <c r="AP128" i="336"/>
  <c r="AO128" i="336"/>
  <c r="Q152" i="336"/>
  <c r="X144" i="336"/>
  <c r="Q166" i="336"/>
  <c r="AM163" i="336"/>
  <c r="K166" i="336"/>
  <c r="AP163" i="336"/>
  <c r="AQ171" i="336"/>
  <c r="AR171" i="336"/>
  <c r="AP171" i="336"/>
  <c r="AO171" i="336"/>
  <c r="AZ171" i="336" s="1"/>
  <c r="BA171" i="336" s="1"/>
  <c r="AL178" i="336"/>
  <c r="Y178" i="336"/>
  <c r="AG123" i="336"/>
  <c r="AG124" i="336" s="1"/>
  <c r="Y119" i="336"/>
  <c r="AM119" i="336"/>
  <c r="AQ126" i="336"/>
  <c r="AP126" i="336"/>
  <c r="AO126" i="336"/>
  <c r="AM134" i="336"/>
  <c r="Y134" i="336"/>
  <c r="AB143" i="336"/>
  <c r="AM159" i="336"/>
  <c r="Y159" i="336"/>
  <c r="AM160" i="336"/>
  <c r="X189" i="336"/>
  <c r="AL189" i="336" s="1"/>
  <c r="AM189" i="336" s="1"/>
  <c r="Y106" i="336"/>
  <c r="AM110" i="336"/>
  <c r="P124" i="336"/>
  <c r="P201" i="336" s="1"/>
  <c r="Q135" i="336"/>
  <c r="AQ151" i="336"/>
  <c r="AR151" i="336"/>
  <c r="AP151" i="336"/>
  <c r="AM158" i="336"/>
  <c r="Y158" i="336"/>
  <c r="AM193" i="336"/>
  <c r="Y193" i="336"/>
  <c r="AP98" i="336"/>
  <c r="AP104" i="336"/>
  <c r="AP123" i="336" s="1"/>
  <c r="X105" i="336"/>
  <c r="AR108" i="336"/>
  <c r="X113" i="336"/>
  <c r="Y113" i="336" s="1"/>
  <c r="AR115" i="336"/>
  <c r="AO115" i="336"/>
  <c r="AS124" i="336"/>
  <c r="AS201" i="336" s="1"/>
  <c r="X125" i="336"/>
  <c r="AQ127" i="336"/>
  <c r="AP127" i="336"/>
  <c r="AO127" i="336"/>
  <c r="AM129" i="336"/>
  <c r="AZ129" i="336" s="1"/>
  <c r="BA129" i="336" s="1"/>
  <c r="AN143" i="336"/>
  <c r="AM138" i="336"/>
  <c r="AR144" i="336"/>
  <c r="AQ144" i="336"/>
  <c r="AQ152" i="336" s="1"/>
  <c r="AO144" i="336"/>
  <c r="AO152" i="336" s="1"/>
  <c r="AM157" i="336"/>
  <c r="K161" i="336"/>
  <c r="Y157" i="336"/>
  <c r="X187" i="336"/>
  <c r="AL187" i="336" s="1"/>
  <c r="AM187" i="336" s="1"/>
  <c r="AZ187" i="336" s="1"/>
  <c r="AQ98" i="336"/>
  <c r="AQ104" i="336"/>
  <c r="Y112" i="336"/>
  <c r="AT124" i="336"/>
  <c r="AT201" i="336" s="1"/>
  <c r="AI135" i="336"/>
  <c r="AQ130" i="336"/>
  <c r="AP130" i="336"/>
  <c r="AO130" i="336"/>
  <c r="AW166" i="336"/>
  <c r="X176" i="336"/>
  <c r="AL176" i="336" s="1"/>
  <c r="Q183" i="336"/>
  <c r="AR190" i="336"/>
  <c r="AQ190" i="336"/>
  <c r="AP190" i="336"/>
  <c r="AO190" i="336"/>
  <c r="BN124" i="336"/>
  <c r="BN201" i="336" s="1"/>
  <c r="Y110" i="336"/>
  <c r="AM122" i="336"/>
  <c r="AU124" i="336"/>
  <c r="AU201" i="336" s="1"/>
  <c r="AP143" i="336"/>
  <c r="AZ146" i="336"/>
  <c r="AM147" i="336"/>
  <c r="Y147" i="336"/>
  <c r="AP147" i="336"/>
  <c r="X154" i="336"/>
  <c r="Q156" i="336"/>
  <c r="AP159" i="336"/>
  <c r="AO159" i="336"/>
  <c r="AR159" i="336"/>
  <c r="AQ159" i="336"/>
  <c r="AO165" i="336"/>
  <c r="AM168" i="336"/>
  <c r="AZ168" i="336" s="1"/>
  <c r="BA168" i="336" s="1"/>
  <c r="AM192" i="336"/>
  <c r="Y192" i="336"/>
  <c r="AO186" i="336"/>
  <c r="AZ186" i="336" s="1"/>
  <c r="AR186" i="336"/>
  <c r="AQ186" i="336"/>
  <c r="AN200" i="336"/>
  <c r="N124" i="336"/>
  <c r="N201" i="336" s="1"/>
  <c r="AD143" i="336"/>
  <c r="AO153" i="336"/>
  <c r="AO156" i="336" s="1"/>
  <c r="AR153" i="336"/>
  <c r="AR156" i="336" s="1"/>
  <c r="AP168" i="336"/>
  <c r="AR168" i="336"/>
  <c r="AQ168" i="336"/>
  <c r="AO168" i="336"/>
  <c r="AP186" i="336"/>
  <c r="AP188" i="336"/>
  <c r="AO188" i="336"/>
  <c r="AQ188" i="336"/>
  <c r="AQ200" i="336" s="1"/>
  <c r="AR192" i="336"/>
  <c r="AQ192" i="336"/>
  <c r="AP192" i="336"/>
  <c r="AM115" i="336"/>
  <c r="AZ115" i="336" s="1"/>
  <c r="BA115" i="336" s="1"/>
  <c r="AO166" i="336"/>
  <c r="AO109" i="336"/>
  <c r="AP129" i="336"/>
  <c r="AZ157" i="336"/>
  <c r="AB161" i="336"/>
  <c r="Y197" i="336"/>
  <c r="AM197" i="336"/>
  <c r="AN123" i="336"/>
  <c r="AN124" i="336" s="1"/>
  <c r="AR120" i="336"/>
  <c r="AQ120" i="336"/>
  <c r="BG146" i="336"/>
  <c r="BA146" i="336"/>
  <c r="AP154" i="336"/>
  <c r="AP156" i="336" s="1"/>
  <c r="AO154" i="336"/>
  <c r="AQ154" i="336"/>
  <c r="AD161" i="336"/>
  <c r="Y164" i="336"/>
  <c r="AP170" i="336"/>
  <c r="AR170" i="336"/>
  <c r="AQ170" i="336"/>
  <c r="AM176" i="336"/>
  <c r="Y176" i="336"/>
  <c r="AO182" i="336"/>
  <c r="AZ182" i="336" s="1"/>
  <c r="BA182" i="336" s="1"/>
  <c r="AQ132" i="336"/>
  <c r="AP132" i="336"/>
  <c r="Y136" i="336"/>
  <c r="W156" i="336"/>
  <c r="AQ158" i="336"/>
  <c r="AP158" i="336"/>
  <c r="AO169" i="336"/>
  <c r="AQ169" i="336"/>
  <c r="AP169" i="336"/>
  <c r="AM188" i="336"/>
  <c r="Y188" i="336"/>
  <c r="AR191" i="336"/>
  <c r="AQ191" i="336"/>
  <c r="AP191" i="336"/>
  <c r="AO191" i="336"/>
  <c r="AB166" i="336"/>
  <c r="AR167" i="336"/>
  <c r="AP167" i="336"/>
  <c r="AP174" i="336" s="1"/>
  <c r="AO167" i="336"/>
  <c r="AN174" i="336"/>
  <c r="AM177" i="336"/>
  <c r="Y177" i="336"/>
  <c r="AM178" i="336"/>
  <c r="AO125" i="336"/>
  <c r="AO129" i="336"/>
  <c r="AO138" i="336"/>
  <c r="K143" i="336"/>
  <c r="AO145" i="336"/>
  <c r="AQ167" i="336"/>
  <c r="Y173" i="336"/>
  <c r="AM173" i="336"/>
  <c r="Q200" i="336"/>
  <c r="X184" i="336"/>
  <c r="AG143" i="336"/>
  <c r="AQ138" i="336"/>
  <c r="AP142" i="336"/>
  <c r="AO142" i="336"/>
  <c r="AO143" i="336" s="1"/>
  <c r="AP145" i="336"/>
  <c r="AP152" i="336" s="1"/>
  <c r="AW174" i="336"/>
  <c r="AI200" i="336"/>
  <c r="AR148" i="336"/>
  <c r="AQ148" i="336"/>
  <c r="AQ155" i="336"/>
  <c r="AP155" i="336"/>
  <c r="AX166" i="336"/>
  <c r="AM179" i="336"/>
  <c r="Y179" i="336"/>
  <c r="Y187" i="336"/>
  <c r="K183" i="336"/>
  <c r="AM182" i="336"/>
  <c r="AM185" i="336"/>
  <c r="K200" i="336"/>
  <c r="Y185" i="336"/>
  <c r="X156" i="336"/>
  <c r="AQ172" i="336"/>
  <c r="AR172" i="336"/>
  <c r="AO181" i="336"/>
  <c r="AR195" i="336"/>
  <c r="AQ195" i="336"/>
  <c r="AR147" i="336"/>
  <c r="AQ147" i="336"/>
  <c r="AR163" i="336"/>
  <c r="AR166" i="336" s="1"/>
  <c r="AQ163" i="336"/>
  <c r="AQ166" i="336" s="1"/>
  <c r="AO172" i="336"/>
  <c r="AM180" i="336"/>
  <c r="AP181" i="336"/>
  <c r="AP183" i="336" s="1"/>
  <c r="AO189" i="336"/>
  <c r="AO195" i="336"/>
  <c r="AR175" i="336"/>
  <c r="AR183" i="336" s="1"/>
  <c r="AQ175" i="336"/>
  <c r="AQ183" i="336" s="1"/>
  <c r="AM190" i="336"/>
  <c r="Y190" i="336"/>
  <c r="X172" i="336"/>
  <c r="AL172" i="336" s="1"/>
  <c r="AM172" i="336" s="1"/>
  <c r="AR173" i="336"/>
  <c r="AO177" i="336"/>
  <c r="AA173" i="341" l="1"/>
  <c r="BD14" i="343"/>
  <c r="BD45" i="343" s="1"/>
  <c r="BD117" i="342"/>
  <c r="BD124" i="342" s="1"/>
  <c r="BE106" i="343"/>
  <c r="BE116" i="343" s="1"/>
  <c r="BD138" i="343"/>
  <c r="BD142" i="343" s="1"/>
  <c r="BM66" i="342"/>
  <c r="BM83" i="342" s="1"/>
  <c r="AF40" i="341"/>
  <c r="BE138" i="343"/>
  <c r="BE142" i="343" s="1"/>
  <c r="BE148" i="343"/>
  <c r="BE160" i="343" s="1"/>
  <c r="AF111" i="340"/>
  <c r="AF138" i="340" s="1"/>
  <c r="AF187" i="340" s="1"/>
  <c r="AI187" i="340" s="1"/>
  <c r="BE125" i="343"/>
  <c r="BE133" i="343" s="1"/>
  <c r="BE14" i="343"/>
  <c r="BE45" i="343" s="1"/>
  <c r="BH125" i="342"/>
  <c r="BF133" i="342"/>
  <c r="BF142" i="343"/>
  <c r="BH138" i="343"/>
  <c r="BI148" i="342"/>
  <c r="BI155" i="342" s="1"/>
  <c r="BL148" i="342"/>
  <c r="BL155" i="342" s="1"/>
  <c r="BK148" i="342"/>
  <c r="BK155" i="342" s="1"/>
  <c r="BH155" i="342"/>
  <c r="BH46" i="342"/>
  <c r="BF65" i="342"/>
  <c r="BH104" i="342"/>
  <c r="BK84" i="342"/>
  <c r="BK104" i="342" s="1"/>
  <c r="BL84" i="342"/>
  <c r="BL104" i="342" s="1"/>
  <c r="BI84" i="342"/>
  <c r="BI104" i="342" s="1"/>
  <c r="AB173" i="341"/>
  <c r="BH125" i="343"/>
  <c r="BF133" i="343"/>
  <c r="BI134" i="342"/>
  <c r="BI137" i="342" s="1"/>
  <c r="BK134" i="342"/>
  <c r="BK137" i="342" s="1"/>
  <c r="BH137" i="342"/>
  <c r="BJ134" i="342"/>
  <c r="BJ137" i="342" s="1"/>
  <c r="BL134" i="342"/>
  <c r="BL137" i="342" s="1"/>
  <c r="BD156" i="342"/>
  <c r="BK117" i="343"/>
  <c r="BK124" i="343" s="1"/>
  <c r="BL117" i="343"/>
  <c r="BL124" i="343" s="1"/>
  <c r="BJ117" i="343"/>
  <c r="BJ124" i="343" s="1"/>
  <c r="BI117" i="343"/>
  <c r="BI124" i="343" s="1"/>
  <c r="BH124" i="343"/>
  <c r="AF95" i="341"/>
  <c r="AF122" i="341" s="1"/>
  <c r="BD104" i="342"/>
  <c r="BE84" i="342"/>
  <c r="BE104" i="342" s="1"/>
  <c r="BD46" i="343"/>
  <c r="BD65" i="343" s="1"/>
  <c r="BD14" i="342"/>
  <c r="BD45" i="342" s="1"/>
  <c r="AC187" i="340"/>
  <c r="BE46" i="342"/>
  <c r="BE65" i="342" s="1"/>
  <c r="BF45" i="343"/>
  <c r="BH14" i="343"/>
  <c r="BH104" i="343"/>
  <c r="BK84" i="343"/>
  <c r="BK104" i="343" s="1"/>
  <c r="BL84" i="343"/>
  <c r="BL104" i="343" s="1"/>
  <c r="BI84" i="343"/>
  <c r="BI104" i="343" s="1"/>
  <c r="BL143" i="343"/>
  <c r="BL147" i="343" s="1"/>
  <c r="BK143" i="343"/>
  <c r="BK147" i="343" s="1"/>
  <c r="BI143" i="343"/>
  <c r="BI147" i="343" s="1"/>
  <c r="BH147" i="343"/>
  <c r="BD125" i="342"/>
  <c r="BD133" i="342" s="1"/>
  <c r="AC88" i="341"/>
  <c r="AF43" i="341"/>
  <c r="AF88" i="341" s="1"/>
  <c r="BE134" i="342"/>
  <c r="BE137" i="342" s="1"/>
  <c r="BH117" i="342"/>
  <c r="BF124" i="342"/>
  <c r="AF188" i="340"/>
  <c r="AF40" i="340"/>
  <c r="BL106" i="342"/>
  <c r="BL116" i="342" s="1"/>
  <c r="BK106" i="342"/>
  <c r="BK116" i="342" s="1"/>
  <c r="BI106" i="342"/>
  <c r="BI116" i="342" s="1"/>
  <c r="BM106" i="342"/>
  <c r="BM116" i="342" s="1"/>
  <c r="BH116" i="342"/>
  <c r="BJ106" i="342"/>
  <c r="BJ116" i="342" s="1"/>
  <c r="BH137" i="343"/>
  <c r="BI134" i="343"/>
  <c r="BI137" i="343" s="1"/>
  <c r="BL134" i="343"/>
  <c r="BL137" i="343" s="1"/>
  <c r="BK134" i="343"/>
  <c r="BK137" i="343" s="1"/>
  <c r="BE14" i="342"/>
  <c r="BE45" i="342" s="1"/>
  <c r="BJ66" i="343"/>
  <c r="BF105" i="342"/>
  <c r="BF182" i="342" s="1"/>
  <c r="BF142" i="342"/>
  <c r="BH138" i="342"/>
  <c r="BF164" i="342"/>
  <c r="BH156" i="342"/>
  <c r="BD148" i="343"/>
  <c r="BD160" i="343" s="1"/>
  <c r="BF116" i="343"/>
  <c r="BH106" i="343"/>
  <c r="BI165" i="342"/>
  <c r="BI181" i="342" s="1"/>
  <c r="BL165" i="342"/>
  <c r="BL181" i="342" s="1"/>
  <c r="BK165" i="342"/>
  <c r="BK181" i="342" s="1"/>
  <c r="BJ165" i="342"/>
  <c r="BJ181" i="342" s="1"/>
  <c r="BH181" i="342"/>
  <c r="AF144" i="340"/>
  <c r="AF169" i="340" s="1"/>
  <c r="BF160" i="343"/>
  <c r="BH148" i="343"/>
  <c r="BE138" i="342"/>
  <c r="BE142" i="342" s="1"/>
  <c r="BF65" i="343"/>
  <c r="BF105" i="343" s="1"/>
  <c r="BF161" i="343" s="1"/>
  <c r="BH46" i="343"/>
  <c r="AC125" i="341"/>
  <c r="AC40" i="340"/>
  <c r="BH143" i="342"/>
  <c r="BF147" i="342"/>
  <c r="AC104" i="340"/>
  <c r="AC188" i="340" s="1"/>
  <c r="AC189" i="340" s="1"/>
  <c r="AF43" i="340"/>
  <c r="AF104" i="340" s="1"/>
  <c r="BD105" i="343"/>
  <c r="BD161" i="343" s="1"/>
  <c r="BF45" i="342"/>
  <c r="BH14" i="342"/>
  <c r="AF155" i="341"/>
  <c r="AF156" i="341" s="1"/>
  <c r="AF171" i="341" s="1"/>
  <c r="AI171" i="341" s="1"/>
  <c r="BF54" i="336"/>
  <c r="BC54" i="336"/>
  <c r="BB54" i="336"/>
  <c r="BF160" i="336"/>
  <c r="BD160" i="336"/>
  <c r="BB160" i="336"/>
  <c r="BC160" i="336"/>
  <c r="BE160" i="336" s="1"/>
  <c r="BC170" i="336"/>
  <c r="BB170" i="336"/>
  <c r="BF170" i="336"/>
  <c r="BF129" i="336"/>
  <c r="BB129" i="336"/>
  <c r="BC129" i="336"/>
  <c r="BC115" i="336"/>
  <c r="BF115" i="336"/>
  <c r="BB115" i="336"/>
  <c r="BD115" i="336" s="1"/>
  <c r="BF78" i="336"/>
  <c r="BC78" i="336"/>
  <c r="BE78" i="336" s="1"/>
  <c r="BB78" i="336"/>
  <c r="BD78" i="336" s="1"/>
  <c r="BF150" i="336"/>
  <c r="BC150" i="336"/>
  <c r="BB150" i="336"/>
  <c r="BC79" i="336"/>
  <c r="BB79" i="336"/>
  <c r="BF79" i="336"/>
  <c r="BD79" i="336"/>
  <c r="BE79" i="336" s="1"/>
  <c r="BC133" i="336"/>
  <c r="BB133" i="336"/>
  <c r="BF133" i="336"/>
  <c r="AQ143" i="336"/>
  <c r="BC168" i="336"/>
  <c r="BB168" i="336"/>
  <c r="BD168" i="336" s="1"/>
  <c r="BE168" i="336" s="1"/>
  <c r="BF168" i="336"/>
  <c r="BC171" i="336"/>
  <c r="BF171" i="336"/>
  <c r="BB171" i="336"/>
  <c r="BD171" i="336" s="1"/>
  <c r="Z113" i="336"/>
  <c r="BG113" i="336"/>
  <c r="BD87" i="336"/>
  <c r="BC87" i="336"/>
  <c r="BF87" i="336"/>
  <c r="BB87" i="336"/>
  <c r="BE87" i="336" s="1"/>
  <c r="BC58" i="336"/>
  <c r="BB58" i="336"/>
  <c r="BF58" i="336"/>
  <c r="BC182" i="336"/>
  <c r="BF182" i="336"/>
  <c r="BB182" i="336"/>
  <c r="BD182" i="336" s="1"/>
  <c r="AO124" i="336"/>
  <c r="AO201" i="336" s="1"/>
  <c r="BF70" i="336"/>
  <c r="BB70" i="336"/>
  <c r="BD70" i="336" s="1"/>
  <c r="BC70" i="336"/>
  <c r="BB137" i="336"/>
  <c r="BF137" i="336"/>
  <c r="BC137" i="336"/>
  <c r="BF107" i="336"/>
  <c r="BB107" i="336"/>
  <c r="BC107" i="336"/>
  <c r="BC132" i="336"/>
  <c r="BB132" i="336"/>
  <c r="BF132" i="336"/>
  <c r="AK38" i="336"/>
  <c r="AK65" i="336" s="1"/>
  <c r="AJ65" i="336"/>
  <c r="Z177" i="336"/>
  <c r="AZ177" i="336" s="1"/>
  <c r="BG177" i="336"/>
  <c r="BA177" i="336"/>
  <c r="BA186" i="336"/>
  <c r="BG186" i="336"/>
  <c r="BG165" i="336"/>
  <c r="Z165" i="336"/>
  <c r="AZ165" i="336" s="1"/>
  <c r="BA165" i="336"/>
  <c r="Z68" i="336"/>
  <c r="AZ68" i="336" s="1"/>
  <c r="BA68" i="336" s="1"/>
  <c r="BG68" i="336"/>
  <c r="BG185" i="336"/>
  <c r="Z185" i="336"/>
  <c r="AZ185" i="336" s="1"/>
  <c r="BA185" i="336" s="1"/>
  <c r="AR152" i="336"/>
  <c r="BG193" i="336"/>
  <c r="Z193" i="336"/>
  <c r="AZ193" i="336" s="1"/>
  <c r="BA193" i="336"/>
  <c r="AZ149" i="336"/>
  <c r="BA149" i="336" s="1"/>
  <c r="AQ156" i="336"/>
  <c r="Y84" i="336"/>
  <c r="BG66" i="336"/>
  <c r="Z66" i="336"/>
  <c r="K65" i="336"/>
  <c r="K124" i="336" s="1"/>
  <c r="K201" i="336" s="1"/>
  <c r="Y14" i="336"/>
  <c r="BG147" i="336"/>
  <c r="BA147" i="336"/>
  <c r="Z147" i="336"/>
  <c r="AZ147" i="336" s="1"/>
  <c r="AM38" i="336"/>
  <c r="AM65" i="336" s="1"/>
  <c r="AL65" i="336"/>
  <c r="AM84" i="336"/>
  <c r="AR200" i="336"/>
  <c r="BG134" i="336"/>
  <c r="Z134" i="336"/>
  <c r="AZ134" i="336" s="1"/>
  <c r="BA134" i="336"/>
  <c r="BA155" i="336"/>
  <c r="Z155" i="336"/>
  <c r="AZ155" i="336" s="1"/>
  <c r="BG155" i="336"/>
  <c r="AL174" i="336"/>
  <c r="BA151" i="336"/>
  <c r="BG151" i="336"/>
  <c r="BG116" i="336"/>
  <c r="BA116" i="336"/>
  <c r="Z116" i="336"/>
  <c r="AZ116" i="336" s="1"/>
  <c r="AL142" i="336"/>
  <c r="AM142" i="336" s="1"/>
  <c r="Y142" i="336"/>
  <c r="BG90" i="336"/>
  <c r="Z90" i="336"/>
  <c r="AZ90" i="336" s="1"/>
  <c r="BA90" i="336" s="1"/>
  <c r="Z59" i="336"/>
  <c r="AZ59" i="336" s="1"/>
  <c r="BA59" i="336"/>
  <c r="BG59" i="336"/>
  <c r="BG41" i="336"/>
  <c r="Z41" i="336"/>
  <c r="AZ41" i="336" s="1"/>
  <c r="BA41" i="336"/>
  <c r="Z96" i="336"/>
  <c r="AZ96" i="336" s="1"/>
  <c r="BA96" i="336" s="1"/>
  <c r="BG96" i="336"/>
  <c r="AZ93" i="336"/>
  <c r="BA93" i="336" s="1"/>
  <c r="Z46" i="336"/>
  <c r="AZ46" i="336" s="1"/>
  <c r="BA46" i="336" s="1"/>
  <c r="BG46" i="336"/>
  <c r="AO174" i="336"/>
  <c r="BF146" i="336"/>
  <c r="BC146" i="336"/>
  <c r="BB146" i="336"/>
  <c r="BE146" i="336"/>
  <c r="BD146" i="336"/>
  <c r="AO200" i="336"/>
  <c r="Z80" i="336"/>
  <c r="AZ80" i="336" s="1"/>
  <c r="BA80" i="336"/>
  <c r="BG80" i="336"/>
  <c r="AZ94" i="336"/>
  <c r="BA94" i="336" s="1"/>
  <c r="BA181" i="336"/>
  <c r="BG181" i="336"/>
  <c r="Z181" i="336"/>
  <c r="AZ181" i="336" s="1"/>
  <c r="Z153" i="336"/>
  <c r="BG153" i="336"/>
  <c r="AO84" i="336"/>
  <c r="BG92" i="336"/>
  <c r="Z92" i="336"/>
  <c r="AZ92" i="336" s="1"/>
  <c r="BA92" i="336"/>
  <c r="AJ123" i="336"/>
  <c r="AK103" i="336"/>
  <c r="AK123" i="336" s="1"/>
  <c r="AZ76" i="336"/>
  <c r="BA76" i="336" s="1"/>
  <c r="BG71" i="336"/>
  <c r="BA71" i="336"/>
  <c r="Z71" i="336"/>
  <c r="AZ71" i="336" s="1"/>
  <c r="BG136" i="336"/>
  <c r="Y143" i="336"/>
  <c r="Z136" i="336"/>
  <c r="BG158" i="336"/>
  <c r="Z158" i="336"/>
  <c r="AP135" i="336"/>
  <c r="Z127" i="336"/>
  <c r="AZ127" i="336" s="1"/>
  <c r="BA127" i="336" s="1"/>
  <c r="BG127" i="336"/>
  <c r="BG122" i="336"/>
  <c r="BA122" i="336"/>
  <c r="Z122" i="336"/>
  <c r="AZ122" i="336" s="1"/>
  <c r="AZ53" i="336"/>
  <c r="BA53" i="336" s="1"/>
  <c r="Z47" i="336"/>
  <c r="AZ47" i="336" s="1"/>
  <c r="BA47" i="336" s="1"/>
  <c r="BG47" i="336"/>
  <c r="AR102" i="336"/>
  <c r="Z69" i="336"/>
  <c r="AZ69" i="336" s="1"/>
  <c r="BA69" i="336" s="1"/>
  <c r="BG69" i="336"/>
  <c r="AL123" i="336"/>
  <c r="AP166" i="336"/>
  <c r="X200" i="336"/>
  <c r="Y184" i="336"/>
  <c r="AP184" i="336"/>
  <c r="AP200" i="336" s="1"/>
  <c r="AL184" i="336"/>
  <c r="AR174" i="336"/>
  <c r="Z192" i="336"/>
  <c r="AZ192" i="336" s="1"/>
  <c r="BA192" i="336" s="1"/>
  <c r="BG192" i="336"/>
  <c r="AQ142" i="336"/>
  <c r="Z126" i="336"/>
  <c r="AZ126" i="336" s="1"/>
  <c r="BA126" i="336" s="1"/>
  <c r="BG126" i="336"/>
  <c r="BG195" i="336"/>
  <c r="Z195" i="336"/>
  <c r="AZ195" i="336" s="1"/>
  <c r="BA195" i="336" s="1"/>
  <c r="Z183" i="336"/>
  <c r="AZ175" i="336"/>
  <c r="BF97" i="336"/>
  <c r="BC97" i="336"/>
  <c r="BB97" i="336"/>
  <c r="BG99" i="336"/>
  <c r="Z99" i="336"/>
  <c r="AZ99" i="336" s="1"/>
  <c r="BA99" i="336"/>
  <c r="AR84" i="336"/>
  <c r="Z75" i="336"/>
  <c r="AZ75" i="336" s="1"/>
  <c r="BA75" i="336" s="1"/>
  <c r="BG75" i="336"/>
  <c r="AZ73" i="336"/>
  <c r="BA73" i="336" s="1"/>
  <c r="BG162" i="336"/>
  <c r="Z162" i="336"/>
  <c r="Y166" i="336"/>
  <c r="AZ56" i="336"/>
  <c r="BA56" i="336" s="1"/>
  <c r="BG101" i="336"/>
  <c r="Z101" i="336"/>
  <c r="AZ101" i="336" s="1"/>
  <c r="BA101" i="336" s="1"/>
  <c r="BG103" i="336"/>
  <c r="Y123" i="336"/>
  <c r="Z103" i="336"/>
  <c r="BG187" i="336"/>
  <c r="BA187" i="336"/>
  <c r="BG110" i="336"/>
  <c r="BA110" i="336"/>
  <c r="Z110" i="336"/>
  <c r="AZ110" i="336" s="1"/>
  <c r="AQ135" i="336"/>
  <c r="Y144" i="336"/>
  <c r="AL144" i="336"/>
  <c r="X152" i="336"/>
  <c r="AZ180" i="336"/>
  <c r="BA180" i="336" s="1"/>
  <c r="BA86" i="336"/>
  <c r="Z86" i="336"/>
  <c r="AZ86" i="336" s="1"/>
  <c r="BG86" i="336"/>
  <c r="BG191" i="336"/>
  <c r="BA191" i="336"/>
  <c r="Z191" i="336"/>
  <c r="AZ191" i="336" s="1"/>
  <c r="AR123" i="336"/>
  <c r="BG61" i="336"/>
  <c r="Z61" i="336"/>
  <c r="AZ61" i="336" s="1"/>
  <c r="BA61" i="336"/>
  <c r="AZ60" i="336"/>
  <c r="BA60" i="336" s="1"/>
  <c r="Z52" i="336"/>
  <c r="AZ52" i="336" s="1"/>
  <c r="BA52" i="336" s="1"/>
  <c r="BG52" i="336"/>
  <c r="AZ48" i="336"/>
  <c r="BA48" i="336" s="1"/>
  <c r="AZ89" i="336"/>
  <c r="BA89" i="336" s="1"/>
  <c r="Z138" i="336"/>
  <c r="AZ138" i="336" s="1"/>
  <c r="BA138" i="336" s="1"/>
  <c r="BG138" i="336"/>
  <c r="AL166" i="336"/>
  <c r="AM162" i="336"/>
  <c r="AM166" i="336" s="1"/>
  <c r="AZ62" i="336"/>
  <c r="BA62" i="336" s="1"/>
  <c r="BG179" i="336"/>
  <c r="Z179" i="336"/>
  <c r="AZ179" i="336" s="1"/>
  <c r="BA179" i="336" s="1"/>
  <c r="AN201" i="336"/>
  <c r="AZ130" i="336"/>
  <c r="BA130" i="336" s="1"/>
  <c r="Y183" i="336"/>
  <c r="Z81" i="336"/>
  <c r="AZ81" i="336" s="1"/>
  <c r="BA81" i="336"/>
  <c r="BG81" i="336"/>
  <c r="Z121" i="336"/>
  <c r="AZ121" i="336" s="1"/>
  <c r="BA121" i="336" s="1"/>
  <c r="BG121" i="336"/>
  <c r="AW201" i="336"/>
  <c r="AZ74" i="336"/>
  <c r="BA74" i="336" s="1"/>
  <c r="BG141" i="336"/>
  <c r="Z141" i="336"/>
  <c r="AZ141" i="336" s="1"/>
  <c r="BA141" i="336" s="1"/>
  <c r="BG50" i="336"/>
  <c r="Z50" i="336"/>
  <c r="AZ50" i="336" s="1"/>
  <c r="BA50" i="336"/>
  <c r="BG51" i="336"/>
  <c r="Z51" i="336"/>
  <c r="AZ51" i="336" s="1"/>
  <c r="BA51" i="336" s="1"/>
  <c r="BG43" i="336"/>
  <c r="Z43" i="336"/>
  <c r="AZ43" i="336" s="1"/>
  <c r="BA43" i="336" s="1"/>
  <c r="Z173" i="336"/>
  <c r="AZ173" i="336" s="1"/>
  <c r="BA173" i="336" s="1"/>
  <c r="BG173" i="336"/>
  <c r="BG176" i="336"/>
  <c r="BG183" i="336" s="1"/>
  <c r="Z176" i="336"/>
  <c r="AZ176" i="336" s="1"/>
  <c r="BA176" i="336" s="1"/>
  <c r="BG112" i="336"/>
  <c r="Z112" i="336"/>
  <c r="AZ112" i="336" s="1"/>
  <c r="BA112" i="336" s="1"/>
  <c r="Y125" i="336"/>
  <c r="X135" i="336"/>
  <c r="AL125" i="336"/>
  <c r="Z119" i="336"/>
  <c r="AZ119" i="336" s="1"/>
  <c r="BA119" i="336" s="1"/>
  <c r="BG119" i="336"/>
  <c r="AO183" i="336"/>
  <c r="AO161" i="336"/>
  <c r="AL88" i="336"/>
  <c r="AM88" i="336" s="1"/>
  <c r="AJ88" i="336"/>
  <c r="AK88" i="336" s="1"/>
  <c r="BG91" i="336"/>
  <c r="Z91" i="336"/>
  <c r="AZ91" i="336" s="1"/>
  <c r="BA91" i="336" s="1"/>
  <c r="BG38" i="336"/>
  <c r="Z38" i="336"/>
  <c r="AZ38" i="336" s="1"/>
  <c r="BA38" i="336"/>
  <c r="BG148" i="336"/>
  <c r="Z148" i="336"/>
  <c r="AZ148" i="336" s="1"/>
  <c r="BA148" i="336" s="1"/>
  <c r="Y189" i="336"/>
  <c r="AQ174" i="336"/>
  <c r="BG197" i="336"/>
  <c r="Z197" i="336"/>
  <c r="AZ197" i="336" s="1"/>
  <c r="BA197" i="336" s="1"/>
  <c r="AP161" i="336"/>
  <c r="BG67" i="336"/>
  <c r="Z67" i="336"/>
  <c r="AZ67" i="336" s="1"/>
  <c r="BA67" i="336" s="1"/>
  <c r="AZ139" i="336"/>
  <c r="BA139" i="336" s="1"/>
  <c r="BG169" i="336"/>
  <c r="Z169" i="336"/>
  <c r="AZ169" i="336" s="1"/>
  <c r="BA169" i="336" s="1"/>
  <c r="AD124" i="336"/>
  <c r="AD201" i="336" s="1"/>
  <c r="AZ45" i="336"/>
  <c r="BA45" i="336" s="1"/>
  <c r="AK66" i="336"/>
  <c r="AK84" i="336" s="1"/>
  <c r="AJ84" i="336"/>
  <c r="BG145" i="336"/>
  <c r="Z145" i="336"/>
  <c r="AZ145" i="336" s="1"/>
  <c r="BA145" i="336" s="1"/>
  <c r="BG104" i="336"/>
  <c r="Z104" i="336"/>
  <c r="AZ104" i="336" s="1"/>
  <c r="BA104" i="336" s="1"/>
  <c r="BG49" i="336"/>
  <c r="Z49" i="336"/>
  <c r="AZ49" i="336" s="1"/>
  <c r="BA49" i="336"/>
  <c r="BG100" i="336"/>
  <c r="Z100" i="336"/>
  <c r="AZ100" i="336" s="1"/>
  <c r="BA100" i="336"/>
  <c r="AG201" i="336"/>
  <c r="BF199" i="336"/>
  <c r="BD199" i="336"/>
  <c r="BE199" i="336" s="1"/>
  <c r="BC199" i="336"/>
  <c r="BB199" i="336"/>
  <c r="AR161" i="336"/>
  <c r="BG114" i="336"/>
  <c r="Z114" i="336"/>
  <c r="AZ114" i="336" s="1"/>
  <c r="BA114" i="336" s="1"/>
  <c r="Z167" i="336"/>
  <c r="BG167" i="336"/>
  <c r="Z64" i="336"/>
  <c r="AZ64" i="336" s="1"/>
  <c r="BA64" i="336" s="1"/>
  <c r="BG64" i="336"/>
  <c r="BG83" i="336"/>
  <c r="Z83" i="336"/>
  <c r="AZ83" i="336" s="1"/>
  <c r="BA83" i="336"/>
  <c r="AR65" i="336"/>
  <c r="AP65" i="336"/>
  <c r="AP124" i="336" s="1"/>
  <c r="AP201" i="336" s="1"/>
  <c r="AL84" i="336"/>
  <c r="BG163" i="336"/>
  <c r="BA163" i="336"/>
  <c r="Z163" i="336"/>
  <c r="AZ163" i="336" s="1"/>
  <c r="Z188" i="336"/>
  <c r="AZ188" i="336" s="1"/>
  <c r="BA188" i="336" s="1"/>
  <c r="BG188" i="336"/>
  <c r="BG178" i="336"/>
  <c r="Z178" i="336"/>
  <c r="AZ178" i="336" s="1"/>
  <c r="BA178" i="336" s="1"/>
  <c r="BA117" i="336"/>
  <c r="BG117" i="336"/>
  <c r="W124" i="336"/>
  <c r="W201" i="336" s="1"/>
  <c r="Y88" i="336"/>
  <c r="Z39" i="336"/>
  <c r="AZ39" i="336" s="1"/>
  <c r="BA39" i="336"/>
  <c r="BG39" i="336"/>
  <c r="BG44" i="336"/>
  <c r="Z44" i="336"/>
  <c r="AZ44" i="336" s="1"/>
  <c r="BA44" i="336"/>
  <c r="BG140" i="336"/>
  <c r="Z140" i="336"/>
  <c r="AZ140" i="336" s="1"/>
  <c r="BA140" i="336" s="1"/>
  <c r="BG42" i="336"/>
  <c r="BA42" i="336"/>
  <c r="Z42" i="336"/>
  <c r="AZ42" i="336" s="1"/>
  <c r="AM174" i="336"/>
  <c r="BG157" i="336"/>
  <c r="Y161" i="336"/>
  <c r="BA157" i="336"/>
  <c r="AJ113" i="336"/>
  <c r="AK113" i="336" s="1"/>
  <c r="AQ113" i="336"/>
  <c r="AQ123" i="336" s="1"/>
  <c r="AL113" i="336"/>
  <c r="AM113" i="336" s="1"/>
  <c r="BA106" i="336"/>
  <c r="Z106" i="336"/>
  <c r="AZ106" i="336" s="1"/>
  <c r="BG106" i="336"/>
  <c r="X143" i="336"/>
  <c r="AL136" i="336"/>
  <c r="AJ95" i="336"/>
  <c r="AK95" i="336" s="1"/>
  <c r="AL95" i="336"/>
  <c r="AM95" i="336" s="1"/>
  <c r="AQ95" i="336"/>
  <c r="AQ102" i="336" s="1"/>
  <c r="AX124" i="336"/>
  <c r="AX201" i="336" s="1"/>
  <c r="AJ85" i="336"/>
  <c r="Y85" i="336"/>
  <c r="X102" i="336"/>
  <c r="X124" i="336" s="1"/>
  <c r="X201" i="336" s="1"/>
  <c r="AL85" i="336"/>
  <c r="BD194" i="336"/>
  <c r="BE194" i="336" s="1"/>
  <c r="AO102" i="336"/>
  <c r="Z40" i="336"/>
  <c r="AZ40" i="336" s="1"/>
  <c r="BA40" i="336" s="1"/>
  <c r="BG40" i="336"/>
  <c r="BG120" i="336"/>
  <c r="Z120" i="336"/>
  <c r="AZ120" i="336" s="1"/>
  <c r="BA120" i="336" s="1"/>
  <c r="Z82" i="336"/>
  <c r="AZ82" i="336" s="1"/>
  <c r="BA82" i="336"/>
  <c r="BG82" i="336"/>
  <c r="BG55" i="336"/>
  <c r="Z55" i="336"/>
  <c r="AZ55" i="336" s="1"/>
  <c r="BA55" i="336" s="1"/>
  <c r="BA164" i="336"/>
  <c r="Z164" i="336"/>
  <c r="AZ164" i="336" s="1"/>
  <c r="BG164" i="336"/>
  <c r="Z105" i="336"/>
  <c r="BG105" i="336"/>
  <c r="BG131" i="336"/>
  <c r="Z131" i="336"/>
  <c r="AZ131" i="336" s="1"/>
  <c r="BA131" i="336" s="1"/>
  <c r="AL183" i="336"/>
  <c r="AM175" i="336"/>
  <c r="AM183" i="336" s="1"/>
  <c r="BB198" i="336"/>
  <c r="BC198" i="336"/>
  <c r="BF198" i="336"/>
  <c r="Q201" i="336"/>
  <c r="AZ196" i="336"/>
  <c r="BA196" i="336" s="1"/>
  <c r="Z118" i="336"/>
  <c r="AZ118" i="336" s="1"/>
  <c r="BA118" i="336" s="1"/>
  <c r="BG118" i="336"/>
  <c r="BG63" i="336"/>
  <c r="Z63" i="336"/>
  <c r="AZ63" i="336" s="1"/>
  <c r="BA63" i="336"/>
  <c r="BG109" i="336"/>
  <c r="Z109" i="336"/>
  <c r="AZ109" i="336" s="1"/>
  <c r="BA109" i="336" s="1"/>
  <c r="Y172" i="336"/>
  <c r="BG72" i="336"/>
  <c r="Z72" i="336"/>
  <c r="AZ72" i="336" s="1"/>
  <c r="BA72" i="336"/>
  <c r="AZ108" i="336"/>
  <c r="BA108" i="336" s="1"/>
  <c r="BG159" i="336"/>
  <c r="Z159" i="336"/>
  <c r="AZ159" i="336" s="1"/>
  <c r="BA159" i="336" s="1"/>
  <c r="BG190" i="336"/>
  <c r="Z190" i="336"/>
  <c r="AZ190" i="336" s="1"/>
  <c r="BA190" i="336" s="1"/>
  <c r="AO135" i="336"/>
  <c r="AL154" i="336"/>
  <c r="Y154" i="336"/>
  <c r="AM161" i="336"/>
  <c r="AL105" i="336"/>
  <c r="AM105" i="336" s="1"/>
  <c r="AM123" i="336" s="1"/>
  <c r="AJ105" i="336"/>
  <c r="AK105" i="336" s="1"/>
  <c r="AQ161" i="336"/>
  <c r="Y95" i="336"/>
  <c r="AZ128" i="336"/>
  <c r="BA128" i="336" s="1"/>
  <c r="AI201" i="336"/>
  <c r="BH194" i="336"/>
  <c r="BJ194" i="336"/>
  <c r="AL161" i="336"/>
  <c r="BG98" i="336"/>
  <c r="Z98" i="336"/>
  <c r="AZ98" i="336" s="1"/>
  <c r="BA98" i="336" s="1"/>
  <c r="BG111" i="336"/>
  <c r="Z111" i="336"/>
  <c r="AZ111" i="336" s="1"/>
  <c r="BA111" i="336" s="1"/>
  <c r="AZ57" i="336"/>
  <c r="BA57" i="336" s="1"/>
  <c r="AZ77" i="336"/>
  <c r="BA77" i="336" s="1"/>
  <c r="AI188" i="340" l="1"/>
  <c r="AF189" i="340"/>
  <c r="AF193" i="340" s="1"/>
  <c r="BD164" i="342"/>
  <c r="BE156" i="342"/>
  <c r="BE164" i="342" s="1"/>
  <c r="BI143" i="342"/>
  <c r="BI147" i="342" s="1"/>
  <c r="BK143" i="342"/>
  <c r="BK147" i="342" s="1"/>
  <c r="BJ143" i="342"/>
  <c r="BJ147" i="342" s="1"/>
  <c r="BH147" i="342"/>
  <c r="BL143" i="342"/>
  <c r="BL147" i="342" s="1"/>
  <c r="BE46" i="343"/>
  <c r="BE65" i="343" s="1"/>
  <c r="BE105" i="343" s="1"/>
  <c r="BE161" i="343" s="1"/>
  <c r="BM165" i="342"/>
  <c r="BM181" i="342" s="1"/>
  <c r="BK46" i="342"/>
  <c r="BK65" i="342" s="1"/>
  <c r="BK105" i="342" s="1"/>
  <c r="BK182" i="342" s="1"/>
  <c r="BL46" i="342"/>
  <c r="BL65" i="342" s="1"/>
  <c r="BI46" i="342"/>
  <c r="BI65" i="342" s="1"/>
  <c r="BH65" i="342"/>
  <c r="BH45" i="342"/>
  <c r="BK14" i="342"/>
  <c r="BK45" i="342" s="1"/>
  <c r="BL14" i="342"/>
  <c r="BL45" i="342" s="1"/>
  <c r="BL105" i="342" s="1"/>
  <c r="BL182" i="342" s="1"/>
  <c r="BJ14" i="342"/>
  <c r="BJ45" i="342" s="1"/>
  <c r="BI14" i="342"/>
  <c r="BI45" i="342" s="1"/>
  <c r="BI105" i="342" s="1"/>
  <c r="BI182" i="342" s="1"/>
  <c r="BL117" i="342"/>
  <c r="BL124" i="342" s="1"/>
  <c r="BK117" i="342"/>
  <c r="BK124" i="342" s="1"/>
  <c r="BJ117" i="342"/>
  <c r="BJ124" i="342" s="1"/>
  <c r="BI117" i="342"/>
  <c r="BI124" i="342" s="1"/>
  <c r="BH124" i="342"/>
  <c r="BM117" i="343"/>
  <c r="BM124" i="343" s="1"/>
  <c r="BH116" i="343"/>
  <c r="BK106" i="343"/>
  <c r="BK116" i="343" s="1"/>
  <c r="BJ106" i="343"/>
  <c r="BJ116" i="343" s="1"/>
  <c r="BI106" i="343"/>
  <c r="BI116" i="343" s="1"/>
  <c r="BL106" i="343"/>
  <c r="BL116" i="343" s="1"/>
  <c r="BM134" i="342"/>
  <c r="BM137" i="342" s="1"/>
  <c r="BE105" i="342"/>
  <c r="BE182" i="342" s="1"/>
  <c r="BJ148" i="342"/>
  <c r="AC126" i="341"/>
  <c r="AC172" i="341" s="1"/>
  <c r="AC173" i="341" s="1"/>
  <c r="AF125" i="341"/>
  <c r="AF126" i="341" s="1"/>
  <c r="AF172" i="341" s="1"/>
  <c r="BJ143" i="343"/>
  <c r="BH142" i="342"/>
  <c r="BK138" i="342"/>
  <c r="BK142" i="342" s="1"/>
  <c r="BJ138" i="342"/>
  <c r="BJ142" i="342" s="1"/>
  <c r="BL138" i="342"/>
  <c r="BL142" i="342" s="1"/>
  <c r="BI138" i="342"/>
  <c r="BI142" i="342" s="1"/>
  <c r="BE117" i="342"/>
  <c r="BE124" i="342" s="1"/>
  <c r="BI14" i="343"/>
  <c r="BI45" i="343" s="1"/>
  <c r="BH45" i="343"/>
  <c r="BL14" i="343"/>
  <c r="BL45" i="343" s="1"/>
  <c r="BK14" i="343"/>
  <c r="BK45" i="343" s="1"/>
  <c r="BK105" i="343" s="1"/>
  <c r="BK161" i="343" s="1"/>
  <c r="BH164" i="342"/>
  <c r="BL156" i="342"/>
  <c r="BL164" i="342" s="1"/>
  <c r="BK156" i="342"/>
  <c r="BK164" i="342" s="1"/>
  <c r="BI156" i="342"/>
  <c r="BI164" i="342" s="1"/>
  <c r="BJ156" i="342"/>
  <c r="BJ164" i="342" s="1"/>
  <c r="BD105" i="342"/>
  <c r="BI125" i="343"/>
  <c r="BI133" i="343" s="1"/>
  <c r="BK125" i="343"/>
  <c r="BK133" i="343" s="1"/>
  <c r="BL125" i="343"/>
  <c r="BL133" i="343" s="1"/>
  <c r="BJ125" i="343"/>
  <c r="BJ133" i="343" s="1"/>
  <c r="BH133" i="343"/>
  <c r="BK138" i="343"/>
  <c r="BK142" i="343" s="1"/>
  <c r="BH142" i="343"/>
  <c r="BL138" i="343"/>
  <c r="BL142" i="343" s="1"/>
  <c r="BI138" i="343"/>
  <c r="BI142" i="343" s="1"/>
  <c r="BJ83" i="343"/>
  <c r="BM66" i="343"/>
  <c r="BM83" i="343" s="1"/>
  <c r="BH105" i="342"/>
  <c r="BJ134" i="343"/>
  <c r="BK46" i="343"/>
  <c r="BK65" i="343" s="1"/>
  <c r="BJ46" i="343"/>
  <c r="BJ65" i="343" s="1"/>
  <c r="BH65" i="343"/>
  <c r="BH105" i="343" s="1"/>
  <c r="BH161" i="343" s="1"/>
  <c r="BI46" i="343"/>
  <c r="BI65" i="343" s="1"/>
  <c r="BI105" i="343" s="1"/>
  <c r="BI161" i="343" s="1"/>
  <c r="BL46" i="343"/>
  <c r="BL65" i="343" s="1"/>
  <c r="BL105" i="343" s="1"/>
  <c r="BL161" i="343" s="1"/>
  <c r="BH160" i="343"/>
  <c r="BK148" i="343"/>
  <c r="BK160" i="343" s="1"/>
  <c r="BJ148" i="343"/>
  <c r="BJ160" i="343" s="1"/>
  <c r="BI148" i="343"/>
  <c r="BI160" i="343" s="1"/>
  <c r="BL148" i="343"/>
  <c r="BL160" i="343" s="1"/>
  <c r="BE125" i="342"/>
  <c r="BE133" i="342" s="1"/>
  <c r="BJ84" i="343"/>
  <c r="BJ84" i="342"/>
  <c r="BK125" i="342"/>
  <c r="BK133" i="342" s="1"/>
  <c r="BL125" i="342"/>
  <c r="BL133" i="342" s="1"/>
  <c r="BJ125" i="342"/>
  <c r="BJ133" i="342" s="1"/>
  <c r="BI125" i="342"/>
  <c r="BI133" i="342" s="1"/>
  <c r="BH133" i="342"/>
  <c r="BC138" i="336"/>
  <c r="BB138" i="336"/>
  <c r="BF138" i="336"/>
  <c r="BF114" i="336"/>
  <c r="BC114" i="336"/>
  <c r="BD114" i="336" s="1"/>
  <c r="BB114" i="336"/>
  <c r="BE114" i="336" s="1"/>
  <c r="BB145" i="336"/>
  <c r="BD145" i="336"/>
  <c r="BE145" i="336" s="1"/>
  <c r="BC145" i="336"/>
  <c r="BF145" i="336"/>
  <c r="BB148" i="336"/>
  <c r="BF148" i="336"/>
  <c r="BC148" i="336"/>
  <c r="BC112" i="336"/>
  <c r="BF112" i="336"/>
  <c r="BB112" i="336"/>
  <c r="BC47" i="336"/>
  <c r="BB47" i="336"/>
  <c r="BD47" i="336"/>
  <c r="BE47" i="336" s="1"/>
  <c r="BF47" i="336"/>
  <c r="BB178" i="336"/>
  <c r="BF178" i="336"/>
  <c r="BC178" i="336"/>
  <c r="BF55" i="336"/>
  <c r="BB55" i="336"/>
  <c r="BE55" i="336" s="1"/>
  <c r="BC55" i="336"/>
  <c r="BD55" i="336" s="1"/>
  <c r="BF126" i="336"/>
  <c r="BC126" i="336"/>
  <c r="BB126" i="336"/>
  <c r="BD126" i="336" s="1"/>
  <c r="BE126" i="336" s="1"/>
  <c r="BF75" i="336"/>
  <c r="BB75" i="336"/>
  <c r="BC75" i="336"/>
  <c r="BD75" i="336" s="1"/>
  <c r="BE75" i="336" s="1"/>
  <c r="BF192" i="336"/>
  <c r="BB192" i="336"/>
  <c r="BD192" i="336" s="1"/>
  <c r="BC192" i="336"/>
  <c r="BB185" i="336"/>
  <c r="BF185" i="336"/>
  <c r="BC185" i="336"/>
  <c r="BD185" i="336" s="1"/>
  <c r="BB159" i="336"/>
  <c r="BF159" i="336"/>
  <c r="BC159" i="336"/>
  <c r="BF91" i="336"/>
  <c r="BC91" i="336"/>
  <c r="BB91" i="336"/>
  <c r="BC173" i="336"/>
  <c r="BB173" i="336"/>
  <c r="BF173" i="336"/>
  <c r="BD173" i="336"/>
  <c r="BE173" i="336" s="1"/>
  <c r="BD111" i="336"/>
  <c r="BE111" i="336" s="1"/>
  <c r="BC111" i="336"/>
  <c r="BF111" i="336"/>
  <c r="BB111" i="336"/>
  <c r="BF120" i="336"/>
  <c r="BB120" i="336"/>
  <c r="BC120" i="336"/>
  <c r="BC68" i="336"/>
  <c r="BD68" i="336" s="1"/>
  <c r="BE68" i="336" s="1"/>
  <c r="BB68" i="336"/>
  <c r="BF68" i="336"/>
  <c r="BF51" i="336"/>
  <c r="BC51" i="336"/>
  <c r="BB51" i="336"/>
  <c r="BC46" i="336"/>
  <c r="BB46" i="336"/>
  <c r="BF46" i="336"/>
  <c r="BF40" i="336"/>
  <c r="BC40" i="336"/>
  <c r="BB40" i="336"/>
  <c r="BF67" i="336"/>
  <c r="BD67" i="336"/>
  <c r="BE67" i="336" s="1"/>
  <c r="BC67" i="336"/>
  <c r="BB67" i="336"/>
  <c r="BF179" i="336"/>
  <c r="BB179" i="336"/>
  <c r="BE179" i="336" s="1"/>
  <c r="BC179" i="336"/>
  <c r="BD179" i="336" s="1"/>
  <c r="BF131" i="336"/>
  <c r="BC131" i="336"/>
  <c r="BB131" i="336"/>
  <c r="AQ124" i="336"/>
  <c r="AQ201" i="336" s="1"/>
  <c r="BC90" i="336"/>
  <c r="BB90" i="336"/>
  <c r="BF90" i="336"/>
  <c r="BF140" i="336"/>
  <c r="BB140" i="336"/>
  <c r="BD140" i="336" s="1"/>
  <c r="BC140" i="336"/>
  <c r="BC52" i="336"/>
  <c r="BD52" i="336"/>
  <c r="BF52" i="336"/>
  <c r="BB52" i="336"/>
  <c r="BE52" i="336" s="1"/>
  <c r="BB127" i="336"/>
  <c r="BC127" i="336"/>
  <c r="BF127" i="336"/>
  <c r="BC96" i="336"/>
  <c r="BB96" i="336"/>
  <c r="BF96" i="336"/>
  <c r="BE96" i="336"/>
  <c r="BD96" i="336"/>
  <c r="BC118" i="336"/>
  <c r="BD118" i="336" s="1"/>
  <c r="BF118" i="336"/>
  <c r="BB118" i="336"/>
  <c r="BF176" i="336"/>
  <c r="BC176" i="336"/>
  <c r="BB176" i="336"/>
  <c r="BD176" i="336" s="1"/>
  <c r="BC190" i="336"/>
  <c r="BF190" i="336"/>
  <c r="BB190" i="336"/>
  <c r="BD190" i="336" s="1"/>
  <c r="BC98" i="336"/>
  <c r="BB98" i="336"/>
  <c r="BE98" i="336" s="1"/>
  <c r="BD98" i="336"/>
  <c r="BF98" i="336"/>
  <c r="BB169" i="336"/>
  <c r="BF169" i="336"/>
  <c r="BC169" i="336"/>
  <c r="BF109" i="336"/>
  <c r="BC109" i="336"/>
  <c r="BB109" i="336"/>
  <c r="BE109" i="336" s="1"/>
  <c r="BD109" i="336"/>
  <c r="BB197" i="336"/>
  <c r="BF197" i="336"/>
  <c r="BC197" i="336"/>
  <c r="BD197" i="336" s="1"/>
  <c r="BF119" i="336"/>
  <c r="BD119" i="336"/>
  <c r="BE119" i="336" s="1"/>
  <c r="BB119" i="336"/>
  <c r="BC119" i="336"/>
  <c r="BC101" i="336"/>
  <c r="BB101" i="336"/>
  <c r="BF101" i="336"/>
  <c r="BD101" i="336"/>
  <c r="BE101" i="336" s="1"/>
  <c r="BB64" i="336"/>
  <c r="BC64" i="336"/>
  <c r="BD64" i="336" s="1"/>
  <c r="BE64" i="336" s="1"/>
  <c r="BF64" i="336"/>
  <c r="BF141" i="336"/>
  <c r="BC141" i="336"/>
  <c r="BD141" i="336" s="1"/>
  <c r="BB141" i="336"/>
  <c r="BF69" i="336"/>
  <c r="BC69" i="336"/>
  <c r="BB69" i="336"/>
  <c r="BD69" i="336" s="1"/>
  <c r="BC188" i="336"/>
  <c r="BB188" i="336"/>
  <c r="BF188" i="336"/>
  <c r="BF121" i="336"/>
  <c r="BC121" i="336"/>
  <c r="BB121" i="336"/>
  <c r="BF43" i="336"/>
  <c r="BC43" i="336"/>
  <c r="BB43" i="336"/>
  <c r="AM124" i="336"/>
  <c r="BF104" i="336"/>
  <c r="BC104" i="336"/>
  <c r="BD104" i="336"/>
  <c r="BE104" i="336" s="1"/>
  <c r="BB104" i="336"/>
  <c r="BB195" i="336"/>
  <c r="BE195" i="336" s="1"/>
  <c r="BD195" i="336"/>
  <c r="BC195" i="336"/>
  <c r="BF195" i="336"/>
  <c r="BF93" i="336"/>
  <c r="BC93" i="336"/>
  <c r="BB93" i="336"/>
  <c r="BE93" i="336" s="1"/>
  <c r="BD93" i="336"/>
  <c r="BF116" i="336"/>
  <c r="BC116" i="336"/>
  <c r="BB116" i="336"/>
  <c r="BD116" i="336"/>
  <c r="BE116" i="336" s="1"/>
  <c r="BJ87" i="336"/>
  <c r="BH87" i="336"/>
  <c r="BD170" i="336"/>
  <c r="BE170" i="336" s="1"/>
  <c r="BC89" i="336"/>
  <c r="BF89" i="336"/>
  <c r="BB89" i="336"/>
  <c r="BC180" i="336"/>
  <c r="BB180" i="336"/>
  <c r="BF180" i="336"/>
  <c r="BD97" i="336"/>
  <c r="BE97" i="336" s="1"/>
  <c r="BC94" i="336"/>
  <c r="BD94" i="336" s="1"/>
  <c r="BF94" i="336"/>
  <c r="BB94" i="336"/>
  <c r="BE70" i="336"/>
  <c r="BD133" i="336"/>
  <c r="BE133" i="336" s="1"/>
  <c r="BJ170" i="336"/>
  <c r="BH170" i="336"/>
  <c r="BC39" i="336"/>
  <c r="BB39" i="336"/>
  <c r="BF39" i="336"/>
  <c r="BC86" i="336"/>
  <c r="BF86" i="336"/>
  <c r="BB86" i="336"/>
  <c r="BD86" i="336" s="1"/>
  <c r="BE86" i="336" s="1"/>
  <c r="BF71" i="336"/>
  <c r="BC71" i="336"/>
  <c r="BB71" i="336"/>
  <c r="BD71" i="336" s="1"/>
  <c r="BE71" i="336" s="1"/>
  <c r="BC181" i="336"/>
  <c r="BB181" i="336"/>
  <c r="BF181" i="336"/>
  <c r="BD181" i="336"/>
  <c r="BE181" i="336"/>
  <c r="BF147" i="336"/>
  <c r="BB147" i="336"/>
  <c r="BC147" i="336"/>
  <c r="BJ150" i="336"/>
  <c r="BH150" i="336"/>
  <c r="BB196" i="336"/>
  <c r="BC196" i="336"/>
  <c r="BF196" i="336"/>
  <c r="AL102" i="336"/>
  <c r="AM85" i="336"/>
  <c r="AM102" i="336" s="1"/>
  <c r="BC157" i="336"/>
  <c r="BF157" i="336"/>
  <c r="BB157" i="336"/>
  <c r="BG88" i="336"/>
  <c r="Z88" i="336"/>
  <c r="AZ88" i="336" s="1"/>
  <c r="BA88" i="336" s="1"/>
  <c r="BD48" i="336"/>
  <c r="BC48" i="336"/>
  <c r="BF48" i="336"/>
  <c r="BB48" i="336"/>
  <c r="BE48" i="336" s="1"/>
  <c r="BF56" i="336"/>
  <c r="BC56" i="336"/>
  <c r="BB56" i="336"/>
  <c r="AM184" i="336"/>
  <c r="AM200" i="336" s="1"/>
  <c r="AL200" i="336"/>
  <c r="BC122" i="336"/>
  <c r="BB122" i="336"/>
  <c r="BD122" i="336" s="1"/>
  <c r="BF122" i="336"/>
  <c r="BC76" i="336"/>
  <c r="BB76" i="336"/>
  <c r="BD76" i="336" s="1"/>
  <c r="BE76" i="336" s="1"/>
  <c r="BF76" i="336"/>
  <c r="Y65" i="336"/>
  <c r="Z14" i="336"/>
  <c r="Z65" i="336" s="1"/>
  <c r="BD132" i="336"/>
  <c r="BE132" i="336" s="1"/>
  <c r="BJ70" i="336"/>
  <c r="BH70" i="336"/>
  <c r="BF128" i="336"/>
  <c r="BB128" i="336"/>
  <c r="BC128" i="336"/>
  <c r="BF72" i="336"/>
  <c r="BD72" i="336"/>
  <c r="BC72" i="336"/>
  <c r="BB72" i="336"/>
  <c r="BE72" i="336" s="1"/>
  <c r="BD198" i="336"/>
  <c r="BE198" i="336" s="1"/>
  <c r="AJ102" i="336"/>
  <c r="AK85" i="336"/>
  <c r="AK102" i="336" s="1"/>
  <c r="BF117" i="336"/>
  <c r="BB117" i="336"/>
  <c r="BD117" i="336" s="1"/>
  <c r="BC117" i="336"/>
  <c r="BJ199" i="336"/>
  <c r="BH199" i="336"/>
  <c r="BF45" i="336"/>
  <c r="BC45" i="336"/>
  <c r="BB45" i="336"/>
  <c r="BD45" i="336" s="1"/>
  <c r="BE45" i="336" s="1"/>
  <c r="AL135" i="336"/>
  <c r="AM125" i="336"/>
  <c r="AM135" i="336" s="1"/>
  <c r="Z166" i="336"/>
  <c r="AZ162" i="336"/>
  <c r="BF92" i="336"/>
  <c r="BC92" i="336"/>
  <c r="BB92" i="336"/>
  <c r="Z84" i="336"/>
  <c r="AZ66" i="336"/>
  <c r="BD107" i="336"/>
  <c r="BE107" i="336" s="1"/>
  <c r="BE182" i="336"/>
  <c r="AZ113" i="336"/>
  <c r="BA113" i="336" s="1"/>
  <c r="BJ78" i="336"/>
  <c r="BH78" i="336"/>
  <c r="Z95" i="336"/>
  <c r="AZ95" i="336" s="1"/>
  <c r="BG95" i="336"/>
  <c r="BA95" i="336"/>
  <c r="BF130" i="336"/>
  <c r="BC130" i="336"/>
  <c r="BB130" i="336"/>
  <c r="BD130" i="336" s="1"/>
  <c r="BF60" i="336"/>
  <c r="BB60" i="336"/>
  <c r="BD60" i="336" s="1"/>
  <c r="BE60" i="336" s="1"/>
  <c r="BC60" i="336"/>
  <c r="BG166" i="336"/>
  <c r="BG84" i="336"/>
  <c r="BH182" i="336"/>
  <c r="BJ182" i="336"/>
  <c r="BE171" i="336"/>
  <c r="BE115" i="336"/>
  <c r="BB81" i="336"/>
  <c r="BF81" i="336"/>
  <c r="BC81" i="336"/>
  <c r="AL152" i="336"/>
  <c r="AM144" i="336"/>
  <c r="AM152" i="336" s="1"/>
  <c r="BH198" i="336"/>
  <c r="BJ198" i="336"/>
  <c r="BG125" i="336"/>
  <c r="BG135" i="336" s="1"/>
  <c r="Z125" i="336"/>
  <c r="Y135" i="336"/>
  <c r="BF50" i="336"/>
  <c r="BC50" i="336"/>
  <c r="BB50" i="336"/>
  <c r="BC61" i="336"/>
  <c r="BB61" i="336"/>
  <c r="BF61" i="336"/>
  <c r="BD61" i="336"/>
  <c r="BE61" i="336"/>
  <c r="AL124" i="336"/>
  <c r="BF155" i="336"/>
  <c r="BB155" i="336"/>
  <c r="BC155" i="336"/>
  <c r="BG172" i="336"/>
  <c r="Z172" i="336"/>
  <c r="AZ172" i="336" s="1"/>
  <c r="BA172" i="336" s="1"/>
  <c r="BB82" i="336"/>
  <c r="BD82" i="336" s="1"/>
  <c r="BF82" i="336"/>
  <c r="BC82" i="336"/>
  <c r="AZ65" i="336"/>
  <c r="Z161" i="336"/>
  <c r="AZ158" i="336"/>
  <c r="BC59" i="336"/>
  <c r="BB59" i="336"/>
  <c r="BD59" i="336" s="1"/>
  <c r="BF59" i="336"/>
  <c r="BC134" i="336"/>
  <c r="BB134" i="336"/>
  <c r="BD134" i="336" s="1"/>
  <c r="BE134" i="336" s="1"/>
  <c r="BF134" i="336"/>
  <c r="BB186" i="336"/>
  <c r="BF186" i="336"/>
  <c r="BC186" i="336"/>
  <c r="BD186" i="336" s="1"/>
  <c r="BH171" i="336"/>
  <c r="BJ171" i="336"/>
  <c r="BF77" i="336"/>
  <c r="BB77" i="336"/>
  <c r="BC77" i="336"/>
  <c r="BG65" i="336"/>
  <c r="BC187" i="336"/>
  <c r="BB187" i="336"/>
  <c r="BD187" i="336" s="1"/>
  <c r="BF187" i="336"/>
  <c r="BB149" i="336"/>
  <c r="BD149" i="336" s="1"/>
  <c r="BE149" i="336" s="1"/>
  <c r="BF149" i="336"/>
  <c r="BC149" i="336"/>
  <c r="BF177" i="336"/>
  <c r="BB177" i="336"/>
  <c r="BD177" i="336" s="1"/>
  <c r="BC177" i="336"/>
  <c r="BE177" i="336" s="1"/>
  <c r="BJ58" i="336"/>
  <c r="BH58" i="336"/>
  <c r="BH79" i="336"/>
  <c r="BJ79" i="336"/>
  <c r="BH115" i="336"/>
  <c r="BJ115" i="336"/>
  <c r="BH160" i="336"/>
  <c r="BJ160" i="336"/>
  <c r="AJ124" i="336"/>
  <c r="AJ201" i="336" s="1"/>
  <c r="BF57" i="336"/>
  <c r="BC57" i="336"/>
  <c r="BB57" i="336"/>
  <c r="AM136" i="336"/>
  <c r="AM143" i="336" s="1"/>
  <c r="AL143" i="336"/>
  <c r="BG174" i="336"/>
  <c r="BF49" i="336"/>
  <c r="BC49" i="336"/>
  <c r="BB49" i="336"/>
  <c r="BC139" i="336"/>
  <c r="BD139" i="336" s="1"/>
  <c r="BF139" i="336"/>
  <c r="BB139" i="336"/>
  <c r="AR124" i="336"/>
  <c r="AR201" i="336" s="1"/>
  <c r="BJ146" i="336"/>
  <c r="BH146" i="336"/>
  <c r="BB193" i="336"/>
  <c r="BF193" i="336"/>
  <c r="BC193" i="336"/>
  <c r="BD193" i="336" s="1"/>
  <c r="BD137" i="336"/>
  <c r="BE137" i="336" s="1"/>
  <c r="BF164" i="336"/>
  <c r="BC164" i="336"/>
  <c r="BB164" i="336"/>
  <c r="BD164" i="336" s="1"/>
  <c r="BJ133" i="336"/>
  <c r="BH133" i="336"/>
  <c r="BG161" i="336"/>
  <c r="AZ183" i="336"/>
  <c r="BA175" i="336"/>
  <c r="BF38" i="336"/>
  <c r="BC38" i="336"/>
  <c r="BB38" i="336"/>
  <c r="BD38" i="336" s="1"/>
  <c r="BA65" i="336"/>
  <c r="BG154" i="336"/>
  <c r="BG156" i="336" s="1"/>
  <c r="Z154" i="336"/>
  <c r="AZ154" i="336" s="1"/>
  <c r="BA154" i="336" s="1"/>
  <c r="Z174" i="336"/>
  <c r="AZ167" i="336"/>
  <c r="BF62" i="336"/>
  <c r="BC62" i="336"/>
  <c r="BD62" i="336" s="1"/>
  <c r="BE62" i="336" s="1"/>
  <c r="BB62" i="336"/>
  <c r="Z123" i="336"/>
  <c r="AZ103" i="336"/>
  <c r="AZ136" i="336"/>
  <c r="AZ153" i="336"/>
  <c r="BJ137" i="336"/>
  <c r="BH137" i="336"/>
  <c r="BJ168" i="336"/>
  <c r="BH168" i="336"/>
  <c r="BF41" i="336"/>
  <c r="BC41" i="336"/>
  <c r="BB41" i="336"/>
  <c r="BJ107" i="336"/>
  <c r="BH107" i="336"/>
  <c r="AM154" i="336"/>
  <c r="AM156" i="336" s="1"/>
  <c r="AL156" i="336"/>
  <c r="BF63" i="336"/>
  <c r="BC63" i="336"/>
  <c r="BB63" i="336"/>
  <c r="BD63" i="336" s="1"/>
  <c r="BB44" i="336"/>
  <c r="BC44" i="336"/>
  <c r="BF44" i="336"/>
  <c r="Y174" i="336"/>
  <c r="BF191" i="336"/>
  <c r="BC191" i="336"/>
  <c r="BB191" i="336"/>
  <c r="BD191" i="336" s="1"/>
  <c r="BF99" i="336"/>
  <c r="BC99" i="336"/>
  <c r="BB99" i="336"/>
  <c r="BD58" i="336"/>
  <c r="BE58" i="336" s="1"/>
  <c r="BJ54" i="336"/>
  <c r="BH54" i="336"/>
  <c r="BI194" i="336"/>
  <c r="BM194" i="336" s="1"/>
  <c r="BK194" i="336"/>
  <c r="BL194" i="336"/>
  <c r="BF83" i="336"/>
  <c r="BC83" i="336"/>
  <c r="BB83" i="336"/>
  <c r="BF108" i="336"/>
  <c r="BC108" i="336"/>
  <c r="BB108" i="336"/>
  <c r="BD108" i="336" s="1"/>
  <c r="BE108" i="336" s="1"/>
  <c r="Y102" i="336"/>
  <c r="Y124" i="336" s="1"/>
  <c r="Y201" i="336" s="1"/>
  <c r="Z85" i="336"/>
  <c r="BG85" i="336"/>
  <c r="Z144" i="336"/>
  <c r="BG144" i="336"/>
  <c r="BG152" i="336" s="1"/>
  <c r="Y152" i="336"/>
  <c r="BF165" i="336"/>
  <c r="BC165" i="336"/>
  <c r="BB165" i="336"/>
  <c r="BD165" i="336" s="1"/>
  <c r="BF110" i="336"/>
  <c r="BB110" i="336"/>
  <c r="BD110" i="336" s="1"/>
  <c r="BC110" i="336"/>
  <c r="BC74" i="336"/>
  <c r="BB74" i="336"/>
  <c r="BF74" i="336"/>
  <c r="Y156" i="336"/>
  <c r="Z142" i="336"/>
  <c r="AZ142" i="336" s="1"/>
  <c r="BA142" i="336"/>
  <c r="BG142" i="336"/>
  <c r="BD129" i="336"/>
  <c r="BE129" i="336" s="1"/>
  <c r="BD54" i="336"/>
  <c r="BE54" i="336" s="1"/>
  <c r="BC106" i="336"/>
  <c r="BB106" i="336"/>
  <c r="BD106" i="336" s="1"/>
  <c r="BE106" i="336" s="1"/>
  <c r="BF106" i="336"/>
  <c r="BF163" i="336"/>
  <c r="BB163" i="336"/>
  <c r="BD163" i="336" s="1"/>
  <c r="BE163" i="336" s="1"/>
  <c r="BC163" i="336"/>
  <c r="BG123" i="336"/>
  <c r="BG143" i="336"/>
  <c r="BD150" i="336"/>
  <c r="BE150" i="336" s="1"/>
  <c r="Z189" i="336"/>
  <c r="AZ189" i="336" s="1"/>
  <c r="BA189" i="336"/>
  <c r="BG189" i="336"/>
  <c r="BJ97" i="336"/>
  <c r="BH97" i="336"/>
  <c r="AK124" i="336"/>
  <c r="AK201" i="336" s="1"/>
  <c r="BC80" i="336"/>
  <c r="BB80" i="336"/>
  <c r="BF80" i="336"/>
  <c r="BF151" i="336"/>
  <c r="BC151" i="336"/>
  <c r="BB151" i="336"/>
  <c r="BE151" i="336" s="1"/>
  <c r="BD151" i="336"/>
  <c r="Y200" i="336"/>
  <c r="BG184" i="336"/>
  <c r="BG200" i="336" s="1"/>
  <c r="Z184" i="336"/>
  <c r="BF42" i="336"/>
  <c r="BC42" i="336"/>
  <c r="BB42" i="336"/>
  <c r="BD42" i="336" s="1"/>
  <c r="BE42" i="336" s="1"/>
  <c r="BF100" i="336"/>
  <c r="BB100" i="336"/>
  <c r="BD100" i="336" s="1"/>
  <c r="BE100" i="336" s="1"/>
  <c r="BC100" i="336"/>
  <c r="BF73" i="336"/>
  <c r="BC73" i="336"/>
  <c r="BD73" i="336" s="1"/>
  <c r="BB73" i="336"/>
  <c r="AZ105" i="336"/>
  <c r="BA105" i="336" s="1"/>
  <c r="BB53" i="336"/>
  <c r="BF53" i="336"/>
  <c r="BC53" i="336"/>
  <c r="BH132" i="336"/>
  <c r="BJ132" i="336"/>
  <c r="BJ129" i="336"/>
  <c r="BH129" i="336"/>
  <c r="AI172" i="341" l="1"/>
  <c r="AF173" i="341"/>
  <c r="AF177" i="341" s="1"/>
  <c r="BM125" i="343"/>
  <c r="BM133" i="343" s="1"/>
  <c r="BD182" i="342"/>
  <c r="BM46" i="343"/>
  <c r="BM65" i="343" s="1"/>
  <c r="BJ137" i="343"/>
  <c r="BM134" i="343"/>
  <c r="BM137" i="343" s="1"/>
  <c r="BJ14" i="343"/>
  <c r="BM117" i="342"/>
  <c r="BM124" i="342" s="1"/>
  <c r="BM143" i="342"/>
  <c r="BM147" i="342" s="1"/>
  <c r="BJ104" i="343"/>
  <c r="BM84" i="343"/>
  <c r="BM14" i="342"/>
  <c r="BM45" i="342" s="1"/>
  <c r="BM138" i="342"/>
  <c r="BM142" i="342" s="1"/>
  <c r="BJ155" i="342"/>
  <c r="BM148" i="342"/>
  <c r="BM155" i="342" s="1"/>
  <c r="BM125" i="342"/>
  <c r="BM133" i="342" s="1"/>
  <c r="BH182" i="342"/>
  <c r="BM148" i="343"/>
  <c r="BM160" i="343" s="1"/>
  <c r="BJ147" i="343"/>
  <c r="BM143" i="343"/>
  <c r="BM147" i="343" s="1"/>
  <c r="BJ104" i="342"/>
  <c r="BM84" i="342"/>
  <c r="BM106" i="343"/>
  <c r="BM116" i="343" s="1"/>
  <c r="BJ138" i="343"/>
  <c r="BM156" i="342"/>
  <c r="BM164" i="342" s="1"/>
  <c r="BJ46" i="342"/>
  <c r="BF88" i="336"/>
  <c r="BC88" i="336"/>
  <c r="BB88" i="336"/>
  <c r="BE88" i="336" s="1"/>
  <c r="BD88" i="336"/>
  <c r="BE74" i="336"/>
  <c r="BE77" i="336"/>
  <c r="BE82" i="336"/>
  <c r="BE169" i="336"/>
  <c r="BE44" i="336"/>
  <c r="BC172" i="336"/>
  <c r="BF172" i="336"/>
  <c r="BB172" i="336"/>
  <c r="BD172" i="336" s="1"/>
  <c r="BE155" i="336"/>
  <c r="BE89" i="336"/>
  <c r="BE56" i="336"/>
  <c r="BE128" i="336"/>
  <c r="BE131" i="336"/>
  <c r="BE57" i="336"/>
  <c r="BE81" i="336"/>
  <c r="BE140" i="336"/>
  <c r="BD154" i="336"/>
  <c r="BE154" i="336" s="1"/>
  <c r="BC154" i="336"/>
  <c r="BB154" i="336"/>
  <c r="BF154" i="336"/>
  <c r="BE43" i="336"/>
  <c r="BG102" i="336"/>
  <c r="BH44" i="336"/>
  <c r="BJ44" i="336"/>
  <c r="BJ177" i="336"/>
  <c r="BH177" i="336"/>
  <c r="BJ77" i="336"/>
  <c r="BH77" i="336"/>
  <c r="BH45" i="336"/>
  <c r="BJ45" i="336"/>
  <c r="BH72" i="336"/>
  <c r="BJ72" i="336"/>
  <c r="BE122" i="336"/>
  <c r="BE94" i="336"/>
  <c r="BH169" i="336"/>
  <c r="BJ169" i="336"/>
  <c r="BH176" i="336"/>
  <c r="BJ176" i="336"/>
  <c r="BH111" i="336"/>
  <c r="BJ111" i="336"/>
  <c r="BD53" i="336"/>
  <c r="BE53" i="336" s="1"/>
  <c r="BD80" i="336"/>
  <c r="BE80" i="336" s="1"/>
  <c r="Z102" i="336"/>
  <c r="Z124" i="336" s="1"/>
  <c r="Z201" i="336" s="1"/>
  <c r="AZ85" i="336"/>
  <c r="BJ62" i="336"/>
  <c r="BH62" i="336"/>
  <c r="BD57" i="336"/>
  <c r="BH155" i="336"/>
  <c r="BJ155" i="336"/>
  <c r="BH122" i="336"/>
  <c r="BJ122" i="336"/>
  <c r="BL150" i="336"/>
  <c r="BI150" i="336"/>
  <c r="BJ71" i="336"/>
  <c r="BH71" i="336"/>
  <c r="BI87" i="336"/>
  <c r="BL87" i="336"/>
  <c r="BD121" i="336"/>
  <c r="BE121" i="336" s="1"/>
  <c r="BE141" i="336"/>
  <c r="BH159" i="336"/>
  <c r="BJ159" i="336"/>
  <c r="BH75" i="336"/>
  <c r="BJ75" i="336"/>
  <c r="BH145" i="336"/>
  <c r="BJ145" i="336"/>
  <c r="BH51" i="336"/>
  <c r="BJ51" i="336"/>
  <c r="BJ163" i="336"/>
  <c r="BH163" i="336"/>
  <c r="BK133" i="336"/>
  <c r="BM133" i="336" s="1"/>
  <c r="BL133" i="336"/>
  <c r="BI133" i="336"/>
  <c r="BH178" i="336"/>
  <c r="BJ178" i="336"/>
  <c r="BH106" i="336"/>
  <c r="BJ106" i="336"/>
  <c r="BI54" i="336"/>
  <c r="BL54" i="336"/>
  <c r="BD44" i="336"/>
  <c r="BH41" i="336"/>
  <c r="BJ41" i="336"/>
  <c r="AZ174" i="336"/>
  <c r="BA167" i="336"/>
  <c r="BE164" i="336"/>
  <c r="BE139" i="336"/>
  <c r="BH57" i="336"/>
  <c r="BJ57" i="336"/>
  <c r="BL171" i="336"/>
  <c r="BI171" i="336"/>
  <c r="BK171" i="336" s="1"/>
  <c r="BA158" i="336"/>
  <c r="AZ161" i="336"/>
  <c r="AL201" i="336"/>
  <c r="BL198" i="336"/>
  <c r="BI198" i="336"/>
  <c r="BK198" i="336" s="1"/>
  <c r="AZ84" i="336"/>
  <c r="BA66" i="336"/>
  <c r="BL199" i="336"/>
  <c r="BI199" i="336"/>
  <c r="BK199" i="336" s="1"/>
  <c r="BD128" i="336"/>
  <c r="BH141" i="336"/>
  <c r="BJ141" i="336"/>
  <c r="BJ119" i="336"/>
  <c r="BH119" i="336"/>
  <c r="BJ98" i="336"/>
  <c r="BH98" i="336"/>
  <c r="BE118" i="336"/>
  <c r="BJ67" i="336"/>
  <c r="BH67" i="336"/>
  <c r="BD51" i="336"/>
  <c r="BE51" i="336" s="1"/>
  <c r="BH47" i="336"/>
  <c r="BJ47" i="336"/>
  <c r="BH139" i="336"/>
  <c r="BJ139" i="336"/>
  <c r="BJ68" i="336"/>
  <c r="BH68" i="336"/>
  <c r="BH61" i="336"/>
  <c r="BJ61" i="336"/>
  <c r="BE197" i="336"/>
  <c r="BE185" i="336"/>
  <c r="BC105" i="336"/>
  <c r="BB105" i="336"/>
  <c r="BD105" i="336" s="1"/>
  <c r="BE105" i="336" s="1"/>
  <c r="BF105" i="336"/>
  <c r="BJ110" i="336"/>
  <c r="BH110" i="336"/>
  <c r="BL137" i="336"/>
  <c r="BI137" i="336"/>
  <c r="BK137" i="336" s="1"/>
  <c r="BL160" i="336"/>
  <c r="BI160" i="336"/>
  <c r="BK160" i="336" s="1"/>
  <c r="BJ186" i="336"/>
  <c r="BH186" i="336"/>
  <c r="BJ128" i="336"/>
  <c r="BH128" i="336"/>
  <c r="BD157" i="336"/>
  <c r="BE157" i="336" s="1"/>
  <c r="BD147" i="336"/>
  <c r="BE147" i="336" s="1"/>
  <c r="BD40" i="336"/>
  <c r="BE40" i="336" s="1"/>
  <c r="Z200" i="336"/>
  <c r="AZ184" i="336"/>
  <c r="BE110" i="336"/>
  <c r="BJ164" i="336"/>
  <c r="BH164" i="336"/>
  <c r="BJ187" i="336"/>
  <c r="BH187" i="336"/>
  <c r="BH81" i="336"/>
  <c r="BJ81" i="336"/>
  <c r="BD92" i="336"/>
  <c r="BE92" i="336" s="1"/>
  <c r="BJ117" i="336"/>
  <c r="BH117" i="336"/>
  <c r="BL70" i="336"/>
  <c r="BK70" i="336"/>
  <c r="BM70" i="336" s="1"/>
  <c r="BI70" i="336"/>
  <c r="BJ180" i="336"/>
  <c r="BH180" i="336"/>
  <c r="BH104" i="336"/>
  <c r="BJ104" i="336"/>
  <c r="BH197" i="336"/>
  <c r="BJ197" i="336"/>
  <c r="BD131" i="336"/>
  <c r="BH173" i="336"/>
  <c r="BJ173" i="336"/>
  <c r="BH185" i="336"/>
  <c r="BJ185" i="336"/>
  <c r="BH94" i="336"/>
  <c r="BJ94" i="336"/>
  <c r="BH118" i="336"/>
  <c r="BJ118" i="336"/>
  <c r="BJ52" i="336"/>
  <c r="BH52" i="336"/>
  <c r="BH42" i="336"/>
  <c r="BJ42" i="336"/>
  <c r="BJ188" i="336"/>
  <c r="BH188" i="336"/>
  <c r="BC189" i="336"/>
  <c r="BB189" i="336"/>
  <c r="BD189" i="336" s="1"/>
  <c r="BE189" i="336" s="1"/>
  <c r="BF189" i="336"/>
  <c r="BE73" i="336"/>
  <c r="BH108" i="336"/>
  <c r="BJ108" i="336"/>
  <c r="BD99" i="336"/>
  <c r="BE99" i="336" s="1"/>
  <c r="BE63" i="336"/>
  <c r="Z156" i="336"/>
  <c r="BE193" i="336"/>
  <c r="BD49" i="336"/>
  <c r="BE49" i="336" s="1"/>
  <c r="BE187" i="336"/>
  <c r="BJ82" i="336"/>
  <c r="BH82" i="336"/>
  <c r="BD81" i="336"/>
  <c r="BE130" i="336"/>
  <c r="BH92" i="336"/>
  <c r="BJ92" i="336"/>
  <c r="BE117" i="336"/>
  <c r="BD56" i="336"/>
  <c r="BD188" i="336"/>
  <c r="BE188" i="336" s="1"/>
  <c r="BE190" i="336"/>
  <c r="BJ96" i="336"/>
  <c r="BH96" i="336"/>
  <c r="BJ112" i="336"/>
  <c r="BH112" i="336"/>
  <c r="BH73" i="336"/>
  <c r="BJ73" i="336"/>
  <c r="BF142" i="336"/>
  <c r="BB142" i="336"/>
  <c r="BE142" i="336" s="1"/>
  <c r="BC142" i="336"/>
  <c r="BD142" i="336"/>
  <c r="BE165" i="336"/>
  <c r="BH63" i="336"/>
  <c r="BJ63" i="336"/>
  <c r="AZ143" i="336"/>
  <c r="BA136" i="336"/>
  <c r="BB65" i="336"/>
  <c r="BL79" i="336"/>
  <c r="BI79" i="336"/>
  <c r="BH134" i="336"/>
  <c r="BJ134" i="336"/>
  <c r="BH130" i="336"/>
  <c r="BJ130" i="336"/>
  <c r="AZ166" i="336"/>
  <c r="BA162" i="336"/>
  <c r="BD180" i="336"/>
  <c r="BE180" i="336" s="1"/>
  <c r="BJ190" i="336"/>
  <c r="BH190" i="336"/>
  <c r="BJ40" i="336"/>
  <c r="BH40" i="336"/>
  <c r="BJ165" i="336"/>
  <c r="BH165" i="336"/>
  <c r="Z143" i="336"/>
  <c r="BC65" i="336"/>
  <c r="BH193" i="336"/>
  <c r="BJ193" i="336"/>
  <c r="BH49" i="336"/>
  <c r="BJ49" i="336"/>
  <c r="BL58" i="336"/>
  <c r="BI58" i="336"/>
  <c r="BD50" i="336"/>
  <c r="BE50" i="336" s="1"/>
  <c r="BF95" i="336"/>
  <c r="BD95" i="336"/>
  <c r="BE95" i="336" s="1"/>
  <c r="BC95" i="336"/>
  <c r="BB95" i="336"/>
  <c r="BH181" i="336"/>
  <c r="BJ181" i="336"/>
  <c r="BD39" i="336"/>
  <c r="BD65" i="336" s="1"/>
  <c r="BD43" i="336"/>
  <c r="BH46" i="336"/>
  <c r="BJ46" i="336"/>
  <c r="BE192" i="336"/>
  <c r="BD112" i="336"/>
  <c r="BE112" i="336" s="1"/>
  <c r="BJ114" i="336"/>
  <c r="BH114" i="336"/>
  <c r="BJ131" i="336"/>
  <c r="BH131" i="336"/>
  <c r="BG124" i="336"/>
  <c r="BG201" i="336" s="1"/>
  <c r="BD83" i="336"/>
  <c r="BE83" i="336" s="1"/>
  <c r="AZ123" i="336"/>
  <c r="BA103" i="336"/>
  <c r="BE38" i="336"/>
  <c r="BJ56" i="336"/>
  <c r="BH56" i="336"/>
  <c r="BJ93" i="336"/>
  <c r="BH93" i="336"/>
  <c r="BJ69" i="336"/>
  <c r="BH69" i="336"/>
  <c r="BJ101" i="336"/>
  <c r="BH101" i="336"/>
  <c r="BH140" i="336"/>
  <c r="BJ140" i="336"/>
  <c r="BD120" i="336"/>
  <c r="BE120" i="336" s="1"/>
  <c r="BD91" i="336"/>
  <c r="BE91" i="336" s="1"/>
  <c r="BJ192" i="336"/>
  <c r="BH192" i="336"/>
  <c r="BD138" i="336"/>
  <c r="BE138" i="336" s="1"/>
  <c r="BJ53" i="336"/>
  <c r="BH53" i="336"/>
  <c r="BJ86" i="336"/>
  <c r="BH86" i="336"/>
  <c r="BJ99" i="336"/>
  <c r="BH99" i="336"/>
  <c r="BH147" i="336"/>
  <c r="BJ147" i="336"/>
  <c r="BJ39" i="336"/>
  <c r="BH39" i="336"/>
  <c r="BH116" i="336"/>
  <c r="BJ116" i="336"/>
  <c r="BH126" i="336"/>
  <c r="BJ126" i="336"/>
  <c r="BL129" i="336"/>
  <c r="BK129" i="336"/>
  <c r="BM129" i="336" s="1"/>
  <c r="BI129" i="336"/>
  <c r="BE191" i="336"/>
  <c r="BL107" i="336"/>
  <c r="BI107" i="336"/>
  <c r="BF65" i="336"/>
  <c r="BJ38" i="336"/>
  <c r="BH38" i="336"/>
  <c r="BJ50" i="336"/>
  <c r="BH50" i="336"/>
  <c r="BH76" i="336"/>
  <c r="BJ76" i="336"/>
  <c r="BD196" i="336"/>
  <c r="BE196" i="336" s="1"/>
  <c r="BM170" i="336"/>
  <c r="BK170" i="336"/>
  <c r="BL170" i="336"/>
  <c r="BI170" i="336"/>
  <c r="BD89" i="336"/>
  <c r="BJ43" i="336"/>
  <c r="BH43" i="336"/>
  <c r="BE69" i="336"/>
  <c r="BJ109" i="336"/>
  <c r="BH109" i="336"/>
  <c r="BE176" i="336"/>
  <c r="BD127" i="336"/>
  <c r="BE127" i="336" s="1"/>
  <c r="BD90" i="336"/>
  <c r="BE90" i="336" s="1"/>
  <c r="BD46" i="336"/>
  <c r="BE46" i="336" s="1"/>
  <c r="BH55" i="336"/>
  <c r="BJ55" i="336"/>
  <c r="BD148" i="336"/>
  <c r="BE148" i="336" s="1"/>
  <c r="BJ138" i="336"/>
  <c r="BH138" i="336"/>
  <c r="BJ121" i="336"/>
  <c r="BH121" i="336"/>
  <c r="BL97" i="336"/>
  <c r="BI97" i="336"/>
  <c r="BH149" i="336"/>
  <c r="BJ149" i="336"/>
  <c r="BE186" i="336"/>
  <c r="BJ60" i="336"/>
  <c r="BH60" i="336"/>
  <c r="AZ156" i="336"/>
  <c r="BA153" i="336"/>
  <c r="BK115" i="336"/>
  <c r="BI115" i="336"/>
  <c r="BM115" i="336" s="1"/>
  <c r="BL115" i="336"/>
  <c r="BH157" i="336"/>
  <c r="BJ157" i="336"/>
  <c r="BJ151" i="336"/>
  <c r="BH151" i="336"/>
  <c r="BD74" i="336"/>
  <c r="BJ83" i="336"/>
  <c r="BH83" i="336"/>
  <c r="BJ191" i="336"/>
  <c r="BH191" i="336"/>
  <c r="BA183" i="336"/>
  <c r="BC175" i="336"/>
  <c r="BC183" i="336" s="1"/>
  <c r="BB175" i="336"/>
  <c r="BB183" i="336" s="1"/>
  <c r="BF175" i="336"/>
  <c r="BI146" i="336"/>
  <c r="BL146" i="336"/>
  <c r="BK146" i="336"/>
  <c r="BM146" i="336" s="1"/>
  <c r="BD77" i="336"/>
  <c r="BE59" i="336"/>
  <c r="BD155" i="336"/>
  <c r="BI182" i="336"/>
  <c r="BK182" i="336" s="1"/>
  <c r="BL182" i="336"/>
  <c r="BK78" i="336"/>
  <c r="BM78" i="336"/>
  <c r="BL78" i="336"/>
  <c r="BI78" i="336"/>
  <c r="BH195" i="336"/>
  <c r="BJ195" i="336"/>
  <c r="BJ179" i="336"/>
  <c r="BH179" i="336"/>
  <c r="BJ120" i="336"/>
  <c r="BH120" i="336"/>
  <c r="BJ91" i="336"/>
  <c r="BH91" i="336"/>
  <c r="BH80" i="336"/>
  <c r="BJ80" i="336"/>
  <c r="BD41" i="336"/>
  <c r="BE41" i="336" s="1"/>
  <c r="Z135" i="336"/>
  <c r="AZ125" i="336"/>
  <c r="BJ48" i="336"/>
  <c r="BH48" i="336"/>
  <c r="BH196" i="336"/>
  <c r="BJ196" i="336"/>
  <c r="BH89" i="336"/>
  <c r="BJ89" i="336"/>
  <c r="BD169" i="336"/>
  <c r="BH127" i="336"/>
  <c r="BJ127" i="336"/>
  <c r="BH90" i="336"/>
  <c r="BJ90" i="336"/>
  <c r="BD159" i="336"/>
  <c r="BE159" i="336" s="1"/>
  <c r="BD178" i="336"/>
  <c r="BE178" i="336" s="1"/>
  <c r="BK168" i="336"/>
  <c r="BM168" i="336" s="1"/>
  <c r="BL168" i="336"/>
  <c r="BI168" i="336"/>
  <c r="BJ64" i="336"/>
  <c r="BH64" i="336"/>
  <c r="AM201" i="336"/>
  <c r="BL132" i="336"/>
  <c r="BI132" i="336"/>
  <c r="BK132" i="336" s="1"/>
  <c r="BH100" i="336"/>
  <c r="BJ100" i="336"/>
  <c r="BJ74" i="336"/>
  <c r="BH74" i="336"/>
  <c r="AZ144" i="336"/>
  <c r="Z152" i="336"/>
  <c r="BH59" i="336"/>
  <c r="BJ59" i="336"/>
  <c r="BD113" i="336"/>
  <c r="BC113" i="336"/>
  <c r="BB113" i="336"/>
  <c r="BE113" i="336" s="1"/>
  <c r="BF113" i="336"/>
  <c r="BH148" i="336"/>
  <c r="BJ148" i="336"/>
  <c r="BM104" i="342" l="1"/>
  <c r="BJ65" i="342"/>
  <c r="BJ105" i="342" s="1"/>
  <c r="BJ182" i="342" s="1"/>
  <c r="BM46" i="342"/>
  <c r="BM65" i="342" s="1"/>
  <c r="BJ45" i="343"/>
  <c r="BM14" i="343"/>
  <c r="BM45" i="343" s="1"/>
  <c r="BJ105" i="343"/>
  <c r="BM104" i="343"/>
  <c r="BM105" i="343" s="1"/>
  <c r="BJ142" i="343"/>
  <c r="BM138" i="343"/>
  <c r="BM142" i="343" s="1"/>
  <c r="BE172" i="336"/>
  <c r="BM150" i="336"/>
  <c r="BM54" i="336"/>
  <c r="BI181" i="336"/>
  <c r="BK181" i="336"/>
  <c r="BL181" i="336"/>
  <c r="BM181" i="336"/>
  <c r="BL42" i="336"/>
  <c r="BI42" i="336"/>
  <c r="BK42" i="336" s="1"/>
  <c r="BM42" i="336" s="1"/>
  <c r="BI180" i="336"/>
  <c r="BL180" i="336"/>
  <c r="BK180" i="336"/>
  <c r="BM180" i="336"/>
  <c r="AZ102" i="336"/>
  <c r="AZ124" i="336" s="1"/>
  <c r="AZ201" i="336" s="1"/>
  <c r="BA85" i="336"/>
  <c r="BL77" i="336"/>
  <c r="BI77" i="336"/>
  <c r="AZ135" i="336"/>
  <c r="BA125" i="336"/>
  <c r="BA156" i="336"/>
  <c r="BD153" i="336"/>
  <c r="BD156" i="336" s="1"/>
  <c r="BC153" i="336"/>
  <c r="BC156" i="336" s="1"/>
  <c r="BF153" i="336"/>
  <c r="BB153" i="336"/>
  <c r="BB156" i="336" s="1"/>
  <c r="BA123" i="336"/>
  <c r="BC103" i="336"/>
  <c r="BC123" i="336" s="1"/>
  <c r="BB103" i="336"/>
  <c r="BB123" i="336" s="1"/>
  <c r="BF103" i="336"/>
  <c r="BI165" i="336"/>
  <c r="BL165" i="336"/>
  <c r="BK165" i="336"/>
  <c r="BM165" i="336"/>
  <c r="BK96" i="336"/>
  <c r="BM96" i="336" s="1"/>
  <c r="BL96" i="336"/>
  <c r="BI96" i="336"/>
  <c r="BL52" i="336"/>
  <c r="BI52" i="336"/>
  <c r="BM52" i="336" s="1"/>
  <c r="BK52" i="336"/>
  <c r="BI110" i="336"/>
  <c r="BK110" i="336"/>
  <c r="BM110" i="336"/>
  <c r="BL110" i="336"/>
  <c r="BL47" i="336"/>
  <c r="BI47" i="336"/>
  <c r="BK47" i="336" s="1"/>
  <c r="BA84" i="336"/>
  <c r="BF66" i="336"/>
  <c r="BD66" i="336"/>
  <c r="BD84" i="336" s="1"/>
  <c r="BC66" i="336"/>
  <c r="BC84" i="336" s="1"/>
  <c r="BB66" i="336"/>
  <c r="BB84" i="336" s="1"/>
  <c r="BK87" i="336"/>
  <c r="BM87" i="336" s="1"/>
  <c r="AZ200" i="336"/>
  <c r="BA184" i="336"/>
  <c r="BL59" i="336"/>
  <c r="BI59" i="336"/>
  <c r="BK59" i="336" s="1"/>
  <c r="BM59" i="336" s="1"/>
  <c r="BL55" i="336"/>
  <c r="BK55" i="336"/>
  <c r="BI55" i="336"/>
  <c r="BM55" i="336" s="1"/>
  <c r="BI192" i="336"/>
  <c r="BL192" i="336"/>
  <c r="BC167" i="336"/>
  <c r="BC174" i="336" s="1"/>
  <c r="BB167" i="336"/>
  <c r="BB174" i="336" s="1"/>
  <c r="BA174" i="336"/>
  <c r="BF167" i="336"/>
  <c r="BE167" i="336"/>
  <c r="BE174" i="336" s="1"/>
  <c r="BD167" i="336"/>
  <c r="BD174" i="336" s="1"/>
  <c r="BI177" i="336"/>
  <c r="BL177" i="336"/>
  <c r="BK177" i="336"/>
  <c r="BM177" i="336" s="1"/>
  <c r="BL74" i="336"/>
  <c r="BI74" i="336"/>
  <c r="BK74" i="336" s="1"/>
  <c r="BM74" i="336" s="1"/>
  <c r="BI80" i="336"/>
  <c r="BL80" i="336"/>
  <c r="BK80" i="336"/>
  <c r="BM80" i="336" s="1"/>
  <c r="BM182" i="336"/>
  <c r="BL83" i="336"/>
  <c r="BK83" i="336"/>
  <c r="BI83" i="336"/>
  <c r="BM83" i="336" s="1"/>
  <c r="BJ95" i="336"/>
  <c r="BH95" i="336"/>
  <c r="BL108" i="336"/>
  <c r="BI108" i="336"/>
  <c r="BK108" i="336" s="1"/>
  <c r="BL128" i="336"/>
  <c r="BK128" i="336"/>
  <c r="BI128" i="336"/>
  <c r="BM128" i="336"/>
  <c r="BM198" i="336"/>
  <c r="BI41" i="336"/>
  <c r="BL41" i="336"/>
  <c r="BI111" i="336"/>
  <c r="BK111" i="336"/>
  <c r="BM111" i="336" s="1"/>
  <c r="BL111" i="336"/>
  <c r="BI44" i="336"/>
  <c r="BM44" i="336" s="1"/>
  <c r="BK44" i="336"/>
  <c r="BL44" i="336"/>
  <c r="BI91" i="336"/>
  <c r="BK91" i="336" s="1"/>
  <c r="BL91" i="336"/>
  <c r="BH65" i="336"/>
  <c r="BK38" i="336"/>
  <c r="BM38" i="336"/>
  <c r="BL38" i="336"/>
  <c r="BI38" i="336"/>
  <c r="BL116" i="336"/>
  <c r="BI116" i="336"/>
  <c r="BI63" i="336"/>
  <c r="BL63" i="336"/>
  <c r="BI94" i="336"/>
  <c r="BL94" i="336"/>
  <c r="BK94" i="336"/>
  <c r="BM94" i="336" s="1"/>
  <c r="BI117" i="336"/>
  <c r="BK117" i="336" s="1"/>
  <c r="BM117" i="336" s="1"/>
  <c r="BL117" i="336"/>
  <c r="BL98" i="336"/>
  <c r="BI98" i="336"/>
  <c r="BM51" i="336"/>
  <c r="BI51" i="336"/>
  <c r="BL51" i="336"/>
  <c r="BK51" i="336"/>
  <c r="BK150" i="336"/>
  <c r="BI191" i="336"/>
  <c r="BL191" i="336"/>
  <c r="BK191" i="336"/>
  <c r="BM191" i="336" s="1"/>
  <c r="AZ152" i="336"/>
  <c r="BA144" i="336"/>
  <c r="BI50" i="336"/>
  <c r="BK50" i="336" s="1"/>
  <c r="BM50" i="336" s="1"/>
  <c r="BL50" i="336"/>
  <c r="BK118" i="336"/>
  <c r="BM118" i="336" s="1"/>
  <c r="BL118" i="336"/>
  <c r="BI118" i="336"/>
  <c r="BI190" i="336"/>
  <c r="BL190" i="336"/>
  <c r="BK190" i="336"/>
  <c r="BM190" i="336" s="1"/>
  <c r="BI90" i="336"/>
  <c r="BL90" i="336"/>
  <c r="BM90" i="336" s="1"/>
  <c r="BK90" i="336"/>
  <c r="BJ65" i="336"/>
  <c r="BL114" i="336"/>
  <c r="BI114" i="336"/>
  <c r="BI186" i="336"/>
  <c r="BL186" i="336"/>
  <c r="BI100" i="336"/>
  <c r="BL100" i="336"/>
  <c r="BL120" i="336"/>
  <c r="BI120" i="336"/>
  <c r="BL151" i="336"/>
  <c r="BI151" i="336"/>
  <c r="BK151" i="336" s="1"/>
  <c r="BM101" i="336"/>
  <c r="BL101" i="336"/>
  <c r="BK101" i="336"/>
  <c r="BI101" i="336"/>
  <c r="BK58" i="336"/>
  <c r="BM58" i="336" s="1"/>
  <c r="BC162" i="336"/>
  <c r="BC166" i="336" s="1"/>
  <c r="BA166" i="336"/>
  <c r="BB162" i="336"/>
  <c r="BB166" i="336" s="1"/>
  <c r="BF162" i="336"/>
  <c r="BJ189" i="336"/>
  <c r="BH189" i="336"/>
  <c r="BI185" i="336"/>
  <c r="BM185" i="336" s="1"/>
  <c r="BK185" i="336"/>
  <c r="BL185" i="336"/>
  <c r="BL119" i="336"/>
  <c r="BI119" i="336"/>
  <c r="BK119" i="336" s="1"/>
  <c r="BL145" i="336"/>
  <c r="BI145" i="336"/>
  <c r="BK145" i="336" s="1"/>
  <c r="BL127" i="336"/>
  <c r="BI127" i="336"/>
  <c r="BK97" i="336"/>
  <c r="BM97" i="336" s="1"/>
  <c r="BL92" i="336"/>
  <c r="BK92" i="336"/>
  <c r="BM92" i="336"/>
  <c r="BI92" i="336"/>
  <c r="BC158" i="336"/>
  <c r="BC161" i="336" s="1"/>
  <c r="BB158" i="336"/>
  <c r="BB161" i="336" s="1"/>
  <c r="BF158" i="336"/>
  <c r="BA161" i="336"/>
  <c r="BK54" i="336"/>
  <c r="BL169" i="336"/>
  <c r="BI169" i="336"/>
  <c r="BK169" i="336" s="1"/>
  <c r="BM169" i="336" s="1"/>
  <c r="BM132" i="336"/>
  <c r="BI179" i="336"/>
  <c r="BK179" i="336" s="1"/>
  <c r="BM179" i="336" s="1"/>
  <c r="BL179" i="336"/>
  <c r="BK43" i="336"/>
  <c r="BI43" i="336"/>
  <c r="BL43" i="336"/>
  <c r="BM43" i="336"/>
  <c r="BL147" i="336"/>
  <c r="BI147" i="336"/>
  <c r="BM147" i="336" s="1"/>
  <c r="BK147" i="336"/>
  <c r="BL69" i="336"/>
  <c r="BI69" i="336"/>
  <c r="BL173" i="336"/>
  <c r="BK173" i="336"/>
  <c r="BM173" i="336" s="1"/>
  <c r="BI173" i="336"/>
  <c r="BI81" i="336"/>
  <c r="BM81" i="336" s="1"/>
  <c r="BL81" i="336"/>
  <c r="BK81" i="336"/>
  <c r="BM171" i="336"/>
  <c r="BL75" i="336"/>
  <c r="BI75" i="336"/>
  <c r="BI122" i="336"/>
  <c r="BL122" i="336"/>
  <c r="BK122" i="336"/>
  <c r="BM122" i="336"/>
  <c r="BK148" i="336"/>
  <c r="BM148" i="336" s="1"/>
  <c r="BL148" i="336"/>
  <c r="BI148" i="336"/>
  <c r="BK107" i="336"/>
  <c r="BM107" i="336" s="1"/>
  <c r="BI99" i="336"/>
  <c r="BK99" i="336" s="1"/>
  <c r="BM99" i="336" s="1"/>
  <c r="BL99" i="336"/>
  <c r="BL130" i="336"/>
  <c r="BI130" i="336"/>
  <c r="BK130" i="336"/>
  <c r="BM130" i="336" s="1"/>
  <c r="BJ142" i="336"/>
  <c r="BH142" i="336"/>
  <c r="BI187" i="336"/>
  <c r="BK187" i="336" s="1"/>
  <c r="BM187" i="336" s="1"/>
  <c r="BL187" i="336"/>
  <c r="BM160" i="336"/>
  <c r="BK61" i="336"/>
  <c r="BI61" i="336"/>
  <c r="BM61" i="336" s="1"/>
  <c r="BL61" i="336"/>
  <c r="BL141" i="336"/>
  <c r="BK141" i="336"/>
  <c r="BI141" i="336"/>
  <c r="BM141" i="336" s="1"/>
  <c r="BL60" i="336"/>
  <c r="BI60" i="336"/>
  <c r="BM40" i="336"/>
  <c r="BL40" i="336"/>
  <c r="BK40" i="336"/>
  <c r="BI40" i="336"/>
  <c r="BJ105" i="336"/>
  <c r="BH105" i="336"/>
  <c r="BL149" i="336"/>
  <c r="BI149" i="336"/>
  <c r="BK149" i="336" s="1"/>
  <c r="BL140" i="336"/>
  <c r="BI140" i="336"/>
  <c r="BH113" i="336"/>
  <c r="BJ113" i="336"/>
  <c r="BK89" i="336"/>
  <c r="BL89" i="336"/>
  <c r="BI89" i="336"/>
  <c r="BM89" i="336" s="1"/>
  <c r="BI157" i="336"/>
  <c r="BK157" i="336"/>
  <c r="BL157" i="336"/>
  <c r="BL121" i="336"/>
  <c r="BI121" i="336"/>
  <c r="BK121" i="336" s="1"/>
  <c r="BI93" i="336"/>
  <c r="BK93" i="336" s="1"/>
  <c r="BM93" i="336" s="1"/>
  <c r="BL93" i="336"/>
  <c r="BI46" i="336"/>
  <c r="BL46" i="336"/>
  <c r="BL49" i="336"/>
  <c r="BI49" i="336"/>
  <c r="BI82" i="336"/>
  <c r="BK82" i="336" s="1"/>
  <c r="BM82" i="336" s="1"/>
  <c r="BL82" i="336"/>
  <c r="BI188" i="336"/>
  <c r="BL188" i="336"/>
  <c r="BK188" i="336"/>
  <c r="BM188" i="336" s="1"/>
  <c r="BL68" i="336"/>
  <c r="BK68" i="336"/>
  <c r="BI68" i="336"/>
  <c r="BM68" i="336" s="1"/>
  <c r="BI106" i="336"/>
  <c r="BL106" i="336"/>
  <c r="BK106" i="336"/>
  <c r="BM106" i="336"/>
  <c r="BL159" i="336"/>
  <c r="BI159" i="336"/>
  <c r="BL155" i="336"/>
  <c r="BI155" i="336"/>
  <c r="BK155" i="336" s="1"/>
  <c r="BM155" i="336" s="1"/>
  <c r="BH154" i="336"/>
  <c r="BJ154" i="336"/>
  <c r="BK71" i="336"/>
  <c r="BI71" i="336"/>
  <c r="BL71" i="336"/>
  <c r="BM71" i="336" s="1"/>
  <c r="BL126" i="336"/>
  <c r="BK126" i="336"/>
  <c r="BI126" i="336"/>
  <c r="BM126" i="336" s="1"/>
  <c r="BI109" i="336"/>
  <c r="BK109" i="336" s="1"/>
  <c r="BM109" i="336" s="1"/>
  <c r="BL109" i="336"/>
  <c r="BL195" i="336"/>
  <c r="BK195" i="336"/>
  <c r="BI195" i="336"/>
  <c r="BM195" i="336" s="1"/>
  <c r="BD175" i="336"/>
  <c r="BD183" i="336" s="1"/>
  <c r="BL86" i="336"/>
  <c r="BI86" i="336"/>
  <c r="BK134" i="336"/>
  <c r="BI134" i="336"/>
  <c r="BM134" i="336" s="1"/>
  <c r="BL134" i="336"/>
  <c r="BL197" i="336"/>
  <c r="BI197" i="336"/>
  <c r="BL164" i="336"/>
  <c r="BI164" i="336"/>
  <c r="BK164" i="336" s="1"/>
  <c r="BM164" i="336" s="1"/>
  <c r="BM137" i="336"/>
  <c r="BM199" i="336"/>
  <c r="BI72" i="336"/>
  <c r="BK72" i="336"/>
  <c r="BL72" i="336"/>
  <c r="BM72" i="336"/>
  <c r="BE39" i="336"/>
  <c r="BE65" i="336" s="1"/>
  <c r="BJ172" i="336"/>
  <c r="BH172" i="336"/>
  <c r="BJ88" i="336"/>
  <c r="BH88" i="336"/>
  <c r="BI176" i="336"/>
  <c r="BL176" i="336"/>
  <c r="BL64" i="336"/>
  <c r="BI64" i="336"/>
  <c r="BL196" i="336"/>
  <c r="BI196" i="336"/>
  <c r="BM196" i="336"/>
  <c r="BK196" i="336"/>
  <c r="BE175" i="336"/>
  <c r="BE183" i="336" s="1"/>
  <c r="BL138" i="336"/>
  <c r="BI138" i="336"/>
  <c r="BK138" i="336" s="1"/>
  <c r="BI56" i="336"/>
  <c r="BK56" i="336" s="1"/>
  <c r="BL56" i="336"/>
  <c r="BL193" i="336"/>
  <c r="BI193" i="336"/>
  <c r="BK193" i="336" s="1"/>
  <c r="BK79" i="336"/>
  <c r="BM79" i="336" s="1"/>
  <c r="BL73" i="336"/>
  <c r="BI73" i="336"/>
  <c r="BK73" i="336" s="1"/>
  <c r="BM73" i="336" s="1"/>
  <c r="BI178" i="336"/>
  <c r="BL178" i="336"/>
  <c r="BK178" i="336"/>
  <c r="BM178" i="336"/>
  <c r="BL62" i="336"/>
  <c r="BK62" i="336"/>
  <c r="BM62" i="336" s="1"/>
  <c r="BI62" i="336"/>
  <c r="BL76" i="336"/>
  <c r="BI76" i="336"/>
  <c r="BC136" i="336"/>
  <c r="BC143" i="336" s="1"/>
  <c r="BA143" i="336"/>
  <c r="BB136" i="336"/>
  <c r="BB143" i="336" s="1"/>
  <c r="BF136" i="336"/>
  <c r="BD136" i="336"/>
  <c r="BD143" i="336" s="1"/>
  <c r="BI67" i="336"/>
  <c r="BL67" i="336"/>
  <c r="BL163" i="336"/>
  <c r="BK163" i="336"/>
  <c r="BI163" i="336"/>
  <c r="BM163" i="336" s="1"/>
  <c r="BI131" i="336"/>
  <c r="BL131" i="336"/>
  <c r="BL39" i="336"/>
  <c r="BI39" i="336"/>
  <c r="BL48" i="336"/>
  <c r="BI48" i="336"/>
  <c r="BK48" i="336" s="1"/>
  <c r="BF183" i="336"/>
  <c r="BH175" i="336"/>
  <c r="BJ175" i="336"/>
  <c r="BJ183" i="336" s="1"/>
  <c r="BL53" i="336"/>
  <c r="BI53" i="336"/>
  <c r="BI112" i="336"/>
  <c r="BM112" i="336" s="1"/>
  <c r="BL112" i="336"/>
  <c r="BK112" i="336"/>
  <c r="BL104" i="336"/>
  <c r="BI104" i="336"/>
  <c r="BK104" i="336" s="1"/>
  <c r="BM104" i="336" s="1"/>
  <c r="BL139" i="336"/>
  <c r="BK139" i="336"/>
  <c r="BI139" i="336"/>
  <c r="BM139" i="336" s="1"/>
  <c r="BL57" i="336"/>
  <c r="BI57" i="336"/>
  <c r="BK57" i="336" s="1"/>
  <c r="BM57" i="336" s="1"/>
  <c r="BL45" i="336"/>
  <c r="BI45" i="336"/>
  <c r="BM45" i="336" s="1"/>
  <c r="BK45" i="336"/>
  <c r="BM161" i="343" l="1"/>
  <c r="BM185" i="342" s="1"/>
  <c r="BM105" i="342"/>
  <c r="BM182" i="342" s="1"/>
  <c r="BJ161" i="343"/>
  <c r="BM197" i="336"/>
  <c r="BM186" i="336"/>
  <c r="BM114" i="336"/>
  <c r="BM159" i="336"/>
  <c r="BM116" i="336"/>
  <c r="BM76" i="336"/>
  <c r="BM64" i="336"/>
  <c r="BM77" i="336"/>
  <c r="BK67" i="336"/>
  <c r="BM67" i="336" s="1"/>
  <c r="BK39" i="336"/>
  <c r="BK65" i="336" s="1"/>
  <c r="BK88" i="336"/>
  <c r="BL88" i="336"/>
  <c r="BM88" i="336" s="1"/>
  <c r="BI88" i="336"/>
  <c r="BI113" i="336"/>
  <c r="BL113" i="336"/>
  <c r="BK60" i="336"/>
  <c r="BM60" i="336" s="1"/>
  <c r="BL142" i="336"/>
  <c r="BI142" i="336"/>
  <c r="BK142" i="336" s="1"/>
  <c r="BM142" i="336" s="1"/>
  <c r="BK114" i="336"/>
  <c r="BK98" i="336"/>
  <c r="BM98" i="336" s="1"/>
  <c r="BK116" i="336"/>
  <c r="BM108" i="336"/>
  <c r="BK95" i="336"/>
  <c r="BM95" i="336" s="1"/>
  <c r="BL95" i="336"/>
  <c r="BI95" i="336"/>
  <c r="BF143" i="336"/>
  <c r="BH136" i="336"/>
  <c r="BJ136" i="336"/>
  <c r="BJ143" i="336" s="1"/>
  <c r="BL172" i="336"/>
  <c r="BI172" i="336"/>
  <c r="BK172" i="336"/>
  <c r="BM172" i="336" s="1"/>
  <c r="BK69" i="336"/>
  <c r="BM69" i="336" s="1"/>
  <c r="BM151" i="336"/>
  <c r="BK159" i="336"/>
  <c r="BM121" i="336"/>
  <c r="BK140" i="336"/>
  <c r="BM140" i="336" s="1"/>
  <c r="BK127" i="336"/>
  <c r="BM127" i="336" s="1"/>
  <c r="BI65" i="336"/>
  <c r="BM47" i="336"/>
  <c r="BK77" i="336"/>
  <c r="BM138" i="336"/>
  <c r="BK197" i="336"/>
  <c r="BI189" i="336"/>
  <c r="BL189" i="336"/>
  <c r="BK189" i="336"/>
  <c r="BM189" i="336" s="1"/>
  <c r="BK131" i="336"/>
  <c r="BM131" i="336" s="1"/>
  <c r="BK75" i="336"/>
  <c r="BM75" i="336" s="1"/>
  <c r="BF166" i="336"/>
  <c r="BJ162" i="336"/>
  <c r="BJ166" i="336" s="1"/>
  <c r="BH162" i="336"/>
  <c r="BK120" i="336"/>
  <c r="BM120" i="336" s="1"/>
  <c r="BC144" i="336"/>
  <c r="BC152" i="336" s="1"/>
  <c r="BB144" i="336"/>
  <c r="BB152" i="336" s="1"/>
  <c r="BA152" i="336"/>
  <c r="BF144" i="336"/>
  <c r="BL65" i="336"/>
  <c r="BH103" i="336"/>
  <c r="BF123" i="336"/>
  <c r="BJ103" i="336"/>
  <c r="BJ123" i="336" s="1"/>
  <c r="BC125" i="336"/>
  <c r="BC135" i="336" s="1"/>
  <c r="BB125" i="336"/>
  <c r="BB135" i="336" s="1"/>
  <c r="BA135" i="336"/>
  <c r="BF125" i="336"/>
  <c r="BK53" i="336"/>
  <c r="BM53" i="336" s="1"/>
  <c r="BK76" i="336"/>
  <c r="BK41" i="336"/>
  <c r="BM41" i="336" s="1"/>
  <c r="BH167" i="336"/>
  <c r="BJ167" i="336"/>
  <c r="BJ174" i="336" s="1"/>
  <c r="BF174" i="336"/>
  <c r="BA102" i="336"/>
  <c r="BF85" i="336"/>
  <c r="BC85" i="336"/>
  <c r="BC102" i="336" s="1"/>
  <c r="BC124" i="336" s="1"/>
  <c r="BC201" i="336" s="1"/>
  <c r="BB85" i="336"/>
  <c r="BB102" i="336" s="1"/>
  <c r="BK49" i="336"/>
  <c r="BM49" i="336" s="1"/>
  <c r="BM149" i="336"/>
  <c r="BM145" i="336"/>
  <c r="BF184" i="336"/>
  <c r="BA200" i="336"/>
  <c r="BB184" i="336"/>
  <c r="BB200" i="336" s="1"/>
  <c r="BC184" i="336"/>
  <c r="BC200" i="336" s="1"/>
  <c r="BE103" i="336"/>
  <c r="BE123" i="336" s="1"/>
  <c r="BM193" i="336"/>
  <c r="BK64" i="336"/>
  <c r="BK86" i="336"/>
  <c r="BM86" i="336" s="1"/>
  <c r="BM157" i="336"/>
  <c r="BJ158" i="336"/>
  <c r="BJ161" i="336" s="1"/>
  <c r="BH158" i="336"/>
  <c r="BF161" i="336"/>
  <c r="BD162" i="336"/>
  <c r="BD166" i="336" s="1"/>
  <c r="BD103" i="336"/>
  <c r="BD123" i="336" s="1"/>
  <c r="BI175" i="336"/>
  <c r="BI183" i="336" s="1"/>
  <c r="BH183" i="336"/>
  <c r="BL175" i="336"/>
  <c r="BL183" i="336" s="1"/>
  <c r="BK175" i="336"/>
  <c r="BL105" i="336"/>
  <c r="BI105" i="336"/>
  <c r="BE162" i="336"/>
  <c r="BE166" i="336" s="1"/>
  <c r="BK100" i="336"/>
  <c r="BM100" i="336" s="1"/>
  <c r="BA124" i="336"/>
  <c r="BA201" i="336" s="1"/>
  <c r="BB124" i="336"/>
  <c r="BK46" i="336"/>
  <c r="BM46" i="336" s="1"/>
  <c r="BM119" i="336"/>
  <c r="BM91" i="336"/>
  <c r="BE153" i="336"/>
  <c r="BE156" i="336" s="1"/>
  <c r="BM48" i="336"/>
  <c r="BM56" i="336"/>
  <c r="BK186" i="336"/>
  <c r="BK63" i="336"/>
  <c r="BM63" i="336" s="1"/>
  <c r="BK192" i="336"/>
  <c r="BM192" i="336" s="1"/>
  <c r="BK176" i="336"/>
  <c r="BM176" i="336" s="1"/>
  <c r="BD158" i="336"/>
  <c r="BD161" i="336" s="1"/>
  <c r="BF156" i="336"/>
  <c r="BH153" i="336"/>
  <c r="BJ153" i="336"/>
  <c r="BJ156" i="336" s="1"/>
  <c r="BF84" i="336"/>
  <c r="BJ66" i="336"/>
  <c r="BJ84" i="336" s="1"/>
  <c r="BH66" i="336"/>
  <c r="BE136" i="336"/>
  <c r="BE143" i="336" s="1"/>
  <c r="BL154" i="336"/>
  <c r="BI154" i="336"/>
  <c r="BE66" i="336"/>
  <c r="BE84" i="336" s="1"/>
  <c r="BL153" i="336" l="1"/>
  <c r="BL156" i="336" s="1"/>
  <c r="BH156" i="336"/>
  <c r="BI153" i="336"/>
  <c r="BI156" i="336" s="1"/>
  <c r="BD125" i="336"/>
  <c r="BK105" i="336"/>
  <c r="BM105" i="336" s="1"/>
  <c r="BD85" i="336"/>
  <c r="BD102" i="336" s="1"/>
  <c r="BD124" i="336" s="1"/>
  <c r="BI162" i="336"/>
  <c r="BI166" i="336" s="1"/>
  <c r="BL162" i="336"/>
  <c r="BL166" i="336" s="1"/>
  <c r="BK162" i="336"/>
  <c r="BK166" i="336" s="1"/>
  <c r="BH166" i="336"/>
  <c r="BE158" i="336"/>
  <c r="BE161" i="336" s="1"/>
  <c r="BK183" i="336"/>
  <c r="BM39" i="336"/>
  <c r="BM65" i="336" s="1"/>
  <c r="BK154" i="336"/>
  <c r="BM154" i="336" s="1"/>
  <c r="BD184" i="336"/>
  <c r="BD200" i="336" s="1"/>
  <c r="BI103" i="336"/>
  <c r="BI123" i="336" s="1"/>
  <c r="BH123" i="336"/>
  <c r="BL103" i="336"/>
  <c r="BL123" i="336" s="1"/>
  <c r="BK103" i="336"/>
  <c r="BK123" i="336" s="1"/>
  <c r="BI158" i="336"/>
  <c r="BI161" i="336" s="1"/>
  <c r="BL158" i="336"/>
  <c r="BL161" i="336" s="1"/>
  <c r="BH161" i="336"/>
  <c r="BF135" i="336"/>
  <c r="BJ125" i="336"/>
  <c r="BJ135" i="336" s="1"/>
  <c r="BH125" i="336"/>
  <c r="BF102" i="336"/>
  <c r="BF124" i="336" s="1"/>
  <c r="BF201" i="336" s="1"/>
  <c r="BJ85" i="336"/>
  <c r="BJ102" i="336" s="1"/>
  <c r="BJ124" i="336" s="1"/>
  <c r="BJ201" i="336" s="1"/>
  <c r="BH85" i="336"/>
  <c r="BE85" i="336"/>
  <c r="BE102" i="336" s="1"/>
  <c r="BE124" i="336" s="1"/>
  <c r="BM175" i="336"/>
  <c r="BM183" i="336" s="1"/>
  <c r="BH174" i="336"/>
  <c r="BI167" i="336"/>
  <c r="BI174" i="336" s="1"/>
  <c r="BL167" i="336"/>
  <c r="BL174" i="336" s="1"/>
  <c r="BK167" i="336"/>
  <c r="BK174" i="336" s="1"/>
  <c r="BK113" i="336"/>
  <c r="BM113" i="336" s="1"/>
  <c r="BF152" i="336"/>
  <c r="BJ144" i="336"/>
  <c r="BJ152" i="336" s="1"/>
  <c r="BH144" i="336"/>
  <c r="BI136" i="336"/>
  <c r="BI143" i="336" s="1"/>
  <c r="BL136" i="336"/>
  <c r="BL143" i="336" s="1"/>
  <c r="BH143" i="336"/>
  <c r="BK136" i="336"/>
  <c r="BK143" i="336" s="1"/>
  <c r="BM136" i="336"/>
  <c r="BM143" i="336" s="1"/>
  <c r="BF200" i="336"/>
  <c r="BJ184" i="336"/>
  <c r="BJ200" i="336" s="1"/>
  <c r="BH184" i="336"/>
  <c r="BD144" i="336"/>
  <c r="BD152" i="336" s="1"/>
  <c r="BB201" i="336"/>
  <c r="BI66" i="336"/>
  <c r="BI84" i="336" s="1"/>
  <c r="BL66" i="336"/>
  <c r="BL84" i="336" s="1"/>
  <c r="BH84" i="336"/>
  <c r="BM162" i="336" l="1"/>
  <c r="BM166" i="336" s="1"/>
  <c r="BI184" i="336"/>
  <c r="BI200" i="336" s="1"/>
  <c r="BH200" i="336"/>
  <c r="BL184" i="336"/>
  <c r="BL200" i="336" s="1"/>
  <c r="BK184" i="336"/>
  <c r="BK200" i="336" s="1"/>
  <c r="BH102" i="336"/>
  <c r="BH124" i="336" s="1"/>
  <c r="BH201" i="336" s="1"/>
  <c r="BL85" i="336"/>
  <c r="BL102" i="336" s="1"/>
  <c r="BL124" i="336" s="1"/>
  <c r="BL201" i="336" s="1"/>
  <c r="BI85" i="336"/>
  <c r="BI102" i="336" s="1"/>
  <c r="BI124" i="336" s="1"/>
  <c r="BI201" i="336" s="1"/>
  <c r="BK153" i="336"/>
  <c r="BK156" i="336" s="1"/>
  <c r="BM167" i="336"/>
  <c r="BM174" i="336" s="1"/>
  <c r="BK66" i="336"/>
  <c r="BK84" i="336" s="1"/>
  <c r="BE184" i="336"/>
  <c r="BE200" i="336" s="1"/>
  <c r="BM153" i="336"/>
  <c r="BM156" i="336" s="1"/>
  <c r="BD135" i="336"/>
  <c r="BD201" i="336" s="1"/>
  <c r="BE125" i="336"/>
  <c r="BE135" i="336" s="1"/>
  <c r="BE201" i="336" s="1"/>
  <c r="BM103" i="336"/>
  <c r="BM123" i="336" s="1"/>
  <c r="BE144" i="336"/>
  <c r="BE152" i="336" s="1"/>
  <c r="BL125" i="336"/>
  <c r="BL135" i="336" s="1"/>
  <c r="BH135" i="336"/>
  <c r="BI125" i="336"/>
  <c r="BI135" i="336" s="1"/>
  <c r="BI144" i="336"/>
  <c r="BI152" i="336" s="1"/>
  <c r="BL144" i="336"/>
  <c r="BL152" i="336" s="1"/>
  <c r="BH152" i="336"/>
  <c r="BM66" i="336"/>
  <c r="BM84" i="336" s="1"/>
  <c r="BK158" i="336"/>
  <c r="BK125" i="336" l="1"/>
  <c r="BK135" i="336" s="1"/>
  <c r="BM125" i="336"/>
  <c r="BM135" i="336" s="1"/>
  <c r="BK161" i="336"/>
  <c r="BM158" i="336"/>
  <c r="BM161" i="336" s="1"/>
  <c r="BK85" i="336"/>
  <c r="BK102" i="336" s="1"/>
  <c r="BK124" i="336" s="1"/>
  <c r="BM184" i="336"/>
  <c r="BM200" i="336" s="1"/>
  <c r="BK144" i="336"/>
  <c r="BK152" i="336" l="1"/>
  <c r="BK201" i="336" s="1"/>
  <c r="BM144" i="336"/>
  <c r="BM152" i="336" s="1"/>
  <c r="BM85" i="336"/>
  <c r="BM102" i="336" s="1"/>
  <c r="BM124" i="336" s="1"/>
  <c r="BM201" i="336" s="1"/>
  <c r="J28" i="190" l="1"/>
  <c r="K28" i="190"/>
  <c r="I28" i="190"/>
  <c r="G28" i="190"/>
  <c r="E28" i="190"/>
  <c r="C28" i="190"/>
  <c r="J20" i="190"/>
  <c r="K20" i="190"/>
  <c r="I20" i="190"/>
  <c r="G20" i="190"/>
  <c r="E20" i="190"/>
  <c r="Q29" i="335" l="1"/>
  <c r="O29" i="335"/>
  <c r="L29" i="335"/>
  <c r="K29" i="335"/>
  <c r="I29" i="335"/>
  <c r="H29" i="335"/>
  <c r="G29" i="335"/>
  <c r="F29" i="335"/>
  <c r="E29" i="335"/>
  <c r="P28" i="335"/>
  <c r="M28" i="335"/>
  <c r="J28" i="335"/>
  <c r="P27" i="335"/>
  <c r="M27" i="335"/>
  <c r="J27" i="335"/>
  <c r="P26" i="335"/>
  <c r="M26" i="335"/>
  <c r="J26" i="335"/>
  <c r="N25" i="335"/>
  <c r="P25" i="335" s="1"/>
  <c r="M25" i="335"/>
  <c r="J25" i="335"/>
  <c r="R25" i="335" s="1"/>
  <c r="N24" i="335"/>
  <c r="P24" i="335" s="1"/>
  <c r="M24" i="335"/>
  <c r="J24" i="335"/>
  <c r="R24" i="335" s="1"/>
  <c r="P23" i="335"/>
  <c r="M23" i="335"/>
  <c r="J23" i="335"/>
  <c r="N22" i="335"/>
  <c r="P22" i="335" s="1"/>
  <c r="M22" i="335"/>
  <c r="J22" i="335"/>
  <c r="R22" i="335" s="1"/>
  <c r="N21" i="335"/>
  <c r="P21" i="335" s="1"/>
  <c r="M21" i="335"/>
  <c r="J21" i="335"/>
  <c r="P20" i="335"/>
  <c r="R20" i="335" s="1"/>
  <c r="M20" i="335"/>
  <c r="J20" i="335"/>
  <c r="N19" i="335"/>
  <c r="P19" i="335" s="1"/>
  <c r="M19" i="335"/>
  <c r="J19" i="335"/>
  <c r="R19" i="335" s="1"/>
  <c r="A19" i="335"/>
  <c r="A20" i="335" s="1"/>
  <c r="A21" i="335" s="1"/>
  <c r="A22" i="335" s="1"/>
  <c r="A23" i="335" s="1"/>
  <c r="A24" i="335" s="1"/>
  <c r="A25" i="335" s="1"/>
  <c r="A26" i="335" s="1"/>
  <c r="A27" i="335" s="1"/>
  <c r="A28" i="335" s="1"/>
  <c r="N18" i="335"/>
  <c r="P18" i="335" s="1"/>
  <c r="M18" i="335"/>
  <c r="J18" i="335"/>
  <c r="R18" i="335" s="1"/>
  <c r="Q29" i="334"/>
  <c r="O29" i="334"/>
  <c r="L29" i="334"/>
  <c r="K29" i="334"/>
  <c r="I29" i="334"/>
  <c r="H29" i="334"/>
  <c r="G29" i="334"/>
  <c r="F29" i="334"/>
  <c r="E29" i="334"/>
  <c r="N28" i="334"/>
  <c r="P28" i="334" s="1"/>
  <c r="R28" i="334" s="1"/>
  <c r="M28" i="334"/>
  <c r="J28" i="334"/>
  <c r="N27" i="334"/>
  <c r="P27" i="334" s="1"/>
  <c r="M27" i="334"/>
  <c r="J27" i="334"/>
  <c r="N26" i="334"/>
  <c r="P26" i="334" s="1"/>
  <c r="M26" i="334"/>
  <c r="J26" i="334"/>
  <c r="R26" i="334" s="1"/>
  <c r="N25" i="334"/>
  <c r="P25" i="334" s="1"/>
  <c r="R25" i="334" s="1"/>
  <c r="M25" i="334"/>
  <c r="J25" i="334"/>
  <c r="P24" i="334"/>
  <c r="N24" i="334"/>
  <c r="M24" i="334"/>
  <c r="J24" i="334"/>
  <c r="R24" i="334" s="1"/>
  <c r="N23" i="334"/>
  <c r="P23" i="334" s="1"/>
  <c r="M23" i="334"/>
  <c r="J23" i="334"/>
  <c r="R23" i="334" s="1"/>
  <c r="N22" i="334"/>
  <c r="P22" i="334" s="1"/>
  <c r="M22" i="334"/>
  <c r="J22" i="334"/>
  <c r="R22" i="334" s="1"/>
  <c r="N21" i="334"/>
  <c r="P21" i="334" s="1"/>
  <c r="M21" i="334"/>
  <c r="J21" i="334"/>
  <c r="R21" i="334" s="1"/>
  <c r="N20" i="334"/>
  <c r="P20" i="334" s="1"/>
  <c r="R20" i="334" s="1"/>
  <c r="M20" i="334"/>
  <c r="J20" i="334"/>
  <c r="N19" i="334"/>
  <c r="P19" i="334" s="1"/>
  <c r="M19" i="334"/>
  <c r="J19" i="334"/>
  <c r="A19" i="334"/>
  <c r="A20" i="334" s="1"/>
  <c r="A21" i="334" s="1"/>
  <c r="A22" i="334" s="1"/>
  <c r="A23" i="334" s="1"/>
  <c r="A24" i="334" s="1"/>
  <c r="A25" i="334" s="1"/>
  <c r="A26" i="334" s="1"/>
  <c r="A27" i="334" s="1"/>
  <c r="A28" i="334" s="1"/>
  <c r="N18" i="334"/>
  <c r="P18" i="334" s="1"/>
  <c r="M18" i="334"/>
  <c r="M29" i="334" s="1"/>
  <c r="J18" i="334"/>
  <c r="R18" i="334" s="1"/>
  <c r="BN200" i="333"/>
  <c r="AY200" i="333"/>
  <c r="AV200" i="333"/>
  <c r="AU200" i="333"/>
  <c r="AT200" i="333"/>
  <c r="AS200" i="333"/>
  <c r="AK200" i="333"/>
  <c r="AJ200" i="333"/>
  <c r="AG200" i="333"/>
  <c r="AF200" i="333"/>
  <c r="AE200" i="333"/>
  <c r="AC200" i="333"/>
  <c r="AA200" i="333"/>
  <c r="V200" i="333"/>
  <c r="U200" i="333"/>
  <c r="T200" i="333"/>
  <c r="S200" i="333"/>
  <c r="R200" i="333"/>
  <c r="P200" i="333"/>
  <c r="O200" i="333"/>
  <c r="N200" i="333"/>
  <c r="M200" i="333"/>
  <c r="L200" i="333"/>
  <c r="AQ199" i="333"/>
  <c r="AN199" i="333"/>
  <c r="AM199" i="333"/>
  <c r="W199" i="333"/>
  <c r="Q199" i="333"/>
  <c r="X199" i="333" s="1"/>
  <c r="AL199" i="333" s="1"/>
  <c r="K199" i="333"/>
  <c r="Y199" i="333" s="1"/>
  <c r="AR198" i="333"/>
  <c r="AQ198" i="333"/>
  <c r="AP198" i="333"/>
  <c r="AO198" i="333"/>
  <c r="AN198" i="333"/>
  <c r="AI198" i="333"/>
  <c r="AD198" i="333"/>
  <c r="AB198" i="333"/>
  <c r="W198" i="333"/>
  <c r="Q198" i="333"/>
  <c r="X198" i="333" s="1"/>
  <c r="AL198" i="333" s="1"/>
  <c r="K198" i="333"/>
  <c r="AM198" i="333" s="1"/>
  <c r="AN197" i="333"/>
  <c r="AI197" i="333"/>
  <c r="AD197" i="333"/>
  <c r="AB197" i="333"/>
  <c r="W197" i="333"/>
  <c r="Q197" i="333"/>
  <c r="K197" i="333"/>
  <c r="AP196" i="333"/>
  <c r="AO196" i="333"/>
  <c r="AN196" i="333"/>
  <c r="AQ196" i="333" s="1"/>
  <c r="AI196" i="333"/>
  <c r="AD196" i="333"/>
  <c r="AB196" i="333"/>
  <c r="W196" i="333"/>
  <c r="Q196" i="333"/>
  <c r="K196" i="333"/>
  <c r="AN195" i="333"/>
  <c r="AM195" i="333"/>
  <c r="AL195" i="333"/>
  <c r="AI195" i="333"/>
  <c r="AD195" i="333"/>
  <c r="AB195" i="333"/>
  <c r="W195" i="333"/>
  <c r="Q195" i="333"/>
  <c r="X195" i="333" s="1"/>
  <c r="K195" i="333"/>
  <c r="Y195" i="333" s="1"/>
  <c r="AN194" i="333"/>
  <c r="AI194" i="333"/>
  <c r="AI200" i="333" s="1"/>
  <c r="AD194" i="333"/>
  <c r="AB194" i="333"/>
  <c r="W194" i="333"/>
  <c r="Q194" i="333"/>
  <c r="K194" i="333"/>
  <c r="AX193" i="333"/>
  <c r="AW193" i="333"/>
  <c r="AP193" i="333"/>
  <c r="AN193" i="333"/>
  <c r="AI193" i="333"/>
  <c r="AD193" i="333"/>
  <c r="AB193" i="333"/>
  <c r="X193" i="333"/>
  <c r="AL193" i="333" s="1"/>
  <c r="W193" i="333"/>
  <c r="Q193" i="333"/>
  <c r="K193" i="333"/>
  <c r="AR192" i="333"/>
  <c r="AN192" i="333"/>
  <c r="AI192" i="333"/>
  <c r="AD192" i="333"/>
  <c r="AB192" i="333"/>
  <c r="W192" i="333"/>
  <c r="Q192" i="333"/>
  <c r="K192" i="333"/>
  <c r="AP191" i="333"/>
  <c r="AO191" i="333"/>
  <c r="AN191" i="333"/>
  <c r="AR191" i="333" s="1"/>
  <c r="AI191" i="333"/>
  <c r="AD191" i="333"/>
  <c r="AB191" i="333"/>
  <c r="X191" i="333"/>
  <c r="AL191" i="333" s="1"/>
  <c r="W191" i="333"/>
  <c r="Q191" i="333"/>
  <c r="Q200" i="333" s="1"/>
  <c r="K191" i="333"/>
  <c r="Y191" i="333" s="1"/>
  <c r="AN190" i="333"/>
  <c r="AI190" i="333"/>
  <c r="AD190" i="333"/>
  <c r="AB190" i="333"/>
  <c r="X190" i="333"/>
  <c r="AL190" i="333" s="1"/>
  <c r="AM190" i="333" s="1"/>
  <c r="W190" i="333"/>
  <c r="Q190" i="333"/>
  <c r="K190" i="333"/>
  <c r="AR189" i="333"/>
  <c r="AQ189" i="333"/>
  <c r="AP189" i="333"/>
  <c r="AO189" i="333"/>
  <c r="AN189" i="333"/>
  <c r="AI189" i="333"/>
  <c r="AD189" i="333"/>
  <c r="AB189" i="333"/>
  <c r="W189" i="333"/>
  <c r="Q189" i="333"/>
  <c r="K189" i="333"/>
  <c r="AR188" i="333"/>
  <c r="AN188" i="333"/>
  <c r="AI188" i="333"/>
  <c r="AD188" i="333"/>
  <c r="AB188" i="333"/>
  <c r="W188" i="333"/>
  <c r="Q188" i="333"/>
  <c r="K188" i="333"/>
  <c r="AX187" i="333"/>
  <c r="AX200" i="333" s="1"/>
  <c r="AW187" i="333"/>
  <c r="AW200" i="333" s="1"/>
  <c r="AN187" i="333"/>
  <c r="AD187" i="333"/>
  <c r="AB187" i="333"/>
  <c r="Y187" i="333"/>
  <c r="BG187" i="333" s="1"/>
  <c r="W187" i="333"/>
  <c r="Q187" i="333"/>
  <c r="X187" i="333" s="1"/>
  <c r="AL187" i="333" s="1"/>
  <c r="AM187" i="333" s="1"/>
  <c r="K187" i="333"/>
  <c r="B187" i="333"/>
  <c r="B188" i="333" s="1"/>
  <c r="B189" i="333" s="1"/>
  <c r="B190" i="333" s="1"/>
  <c r="B191" i="333" s="1"/>
  <c r="B192" i="333" s="1"/>
  <c r="B193" i="333" s="1"/>
  <c r="B194" i="333" s="1"/>
  <c r="B195" i="333" s="1"/>
  <c r="B196" i="333" s="1"/>
  <c r="B197" i="333" s="1"/>
  <c r="B198" i="333" s="1"/>
  <c r="B199" i="333" s="1"/>
  <c r="AZ186" i="333"/>
  <c r="AQ186" i="333"/>
  <c r="AP186" i="333"/>
  <c r="AO186" i="333"/>
  <c r="AN186" i="333"/>
  <c r="AR186" i="333" s="1"/>
  <c r="AL186" i="333"/>
  <c r="AM186" i="333" s="1"/>
  <c r="AD186" i="333"/>
  <c r="AB186" i="333"/>
  <c r="W186" i="333"/>
  <c r="Q186" i="333"/>
  <c r="X186" i="333" s="1"/>
  <c r="K186" i="333"/>
  <c r="Y186" i="333" s="1"/>
  <c r="BG185" i="333"/>
  <c r="AR185" i="333"/>
  <c r="AO185" i="333"/>
  <c r="AN185" i="333"/>
  <c r="AQ185" i="333" s="1"/>
  <c r="AL185" i="333"/>
  <c r="AM185" i="333" s="1"/>
  <c r="AD185" i="333"/>
  <c r="AB185" i="333"/>
  <c r="Y185" i="333"/>
  <c r="X185" i="333"/>
  <c r="W185" i="333"/>
  <c r="Q185" i="333"/>
  <c r="K185" i="333"/>
  <c r="B185" i="333"/>
  <c r="B186" i="333" s="1"/>
  <c r="AR184" i="333"/>
  <c r="AQ184" i="333"/>
  <c r="AO184" i="333"/>
  <c r="AN184" i="333"/>
  <c r="AD184" i="333"/>
  <c r="AB184" i="333"/>
  <c r="W184" i="333"/>
  <c r="Q184" i="333"/>
  <c r="K184" i="333"/>
  <c r="B184" i="333"/>
  <c r="BN183" i="333"/>
  <c r="AY183" i="333"/>
  <c r="AX183" i="333"/>
  <c r="AW183" i="333"/>
  <c r="AV183" i="333"/>
  <c r="AU183" i="333"/>
  <c r="AT183" i="333"/>
  <c r="AS183" i="333"/>
  <c r="AN183" i="333"/>
  <c r="AK183" i="333"/>
  <c r="AJ183" i="333"/>
  <c r="AI183" i="333"/>
  <c r="AH183" i="333"/>
  <c r="AG183" i="333"/>
  <c r="AF183" i="333"/>
  <c r="AE183" i="333"/>
  <c r="AC183" i="333"/>
  <c r="AA183" i="333"/>
  <c r="V183" i="333"/>
  <c r="U183" i="333"/>
  <c r="T183" i="333"/>
  <c r="S183" i="333"/>
  <c r="R183" i="333"/>
  <c r="P183" i="333"/>
  <c r="O183" i="333"/>
  <c r="N183" i="333"/>
  <c r="M183" i="333"/>
  <c r="L183" i="333"/>
  <c r="AX182" i="333"/>
  <c r="AW182" i="333"/>
  <c r="AR182" i="333"/>
  <c r="AQ182" i="333"/>
  <c r="AP182" i="333"/>
  <c r="AN182" i="333"/>
  <c r="AD182" i="333"/>
  <c r="AB182" i="333"/>
  <c r="X182" i="333"/>
  <c r="W182" i="333"/>
  <c r="Q182" i="333"/>
  <c r="K182" i="333"/>
  <c r="AW181" i="333"/>
  <c r="AR181" i="333"/>
  <c r="AQ181" i="333"/>
  <c r="AP181" i="333"/>
  <c r="AO181" i="333"/>
  <c r="AN181" i="333"/>
  <c r="AD181" i="333"/>
  <c r="AB181" i="333"/>
  <c r="W181" i="333"/>
  <c r="Q181" i="333"/>
  <c r="X181" i="333" s="1"/>
  <c r="AL181" i="333" s="1"/>
  <c r="AM181" i="333" s="1"/>
  <c r="K181" i="333"/>
  <c r="AW180" i="333"/>
  <c r="AR180" i="333"/>
  <c r="AQ180" i="333"/>
  <c r="AP180" i="333"/>
  <c r="AO180" i="333"/>
  <c r="AN180" i="333"/>
  <c r="AD180" i="333"/>
  <c r="AB180" i="333"/>
  <c r="W180" i="333"/>
  <c r="Q180" i="333"/>
  <c r="X180" i="333" s="1"/>
  <c r="AL180" i="333" s="1"/>
  <c r="K180" i="333"/>
  <c r="AW179" i="333"/>
  <c r="AR179" i="333"/>
  <c r="AQ179" i="333"/>
  <c r="AP179" i="333"/>
  <c r="AO179" i="333"/>
  <c r="AN179" i="333"/>
  <c r="AD179" i="333"/>
  <c r="AB179" i="333"/>
  <c r="X179" i="333"/>
  <c r="AL179" i="333" s="1"/>
  <c r="W179" i="333"/>
  <c r="Q179" i="333"/>
  <c r="K179" i="333"/>
  <c r="Y179" i="333" s="1"/>
  <c r="B179" i="333"/>
  <c r="B180" i="333" s="1"/>
  <c r="B181" i="333" s="1"/>
  <c r="B182" i="333" s="1"/>
  <c r="AW178" i="333"/>
  <c r="AR178" i="333"/>
  <c r="AQ178" i="333"/>
  <c r="AP178" i="333"/>
  <c r="AO178" i="333"/>
  <c r="AN178" i="333"/>
  <c r="AD178" i="333"/>
  <c r="AB178" i="333"/>
  <c r="W178" i="333"/>
  <c r="X178" i="333" s="1"/>
  <c r="Q178" i="333"/>
  <c r="K178" i="333"/>
  <c r="B178" i="333"/>
  <c r="AW177" i="333"/>
  <c r="AR177" i="333"/>
  <c r="AQ177" i="333"/>
  <c r="AP177" i="333"/>
  <c r="AO177" i="333"/>
  <c r="AN177" i="333"/>
  <c r="AD177" i="333"/>
  <c r="AB177" i="333"/>
  <c r="X177" i="333"/>
  <c r="W177" i="333"/>
  <c r="Q177" i="333"/>
  <c r="K177" i="333"/>
  <c r="B177" i="333"/>
  <c r="AW176" i="333"/>
  <c r="AR176" i="333"/>
  <c r="AQ176" i="333"/>
  <c r="AP176" i="333"/>
  <c r="AO176" i="333"/>
  <c r="AN176" i="333"/>
  <c r="AM176" i="333"/>
  <c r="AD176" i="333"/>
  <c r="AD183" i="333" s="1"/>
  <c r="AB176" i="333"/>
  <c r="AB183" i="333" s="1"/>
  <c r="W176" i="333"/>
  <c r="X176" i="333" s="1"/>
  <c r="AL176" i="333" s="1"/>
  <c r="Q176" i="333"/>
  <c r="K176" i="333"/>
  <c r="B176" i="333"/>
  <c r="AR175" i="333"/>
  <c r="AR183" i="333" s="1"/>
  <c r="AO175" i="333"/>
  <c r="AN175" i="333"/>
  <c r="AD175" i="333"/>
  <c r="AB175" i="333"/>
  <c r="X175" i="333"/>
  <c r="AL175" i="333" s="1"/>
  <c r="W175" i="333"/>
  <c r="Q175" i="333"/>
  <c r="K175" i="333"/>
  <c r="BN174" i="333"/>
  <c r="AY174" i="333"/>
  <c r="AX174" i="333"/>
  <c r="AV174" i="333"/>
  <c r="AU174" i="333"/>
  <c r="AT174" i="333"/>
  <c r="AS174" i="333"/>
  <c r="AK174" i="333"/>
  <c r="AJ174" i="333"/>
  <c r="AG174" i="333"/>
  <c r="AE174" i="333"/>
  <c r="AC174" i="333"/>
  <c r="AA174" i="333"/>
  <c r="W174" i="333"/>
  <c r="V174" i="333"/>
  <c r="U174" i="333"/>
  <c r="T174" i="333"/>
  <c r="S174" i="333"/>
  <c r="R174" i="333"/>
  <c r="Q174" i="333"/>
  <c r="P174" i="333"/>
  <c r="O174" i="333"/>
  <c r="N174" i="333"/>
  <c r="M174" i="333"/>
  <c r="L174" i="333"/>
  <c r="AX173" i="333"/>
  <c r="AW173" i="333"/>
  <c r="AN173" i="333"/>
  <c r="AD173" i="333"/>
  <c r="AB173" i="333"/>
  <c r="W173" i="333"/>
  <c r="Q173" i="333"/>
  <c r="K173" i="333"/>
  <c r="AN172" i="333"/>
  <c r="AI172" i="333"/>
  <c r="AI174" i="333" s="1"/>
  <c r="AD172" i="333"/>
  <c r="AB172" i="333"/>
  <c r="X172" i="333"/>
  <c r="AL172" i="333" s="1"/>
  <c r="W172" i="333"/>
  <c r="Q172" i="333"/>
  <c r="K172" i="333"/>
  <c r="AQ171" i="333"/>
  <c r="AP171" i="333"/>
  <c r="AN171" i="333"/>
  <c r="AD171" i="333"/>
  <c r="AB171" i="333"/>
  <c r="W171" i="333"/>
  <c r="Q171" i="333"/>
  <c r="X171" i="333" s="1"/>
  <c r="K171" i="333"/>
  <c r="AR170" i="333"/>
  <c r="AN170" i="333"/>
  <c r="AQ170" i="333" s="1"/>
  <c r="AD170" i="333"/>
  <c r="AB170" i="333"/>
  <c r="W170" i="333"/>
  <c r="Q170" i="333"/>
  <c r="X170" i="333" s="1"/>
  <c r="AL170" i="333" s="1"/>
  <c r="K170" i="333"/>
  <c r="B170" i="333"/>
  <c r="B171" i="333" s="1"/>
  <c r="B172" i="333" s="1"/>
  <c r="B173" i="333" s="1"/>
  <c r="AN169" i="333"/>
  <c r="AL169" i="333"/>
  <c r="AM169" i="333" s="1"/>
  <c r="AD169" i="333"/>
  <c r="AB169" i="333"/>
  <c r="W169" i="333"/>
  <c r="X169" i="333" s="1"/>
  <c r="Y169" i="333" s="1"/>
  <c r="Q169" i="333"/>
  <c r="K169" i="333"/>
  <c r="B169" i="333"/>
  <c r="AX168" i="333"/>
  <c r="AW168" i="333"/>
  <c r="AW174" i="333" s="1"/>
  <c r="AN168" i="333"/>
  <c r="AM168" i="333"/>
  <c r="AD168" i="333"/>
  <c r="AB168" i="333"/>
  <c r="W168" i="333"/>
  <c r="Q168" i="333"/>
  <c r="X168" i="333" s="1"/>
  <c r="AL168" i="333" s="1"/>
  <c r="K168" i="333"/>
  <c r="B168" i="333"/>
  <c r="AX167" i="333"/>
  <c r="AW167" i="333"/>
  <c r="AQ167" i="333"/>
  <c r="AN167" i="333"/>
  <c r="AD167" i="333"/>
  <c r="AD174" i="333" s="1"/>
  <c r="AB167" i="333"/>
  <c r="W167" i="333"/>
  <c r="Q167" i="333"/>
  <c r="X167" i="333" s="1"/>
  <c r="K167" i="333"/>
  <c r="BN166" i="333"/>
  <c r="AY166" i="333"/>
  <c r="AV166" i="333"/>
  <c r="AU166" i="333"/>
  <c r="AT166" i="333"/>
  <c r="AS166" i="333"/>
  <c r="AK166" i="333"/>
  <c r="AJ166" i="333"/>
  <c r="AI166" i="333"/>
  <c r="AH166" i="333"/>
  <c r="AE166" i="333"/>
  <c r="AD166" i="333"/>
  <c r="AC166" i="333"/>
  <c r="AB166" i="333"/>
  <c r="AA166" i="333"/>
  <c r="V166" i="333"/>
  <c r="U166" i="333"/>
  <c r="T166" i="333"/>
  <c r="S166" i="333"/>
  <c r="R166" i="333"/>
  <c r="P166" i="333"/>
  <c r="O166" i="333"/>
  <c r="N166" i="333"/>
  <c r="M166" i="333"/>
  <c r="L166" i="333"/>
  <c r="AX165" i="333"/>
  <c r="AW165" i="333"/>
  <c r="AR165" i="333"/>
  <c r="AQ165" i="333"/>
  <c r="AP165" i="333"/>
  <c r="AO165" i="333"/>
  <c r="AN165" i="333"/>
  <c r="AM165" i="333"/>
  <c r="AL165" i="333"/>
  <c r="AD165" i="333"/>
  <c r="AB165" i="333"/>
  <c r="W165" i="333"/>
  <c r="X165" i="333" s="1"/>
  <c r="Q165" i="333"/>
  <c r="K165" i="333"/>
  <c r="AX164" i="333"/>
  <c r="AW164" i="333"/>
  <c r="AN164" i="333"/>
  <c r="AD164" i="333"/>
  <c r="AB164" i="333"/>
  <c r="W164" i="333"/>
  <c r="Q164" i="333"/>
  <c r="K164" i="333"/>
  <c r="B164" i="333"/>
  <c r="B165" i="333" s="1"/>
  <c r="AX163" i="333"/>
  <c r="AW163" i="333"/>
  <c r="AR163" i="333"/>
  <c r="AO163" i="333"/>
  <c r="AN163" i="333"/>
  <c r="AQ163" i="333" s="1"/>
  <c r="AG163" i="333"/>
  <c r="AD163" i="333"/>
  <c r="AB163" i="333"/>
  <c r="W163" i="333"/>
  <c r="Q163" i="333"/>
  <c r="X163" i="333" s="1"/>
  <c r="AL163" i="333" s="1"/>
  <c r="K163" i="333"/>
  <c r="B163" i="333"/>
  <c r="AX162" i="333"/>
  <c r="AW162" i="333"/>
  <c r="AN162" i="333"/>
  <c r="AG162" i="333"/>
  <c r="AG166" i="333" s="1"/>
  <c r="AD162" i="333"/>
  <c r="AB162" i="333"/>
  <c r="W162" i="333"/>
  <c r="Q162" i="333"/>
  <c r="K162" i="333"/>
  <c r="BN161" i="333"/>
  <c r="AY161" i="333"/>
  <c r="AV161" i="333"/>
  <c r="AU161" i="333"/>
  <c r="AT161" i="333"/>
  <c r="AS161" i="333"/>
  <c r="AK161" i="333"/>
  <c r="AJ161" i="333"/>
  <c r="AI161" i="333"/>
  <c r="AH161" i="333"/>
  <c r="AG161" i="333"/>
  <c r="AE161" i="333"/>
  <c r="AC161" i="333"/>
  <c r="AA161" i="333"/>
  <c r="V161" i="333"/>
  <c r="U161" i="333"/>
  <c r="T161" i="333"/>
  <c r="S161" i="333"/>
  <c r="R161" i="333"/>
  <c r="P161" i="333"/>
  <c r="O161" i="333"/>
  <c r="N161" i="333"/>
  <c r="M161" i="333"/>
  <c r="L161" i="333"/>
  <c r="AX160" i="333"/>
  <c r="AW160" i="333"/>
  <c r="AR160" i="333"/>
  <c r="AN160" i="333"/>
  <c r="AL160" i="333"/>
  <c r="AD160" i="333"/>
  <c r="AB160" i="333"/>
  <c r="W160" i="333"/>
  <c r="X160" i="333" s="1"/>
  <c r="Q160" i="333"/>
  <c r="K160" i="333"/>
  <c r="AX159" i="333"/>
  <c r="AX161" i="333" s="1"/>
  <c r="AW159" i="333"/>
  <c r="AR159" i="333"/>
  <c r="AQ159" i="333"/>
  <c r="AN159" i="333"/>
  <c r="AD159" i="333"/>
  <c r="AB159" i="333"/>
  <c r="W159" i="333"/>
  <c r="Q159" i="333"/>
  <c r="K159" i="333"/>
  <c r="AR158" i="333"/>
  <c r="AQ158" i="333"/>
  <c r="AO158" i="333"/>
  <c r="AN158" i="333"/>
  <c r="AD158" i="333"/>
  <c r="AD161" i="333" s="1"/>
  <c r="AB158" i="333"/>
  <c r="W158" i="333"/>
  <c r="Q158" i="333"/>
  <c r="K158" i="333"/>
  <c r="B158" i="333"/>
  <c r="B159" i="333" s="1"/>
  <c r="B160" i="333" s="1"/>
  <c r="AO157" i="333"/>
  <c r="AN157" i="333"/>
  <c r="AD157" i="333"/>
  <c r="AB157" i="333"/>
  <c r="AB161" i="333" s="1"/>
  <c r="X157" i="333"/>
  <c r="W157" i="333"/>
  <c r="Q157" i="333"/>
  <c r="K157" i="333"/>
  <c r="BN156" i="333"/>
  <c r="AY156" i="333"/>
  <c r="AV156" i="333"/>
  <c r="AU156" i="333"/>
  <c r="AT156" i="333"/>
  <c r="AS156" i="333"/>
  <c r="AK156" i="333"/>
  <c r="AJ156" i="333"/>
  <c r="AE156" i="333"/>
  <c r="AC156" i="333"/>
  <c r="AA156" i="333"/>
  <c r="V156" i="333"/>
  <c r="U156" i="333"/>
  <c r="T156" i="333"/>
  <c r="S156" i="333"/>
  <c r="R156" i="333"/>
  <c r="P156" i="333"/>
  <c r="O156" i="333"/>
  <c r="N156" i="333"/>
  <c r="M156" i="333"/>
  <c r="L156" i="333"/>
  <c r="AX155" i="333"/>
  <c r="AW155" i="333"/>
  <c r="AR155" i="333"/>
  <c r="AQ155" i="333"/>
  <c r="AP155" i="333"/>
  <c r="AN155" i="333"/>
  <c r="AD155" i="333"/>
  <c r="AB155" i="333"/>
  <c r="W155" i="333"/>
  <c r="Q155" i="333"/>
  <c r="K155" i="333"/>
  <c r="AR154" i="333"/>
  <c r="AQ154" i="333"/>
  <c r="AN154" i="333"/>
  <c r="AI154" i="333"/>
  <c r="AG154" i="333"/>
  <c r="AD154" i="333"/>
  <c r="AB154" i="333"/>
  <c r="Y154" i="333"/>
  <c r="W154" i="333"/>
  <c r="Q154" i="333"/>
  <c r="X154" i="333" s="1"/>
  <c r="K154" i="333"/>
  <c r="B154" i="333"/>
  <c r="B155" i="333" s="1"/>
  <c r="AX153" i="333"/>
  <c r="AX156" i="333" s="1"/>
  <c r="AW153" i="333"/>
  <c r="AW156" i="333" s="1"/>
  <c r="AP153" i="333"/>
  <c r="AO153" i="333"/>
  <c r="AN153" i="333"/>
  <c r="AM153" i="333"/>
  <c r="AI153" i="333"/>
  <c r="AG153" i="333"/>
  <c r="AG156" i="333" s="1"/>
  <c r="AD153" i="333"/>
  <c r="AD156" i="333" s="1"/>
  <c r="AB153" i="333"/>
  <c r="AB156" i="333" s="1"/>
  <c r="X153" i="333"/>
  <c r="AL153" i="333" s="1"/>
  <c r="W153" i="333"/>
  <c r="Q153" i="333"/>
  <c r="K153" i="333"/>
  <c r="B153" i="333"/>
  <c r="BN152" i="333"/>
  <c r="AY152" i="333"/>
  <c r="AV152" i="333"/>
  <c r="AU152" i="333"/>
  <c r="AT152" i="333"/>
  <c r="AS152" i="333"/>
  <c r="AK152" i="333"/>
  <c r="AJ152" i="333"/>
  <c r="AG152" i="333"/>
  <c r="AE152" i="333"/>
  <c r="AC152" i="333"/>
  <c r="AA152" i="333"/>
  <c r="V152" i="333"/>
  <c r="U152" i="333"/>
  <c r="T152" i="333"/>
  <c r="S152" i="333"/>
  <c r="R152" i="333"/>
  <c r="Q152" i="333"/>
  <c r="P152" i="333"/>
  <c r="O152" i="333"/>
  <c r="N152" i="333"/>
  <c r="M152" i="333"/>
  <c r="L152" i="333"/>
  <c r="K152" i="333"/>
  <c r="AX151" i="333"/>
  <c r="AW151" i="333"/>
  <c r="AN151" i="333"/>
  <c r="AL151" i="333"/>
  <c r="AD151" i="333"/>
  <c r="AB151" i="333"/>
  <c r="Y151" i="333"/>
  <c r="W151" i="333"/>
  <c r="X151" i="333" s="1"/>
  <c r="Q151" i="333"/>
  <c r="K151" i="333"/>
  <c r="AW150" i="333"/>
  <c r="AR150" i="333"/>
  <c r="AP150" i="333"/>
  <c r="AN150" i="333"/>
  <c r="AI150" i="333"/>
  <c r="AG150" i="333"/>
  <c r="AD150" i="333"/>
  <c r="AB150" i="333"/>
  <c r="W150" i="333"/>
  <c r="X150" i="333" s="1"/>
  <c r="AL150" i="333" s="1"/>
  <c r="Q150" i="333"/>
  <c r="K150" i="333"/>
  <c r="BG149" i="333"/>
  <c r="AW149" i="333"/>
  <c r="AR149" i="333"/>
  <c r="AZ149" i="333" s="1"/>
  <c r="BA149" i="333" s="1"/>
  <c r="AQ149" i="333"/>
  <c r="AP149" i="333"/>
  <c r="AO149" i="333"/>
  <c r="AN149" i="333"/>
  <c r="AW148" i="333"/>
  <c r="AR148" i="333"/>
  <c r="AQ148" i="333"/>
  <c r="AP148" i="333"/>
  <c r="AN148" i="333"/>
  <c r="AO148" i="333" s="1"/>
  <c r="AD148" i="333"/>
  <c r="AB148" i="333"/>
  <c r="Y148" i="333"/>
  <c r="X148" i="333"/>
  <c r="AL148" i="333" s="1"/>
  <c r="AM148" i="333" s="1"/>
  <c r="W148" i="333"/>
  <c r="Q148" i="333"/>
  <c r="K148" i="333"/>
  <c r="AW147" i="333"/>
  <c r="AP147" i="333"/>
  <c r="AN147" i="333"/>
  <c r="AM147" i="333"/>
  <c r="AL147" i="333"/>
  <c r="AI147" i="333"/>
  <c r="AD147" i="333"/>
  <c r="AB147" i="333"/>
  <c r="Y147" i="333"/>
  <c r="W147" i="333"/>
  <c r="X147" i="333" s="1"/>
  <c r="Q147" i="333"/>
  <c r="K147" i="333"/>
  <c r="AX146" i="333"/>
  <c r="AX152" i="333" s="1"/>
  <c r="AW146" i="333"/>
  <c r="AN146" i="333"/>
  <c r="AG146" i="333"/>
  <c r="AD146" i="333"/>
  <c r="AB146" i="333"/>
  <c r="W146" i="333"/>
  <c r="Q146" i="333"/>
  <c r="K146" i="333"/>
  <c r="B146" i="333"/>
  <c r="B147" i="333" s="1"/>
  <c r="B148" i="333" s="1"/>
  <c r="B149" i="333" s="1"/>
  <c r="B150" i="333" s="1"/>
  <c r="B151" i="333" s="1"/>
  <c r="AW145" i="333"/>
  <c r="AN145" i="333"/>
  <c r="AI145" i="333"/>
  <c r="AG145" i="333"/>
  <c r="AD145" i="333"/>
  <c r="AB145" i="333"/>
  <c r="X145" i="333"/>
  <c r="W145" i="333"/>
  <c r="Q145" i="333"/>
  <c r="K145" i="333"/>
  <c r="B145" i="333"/>
  <c r="AX144" i="333"/>
  <c r="AW144" i="333"/>
  <c r="AN144" i="333"/>
  <c r="AI144" i="333"/>
  <c r="AG144" i="333"/>
  <c r="AD144" i="333"/>
  <c r="AB144" i="333"/>
  <c r="W144" i="333"/>
  <c r="W152" i="333" s="1"/>
  <c r="Q144" i="333"/>
  <c r="K144" i="333"/>
  <c r="BN143" i="333"/>
  <c r="AY143" i="333"/>
  <c r="AX143" i="333"/>
  <c r="AV143" i="333"/>
  <c r="AU143" i="333"/>
  <c r="AT143" i="333"/>
  <c r="AS143" i="333"/>
  <c r="AK143" i="333"/>
  <c r="AJ143" i="333"/>
  <c r="AG143" i="333"/>
  <c r="AE143" i="333"/>
  <c r="AC143" i="333"/>
  <c r="AA143" i="333"/>
  <c r="V143" i="333"/>
  <c r="U143" i="333"/>
  <c r="T143" i="333"/>
  <c r="S143" i="333"/>
  <c r="R143" i="333"/>
  <c r="P143" i="333"/>
  <c r="O143" i="333"/>
  <c r="N143" i="333"/>
  <c r="M143" i="333"/>
  <c r="L143" i="333"/>
  <c r="AX142" i="333"/>
  <c r="AW142" i="333"/>
  <c r="AR142" i="333"/>
  <c r="AQ142" i="333"/>
  <c r="AP142" i="333"/>
  <c r="AO142" i="333"/>
  <c r="AN142" i="333"/>
  <c r="AD142" i="333"/>
  <c r="AB142" i="333"/>
  <c r="Z142" i="333"/>
  <c r="AZ142" i="333" s="1"/>
  <c r="Y142" i="333"/>
  <c r="W142" i="333"/>
  <c r="Q142" i="333"/>
  <c r="X142" i="333" s="1"/>
  <c r="AL142" i="333" s="1"/>
  <c r="K142" i="333"/>
  <c r="AM142" i="333" s="1"/>
  <c r="AQ141" i="333"/>
  <c r="AP141" i="333"/>
  <c r="AN141" i="333"/>
  <c r="AG141" i="333"/>
  <c r="AD141" i="333"/>
  <c r="AB141" i="333"/>
  <c r="Y141" i="333"/>
  <c r="W141" i="333"/>
  <c r="X141" i="333" s="1"/>
  <c r="AL141" i="333" s="1"/>
  <c r="Q141" i="333"/>
  <c r="K141" i="333"/>
  <c r="B141" i="333"/>
  <c r="B142" i="333" s="1"/>
  <c r="AX140" i="333"/>
  <c r="AW140" i="333"/>
  <c r="AW143" i="333" s="1"/>
  <c r="AR140" i="333"/>
  <c r="AQ140" i="333"/>
  <c r="AP140" i="333"/>
  <c r="AO140" i="333"/>
  <c r="AN140" i="333"/>
  <c r="AI140" i="333"/>
  <c r="AD140" i="333"/>
  <c r="AB140" i="333"/>
  <c r="X140" i="333"/>
  <c r="AL140" i="333" s="1"/>
  <c r="AM140" i="333" s="1"/>
  <c r="W140" i="333"/>
  <c r="Q140" i="333"/>
  <c r="K140" i="333"/>
  <c r="AR139" i="333"/>
  <c r="AQ139" i="333"/>
  <c r="AP139" i="333"/>
  <c r="AO139" i="333"/>
  <c r="AN139" i="333"/>
  <c r="AG139" i="333"/>
  <c r="AD139" i="333"/>
  <c r="AB139" i="333"/>
  <c r="W139" i="333"/>
  <c r="X139" i="333" s="1"/>
  <c r="AL139" i="333" s="1"/>
  <c r="Q139" i="333"/>
  <c r="K139" i="333"/>
  <c r="AR138" i="333"/>
  <c r="AQ138" i="333"/>
  <c r="AP138" i="333"/>
  <c r="AO138" i="333"/>
  <c r="AN138" i="333"/>
  <c r="AD138" i="333"/>
  <c r="AB138" i="333"/>
  <c r="X138" i="333"/>
  <c r="AL138" i="333" s="1"/>
  <c r="AM138" i="333" s="1"/>
  <c r="W138" i="333"/>
  <c r="Q138" i="333"/>
  <c r="K138" i="333"/>
  <c r="AO137" i="333"/>
  <c r="AN137" i="333"/>
  <c r="AI137" i="333"/>
  <c r="AG137" i="333"/>
  <c r="AD137" i="333"/>
  <c r="AB137" i="333"/>
  <c r="W137" i="333"/>
  <c r="W143" i="333" s="1"/>
  <c r="Q137" i="333"/>
  <c r="K137" i="333"/>
  <c r="B137" i="333"/>
  <c r="B138" i="333" s="1"/>
  <c r="B139" i="333" s="1"/>
  <c r="B140" i="333" s="1"/>
  <c r="AR136" i="333"/>
  <c r="AQ136" i="333"/>
  <c r="AP136" i="333"/>
  <c r="AO136" i="333"/>
  <c r="AN136" i="333"/>
  <c r="AI136" i="333"/>
  <c r="AG136" i="333"/>
  <c r="AD136" i="333"/>
  <c r="AB136" i="333"/>
  <c r="AB143" i="333" s="1"/>
  <c r="W136" i="333"/>
  <c r="Q136" i="333"/>
  <c r="K136" i="333"/>
  <c r="B136" i="333"/>
  <c r="BN135" i="333"/>
  <c r="AY135" i="333"/>
  <c r="AV135" i="333"/>
  <c r="AU135" i="333"/>
  <c r="AT135" i="333"/>
  <c r="AS135" i="333"/>
  <c r="AK135" i="333"/>
  <c r="AJ135" i="333"/>
  <c r="AE135" i="333"/>
  <c r="AC135" i="333"/>
  <c r="AA135" i="333"/>
  <c r="V135" i="333"/>
  <c r="U135" i="333"/>
  <c r="T135" i="333"/>
  <c r="S135" i="333"/>
  <c r="R135" i="333"/>
  <c r="P135" i="333"/>
  <c r="O135" i="333"/>
  <c r="N135" i="333"/>
  <c r="M135" i="333"/>
  <c r="L135" i="333"/>
  <c r="BG134" i="333"/>
  <c r="AX134" i="333"/>
  <c r="AW134" i="333"/>
  <c r="AR134" i="333"/>
  <c r="AQ134" i="333"/>
  <c r="AP134" i="333"/>
  <c r="AO134" i="333"/>
  <c r="AN134" i="333"/>
  <c r="AL134" i="333"/>
  <c r="AM134" i="333" s="1"/>
  <c r="AI134" i="333"/>
  <c r="AG134" i="333"/>
  <c r="AD134" i="333"/>
  <c r="AB134" i="333"/>
  <c r="Z134" i="333"/>
  <c r="Y134" i="333"/>
  <c r="W134" i="333"/>
  <c r="Q134" i="333"/>
  <c r="X134" i="333" s="1"/>
  <c r="K134" i="333"/>
  <c r="AN133" i="333"/>
  <c r="AI133" i="333"/>
  <c r="AG133" i="333"/>
  <c r="AG135" i="333" s="1"/>
  <c r="AD133" i="333"/>
  <c r="AB133" i="333"/>
  <c r="X133" i="333"/>
  <c r="AL133" i="333" s="1"/>
  <c r="W133" i="333"/>
  <c r="Q133" i="333"/>
  <c r="K133" i="333"/>
  <c r="B133" i="333"/>
  <c r="B134" i="333" s="1"/>
  <c r="AX132" i="333"/>
  <c r="AW132" i="333"/>
  <c r="AR132" i="333"/>
  <c r="AQ132" i="333"/>
  <c r="AP132" i="333"/>
  <c r="AN132" i="333"/>
  <c r="AO132" i="333" s="1"/>
  <c r="AI132" i="333"/>
  <c r="AD132" i="333"/>
  <c r="AB132" i="333"/>
  <c r="W132" i="333"/>
  <c r="Q132" i="333"/>
  <c r="X132" i="333" s="1"/>
  <c r="Y132" i="333" s="1"/>
  <c r="K132" i="333"/>
  <c r="B132" i="333"/>
  <c r="AQ131" i="333"/>
  <c r="AP131" i="333"/>
  <c r="AO131" i="333"/>
  <c r="AN131" i="333"/>
  <c r="AR131" i="333" s="1"/>
  <c r="AI131" i="333"/>
  <c r="AG131" i="333"/>
  <c r="AD131" i="333"/>
  <c r="AB131" i="333"/>
  <c r="Y131" i="333"/>
  <c r="W131" i="333"/>
  <c r="Q131" i="333"/>
  <c r="X131" i="333" s="1"/>
  <c r="AL131" i="333" s="1"/>
  <c r="AM131" i="333" s="1"/>
  <c r="K131" i="333"/>
  <c r="B131" i="333"/>
  <c r="AN130" i="333"/>
  <c r="AD130" i="333"/>
  <c r="AB130" i="333"/>
  <c r="W130" i="333"/>
  <c r="X130" i="333" s="1"/>
  <c r="Q130" i="333"/>
  <c r="K130" i="333"/>
  <c r="AQ129" i="333"/>
  <c r="AO129" i="333"/>
  <c r="AN129" i="333"/>
  <c r="AL129" i="333"/>
  <c r="AM129" i="333" s="1"/>
  <c r="AI129" i="333"/>
  <c r="AI135" i="333" s="1"/>
  <c r="AD129" i="333"/>
  <c r="AB129" i="333"/>
  <c r="W129" i="333"/>
  <c r="Q129" i="333"/>
  <c r="X129" i="333" s="1"/>
  <c r="Y129" i="333" s="1"/>
  <c r="K129" i="333"/>
  <c r="AX128" i="333"/>
  <c r="AX135" i="333" s="1"/>
  <c r="AW128" i="333"/>
  <c r="AN128" i="333"/>
  <c r="AI128" i="333"/>
  <c r="AD128" i="333"/>
  <c r="AB128" i="333"/>
  <c r="W128" i="333"/>
  <c r="Q128" i="333"/>
  <c r="K128" i="333"/>
  <c r="AN127" i="333"/>
  <c r="AG127" i="333"/>
  <c r="AD127" i="333"/>
  <c r="AB127" i="333"/>
  <c r="AB135" i="333" s="1"/>
  <c r="W127" i="333"/>
  <c r="Q127" i="333"/>
  <c r="X127" i="333" s="1"/>
  <c r="AL127" i="333" s="1"/>
  <c r="K127" i="333"/>
  <c r="AQ126" i="333"/>
  <c r="AN126" i="333"/>
  <c r="AL126" i="333"/>
  <c r="AM126" i="333" s="1"/>
  <c r="AD126" i="333"/>
  <c r="AB126" i="333"/>
  <c r="W126" i="333"/>
  <c r="X126" i="333" s="1"/>
  <c r="Q126" i="333"/>
  <c r="K126" i="333"/>
  <c r="Y126" i="333" s="1"/>
  <c r="B126" i="333"/>
  <c r="B127" i="333" s="1"/>
  <c r="B128" i="333" s="1"/>
  <c r="B129" i="333" s="1"/>
  <c r="B130" i="333" s="1"/>
  <c r="AR125" i="333"/>
  <c r="AQ125" i="333"/>
  <c r="AO125" i="333"/>
  <c r="AN125" i="333"/>
  <c r="AD125" i="333"/>
  <c r="AB125" i="333"/>
  <c r="W125" i="333"/>
  <c r="Q125" i="333"/>
  <c r="K125" i="333"/>
  <c r="AV124" i="333"/>
  <c r="AV201" i="333" s="1"/>
  <c r="AH124" i="333"/>
  <c r="AH201" i="333" s="1"/>
  <c r="BN123" i="333"/>
  <c r="AY123" i="333"/>
  <c r="AX123" i="333"/>
  <c r="AV123" i="333"/>
  <c r="AU123" i="333"/>
  <c r="AT123" i="333"/>
  <c r="AS123" i="333"/>
  <c r="AE123" i="333"/>
  <c r="AC123" i="333"/>
  <c r="AA123" i="333"/>
  <c r="V123" i="333"/>
  <c r="U123" i="333"/>
  <c r="T123" i="333"/>
  <c r="S123" i="333"/>
  <c r="R123" i="333"/>
  <c r="P123" i="333"/>
  <c r="P124" i="333" s="1"/>
  <c r="P201" i="333" s="1"/>
  <c r="O123" i="333"/>
  <c r="N123" i="333"/>
  <c r="M123" i="333"/>
  <c r="L123" i="333"/>
  <c r="AX122" i="333"/>
  <c r="AW122" i="333"/>
  <c r="AR122" i="333"/>
  <c r="AQ122" i="333"/>
  <c r="AP122" i="333"/>
  <c r="AN122" i="333"/>
  <c r="AD122" i="333"/>
  <c r="AB122" i="333"/>
  <c r="X122" i="333"/>
  <c r="W122" i="333"/>
  <c r="Q122" i="333"/>
  <c r="K122" i="333"/>
  <c r="AR121" i="333"/>
  <c r="AQ121" i="333"/>
  <c r="AP121" i="333"/>
  <c r="AO121" i="333"/>
  <c r="AN121" i="333"/>
  <c r="AD121" i="333"/>
  <c r="AB121" i="333"/>
  <c r="Y121" i="333"/>
  <c r="W121" i="333"/>
  <c r="Q121" i="333"/>
  <c r="X121" i="333" s="1"/>
  <c r="K121" i="333"/>
  <c r="AX120" i="333"/>
  <c r="AW120" i="333"/>
  <c r="AN120" i="333"/>
  <c r="AM120" i="333"/>
  <c r="AL120" i="333"/>
  <c r="AG120" i="333"/>
  <c r="AD120" i="333"/>
  <c r="AB120" i="333"/>
  <c r="Z120" i="333"/>
  <c r="W120" i="333"/>
  <c r="X120" i="333" s="1"/>
  <c r="AJ120" i="333" s="1"/>
  <c r="AK120" i="333" s="1"/>
  <c r="Q120" i="333"/>
  <c r="K120" i="333"/>
  <c r="Y120" i="333" s="1"/>
  <c r="AX119" i="333"/>
  <c r="AW119" i="333"/>
  <c r="AN119" i="333"/>
  <c r="AD119" i="333"/>
  <c r="AB119" i="333"/>
  <c r="AB123" i="333" s="1"/>
  <c r="W119" i="333"/>
  <c r="Q119" i="333"/>
  <c r="K119" i="333"/>
  <c r="AN118" i="333"/>
  <c r="AD118" i="333"/>
  <c r="AB118" i="333"/>
  <c r="W118" i="333"/>
  <c r="X118" i="333" s="1"/>
  <c r="Q118" i="333"/>
  <c r="K118" i="333"/>
  <c r="AX117" i="333"/>
  <c r="AW117" i="333"/>
  <c r="AR117" i="333"/>
  <c r="AQ117" i="333"/>
  <c r="AN117" i="333"/>
  <c r="AD117" i="333"/>
  <c r="AB117" i="333"/>
  <c r="W117" i="333"/>
  <c r="Q117" i="333"/>
  <c r="X117" i="333" s="1"/>
  <c r="K117" i="333"/>
  <c r="AR116" i="333"/>
  <c r="AQ116" i="333"/>
  <c r="AO116" i="333"/>
  <c r="AN116" i="333"/>
  <c r="AD116" i="333"/>
  <c r="AB116" i="333"/>
  <c r="Y116" i="333"/>
  <c r="W116" i="333"/>
  <c r="X116" i="333" s="1"/>
  <c r="Q116" i="333"/>
  <c r="K116" i="333"/>
  <c r="AX115" i="333"/>
  <c r="AW115" i="333"/>
  <c r="AQ115" i="333"/>
  <c r="AP115" i="333"/>
  <c r="AO115" i="333"/>
  <c r="AN115" i="333"/>
  <c r="AI115" i="333"/>
  <c r="AD115" i="333"/>
  <c r="AB115" i="333"/>
  <c r="W115" i="333"/>
  <c r="Q115" i="333"/>
  <c r="X115" i="333" s="1"/>
  <c r="K115" i="333"/>
  <c r="AX114" i="333"/>
  <c r="AW114" i="333"/>
  <c r="AQ114" i="333"/>
  <c r="AO114" i="333"/>
  <c r="AN114" i="333"/>
  <c r="AG114" i="333"/>
  <c r="AD114" i="333"/>
  <c r="AB114" i="333"/>
  <c r="W114" i="333"/>
  <c r="X114" i="333" s="1"/>
  <c r="Q114" i="333"/>
  <c r="K114" i="333"/>
  <c r="AN113" i="333"/>
  <c r="AD113" i="333"/>
  <c r="AB113" i="333"/>
  <c r="W113" i="333"/>
  <c r="X113" i="333" s="1"/>
  <c r="Q113" i="333"/>
  <c r="K113" i="333"/>
  <c r="B113" i="333"/>
  <c r="B114" i="333" s="1"/>
  <c r="B115" i="333" s="1"/>
  <c r="B116" i="333" s="1"/>
  <c r="B117" i="333" s="1"/>
  <c r="B118" i="333" s="1"/>
  <c r="B119" i="333" s="1"/>
  <c r="B120" i="333" s="1"/>
  <c r="B121" i="333" s="1"/>
  <c r="B122" i="333" s="1"/>
  <c r="AX112" i="333"/>
  <c r="AW112" i="333"/>
  <c r="AR112" i="333"/>
  <c r="AN112" i="333"/>
  <c r="AG112" i="333"/>
  <c r="AD112" i="333"/>
  <c r="AB112" i="333"/>
  <c r="W112" i="333"/>
  <c r="Q112" i="333"/>
  <c r="X112" i="333" s="1"/>
  <c r="K112" i="333"/>
  <c r="AR111" i="333"/>
  <c r="AN111" i="333"/>
  <c r="AD111" i="333"/>
  <c r="AB111" i="333"/>
  <c r="W111" i="333"/>
  <c r="Q111" i="333"/>
  <c r="X111" i="333" s="1"/>
  <c r="K111" i="333"/>
  <c r="AX110" i="333"/>
  <c r="AW110" i="333"/>
  <c r="AR110" i="333"/>
  <c r="AQ110" i="333"/>
  <c r="AP110" i="333"/>
  <c r="AO110" i="333"/>
  <c r="AN110" i="333"/>
  <c r="AD110" i="333"/>
  <c r="AB110" i="333"/>
  <c r="W110" i="333"/>
  <c r="X110" i="333" s="1"/>
  <c r="Q110" i="333"/>
  <c r="K110" i="333"/>
  <c r="AX109" i="333"/>
  <c r="AW109" i="333"/>
  <c r="AN109" i="333"/>
  <c r="AD109" i="333"/>
  <c r="AB109" i="333"/>
  <c r="W109" i="333"/>
  <c r="Q109" i="333"/>
  <c r="K109" i="333"/>
  <c r="AX108" i="333"/>
  <c r="AW108" i="333"/>
  <c r="AN108" i="333"/>
  <c r="AD108" i="333"/>
  <c r="AB108" i="333"/>
  <c r="W108" i="333"/>
  <c r="X108" i="333" s="1"/>
  <c r="Q108" i="333"/>
  <c r="K108" i="333"/>
  <c r="AQ107" i="333"/>
  <c r="AO107" i="333"/>
  <c r="AN107" i="333"/>
  <c r="AL107" i="333"/>
  <c r="AJ107" i="333"/>
  <c r="AK107" i="333" s="1"/>
  <c r="AD107" i="333"/>
  <c r="AB107" i="333"/>
  <c r="W107" i="333"/>
  <c r="Q107" i="333"/>
  <c r="X107" i="333" s="1"/>
  <c r="K107" i="333"/>
  <c r="AX106" i="333"/>
  <c r="AW106" i="333"/>
  <c r="AN106" i="333"/>
  <c r="AG106" i="333"/>
  <c r="AD106" i="333"/>
  <c r="AB106" i="333"/>
  <c r="W106" i="333"/>
  <c r="Q106" i="333"/>
  <c r="X106" i="333" s="1"/>
  <c r="K106" i="333"/>
  <c r="B106" i="333"/>
  <c r="B107" i="333" s="1"/>
  <c r="B108" i="333" s="1"/>
  <c r="B109" i="333" s="1"/>
  <c r="B110" i="333" s="1"/>
  <c r="B111" i="333" s="1"/>
  <c r="B112" i="333" s="1"/>
  <c r="AR105" i="333"/>
  <c r="AP105" i="333"/>
  <c r="AO105" i="333"/>
  <c r="AN105" i="333"/>
  <c r="AD105" i="333"/>
  <c r="AB105" i="333"/>
  <c r="W105" i="333"/>
  <c r="W123" i="333" s="1"/>
  <c r="Q105" i="333"/>
  <c r="Q123" i="333" s="1"/>
  <c r="K105" i="333"/>
  <c r="B105" i="333"/>
  <c r="AX104" i="333"/>
  <c r="AW104" i="333"/>
  <c r="AR104" i="333"/>
  <c r="AN104" i="333"/>
  <c r="AI104" i="333"/>
  <c r="AI123" i="333" s="1"/>
  <c r="AG104" i="333"/>
  <c r="AG123" i="333" s="1"/>
  <c r="AD104" i="333"/>
  <c r="AB104" i="333"/>
  <c r="X104" i="333"/>
  <c r="W104" i="333"/>
  <c r="Q104" i="333"/>
  <c r="K104" i="333"/>
  <c r="K123" i="333" s="1"/>
  <c r="BN103" i="333"/>
  <c r="AY103" i="333"/>
  <c r="AV103" i="333"/>
  <c r="AU103" i="333"/>
  <c r="AT103" i="333"/>
  <c r="AS103" i="333"/>
  <c r="AS124" i="333" s="1"/>
  <c r="AS201" i="333" s="1"/>
  <c r="AE103" i="333"/>
  <c r="AC103" i="333"/>
  <c r="AA103" i="333"/>
  <c r="V103" i="333"/>
  <c r="U103" i="333"/>
  <c r="T103" i="333"/>
  <c r="S103" i="333"/>
  <c r="R103" i="333"/>
  <c r="P103" i="333"/>
  <c r="O103" i="333"/>
  <c r="N103" i="333"/>
  <c r="M103" i="333"/>
  <c r="M124" i="333" s="1"/>
  <c r="M201" i="333" s="1"/>
  <c r="L103" i="333"/>
  <c r="L124" i="333" s="1"/>
  <c r="L201" i="333" s="1"/>
  <c r="BG102" i="333"/>
  <c r="AX102" i="333"/>
  <c r="AW102" i="333"/>
  <c r="AR102" i="333"/>
  <c r="AQ102" i="333"/>
  <c r="AP102" i="333"/>
  <c r="AO102" i="333"/>
  <c r="AN102" i="333"/>
  <c r="AL102" i="333"/>
  <c r="AM102" i="333" s="1"/>
  <c r="AJ102" i="333"/>
  <c r="AK102" i="333" s="1"/>
  <c r="AD102" i="333"/>
  <c r="AB102" i="333"/>
  <c r="Z102" i="333"/>
  <c r="W102" i="333"/>
  <c r="Q102" i="333"/>
  <c r="X102" i="333" s="1"/>
  <c r="K102" i="333"/>
  <c r="Y102" i="333" s="1"/>
  <c r="AX101" i="333"/>
  <c r="AW101" i="333"/>
  <c r="AR101" i="333"/>
  <c r="AQ101" i="333"/>
  <c r="AP101" i="333"/>
  <c r="AN101" i="333"/>
  <c r="AL101" i="333"/>
  <c r="AK101" i="333"/>
  <c r="AD101" i="333"/>
  <c r="AB101" i="333"/>
  <c r="X101" i="333"/>
  <c r="AJ101" i="333" s="1"/>
  <c r="W101" i="333"/>
  <c r="Q101" i="333"/>
  <c r="K101" i="333"/>
  <c r="AX100" i="333"/>
  <c r="AW100" i="333"/>
  <c r="AR100" i="333"/>
  <c r="AP100" i="333"/>
  <c r="AN100" i="333"/>
  <c r="AQ100" i="333" s="1"/>
  <c r="AD100" i="333"/>
  <c r="AB100" i="333"/>
  <c r="W100" i="333"/>
  <c r="Q100" i="333"/>
  <c r="K100" i="333"/>
  <c r="AX99" i="333"/>
  <c r="AW99" i="333"/>
  <c r="AO99" i="333"/>
  <c r="AN99" i="333"/>
  <c r="AD99" i="333"/>
  <c r="AB99" i="333"/>
  <c r="X99" i="333"/>
  <c r="W99" i="333"/>
  <c r="Q99" i="333"/>
  <c r="K99" i="333"/>
  <c r="B99" i="333"/>
  <c r="B100" i="333" s="1"/>
  <c r="B101" i="333" s="1"/>
  <c r="B102" i="333" s="1"/>
  <c r="AX98" i="333"/>
  <c r="AW98" i="333"/>
  <c r="AP98" i="333"/>
  <c r="AN98" i="333"/>
  <c r="AL98" i="333"/>
  <c r="AM98" i="333" s="1"/>
  <c r="AK98" i="333"/>
  <c r="AD98" i="333"/>
  <c r="AB98" i="333"/>
  <c r="Y98" i="333"/>
  <c r="W98" i="333"/>
  <c r="Q98" i="333"/>
  <c r="X98" i="333" s="1"/>
  <c r="AJ98" i="333" s="1"/>
  <c r="K98" i="333"/>
  <c r="AX97" i="333"/>
  <c r="AW97" i="333"/>
  <c r="AR97" i="333"/>
  <c r="AQ97" i="333"/>
  <c r="AN97" i="333"/>
  <c r="AD97" i="333"/>
  <c r="AB97" i="333"/>
  <c r="W97" i="333"/>
  <c r="Q97" i="333"/>
  <c r="K97" i="333"/>
  <c r="AX96" i="333"/>
  <c r="AW96" i="333"/>
  <c r="AR96" i="333"/>
  <c r="AP96" i="333"/>
  <c r="AO96" i="333"/>
  <c r="AN96" i="333"/>
  <c r="AD96" i="333"/>
  <c r="AB96" i="333"/>
  <c r="X96" i="333"/>
  <c r="W96" i="333"/>
  <c r="Q96" i="333"/>
  <c r="K96" i="333"/>
  <c r="AW95" i="333"/>
  <c r="AN95" i="333"/>
  <c r="AD95" i="333"/>
  <c r="AB95" i="333"/>
  <c r="W95" i="333"/>
  <c r="Q95" i="333"/>
  <c r="X95" i="333" s="1"/>
  <c r="AJ95" i="333" s="1"/>
  <c r="AK95" i="333" s="1"/>
  <c r="K95" i="333"/>
  <c r="Y95" i="333" s="1"/>
  <c r="AW94" i="333"/>
  <c r="AN94" i="333"/>
  <c r="AL94" i="333"/>
  <c r="AM94" i="333" s="1"/>
  <c r="AJ94" i="333"/>
  <c r="AK94" i="333" s="1"/>
  <c r="AD94" i="333"/>
  <c r="AB94" i="333"/>
  <c r="W94" i="333"/>
  <c r="Q94" i="333"/>
  <c r="X94" i="333" s="1"/>
  <c r="Y94" i="333" s="1"/>
  <c r="K94" i="333"/>
  <c r="AX93" i="333"/>
  <c r="AW93" i="333"/>
  <c r="AO93" i="333"/>
  <c r="AN93" i="333"/>
  <c r="AG93" i="333"/>
  <c r="AD93" i="333"/>
  <c r="AB93" i="333"/>
  <c r="W93" i="333"/>
  <c r="Q93" i="333"/>
  <c r="K93" i="333"/>
  <c r="B93" i="333"/>
  <c r="B94" i="333" s="1"/>
  <c r="B95" i="333" s="1"/>
  <c r="B96" i="333" s="1"/>
  <c r="B97" i="333" s="1"/>
  <c r="B98" i="333" s="1"/>
  <c r="AX92" i="333"/>
  <c r="AW92" i="333"/>
  <c r="AR92" i="333"/>
  <c r="AN92" i="333"/>
  <c r="AI92" i="333"/>
  <c r="AI103" i="333" s="1"/>
  <c r="AG92" i="333"/>
  <c r="AD92" i="333"/>
  <c r="AB92" i="333"/>
  <c r="W92" i="333"/>
  <c r="Q92" i="333"/>
  <c r="K92" i="333"/>
  <c r="AX91" i="333"/>
  <c r="AW91" i="333"/>
  <c r="AR91" i="333"/>
  <c r="AP91" i="333"/>
  <c r="AN91" i="333"/>
  <c r="AQ91" i="333" s="1"/>
  <c r="AD91" i="333"/>
  <c r="AB91" i="333"/>
  <c r="W91" i="333"/>
  <c r="Q91" i="333"/>
  <c r="X91" i="333" s="1"/>
  <c r="K91" i="333"/>
  <c r="AX90" i="333"/>
  <c r="AW90" i="333"/>
  <c r="AR90" i="333"/>
  <c r="AQ90" i="333"/>
  <c r="AN90" i="333"/>
  <c r="AG90" i="333"/>
  <c r="AD90" i="333"/>
  <c r="AB90" i="333"/>
  <c r="AB103" i="333" s="1"/>
  <c r="W90" i="333"/>
  <c r="Q90" i="333"/>
  <c r="X90" i="333" s="1"/>
  <c r="K90" i="333"/>
  <c r="AX89" i="333"/>
  <c r="AW89" i="333"/>
  <c r="AR89" i="333"/>
  <c r="AQ89" i="333"/>
  <c r="AO89" i="333"/>
  <c r="AN89" i="333"/>
  <c r="AP89" i="333" s="1"/>
  <c r="AJ89" i="333"/>
  <c r="AK89" i="333" s="1"/>
  <c r="AD89" i="333"/>
  <c r="AB89" i="333"/>
  <c r="W89" i="333"/>
  <c r="X89" i="333" s="1"/>
  <c r="Q89" i="333"/>
  <c r="K89" i="333"/>
  <c r="AX88" i="333"/>
  <c r="AW88" i="333"/>
  <c r="AR88" i="333"/>
  <c r="AO88" i="333"/>
  <c r="AN88" i="333"/>
  <c r="AG88" i="333"/>
  <c r="AG103" i="333" s="1"/>
  <c r="AD88" i="333"/>
  <c r="AB88" i="333"/>
  <c r="W88" i="333"/>
  <c r="Q88" i="333"/>
  <c r="K88" i="333"/>
  <c r="B88" i="333"/>
  <c r="B89" i="333" s="1"/>
  <c r="B90" i="333" s="1"/>
  <c r="B91" i="333" s="1"/>
  <c r="B92" i="333" s="1"/>
  <c r="AW87" i="333"/>
  <c r="AR87" i="333"/>
  <c r="AN87" i="333"/>
  <c r="AD87" i="333"/>
  <c r="AB87" i="333"/>
  <c r="W87" i="333"/>
  <c r="W103" i="333" s="1"/>
  <c r="Q87" i="333"/>
  <c r="K87" i="333"/>
  <c r="BN86" i="333"/>
  <c r="AY86" i="333"/>
  <c r="AV86" i="333"/>
  <c r="AU86" i="333"/>
  <c r="AT86" i="333"/>
  <c r="AS86" i="333"/>
  <c r="AI86" i="333"/>
  <c r="AE86" i="333"/>
  <c r="AC86" i="333"/>
  <c r="AA86" i="333"/>
  <c r="V86" i="333"/>
  <c r="U86" i="333"/>
  <c r="T86" i="333"/>
  <c r="S86" i="333"/>
  <c r="R86" i="333"/>
  <c r="P86" i="333"/>
  <c r="O86" i="333"/>
  <c r="N86" i="333"/>
  <c r="N124" i="333" s="1"/>
  <c r="N201" i="333" s="1"/>
  <c r="M86" i="333"/>
  <c r="L86" i="333"/>
  <c r="AW85" i="333"/>
  <c r="AN85" i="333"/>
  <c r="AL85" i="333"/>
  <c r="AK85" i="333"/>
  <c r="AD85" i="333"/>
  <c r="AB85" i="333"/>
  <c r="W85" i="333"/>
  <c r="Q85" i="333"/>
  <c r="X85" i="333" s="1"/>
  <c r="AJ85" i="333" s="1"/>
  <c r="K85" i="333"/>
  <c r="AX84" i="333"/>
  <c r="AW84" i="333"/>
  <c r="AR84" i="333"/>
  <c r="AN84" i="333"/>
  <c r="AD84" i="333"/>
  <c r="AB84" i="333"/>
  <c r="X84" i="333"/>
  <c r="W84" i="333"/>
  <c r="Q84" i="333"/>
  <c r="K84" i="333"/>
  <c r="AX83" i="333"/>
  <c r="AW83" i="333"/>
  <c r="AR83" i="333"/>
  <c r="AQ83" i="333"/>
  <c r="AP83" i="333"/>
  <c r="AO83" i="333"/>
  <c r="AN83" i="333"/>
  <c r="AM83" i="333"/>
  <c r="AL83" i="333"/>
  <c r="AJ83" i="333"/>
  <c r="AK83" i="333" s="1"/>
  <c r="AD83" i="333"/>
  <c r="AB83" i="333"/>
  <c r="W83" i="333"/>
  <c r="Q83" i="333"/>
  <c r="X83" i="333" s="1"/>
  <c r="K83" i="333"/>
  <c r="AW82" i="333"/>
  <c r="AR82" i="333"/>
  <c r="AQ82" i="333"/>
  <c r="AP82" i="333"/>
  <c r="AN82" i="333"/>
  <c r="AL82" i="333"/>
  <c r="AG82" i="333"/>
  <c r="AD82" i="333"/>
  <c r="AB82" i="333"/>
  <c r="X82" i="333"/>
  <c r="AJ82" i="333" s="1"/>
  <c r="AK82" i="333" s="1"/>
  <c r="W82" i="333"/>
  <c r="Q82" i="333"/>
  <c r="K82" i="333"/>
  <c r="AW81" i="333"/>
  <c r="AQ81" i="333"/>
  <c r="AN81" i="333"/>
  <c r="AI81" i="333"/>
  <c r="AG81" i="333"/>
  <c r="AD81" i="333"/>
  <c r="AB81" i="333"/>
  <c r="W81" i="333"/>
  <c r="Q81" i="333"/>
  <c r="X81" i="333" s="1"/>
  <c r="K81" i="333"/>
  <c r="AW80" i="333"/>
  <c r="AN80" i="333"/>
  <c r="AL80" i="333"/>
  <c r="AM80" i="333" s="1"/>
  <c r="AD80" i="333"/>
  <c r="AB80" i="333"/>
  <c r="X80" i="333"/>
  <c r="AJ80" i="333" s="1"/>
  <c r="AK80" i="333" s="1"/>
  <c r="W80" i="333"/>
  <c r="Q80" i="333"/>
  <c r="K80" i="333"/>
  <c r="AX79" i="333"/>
  <c r="AW79" i="333"/>
  <c r="AQ79" i="333"/>
  <c r="AP79" i="333"/>
  <c r="AO79" i="333"/>
  <c r="AN79" i="333"/>
  <c r="AR79" i="333" s="1"/>
  <c r="AJ79" i="333"/>
  <c r="AK79" i="333" s="1"/>
  <c r="AG79" i="333"/>
  <c r="AD79" i="333"/>
  <c r="AB79" i="333"/>
  <c r="X79" i="333"/>
  <c r="AL79" i="333" s="1"/>
  <c r="W79" i="333"/>
  <c r="Q79" i="333"/>
  <c r="K79" i="333"/>
  <c r="AX78" i="333"/>
  <c r="AW78" i="333"/>
  <c r="AN78" i="333"/>
  <c r="AG78" i="333"/>
  <c r="AD78" i="333"/>
  <c r="AB78" i="333"/>
  <c r="W78" i="333"/>
  <c r="Q78" i="333"/>
  <c r="X78" i="333" s="1"/>
  <c r="K78" i="333"/>
  <c r="BG77" i="333"/>
  <c r="AX77" i="333"/>
  <c r="AW77" i="333"/>
  <c r="AR77" i="333"/>
  <c r="AQ77" i="333"/>
  <c r="AP77" i="333"/>
  <c r="AO77" i="333"/>
  <c r="AN77" i="333"/>
  <c r="AM77" i="333"/>
  <c r="AL77" i="333"/>
  <c r="AJ77" i="333"/>
  <c r="AK77" i="333" s="1"/>
  <c r="AD77" i="333"/>
  <c r="AB77" i="333"/>
  <c r="Z77" i="333"/>
  <c r="Y77" i="333"/>
  <c r="W77" i="333"/>
  <c r="X77" i="333" s="1"/>
  <c r="Q77" i="333"/>
  <c r="K77" i="333"/>
  <c r="AX76" i="333"/>
  <c r="AW76" i="333"/>
  <c r="AO76" i="333"/>
  <c r="AN76" i="333"/>
  <c r="AQ76" i="333" s="1"/>
  <c r="AD76" i="333"/>
  <c r="AB76" i="333"/>
  <c r="X76" i="333"/>
  <c r="W76" i="333"/>
  <c r="Q76" i="333"/>
  <c r="K76" i="333"/>
  <c r="AX75" i="333"/>
  <c r="AW75" i="333"/>
  <c r="AO75" i="333"/>
  <c r="AN75" i="333"/>
  <c r="AJ75" i="333"/>
  <c r="AK75" i="333" s="1"/>
  <c r="AG75" i="333"/>
  <c r="AD75" i="333"/>
  <c r="AB75" i="333"/>
  <c r="Z75" i="333"/>
  <c r="Y75" i="333"/>
  <c r="BG75" i="333" s="1"/>
  <c r="W75" i="333"/>
  <c r="Q75" i="333"/>
  <c r="X75" i="333" s="1"/>
  <c r="AL75" i="333" s="1"/>
  <c r="AM75" i="333" s="1"/>
  <c r="K75" i="333"/>
  <c r="AW74" i="333"/>
  <c r="AQ74" i="333"/>
  <c r="AP74" i="333"/>
  <c r="AN74" i="333"/>
  <c r="AD74" i="333"/>
  <c r="AB74" i="333"/>
  <c r="W74" i="333"/>
  <c r="Q74" i="333"/>
  <c r="X74" i="333" s="1"/>
  <c r="AL74" i="333" s="1"/>
  <c r="K74" i="333"/>
  <c r="AW73" i="333"/>
  <c r="AR73" i="333"/>
  <c r="AQ73" i="333"/>
  <c r="AP73" i="333"/>
  <c r="AO73" i="333"/>
  <c r="AN73" i="333"/>
  <c r="AD73" i="333"/>
  <c r="AB73" i="333"/>
  <c r="W73" i="333"/>
  <c r="X73" i="333" s="1"/>
  <c r="Q73" i="333"/>
  <c r="K73" i="333"/>
  <c r="AX72" i="333"/>
  <c r="AW72" i="333"/>
  <c r="AN72" i="333"/>
  <c r="AD72" i="333"/>
  <c r="AB72" i="333"/>
  <c r="Y72" i="333"/>
  <c r="BG72" i="333" s="1"/>
  <c r="W72" i="333"/>
  <c r="Q72" i="333"/>
  <c r="X72" i="333" s="1"/>
  <c r="K72" i="333"/>
  <c r="AW71" i="333"/>
  <c r="AR71" i="333"/>
  <c r="AQ71" i="333"/>
  <c r="AP71" i="333"/>
  <c r="AN71" i="333"/>
  <c r="AJ71" i="333"/>
  <c r="AK71" i="333" s="1"/>
  <c r="AG71" i="333"/>
  <c r="AD71" i="333"/>
  <c r="AB71" i="333"/>
  <c r="X71" i="333"/>
  <c r="Y71" i="333" s="1"/>
  <c r="Z71" i="333" s="1"/>
  <c r="W71" i="333"/>
  <c r="Q71" i="333"/>
  <c r="K71" i="333"/>
  <c r="B71" i="333"/>
  <c r="B72" i="333" s="1"/>
  <c r="B73" i="333" s="1"/>
  <c r="B74" i="333" s="1"/>
  <c r="B75" i="333" s="1"/>
  <c r="B76" i="333" s="1"/>
  <c r="B77" i="333" s="1"/>
  <c r="B78" i="333" s="1"/>
  <c r="B79" i="333" s="1"/>
  <c r="B80" i="333" s="1"/>
  <c r="B81" i="333" s="1"/>
  <c r="B82" i="333" s="1"/>
  <c r="B83" i="333" s="1"/>
  <c r="B84" i="333" s="1"/>
  <c r="B85" i="333" s="1"/>
  <c r="AW70" i="333"/>
  <c r="AR70" i="333"/>
  <c r="AN70" i="333"/>
  <c r="AG70" i="333"/>
  <c r="AD70" i="333"/>
  <c r="AB70" i="333"/>
  <c r="AB86" i="333" s="1"/>
  <c r="W70" i="333"/>
  <c r="Q70" i="333"/>
  <c r="K70" i="333"/>
  <c r="AX69" i="333"/>
  <c r="AW69" i="333"/>
  <c r="AQ69" i="333"/>
  <c r="AO69" i="333"/>
  <c r="AN69" i="333"/>
  <c r="AP69" i="333" s="1"/>
  <c r="AD69" i="333"/>
  <c r="AB69" i="333"/>
  <c r="W69" i="333"/>
  <c r="Q69" i="333"/>
  <c r="K69" i="333"/>
  <c r="B69" i="333"/>
  <c r="B70" i="333" s="1"/>
  <c r="AW68" i="333"/>
  <c r="AR68" i="333"/>
  <c r="AQ68" i="333"/>
  <c r="AP68" i="333"/>
  <c r="AN68" i="333"/>
  <c r="AG68" i="333"/>
  <c r="AD68" i="333"/>
  <c r="AB68" i="333"/>
  <c r="W68" i="333"/>
  <c r="Q68" i="333"/>
  <c r="K68" i="333"/>
  <c r="B68" i="333"/>
  <c r="AX67" i="333"/>
  <c r="AX86" i="333" s="1"/>
  <c r="AW67" i="333"/>
  <c r="AW86" i="333" s="1"/>
  <c r="AN67" i="333"/>
  <c r="AL67" i="333"/>
  <c r="AJ67" i="333"/>
  <c r="AD67" i="333"/>
  <c r="AB67" i="333"/>
  <c r="X67" i="333"/>
  <c r="W67" i="333"/>
  <c r="Q67" i="333"/>
  <c r="K67" i="333"/>
  <c r="BN66" i="333"/>
  <c r="AY66" i="333"/>
  <c r="AV66" i="333"/>
  <c r="AU66" i="333"/>
  <c r="AT66" i="333"/>
  <c r="AS66" i="333"/>
  <c r="AH66" i="333"/>
  <c r="AF66" i="333"/>
  <c r="AF124" i="333" s="1"/>
  <c r="AF201" i="333" s="1"/>
  <c r="AC66" i="333"/>
  <c r="AA66" i="333"/>
  <c r="V66" i="333"/>
  <c r="U66" i="333"/>
  <c r="U124" i="333" s="1"/>
  <c r="U201" i="333" s="1"/>
  <c r="T66" i="333"/>
  <c r="S66" i="333"/>
  <c r="S124" i="333" s="1"/>
  <c r="S201" i="333" s="1"/>
  <c r="R66" i="333"/>
  <c r="P66" i="333"/>
  <c r="O66" i="333"/>
  <c r="N66" i="333"/>
  <c r="M66" i="333"/>
  <c r="L66" i="333"/>
  <c r="AX65" i="333"/>
  <c r="AW65" i="333"/>
  <c r="AN65" i="333"/>
  <c r="AR65" i="333" s="1"/>
  <c r="AI65" i="333"/>
  <c r="AG65" i="333"/>
  <c r="AD65" i="333"/>
  <c r="AB65" i="333"/>
  <c r="X65" i="333"/>
  <c r="W65" i="333"/>
  <c r="Q65" i="333"/>
  <c r="K65" i="333"/>
  <c r="AX64" i="333"/>
  <c r="AW64" i="333"/>
  <c r="AN64" i="333"/>
  <c r="AD64" i="333"/>
  <c r="AB64" i="333"/>
  <c r="W64" i="333"/>
  <c r="Q64" i="333"/>
  <c r="X64" i="333" s="1"/>
  <c r="K64" i="333"/>
  <c r="AW63" i="333"/>
  <c r="AR63" i="333"/>
  <c r="AN63" i="333"/>
  <c r="AQ63" i="333" s="1"/>
  <c r="AG63" i="333"/>
  <c r="AD63" i="333"/>
  <c r="AB63" i="333"/>
  <c r="X63" i="333"/>
  <c r="W63" i="333"/>
  <c r="Q63" i="333"/>
  <c r="K63" i="333"/>
  <c r="AW62" i="333"/>
  <c r="AN62" i="333"/>
  <c r="AR62" i="333" s="1"/>
  <c r="AD62" i="333"/>
  <c r="AB62" i="333"/>
  <c r="W62" i="333"/>
  <c r="Q62" i="333"/>
  <c r="X62" i="333" s="1"/>
  <c r="K62" i="333"/>
  <c r="AX61" i="333"/>
  <c r="AW61" i="333"/>
  <c r="AN61" i="333"/>
  <c r="AQ61" i="333" s="1"/>
  <c r="AL61" i="333"/>
  <c r="AD61" i="333"/>
  <c r="AB61" i="333"/>
  <c r="X61" i="333"/>
  <c r="AJ61" i="333" s="1"/>
  <c r="AK61" i="333" s="1"/>
  <c r="W61" i="333"/>
  <c r="Q61" i="333"/>
  <c r="K61" i="333"/>
  <c r="AW60" i="333"/>
  <c r="AR60" i="333"/>
  <c r="AN60" i="333"/>
  <c r="AD60" i="333"/>
  <c r="AB60" i="333"/>
  <c r="X60" i="333"/>
  <c r="W60" i="333"/>
  <c r="Q60" i="333"/>
  <c r="K60" i="333"/>
  <c r="AW59" i="333"/>
  <c r="AQ59" i="333"/>
  <c r="AN59" i="333"/>
  <c r="AD59" i="333"/>
  <c r="AB59" i="333"/>
  <c r="W59" i="333"/>
  <c r="Q59" i="333"/>
  <c r="X59" i="333" s="1"/>
  <c r="K59" i="333"/>
  <c r="Y59" i="333" s="1"/>
  <c r="BG59" i="333" s="1"/>
  <c r="AW58" i="333"/>
  <c r="AN58" i="333"/>
  <c r="AI58" i="333"/>
  <c r="AD58" i="333"/>
  <c r="AB58" i="333"/>
  <c r="W58" i="333"/>
  <c r="Q58" i="333"/>
  <c r="X58" i="333" s="1"/>
  <c r="K58" i="333"/>
  <c r="AW57" i="333"/>
  <c r="AN57" i="333"/>
  <c r="AD57" i="333"/>
  <c r="AB57" i="333"/>
  <c r="W57" i="333"/>
  <c r="Q57" i="333"/>
  <c r="X57" i="333" s="1"/>
  <c r="AL57" i="333" s="1"/>
  <c r="K57" i="333"/>
  <c r="Y57" i="333" s="1"/>
  <c r="AW56" i="333"/>
  <c r="AO56" i="333"/>
  <c r="AN56" i="333"/>
  <c r="AQ56" i="333" s="1"/>
  <c r="AI56" i="333"/>
  <c r="AD56" i="333"/>
  <c r="AB56" i="333"/>
  <c r="X56" i="333"/>
  <c r="W56" i="333"/>
  <c r="Q56" i="333"/>
  <c r="K56" i="333"/>
  <c r="AW55" i="333"/>
  <c r="AN55" i="333"/>
  <c r="AO55" i="333" s="1"/>
  <c r="AD55" i="333"/>
  <c r="AB55" i="333"/>
  <c r="W55" i="333"/>
  <c r="Q55" i="333"/>
  <c r="X55" i="333" s="1"/>
  <c r="K55" i="333"/>
  <c r="AX54" i="333"/>
  <c r="AW54" i="333"/>
  <c r="AR54" i="333"/>
  <c r="AN54" i="333"/>
  <c r="AJ54" i="333"/>
  <c r="AK54" i="333" s="1"/>
  <c r="AD54" i="333"/>
  <c r="AB54" i="333"/>
  <c r="W54" i="333"/>
  <c r="Q54" i="333"/>
  <c r="X54" i="333" s="1"/>
  <c r="AL54" i="333" s="1"/>
  <c r="K54" i="333"/>
  <c r="Y54" i="333" s="1"/>
  <c r="AW53" i="333"/>
  <c r="AO53" i="333"/>
  <c r="AN53" i="333"/>
  <c r="AG53" i="333"/>
  <c r="AD53" i="333"/>
  <c r="AB53" i="333"/>
  <c r="W53" i="333"/>
  <c r="Q53" i="333"/>
  <c r="X53" i="333" s="1"/>
  <c r="K53" i="333"/>
  <c r="AX52" i="333"/>
  <c r="AW52" i="333"/>
  <c r="AR52" i="333"/>
  <c r="AO52" i="333"/>
  <c r="AN52" i="333"/>
  <c r="AP52" i="333" s="1"/>
  <c r="AD52" i="333"/>
  <c r="AB52" i="333"/>
  <c r="Y52" i="333"/>
  <c r="Z52" i="333" s="1"/>
  <c r="W52" i="333"/>
  <c r="Q52" i="333"/>
  <c r="X52" i="333" s="1"/>
  <c r="K52" i="333"/>
  <c r="AW51" i="333"/>
  <c r="AN51" i="333"/>
  <c r="AR51" i="333" s="1"/>
  <c r="AG51" i="333"/>
  <c r="AD51" i="333"/>
  <c r="AB51" i="333"/>
  <c r="W51" i="333"/>
  <c r="X51" i="333" s="1"/>
  <c r="Q51" i="333"/>
  <c r="K51" i="333"/>
  <c r="AW50" i="333"/>
  <c r="AQ50" i="333"/>
  <c r="AO50" i="333"/>
  <c r="AN50" i="333"/>
  <c r="AD50" i="333"/>
  <c r="AB50" i="333"/>
  <c r="X50" i="333"/>
  <c r="AL50" i="333" s="1"/>
  <c r="AM50" i="333" s="1"/>
  <c r="W50" i="333"/>
  <c r="Q50" i="333"/>
  <c r="K50" i="333"/>
  <c r="AX49" i="333"/>
  <c r="AW49" i="333"/>
  <c r="AN49" i="333"/>
  <c r="AL49" i="333"/>
  <c r="AJ49" i="333"/>
  <c r="AK49" i="333" s="1"/>
  <c r="AD49" i="333"/>
  <c r="AB49" i="333"/>
  <c r="W49" i="333"/>
  <c r="Q49" i="333"/>
  <c r="X49" i="333" s="1"/>
  <c r="K49" i="333"/>
  <c r="AW48" i="333"/>
  <c r="AR48" i="333"/>
  <c r="AQ48" i="333"/>
  <c r="AN48" i="333"/>
  <c r="AO48" i="333" s="1"/>
  <c r="AI48" i="333"/>
  <c r="AD48" i="333"/>
  <c r="AB48" i="333"/>
  <c r="X48" i="333"/>
  <c r="AL48" i="333" s="1"/>
  <c r="W48" i="333"/>
  <c r="Q48" i="333"/>
  <c r="K48" i="333"/>
  <c r="AW47" i="333"/>
  <c r="AN47" i="333"/>
  <c r="AQ47" i="333" s="1"/>
  <c r="AD47" i="333"/>
  <c r="AB47" i="333"/>
  <c r="W47" i="333"/>
  <c r="Q47" i="333"/>
  <c r="X47" i="333" s="1"/>
  <c r="AJ47" i="333" s="1"/>
  <c r="AK47" i="333" s="1"/>
  <c r="K47" i="333"/>
  <c r="AP47" i="333" s="1"/>
  <c r="AW46" i="333"/>
  <c r="AN46" i="333"/>
  <c r="AM46" i="333"/>
  <c r="AJ46" i="333"/>
  <c r="AK46" i="333" s="1"/>
  <c r="AD46" i="333"/>
  <c r="AB46" i="333"/>
  <c r="Z46" i="333"/>
  <c r="W46" i="333"/>
  <c r="Q46" i="333"/>
  <c r="X46" i="333" s="1"/>
  <c r="AL46" i="333" s="1"/>
  <c r="K46" i="333"/>
  <c r="Y46" i="333" s="1"/>
  <c r="BG46" i="333" s="1"/>
  <c r="AW45" i="333"/>
  <c r="AR45" i="333"/>
  <c r="AQ45" i="333"/>
  <c r="AP45" i="333"/>
  <c r="AN45" i="333"/>
  <c r="AD45" i="333"/>
  <c r="AB45" i="333"/>
  <c r="Y45" i="333"/>
  <c r="X45" i="333"/>
  <c r="AL45" i="333" s="1"/>
  <c r="AM45" i="333" s="1"/>
  <c r="W45" i="333"/>
  <c r="Q45" i="333"/>
  <c r="K45" i="333"/>
  <c r="AW44" i="333"/>
  <c r="AN44" i="333"/>
  <c r="AL44" i="333"/>
  <c r="AJ44" i="333"/>
  <c r="AK44" i="333" s="1"/>
  <c r="AD44" i="333"/>
  <c r="AB44" i="333"/>
  <c r="X44" i="333"/>
  <c r="Y44" i="333" s="1"/>
  <c r="W44" i="333"/>
  <c r="Q44" i="333"/>
  <c r="K44" i="333"/>
  <c r="AW43" i="333"/>
  <c r="AP43" i="333"/>
  <c r="AN43" i="333"/>
  <c r="AD43" i="333"/>
  <c r="AB43" i="333"/>
  <c r="W43" i="333"/>
  <c r="Q43" i="333"/>
  <c r="K43" i="333"/>
  <c r="AW42" i="333"/>
  <c r="AQ42" i="333"/>
  <c r="AP42" i="333"/>
  <c r="AN42" i="333"/>
  <c r="AR42" i="333" s="1"/>
  <c r="AD42" i="333"/>
  <c r="AB42" i="333"/>
  <c r="W42" i="333"/>
  <c r="Q42" i="333"/>
  <c r="X42" i="333" s="1"/>
  <c r="K42" i="333"/>
  <c r="A42" i="333"/>
  <c r="A43" i="333" s="1"/>
  <c r="A44" i="333" s="1"/>
  <c r="A45" i="333" s="1"/>
  <c r="A46" i="333" s="1"/>
  <c r="A47" i="333" s="1"/>
  <c r="A48" i="333" s="1"/>
  <c r="A49" i="333" s="1"/>
  <c r="A50" i="333" s="1"/>
  <c r="A51" i="333" s="1"/>
  <c r="A52" i="333" s="1"/>
  <c r="A53" i="333" s="1"/>
  <c r="A54" i="333" s="1"/>
  <c r="A55" i="333" s="1"/>
  <c r="A56" i="333" s="1"/>
  <c r="A57" i="333" s="1"/>
  <c r="A58" i="333" s="1"/>
  <c r="A59" i="333" s="1"/>
  <c r="A60" i="333" s="1"/>
  <c r="A61" i="333" s="1"/>
  <c r="A62" i="333" s="1"/>
  <c r="A63" i="333" s="1"/>
  <c r="A64" i="333" s="1"/>
  <c r="A65" i="333" s="1"/>
  <c r="A67" i="333" s="1"/>
  <c r="A68" i="333" s="1"/>
  <c r="A69" i="333" s="1"/>
  <c r="A70" i="333" s="1"/>
  <c r="A71" i="333" s="1"/>
  <c r="A72" i="333" s="1"/>
  <c r="A73" i="333" s="1"/>
  <c r="A74" i="333" s="1"/>
  <c r="A75" i="333" s="1"/>
  <c r="A76" i="333" s="1"/>
  <c r="A77" i="333" s="1"/>
  <c r="A78" i="333" s="1"/>
  <c r="A79" i="333" s="1"/>
  <c r="A80" i="333" s="1"/>
  <c r="A81" i="333" s="1"/>
  <c r="A82" i="333" s="1"/>
  <c r="A83" i="333" s="1"/>
  <c r="A84" i="333" s="1"/>
  <c r="A85" i="333" s="1"/>
  <c r="A87" i="333" s="1"/>
  <c r="A88" i="333" s="1"/>
  <c r="A89" i="333" s="1"/>
  <c r="A90" i="333" s="1"/>
  <c r="A91" i="333" s="1"/>
  <c r="A92" i="333" s="1"/>
  <c r="A93" i="333" s="1"/>
  <c r="A94" i="333" s="1"/>
  <c r="A95" i="333" s="1"/>
  <c r="A96" i="333" s="1"/>
  <c r="A97" i="333" s="1"/>
  <c r="A98" i="333" s="1"/>
  <c r="A99" i="333" s="1"/>
  <c r="A100" i="333" s="1"/>
  <c r="A101" i="333" s="1"/>
  <c r="A102" i="333" s="1"/>
  <c r="A104" i="333" s="1"/>
  <c r="A105" i="333" s="1"/>
  <c r="A106" i="333" s="1"/>
  <c r="A107" i="333" s="1"/>
  <c r="A108" i="333" s="1"/>
  <c r="A109" i="333" s="1"/>
  <c r="A110" i="333" s="1"/>
  <c r="A111" i="333" s="1"/>
  <c r="A112" i="333" s="1"/>
  <c r="A113" i="333" s="1"/>
  <c r="A114" i="333" s="1"/>
  <c r="A115" i="333" s="1"/>
  <c r="A116" i="333" s="1"/>
  <c r="A117" i="333" s="1"/>
  <c r="A118" i="333" s="1"/>
  <c r="A119" i="333" s="1"/>
  <c r="A120" i="333" s="1"/>
  <c r="A121" i="333" s="1"/>
  <c r="A122" i="333" s="1"/>
  <c r="A125" i="333" s="1"/>
  <c r="A126" i="333" s="1"/>
  <c r="A127" i="333" s="1"/>
  <c r="A128" i="333" s="1"/>
  <c r="A129" i="333" s="1"/>
  <c r="A130" i="333" s="1"/>
  <c r="A131" i="333" s="1"/>
  <c r="A132" i="333" s="1"/>
  <c r="A133" i="333" s="1"/>
  <c r="A134" i="333" s="1"/>
  <c r="A136" i="333" s="1"/>
  <c r="A137" i="333" s="1"/>
  <c r="A138" i="333" s="1"/>
  <c r="A139" i="333" s="1"/>
  <c r="A140" i="333" s="1"/>
  <c r="A141" i="333" s="1"/>
  <c r="A142" i="333" s="1"/>
  <c r="A144" i="333" s="1"/>
  <c r="A145" i="333" s="1"/>
  <c r="A146" i="333" s="1"/>
  <c r="A147" i="333" s="1"/>
  <c r="A148" i="333" s="1"/>
  <c r="A149" i="333" s="1"/>
  <c r="A150" i="333" s="1"/>
  <c r="A151" i="333" s="1"/>
  <c r="A153" i="333" s="1"/>
  <c r="A154" i="333" s="1"/>
  <c r="A155" i="333" s="1"/>
  <c r="A157" i="333" s="1"/>
  <c r="A158" i="333" s="1"/>
  <c r="A159" i="333" s="1"/>
  <c r="A160" i="333" s="1"/>
  <c r="A162" i="333" s="1"/>
  <c r="A163" i="333" s="1"/>
  <c r="A164" i="333" s="1"/>
  <c r="A165" i="333" s="1"/>
  <c r="A167" i="333" s="1"/>
  <c r="A168" i="333" s="1"/>
  <c r="A169" i="333" s="1"/>
  <c r="A170" i="333" s="1"/>
  <c r="A171" i="333" s="1"/>
  <c r="A172" i="333" s="1"/>
  <c r="A173" i="333" s="1"/>
  <c r="A175" i="333" s="1"/>
  <c r="A176" i="333" s="1"/>
  <c r="A177" i="333" s="1"/>
  <c r="A178" i="333" s="1"/>
  <c r="A179" i="333" s="1"/>
  <c r="A180" i="333" s="1"/>
  <c r="A181" i="333" s="1"/>
  <c r="A182" i="333" s="1"/>
  <c r="A184" i="333" s="1"/>
  <c r="A185" i="333" s="1"/>
  <c r="A186" i="333" s="1"/>
  <c r="A187" i="333" s="1"/>
  <c r="A188" i="333" s="1"/>
  <c r="A189" i="333" s="1"/>
  <c r="A190" i="333" s="1"/>
  <c r="A191" i="333" s="1"/>
  <c r="A192" i="333" s="1"/>
  <c r="A193" i="333" s="1"/>
  <c r="A194" i="333" s="1"/>
  <c r="A195" i="333" s="1"/>
  <c r="A196" i="333" s="1"/>
  <c r="A197" i="333" s="1"/>
  <c r="A198" i="333" s="1"/>
  <c r="A199" i="333" s="1"/>
  <c r="AW41" i="333"/>
  <c r="AN41" i="333"/>
  <c r="AR41" i="333" s="1"/>
  <c r="AL41" i="333"/>
  <c r="AM41" i="333" s="1"/>
  <c r="AJ41" i="333"/>
  <c r="AK41" i="333" s="1"/>
  <c r="AD41" i="333"/>
  <c r="AB41" i="333"/>
  <c r="W41" i="333"/>
  <c r="Q41" i="333"/>
  <c r="X41" i="333" s="1"/>
  <c r="K41" i="333"/>
  <c r="AW40" i="333"/>
  <c r="AQ40" i="333"/>
  <c r="AO40" i="333"/>
  <c r="AN40" i="333"/>
  <c r="AI40" i="333"/>
  <c r="AG40" i="333"/>
  <c r="AD40" i="333"/>
  <c r="AB40" i="333"/>
  <c r="W40" i="333"/>
  <c r="Q40" i="333"/>
  <c r="X40" i="333" s="1"/>
  <c r="AL40" i="333" s="1"/>
  <c r="AM40" i="333" s="1"/>
  <c r="K40" i="333"/>
  <c r="Y40" i="333" s="1"/>
  <c r="BG40" i="333" s="1"/>
  <c r="B40" i="333"/>
  <c r="B41" i="333" s="1"/>
  <c r="B42" i="333" s="1"/>
  <c r="B43" i="333" s="1"/>
  <c r="B44" i="333" s="1"/>
  <c r="B45" i="333" s="1"/>
  <c r="B46" i="333" s="1"/>
  <c r="B47" i="333" s="1"/>
  <c r="B48" i="333" s="1"/>
  <c r="B49" i="333" s="1"/>
  <c r="B50" i="333" s="1"/>
  <c r="B51" i="333" s="1"/>
  <c r="B52" i="333" s="1"/>
  <c r="B53" i="333" s="1"/>
  <c r="B54" i="333" s="1"/>
  <c r="B55" i="333" s="1"/>
  <c r="B56" i="333" s="1"/>
  <c r="B57" i="333" s="1"/>
  <c r="B58" i="333" s="1"/>
  <c r="B59" i="333" s="1"/>
  <c r="B60" i="333" s="1"/>
  <c r="B61" i="333" s="1"/>
  <c r="B62" i="333" s="1"/>
  <c r="B63" i="333" s="1"/>
  <c r="B64" i="333" s="1"/>
  <c r="B65" i="333" s="1"/>
  <c r="AW39" i="333"/>
  <c r="AR39" i="333"/>
  <c r="AN39" i="333"/>
  <c r="AD39" i="333"/>
  <c r="AB39" i="333"/>
  <c r="W39" i="333"/>
  <c r="Q39" i="333"/>
  <c r="K39" i="333"/>
  <c r="B39" i="333"/>
  <c r="A39" i="333"/>
  <c r="A40" i="333" s="1"/>
  <c r="A41" i="333" s="1"/>
  <c r="AX38" i="333"/>
  <c r="AX66" i="333" s="1"/>
  <c r="AW38" i="333"/>
  <c r="AN38" i="333"/>
  <c r="AD38" i="333"/>
  <c r="AB38" i="333"/>
  <c r="W38" i="333"/>
  <c r="X38" i="333" s="1"/>
  <c r="Q38" i="333"/>
  <c r="K38" i="333"/>
  <c r="AD37" i="333"/>
  <c r="AB37" i="333"/>
  <c r="W37" i="333"/>
  <c r="Q37" i="333"/>
  <c r="X37" i="333" s="1"/>
  <c r="K37" i="333"/>
  <c r="Y37" i="333" s="1"/>
  <c r="Z37" i="333" s="1"/>
  <c r="AD36" i="333"/>
  <c r="AB36" i="333"/>
  <c r="W36" i="333"/>
  <c r="Q36" i="333"/>
  <c r="X36" i="333" s="1"/>
  <c r="K36" i="333"/>
  <c r="Y36" i="333" s="1"/>
  <c r="Z36" i="333" s="1"/>
  <c r="AG35" i="333"/>
  <c r="AD35" i="333"/>
  <c r="AB35" i="333"/>
  <c r="X35" i="333"/>
  <c r="Y35" i="333" s="1"/>
  <c r="Z35" i="333" s="1"/>
  <c r="W35" i="333"/>
  <c r="Q35" i="333"/>
  <c r="K35" i="333"/>
  <c r="AG34" i="333"/>
  <c r="AD34" i="333"/>
  <c r="AB34" i="333"/>
  <c r="W34" i="333"/>
  <c r="Q34" i="333"/>
  <c r="X34" i="333" s="1"/>
  <c r="Y34" i="333" s="1"/>
  <c r="Z34" i="333" s="1"/>
  <c r="K34" i="333"/>
  <c r="AG33" i="333"/>
  <c r="AD33" i="333"/>
  <c r="AB33" i="333"/>
  <c r="W33" i="333"/>
  <c r="Q33" i="333"/>
  <c r="X33" i="333" s="1"/>
  <c r="Y33" i="333" s="1"/>
  <c r="Z33" i="333" s="1"/>
  <c r="K33" i="333"/>
  <c r="AG32" i="333"/>
  <c r="AD32" i="333"/>
  <c r="AB32" i="333"/>
  <c r="W32" i="333"/>
  <c r="Q32" i="333"/>
  <c r="X32" i="333" s="1"/>
  <c r="K32" i="333"/>
  <c r="AD31" i="333"/>
  <c r="AB31" i="333"/>
  <c r="W31" i="333"/>
  <c r="Q31" i="333"/>
  <c r="X31" i="333" s="1"/>
  <c r="K31" i="333"/>
  <c r="AD30" i="333"/>
  <c r="AB30" i="333"/>
  <c r="X30" i="333"/>
  <c r="W30" i="333"/>
  <c r="Q30" i="333"/>
  <c r="K30" i="333"/>
  <c r="Y30" i="333" s="1"/>
  <c r="Z30" i="333" s="1"/>
  <c r="AI29" i="333"/>
  <c r="AG29" i="333"/>
  <c r="AD29" i="333"/>
  <c r="AB29" i="333"/>
  <c r="W29" i="333"/>
  <c r="X29" i="333" s="1"/>
  <c r="Y29" i="333" s="1"/>
  <c r="Z29" i="333" s="1"/>
  <c r="Q29" i="333"/>
  <c r="K29" i="333"/>
  <c r="AG28" i="333"/>
  <c r="AD28" i="333"/>
  <c r="AB28" i="333"/>
  <c r="W28" i="333"/>
  <c r="X28" i="333" s="1"/>
  <c r="Q28" i="333"/>
  <c r="K28" i="333"/>
  <c r="AG27" i="333"/>
  <c r="AD27" i="333"/>
  <c r="AB27" i="333"/>
  <c r="W27" i="333"/>
  <c r="X27" i="333" s="1"/>
  <c r="Q27" i="333"/>
  <c r="K27" i="333"/>
  <c r="AG26" i="333"/>
  <c r="AD26" i="333"/>
  <c r="AB26" i="333"/>
  <c r="W26" i="333"/>
  <c r="Q26" i="333"/>
  <c r="X26" i="333" s="1"/>
  <c r="Y26" i="333" s="1"/>
  <c r="Z26" i="333" s="1"/>
  <c r="K26" i="333"/>
  <c r="AG25" i="333"/>
  <c r="AD25" i="333"/>
  <c r="AB25" i="333"/>
  <c r="Y25" i="333"/>
  <c r="Z25" i="333" s="1"/>
  <c r="W25" i="333"/>
  <c r="Q25" i="333"/>
  <c r="X25" i="333" s="1"/>
  <c r="K25" i="333"/>
  <c r="AG24" i="333"/>
  <c r="AD24" i="333"/>
  <c r="AB24" i="333"/>
  <c r="W24" i="333"/>
  <c r="Q24" i="333"/>
  <c r="X24" i="333" s="1"/>
  <c r="K24" i="333"/>
  <c r="AG23" i="333"/>
  <c r="AD23" i="333"/>
  <c r="AB23" i="333"/>
  <c r="X23" i="333"/>
  <c r="Y23" i="333" s="1"/>
  <c r="Z23" i="333" s="1"/>
  <c r="W23" i="333"/>
  <c r="Q23" i="333"/>
  <c r="K23" i="333"/>
  <c r="AG22" i="333"/>
  <c r="AD22" i="333"/>
  <c r="AB22" i="333"/>
  <c r="W22" i="333"/>
  <c r="Q22" i="333"/>
  <c r="X22" i="333" s="1"/>
  <c r="K22" i="333"/>
  <c r="Y22" i="333" s="1"/>
  <c r="Z22" i="333" s="1"/>
  <c r="AI21" i="333"/>
  <c r="AI66" i="333" s="1"/>
  <c r="AG21" i="333"/>
  <c r="AD21" i="333"/>
  <c r="AB21" i="333"/>
  <c r="X21" i="333"/>
  <c r="W21" i="333"/>
  <c r="Q21" i="333"/>
  <c r="K21" i="333"/>
  <c r="AG20" i="333"/>
  <c r="AD20" i="333"/>
  <c r="AB20" i="333"/>
  <c r="W20" i="333"/>
  <c r="X20" i="333" s="1"/>
  <c r="Y20" i="333" s="1"/>
  <c r="Z20" i="333" s="1"/>
  <c r="Q20" i="333"/>
  <c r="K20" i="333"/>
  <c r="AG19" i="333"/>
  <c r="AD19" i="333"/>
  <c r="AB19" i="333"/>
  <c r="X19" i="333"/>
  <c r="Y19" i="333" s="1"/>
  <c r="Z19" i="333" s="1"/>
  <c r="W19" i="333"/>
  <c r="Q19" i="333"/>
  <c r="K19" i="333"/>
  <c r="AG18" i="333"/>
  <c r="AD18" i="333"/>
  <c r="AB18" i="333"/>
  <c r="W18" i="333"/>
  <c r="X18" i="333" s="1"/>
  <c r="Q18" i="333"/>
  <c r="K18" i="333"/>
  <c r="AG17" i="333"/>
  <c r="AD17" i="333"/>
  <c r="AB17" i="333"/>
  <c r="Y17" i="333"/>
  <c r="Z17" i="333" s="1"/>
  <c r="W17" i="333"/>
  <c r="Q17" i="333"/>
  <c r="X17" i="333" s="1"/>
  <c r="K17" i="333"/>
  <c r="AD16" i="333"/>
  <c r="AB16" i="333"/>
  <c r="Y16" i="333"/>
  <c r="Z16" i="333" s="1"/>
  <c r="X16" i="333"/>
  <c r="W16" i="333"/>
  <c r="Q16" i="333"/>
  <c r="K16" i="333"/>
  <c r="AG15" i="333"/>
  <c r="AD15" i="333"/>
  <c r="AB15" i="333"/>
  <c r="W15" i="333"/>
  <c r="Q15" i="333"/>
  <c r="K15" i="333"/>
  <c r="B15" i="333"/>
  <c r="B16" i="333" s="1"/>
  <c r="B17" i="333" s="1"/>
  <c r="B18" i="333" s="1"/>
  <c r="B19" i="333" s="1"/>
  <c r="B20" i="333" s="1"/>
  <c r="B21" i="333" s="1"/>
  <c r="B22" i="333" s="1"/>
  <c r="B23" i="333" s="1"/>
  <c r="B24" i="333" s="1"/>
  <c r="B25" i="333" s="1"/>
  <c r="B26" i="333" s="1"/>
  <c r="B27" i="333" s="1"/>
  <c r="B28" i="333" s="1"/>
  <c r="B29" i="333" s="1"/>
  <c r="B30" i="333" s="1"/>
  <c r="B31" i="333" s="1"/>
  <c r="B32" i="333" s="1"/>
  <c r="B33" i="333" s="1"/>
  <c r="B34" i="333" s="1"/>
  <c r="B35" i="333" s="1"/>
  <c r="B36" i="333" s="1"/>
  <c r="B37" i="333" s="1"/>
  <c r="A15" i="333"/>
  <c r="A16" i="333" s="1"/>
  <c r="A17" i="333" s="1"/>
  <c r="A18" i="333" s="1"/>
  <c r="A19" i="333" s="1"/>
  <c r="A20" i="333" s="1"/>
  <c r="A21" i="333" s="1"/>
  <c r="A22" i="333" s="1"/>
  <c r="A23" i="333" s="1"/>
  <c r="A24" i="333" s="1"/>
  <c r="A25" i="333" s="1"/>
  <c r="A26" i="333" s="1"/>
  <c r="A27" i="333" s="1"/>
  <c r="A28" i="333" s="1"/>
  <c r="A29" i="333" s="1"/>
  <c r="A30" i="333" s="1"/>
  <c r="A31" i="333" s="1"/>
  <c r="A32" i="333" s="1"/>
  <c r="A33" i="333" s="1"/>
  <c r="A34" i="333" s="1"/>
  <c r="A35" i="333" s="1"/>
  <c r="A36" i="333" s="1"/>
  <c r="A37" i="333" s="1"/>
  <c r="AG14" i="333"/>
  <c r="AG66" i="333" s="1"/>
  <c r="AE14" i="333"/>
  <c r="AE66" i="333" s="1"/>
  <c r="AD14" i="333"/>
  <c r="AB14" i="333"/>
  <c r="W14" i="333"/>
  <c r="Q14" i="333"/>
  <c r="K14" i="333"/>
  <c r="I14" i="333"/>
  <c r="Q233" i="330"/>
  <c r="H233" i="330"/>
  <c r="G233" i="330"/>
  <c r="F233" i="330"/>
  <c r="Q232" i="330"/>
  <c r="O232" i="330"/>
  <c r="N232" i="330"/>
  <c r="M232" i="330"/>
  <c r="L232" i="330"/>
  <c r="K232" i="330"/>
  <c r="F232" i="330"/>
  <c r="E232" i="330"/>
  <c r="D232" i="330"/>
  <c r="P231" i="330"/>
  <c r="I231" i="330"/>
  <c r="P230" i="330"/>
  <c r="I230" i="330"/>
  <c r="P229" i="330"/>
  <c r="I229" i="330"/>
  <c r="P228" i="330"/>
  <c r="I228" i="330"/>
  <c r="R227" i="330"/>
  <c r="R232" i="330" s="1"/>
  <c r="I227" i="330"/>
  <c r="I226" i="330"/>
  <c r="Z226" i="330" s="1"/>
  <c r="Z225" i="330"/>
  <c r="I225" i="330"/>
  <c r="J225" i="330" s="1"/>
  <c r="S225" i="330" s="1"/>
  <c r="T225" i="330" s="1"/>
  <c r="AE224" i="330"/>
  <c r="AA224" i="330"/>
  <c r="Z224" i="330"/>
  <c r="Y224" i="330"/>
  <c r="AD224" i="330" s="1"/>
  <c r="S224" i="330"/>
  <c r="T224" i="330" s="1"/>
  <c r="J224" i="330"/>
  <c r="I224" i="330"/>
  <c r="Z223" i="330"/>
  <c r="J223" i="330"/>
  <c r="S223" i="330" s="1"/>
  <c r="I223" i="330"/>
  <c r="T223" i="330" s="1"/>
  <c r="Z222" i="330"/>
  <c r="I222" i="330"/>
  <c r="Z221" i="330"/>
  <c r="I221" i="330"/>
  <c r="Z219" i="330"/>
  <c r="R219" i="330"/>
  <c r="Q219" i="330"/>
  <c r="P219" i="330"/>
  <c r="O219" i="330"/>
  <c r="N219" i="330"/>
  <c r="M219" i="330"/>
  <c r="L219" i="330"/>
  <c r="K219" i="330"/>
  <c r="J219" i="330"/>
  <c r="I219" i="330"/>
  <c r="F219" i="330"/>
  <c r="D219" i="330"/>
  <c r="Z218" i="330"/>
  <c r="J218" i="330"/>
  <c r="S218" i="330" s="1"/>
  <c r="I218" i="330"/>
  <c r="R216" i="330"/>
  <c r="Q216" i="330"/>
  <c r="P216" i="330"/>
  <c r="O216" i="330"/>
  <c r="L216" i="330"/>
  <c r="F216" i="330"/>
  <c r="E216" i="330"/>
  <c r="D216" i="330"/>
  <c r="Z215" i="330"/>
  <c r="Y215" i="330"/>
  <c r="AA215" i="330" s="1"/>
  <c r="S215" i="330"/>
  <c r="T215" i="330" s="1"/>
  <c r="J215" i="330"/>
  <c r="I215" i="330"/>
  <c r="Z214" i="330"/>
  <c r="J214" i="330"/>
  <c r="S214" i="330" s="1"/>
  <c r="I214" i="330"/>
  <c r="T214" i="330" s="1"/>
  <c r="Z213" i="330"/>
  <c r="I213" i="330"/>
  <c r="Z212" i="330"/>
  <c r="I212" i="330"/>
  <c r="Z211" i="330"/>
  <c r="I211" i="330"/>
  <c r="J211" i="330" s="1"/>
  <c r="S211" i="330" s="1"/>
  <c r="T211" i="330" s="1"/>
  <c r="U211" i="330" s="1"/>
  <c r="Z210" i="330"/>
  <c r="S210" i="330"/>
  <c r="T210" i="330" s="1"/>
  <c r="I210" i="330"/>
  <c r="J210" i="330" s="1"/>
  <c r="Z209" i="330"/>
  <c r="J209" i="330"/>
  <c r="S209" i="330" s="1"/>
  <c r="T209" i="330" s="1"/>
  <c r="I209" i="330"/>
  <c r="S208" i="330"/>
  <c r="T208" i="330" s="1"/>
  <c r="J208" i="330"/>
  <c r="I208" i="330"/>
  <c r="Z208" i="330" s="1"/>
  <c r="Z207" i="330"/>
  <c r="K207" i="330"/>
  <c r="J207" i="330"/>
  <c r="S207" i="330" s="1"/>
  <c r="T207" i="330" s="1"/>
  <c r="I207" i="330"/>
  <c r="Z206" i="330"/>
  <c r="I206" i="330"/>
  <c r="J206" i="330" s="1"/>
  <c r="S206" i="330" s="1"/>
  <c r="T206" i="330" s="1"/>
  <c r="U205" i="330"/>
  <c r="S205" i="330"/>
  <c r="T205" i="330" s="1"/>
  <c r="J205" i="330"/>
  <c r="I205" i="330"/>
  <c r="Z205" i="330" s="1"/>
  <c r="I204" i="330"/>
  <c r="Z204" i="330" s="1"/>
  <c r="S203" i="330"/>
  <c r="J203" i="330"/>
  <c r="I203" i="330"/>
  <c r="I202" i="330"/>
  <c r="I201" i="330"/>
  <c r="Z200" i="330"/>
  <c r="I200" i="330"/>
  <c r="J200" i="330" s="1"/>
  <c r="S200" i="330" s="1"/>
  <c r="T200" i="330" s="1"/>
  <c r="K199" i="330"/>
  <c r="I199" i="330"/>
  <c r="Z198" i="330"/>
  <c r="I198" i="330"/>
  <c r="J198" i="330" s="1"/>
  <c r="S198" i="330" s="1"/>
  <c r="T198" i="330" s="1"/>
  <c r="AD197" i="330"/>
  <c r="Z197" i="330"/>
  <c r="Y197" i="330"/>
  <c r="AA197" i="330" s="1"/>
  <c r="T197" i="330"/>
  <c r="S197" i="330"/>
  <c r="I197" i="330"/>
  <c r="J197" i="330" s="1"/>
  <c r="Z196" i="330"/>
  <c r="S196" i="330"/>
  <c r="T196" i="330" s="1"/>
  <c r="J196" i="330"/>
  <c r="I196" i="330"/>
  <c r="Z195" i="330"/>
  <c r="J195" i="330"/>
  <c r="S195" i="330" s="1"/>
  <c r="I195" i="330"/>
  <c r="I194" i="330"/>
  <c r="Z193" i="330"/>
  <c r="I193" i="330"/>
  <c r="I192" i="330"/>
  <c r="I191" i="330"/>
  <c r="Z190" i="330"/>
  <c r="K190" i="330"/>
  <c r="I190" i="330"/>
  <c r="Z189" i="330"/>
  <c r="I189" i="330"/>
  <c r="Z188" i="330"/>
  <c r="J188" i="330"/>
  <c r="S188" i="330" s="1"/>
  <c r="I188" i="330"/>
  <c r="Z187" i="330"/>
  <c r="M187" i="330"/>
  <c r="J187" i="330"/>
  <c r="I187" i="330"/>
  <c r="Z186" i="330"/>
  <c r="S186" i="330"/>
  <c r="T186" i="330" s="1"/>
  <c r="M186" i="330"/>
  <c r="I186" i="330"/>
  <c r="J186" i="330" s="1"/>
  <c r="Z185" i="330"/>
  <c r="Y185" i="330"/>
  <c r="AD185" i="330" s="1"/>
  <c r="S185" i="330"/>
  <c r="T185" i="330" s="1"/>
  <c r="N185" i="330"/>
  <c r="I185" i="330"/>
  <c r="J185" i="330" s="1"/>
  <c r="Z184" i="330"/>
  <c r="I184" i="330"/>
  <c r="J184" i="330" s="1"/>
  <c r="S184" i="330" s="1"/>
  <c r="T184" i="330" s="1"/>
  <c r="Z183" i="330"/>
  <c r="I183" i="330"/>
  <c r="I182" i="330"/>
  <c r="N181" i="330"/>
  <c r="M181" i="330"/>
  <c r="J181" i="330"/>
  <c r="I181" i="330"/>
  <c r="N180" i="330"/>
  <c r="I180" i="330"/>
  <c r="Z179" i="330"/>
  <c r="T179" i="330"/>
  <c r="I179" i="330"/>
  <c r="J179" i="330" s="1"/>
  <c r="S179" i="330" s="1"/>
  <c r="N178" i="330"/>
  <c r="N216" i="330" s="1"/>
  <c r="M178" i="330"/>
  <c r="I178" i="330"/>
  <c r="J178" i="330" s="1"/>
  <c r="S178" i="330" s="1"/>
  <c r="T178" i="330" s="1"/>
  <c r="I177" i="330"/>
  <c r="W176" i="330"/>
  <c r="T176" i="330"/>
  <c r="M176" i="330"/>
  <c r="J176" i="330"/>
  <c r="S176" i="330" s="1"/>
  <c r="I176" i="330"/>
  <c r="Z176" i="330" s="1"/>
  <c r="Z175" i="330"/>
  <c r="T175" i="330"/>
  <c r="J175" i="330"/>
  <c r="S175" i="330" s="1"/>
  <c r="I175" i="330"/>
  <c r="Z174" i="330"/>
  <c r="S174" i="330"/>
  <c r="K174" i="330"/>
  <c r="J174" i="330"/>
  <c r="I174" i="330"/>
  <c r="R172" i="330"/>
  <c r="Q172" i="330"/>
  <c r="P172" i="330"/>
  <c r="O172" i="330"/>
  <c r="N172" i="330"/>
  <c r="M172" i="330"/>
  <c r="L172" i="330"/>
  <c r="K172" i="330"/>
  <c r="I172" i="330"/>
  <c r="F172" i="330"/>
  <c r="E172" i="330"/>
  <c r="D172" i="330"/>
  <c r="Z171" i="330"/>
  <c r="Z172" i="330" s="1"/>
  <c r="J171" i="330"/>
  <c r="J172" i="330" s="1"/>
  <c r="I171" i="330"/>
  <c r="N168" i="330"/>
  <c r="M168" i="330"/>
  <c r="L168" i="330"/>
  <c r="K168" i="330"/>
  <c r="E168" i="330"/>
  <c r="D168" i="330"/>
  <c r="P167" i="330"/>
  <c r="I167" i="330"/>
  <c r="Z166" i="330"/>
  <c r="P166" i="330"/>
  <c r="I166" i="330"/>
  <c r="J166" i="330" s="1"/>
  <c r="S166" i="330" s="1"/>
  <c r="T166" i="330" s="1"/>
  <c r="Z165" i="330"/>
  <c r="P165" i="330"/>
  <c r="I165" i="330"/>
  <c r="J165" i="330" s="1"/>
  <c r="Q164" i="330"/>
  <c r="J164" i="330"/>
  <c r="S164" i="330" s="1"/>
  <c r="I164" i="330"/>
  <c r="W163" i="330"/>
  <c r="Q163" i="330"/>
  <c r="J163" i="330"/>
  <c r="S163" i="330" s="1"/>
  <c r="T163" i="330" s="1"/>
  <c r="I163" i="330"/>
  <c r="Z163" i="330" s="1"/>
  <c r="P162" i="330"/>
  <c r="I162" i="330"/>
  <c r="P161" i="330"/>
  <c r="I161" i="330"/>
  <c r="AA160" i="330"/>
  <c r="Z160" i="330"/>
  <c r="Y160" i="330"/>
  <c r="AD160" i="330" s="1"/>
  <c r="S160" i="330"/>
  <c r="T160" i="330" s="1"/>
  <c r="P160" i="330"/>
  <c r="I160" i="330"/>
  <c r="J160" i="330" s="1"/>
  <c r="P159" i="330"/>
  <c r="I159" i="330"/>
  <c r="Z159" i="330" s="1"/>
  <c r="S158" i="330"/>
  <c r="T158" i="330" s="1"/>
  <c r="Q158" i="330"/>
  <c r="J158" i="330"/>
  <c r="I158" i="330"/>
  <c r="Z158" i="330" s="1"/>
  <c r="Q157" i="330"/>
  <c r="Q168" i="330" s="1"/>
  <c r="J157" i="330"/>
  <c r="S157" i="330" s="1"/>
  <c r="I157" i="330"/>
  <c r="Z156" i="330"/>
  <c r="P156" i="330"/>
  <c r="I156" i="330"/>
  <c r="P155" i="330"/>
  <c r="I155" i="330"/>
  <c r="Z154" i="330"/>
  <c r="Y154" i="330"/>
  <c r="Q154" i="330"/>
  <c r="J154" i="330"/>
  <c r="S154" i="330" s="1"/>
  <c r="T154" i="330" s="1"/>
  <c r="I154" i="330"/>
  <c r="Z153" i="330"/>
  <c r="W153" i="330"/>
  <c r="U153" i="330"/>
  <c r="P153" i="330"/>
  <c r="I153" i="330"/>
  <c r="J153" i="330" s="1"/>
  <c r="S153" i="330" s="1"/>
  <c r="T153" i="330" s="1"/>
  <c r="Z152" i="330"/>
  <c r="P152" i="330"/>
  <c r="I152" i="330"/>
  <c r="J152" i="330" s="1"/>
  <c r="S152" i="330" s="1"/>
  <c r="Z151" i="330"/>
  <c r="Q151" i="330"/>
  <c r="I151" i="330"/>
  <c r="Z150" i="330"/>
  <c r="P150" i="330"/>
  <c r="I150" i="330"/>
  <c r="Z149" i="330"/>
  <c r="P149" i="330"/>
  <c r="J149" i="330"/>
  <c r="I149" i="330"/>
  <c r="Z148" i="330"/>
  <c r="W148" i="330"/>
  <c r="T148" i="330"/>
  <c r="P148" i="330"/>
  <c r="J148" i="330"/>
  <c r="S148" i="330" s="1"/>
  <c r="I148" i="330"/>
  <c r="Q147" i="330"/>
  <c r="I147" i="330"/>
  <c r="Z146" i="330"/>
  <c r="P146" i="330"/>
  <c r="J146" i="330"/>
  <c r="S146" i="330" s="1"/>
  <c r="T146" i="330" s="1"/>
  <c r="I146" i="330"/>
  <c r="P145" i="330"/>
  <c r="J145" i="330"/>
  <c r="S145" i="330" s="1"/>
  <c r="I145" i="330"/>
  <c r="Z145" i="330" s="1"/>
  <c r="T144" i="330"/>
  <c r="S144" i="330"/>
  <c r="R144" i="330"/>
  <c r="J144" i="330"/>
  <c r="I144" i="330"/>
  <c r="Z144" i="330" s="1"/>
  <c r="R143" i="330"/>
  <c r="I143" i="330"/>
  <c r="I142" i="330"/>
  <c r="J142" i="330" s="1"/>
  <c r="S142" i="330" s="1"/>
  <c r="J141" i="330"/>
  <c r="S141" i="330" s="1"/>
  <c r="I141" i="330"/>
  <c r="Z141" i="330" s="1"/>
  <c r="Z140" i="330"/>
  <c r="W140" i="330"/>
  <c r="S140" i="330"/>
  <c r="T140" i="330" s="1"/>
  <c r="J140" i="330"/>
  <c r="I140" i="330"/>
  <c r="Z139" i="330"/>
  <c r="I139" i="330"/>
  <c r="Z138" i="330"/>
  <c r="S138" i="330"/>
  <c r="J138" i="330"/>
  <c r="I138" i="330"/>
  <c r="Z137" i="330"/>
  <c r="S137" i="330"/>
  <c r="I137" i="330"/>
  <c r="J137" i="330" s="1"/>
  <c r="J136" i="330"/>
  <c r="S136" i="330" s="1"/>
  <c r="I136" i="330"/>
  <c r="J135" i="330"/>
  <c r="S135" i="330" s="1"/>
  <c r="I135" i="330"/>
  <c r="Z135" i="330" s="1"/>
  <c r="I134" i="330"/>
  <c r="O133" i="330"/>
  <c r="O168" i="330" s="1"/>
  <c r="I133" i="330"/>
  <c r="Z132" i="330"/>
  <c r="R132" i="330"/>
  <c r="J132" i="330"/>
  <c r="S132" i="330" s="1"/>
  <c r="T132" i="330" s="1"/>
  <c r="I132" i="330"/>
  <c r="AA131" i="330"/>
  <c r="Z131" i="330"/>
  <c r="Y131" i="330"/>
  <c r="AD131" i="330" s="1"/>
  <c r="S131" i="330"/>
  <c r="T131" i="330" s="1"/>
  <c r="J131" i="330"/>
  <c r="I131" i="330"/>
  <c r="Z130" i="330"/>
  <c r="I130" i="330"/>
  <c r="Z128" i="330"/>
  <c r="R128" i="330"/>
  <c r="Q128" i="330"/>
  <c r="P128" i="330"/>
  <c r="O128" i="330"/>
  <c r="N128" i="330"/>
  <c r="M128" i="330"/>
  <c r="L128" i="330"/>
  <c r="K128" i="330"/>
  <c r="I128" i="330"/>
  <c r="E128" i="330"/>
  <c r="D128" i="330"/>
  <c r="J127" i="330"/>
  <c r="S127" i="330" s="1"/>
  <c r="I127" i="330"/>
  <c r="Z127" i="330" s="1"/>
  <c r="J126" i="330"/>
  <c r="I126" i="330"/>
  <c r="Z126" i="330" s="1"/>
  <c r="S125" i="330"/>
  <c r="T125" i="330" s="1"/>
  <c r="J125" i="330"/>
  <c r="I125" i="330"/>
  <c r="Z125" i="330" s="1"/>
  <c r="R123" i="330"/>
  <c r="Q123" i="330"/>
  <c r="O123" i="330"/>
  <c r="N123" i="330"/>
  <c r="L123" i="330"/>
  <c r="K123" i="330"/>
  <c r="E123" i="330"/>
  <c r="D123" i="330"/>
  <c r="Z122" i="330"/>
  <c r="I122" i="330"/>
  <c r="J122" i="330" s="1"/>
  <c r="S122" i="330" s="1"/>
  <c r="T122" i="330" s="1"/>
  <c r="Z121" i="330"/>
  <c r="I121" i="330"/>
  <c r="J121" i="330" s="1"/>
  <c r="S121" i="330" s="1"/>
  <c r="T121" i="330" s="1"/>
  <c r="Z120" i="330"/>
  <c r="T120" i="330"/>
  <c r="S120" i="330"/>
  <c r="J120" i="330"/>
  <c r="I120" i="330"/>
  <c r="J119" i="330"/>
  <c r="S119" i="330" s="1"/>
  <c r="T119" i="330" s="1"/>
  <c r="I119" i="330"/>
  <c r="I118" i="330"/>
  <c r="W117" i="330"/>
  <c r="S117" i="330"/>
  <c r="T117" i="330" s="1"/>
  <c r="J117" i="330"/>
  <c r="I117" i="330"/>
  <c r="Y116" i="330"/>
  <c r="I116" i="330"/>
  <c r="J116" i="330" s="1"/>
  <c r="S116" i="330" s="1"/>
  <c r="T116" i="330" s="1"/>
  <c r="U116" i="330" s="1"/>
  <c r="I115" i="330"/>
  <c r="I114" i="330"/>
  <c r="I113" i="330"/>
  <c r="J113" i="330" s="1"/>
  <c r="S113" i="330" s="1"/>
  <c r="T113" i="330" s="1"/>
  <c r="I112" i="330"/>
  <c r="S111" i="330"/>
  <c r="T111" i="330" s="1"/>
  <c r="J111" i="330"/>
  <c r="I111" i="330"/>
  <c r="Y110" i="330"/>
  <c r="AD110" i="330" s="1"/>
  <c r="J110" i="330"/>
  <c r="S110" i="330" s="1"/>
  <c r="I110" i="330"/>
  <c r="T110" i="330" s="1"/>
  <c r="I109" i="330"/>
  <c r="T108" i="330"/>
  <c r="I108" i="330"/>
  <c r="J108" i="330" s="1"/>
  <c r="S108" i="330" s="1"/>
  <c r="S107" i="330"/>
  <c r="J107" i="330"/>
  <c r="I107" i="330"/>
  <c r="T107" i="330" s="1"/>
  <c r="Y106" i="330"/>
  <c r="W106" i="330"/>
  <c r="V106" i="330" s="1"/>
  <c r="X106" i="330" s="1"/>
  <c r="J106" i="330"/>
  <c r="S106" i="330" s="1"/>
  <c r="T106" i="330" s="1"/>
  <c r="U106" i="330" s="1"/>
  <c r="I106" i="330"/>
  <c r="U105" i="330"/>
  <c r="T105" i="330"/>
  <c r="S105" i="330"/>
  <c r="I105" i="330"/>
  <c r="J105" i="330" s="1"/>
  <c r="J104" i="330"/>
  <c r="S104" i="330" s="1"/>
  <c r="T104" i="330" s="1"/>
  <c r="I104" i="330"/>
  <c r="H103" i="330"/>
  <c r="I103" i="330" s="1"/>
  <c r="Z102" i="330"/>
  <c r="W102" i="330"/>
  <c r="I102" i="330"/>
  <c r="J102" i="330" s="1"/>
  <c r="S102" i="330" s="1"/>
  <c r="T102" i="330" s="1"/>
  <c r="H102" i="330"/>
  <c r="Z101" i="330"/>
  <c r="T101" i="330"/>
  <c r="J101" i="330"/>
  <c r="S101" i="330" s="1"/>
  <c r="I101" i="330"/>
  <c r="H101" i="330"/>
  <c r="H100" i="330"/>
  <c r="I100" i="330" s="1"/>
  <c r="Z99" i="330"/>
  <c r="H99" i="330"/>
  <c r="I99" i="330" s="1"/>
  <c r="J99" i="330" s="1"/>
  <c r="S99" i="330" s="1"/>
  <c r="Z98" i="330"/>
  <c r="I98" i="330"/>
  <c r="H98" i="330"/>
  <c r="Z97" i="330"/>
  <c r="J97" i="330"/>
  <c r="S97" i="330" s="1"/>
  <c r="I97" i="330"/>
  <c r="H97" i="330"/>
  <c r="AA96" i="330"/>
  <c r="Z96" i="330"/>
  <c r="Y96" i="330"/>
  <c r="AD96" i="330" s="1"/>
  <c r="W96" i="330"/>
  <c r="S96" i="330"/>
  <c r="T96" i="330" s="1"/>
  <c r="J96" i="330"/>
  <c r="I96" i="330"/>
  <c r="Z95" i="330"/>
  <c r="Y95" i="330"/>
  <c r="W95" i="330"/>
  <c r="S95" i="330"/>
  <c r="T95" i="330" s="1"/>
  <c r="J95" i="330"/>
  <c r="I95" i="330"/>
  <c r="Z94" i="330"/>
  <c r="W94" i="330"/>
  <c r="S94" i="330"/>
  <c r="T94" i="330" s="1"/>
  <c r="J94" i="330"/>
  <c r="I94" i="330"/>
  <c r="AA93" i="330"/>
  <c r="Z93" i="330"/>
  <c r="Y93" i="330"/>
  <c r="AD93" i="330" s="1"/>
  <c r="S93" i="330"/>
  <c r="T93" i="330" s="1"/>
  <c r="J93" i="330"/>
  <c r="I93" i="330"/>
  <c r="Z92" i="330"/>
  <c r="S92" i="330"/>
  <c r="T92" i="330" s="1"/>
  <c r="J92" i="330"/>
  <c r="I92" i="330"/>
  <c r="Z91" i="330"/>
  <c r="Y91" i="330"/>
  <c r="AD91" i="330" s="1"/>
  <c r="W91" i="330"/>
  <c r="S91" i="330"/>
  <c r="T91" i="330" s="1"/>
  <c r="J91" i="330"/>
  <c r="I91" i="330"/>
  <c r="Z90" i="330"/>
  <c r="S90" i="330"/>
  <c r="T90" i="330" s="1"/>
  <c r="J90" i="330"/>
  <c r="I90" i="330"/>
  <c r="Z89" i="330"/>
  <c r="S89" i="330"/>
  <c r="T89" i="330" s="1"/>
  <c r="J89" i="330"/>
  <c r="I89" i="330"/>
  <c r="Z88" i="330"/>
  <c r="S88" i="330"/>
  <c r="T88" i="330" s="1"/>
  <c r="J88" i="330"/>
  <c r="I88" i="330"/>
  <c r="Z87" i="330"/>
  <c r="W87" i="330"/>
  <c r="S87" i="330"/>
  <c r="T87" i="330" s="1"/>
  <c r="J87" i="330"/>
  <c r="I87" i="330"/>
  <c r="Z86" i="330"/>
  <c r="W86" i="330"/>
  <c r="S86" i="330"/>
  <c r="T86" i="330" s="1"/>
  <c r="J86" i="330"/>
  <c r="I86" i="330"/>
  <c r="Z85" i="330"/>
  <c r="W85" i="330"/>
  <c r="S85" i="330"/>
  <c r="T85" i="330" s="1"/>
  <c r="J85" i="330"/>
  <c r="I85" i="330"/>
  <c r="AD84" i="330"/>
  <c r="AC84" i="330"/>
  <c r="Z84" i="330"/>
  <c r="Y84" i="330"/>
  <c r="AA84" i="330" s="1"/>
  <c r="AE84" i="330" s="1"/>
  <c r="S84" i="330"/>
  <c r="T84" i="330" s="1"/>
  <c r="J84" i="330"/>
  <c r="I84" i="330"/>
  <c r="Z83" i="330"/>
  <c r="S83" i="330"/>
  <c r="T83" i="330" s="1"/>
  <c r="J83" i="330"/>
  <c r="I83" i="330"/>
  <c r="Z82" i="330"/>
  <c r="S82" i="330"/>
  <c r="T82" i="330" s="1"/>
  <c r="J82" i="330"/>
  <c r="I82" i="330"/>
  <c r="Z81" i="330"/>
  <c r="S81" i="330"/>
  <c r="T81" i="330" s="1"/>
  <c r="J81" i="330"/>
  <c r="I81" i="330"/>
  <c r="Z80" i="330"/>
  <c r="Y80" i="330"/>
  <c r="W80" i="330"/>
  <c r="S80" i="330"/>
  <c r="T80" i="330" s="1"/>
  <c r="J80" i="330"/>
  <c r="I80" i="330"/>
  <c r="Z79" i="330"/>
  <c r="Y79" i="330"/>
  <c r="W79" i="330"/>
  <c r="S79" i="330"/>
  <c r="T79" i="330" s="1"/>
  <c r="J79" i="330"/>
  <c r="I79" i="330"/>
  <c r="Z78" i="330"/>
  <c r="W78" i="330"/>
  <c r="S78" i="330"/>
  <c r="T78" i="330" s="1"/>
  <c r="J78" i="330"/>
  <c r="I78" i="330"/>
  <c r="AD77" i="330"/>
  <c r="AA77" i="330"/>
  <c r="Z77" i="330"/>
  <c r="Y77" i="330"/>
  <c r="S77" i="330"/>
  <c r="T77" i="330" s="1"/>
  <c r="J77" i="330"/>
  <c r="I77" i="330"/>
  <c r="Z76" i="330"/>
  <c r="S76" i="330"/>
  <c r="T76" i="330" s="1"/>
  <c r="J76" i="330"/>
  <c r="I76" i="330"/>
  <c r="P75" i="330"/>
  <c r="I75" i="330"/>
  <c r="Z74" i="330"/>
  <c r="P74" i="330"/>
  <c r="J74" i="330"/>
  <c r="S74" i="330" s="1"/>
  <c r="T74" i="330" s="1"/>
  <c r="I74" i="330"/>
  <c r="P73" i="330"/>
  <c r="P123" i="330" s="1"/>
  <c r="I73" i="330"/>
  <c r="Z72" i="330"/>
  <c r="I72" i="330"/>
  <c r="Z71" i="330"/>
  <c r="I71" i="330"/>
  <c r="I70" i="330"/>
  <c r="Z69" i="330"/>
  <c r="I69" i="330"/>
  <c r="I68" i="330"/>
  <c r="I67" i="330"/>
  <c r="Z67" i="330" s="1"/>
  <c r="I66" i="330"/>
  <c r="J65" i="330"/>
  <c r="S65" i="330" s="1"/>
  <c r="I65" i="330"/>
  <c r="J64" i="330"/>
  <c r="S64" i="330" s="1"/>
  <c r="I64" i="330"/>
  <c r="Z64" i="330" s="1"/>
  <c r="I63" i="330"/>
  <c r="S62" i="330"/>
  <c r="T62" i="330" s="1"/>
  <c r="J62" i="330"/>
  <c r="I62" i="330"/>
  <c r="Z62" i="330" s="1"/>
  <c r="I61" i="330"/>
  <c r="Z61" i="330" s="1"/>
  <c r="S60" i="330"/>
  <c r="T60" i="330" s="1"/>
  <c r="J60" i="330"/>
  <c r="I60" i="330"/>
  <c r="Z60" i="330" s="1"/>
  <c r="I59" i="330"/>
  <c r="Z59" i="330" s="1"/>
  <c r="I58" i="330"/>
  <c r="I57" i="330"/>
  <c r="J56" i="330"/>
  <c r="S56" i="330" s="1"/>
  <c r="I56" i="330"/>
  <c r="Z56" i="330" s="1"/>
  <c r="I55" i="330"/>
  <c r="S54" i="330"/>
  <c r="T54" i="330" s="1"/>
  <c r="J54" i="330"/>
  <c r="I54" i="330"/>
  <c r="Z54" i="330" s="1"/>
  <c r="I53" i="330"/>
  <c r="Z53" i="330" s="1"/>
  <c r="J52" i="330"/>
  <c r="S52" i="330" s="1"/>
  <c r="T52" i="330" s="1"/>
  <c r="I52" i="330"/>
  <c r="Z52" i="330" s="1"/>
  <c r="I51" i="330"/>
  <c r="Z51" i="330" s="1"/>
  <c r="J50" i="330"/>
  <c r="S50" i="330" s="1"/>
  <c r="I50" i="330"/>
  <c r="Z50" i="330" s="1"/>
  <c r="I49" i="330"/>
  <c r="J48" i="330"/>
  <c r="S48" i="330" s="1"/>
  <c r="I48" i="330"/>
  <c r="Z48" i="330" s="1"/>
  <c r="I47" i="330"/>
  <c r="Z47" i="330" s="1"/>
  <c r="S46" i="330"/>
  <c r="T46" i="330" s="1"/>
  <c r="J46" i="330"/>
  <c r="I46" i="330"/>
  <c r="Z46" i="330" s="1"/>
  <c r="I45" i="330"/>
  <c r="Z45" i="330" s="1"/>
  <c r="J44" i="330"/>
  <c r="S44" i="330" s="1"/>
  <c r="T44" i="330" s="1"/>
  <c r="I44" i="330"/>
  <c r="Z44" i="330" s="1"/>
  <c r="J43" i="330"/>
  <c r="S43" i="330" s="1"/>
  <c r="I43" i="330"/>
  <c r="Z43" i="330" s="1"/>
  <c r="I42" i="330"/>
  <c r="Z42" i="330" s="1"/>
  <c r="I41" i="330"/>
  <c r="S40" i="330"/>
  <c r="T40" i="330" s="1"/>
  <c r="J40" i="330"/>
  <c r="I40" i="330"/>
  <c r="Z40" i="330" s="1"/>
  <c r="I39" i="330"/>
  <c r="Z39" i="330" s="1"/>
  <c r="E37" i="330"/>
  <c r="D37" i="330"/>
  <c r="J36" i="330"/>
  <c r="S36" i="330" s="1"/>
  <c r="I36" i="330"/>
  <c r="Z35" i="330"/>
  <c r="I35" i="330"/>
  <c r="Z34" i="330"/>
  <c r="S34" i="330"/>
  <c r="T34" i="330" s="1"/>
  <c r="J34" i="330"/>
  <c r="I34" i="330"/>
  <c r="S33" i="330"/>
  <c r="T33" i="330" s="1"/>
  <c r="J33" i="330"/>
  <c r="I33" i="330"/>
  <c r="Z33" i="330" s="1"/>
  <c r="Z32" i="330"/>
  <c r="J32" i="330"/>
  <c r="S32" i="330" s="1"/>
  <c r="I32" i="330"/>
  <c r="Z31" i="330"/>
  <c r="I31" i="330"/>
  <c r="J31" i="330" s="1"/>
  <c r="S31" i="330" s="1"/>
  <c r="T31" i="330" s="1"/>
  <c r="I30" i="330"/>
  <c r="S29" i="330"/>
  <c r="T29" i="330" s="1"/>
  <c r="J29" i="330"/>
  <c r="I29" i="330"/>
  <c r="Z29" i="330" s="1"/>
  <c r="Z28" i="330"/>
  <c r="T28" i="330"/>
  <c r="I28" i="330"/>
  <c r="J28" i="330" s="1"/>
  <c r="S28" i="330" s="1"/>
  <c r="J27" i="330"/>
  <c r="S27" i="330" s="1"/>
  <c r="I27" i="330"/>
  <c r="Z27" i="330" s="1"/>
  <c r="I26" i="330"/>
  <c r="Z25" i="330"/>
  <c r="J25" i="330"/>
  <c r="S25" i="330" s="1"/>
  <c r="I25" i="330"/>
  <c r="I24" i="330"/>
  <c r="I23" i="330"/>
  <c r="J22" i="330"/>
  <c r="S22" i="330" s="1"/>
  <c r="I22" i="330"/>
  <c r="Z22" i="330" s="1"/>
  <c r="J21" i="330"/>
  <c r="S21" i="330" s="1"/>
  <c r="I21" i="330"/>
  <c r="I20" i="330"/>
  <c r="I19" i="330"/>
  <c r="Z18" i="330"/>
  <c r="I18" i="330"/>
  <c r="Z17" i="330"/>
  <c r="J17" i="330"/>
  <c r="S17" i="330" s="1"/>
  <c r="I17" i="330"/>
  <c r="H233" i="329"/>
  <c r="G233" i="329"/>
  <c r="Q232" i="329"/>
  <c r="O232" i="329"/>
  <c r="N232" i="329"/>
  <c r="M232" i="329"/>
  <c r="L232" i="329"/>
  <c r="K232" i="329"/>
  <c r="F232" i="329"/>
  <c r="E232" i="329"/>
  <c r="D232" i="329"/>
  <c r="P231" i="329"/>
  <c r="I231" i="329"/>
  <c r="P230" i="329"/>
  <c r="I230" i="329"/>
  <c r="P229" i="329"/>
  <c r="J229" i="329"/>
  <c r="S229" i="329" s="1"/>
  <c r="I229" i="329"/>
  <c r="Z228" i="329"/>
  <c r="S228" i="329"/>
  <c r="T228" i="329" s="1"/>
  <c r="P228" i="329"/>
  <c r="P232" i="329" s="1"/>
  <c r="J228" i="329"/>
  <c r="I228" i="329"/>
  <c r="Z227" i="329"/>
  <c r="R227" i="329"/>
  <c r="R232" i="329" s="1"/>
  <c r="J227" i="329"/>
  <c r="I227" i="329"/>
  <c r="Z226" i="329"/>
  <c r="Y226" i="329"/>
  <c r="AA226" i="329" s="1"/>
  <c r="J226" i="329"/>
  <c r="S226" i="329" s="1"/>
  <c r="T226" i="329" s="1"/>
  <c r="I226" i="329"/>
  <c r="Z225" i="329"/>
  <c r="Y225" i="329"/>
  <c r="J225" i="329"/>
  <c r="S225" i="329" s="1"/>
  <c r="T225" i="329" s="1"/>
  <c r="I225" i="329"/>
  <c r="Z224" i="329"/>
  <c r="W224" i="329"/>
  <c r="S224" i="329"/>
  <c r="T224" i="329" s="1"/>
  <c r="J224" i="329"/>
  <c r="I224" i="329"/>
  <c r="Z223" i="329"/>
  <c r="Y223" i="329"/>
  <c r="J223" i="329"/>
  <c r="S223" i="329" s="1"/>
  <c r="T223" i="329" s="1"/>
  <c r="I223" i="329"/>
  <c r="Z222" i="329"/>
  <c r="J222" i="329"/>
  <c r="S222" i="329" s="1"/>
  <c r="T222" i="329" s="1"/>
  <c r="I222" i="329"/>
  <c r="Z221" i="329"/>
  <c r="S221" i="329"/>
  <c r="J221" i="329"/>
  <c r="I221" i="329"/>
  <c r="R219" i="329"/>
  <c r="Q219" i="329"/>
  <c r="P219" i="329"/>
  <c r="O219" i="329"/>
  <c r="N219" i="329"/>
  <c r="M219" i="329"/>
  <c r="L219" i="329"/>
  <c r="K219" i="329"/>
  <c r="F219" i="329"/>
  <c r="D219" i="329"/>
  <c r="I218" i="329"/>
  <c r="R216" i="329"/>
  <c r="Q216" i="329"/>
  <c r="P216" i="329"/>
  <c r="O216" i="329"/>
  <c r="O233" i="329" s="1"/>
  <c r="N216" i="329"/>
  <c r="L216" i="329"/>
  <c r="F216" i="329"/>
  <c r="E216" i="329"/>
  <c r="D216" i="329"/>
  <c r="I215" i="329"/>
  <c r="S214" i="329"/>
  <c r="T214" i="329" s="1"/>
  <c r="J214" i="329"/>
  <c r="I214" i="329"/>
  <c r="Z214" i="329" s="1"/>
  <c r="I213" i="329"/>
  <c r="Z213" i="329" s="1"/>
  <c r="I212" i="329"/>
  <c r="Z211" i="329"/>
  <c r="S211" i="329"/>
  <c r="T211" i="329" s="1"/>
  <c r="J211" i="329"/>
  <c r="I211" i="329"/>
  <c r="Z210" i="329"/>
  <c r="I210" i="329"/>
  <c r="Z209" i="329"/>
  <c r="J209" i="329"/>
  <c r="S209" i="329" s="1"/>
  <c r="I209" i="329"/>
  <c r="Z208" i="329"/>
  <c r="T208" i="329"/>
  <c r="I208" i="329"/>
  <c r="J208" i="329" s="1"/>
  <c r="S208" i="329" s="1"/>
  <c r="Z207" i="329"/>
  <c r="K207" i="329"/>
  <c r="J207" i="329"/>
  <c r="S207" i="329" s="1"/>
  <c r="T207" i="329" s="1"/>
  <c r="I207" i="329"/>
  <c r="I206" i="329"/>
  <c r="Z206" i="329" s="1"/>
  <c r="I205" i="329"/>
  <c r="Z205" i="329" s="1"/>
  <c r="J204" i="329"/>
  <c r="S204" i="329" s="1"/>
  <c r="I204" i="329"/>
  <c r="I203" i="329"/>
  <c r="Z202" i="329"/>
  <c r="Y202" i="329"/>
  <c r="J202" i="329"/>
  <c r="S202" i="329" s="1"/>
  <c r="T202" i="329" s="1"/>
  <c r="I202" i="329"/>
  <c r="Z201" i="329"/>
  <c r="I201" i="329"/>
  <c r="AA200" i="329"/>
  <c r="Z200" i="329"/>
  <c r="Y200" i="329"/>
  <c r="AD200" i="329" s="1"/>
  <c r="X200" i="329"/>
  <c r="V200" i="329"/>
  <c r="U200" i="329"/>
  <c r="I200" i="329"/>
  <c r="J200" i="329" s="1"/>
  <c r="S200" i="329" s="1"/>
  <c r="T200" i="329" s="1"/>
  <c r="W200" i="329" s="1"/>
  <c r="Z199" i="329"/>
  <c r="M199" i="329"/>
  <c r="K199" i="329"/>
  <c r="I199" i="329"/>
  <c r="J199" i="329" s="1"/>
  <c r="S199" i="329" s="1"/>
  <c r="T199" i="329" s="1"/>
  <c r="Z198" i="329"/>
  <c r="U198" i="329"/>
  <c r="J198" i="329"/>
  <c r="S198" i="329" s="1"/>
  <c r="T198" i="329" s="1"/>
  <c r="I198" i="329"/>
  <c r="I197" i="329"/>
  <c r="I196" i="329"/>
  <c r="Z196" i="329" s="1"/>
  <c r="I195" i="329"/>
  <c r="I194" i="329"/>
  <c r="Z193" i="329"/>
  <c r="J193" i="329"/>
  <c r="S193" i="329" s="1"/>
  <c r="T193" i="329" s="1"/>
  <c r="I193" i="329"/>
  <c r="Z192" i="329"/>
  <c r="I192" i="329"/>
  <c r="Z191" i="329"/>
  <c r="T191" i="329"/>
  <c r="I191" i="329"/>
  <c r="J191" i="329" s="1"/>
  <c r="S191" i="329" s="1"/>
  <c r="Z190" i="329"/>
  <c r="T190" i="329"/>
  <c r="Y190" i="329" s="1"/>
  <c r="S190" i="329"/>
  <c r="K190" i="329"/>
  <c r="J190" i="329"/>
  <c r="I190" i="329"/>
  <c r="Z189" i="329"/>
  <c r="T189" i="329"/>
  <c r="S189" i="329"/>
  <c r="J189" i="329"/>
  <c r="I189" i="329"/>
  <c r="Z188" i="329"/>
  <c r="W188" i="329"/>
  <c r="T188" i="329"/>
  <c r="S188" i="329"/>
  <c r="J188" i="329"/>
  <c r="I188" i="329"/>
  <c r="M187" i="329"/>
  <c r="I187" i="329"/>
  <c r="J186" i="329"/>
  <c r="I186" i="329"/>
  <c r="N185" i="329"/>
  <c r="I185" i="329"/>
  <c r="I184" i="329"/>
  <c r="I183" i="329"/>
  <c r="I182" i="329"/>
  <c r="Z181" i="329"/>
  <c r="N181" i="329"/>
  <c r="M181" i="329"/>
  <c r="J181" i="329"/>
  <c r="S181" i="329" s="1"/>
  <c r="T181" i="329" s="1"/>
  <c r="I181" i="329"/>
  <c r="N180" i="329"/>
  <c r="I180" i="329"/>
  <c r="T179" i="329"/>
  <c r="S179" i="329"/>
  <c r="I179" i="329"/>
  <c r="J179" i="329" s="1"/>
  <c r="N178" i="329"/>
  <c r="I178" i="329"/>
  <c r="AD177" i="329"/>
  <c r="Z177" i="329"/>
  <c r="Y177" i="329"/>
  <c r="S177" i="329"/>
  <c r="T177" i="329" s="1"/>
  <c r="J177" i="329"/>
  <c r="I177" i="329"/>
  <c r="Z176" i="329"/>
  <c r="M176" i="329"/>
  <c r="S176" i="329" s="1"/>
  <c r="T176" i="329" s="1"/>
  <c r="J176" i="329"/>
  <c r="I176" i="329"/>
  <c r="Z175" i="329"/>
  <c r="J175" i="329"/>
  <c r="S175" i="329" s="1"/>
  <c r="T175" i="329" s="1"/>
  <c r="I175" i="329"/>
  <c r="Z174" i="329"/>
  <c r="K174" i="329"/>
  <c r="J174" i="329"/>
  <c r="S174" i="329" s="1"/>
  <c r="I174" i="329"/>
  <c r="Z172" i="329"/>
  <c r="R172" i="329"/>
  <c r="Q172" i="329"/>
  <c r="P172" i="329"/>
  <c r="O172" i="329"/>
  <c r="N172" i="329"/>
  <c r="M172" i="329"/>
  <c r="L172" i="329"/>
  <c r="K172" i="329"/>
  <c r="J172" i="329"/>
  <c r="I172" i="329"/>
  <c r="F172" i="329"/>
  <c r="E172" i="329"/>
  <c r="D172" i="329"/>
  <c r="Z171" i="329"/>
  <c r="Y171" i="329"/>
  <c r="T171" i="329"/>
  <c r="S171" i="329"/>
  <c r="S172" i="329" s="1"/>
  <c r="J171" i="329"/>
  <c r="I171" i="329"/>
  <c r="O168" i="329"/>
  <c r="N168" i="329"/>
  <c r="M168" i="329"/>
  <c r="L168" i="329"/>
  <c r="K168" i="329"/>
  <c r="E168" i="329"/>
  <c r="D168" i="329"/>
  <c r="P167" i="329"/>
  <c r="S167" i="329" s="1"/>
  <c r="J167" i="329"/>
  <c r="I167" i="329"/>
  <c r="P166" i="329"/>
  <c r="J166" i="329"/>
  <c r="S166" i="329" s="1"/>
  <c r="T166" i="329" s="1"/>
  <c r="I166" i="329"/>
  <c r="Z166" i="329" s="1"/>
  <c r="P165" i="329"/>
  <c r="I165" i="329"/>
  <c r="Z164" i="329"/>
  <c r="Q164" i="329"/>
  <c r="I164" i="329"/>
  <c r="Z163" i="329"/>
  <c r="Q163" i="329"/>
  <c r="S163" i="329" s="1"/>
  <c r="T163" i="329" s="1"/>
  <c r="J163" i="329"/>
  <c r="I163" i="329"/>
  <c r="Z162" i="329"/>
  <c r="U162" i="329"/>
  <c r="P162" i="329"/>
  <c r="S162" i="329" s="1"/>
  <c r="T162" i="329" s="1"/>
  <c r="J162" i="329"/>
  <c r="I162" i="329"/>
  <c r="Z161" i="329"/>
  <c r="P161" i="329"/>
  <c r="I161" i="329"/>
  <c r="J161" i="329" s="1"/>
  <c r="S161" i="329" s="1"/>
  <c r="T161" i="329" s="1"/>
  <c r="P160" i="329"/>
  <c r="I160" i="329"/>
  <c r="Z159" i="329"/>
  <c r="P159" i="329"/>
  <c r="J159" i="329"/>
  <c r="S159" i="329" s="1"/>
  <c r="T159" i="329" s="1"/>
  <c r="I159" i="329"/>
  <c r="Z158" i="329"/>
  <c r="Q158" i="329"/>
  <c r="I158" i="329"/>
  <c r="Q157" i="329"/>
  <c r="I157" i="329"/>
  <c r="Z156" i="329"/>
  <c r="P156" i="329"/>
  <c r="J156" i="329"/>
  <c r="S156" i="329" s="1"/>
  <c r="T156" i="329" s="1"/>
  <c r="I156" i="329"/>
  <c r="Z155" i="329"/>
  <c r="P155" i="329"/>
  <c r="S155" i="329" s="1"/>
  <c r="T155" i="329" s="1"/>
  <c r="J155" i="329"/>
  <c r="I155" i="329"/>
  <c r="Q154" i="329"/>
  <c r="I154" i="329"/>
  <c r="Z153" i="329"/>
  <c r="P153" i="329"/>
  <c r="I153" i="329"/>
  <c r="J153" i="329" s="1"/>
  <c r="S153" i="329" s="1"/>
  <c r="T153" i="329" s="1"/>
  <c r="P152" i="329"/>
  <c r="I152" i="329"/>
  <c r="Q151" i="329"/>
  <c r="J151" i="329"/>
  <c r="I151" i="329"/>
  <c r="P150" i="329"/>
  <c r="J150" i="329"/>
  <c r="S150" i="329" s="1"/>
  <c r="T150" i="329" s="1"/>
  <c r="I150" i="329"/>
  <c r="Z150" i="329" s="1"/>
  <c r="P149" i="329"/>
  <c r="S149" i="329" s="1"/>
  <c r="J149" i="329"/>
  <c r="I149" i="329"/>
  <c r="P148" i="329"/>
  <c r="I148" i="329"/>
  <c r="J148" i="329" s="1"/>
  <c r="S148" i="329" s="1"/>
  <c r="Z147" i="329"/>
  <c r="U147" i="329"/>
  <c r="Q147" i="329"/>
  <c r="J147" i="329"/>
  <c r="S147" i="329" s="1"/>
  <c r="I147" i="329"/>
  <c r="T147" i="329" s="1"/>
  <c r="Z146" i="329"/>
  <c r="T146" i="329"/>
  <c r="S146" i="329"/>
  <c r="P146" i="329"/>
  <c r="J146" i="329"/>
  <c r="I146" i="329"/>
  <c r="Z145" i="329"/>
  <c r="P145" i="329"/>
  <c r="I145" i="329"/>
  <c r="J145" i="329" s="1"/>
  <c r="R144" i="329"/>
  <c r="I144" i="329"/>
  <c r="Z143" i="329"/>
  <c r="R143" i="329"/>
  <c r="I143" i="329"/>
  <c r="I142" i="329"/>
  <c r="Z141" i="329"/>
  <c r="J141" i="329"/>
  <c r="S141" i="329" s="1"/>
  <c r="I141" i="329"/>
  <c r="Z140" i="329"/>
  <c r="J140" i="329"/>
  <c r="S140" i="329" s="1"/>
  <c r="I140" i="329"/>
  <c r="I139" i="329"/>
  <c r="I138" i="329"/>
  <c r="Z137" i="329"/>
  <c r="J137" i="329"/>
  <c r="S137" i="329" s="1"/>
  <c r="I137" i="329"/>
  <c r="Z136" i="329"/>
  <c r="J136" i="329"/>
  <c r="S136" i="329" s="1"/>
  <c r="I136" i="329"/>
  <c r="J135" i="329"/>
  <c r="S135" i="329" s="1"/>
  <c r="I135" i="329"/>
  <c r="J134" i="329"/>
  <c r="S134" i="329" s="1"/>
  <c r="I134" i="329"/>
  <c r="O133" i="329"/>
  <c r="I133" i="329"/>
  <c r="Z132" i="329"/>
  <c r="R132" i="329"/>
  <c r="R168" i="329" s="1"/>
  <c r="R233" i="329" s="1"/>
  <c r="I132" i="329"/>
  <c r="I131" i="329"/>
  <c r="Z130" i="329"/>
  <c r="J130" i="329"/>
  <c r="I130" i="329"/>
  <c r="R128" i="329"/>
  <c r="Q128" i="329"/>
  <c r="P128" i="329"/>
  <c r="O128" i="329"/>
  <c r="N128" i="329"/>
  <c r="M128" i="329"/>
  <c r="L128" i="329"/>
  <c r="K128" i="329"/>
  <c r="E128" i="329"/>
  <c r="D128" i="329"/>
  <c r="Z127" i="329"/>
  <c r="J127" i="329"/>
  <c r="S127" i="329" s="1"/>
  <c r="I127" i="329"/>
  <c r="T127" i="329" s="1"/>
  <c r="Z126" i="329"/>
  <c r="S126" i="329"/>
  <c r="T126" i="329" s="1"/>
  <c r="J126" i="329"/>
  <c r="I126" i="329"/>
  <c r="I125" i="329"/>
  <c r="R123" i="329"/>
  <c r="Q123" i="329"/>
  <c r="O123" i="329"/>
  <c r="N123" i="329"/>
  <c r="L123" i="329"/>
  <c r="K123" i="329"/>
  <c r="E123" i="329"/>
  <c r="D123" i="329"/>
  <c r="J122" i="329"/>
  <c r="S122" i="329" s="1"/>
  <c r="I122" i="329"/>
  <c r="Z122" i="329" s="1"/>
  <c r="I121" i="329"/>
  <c r="Z121" i="329" s="1"/>
  <c r="T120" i="329"/>
  <c r="J120" i="329"/>
  <c r="S120" i="329" s="1"/>
  <c r="I120" i="329"/>
  <c r="Z120" i="329" s="1"/>
  <c r="I119" i="329"/>
  <c r="T118" i="329"/>
  <c r="J118" i="329"/>
  <c r="S118" i="329" s="1"/>
  <c r="I118" i="329"/>
  <c r="S117" i="329"/>
  <c r="J117" i="329"/>
  <c r="I117" i="329"/>
  <c r="I116" i="329"/>
  <c r="I115" i="329"/>
  <c r="I114" i="329"/>
  <c r="I113" i="329"/>
  <c r="J113" i="329" s="1"/>
  <c r="S113" i="329" s="1"/>
  <c r="T112" i="329"/>
  <c r="S112" i="329"/>
  <c r="I112" i="329"/>
  <c r="J112" i="329" s="1"/>
  <c r="T111" i="329"/>
  <c r="S111" i="329"/>
  <c r="J111" i="329"/>
  <c r="I111" i="329"/>
  <c r="I110" i="329"/>
  <c r="I109" i="329"/>
  <c r="U108" i="329"/>
  <c r="J108" i="329"/>
  <c r="S108" i="329" s="1"/>
  <c r="T108" i="329" s="1"/>
  <c r="I108" i="329"/>
  <c r="I107" i="329"/>
  <c r="J106" i="329"/>
  <c r="S106" i="329" s="1"/>
  <c r="I106" i="329"/>
  <c r="I105" i="329"/>
  <c r="J104" i="329"/>
  <c r="S104" i="329" s="1"/>
  <c r="T104" i="329" s="1"/>
  <c r="I104" i="329"/>
  <c r="H103" i="329"/>
  <c r="I103" i="329" s="1"/>
  <c r="H102" i="329"/>
  <c r="I102" i="329" s="1"/>
  <c r="H101" i="329"/>
  <c r="I101" i="329" s="1"/>
  <c r="H100" i="329"/>
  <c r="I100" i="329" s="1"/>
  <c r="Z100" i="329" s="1"/>
  <c r="H99" i="329"/>
  <c r="I99" i="329" s="1"/>
  <c r="H98" i="329"/>
  <c r="I98" i="329" s="1"/>
  <c r="J97" i="329"/>
  <c r="S97" i="329" s="1"/>
  <c r="T97" i="329" s="1"/>
  <c r="I97" i="329"/>
  <c r="Z97" i="329" s="1"/>
  <c r="H97" i="329"/>
  <c r="Z96" i="329"/>
  <c r="S96" i="329"/>
  <c r="T96" i="329" s="1"/>
  <c r="J96" i="329"/>
  <c r="I96" i="329"/>
  <c r="Z95" i="329"/>
  <c r="J95" i="329"/>
  <c r="S95" i="329" s="1"/>
  <c r="T95" i="329" s="1"/>
  <c r="W95" i="329" s="1"/>
  <c r="I95" i="329"/>
  <c r="Z94" i="329"/>
  <c r="U94" i="329"/>
  <c r="J94" i="329"/>
  <c r="S94" i="329" s="1"/>
  <c r="T94" i="329" s="1"/>
  <c r="W94" i="329" s="1"/>
  <c r="I94" i="329"/>
  <c r="Z93" i="329"/>
  <c r="T93" i="329"/>
  <c r="J93" i="329"/>
  <c r="S93" i="329" s="1"/>
  <c r="I93" i="329"/>
  <c r="AA92" i="329"/>
  <c r="Z92" i="329"/>
  <c r="U92" i="329"/>
  <c r="S92" i="329"/>
  <c r="T92" i="329" s="1"/>
  <c r="Y92" i="329" s="1"/>
  <c r="AD92" i="329" s="1"/>
  <c r="J92" i="329"/>
  <c r="I92" i="329"/>
  <c r="Z91" i="329"/>
  <c r="T91" i="329"/>
  <c r="S91" i="329"/>
  <c r="J91" i="329"/>
  <c r="I91" i="329"/>
  <c r="Z90" i="329"/>
  <c r="S90" i="329"/>
  <c r="T90" i="329" s="1"/>
  <c r="J90" i="329"/>
  <c r="I90" i="329"/>
  <c r="Z89" i="329"/>
  <c r="T89" i="329"/>
  <c r="J89" i="329"/>
  <c r="S89" i="329" s="1"/>
  <c r="I89" i="329"/>
  <c r="Z88" i="329"/>
  <c r="S88" i="329"/>
  <c r="T88" i="329" s="1"/>
  <c r="J88" i="329"/>
  <c r="I88" i="329"/>
  <c r="Z87" i="329"/>
  <c r="J87" i="329"/>
  <c r="S87" i="329" s="1"/>
  <c r="T87" i="329" s="1"/>
  <c r="I87" i="329"/>
  <c r="Z86" i="329"/>
  <c r="Y86" i="329"/>
  <c r="AA86" i="329" s="1"/>
  <c r="S86" i="329"/>
  <c r="T86" i="329" s="1"/>
  <c r="J86" i="329"/>
  <c r="I86" i="329"/>
  <c r="Z85" i="329"/>
  <c r="J85" i="329"/>
  <c r="S85" i="329" s="1"/>
  <c r="T85" i="329" s="1"/>
  <c r="I85" i="329"/>
  <c r="Z84" i="329"/>
  <c r="J84" i="329"/>
  <c r="S84" i="329" s="1"/>
  <c r="T84" i="329" s="1"/>
  <c r="I84" i="329"/>
  <c r="Z83" i="329"/>
  <c r="S83" i="329"/>
  <c r="T83" i="329" s="1"/>
  <c r="J83" i="329"/>
  <c r="I83" i="329"/>
  <c r="Z82" i="329"/>
  <c r="J82" i="329"/>
  <c r="S82" i="329" s="1"/>
  <c r="T82" i="329" s="1"/>
  <c r="W82" i="329" s="1"/>
  <c r="I82" i="329"/>
  <c r="Z81" i="329"/>
  <c r="T81" i="329"/>
  <c r="J81" i="329"/>
  <c r="S81" i="329" s="1"/>
  <c r="I81" i="329"/>
  <c r="Z80" i="329"/>
  <c r="Y80" i="329"/>
  <c r="T80" i="329"/>
  <c r="U80" i="329" s="1"/>
  <c r="S80" i="329"/>
  <c r="J80" i="329"/>
  <c r="I80" i="329"/>
  <c r="Z79" i="329"/>
  <c r="S79" i="329"/>
  <c r="T79" i="329" s="1"/>
  <c r="J79" i="329"/>
  <c r="I79" i="329"/>
  <c r="Z78" i="329"/>
  <c r="J78" i="329"/>
  <c r="S78" i="329" s="1"/>
  <c r="T78" i="329" s="1"/>
  <c r="I78" i="329"/>
  <c r="Z77" i="329"/>
  <c r="T77" i="329"/>
  <c r="S77" i="329"/>
  <c r="J77" i="329"/>
  <c r="I77" i="329"/>
  <c r="Z76" i="329"/>
  <c r="W76" i="329"/>
  <c r="J76" i="329"/>
  <c r="S76" i="329" s="1"/>
  <c r="T76" i="329" s="1"/>
  <c r="I76" i="329"/>
  <c r="P75" i="329"/>
  <c r="I75" i="329"/>
  <c r="P74" i="329"/>
  <c r="I74" i="329"/>
  <c r="Z74" i="329" s="1"/>
  <c r="Z73" i="329"/>
  <c r="P73" i="329"/>
  <c r="I73" i="329"/>
  <c r="J73" i="329" s="1"/>
  <c r="S73" i="329" s="1"/>
  <c r="T73" i="329" s="1"/>
  <c r="I72" i="329"/>
  <c r="Z72" i="329" s="1"/>
  <c r="I71" i="329"/>
  <c r="Z71" i="329" s="1"/>
  <c r="Z70" i="329"/>
  <c r="J70" i="329"/>
  <c r="S70" i="329" s="1"/>
  <c r="T70" i="329" s="1"/>
  <c r="I70" i="329"/>
  <c r="Z69" i="329"/>
  <c r="I69" i="329"/>
  <c r="J69" i="329" s="1"/>
  <c r="S69" i="329" s="1"/>
  <c r="T69" i="329" s="1"/>
  <c r="I68" i="329"/>
  <c r="I67" i="329"/>
  <c r="I66" i="329"/>
  <c r="Z66" i="329" s="1"/>
  <c r="I65" i="329"/>
  <c r="Z65" i="329" s="1"/>
  <c r="I64" i="329"/>
  <c r="I63" i="329"/>
  <c r="J62" i="329"/>
  <c r="S62" i="329" s="1"/>
  <c r="I62" i="329"/>
  <c r="Z62" i="329" s="1"/>
  <c r="I61" i="329"/>
  <c r="Z61" i="329" s="1"/>
  <c r="I60" i="329"/>
  <c r="Z60" i="329" s="1"/>
  <c r="I59" i="329"/>
  <c r="Z59" i="329" s="1"/>
  <c r="I58" i="329"/>
  <c r="Z58" i="329" s="1"/>
  <c r="I57" i="329"/>
  <c r="J56" i="329"/>
  <c r="S56" i="329" s="1"/>
  <c r="I56" i="329"/>
  <c r="Z56" i="329" s="1"/>
  <c r="I55" i="329"/>
  <c r="I54" i="329"/>
  <c r="S53" i="329"/>
  <c r="T53" i="329" s="1"/>
  <c r="J53" i="329"/>
  <c r="I53" i="329"/>
  <c r="Z53" i="329" s="1"/>
  <c r="J52" i="329"/>
  <c r="S52" i="329" s="1"/>
  <c r="I52" i="329"/>
  <c r="Z52" i="329" s="1"/>
  <c r="Z51" i="329"/>
  <c r="I51" i="329"/>
  <c r="Z50" i="329"/>
  <c r="Y50" i="329"/>
  <c r="I50" i="329"/>
  <c r="J50" i="329" s="1"/>
  <c r="S50" i="329" s="1"/>
  <c r="T50" i="329" s="1"/>
  <c r="Z49" i="329"/>
  <c r="J49" i="329"/>
  <c r="S49" i="329" s="1"/>
  <c r="T49" i="329" s="1"/>
  <c r="I49" i="329"/>
  <c r="Z48" i="329"/>
  <c r="I48" i="329"/>
  <c r="Z47" i="329"/>
  <c r="J47" i="329"/>
  <c r="S47" i="329" s="1"/>
  <c r="I47" i="329"/>
  <c r="T47" i="329" s="1"/>
  <c r="I46" i="329"/>
  <c r="Z45" i="329"/>
  <c r="I45" i="329"/>
  <c r="J45" i="329" s="1"/>
  <c r="S45" i="329" s="1"/>
  <c r="T45" i="329" s="1"/>
  <c r="Z44" i="329"/>
  <c r="W44" i="329"/>
  <c r="S44" i="329"/>
  <c r="T44" i="329" s="1"/>
  <c r="I44" i="329"/>
  <c r="J44" i="329" s="1"/>
  <c r="Z43" i="329"/>
  <c r="J43" i="329"/>
  <c r="S43" i="329" s="1"/>
  <c r="T43" i="329" s="1"/>
  <c r="I43" i="329"/>
  <c r="I42" i="329"/>
  <c r="I41" i="329"/>
  <c r="Z41" i="329" s="1"/>
  <c r="S40" i="329"/>
  <c r="J40" i="329"/>
  <c r="I40" i="329"/>
  <c r="Z40" i="329" s="1"/>
  <c r="J39" i="329"/>
  <c r="I39" i="329"/>
  <c r="E37" i="329"/>
  <c r="D37" i="329"/>
  <c r="I36" i="329"/>
  <c r="I35" i="329"/>
  <c r="T34" i="329"/>
  <c r="Y34" i="329" s="1"/>
  <c r="S34" i="329"/>
  <c r="I34" i="329"/>
  <c r="J34" i="329" s="1"/>
  <c r="S33" i="329"/>
  <c r="I33" i="329"/>
  <c r="J33" i="329" s="1"/>
  <c r="I32" i="329"/>
  <c r="J32" i="329" s="1"/>
  <c r="S32" i="329" s="1"/>
  <c r="Z31" i="329"/>
  <c r="I31" i="329"/>
  <c r="J31" i="329" s="1"/>
  <c r="S31" i="329" s="1"/>
  <c r="T31" i="329" s="1"/>
  <c r="Z30" i="329"/>
  <c r="S30" i="329"/>
  <c r="T30" i="329" s="1"/>
  <c r="I30" i="329"/>
  <c r="J30" i="329" s="1"/>
  <c r="Z29" i="329"/>
  <c r="I29" i="329"/>
  <c r="J29" i="329" s="1"/>
  <c r="S29" i="329" s="1"/>
  <c r="T29" i="329" s="1"/>
  <c r="Z28" i="329"/>
  <c r="S28" i="329"/>
  <c r="I28" i="329"/>
  <c r="J28" i="329" s="1"/>
  <c r="Z27" i="329"/>
  <c r="I27" i="329"/>
  <c r="J27" i="329" s="1"/>
  <c r="S27" i="329" s="1"/>
  <c r="Z26" i="329"/>
  <c r="I26" i="329"/>
  <c r="J26" i="329" s="1"/>
  <c r="S26" i="329" s="1"/>
  <c r="Z25" i="329"/>
  <c r="I25" i="329"/>
  <c r="J25" i="329" s="1"/>
  <c r="S25" i="329" s="1"/>
  <c r="T25" i="329" s="1"/>
  <c r="Z24" i="329"/>
  <c r="S24" i="329"/>
  <c r="T24" i="329" s="1"/>
  <c r="I24" i="329"/>
  <c r="J24" i="329" s="1"/>
  <c r="Z23" i="329"/>
  <c r="J23" i="329"/>
  <c r="S23" i="329" s="1"/>
  <c r="T23" i="329" s="1"/>
  <c r="I23" i="329"/>
  <c r="Z22" i="329"/>
  <c r="J22" i="329"/>
  <c r="S22" i="329" s="1"/>
  <c r="T22" i="329" s="1"/>
  <c r="I22" i="329"/>
  <c r="Z21" i="329"/>
  <c r="J21" i="329"/>
  <c r="S21" i="329" s="1"/>
  <c r="T21" i="329" s="1"/>
  <c r="I21" i="329"/>
  <c r="Z20" i="329"/>
  <c r="J20" i="329"/>
  <c r="S20" i="329" s="1"/>
  <c r="T20" i="329" s="1"/>
  <c r="I20" i="329"/>
  <c r="Z19" i="329"/>
  <c r="J19" i="329"/>
  <c r="S19" i="329" s="1"/>
  <c r="T19" i="329" s="1"/>
  <c r="I19" i="329"/>
  <c r="I18" i="329"/>
  <c r="Z18" i="329" s="1"/>
  <c r="I17" i="329"/>
  <c r="G568" i="328"/>
  <c r="F568" i="328"/>
  <c r="H568" i="328" s="1"/>
  <c r="G567" i="328"/>
  <c r="F567" i="328"/>
  <c r="G566" i="328"/>
  <c r="F566" i="328"/>
  <c r="H566" i="328" s="1"/>
  <c r="F565" i="328"/>
  <c r="H565" i="328" s="1"/>
  <c r="F564" i="328"/>
  <c r="H564" i="328" s="1"/>
  <c r="G563" i="328"/>
  <c r="F563" i="328"/>
  <c r="G562" i="328"/>
  <c r="F562" i="328"/>
  <c r="E555" i="328"/>
  <c r="E554" i="328"/>
  <c r="E552" i="328"/>
  <c r="E536" i="328" s="1"/>
  <c r="G536" i="328" s="1"/>
  <c r="G537" i="328" s="1"/>
  <c r="G533" i="328" s="1"/>
  <c r="E24" i="154" s="1"/>
  <c r="G551" i="328"/>
  <c r="G550" i="328"/>
  <c r="G549" i="328"/>
  <c r="G548" i="328"/>
  <c r="G547" i="328"/>
  <c r="G546" i="328"/>
  <c r="G545" i="328"/>
  <c r="G544" i="328"/>
  <c r="G543" i="328"/>
  <c r="G542" i="328"/>
  <c r="G541" i="328"/>
  <c r="G540" i="328"/>
  <c r="H530" i="328"/>
  <c r="H528" i="328" s="1"/>
  <c r="E23" i="154" s="1"/>
  <c r="D530" i="328"/>
  <c r="H526" i="328"/>
  <c r="H525" i="328"/>
  <c r="H524" i="328"/>
  <c r="H523" i="328"/>
  <c r="H522" i="328"/>
  <c r="H521" i="328"/>
  <c r="H520" i="328"/>
  <c r="H519" i="328"/>
  <c r="H518" i="328"/>
  <c r="H517" i="328"/>
  <c r="H516" i="328"/>
  <c r="H515" i="328"/>
  <c r="H514" i="328"/>
  <c r="H513" i="328"/>
  <c r="H512" i="328"/>
  <c r="H511" i="328"/>
  <c r="H510" i="328"/>
  <c r="B510" i="328"/>
  <c r="B511" i="328" s="1"/>
  <c r="B512" i="328" s="1"/>
  <c r="B513" i="328" s="1"/>
  <c r="B514" i="328" s="1"/>
  <c r="B515" i="328" s="1"/>
  <c r="B516" i="328" s="1"/>
  <c r="B517" i="328" s="1"/>
  <c r="B518" i="328" s="1"/>
  <c r="B519" i="328" s="1"/>
  <c r="B520" i="328" s="1"/>
  <c r="B521" i="328" s="1"/>
  <c r="B522" i="328" s="1"/>
  <c r="B523" i="328" s="1"/>
  <c r="B524" i="328" s="1"/>
  <c r="B525" i="328" s="1"/>
  <c r="B526" i="328" s="1"/>
  <c r="G509" i="328"/>
  <c r="H505" i="328"/>
  <c r="H503" i="328" s="1"/>
  <c r="E21" i="154" s="1"/>
  <c r="E501" i="328"/>
  <c r="F501" i="328" s="1"/>
  <c r="H501" i="328" s="1"/>
  <c r="E500" i="328"/>
  <c r="F500" i="328" s="1"/>
  <c r="H500" i="328" s="1"/>
  <c r="E499" i="328"/>
  <c r="F499" i="328" s="1"/>
  <c r="H499" i="328" s="1"/>
  <c r="E498" i="328"/>
  <c r="F498" i="328" s="1"/>
  <c r="H498" i="328" s="1"/>
  <c r="E497" i="328"/>
  <c r="F497" i="328" s="1"/>
  <c r="H497" i="328" s="1"/>
  <c r="E494" i="328"/>
  <c r="F494" i="328" s="1"/>
  <c r="H494" i="328" s="1"/>
  <c r="H492" i="328"/>
  <c r="E491" i="328"/>
  <c r="D491" i="328"/>
  <c r="E490" i="328"/>
  <c r="D490" i="328"/>
  <c r="H484" i="328"/>
  <c r="H483" i="328" s="1"/>
  <c r="H481" i="328"/>
  <c r="H480" i="328"/>
  <c r="H479" i="328"/>
  <c r="H478" i="328"/>
  <c r="H477" i="328"/>
  <c r="H476" i="328"/>
  <c r="H475" i="328"/>
  <c r="H474" i="328"/>
  <c r="H473" i="328"/>
  <c r="H472" i="328"/>
  <c r="H471" i="328"/>
  <c r="H470" i="328"/>
  <c r="H469" i="328"/>
  <c r="H468" i="328"/>
  <c r="B468" i="328"/>
  <c r="B469" i="328" s="1"/>
  <c r="B470" i="328" s="1"/>
  <c r="B471" i="328" s="1"/>
  <c r="B472" i="328" s="1"/>
  <c r="B473" i="328" s="1"/>
  <c r="B474" i="328" s="1"/>
  <c r="B475" i="328" s="1"/>
  <c r="B476" i="328" s="1"/>
  <c r="B477" i="328" s="1"/>
  <c r="B478" i="328" s="1"/>
  <c r="B479" i="328" s="1"/>
  <c r="B480" i="328" s="1"/>
  <c r="B481" i="328" s="1"/>
  <c r="B482" i="328" s="1"/>
  <c r="H467" i="328"/>
  <c r="H466" i="328"/>
  <c r="H465" i="328"/>
  <c r="H463" i="328"/>
  <c r="H462" i="328"/>
  <c r="H461" i="328"/>
  <c r="H460" i="328"/>
  <c r="H459" i="328"/>
  <c r="B459" i="328"/>
  <c r="B460" i="328" s="1"/>
  <c r="B461" i="328" s="1"/>
  <c r="B462" i="328" s="1"/>
  <c r="B463" i="328" s="1"/>
  <c r="H458" i="328"/>
  <c r="H452" i="328"/>
  <c r="H451" i="328"/>
  <c r="H450" i="328"/>
  <c r="H449" i="328"/>
  <c r="H448" i="328"/>
  <c r="H447" i="328"/>
  <c r="H446" i="328"/>
  <c r="H445" i="328"/>
  <c r="H444" i="328"/>
  <c r="H443" i="328"/>
  <c r="H442" i="328"/>
  <c r="H441" i="328"/>
  <c r="H440" i="328"/>
  <c r="H439" i="328"/>
  <c r="H438" i="328"/>
  <c r="H437" i="328"/>
  <c r="H436" i="328"/>
  <c r="H435" i="328"/>
  <c r="H434" i="328"/>
  <c r="H433" i="328"/>
  <c r="H432" i="328"/>
  <c r="H431" i="328"/>
  <c r="H429" i="328"/>
  <c r="H428" i="328"/>
  <c r="H427" i="328"/>
  <c r="H426" i="328"/>
  <c r="H425" i="328"/>
  <c r="H424" i="328"/>
  <c r="H423" i="328"/>
  <c r="H422" i="328"/>
  <c r="H421" i="328"/>
  <c r="H420" i="328"/>
  <c r="H419" i="328"/>
  <c r="H418" i="328"/>
  <c r="H417" i="328"/>
  <c r="H416" i="328"/>
  <c r="H415" i="328"/>
  <c r="H414" i="328"/>
  <c r="H413" i="328"/>
  <c r="H412" i="328"/>
  <c r="H411" i="328"/>
  <c r="H410" i="328"/>
  <c r="H409" i="328"/>
  <c r="H408" i="328"/>
  <c r="H407" i="328"/>
  <c r="H406" i="328"/>
  <c r="H405" i="328"/>
  <c r="H404" i="328"/>
  <c r="H403" i="328"/>
  <c r="H402" i="328"/>
  <c r="H401" i="328"/>
  <c r="H400" i="328"/>
  <c r="H399" i="328"/>
  <c r="H398" i="328"/>
  <c r="H397" i="328"/>
  <c r="H396" i="328"/>
  <c r="H395" i="328"/>
  <c r="H394" i="328"/>
  <c r="H393" i="328"/>
  <c r="H392" i="328"/>
  <c r="H391" i="328"/>
  <c r="H390" i="328"/>
  <c r="H389" i="328"/>
  <c r="H388" i="328"/>
  <c r="H387" i="328"/>
  <c r="H386" i="328"/>
  <c r="H385" i="328"/>
  <c r="H384" i="328"/>
  <c r="H383" i="328"/>
  <c r="H382" i="328"/>
  <c r="H381" i="328"/>
  <c r="H380" i="328"/>
  <c r="B380" i="328"/>
  <c r="B381" i="328" s="1"/>
  <c r="B382" i="328" s="1"/>
  <c r="B383" i="328" s="1"/>
  <c r="B384" i="328" s="1"/>
  <c r="B385" i="328" s="1"/>
  <c r="B386" i="328" s="1"/>
  <c r="B387" i="328" s="1"/>
  <c r="B388" i="328" s="1"/>
  <c r="B389" i="328" s="1"/>
  <c r="B390" i="328" s="1"/>
  <c r="B391" i="328" s="1"/>
  <c r="B392" i="328" s="1"/>
  <c r="B393" i="328" s="1"/>
  <c r="B394" i="328" s="1"/>
  <c r="B395" i="328" s="1"/>
  <c r="B396" i="328" s="1"/>
  <c r="B397" i="328" s="1"/>
  <c r="B398" i="328" s="1"/>
  <c r="B399" i="328" s="1"/>
  <c r="B400" i="328" s="1"/>
  <c r="B401" i="328" s="1"/>
  <c r="B402" i="328" s="1"/>
  <c r="B403" i="328" s="1"/>
  <c r="B404" i="328" s="1"/>
  <c r="B405" i="328" s="1"/>
  <c r="B406" i="328" s="1"/>
  <c r="B407" i="328" s="1"/>
  <c r="B408" i="328" s="1"/>
  <c r="B409" i="328" s="1"/>
  <c r="B410" i="328" s="1"/>
  <c r="B411" i="328" s="1"/>
  <c r="B412" i="328" s="1"/>
  <c r="B413" i="328" s="1"/>
  <c r="B414" i="328" s="1"/>
  <c r="B415" i="328" s="1"/>
  <c r="B416" i="328" s="1"/>
  <c r="B417" i="328" s="1"/>
  <c r="B418" i="328" s="1"/>
  <c r="B419" i="328" s="1"/>
  <c r="B420" i="328" s="1"/>
  <c r="B421" i="328" s="1"/>
  <c r="B422" i="328" s="1"/>
  <c r="B423" i="328" s="1"/>
  <c r="B424" i="328" s="1"/>
  <c r="B425" i="328" s="1"/>
  <c r="B426" i="328" s="1"/>
  <c r="B427" i="328" s="1"/>
  <c r="B428" i="328" s="1"/>
  <c r="B429" i="328" s="1"/>
  <c r="B430" i="328" s="1"/>
  <c r="B431" i="328" s="1"/>
  <c r="B432" i="328" s="1"/>
  <c r="B433" i="328" s="1"/>
  <c r="B434" i="328" s="1"/>
  <c r="B435" i="328" s="1"/>
  <c r="B436" i="328" s="1"/>
  <c r="B437" i="328" s="1"/>
  <c r="B438" i="328" s="1"/>
  <c r="B439" i="328" s="1"/>
  <c r="B440" i="328" s="1"/>
  <c r="B441" i="328" s="1"/>
  <c r="B442" i="328" s="1"/>
  <c r="B443" i="328" s="1"/>
  <c r="B444" i="328" s="1"/>
  <c r="B445" i="328" s="1"/>
  <c r="B446" i="328" s="1"/>
  <c r="B447" i="328" s="1"/>
  <c r="B448" i="328" s="1"/>
  <c r="B449" i="328" s="1"/>
  <c r="B450" i="328" s="1"/>
  <c r="B451" i="328" s="1"/>
  <c r="B452" i="328" s="1"/>
  <c r="H379" i="328"/>
  <c r="H374" i="328"/>
  <c r="H373" i="328"/>
  <c r="H372" i="328"/>
  <c r="H371" i="328"/>
  <c r="H366" i="328"/>
  <c r="H365" i="328"/>
  <c r="H364" i="328"/>
  <c r="H363" i="328"/>
  <c r="H362" i="328"/>
  <c r="H361" i="328"/>
  <c r="H360" i="328"/>
  <c r="H359" i="328"/>
  <c r="H358" i="328"/>
  <c r="H357" i="328"/>
  <c r="H356" i="328"/>
  <c r="H355" i="328"/>
  <c r="H354" i="328"/>
  <c r="H353" i="328"/>
  <c r="H352" i="328"/>
  <c r="H351" i="328"/>
  <c r="H350" i="328"/>
  <c r="H349" i="328"/>
  <c r="H348" i="328"/>
  <c r="H347" i="328"/>
  <c r="H346" i="328"/>
  <c r="H345" i="328"/>
  <c r="B345" i="328"/>
  <c r="B346" i="328" s="1"/>
  <c r="B347" i="328" s="1"/>
  <c r="B348" i="328" s="1"/>
  <c r="B349" i="328" s="1"/>
  <c r="B350" i="328" s="1"/>
  <c r="B351" i="328" s="1"/>
  <c r="B352" i="328" s="1"/>
  <c r="B353" i="328" s="1"/>
  <c r="B354" i="328" s="1"/>
  <c r="B355" i="328" s="1"/>
  <c r="B356" i="328" s="1"/>
  <c r="B357" i="328" s="1"/>
  <c r="B358" i="328" s="1"/>
  <c r="B359" i="328" s="1"/>
  <c r="B360" i="328" s="1"/>
  <c r="B361" i="328" s="1"/>
  <c r="B362" i="328" s="1"/>
  <c r="B363" i="328" s="1"/>
  <c r="B364" i="328" s="1"/>
  <c r="B365" i="328" s="1"/>
  <c r="B366" i="328" s="1"/>
  <c r="H344" i="328"/>
  <c r="H342" i="328"/>
  <c r="H341" i="328"/>
  <c r="H340" i="328"/>
  <c r="H339" i="328"/>
  <c r="H338" i="328"/>
  <c r="H337" i="328"/>
  <c r="H336" i="328"/>
  <c r="H335" i="328"/>
  <c r="H334" i="328"/>
  <c r="H333" i="328"/>
  <c r="H332" i="328"/>
  <c r="H331" i="328"/>
  <c r="H330" i="328"/>
  <c r="H329" i="328"/>
  <c r="H328" i="328"/>
  <c r="H327" i="328"/>
  <c r="H326" i="328"/>
  <c r="H325" i="328"/>
  <c r="H324" i="328"/>
  <c r="H323" i="328"/>
  <c r="H322" i="328"/>
  <c r="H321" i="328"/>
  <c r="H320" i="328"/>
  <c r="H319" i="328"/>
  <c r="H318" i="328"/>
  <c r="H317" i="328"/>
  <c r="H316" i="328"/>
  <c r="H315" i="328"/>
  <c r="H314" i="328"/>
  <c r="H313" i="328"/>
  <c r="B313" i="328"/>
  <c r="B314" i="328" s="1"/>
  <c r="B315" i="328" s="1"/>
  <c r="B316" i="328" s="1"/>
  <c r="B317" i="328" s="1"/>
  <c r="B318" i="328" s="1"/>
  <c r="B319" i="328" s="1"/>
  <c r="B320" i="328" s="1"/>
  <c r="B321" i="328" s="1"/>
  <c r="B322" i="328" s="1"/>
  <c r="B323" i="328" s="1"/>
  <c r="B324" i="328" s="1"/>
  <c r="B325" i="328" s="1"/>
  <c r="B326" i="328" s="1"/>
  <c r="B327" i="328" s="1"/>
  <c r="B328" i="328" s="1"/>
  <c r="B329" i="328" s="1"/>
  <c r="B330" i="328" s="1"/>
  <c r="B331" i="328" s="1"/>
  <c r="B332" i="328" s="1"/>
  <c r="B333" i="328" s="1"/>
  <c r="B334" i="328" s="1"/>
  <c r="B335" i="328" s="1"/>
  <c r="B336" i="328" s="1"/>
  <c r="B337" i="328" s="1"/>
  <c r="B338" i="328" s="1"/>
  <c r="B339" i="328" s="1"/>
  <c r="B340" i="328" s="1"/>
  <c r="B341" i="328" s="1"/>
  <c r="B342" i="328" s="1"/>
  <c r="H312" i="328"/>
  <c r="H310" i="328"/>
  <c r="H309" i="328"/>
  <c r="H308" i="328"/>
  <c r="H307" i="328"/>
  <c r="H306" i="328"/>
  <c r="H305" i="328"/>
  <c r="H304" i="328"/>
  <c r="H303" i="328"/>
  <c r="H302" i="328"/>
  <c r="H301" i="328"/>
  <c r="H300" i="328"/>
  <c r="H299" i="328"/>
  <c r="H298" i="328"/>
  <c r="H297" i="328"/>
  <c r="H296" i="328"/>
  <c r="H295" i="328"/>
  <c r="H294" i="328"/>
  <c r="H293" i="328"/>
  <c r="H292" i="328"/>
  <c r="H291" i="328"/>
  <c r="H290" i="328"/>
  <c r="H289" i="328"/>
  <c r="H288" i="328"/>
  <c r="H287" i="328"/>
  <c r="H286" i="328"/>
  <c r="H285" i="328"/>
  <c r="H284" i="328"/>
  <c r="H283" i="328"/>
  <c r="H282" i="328"/>
  <c r="H281" i="328"/>
  <c r="H280" i="328"/>
  <c r="H279" i="328"/>
  <c r="H278" i="328"/>
  <c r="H277" i="328"/>
  <c r="H276" i="328"/>
  <c r="H275" i="328"/>
  <c r="H274" i="328"/>
  <c r="H273" i="328"/>
  <c r="H272" i="328"/>
  <c r="H271" i="328"/>
  <c r="H270" i="328"/>
  <c r="H269" i="328"/>
  <c r="H268" i="328"/>
  <c r="H267" i="328"/>
  <c r="H266" i="328"/>
  <c r="H265" i="328"/>
  <c r="H264" i="328"/>
  <c r="H263" i="328"/>
  <c r="H262" i="328"/>
  <c r="H261" i="328"/>
  <c r="H260" i="328"/>
  <c r="H259" i="328"/>
  <c r="H258" i="328"/>
  <c r="H257" i="328"/>
  <c r="H256" i="328"/>
  <c r="H255" i="328"/>
  <c r="H254" i="328"/>
  <c r="H253" i="328"/>
  <c r="H252" i="328"/>
  <c r="H251" i="328"/>
  <c r="H250" i="328"/>
  <c r="H249" i="328"/>
  <c r="H248" i="328"/>
  <c r="H247" i="328"/>
  <c r="H246" i="328"/>
  <c r="H245" i="328"/>
  <c r="H244" i="328"/>
  <c r="H243" i="328"/>
  <c r="H242" i="328"/>
  <c r="H241" i="328"/>
  <c r="H240" i="328"/>
  <c r="H239" i="328"/>
  <c r="H238" i="328"/>
  <c r="H237" i="328"/>
  <c r="H236" i="328"/>
  <c r="H235" i="328"/>
  <c r="H234" i="328"/>
  <c r="H233" i="328"/>
  <c r="H232" i="328"/>
  <c r="H231" i="328"/>
  <c r="H230" i="328"/>
  <c r="H229" i="328"/>
  <c r="H228" i="328"/>
  <c r="H227" i="328"/>
  <c r="H226" i="328"/>
  <c r="H225" i="328"/>
  <c r="H224" i="328"/>
  <c r="H223" i="328"/>
  <c r="H222" i="328"/>
  <c r="H221" i="328"/>
  <c r="H220" i="328"/>
  <c r="H219" i="328"/>
  <c r="H218" i="328"/>
  <c r="H217" i="328"/>
  <c r="H216" i="328"/>
  <c r="H215" i="328"/>
  <c r="H214" i="328"/>
  <c r="H213" i="328"/>
  <c r="H212" i="328"/>
  <c r="H211" i="328"/>
  <c r="H210" i="328"/>
  <c r="H209" i="328"/>
  <c r="H208" i="328"/>
  <c r="H207" i="328"/>
  <c r="H206" i="328"/>
  <c r="H205" i="328"/>
  <c r="H204" i="328"/>
  <c r="H203" i="328"/>
  <c r="H202" i="328"/>
  <c r="H201" i="328"/>
  <c r="H200" i="328"/>
  <c r="H199" i="328"/>
  <c r="H198" i="328"/>
  <c r="H197" i="328"/>
  <c r="H196" i="328"/>
  <c r="H195" i="328"/>
  <c r="H194" i="328"/>
  <c r="H193" i="328"/>
  <c r="H192" i="328"/>
  <c r="H191" i="328"/>
  <c r="H190" i="328"/>
  <c r="H189" i="328"/>
  <c r="H188" i="328"/>
  <c r="H187" i="328"/>
  <c r="H186" i="328"/>
  <c r="H185" i="328"/>
  <c r="H184" i="328"/>
  <c r="H183" i="328"/>
  <c r="H182" i="328"/>
  <c r="H181" i="328"/>
  <c r="H180" i="328"/>
  <c r="H179" i="328"/>
  <c r="H178" i="328"/>
  <c r="H177" i="328"/>
  <c r="H176" i="328"/>
  <c r="H175" i="328"/>
  <c r="H174" i="328"/>
  <c r="H173" i="328"/>
  <c r="H172" i="328"/>
  <c r="H171" i="328"/>
  <c r="H170" i="328"/>
  <c r="H169" i="328"/>
  <c r="H168" i="328"/>
  <c r="H167" i="328"/>
  <c r="H166" i="328"/>
  <c r="H165" i="328"/>
  <c r="H164" i="328"/>
  <c r="H163" i="328"/>
  <c r="H162" i="328"/>
  <c r="H161" i="328"/>
  <c r="H160" i="328"/>
  <c r="H159" i="328"/>
  <c r="H158" i="328"/>
  <c r="H157" i="328"/>
  <c r="H156" i="328"/>
  <c r="H155" i="328"/>
  <c r="H154" i="328"/>
  <c r="H153" i="328"/>
  <c r="H152" i="328"/>
  <c r="H151" i="328"/>
  <c r="H150" i="328"/>
  <c r="H149" i="328"/>
  <c r="H148" i="328"/>
  <c r="H147" i="328"/>
  <c r="H146" i="328"/>
  <c r="H145" i="328"/>
  <c r="H144" i="328"/>
  <c r="H143" i="328"/>
  <c r="H142" i="328"/>
  <c r="H141" i="328"/>
  <c r="H140" i="328"/>
  <c r="H139" i="328"/>
  <c r="H138" i="328"/>
  <c r="H137" i="328"/>
  <c r="H136" i="328"/>
  <c r="H135" i="328"/>
  <c r="H134" i="328"/>
  <c r="H133" i="328"/>
  <c r="H132" i="328"/>
  <c r="H131" i="328"/>
  <c r="H130" i="328"/>
  <c r="H129" i="328"/>
  <c r="H128" i="328"/>
  <c r="H127" i="328"/>
  <c r="H126" i="328"/>
  <c r="H125" i="328"/>
  <c r="H124" i="328"/>
  <c r="H123" i="328"/>
  <c r="H122" i="328"/>
  <c r="H121" i="328"/>
  <c r="H120" i="328"/>
  <c r="H119" i="328"/>
  <c r="H118" i="328"/>
  <c r="H117" i="328"/>
  <c r="H116" i="328"/>
  <c r="H115" i="328"/>
  <c r="H114" i="328"/>
  <c r="H113" i="328"/>
  <c r="H112" i="328"/>
  <c r="B112" i="328"/>
  <c r="B113" i="328" s="1"/>
  <c r="B114" i="328" s="1"/>
  <c r="B115" i="328" s="1"/>
  <c r="B116" i="328" s="1"/>
  <c r="B117" i="328" s="1"/>
  <c r="B118" i="328" s="1"/>
  <c r="B119" i="328" s="1"/>
  <c r="B120" i="328" s="1"/>
  <c r="B121" i="328" s="1"/>
  <c r="B122" i="328" s="1"/>
  <c r="B123" i="328" s="1"/>
  <c r="B124" i="328" s="1"/>
  <c r="B125" i="328" s="1"/>
  <c r="B126" i="328" s="1"/>
  <c r="B127" i="328" s="1"/>
  <c r="B128" i="328" s="1"/>
  <c r="B129" i="328" s="1"/>
  <c r="B130" i="328" s="1"/>
  <c r="B131" i="328" s="1"/>
  <c r="B132" i="328" s="1"/>
  <c r="B133" i="328" s="1"/>
  <c r="B134" i="328" s="1"/>
  <c r="B135" i="328" s="1"/>
  <c r="B136" i="328" s="1"/>
  <c r="B137" i="328" s="1"/>
  <c r="B138" i="328" s="1"/>
  <c r="B139" i="328" s="1"/>
  <c r="B140" i="328" s="1"/>
  <c r="B141" i="328" s="1"/>
  <c r="B142" i="328" s="1"/>
  <c r="B143" i="328" s="1"/>
  <c r="B144" i="328" s="1"/>
  <c r="B145" i="328" s="1"/>
  <c r="B146" i="328" s="1"/>
  <c r="B147" i="328" s="1"/>
  <c r="B148" i="328" s="1"/>
  <c r="B149" i="328" s="1"/>
  <c r="B150" i="328" s="1"/>
  <c r="B151" i="328" s="1"/>
  <c r="B152" i="328" s="1"/>
  <c r="B153" i="328" s="1"/>
  <c r="B154" i="328" s="1"/>
  <c r="B155" i="328" s="1"/>
  <c r="B156" i="328" s="1"/>
  <c r="B157" i="328" s="1"/>
  <c r="B158" i="328" s="1"/>
  <c r="B159" i="328" s="1"/>
  <c r="B160" i="328" s="1"/>
  <c r="B161" i="328" s="1"/>
  <c r="B162" i="328" s="1"/>
  <c r="B163" i="328" s="1"/>
  <c r="B164" i="328" s="1"/>
  <c r="B165" i="328" s="1"/>
  <c r="B166" i="328" s="1"/>
  <c r="B167" i="328" s="1"/>
  <c r="B168" i="328" s="1"/>
  <c r="B169" i="328" s="1"/>
  <c r="B170" i="328" s="1"/>
  <c r="B171" i="328" s="1"/>
  <c r="B172" i="328" s="1"/>
  <c r="B173" i="328" s="1"/>
  <c r="B174" i="328" s="1"/>
  <c r="B175" i="328" s="1"/>
  <c r="B176" i="328" s="1"/>
  <c r="B177" i="328" s="1"/>
  <c r="B178" i="328" s="1"/>
  <c r="B179" i="328" s="1"/>
  <c r="B180" i="328" s="1"/>
  <c r="B181" i="328" s="1"/>
  <c r="B182" i="328" s="1"/>
  <c r="B183" i="328" s="1"/>
  <c r="B184" i="328" s="1"/>
  <c r="B185" i="328" s="1"/>
  <c r="B186" i="328" s="1"/>
  <c r="B187" i="328" s="1"/>
  <c r="B188" i="328" s="1"/>
  <c r="B189" i="328" s="1"/>
  <c r="B190" i="328" s="1"/>
  <c r="B191" i="328" s="1"/>
  <c r="B192" i="328" s="1"/>
  <c r="B193" i="328" s="1"/>
  <c r="B194" i="328" s="1"/>
  <c r="B195" i="328" s="1"/>
  <c r="B196" i="328" s="1"/>
  <c r="B197" i="328" s="1"/>
  <c r="B198" i="328" s="1"/>
  <c r="B199" i="328" s="1"/>
  <c r="B200" i="328" s="1"/>
  <c r="B201" i="328" s="1"/>
  <c r="B202" i="328" s="1"/>
  <c r="B203" i="328" s="1"/>
  <c r="B204" i="328" s="1"/>
  <c r="B205" i="328" s="1"/>
  <c r="B206" i="328" s="1"/>
  <c r="B207" i="328" s="1"/>
  <c r="B208" i="328" s="1"/>
  <c r="B209" i="328" s="1"/>
  <c r="B210" i="328" s="1"/>
  <c r="B211" i="328" s="1"/>
  <c r="B212" i="328" s="1"/>
  <c r="B213" i="328" s="1"/>
  <c r="B214" i="328" s="1"/>
  <c r="B215" i="328" s="1"/>
  <c r="B216" i="328" s="1"/>
  <c r="B217" i="328" s="1"/>
  <c r="B218" i="328" s="1"/>
  <c r="B219" i="328" s="1"/>
  <c r="B220" i="328" s="1"/>
  <c r="B221" i="328" s="1"/>
  <c r="B222" i="328" s="1"/>
  <c r="B223" i="328" s="1"/>
  <c r="B224" i="328" s="1"/>
  <c r="B225" i="328" s="1"/>
  <c r="B226" i="328" s="1"/>
  <c r="B227" i="328" s="1"/>
  <c r="B228" i="328" s="1"/>
  <c r="B229" i="328" s="1"/>
  <c r="B230" i="328" s="1"/>
  <c r="B231" i="328" s="1"/>
  <c r="B232" i="328" s="1"/>
  <c r="B233" i="328" s="1"/>
  <c r="B234" i="328" s="1"/>
  <c r="B235" i="328" s="1"/>
  <c r="B236" i="328" s="1"/>
  <c r="B237" i="328" s="1"/>
  <c r="B238" i="328" s="1"/>
  <c r="B239" i="328" s="1"/>
  <c r="B240" i="328" s="1"/>
  <c r="B241" i="328" s="1"/>
  <c r="B242" i="328" s="1"/>
  <c r="B243" i="328" s="1"/>
  <c r="B244" i="328" s="1"/>
  <c r="B245" i="328" s="1"/>
  <c r="B246" i="328" s="1"/>
  <c r="B247" i="328" s="1"/>
  <c r="B248" i="328" s="1"/>
  <c r="B249" i="328" s="1"/>
  <c r="B250" i="328" s="1"/>
  <c r="B251" i="328" s="1"/>
  <c r="B252" i="328" s="1"/>
  <c r="B253" i="328" s="1"/>
  <c r="B254" i="328" s="1"/>
  <c r="B255" i="328" s="1"/>
  <c r="B256" i="328" s="1"/>
  <c r="B257" i="328" s="1"/>
  <c r="B258" i="328" s="1"/>
  <c r="B259" i="328" s="1"/>
  <c r="B260" i="328" s="1"/>
  <c r="B261" i="328" s="1"/>
  <c r="B262" i="328" s="1"/>
  <c r="B263" i="328" s="1"/>
  <c r="B264" i="328" s="1"/>
  <c r="B265" i="328" s="1"/>
  <c r="B266" i="328" s="1"/>
  <c r="B267" i="328" s="1"/>
  <c r="B268" i="328" s="1"/>
  <c r="B269" i="328" s="1"/>
  <c r="B270" i="328" s="1"/>
  <c r="B271" i="328" s="1"/>
  <c r="B272" i="328" s="1"/>
  <c r="B273" i="328" s="1"/>
  <c r="B274" i="328" s="1"/>
  <c r="B275" i="328" s="1"/>
  <c r="B276" i="328" s="1"/>
  <c r="B277" i="328" s="1"/>
  <c r="B278" i="328" s="1"/>
  <c r="B279" i="328" s="1"/>
  <c r="B280" i="328" s="1"/>
  <c r="B281" i="328" s="1"/>
  <c r="B282" i="328" s="1"/>
  <c r="B283" i="328" s="1"/>
  <c r="B284" i="328" s="1"/>
  <c r="B285" i="328" s="1"/>
  <c r="B286" i="328" s="1"/>
  <c r="B287" i="328" s="1"/>
  <c r="B288" i="328" s="1"/>
  <c r="B289" i="328" s="1"/>
  <c r="B290" i="328" s="1"/>
  <c r="B291" i="328" s="1"/>
  <c r="B292" i="328" s="1"/>
  <c r="B293" i="328" s="1"/>
  <c r="B294" i="328" s="1"/>
  <c r="B295" i="328" s="1"/>
  <c r="B296" i="328" s="1"/>
  <c r="B297" i="328" s="1"/>
  <c r="B298" i="328" s="1"/>
  <c r="B299" i="328" s="1"/>
  <c r="B300" i="328" s="1"/>
  <c r="B301" i="328" s="1"/>
  <c r="B302" i="328" s="1"/>
  <c r="B303" i="328" s="1"/>
  <c r="B304" i="328" s="1"/>
  <c r="B305" i="328" s="1"/>
  <c r="B306" i="328" s="1"/>
  <c r="B307" i="328" s="1"/>
  <c r="B308" i="328" s="1"/>
  <c r="B309" i="328" s="1"/>
  <c r="B310" i="328" s="1"/>
  <c r="H111" i="328"/>
  <c r="G90" i="328"/>
  <c r="H90" i="328" s="1"/>
  <c r="G89" i="328"/>
  <c r="H89" i="328" s="1"/>
  <c r="G88" i="328"/>
  <c r="H88" i="328" s="1"/>
  <c r="G87" i="328"/>
  <c r="H87" i="328" s="1"/>
  <c r="G86" i="328"/>
  <c r="H86" i="328" s="1"/>
  <c r="G85" i="328"/>
  <c r="H85" i="328" s="1"/>
  <c r="G84" i="328"/>
  <c r="H84" i="328" s="1"/>
  <c r="G83" i="328"/>
  <c r="H83" i="328" s="1"/>
  <c r="G82" i="328"/>
  <c r="H82" i="328" s="1"/>
  <c r="G81" i="328"/>
  <c r="H81" i="328" s="1"/>
  <c r="G80" i="328"/>
  <c r="H80" i="328" s="1"/>
  <c r="G79" i="328"/>
  <c r="H79" i="328" s="1"/>
  <c r="G78" i="328"/>
  <c r="H78" i="328" s="1"/>
  <c r="G77" i="328"/>
  <c r="H77" i="328" s="1"/>
  <c r="G76" i="328"/>
  <c r="H76" i="328" s="1"/>
  <c r="G75" i="328"/>
  <c r="H75" i="328" s="1"/>
  <c r="G74" i="328"/>
  <c r="H74" i="328" s="1"/>
  <c r="G73" i="328"/>
  <c r="H73" i="328" s="1"/>
  <c r="G72" i="328"/>
  <c r="H72" i="328" s="1"/>
  <c r="G71" i="328"/>
  <c r="H71" i="328" s="1"/>
  <c r="G70" i="328"/>
  <c r="H70" i="328" s="1"/>
  <c r="G69" i="328"/>
  <c r="H69" i="328" s="1"/>
  <c r="G68" i="328"/>
  <c r="H68" i="328" s="1"/>
  <c r="G67" i="328"/>
  <c r="H67" i="328" s="1"/>
  <c r="G66" i="328"/>
  <c r="H66" i="328" s="1"/>
  <c r="G65" i="328"/>
  <c r="H65" i="328" s="1"/>
  <c r="G64" i="328"/>
  <c r="H64" i="328" s="1"/>
  <c r="G63" i="328"/>
  <c r="H63" i="328" s="1"/>
  <c r="G62" i="328"/>
  <c r="H62" i="328" s="1"/>
  <c r="G61" i="328"/>
  <c r="H61" i="328" s="1"/>
  <c r="G60" i="328"/>
  <c r="H60" i="328" s="1"/>
  <c r="G59" i="328"/>
  <c r="H59" i="328" s="1"/>
  <c r="G58" i="328"/>
  <c r="H58" i="328" s="1"/>
  <c r="G57" i="328"/>
  <c r="H57" i="328" s="1"/>
  <c r="G56" i="328"/>
  <c r="H56" i="328" s="1"/>
  <c r="G55" i="328"/>
  <c r="H55" i="328" s="1"/>
  <c r="B55" i="328"/>
  <c r="B56" i="328" s="1"/>
  <c r="B57" i="328" s="1"/>
  <c r="B58" i="328" s="1"/>
  <c r="B59" i="328" s="1"/>
  <c r="B60" i="328" s="1"/>
  <c r="B61" i="328" s="1"/>
  <c r="B62" i="328" s="1"/>
  <c r="B63" i="328" s="1"/>
  <c r="B64" i="328" s="1"/>
  <c r="B65" i="328" s="1"/>
  <c r="B66" i="328" s="1"/>
  <c r="B67" i="328" s="1"/>
  <c r="B68" i="328" s="1"/>
  <c r="B69" i="328" s="1"/>
  <c r="B70" i="328" s="1"/>
  <c r="B71" i="328" s="1"/>
  <c r="B72" i="328" s="1"/>
  <c r="B73" i="328" s="1"/>
  <c r="B74" i="328" s="1"/>
  <c r="B75" i="328" s="1"/>
  <c r="B76" i="328" s="1"/>
  <c r="B77" i="328" s="1"/>
  <c r="B78" i="328" s="1"/>
  <c r="B79" i="328" s="1"/>
  <c r="B80" i="328" s="1"/>
  <c r="B81" i="328" s="1"/>
  <c r="B82" i="328" s="1"/>
  <c r="B83" i="328" s="1"/>
  <c r="B84" i="328" s="1"/>
  <c r="B85" i="328" s="1"/>
  <c r="B86" i="328" s="1"/>
  <c r="B87" i="328" s="1"/>
  <c r="B88" i="328" s="1"/>
  <c r="B89" i="328" s="1"/>
  <c r="B90" i="328" s="1"/>
  <c r="G54" i="328"/>
  <c r="H54" i="328" s="1"/>
  <c r="H50" i="328"/>
  <c r="H49" i="328"/>
  <c r="H48" i="328"/>
  <c r="H47" i="328"/>
  <c r="H46" i="328"/>
  <c r="H45" i="328"/>
  <c r="D40" i="328"/>
  <c r="H35" i="328"/>
  <c r="H34" i="328"/>
  <c r="H33" i="328"/>
  <c r="H32" i="328"/>
  <c r="H31" i="328"/>
  <c r="H30" i="328"/>
  <c r="H29" i="328"/>
  <c r="H28" i="328"/>
  <c r="H27" i="328"/>
  <c r="H26" i="328"/>
  <c r="H25" i="328"/>
  <c r="H24" i="328"/>
  <c r="G23" i="328"/>
  <c r="E20" i="328" s="1"/>
  <c r="G20" i="328" s="1"/>
  <c r="G18" i="328" s="1"/>
  <c r="E16" i="154" s="1"/>
  <c r="D23" i="328"/>
  <c r="H16" i="328"/>
  <c r="H15" i="328"/>
  <c r="H14" i="328"/>
  <c r="H13" i="328"/>
  <c r="H12" i="328"/>
  <c r="H11" i="328"/>
  <c r="B11" i="328"/>
  <c r="B12" i="328" s="1"/>
  <c r="B13" i="328" s="1"/>
  <c r="B14" i="328" s="1"/>
  <c r="B15" i="328" s="1"/>
  <c r="H10" i="328"/>
  <c r="G568" i="327"/>
  <c r="F568" i="327"/>
  <c r="H568" i="327" s="1"/>
  <c r="G567" i="327"/>
  <c r="F567" i="327"/>
  <c r="H567" i="327" s="1"/>
  <c r="G566" i="327"/>
  <c r="F566" i="327"/>
  <c r="F565" i="327"/>
  <c r="H565" i="327" s="1"/>
  <c r="F564" i="327"/>
  <c r="H564" i="327" s="1"/>
  <c r="G563" i="327"/>
  <c r="F563" i="327"/>
  <c r="H563" i="327" s="1"/>
  <c r="G562" i="327"/>
  <c r="F562" i="327"/>
  <c r="E555" i="327"/>
  <c r="E554" i="327"/>
  <c r="E552" i="327"/>
  <c r="E536" i="327" s="1"/>
  <c r="G536" i="327" s="1"/>
  <c r="G537" i="327" s="1"/>
  <c r="G533" i="327" s="1"/>
  <c r="D24" i="154" s="1"/>
  <c r="G551" i="327"/>
  <c r="G550" i="327"/>
  <c r="G549" i="327"/>
  <c r="G548" i="327"/>
  <c r="G547" i="327"/>
  <c r="G546" i="327"/>
  <c r="G545" i="327"/>
  <c r="G544" i="327"/>
  <c r="G543" i="327"/>
  <c r="G542" i="327"/>
  <c r="G541" i="327"/>
  <c r="G540" i="327"/>
  <c r="H530" i="327"/>
  <c r="H528" i="327" s="1"/>
  <c r="D23" i="154" s="1"/>
  <c r="D530" i="327"/>
  <c r="H526" i="327"/>
  <c r="H525" i="327"/>
  <c r="H524" i="327"/>
  <c r="H523" i="327"/>
  <c r="H522" i="327"/>
  <c r="H521" i="327"/>
  <c r="H520" i="327"/>
  <c r="H519" i="327"/>
  <c r="H518" i="327"/>
  <c r="H517" i="327"/>
  <c r="H516" i="327"/>
  <c r="H515" i="327"/>
  <c r="G514" i="327"/>
  <c r="H513" i="327"/>
  <c r="H512" i="327"/>
  <c r="H511" i="327"/>
  <c r="H510" i="327"/>
  <c r="B510" i="327"/>
  <c r="B511" i="327" s="1"/>
  <c r="B512" i="327" s="1"/>
  <c r="B513" i="327" s="1"/>
  <c r="B514" i="327" s="1"/>
  <c r="B515" i="327" s="1"/>
  <c r="B516" i="327" s="1"/>
  <c r="B517" i="327" s="1"/>
  <c r="B518" i="327" s="1"/>
  <c r="B519" i="327" s="1"/>
  <c r="B520" i="327" s="1"/>
  <c r="B521" i="327" s="1"/>
  <c r="B522" i="327" s="1"/>
  <c r="B523" i="327" s="1"/>
  <c r="B524" i="327" s="1"/>
  <c r="B525" i="327" s="1"/>
  <c r="B526" i="327" s="1"/>
  <c r="G509" i="327"/>
  <c r="H505" i="327"/>
  <c r="H503" i="327" s="1"/>
  <c r="D21" i="154" s="1"/>
  <c r="E501" i="327"/>
  <c r="F501" i="327" s="1"/>
  <c r="H501" i="327" s="1"/>
  <c r="E500" i="327"/>
  <c r="F500" i="327" s="1"/>
  <c r="H500" i="327" s="1"/>
  <c r="E499" i="327"/>
  <c r="F499" i="327" s="1"/>
  <c r="H499" i="327" s="1"/>
  <c r="E498" i="327"/>
  <c r="F498" i="327" s="1"/>
  <c r="H498" i="327" s="1"/>
  <c r="E497" i="327"/>
  <c r="F497" i="327" s="1"/>
  <c r="H497" i="327" s="1"/>
  <c r="E494" i="327"/>
  <c r="F494" i="327" s="1"/>
  <c r="H494" i="327" s="1"/>
  <c r="H492" i="327" s="1"/>
  <c r="E491" i="327"/>
  <c r="D491" i="327"/>
  <c r="F491" i="327" s="1"/>
  <c r="H491" i="327" s="1"/>
  <c r="E490" i="327"/>
  <c r="D490" i="327"/>
  <c r="H484" i="327"/>
  <c r="H483" i="327"/>
  <c r="H481" i="327"/>
  <c r="H480" i="327"/>
  <c r="H479" i="327"/>
  <c r="H478" i="327"/>
  <c r="H477" i="327"/>
  <c r="H476" i="327"/>
  <c r="H475" i="327"/>
  <c r="H474" i="327"/>
  <c r="H473" i="327"/>
  <c r="H472" i="327"/>
  <c r="H471" i="327"/>
  <c r="H470" i="327"/>
  <c r="H469" i="327"/>
  <c r="H468" i="327"/>
  <c r="B468" i="327"/>
  <c r="B469" i="327" s="1"/>
  <c r="B470" i="327" s="1"/>
  <c r="B471" i="327" s="1"/>
  <c r="B472" i="327" s="1"/>
  <c r="B473" i="327" s="1"/>
  <c r="B474" i="327" s="1"/>
  <c r="B475" i="327" s="1"/>
  <c r="B476" i="327" s="1"/>
  <c r="B477" i="327" s="1"/>
  <c r="B478" i="327" s="1"/>
  <c r="B479" i="327" s="1"/>
  <c r="B480" i="327" s="1"/>
  <c r="B481" i="327" s="1"/>
  <c r="B482" i="327" s="1"/>
  <c r="H467" i="327"/>
  <c r="H466" i="327"/>
  <c r="H465" i="327"/>
  <c r="H463" i="327"/>
  <c r="H462" i="327"/>
  <c r="H461" i="327"/>
  <c r="H460" i="327"/>
  <c r="H459" i="327"/>
  <c r="B459" i="327"/>
  <c r="B460" i="327" s="1"/>
  <c r="B461" i="327" s="1"/>
  <c r="B462" i="327" s="1"/>
  <c r="B463" i="327" s="1"/>
  <c r="H458" i="327"/>
  <c r="H452" i="327"/>
  <c r="H451" i="327"/>
  <c r="H450" i="327"/>
  <c r="H449" i="327"/>
  <c r="H448" i="327"/>
  <c r="H447" i="327"/>
  <c r="H446" i="327"/>
  <c r="H445" i="327"/>
  <c r="H444" i="327"/>
  <c r="H443" i="327"/>
  <c r="H442" i="327"/>
  <c r="H441" i="327"/>
  <c r="H440" i="327"/>
  <c r="H439" i="327"/>
  <c r="H438" i="327"/>
  <c r="H437" i="327"/>
  <c r="H436" i="327"/>
  <c r="H435" i="327"/>
  <c r="H434" i="327"/>
  <c r="H433" i="327"/>
  <c r="H432" i="327"/>
  <c r="H431" i="327"/>
  <c r="H429" i="327"/>
  <c r="H428" i="327"/>
  <c r="H427" i="327"/>
  <c r="H426" i="327"/>
  <c r="H425" i="327"/>
  <c r="H424" i="327"/>
  <c r="H423" i="327"/>
  <c r="H422" i="327"/>
  <c r="H421" i="327"/>
  <c r="H420" i="327"/>
  <c r="H419" i="327"/>
  <c r="H418" i="327"/>
  <c r="H417" i="327"/>
  <c r="H416" i="327"/>
  <c r="H415" i="327"/>
  <c r="H414" i="327"/>
  <c r="H413" i="327"/>
  <c r="H412" i="327"/>
  <c r="H411" i="327"/>
  <c r="H410" i="327"/>
  <c r="H409" i="327"/>
  <c r="H408" i="327"/>
  <c r="H407" i="327"/>
  <c r="H406" i="327"/>
  <c r="H405" i="327"/>
  <c r="H404" i="327"/>
  <c r="H403" i="327"/>
  <c r="H402" i="327"/>
  <c r="H401" i="327"/>
  <c r="H400" i="327"/>
  <c r="H399" i="327"/>
  <c r="H398" i="327"/>
  <c r="H397" i="327"/>
  <c r="H396" i="327"/>
  <c r="H395" i="327"/>
  <c r="H394" i="327"/>
  <c r="H393" i="327"/>
  <c r="H392" i="327"/>
  <c r="H391" i="327"/>
  <c r="H390" i="327"/>
  <c r="H389" i="327"/>
  <c r="H388" i="327"/>
  <c r="H387" i="327"/>
  <c r="H386" i="327"/>
  <c r="H385" i="327"/>
  <c r="H384" i="327"/>
  <c r="H383" i="327"/>
  <c r="H382" i="327"/>
  <c r="H381" i="327"/>
  <c r="H380" i="327"/>
  <c r="B380" i="327"/>
  <c r="B381" i="327" s="1"/>
  <c r="B382" i="327" s="1"/>
  <c r="B383" i="327" s="1"/>
  <c r="B384" i="327" s="1"/>
  <c r="B385" i="327" s="1"/>
  <c r="B386" i="327" s="1"/>
  <c r="B387" i="327" s="1"/>
  <c r="B388" i="327" s="1"/>
  <c r="B389" i="327" s="1"/>
  <c r="B390" i="327" s="1"/>
  <c r="B391" i="327" s="1"/>
  <c r="B392" i="327" s="1"/>
  <c r="B393" i="327" s="1"/>
  <c r="B394" i="327" s="1"/>
  <c r="B395" i="327" s="1"/>
  <c r="B396" i="327" s="1"/>
  <c r="B397" i="327" s="1"/>
  <c r="B398" i="327" s="1"/>
  <c r="B399" i="327" s="1"/>
  <c r="B400" i="327" s="1"/>
  <c r="B401" i="327" s="1"/>
  <c r="B402" i="327" s="1"/>
  <c r="B403" i="327" s="1"/>
  <c r="B404" i="327" s="1"/>
  <c r="B405" i="327" s="1"/>
  <c r="B406" i="327" s="1"/>
  <c r="B407" i="327" s="1"/>
  <c r="B408" i="327" s="1"/>
  <c r="B409" i="327" s="1"/>
  <c r="B410" i="327" s="1"/>
  <c r="B411" i="327" s="1"/>
  <c r="B412" i="327" s="1"/>
  <c r="B413" i="327" s="1"/>
  <c r="B414" i="327" s="1"/>
  <c r="B415" i="327" s="1"/>
  <c r="B416" i="327" s="1"/>
  <c r="B417" i="327" s="1"/>
  <c r="B418" i="327" s="1"/>
  <c r="B419" i="327" s="1"/>
  <c r="B420" i="327" s="1"/>
  <c r="B421" i="327" s="1"/>
  <c r="B422" i="327" s="1"/>
  <c r="B423" i="327" s="1"/>
  <c r="B424" i="327" s="1"/>
  <c r="B425" i="327" s="1"/>
  <c r="B426" i="327" s="1"/>
  <c r="B427" i="327" s="1"/>
  <c r="B428" i="327" s="1"/>
  <c r="B429" i="327" s="1"/>
  <c r="B430" i="327" s="1"/>
  <c r="B431" i="327" s="1"/>
  <c r="B432" i="327" s="1"/>
  <c r="B433" i="327" s="1"/>
  <c r="B434" i="327" s="1"/>
  <c r="B435" i="327" s="1"/>
  <c r="B436" i="327" s="1"/>
  <c r="B437" i="327" s="1"/>
  <c r="B438" i="327" s="1"/>
  <c r="B439" i="327" s="1"/>
  <c r="B440" i="327" s="1"/>
  <c r="B441" i="327" s="1"/>
  <c r="B442" i="327" s="1"/>
  <c r="B443" i="327" s="1"/>
  <c r="B444" i="327" s="1"/>
  <c r="B445" i="327" s="1"/>
  <c r="B446" i="327" s="1"/>
  <c r="B447" i="327" s="1"/>
  <c r="B448" i="327" s="1"/>
  <c r="B449" i="327" s="1"/>
  <c r="B450" i="327" s="1"/>
  <c r="B451" i="327" s="1"/>
  <c r="B452" i="327" s="1"/>
  <c r="H379" i="327"/>
  <c r="H374" i="327"/>
  <c r="H373" i="327"/>
  <c r="H372" i="327"/>
  <c r="H371" i="327"/>
  <c r="H366" i="327"/>
  <c r="H365" i="327"/>
  <c r="H364" i="327"/>
  <c r="H363" i="327"/>
  <c r="H362" i="327"/>
  <c r="H361" i="327"/>
  <c r="H360" i="327"/>
  <c r="H359" i="327"/>
  <c r="H358" i="327"/>
  <c r="H357" i="327"/>
  <c r="H356" i="327"/>
  <c r="H355" i="327"/>
  <c r="H354" i="327"/>
  <c r="H353" i="327"/>
  <c r="H352" i="327"/>
  <c r="H351" i="327"/>
  <c r="H350" i="327"/>
  <c r="H349" i="327"/>
  <c r="H348" i="327"/>
  <c r="H347" i="327"/>
  <c r="H346" i="327"/>
  <c r="H345" i="327"/>
  <c r="B345" i="327"/>
  <c r="B346" i="327" s="1"/>
  <c r="B347" i="327" s="1"/>
  <c r="B348" i="327" s="1"/>
  <c r="B349" i="327" s="1"/>
  <c r="B350" i="327" s="1"/>
  <c r="B351" i="327" s="1"/>
  <c r="B352" i="327" s="1"/>
  <c r="B353" i="327" s="1"/>
  <c r="B354" i="327" s="1"/>
  <c r="B355" i="327" s="1"/>
  <c r="B356" i="327" s="1"/>
  <c r="B357" i="327" s="1"/>
  <c r="B358" i="327" s="1"/>
  <c r="B359" i="327" s="1"/>
  <c r="B360" i="327" s="1"/>
  <c r="B361" i="327" s="1"/>
  <c r="B362" i="327" s="1"/>
  <c r="B363" i="327" s="1"/>
  <c r="B364" i="327" s="1"/>
  <c r="B365" i="327" s="1"/>
  <c r="B366" i="327" s="1"/>
  <c r="H344" i="327"/>
  <c r="H342" i="327"/>
  <c r="H341" i="327"/>
  <c r="H340" i="327"/>
  <c r="H339" i="327"/>
  <c r="H338" i="327"/>
  <c r="H337" i="327"/>
  <c r="H336" i="327"/>
  <c r="H335" i="327"/>
  <c r="H334" i="327"/>
  <c r="H333" i="327"/>
  <c r="H332" i="327"/>
  <c r="H331" i="327"/>
  <c r="H330" i="327"/>
  <c r="H329" i="327"/>
  <c r="H328" i="327"/>
  <c r="H327" i="327"/>
  <c r="H326" i="327"/>
  <c r="H325" i="327"/>
  <c r="H324" i="327"/>
  <c r="H323" i="327"/>
  <c r="H322" i="327"/>
  <c r="H321" i="327"/>
  <c r="H320" i="327"/>
  <c r="H319" i="327"/>
  <c r="H318" i="327"/>
  <c r="H317" i="327"/>
  <c r="H316" i="327"/>
  <c r="H315" i="327"/>
  <c r="H314" i="327"/>
  <c r="H313" i="327"/>
  <c r="B313" i="327"/>
  <c r="B314" i="327" s="1"/>
  <c r="B315" i="327" s="1"/>
  <c r="B316" i="327" s="1"/>
  <c r="B317" i="327" s="1"/>
  <c r="B318" i="327" s="1"/>
  <c r="B319" i="327" s="1"/>
  <c r="B320" i="327" s="1"/>
  <c r="B321" i="327" s="1"/>
  <c r="B322" i="327" s="1"/>
  <c r="B323" i="327" s="1"/>
  <c r="B324" i="327" s="1"/>
  <c r="B325" i="327" s="1"/>
  <c r="B326" i="327" s="1"/>
  <c r="B327" i="327" s="1"/>
  <c r="B328" i="327" s="1"/>
  <c r="B329" i="327" s="1"/>
  <c r="B330" i="327" s="1"/>
  <c r="B331" i="327" s="1"/>
  <c r="B332" i="327" s="1"/>
  <c r="B333" i="327" s="1"/>
  <c r="B334" i="327" s="1"/>
  <c r="B335" i="327" s="1"/>
  <c r="B336" i="327" s="1"/>
  <c r="B337" i="327" s="1"/>
  <c r="B338" i="327" s="1"/>
  <c r="B339" i="327" s="1"/>
  <c r="B340" i="327" s="1"/>
  <c r="B341" i="327" s="1"/>
  <c r="B342" i="327" s="1"/>
  <c r="H312" i="327"/>
  <c r="H310" i="327"/>
  <c r="H309" i="327"/>
  <c r="H308" i="327"/>
  <c r="H307" i="327"/>
  <c r="H306" i="327"/>
  <c r="H305" i="327"/>
  <c r="H304" i="327"/>
  <c r="H303" i="327"/>
  <c r="H302" i="327"/>
  <c r="H301" i="327"/>
  <c r="H300" i="327"/>
  <c r="H299" i="327"/>
  <c r="H298" i="327"/>
  <c r="H297" i="327"/>
  <c r="H296" i="327"/>
  <c r="H295" i="327"/>
  <c r="H294" i="327"/>
  <c r="H293" i="327"/>
  <c r="H292" i="327"/>
  <c r="H291" i="327"/>
  <c r="H290" i="327"/>
  <c r="H289" i="327"/>
  <c r="H288" i="327"/>
  <c r="H287" i="327"/>
  <c r="H286" i="327"/>
  <c r="H285" i="327"/>
  <c r="H284" i="327"/>
  <c r="H283" i="327"/>
  <c r="H282" i="327"/>
  <c r="H281" i="327"/>
  <c r="H280" i="327"/>
  <c r="H279" i="327"/>
  <c r="H278" i="327"/>
  <c r="H277" i="327"/>
  <c r="H276" i="327"/>
  <c r="H275" i="327"/>
  <c r="H274" i="327"/>
  <c r="H273" i="327"/>
  <c r="H272" i="327"/>
  <c r="H271" i="327"/>
  <c r="H270" i="327"/>
  <c r="H269" i="327"/>
  <c r="H268" i="327"/>
  <c r="H267" i="327"/>
  <c r="H266" i="327"/>
  <c r="H265" i="327"/>
  <c r="H264" i="327"/>
  <c r="H263" i="327"/>
  <c r="H262" i="327"/>
  <c r="H261" i="327"/>
  <c r="H260" i="327"/>
  <c r="H259" i="327"/>
  <c r="H258" i="327"/>
  <c r="H257" i="327"/>
  <c r="H256" i="327"/>
  <c r="H255" i="327"/>
  <c r="H254" i="327"/>
  <c r="H253" i="327"/>
  <c r="H252" i="327"/>
  <c r="H251" i="327"/>
  <c r="H250" i="327"/>
  <c r="H249" i="327"/>
  <c r="H248" i="327"/>
  <c r="H247" i="327"/>
  <c r="H246" i="327"/>
  <c r="H245" i="327"/>
  <c r="H244" i="327"/>
  <c r="H243" i="327"/>
  <c r="H242" i="327"/>
  <c r="H241" i="327"/>
  <c r="H240" i="327"/>
  <c r="H239" i="327"/>
  <c r="H238" i="327"/>
  <c r="H237" i="327"/>
  <c r="H236" i="327"/>
  <c r="H235" i="327"/>
  <c r="H234" i="327"/>
  <c r="H233" i="327"/>
  <c r="H232" i="327"/>
  <c r="H231" i="327"/>
  <c r="H230" i="327"/>
  <c r="H229" i="327"/>
  <c r="H228" i="327"/>
  <c r="H227" i="327"/>
  <c r="H226" i="327"/>
  <c r="H225" i="327"/>
  <c r="H224" i="327"/>
  <c r="H223" i="327"/>
  <c r="H222" i="327"/>
  <c r="H221" i="327"/>
  <c r="H220" i="327"/>
  <c r="H219" i="327"/>
  <c r="H218" i="327"/>
  <c r="H217" i="327"/>
  <c r="H216" i="327"/>
  <c r="H215" i="327"/>
  <c r="H214" i="327"/>
  <c r="H213" i="327"/>
  <c r="H212" i="327"/>
  <c r="H211" i="327"/>
  <c r="H210" i="327"/>
  <c r="H209" i="327"/>
  <c r="H208" i="327"/>
  <c r="H207" i="327"/>
  <c r="H206" i="327"/>
  <c r="H205" i="327"/>
  <c r="H204" i="327"/>
  <c r="H203" i="327"/>
  <c r="H202" i="327"/>
  <c r="H201" i="327"/>
  <c r="H200" i="327"/>
  <c r="H199" i="327"/>
  <c r="H198" i="327"/>
  <c r="H197" i="327"/>
  <c r="H196" i="327"/>
  <c r="H195" i="327"/>
  <c r="H194" i="327"/>
  <c r="H193" i="327"/>
  <c r="H192" i="327"/>
  <c r="H191" i="327"/>
  <c r="H190" i="327"/>
  <c r="H189" i="327"/>
  <c r="H188" i="327"/>
  <c r="H187" i="327"/>
  <c r="H186" i="327"/>
  <c r="H185" i="327"/>
  <c r="H184" i="327"/>
  <c r="H183" i="327"/>
  <c r="H182" i="327"/>
  <c r="H181" i="327"/>
  <c r="H180" i="327"/>
  <c r="H179" i="327"/>
  <c r="H178" i="327"/>
  <c r="H177" i="327"/>
  <c r="H176" i="327"/>
  <c r="H175" i="327"/>
  <c r="H174" i="327"/>
  <c r="H173" i="327"/>
  <c r="H172" i="327"/>
  <c r="H171" i="327"/>
  <c r="H170" i="327"/>
  <c r="H169" i="327"/>
  <c r="H168" i="327"/>
  <c r="H167" i="327"/>
  <c r="H166" i="327"/>
  <c r="H165" i="327"/>
  <c r="H164" i="327"/>
  <c r="H163" i="327"/>
  <c r="H162" i="327"/>
  <c r="H161" i="327"/>
  <c r="H160" i="327"/>
  <c r="H159" i="327"/>
  <c r="H158" i="327"/>
  <c r="H157" i="327"/>
  <c r="H156" i="327"/>
  <c r="H155" i="327"/>
  <c r="H154" i="327"/>
  <c r="H153" i="327"/>
  <c r="H152" i="327"/>
  <c r="H151" i="327"/>
  <c r="H150" i="327"/>
  <c r="H149" i="327"/>
  <c r="H148" i="327"/>
  <c r="H147" i="327"/>
  <c r="H146" i="327"/>
  <c r="H145" i="327"/>
  <c r="H144" i="327"/>
  <c r="H143" i="327"/>
  <c r="H142" i="327"/>
  <c r="H141" i="327"/>
  <c r="H140" i="327"/>
  <c r="H139" i="327"/>
  <c r="H138" i="327"/>
  <c r="H137" i="327"/>
  <c r="H136" i="327"/>
  <c r="H135" i="327"/>
  <c r="H134" i="327"/>
  <c r="H133" i="327"/>
  <c r="H132" i="327"/>
  <c r="H131" i="327"/>
  <c r="H130" i="327"/>
  <c r="H129" i="327"/>
  <c r="H128" i="327"/>
  <c r="H127" i="327"/>
  <c r="H126" i="327"/>
  <c r="H125" i="327"/>
  <c r="H124" i="327"/>
  <c r="H123" i="327"/>
  <c r="H122" i="327"/>
  <c r="H121" i="327"/>
  <c r="H120" i="327"/>
  <c r="H119" i="327"/>
  <c r="H118" i="327"/>
  <c r="H117" i="327"/>
  <c r="H116" i="327"/>
  <c r="H115" i="327"/>
  <c r="H114" i="327"/>
  <c r="H113" i="327"/>
  <c r="H112" i="327"/>
  <c r="B112" i="327"/>
  <c r="B113" i="327" s="1"/>
  <c r="B114" i="327" s="1"/>
  <c r="B115" i="327" s="1"/>
  <c r="B116" i="327" s="1"/>
  <c r="B117" i="327" s="1"/>
  <c r="B118" i="327" s="1"/>
  <c r="B119" i="327" s="1"/>
  <c r="B120" i="327" s="1"/>
  <c r="B121" i="327" s="1"/>
  <c r="B122" i="327" s="1"/>
  <c r="B123" i="327" s="1"/>
  <c r="B124" i="327" s="1"/>
  <c r="B125" i="327" s="1"/>
  <c r="B126" i="327" s="1"/>
  <c r="B127" i="327" s="1"/>
  <c r="B128" i="327" s="1"/>
  <c r="B129" i="327" s="1"/>
  <c r="B130" i="327" s="1"/>
  <c r="B131" i="327" s="1"/>
  <c r="B132" i="327" s="1"/>
  <c r="B133" i="327" s="1"/>
  <c r="B134" i="327" s="1"/>
  <c r="B135" i="327" s="1"/>
  <c r="B136" i="327" s="1"/>
  <c r="B137" i="327" s="1"/>
  <c r="B138" i="327" s="1"/>
  <c r="B139" i="327" s="1"/>
  <c r="B140" i="327" s="1"/>
  <c r="B141" i="327" s="1"/>
  <c r="B142" i="327" s="1"/>
  <c r="B143" i="327" s="1"/>
  <c r="B144" i="327" s="1"/>
  <c r="B145" i="327" s="1"/>
  <c r="B146" i="327" s="1"/>
  <c r="B147" i="327" s="1"/>
  <c r="B148" i="327" s="1"/>
  <c r="B149" i="327" s="1"/>
  <c r="B150" i="327" s="1"/>
  <c r="B151" i="327" s="1"/>
  <c r="B152" i="327" s="1"/>
  <c r="B153" i="327" s="1"/>
  <c r="B154" i="327" s="1"/>
  <c r="B155" i="327" s="1"/>
  <c r="B156" i="327" s="1"/>
  <c r="B157" i="327" s="1"/>
  <c r="B158" i="327" s="1"/>
  <c r="B159" i="327" s="1"/>
  <c r="B160" i="327" s="1"/>
  <c r="B161" i="327" s="1"/>
  <c r="B162" i="327" s="1"/>
  <c r="B163" i="327" s="1"/>
  <c r="B164" i="327" s="1"/>
  <c r="B165" i="327" s="1"/>
  <c r="B166" i="327" s="1"/>
  <c r="B167" i="327" s="1"/>
  <c r="B168" i="327" s="1"/>
  <c r="B169" i="327" s="1"/>
  <c r="B170" i="327" s="1"/>
  <c r="B171" i="327" s="1"/>
  <c r="B172" i="327" s="1"/>
  <c r="B173" i="327" s="1"/>
  <c r="B174" i="327" s="1"/>
  <c r="B175" i="327" s="1"/>
  <c r="B176" i="327" s="1"/>
  <c r="B177" i="327" s="1"/>
  <c r="B178" i="327" s="1"/>
  <c r="B179" i="327" s="1"/>
  <c r="B180" i="327" s="1"/>
  <c r="B181" i="327" s="1"/>
  <c r="B182" i="327" s="1"/>
  <c r="B183" i="327" s="1"/>
  <c r="B184" i="327" s="1"/>
  <c r="B185" i="327" s="1"/>
  <c r="B186" i="327" s="1"/>
  <c r="B187" i="327" s="1"/>
  <c r="B188" i="327" s="1"/>
  <c r="B189" i="327" s="1"/>
  <c r="B190" i="327" s="1"/>
  <c r="B191" i="327" s="1"/>
  <c r="B192" i="327" s="1"/>
  <c r="B193" i="327" s="1"/>
  <c r="B194" i="327" s="1"/>
  <c r="B195" i="327" s="1"/>
  <c r="B196" i="327" s="1"/>
  <c r="B197" i="327" s="1"/>
  <c r="B198" i="327" s="1"/>
  <c r="B199" i="327" s="1"/>
  <c r="B200" i="327" s="1"/>
  <c r="B201" i="327" s="1"/>
  <c r="B202" i="327" s="1"/>
  <c r="B203" i="327" s="1"/>
  <c r="B204" i="327" s="1"/>
  <c r="B205" i="327" s="1"/>
  <c r="B206" i="327" s="1"/>
  <c r="B207" i="327" s="1"/>
  <c r="B208" i="327" s="1"/>
  <c r="B209" i="327" s="1"/>
  <c r="B210" i="327" s="1"/>
  <c r="B211" i="327" s="1"/>
  <c r="B212" i="327" s="1"/>
  <c r="B213" i="327" s="1"/>
  <c r="B214" i="327" s="1"/>
  <c r="B215" i="327" s="1"/>
  <c r="B216" i="327" s="1"/>
  <c r="B217" i="327" s="1"/>
  <c r="B218" i="327" s="1"/>
  <c r="B219" i="327" s="1"/>
  <c r="B220" i="327" s="1"/>
  <c r="B221" i="327" s="1"/>
  <c r="B222" i="327" s="1"/>
  <c r="B223" i="327" s="1"/>
  <c r="B224" i="327" s="1"/>
  <c r="B225" i="327" s="1"/>
  <c r="B226" i="327" s="1"/>
  <c r="B227" i="327" s="1"/>
  <c r="B228" i="327" s="1"/>
  <c r="B229" i="327" s="1"/>
  <c r="B230" i="327" s="1"/>
  <c r="B231" i="327" s="1"/>
  <c r="B232" i="327" s="1"/>
  <c r="B233" i="327" s="1"/>
  <c r="B234" i="327" s="1"/>
  <c r="B235" i="327" s="1"/>
  <c r="B236" i="327" s="1"/>
  <c r="B237" i="327" s="1"/>
  <c r="B238" i="327" s="1"/>
  <c r="B239" i="327" s="1"/>
  <c r="B240" i="327" s="1"/>
  <c r="B241" i="327" s="1"/>
  <c r="B242" i="327" s="1"/>
  <c r="B243" i="327" s="1"/>
  <c r="B244" i="327" s="1"/>
  <c r="B245" i="327" s="1"/>
  <c r="B246" i="327" s="1"/>
  <c r="B247" i="327" s="1"/>
  <c r="B248" i="327" s="1"/>
  <c r="B249" i="327" s="1"/>
  <c r="B250" i="327" s="1"/>
  <c r="B251" i="327" s="1"/>
  <c r="B252" i="327" s="1"/>
  <c r="B253" i="327" s="1"/>
  <c r="B254" i="327" s="1"/>
  <c r="B255" i="327" s="1"/>
  <c r="B256" i="327" s="1"/>
  <c r="B257" i="327" s="1"/>
  <c r="B258" i="327" s="1"/>
  <c r="B259" i="327" s="1"/>
  <c r="B260" i="327" s="1"/>
  <c r="B261" i="327" s="1"/>
  <c r="B262" i="327" s="1"/>
  <c r="B263" i="327" s="1"/>
  <c r="B264" i="327" s="1"/>
  <c r="B265" i="327" s="1"/>
  <c r="B266" i="327" s="1"/>
  <c r="B267" i="327" s="1"/>
  <c r="B268" i="327" s="1"/>
  <c r="B269" i="327" s="1"/>
  <c r="B270" i="327" s="1"/>
  <c r="B271" i="327" s="1"/>
  <c r="B272" i="327" s="1"/>
  <c r="B273" i="327" s="1"/>
  <c r="B274" i="327" s="1"/>
  <c r="B275" i="327" s="1"/>
  <c r="B276" i="327" s="1"/>
  <c r="B277" i="327" s="1"/>
  <c r="B278" i="327" s="1"/>
  <c r="B279" i="327" s="1"/>
  <c r="B280" i="327" s="1"/>
  <c r="B281" i="327" s="1"/>
  <c r="B282" i="327" s="1"/>
  <c r="B283" i="327" s="1"/>
  <c r="B284" i="327" s="1"/>
  <c r="B285" i="327" s="1"/>
  <c r="B286" i="327" s="1"/>
  <c r="B287" i="327" s="1"/>
  <c r="B288" i="327" s="1"/>
  <c r="B289" i="327" s="1"/>
  <c r="B290" i="327" s="1"/>
  <c r="B291" i="327" s="1"/>
  <c r="B292" i="327" s="1"/>
  <c r="B293" i="327" s="1"/>
  <c r="B294" i="327" s="1"/>
  <c r="B295" i="327" s="1"/>
  <c r="B296" i="327" s="1"/>
  <c r="B297" i="327" s="1"/>
  <c r="B298" i="327" s="1"/>
  <c r="B299" i="327" s="1"/>
  <c r="B300" i="327" s="1"/>
  <c r="B301" i="327" s="1"/>
  <c r="B302" i="327" s="1"/>
  <c r="B303" i="327" s="1"/>
  <c r="B304" i="327" s="1"/>
  <c r="B305" i="327" s="1"/>
  <c r="B306" i="327" s="1"/>
  <c r="B307" i="327" s="1"/>
  <c r="B308" i="327" s="1"/>
  <c r="B309" i="327" s="1"/>
  <c r="B310" i="327" s="1"/>
  <c r="H111" i="327"/>
  <c r="G90" i="327"/>
  <c r="H90" i="327" s="1"/>
  <c r="G89" i="327"/>
  <c r="H89" i="327" s="1"/>
  <c r="G88" i="327"/>
  <c r="H88" i="327" s="1"/>
  <c r="G87" i="327"/>
  <c r="H87" i="327" s="1"/>
  <c r="G86" i="327"/>
  <c r="H86" i="327" s="1"/>
  <c r="G85" i="327"/>
  <c r="H85" i="327" s="1"/>
  <c r="G84" i="327"/>
  <c r="H84" i="327" s="1"/>
  <c r="G83" i="327"/>
  <c r="H83" i="327" s="1"/>
  <c r="G82" i="327"/>
  <c r="H82" i="327" s="1"/>
  <c r="G81" i="327"/>
  <c r="H81" i="327" s="1"/>
  <c r="G80" i="327"/>
  <c r="H80" i="327" s="1"/>
  <c r="G79" i="327"/>
  <c r="H79" i="327" s="1"/>
  <c r="G78" i="327"/>
  <c r="H78" i="327" s="1"/>
  <c r="G77" i="327"/>
  <c r="H77" i="327" s="1"/>
  <c r="G76" i="327"/>
  <c r="H76" i="327" s="1"/>
  <c r="G75" i="327"/>
  <c r="H75" i="327" s="1"/>
  <c r="G74" i="327"/>
  <c r="H74" i="327" s="1"/>
  <c r="G73" i="327"/>
  <c r="H73" i="327" s="1"/>
  <c r="G72" i="327"/>
  <c r="H72" i="327" s="1"/>
  <c r="G71" i="327"/>
  <c r="H71" i="327" s="1"/>
  <c r="G70" i="327"/>
  <c r="H70" i="327" s="1"/>
  <c r="G69" i="327"/>
  <c r="H69" i="327" s="1"/>
  <c r="G68" i="327"/>
  <c r="H68" i="327" s="1"/>
  <c r="G67" i="327"/>
  <c r="H67" i="327" s="1"/>
  <c r="G66" i="327"/>
  <c r="H66" i="327" s="1"/>
  <c r="G65" i="327"/>
  <c r="H65" i="327" s="1"/>
  <c r="G64" i="327"/>
  <c r="H64" i="327" s="1"/>
  <c r="G63" i="327"/>
  <c r="H63" i="327" s="1"/>
  <c r="G62" i="327"/>
  <c r="H62" i="327" s="1"/>
  <c r="G61" i="327"/>
  <c r="H61" i="327" s="1"/>
  <c r="G60" i="327"/>
  <c r="H60" i="327" s="1"/>
  <c r="G59" i="327"/>
  <c r="H59" i="327" s="1"/>
  <c r="G58" i="327"/>
  <c r="H58" i="327" s="1"/>
  <c r="G57" i="327"/>
  <c r="H57" i="327" s="1"/>
  <c r="G56" i="327"/>
  <c r="H56" i="327" s="1"/>
  <c r="G55" i="327"/>
  <c r="H55" i="327" s="1"/>
  <c r="B55" i="327"/>
  <c r="B56" i="327" s="1"/>
  <c r="B57" i="327" s="1"/>
  <c r="B58" i="327" s="1"/>
  <c r="B59" i="327" s="1"/>
  <c r="B60" i="327" s="1"/>
  <c r="B61" i="327" s="1"/>
  <c r="B62" i="327" s="1"/>
  <c r="B63" i="327" s="1"/>
  <c r="B64" i="327" s="1"/>
  <c r="B65" i="327" s="1"/>
  <c r="B66" i="327" s="1"/>
  <c r="B67" i="327" s="1"/>
  <c r="B68" i="327" s="1"/>
  <c r="B69" i="327" s="1"/>
  <c r="B70" i="327" s="1"/>
  <c r="B71" i="327" s="1"/>
  <c r="B72" i="327" s="1"/>
  <c r="B73" i="327" s="1"/>
  <c r="B74" i="327" s="1"/>
  <c r="B75" i="327" s="1"/>
  <c r="B76" i="327" s="1"/>
  <c r="B77" i="327" s="1"/>
  <c r="B78" i="327" s="1"/>
  <c r="B79" i="327" s="1"/>
  <c r="B80" i="327" s="1"/>
  <c r="B81" i="327" s="1"/>
  <c r="B82" i="327" s="1"/>
  <c r="B83" i="327" s="1"/>
  <c r="B84" i="327" s="1"/>
  <c r="B85" i="327" s="1"/>
  <c r="B86" i="327" s="1"/>
  <c r="B87" i="327" s="1"/>
  <c r="B88" i="327" s="1"/>
  <c r="B89" i="327" s="1"/>
  <c r="B90" i="327" s="1"/>
  <c r="G54" i="327"/>
  <c r="H54" i="327" s="1"/>
  <c r="H50" i="327"/>
  <c r="H49" i="327"/>
  <c r="H48" i="327"/>
  <c r="H47" i="327"/>
  <c r="H46" i="327"/>
  <c r="H45" i="327"/>
  <c r="D40" i="327"/>
  <c r="H35" i="327"/>
  <c r="H34" i="327"/>
  <c r="H33" i="327"/>
  <c r="H32" i="327"/>
  <c r="H31" i="327"/>
  <c r="H30" i="327"/>
  <c r="H29" i="327"/>
  <c r="H28" i="327"/>
  <c r="H27" i="327"/>
  <c r="H26" i="327"/>
  <c r="H25" i="327"/>
  <c r="H24" i="327"/>
  <c r="G23" i="327"/>
  <c r="E20" i="327" s="1"/>
  <c r="G20" i="327" s="1"/>
  <c r="G18" i="327" s="1"/>
  <c r="D16" i="154" s="1"/>
  <c r="D23" i="327"/>
  <c r="H16" i="327"/>
  <c r="H15" i="327"/>
  <c r="H14" i="327"/>
  <c r="H13" i="327"/>
  <c r="H12" i="327"/>
  <c r="H11" i="327"/>
  <c r="B11" i="327"/>
  <c r="B12" i="327" s="1"/>
  <c r="B13" i="327" s="1"/>
  <c r="B14" i="327" s="1"/>
  <c r="B15" i="327" s="1"/>
  <c r="H10" i="327"/>
  <c r="H370" i="328" l="1"/>
  <c r="G102" i="328" s="1"/>
  <c r="F102" i="328" s="1"/>
  <c r="H51" i="328"/>
  <c r="H457" i="328"/>
  <c r="H91" i="328"/>
  <c r="F40" i="328" s="1"/>
  <c r="G40" i="328" s="1"/>
  <c r="H507" i="328"/>
  <c r="E22" i="154" s="1"/>
  <c r="H562" i="328"/>
  <c r="H567" i="328"/>
  <c r="H563" i="328"/>
  <c r="G552" i="328"/>
  <c r="H23" i="328"/>
  <c r="F490" i="328"/>
  <c r="H490" i="328" s="1"/>
  <c r="H562" i="327"/>
  <c r="H464" i="327"/>
  <c r="H370" i="327"/>
  <c r="G102" i="327" s="1"/>
  <c r="F102" i="327" s="1"/>
  <c r="H51" i="327"/>
  <c r="H311" i="327"/>
  <c r="H457" i="327"/>
  <c r="H485" i="327" s="1"/>
  <c r="G103" i="327" s="1"/>
  <c r="F103" i="327" s="1"/>
  <c r="F490" i="327"/>
  <c r="H490" i="327" s="1"/>
  <c r="H488" i="327" s="1"/>
  <c r="R28" i="335"/>
  <c r="M29" i="335"/>
  <c r="R26" i="335"/>
  <c r="R27" i="335"/>
  <c r="R27" i="334"/>
  <c r="P29" i="335"/>
  <c r="R23" i="335"/>
  <c r="P29" i="334"/>
  <c r="R19" i="334"/>
  <c r="R29" i="334" s="1"/>
  <c r="R21" i="335"/>
  <c r="J29" i="334"/>
  <c r="J29" i="335"/>
  <c r="N29" i="335"/>
  <c r="N29" i="334"/>
  <c r="AJ53" i="333"/>
  <c r="AK53" i="333" s="1"/>
  <c r="AL53" i="333"/>
  <c r="AM53" i="333" s="1"/>
  <c r="Y53" i="333"/>
  <c r="AJ90" i="333"/>
  <c r="AK90" i="333" s="1"/>
  <c r="AL90" i="333"/>
  <c r="AM90" i="333" s="1"/>
  <c r="Y130" i="333"/>
  <c r="AL130" i="333"/>
  <c r="AM130" i="333" s="1"/>
  <c r="AJ42" i="333"/>
  <c r="AK42" i="333" s="1"/>
  <c r="AL42" i="333"/>
  <c r="AM42" i="333" s="1"/>
  <c r="Y42" i="333"/>
  <c r="AZ71" i="333"/>
  <c r="BA71" i="333" s="1"/>
  <c r="Z44" i="333"/>
  <c r="BG44" i="333"/>
  <c r="AL73" i="333"/>
  <c r="AM73" i="333" s="1"/>
  <c r="AJ73" i="333"/>
  <c r="AK73" i="333" s="1"/>
  <c r="Y73" i="333"/>
  <c r="AJ38" i="333"/>
  <c r="AL38" i="333"/>
  <c r="AL51" i="333"/>
  <c r="AM51" i="333" s="1"/>
  <c r="AJ51" i="333"/>
  <c r="AK51" i="333" s="1"/>
  <c r="Y27" i="333"/>
  <c r="Z27" i="333" s="1"/>
  <c r="AO38" i="333"/>
  <c r="AR38" i="333"/>
  <c r="AR66" i="333" s="1"/>
  <c r="AQ38" i="333"/>
  <c r="AL52" i="333"/>
  <c r="AM52" i="333" s="1"/>
  <c r="AZ52" i="333" s="1"/>
  <c r="BA52" i="333" s="1"/>
  <c r="AJ52" i="333"/>
  <c r="AK52" i="333" s="1"/>
  <c r="BG52" i="333"/>
  <c r="AQ54" i="333"/>
  <c r="AP54" i="333"/>
  <c r="AL56" i="333"/>
  <c r="AM56" i="333" s="1"/>
  <c r="AJ56" i="333"/>
  <c r="AK56" i="333" s="1"/>
  <c r="AL62" i="333"/>
  <c r="AM62" i="333" s="1"/>
  <c r="AJ62" i="333"/>
  <c r="AK62" i="333" s="1"/>
  <c r="AL63" i="333"/>
  <c r="AM63" i="333" s="1"/>
  <c r="AJ63" i="333"/>
  <c r="AK63" i="333" s="1"/>
  <c r="AO63" i="333"/>
  <c r="AL64" i="333"/>
  <c r="AM64" i="333" s="1"/>
  <c r="AJ64" i="333"/>
  <c r="AK64" i="333" s="1"/>
  <c r="AJ65" i="333"/>
  <c r="AK65" i="333" s="1"/>
  <c r="AL65" i="333"/>
  <c r="AM65" i="333" s="1"/>
  <c r="AG86" i="333"/>
  <c r="AG124" i="333" s="1"/>
  <c r="AG201" i="333" s="1"/>
  <c r="BG154" i="333"/>
  <c r="Z154" i="333"/>
  <c r="AP38" i="333"/>
  <c r="AR43" i="333"/>
  <c r="AQ43" i="333"/>
  <c r="AP48" i="333"/>
  <c r="AO54" i="333"/>
  <c r="Y56" i="333"/>
  <c r="Y63" i="333"/>
  <c r="Y65" i="333"/>
  <c r="AK67" i="333"/>
  <c r="AP85" i="333"/>
  <c r="AO85" i="333"/>
  <c r="AR85" i="333"/>
  <c r="AQ85" i="333"/>
  <c r="AB124" i="333"/>
  <c r="AM139" i="333"/>
  <c r="Y139" i="333"/>
  <c r="AO162" i="333"/>
  <c r="AN166" i="333"/>
  <c r="AQ162" i="333"/>
  <c r="AR162" i="333"/>
  <c r="Z57" i="333"/>
  <c r="BG57" i="333"/>
  <c r="AP51" i="333"/>
  <c r="AP55" i="333"/>
  <c r="AO61" i="333"/>
  <c r="AM67" i="333"/>
  <c r="K103" i="333"/>
  <c r="AJ96" i="333"/>
  <c r="AK96" i="333" s="1"/>
  <c r="AL96" i="333"/>
  <c r="AL106" i="333"/>
  <c r="AJ106" i="333"/>
  <c r="AK106" i="333" s="1"/>
  <c r="BG199" i="333"/>
  <c r="Y31" i="333"/>
  <c r="Z31" i="333" s="1"/>
  <c r="AO49" i="333"/>
  <c r="AR49" i="333"/>
  <c r="AQ49" i="333"/>
  <c r="AQ51" i="333"/>
  <c r="AQ55" i="333"/>
  <c r="AM58" i="333"/>
  <c r="Y58" i="333"/>
  <c r="AO64" i="333"/>
  <c r="AR64" i="333"/>
  <c r="AQ64" i="333"/>
  <c r="AP64" i="333"/>
  <c r="AP67" i="333"/>
  <c r="AN86" i="333"/>
  <c r="AO67" i="333"/>
  <c r="AR67" i="333"/>
  <c r="X87" i="333"/>
  <c r="Q103" i="333"/>
  <c r="Q124" i="333" s="1"/>
  <c r="Q201" i="333" s="1"/>
  <c r="Y96" i="333"/>
  <c r="W124" i="333"/>
  <c r="W201" i="333" s="1"/>
  <c r="Y112" i="333"/>
  <c r="AM112" i="333"/>
  <c r="AP112" i="333"/>
  <c r="Y47" i="333"/>
  <c r="AP49" i="333"/>
  <c r="AR55" i="333"/>
  <c r="AO62" i="333"/>
  <c r="AQ67" i="333"/>
  <c r="AO78" i="333"/>
  <c r="AR78" i="333"/>
  <c r="X105" i="333"/>
  <c r="Y105" i="333" s="1"/>
  <c r="AQ146" i="333"/>
  <c r="AP146" i="333"/>
  <c r="AO146" i="333"/>
  <c r="AO183" i="333"/>
  <c r="AO41" i="333"/>
  <c r="Y50" i="333"/>
  <c r="AJ59" i="333"/>
  <c r="AK59" i="333" s="1"/>
  <c r="AL59" i="333"/>
  <c r="AP62" i="333"/>
  <c r="AN66" i="333"/>
  <c r="Z72" i="333"/>
  <c r="AP78" i="333"/>
  <c r="Z95" i="333"/>
  <c r="BG95" i="333"/>
  <c r="AL145" i="333"/>
  <c r="AM145" i="333" s="1"/>
  <c r="Y145" i="333"/>
  <c r="AR146" i="333"/>
  <c r="AR197" i="333"/>
  <c r="AP197" i="333"/>
  <c r="AQ197" i="333"/>
  <c r="AZ199" i="333"/>
  <c r="BA199" i="333" s="1"/>
  <c r="Z40" i="333"/>
  <c r="AL58" i="333"/>
  <c r="AJ58" i="333"/>
  <c r="AK58" i="333" s="1"/>
  <c r="AQ46" i="333"/>
  <c r="AP46" i="333"/>
  <c r="AR46" i="333"/>
  <c r="X15" i="333"/>
  <c r="Y15" i="333" s="1"/>
  <c r="Z15" i="333" s="1"/>
  <c r="Q66" i="333"/>
  <c r="AP41" i="333"/>
  <c r="AP44" i="333"/>
  <c r="AR44" i="333"/>
  <c r="AQ44" i="333"/>
  <c r="AO44" i="333"/>
  <c r="AO46" i="333"/>
  <c r="AZ46" i="333" s="1"/>
  <c r="BA46" i="333" s="1"/>
  <c r="AQ52" i="333"/>
  <c r="AJ57" i="333"/>
  <c r="AK57" i="333" s="1"/>
  <c r="AQ62" i="333"/>
  <c r="AJ76" i="333"/>
  <c r="AK76" i="333" s="1"/>
  <c r="AP76" i="333"/>
  <c r="AQ78" i="333"/>
  <c r="AO82" i="333"/>
  <c r="AM82" i="333"/>
  <c r="Y82" i="333"/>
  <c r="AD123" i="333"/>
  <c r="Y108" i="333"/>
  <c r="BG126" i="333"/>
  <c r="Z126" i="333"/>
  <c r="AZ126" i="333" s="1"/>
  <c r="BA126" i="333" s="1"/>
  <c r="AQ130" i="333"/>
  <c r="AO130" i="333"/>
  <c r="AR130" i="333"/>
  <c r="AP130" i="333"/>
  <c r="AO197" i="333"/>
  <c r="AD66" i="333"/>
  <c r="Y28" i="333"/>
  <c r="Z28" i="333" s="1"/>
  <c r="Y38" i="333"/>
  <c r="AM38" i="333"/>
  <c r="AQ39" i="333"/>
  <c r="AO39" i="333"/>
  <c r="AQ41" i="333"/>
  <c r="Y48" i="333"/>
  <c r="AM48" i="333"/>
  <c r="Z54" i="333"/>
  <c r="BG54" i="333"/>
  <c r="Z59" i="333"/>
  <c r="AL60" i="333"/>
  <c r="AM60" i="333" s="1"/>
  <c r="AJ60" i="333"/>
  <c r="AK60" i="333" s="1"/>
  <c r="AQ65" i="333"/>
  <c r="BB149" i="333"/>
  <c r="BC149" i="333"/>
  <c r="BF149" i="333"/>
  <c r="Y32" i="333"/>
  <c r="Z32" i="333" s="1"/>
  <c r="AP39" i="333"/>
  <c r="Z45" i="333"/>
  <c r="BG45" i="333"/>
  <c r="AL47" i="333"/>
  <c r="AM47" i="333" s="1"/>
  <c r="Y51" i="333"/>
  <c r="Y60" i="333"/>
  <c r="AX103" i="333"/>
  <c r="AX124" i="333" s="1"/>
  <c r="AX201" i="333" s="1"/>
  <c r="AI124" i="333"/>
  <c r="AL118" i="333"/>
  <c r="AM118" i="333" s="1"/>
  <c r="AJ118" i="333"/>
  <c r="AK118" i="333" s="1"/>
  <c r="BG121" i="333"/>
  <c r="Z121" i="333"/>
  <c r="K174" i="333"/>
  <c r="AP167" i="333"/>
  <c r="Y167" i="333"/>
  <c r="AM167" i="333"/>
  <c r="AQ168" i="333"/>
  <c r="AQ174" i="333" s="1"/>
  <c r="AO168" i="333"/>
  <c r="AR168" i="333"/>
  <c r="AN174" i="333"/>
  <c r="AP168" i="333"/>
  <c r="AB66" i="333"/>
  <c r="AJ50" i="333"/>
  <c r="AK50" i="333" s="1"/>
  <c r="AO57" i="333"/>
  <c r="AP57" i="333"/>
  <c r="AQ72" i="333"/>
  <c r="AP72" i="333"/>
  <c r="AR72" i="333"/>
  <c r="AZ77" i="333"/>
  <c r="BA77" i="333" s="1"/>
  <c r="AJ81" i="333"/>
  <c r="AK81" i="333" s="1"/>
  <c r="AL81" i="333"/>
  <c r="AM81" i="333" s="1"/>
  <c r="AM84" i="333"/>
  <c r="Y84" i="333"/>
  <c r="AP84" i="333"/>
  <c r="AM101" i="333"/>
  <c r="AO101" i="333"/>
  <c r="Y101" i="333"/>
  <c r="AL111" i="333"/>
  <c r="AM111" i="333" s="1"/>
  <c r="AJ111" i="333"/>
  <c r="AK111" i="333" s="1"/>
  <c r="K66" i="333"/>
  <c r="AQ57" i="333"/>
  <c r="AQ58" i="333"/>
  <c r="AP58" i="333"/>
  <c r="AO58" i="333"/>
  <c r="AR58" i="333"/>
  <c r="AP59" i="333"/>
  <c r="Y68" i="333"/>
  <c r="K86" i="333"/>
  <c r="AO72" i="333"/>
  <c r="AL76" i="333"/>
  <c r="AM76" i="333" s="1"/>
  <c r="AL95" i="333"/>
  <c r="AJ117" i="333"/>
  <c r="AK117" i="333" s="1"/>
  <c r="AL117" i="333"/>
  <c r="AM117" i="333" s="1"/>
  <c r="Y117" i="333"/>
  <c r="BG151" i="333"/>
  <c r="Y182" i="333"/>
  <c r="AO182" i="333"/>
  <c r="AL182" i="333"/>
  <c r="AM182" i="333" s="1"/>
  <c r="AJ40" i="333"/>
  <c r="AK40" i="333" s="1"/>
  <c r="X43" i="333"/>
  <c r="AJ45" i="333"/>
  <c r="AK45" i="333" s="1"/>
  <c r="AO47" i="333"/>
  <c r="AM49" i="333"/>
  <c r="AQ53" i="333"/>
  <c r="AR53" i="333"/>
  <c r="AP53" i="333"/>
  <c r="AR57" i="333"/>
  <c r="AO59" i="333"/>
  <c r="X68" i="333"/>
  <c r="Q86" i="333"/>
  <c r="AM95" i="333"/>
  <c r="Y99" i="333"/>
  <c r="AM115" i="333"/>
  <c r="Y115" i="333"/>
  <c r="AR115" i="333"/>
  <c r="AP125" i="333"/>
  <c r="K135" i="333"/>
  <c r="AQ137" i="333"/>
  <c r="AR137" i="333"/>
  <c r="AN143" i="333"/>
  <c r="W66" i="333"/>
  <c r="X14" i="333"/>
  <c r="Y14" i="333" s="1"/>
  <c r="AM44" i="333"/>
  <c r="AL55" i="333"/>
  <c r="AM55" i="333" s="1"/>
  <c r="AJ55" i="333"/>
  <c r="AK55" i="333" s="1"/>
  <c r="AZ61" i="333"/>
  <c r="Y67" i="333"/>
  <c r="Y79" i="333"/>
  <c r="AM79" i="333"/>
  <c r="AL84" i="333"/>
  <c r="AJ84" i="333"/>
  <c r="AK84" i="333" s="1"/>
  <c r="Z94" i="333"/>
  <c r="BG94" i="333"/>
  <c r="AO95" i="333"/>
  <c r="AQ95" i="333"/>
  <c r="AR95" i="333"/>
  <c r="AP95" i="333"/>
  <c r="Y107" i="333"/>
  <c r="AM107" i="333"/>
  <c r="AP108" i="333"/>
  <c r="AR108" i="333"/>
  <c r="AQ108" i="333"/>
  <c r="Q135" i="333"/>
  <c r="X125" i="333"/>
  <c r="BG147" i="333"/>
  <c r="Z147" i="333"/>
  <c r="K156" i="333"/>
  <c r="AR61" i="333"/>
  <c r="AP61" i="333"/>
  <c r="AQ120" i="333"/>
  <c r="AR120" i="333"/>
  <c r="AP120" i="333"/>
  <c r="AO120" i="333"/>
  <c r="AZ120" i="333" s="1"/>
  <c r="BA120" i="333" s="1"/>
  <c r="Y18" i="333"/>
  <c r="Z18" i="333" s="1"/>
  <c r="AR47" i="333"/>
  <c r="AR59" i="333"/>
  <c r="X88" i="333"/>
  <c r="Y97" i="333"/>
  <c r="AO108" i="333"/>
  <c r="AJ110" i="333"/>
  <c r="AK110" i="333" s="1"/>
  <c r="AL110" i="333"/>
  <c r="AM110" i="333" s="1"/>
  <c r="AJ114" i="333"/>
  <c r="AK114" i="333" s="1"/>
  <c r="Y114" i="333"/>
  <c r="AL114" i="333"/>
  <c r="AM114" i="333" s="1"/>
  <c r="BG131" i="333"/>
  <c r="Z131" i="333"/>
  <c r="AZ131" i="333" s="1"/>
  <c r="BA131" i="333" s="1"/>
  <c r="K143" i="333"/>
  <c r="AQ144" i="333"/>
  <c r="AP144" i="333"/>
  <c r="AO144" i="333"/>
  <c r="AM180" i="333"/>
  <c r="Y180" i="333"/>
  <c r="AO51" i="333"/>
  <c r="AR40" i="333"/>
  <c r="AP40" i="333"/>
  <c r="AO42" i="333"/>
  <c r="AJ48" i="333"/>
  <c r="AK48" i="333" s="1"/>
  <c r="Y49" i="333"/>
  <c r="AM54" i="333"/>
  <c r="Y55" i="333"/>
  <c r="Y64" i="333"/>
  <c r="AJ91" i="333"/>
  <c r="AK91" i="333" s="1"/>
  <c r="Y91" i="333"/>
  <c r="AL91" i="333"/>
  <c r="X97" i="333"/>
  <c r="Z98" i="333"/>
  <c r="BG98" i="333"/>
  <c r="AL99" i="333"/>
  <c r="AM99" i="333" s="1"/>
  <c r="AJ99" i="333"/>
  <c r="AK99" i="333" s="1"/>
  <c r="AU124" i="333"/>
  <c r="AU201" i="333" s="1"/>
  <c r="AR151" i="333"/>
  <c r="AO151" i="333"/>
  <c r="AP151" i="333"/>
  <c r="AQ151" i="333"/>
  <c r="AW66" i="333"/>
  <c r="X39" i="333"/>
  <c r="AD86" i="333"/>
  <c r="X70" i="333"/>
  <c r="AL72" i="333"/>
  <c r="AM72" i="333" s="1"/>
  <c r="AJ72" i="333"/>
  <c r="AK72" i="333" s="1"/>
  <c r="AJ74" i="333"/>
  <c r="AK74" i="333" s="1"/>
  <c r="AZ102" i="333"/>
  <c r="AL104" i="333"/>
  <c r="AJ104" i="333"/>
  <c r="X123" i="333"/>
  <c r="AP104" i="333"/>
  <c r="X109" i="333"/>
  <c r="AT124" i="333"/>
  <c r="AT201" i="333" s="1"/>
  <c r="AR141" i="333"/>
  <c r="AO141" i="333"/>
  <c r="AM155" i="333"/>
  <c r="X156" i="333"/>
  <c r="AL154" i="333"/>
  <c r="AM154" i="333" s="1"/>
  <c r="AM156" i="333" s="1"/>
  <c r="Y171" i="333"/>
  <c r="AL171" i="333"/>
  <c r="AM171" i="333" s="1"/>
  <c r="AR50" i="333"/>
  <c r="Y62" i="333"/>
  <c r="BG71" i="333"/>
  <c r="AJ78" i="333"/>
  <c r="AK78" i="333" s="1"/>
  <c r="Y78" i="333"/>
  <c r="AQ87" i="333"/>
  <c r="AN103" i="333"/>
  <c r="AP87" i="333"/>
  <c r="AO87" i="333"/>
  <c r="AW123" i="333"/>
  <c r="AW124" i="333" s="1"/>
  <c r="AL112" i="333"/>
  <c r="AJ112" i="333"/>
  <c r="AK112" i="333" s="1"/>
  <c r="AP126" i="333"/>
  <c r="AO126" i="333"/>
  <c r="AR126" i="333"/>
  <c r="X128" i="333"/>
  <c r="AL128" i="333" s="1"/>
  <c r="AM128" i="333" s="1"/>
  <c r="AQ80" i="333"/>
  <c r="AP80" i="333"/>
  <c r="AR80" i="333"/>
  <c r="AO80" i="333"/>
  <c r="AO106" i="333"/>
  <c r="AQ106" i="333"/>
  <c r="AL113" i="333"/>
  <c r="AJ113" i="333"/>
  <c r="AK113" i="333" s="1"/>
  <c r="Z116" i="333"/>
  <c r="BG116" i="333"/>
  <c r="BG132" i="333"/>
  <c r="Z132" i="333"/>
  <c r="AZ132" i="333" s="1"/>
  <c r="BA132" i="333"/>
  <c r="AL178" i="333"/>
  <c r="AM178" i="333" s="1"/>
  <c r="Y178" i="333"/>
  <c r="AP50" i="333"/>
  <c r="AP63" i="333"/>
  <c r="AO65" i="333"/>
  <c r="X69" i="333"/>
  <c r="AM74" i="333"/>
  <c r="Y74" i="333"/>
  <c r="AW103" i="333"/>
  <c r="X92" i="333"/>
  <c r="AP106" i="333"/>
  <c r="AP107" i="333"/>
  <c r="AR107" i="333"/>
  <c r="Y113" i="333"/>
  <c r="BG148" i="333"/>
  <c r="Z148" i="333"/>
  <c r="AZ148" i="333" s="1"/>
  <c r="BA148" i="333" s="1"/>
  <c r="AM57" i="333"/>
  <c r="AM59" i="333"/>
  <c r="AP65" i="333"/>
  <c r="W86" i="333"/>
  <c r="AO98" i="333"/>
  <c r="AR98" i="333"/>
  <c r="AQ98" i="333"/>
  <c r="AR99" i="333"/>
  <c r="AQ99" i="333"/>
  <c r="AP99" i="333"/>
  <c r="AR106" i="333"/>
  <c r="AD143" i="333"/>
  <c r="BG141" i="333"/>
  <c r="Z141" i="333"/>
  <c r="W200" i="333"/>
  <c r="X184" i="333"/>
  <c r="AO45" i="333"/>
  <c r="AP56" i="333"/>
  <c r="AM96" i="333"/>
  <c r="Y110" i="333"/>
  <c r="Y127" i="333"/>
  <c r="AM127" i="333"/>
  <c r="X159" i="333"/>
  <c r="AL159" i="333" s="1"/>
  <c r="Q161" i="333"/>
  <c r="AP160" i="333"/>
  <c r="AO160" i="333"/>
  <c r="AR56" i="333"/>
  <c r="AQ60" i="333"/>
  <c r="AP60" i="333"/>
  <c r="AO60" i="333"/>
  <c r="AL71" i="333"/>
  <c r="AM71" i="333" s="1"/>
  <c r="AL78" i="333"/>
  <c r="AM78" i="333" s="1"/>
  <c r="V124" i="333"/>
  <c r="V201" i="333" s="1"/>
  <c r="X93" i="333"/>
  <c r="Y111" i="333"/>
  <c r="AL132" i="333"/>
  <c r="AM132" i="333" s="1"/>
  <c r="AQ160" i="333"/>
  <c r="AY124" i="333"/>
  <c r="AY201" i="333" s="1"/>
  <c r="AP90" i="333"/>
  <c r="AO90" i="333"/>
  <c r="AC124" i="333"/>
  <c r="AC201" i="333" s="1"/>
  <c r="BN124" i="333"/>
  <c r="BN201" i="333" s="1"/>
  <c r="AM85" i="333"/>
  <c r="AD103" i="333"/>
  <c r="Y92" i="333"/>
  <c r="X100" i="333"/>
  <c r="AE124" i="333"/>
  <c r="AE201" i="333" s="1"/>
  <c r="AO112" i="333"/>
  <c r="AQ112" i="333"/>
  <c r="AL116" i="333"/>
  <c r="AM116" i="333" s="1"/>
  <c r="AJ116" i="333"/>
  <c r="AK116" i="333" s="1"/>
  <c r="AP116" i="333"/>
  <c r="AA124" i="333"/>
  <c r="AA201" i="333" s="1"/>
  <c r="AW161" i="333"/>
  <c r="Y190" i="333"/>
  <c r="AL177" i="333"/>
  <c r="AM177" i="333" s="1"/>
  <c r="Y177" i="333"/>
  <c r="X183" i="333"/>
  <c r="AR76" i="333"/>
  <c r="Y85" i="333"/>
  <c r="Y89" i="333"/>
  <c r="AL89" i="333"/>
  <c r="AM89" i="333" s="1"/>
  <c r="AZ89" i="333" s="1"/>
  <c r="AJ122" i="333"/>
  <c r="AK122" i="333" s="1"/>
  <c r="AL122" i="333"/>
  <c r="AM122" i="333" s="1"/>
  <c r="W135" i="333"/>
  <c r="AM141" i="333"/>
  <c r="Y21" i="333"/>
  <c r="Z21" i="333" s="1"/>
  <c r="Y24" i="333"/>
  <c r="Z24" i="333" s="1"/>
  <c r="AQ88" i="333"/>
  <c r="AP88" i="333"/>
  <c r="AO91" i="333"/>
  <c r="Y104" i="333"/>
  <c r="AJ108" i="333"/>
  <c r="AK108" i="333" s="1"/>
  <c r="AL108" i="333"/>
  <c r="AM108" i="333" s="1"/>
  <c r="AP118" i="333"/>
  <c r="AQ118" i="333"/>
  <c r="AR118" i="333"/>
  <c r="AR123" i="333" s="1"/>
  <c r="AO118" i="333"/>
  <c r="Y122" i="333"/>
  <c r="AI143" i="333"/>
  <c r="BG169" i="333"/>
  <c r="Z169" i="333"/>
  <c r="AR75" i="333"/>
  <c r="AP75" i="333"/>
  <c r="AZ75" i="333" s="1"/>
  <c r="BA75" i="333" s="1"/>
  <c r="AQ75" i="333"/>
  <c r="Y76" i="333"/>
  <c r="Y80" i="333"/>
  <c r="AD135" i="333"/>
  <c r="AQ127" i="333"/>
  <c r="AQ135" i="333" s="1"/>
  <c r="AR127" i="333"/>
  <c r="AO127" i="333"/>
  <c r="AP127" i="333"/>
  <c r="AR172" i="333"/>
  <c r="AQ172" i="333"/>
  <c r="AP172" i="333"/>
  <c r="AO172" i="333"/>
  <c r="Z191" i="333"/>
  <c r="BG191" i="333"/>
  <c r="X119" i="333"/>
  <c r="AR129" i="333"/>
  <c r="AP129" i="333"/>
  <c r="BA142" i="333"/>
  <c r="BG142" i="333"/>
  <c r="AO147" i="333"/>
  <c r="AR147" i="333"/>
  <c r="AQ147" i="333"/>
  <c r="AR194" i="333"/>
  <c r="AQ194" i="333"/>
  <c r="AO194" i="333"/>
  <c r="AP194" i="333"/>
  <c r="AM106" i="333"/>
  <c r="Y106" i="333"/>
  <c r="AN156" i="333"/>
  <c r="AR153" i="333"/>
  <c r="AR156" i="333" s="1"/>
  <c r="AQ153" i="333"/>
  <c r="AQ156" i="333" s="1"/>
  <c r="Y163" i="333"/>
  <c r="K166" i="333"/>
  <c r="AP163" i="333"/>
  <c r="AM163" i="333"/>
  <c r="AP169" i="333"/>
  <c r="AO169" i="333"/>
  <c r="AR169" i="333"/>
  <c r="AQ169" i="333"/>
  <c r="Z179" i="333"/>
  <c r="BG179" i="333"/>
  <c r="K200" i="333"/>
  <c r="AM151" i="333"/>
  <c r="AP154" i="333"/>
  <c r="AP156" i="333" s="1"/>
  <c r="Y159" i="333"/>
  <c r="AM159" i="333"/>
  <c r="AP190" i="333"/>
  <c r="AO190" i="333"/>
  <c r="AQ190" i="333"/>
  <c r="AR190" i="333"/>
  <c r="AN200" i="333"/>
  <c r="AQ70" i="333"/>
  <c r="AO70" i="333"/>
  <c r="AO71" i="333"/>
  <c r="AP81" i="333"/>
  <c r="AR81" i="333"/>
  <c r="AQ94" i="333"/>
  <c r="AP94" i="333"/>
  <c r="AR94" i="333"/>
  <c r="BA102" i="333"/>
  <c r="AQ109" i="333"/>
  <c r="AR109" i="333"/>
  <c r="AP109" i="333"/>
  <c r="AM121" i="333"/>
  <c r="AI152" i="333"/>
  <c r="Y170" i="333"/>
  <c r="AM170" i="333"/>
  <c r="Y61" i="333"/>
  <c r="AM61" i="333"/>
  <c r="AP70" i="333"/>
  <c r="AR74" i="333"/>
  <c r="AO74" i="333"/>
  <c r="AO81" i="333"/>
  <c r="AQ84" i="333"/>
  <c r="AO84" i="333"/>
  <c r="AO94" i="333"/>
  <c r="AP97" i="333"/>
  <c r="AO97" i="333"/>
  <c r="AO109" i="333"/>
  <c r="AP113" i="333"/>
  <c r="AQ113" i="333"/>
  <c r="AR113" i="333"/>
  <c r="AO113" i="333"/>
  <c r="AP114" i="333"/>
  <c r="AR114" i="333"/>
  <c r="AJ121" i="333"/>
  <c r="AK121" i="333" s="1"/>
  <c r="AL121" i="333"/>
  <c r="BG129" i="333"/>
  <c r="AD152" i="333"/>
  <c r="K161" i="333"/>
  <c r="Y157" i="333"/>
  <c r="AM179" i="333"/>
  <c r="Y81" i="333"/>
  <c r="AJ115" i="333"/>
  <c r="AK115" i="333" s="1"/>
  <c r="AL115" i="333"/>
  <c r="X137" i="333"/>
  <c r="AB152" i="333"/>
  <c r="AQ150" i="333"/>
  <c r="AO150" i="333"/>
  <c r="Y41" i="333"/>
  <c r="Y90" i="333"/>
  <c r="AO92" i="333"/>
  <c r="AQ92" i="333"/>
  <c r="O124" i="333"/>
  <c r="O201" i="333" s="1"/>
  <c r="AM113" i="333"/>
  <c r="AZ129" i="333"/>
  <c r="BA129" i="333" s="1"/>
  <c r="Y133" i="333"/>
  <c r="AM133" i="333"/>
  <c r="W166" i="333"/>
  <c r="X164" i="333"/>
  <c r="AL167" i="333"/>
  <c r="AM188" i="333"/>
  <c r="AO119" i="333"/>
  <c r="AR119" i="333"/>
  <c r="AO143" i="333"/>
  <c r="AP119" i="333"/>
  <c r="BG120" i="333"/>
  <c r="AO122" i="333"/>
  <c r="R124" i="333"/>
  <c r="R201" i="333" s="1"/>
  <c r="AR128" i="333"/>
  <c r="AQ128" i="333"/>
  <c r="AP128" i="333"/>
  <c r="Y140" i="333"/>
  <c r="AR145" i="333"/>
  <c r="AQ145" i="333"/>
  <c r="AP145" i="333"/>
  <c r="AL157" i="333"/>
  <c r="AM157" i="333" s="1"/>
  <c r="X161" i="333"/>
  <c r="X158" i="333"/>
  <c r="W161" i="333"/>
  <c r="AB200" i="333"/>
  <c r="AQ104" i="333"/>
  <c r="AN123" i="333"/>
  <c r="AP117" i="333"/>
  <c r="Y118" i="333"/>
  <c r="AQ119" i="333"/>
  <c r="AP133" i="333"/>
  <c r="AO133" i="333"/>
  <c r="AQ133" i="333"/>
  <c r="AQ143" i="333"/>
  <c r="Y138" i="333"/>
  <c r="AO145" i="333"/>
  <c r="AM150" i="333"/>
  <c r="Y150" i="333"/>
  <c r="AO154" i="333"/>
  <c r="Y176" i="333"/>
  <c r="AR93" i="333"/>
  <c r="AR103" i="333" s="1"/>
  <c r="AQ93" i="333"/>
  <c r="AQ96" i="333"/>
  <c r="AO104" i="333"/>
  <c r="AQ111" i="333"/>
  <c r="AP111" i="333"/>
  <c r="AO111" i="333"/>
  <c r="AO117" i="333"/>
  <c r="AZ117" i="333" s="1"/>
  <c r="T124" i="333"/>
  <c r="T201" i="333" s="1"/>
  <c r="AR133" i="333"/>
  <c r="AZ134" i="333"/>
  <c r="BA134" i="333" s="1"/>
  <c r="AL156" i="333"/>
  <c r="AR164" i="333"/>
  <c r="AQ164" i="333"/>
  <c r="AP164" i="333"/>
  <c r="AO164" i="333"/>
  <c r="AB174" i="333"/>
  <c r="AM172" i="333"/>
  <c r="Y172" i="333"/>
  <c r="W183" i="333"/>
  <c r="X155" i="333"/>
  <c r="AL155" i="333" s="1"/>
  <c r="X173" i="333"/>
  <c r="AO199" i="333"/>
  <c r="AR199" i="333"/>
  <c r="AP199" i="333"/>
  <c r="AR196" i="333"/>
  <c r="AR187" i="333"/>
  <c r="AR200" i="333" s="1"/>
  <c r="AQ187" i="333"/>
  <c r="AQ200" i="333" s="1"/>
  <c r="AP187" i="333"/>
  <c r="AO187" i="333"/>
  <c r="AO200" i="333" s="1"/>
  <c r="AM193" i="333"/>
  <c r="Y193" i="333"/>
  <c r="AM191" i="333"/>
  <c r="AQ195" i="333"/>
  <c r="AR195" i="333"/>
  <c r="AP195" i="333"/>
  <c r="AR157" i="333"/>
  <c r="AR161" i="333" s="1"/>
  <c r="AQ157" i="333"/>
  <c r="AP157" i="333"/>
  <c r="AN161" i="333"/>
  <c r="AM160" i="333"/>
  <c r="Y160" i="333"/>
  <c r="AO195" i="333"/>
  <c r="Y181" i="333"/>
  <c r="AM175" i="333"/>
  <c r="AM183" i="333" s="1"/>
  <c r="K183" i="333"/>
  <c r="X188" i="333"/>
  <c r="AL188" i="333" s="1"/>
  <c r="X192" i="333"/>
  <c r="AM91" i="333"/>
  <c r="AO159" i="333"/>
  <c r="AO161" i="333" s="1"/>
  <c r="AW166" i="333"/>
  <c r="AR167" i="333"/>
  <c r="AO167" i="333"/>
  <c r="Y168" i="333"/>
  <c r="AL183" i="333"/>
  <c r="X189" i="333"/>
  <c r="AL189" i="333" s="1"/>
  <c r="AM189" i="333" s="1"/>
  <c r="Y165" i="333"/>
  <c r="Y175" i="333"/>
  <c r="Z195" i="333"/>
  <c r="AZ195" i="333" s="1"/>
  <c r="BA195" i="333" s="1"/>
  <c r="BG195" i="333"/>
  <c r="Y153" i="333"/>
  <c r="Q166" i="333"/>
  <c r="X136" i="333"/>
  <c r="Q143" i="333"/>
  <c r="Q156" i="333"/>
  <c r="AO170" i="333"/>
  <c r="AP173" i="333"/>
  <c r="AO173" i="333"/>
  <c r="Z185" i="333"/>
  <c r="BG186" i="333"/>
  <c r="BA186" i="333"/>
  <c r="AQ188" i="333"/>
  <c r="AP188" i="333"/>
  <c r="AP192" i="333"/>
  <c r="AO192" i="333"/>
  <c r="Y83" i="333"/>
  <c r="W156" i="333"/>
  <c r="X162" i="333"/>
  <c r="AP170" i="333"/>
  <c r="AQ173" i="333"/>
  <c r="AQ175" i="333"/>
  <c r="AQ183" i="333" s="1"/>
  <c r="AP175" i="333"/>
  <c r="AP183" i="333" s="1"/>
  <c r="AO188" i="333"/>
  <c r="AQ192" i="333"/>
  <c r="Y198" i="333"/>
  <c r="X144" i="333"/>
  <c r="AR144" i="333" s="1"/>
  <c r="AR152" i="333" s="1"/>
  <c r="X146" i="333"/>
  <c r="Q183" i="333"/>
  <c r="AD200" i="333"/>
  <c r="AR193" i="333"/>
  <c r="AQ193" i="333"/>
  <c r="AO193" i="333"/>
  <c r="AX166" i="333"/>
  <c r="Y197" i="333"/>
  <c r="X197" i="333"/>
  <c r="AL197" i="333" s="1"/>
  <c r="AM197" i="333" s="1"/>
  <c r="AP185" i="333"/>
  <c r="X196" i="333"/>
  <c r="AL196" i="333" s="1"/>
  <c r="AM196" i="333" s="1"/>
  <c r="AI156" i="333"/>
  <c r="AR171" i="333"/>
  <c r="AQ191" i="333"/>
  <c r="X194" i="333"/>
  <c r="AL194" i="333" s="1"/>
  <c r="AM194" i="333" s="1"/>
  <c r="AO171" i="333"/>
  <c r="Y22" i="329"/>
  <c r="W22" i="329"/>
  <c r="U22" i="329"/>
  <c r="Y45" i="329"/>
  <c r="U45" i="329"/>
  <c r="V45" i="329" s="1"/>
  <c r="X45" i="329" s="1"/>
  <c r="W45" i="329"/>
  <c r="Y69" i="329"/>
  <c r="V69" i="329"/>
  <c r="X69" i="329" s="1"/>
  <c r="U69" i="329"/>
  <c r="W69" i="329"/>
  <c r="Y25" i="329"/>
  <c r="U25" i="329"/>
  <c r="V25" i="329" s="1"/>
  <c r="X25" i="329" s="1"/>
  <c r="W25" i="329"/>
  <c r="Y23" i="329"/>
  <c r="U23" i="329"/>
  <c r="Y19" i="329"/>
  <c r="W19" i="329"/>
  <c r="V19" i="329"/>
  <c r="X19" i="329" s="1"/>
  <c r="U19" i="329"/>
  <c r="Y20" i="329"/>
  <c r="W20" i="329"/>
  <c r="U20" i="329"/>
  <c r="V20" i="329" s="1"/>
  <c r="X20" i="329" s="1"/>
  <c r="Y21" i="329"/>
  <c r="W21" i="329"/>
  <c r="U21" i="329"/>
  <c r="Y73" i="329"/>
  <c r="U73" i="329"/>
  <c r="X73" i="329" s="1"/>
  <c r="W73" i="329"/>
  <c r="V73" i="329"/>
  <c r="S39" i="329"/>
  <c r="U47" i="329"/>
  <c r="V47" i="329" s="1"/>
  <c r="W47" i="329"/>
  <c r="AD50" i="329"/>
  <c r="AA50" i="329"/>
  <c r="Y121" i="330"/>
  <c r="W121" i="330"/>
  <c r="U121" i="330"/>
  <c r="Z17" i="329"/>
  <c r="Y24" i="329"/>
  <c r="X24" i="329"/>
  <c r="U24" i="329"/>
  <c r="Z63" i="329"/>
  <c r="T63" i="329"/>
  <c r="J63" i="329"/>
  <c r="S63" i="329" s="1"/>
  <c r="W108" i="329"/>
  <c r="Y108" i="329"/>
  <c r="V108" i="329"/>
  <c r="X108" i="329" s="1"/>
  <c r="AE93" i="330"/>
  <c r="AC93" i="330"/>
  <c r="J17" i="329"/>
  <c r="V24" i="329"/>
  <c r="Y44" i="329"/>
  <c r="U44" i="329"/>
  <c r="V44" i="329" s="1"/>
  <c r="X44" i="329" s="1"/>
  <c r="Z54" i="329"/>
  <c r="T54" i="329"/>
  <c r="J54" i="329"/>
  <c r="S54" i="329" s="1"/>
  <c r="Z64" i="329"/>
  <c r="J64" i="329"/>
  <c r="S64" i="329" s="1"/>
  <c r="Y87" i="329"/>
  <c r="W87" i="329"/>
  <c r="U87" i="329"/>
  <c r="J160" i="329"/>
  <c r="S160" i="329" s="1"/>
  <c r="T160" i="329"/>
  <c r="Z160" i="329"/>
  <c r="V228" i="329"/>
  <c r="Y228" i="329"/>
  <c r="W228" i="329"/>
  <c r="U228" i="329"/>
  <c r="X228" i="329" s="1"/>
  <c r="W24" i="329"/>
  <c r="AD34" i="329"/>
  <c r="Y47" i="329"/>
  <c r="T64" i="329"/>
  <c r="Y31" i="329"/>
  <c r="W31" i="329"/>
  <c r="U31" i="329"/>
  <c r="V31" i="329" s="1"/>
  <c r="T51" i="329"/>
  <c r="Z55" i="329"/>
  <c r="T55" i="329"/>
  <c r="W91" i="329"/>
  <c r="V91" i="329" s="1"/>
  <c r="X91" i="329" s="1"/>
  <c r="Y91" i="329"/>
  <c r="U91" i="329"/>
  <c r="J75" i="330"/>
  <c r="S75" i="330" s="1"/>
  <c r="T75" i="330" s="1"/>
  <c r="Z75" i="330"/>
  <c r="J55" i="329"/>
  <c r="S55" i="329" s="1"/>
  <c r="W118" i="329"/>
  <c r="Y118" i="329"/>
  <c r="V118" i="329"/>
  <c r="X118" i="329" s="1"/>
  <c r="U118" i="329"/>
  <c r="U156" i="329"/>
  <c r="Y156" i="329"/>
  <c r="W156" i="329"/>
  <c r="Y193" i="329"/>
  <c r="W193" i="329"/>
  <c r="V193" i="329"/>
  <c r="U193" i="329"/>
  <c r="X193" i="329"/>
  <c r="W29" i="329"/>
  <c r="U29" i="329"/>
  <c r="Y29" i="329"/>
  <c r="J36" i="329"/>
  <c r="S36" i="329" s="1"/>
  <c r="T36" i="329" s="1"/>
  <c r="Z36" i="329"/>
  <c r="Y78" i="329"/>
  <c r="W78" i="329"/>
  <c r="U78" i="329"/>
  <c r="V78" i="329" s="1"/>
  <c r="X78" i="329" s="1"/>
  <c r="W85" i="329"/>
  <c r="V85" i="329"/>
  <c r="U85" i="329"/>
  <c r="Y85" i="329"/>
  <c r="W111" i="329"/>
  <c r="Y111" i="329"/>
  <c r="U111" i="329"/>
  <c r="V111" i="329" s="1"/>
  <c r="X111" i="329" s="1"/>
  <c r="J35" i="329"/>
  <c r="S35" i="329" s="1"/>
  <c r="Z35" i="329"/>
  <c r="T35" i="329"/>
  <c r="Y70" i="329"/>
  <c r="W70" i="329"/>
  <c r="U70" i="329"/>
  <c r="Y166" i="329"/>
  <c r="U166" i="329"/>
  <c r="W166" i="329"/>
  <c r="V166" i="329" s="1"/>
  <c r="X166" i="329" s="1"/>
  <c r="Z212" i="329"/>
  <c r="I216" i="329"/>
  <c r="J212" i="329"/>
  <c r="S212" i="329" s="1"/>
  <c r="T212" i="329" s="1"/>
  <c r="Y40" i="330"/>
  <c r="U40" i="330"/>
  <c r="V40" i="330" s="1"/>
  <c r="W40" i="330"/>
  <c r="Z42" i="329"/>
  <c r="J42" i="329"/>
  <c r="S42" i="329" s="1"/>
  <c r="T42" i="329" s="1"/>
  <c r="X85" i="329"/>
  <c r="Y104" i="329"/>
  <c r="W104" i="329"/>
  <c r="U104" i="329"/>
  <c r="Y147" i="329"/>
  <c r="W147" i="329"/>
  <c r="V147" i="329" s="1"/>
  <c r="X147" i="329" s="1"/>
  <c r="AD80" i="329"/>
  <c r="AA80" i="329"/>
  <c r="W49" i="329"/>
  <c r="U49" i="329"/>
  <c r="V49" i="329" s="1"/>
  <c r="X49" i="329" s="1"/>
  <c r="Y49" i="329"/>
  <c r="Z57" i="329"/>
  <c r="J57" i="329"/>
  <c r="S57" i="329" s="1"/>
  <c r="T57" i="329"/>
  <c r="Y89" i="329"/>
  <c r="U89" i="329"/>
  <c r="W89" i="329"/>
  <c r="AE92" i="329"/>
  <c r="AC92" i="329"/>
  <c r="Z67" i="329"/>
  <c r="T67" i="329"/>
  <c r="J67" i="329"/>
  <c r="S67" i="329" s="1"/>
  <c r="Y79" i="329"/>
  <c r="U79" i="329"/>
  <c r="W28" i="330"/>
  <c r="U28" i="330"/>
  <c r="Y28" i="330"/>
  <c r="I37" i="329"/>
  <c r="Y43" i="329"/>
  <c r="W43" i="329"/>
  <c r="Z68" i="329"/>
  <c r="M68" i="329"/>
  <c r="M123" i="329" s="1"/>
  <c r="J68" i="329"/>
  <c r="S68" i="329" s="1"/>
  <c r="T68" i="329" s="1"/>
  <c r="W79" i="329"/>
  <c r="W178" i="330"/>
  <c r="Y178" i="330"/>
  <c r="U178" i="330"/>
  <c r="V178" i="330" s="1"/>
  <c r="U30" i="329"/>
  <c r="X30" i="329" s="1"/>
  <c r="W30" i="329"/>
  <c r="V30" i="329" s="1"/>
  <c r="U43" i="329"/>
  <c r="X43" i="329" s="1"/>
  <c r="V76" i="329"/>
  <c r="Y76" i="329"/>
  <c r="Y93" i="329"/>
  <c r="W93" i="329"/>
  <c r="U93" i="329"/>
  <c r="V93" i="329" s="1"/>
  <c r="J115" i="329"/>
  <c r="S115" i="329" s="1"/>
  <c r="T115" i="329" s="1"/>
  <c r="Z102" i="329"/>
  <c r="T102" i="329"/>
  <c r="J102" i="329"/>
  <c r="S102" i="329" s="1"/>
  <c r="AD171" i="329"/>
  <c r="AD172" i="329" s="1"/>
  <c r="AA171" i="329"/>
  <c r="Y172" i="329"/>
  <c r="Y30" i="329"/>
  <c r="I123" i="329"/>
  <c r="Z39" i="329"/>
  <c r="T39" i="329"/>
  <c r="V43" i="329"/>
  <c r="U50" i="329"/>
  <c r="W50" i="329"/>
  <c r="Y53" i="329"/>
  <c r="W53" i="329"/>
  <c r="U53" i="329"/>
  <c r="V53" i="329" s="1"/>
  <c r="X53" i="329" s="1"/>
  <c r="U76" i="329"/>
  <c r="X76" i="329" s="1"/>
  <c r="W90" i="329"/>
  <c r="U90" i="329"/>
  <c r="X90" i="329" s="1"/>
  <c r="Y90" i="329"/>
  <c r="V90" i="329"/>
  <c r="Z98" i="329"/>
  <c r="J98" i="329"/>
  <c r="S98" i="329" s="1"/>
  <c r="T98" i="329" s="1"/>
  <c r="Y163" i="329"/>
  <c r="W163" i="329"/>
  <c r="V163" i="329" s="1"/>
  <c r="X163" i="329" s="1"/>
  <c r="U163" i="329"/>
  <c r="Z55" i="330"/>
  <c r="T55" i="330"/>
  <c r="J55" i="330"/>
  <c r="S55" i="330" s="1"/>
  <c r="U150" i="329"/>
  <c r="Y150" i="329"/>
  <c r="W150" i="329"/>
  <c r="V150" i="329" s="1"/>
  <c r="X150" i="329" s="1"/>
  <c r="T157" i="329"/>
  <c r="Z157" i="329"/>
  <c r="V189" i="329"/>
  <c r="Y189" i="329"/>
  <c r="W189" i="329"/>
  <c r="U189" i="329"/>
  <c r="X189" i="329" s="1"/>
  <c r="J18" i="329"/>
  <c r="S18" i="329" s="1"/>
  <c r="T18" i="329" s="1"/>
  <c r="J41" i="329"/>
  <c r="S41" i="329" s="1"/>
  <c r="T41" i="329" s="1"/>
  <c r="J72" i="329"/>
  <c r="S72" i="329" s="1"/>
  <c r="T72" i="329" s="1"/>
  <c r="U82" i="329"/>
  <c r="J157" i="329"/>
  <c r="S157" i="329" s="1"/>
  <c r="AD202" i="329"/>
  <c r="AA202" i="329"/>
  <c r="Y208" i="329"/>
  <c r="W208" i="329"/>
  <c r="U208" i="329"/>
  <c r="Y54" i="330"/>
  <c r="X54" i="330"/>
  <c r="V54" i="330"/>
  <c r="U54" i="330"/>
  <c r="W54" i="330"/>
  <c r="T100" i="330"/>
  <c r="J100" i="330"/>
  <c r="S100" i="330" s="1"/>
  <c r="Z100" i="330"/>
  <c r="AA110" i="330"/>
  <c r="J118" i="330"/>
  <c r="S118" i="330" s="1"/>
  <c r="T118" i="330" s="1"/>
  <c r="W161" i="329"/>
  <c r="V161" i="329"/>
  <c r="X161" i="329" s="1"/>
  <c r="Y161" i="329"/>
  <c r="U161" i="329"/>
  <c r="AD225" i="329"/>
  <c r="AA225" i="329"/>
  <c r="Z63" i="330"/>
  <c r="J63" i="330"/>
  <c r="S63" i="330" s="1"/>
  <c r="T63" i="330" s="1"/>
  <c r="T40" i="329"/>
  <c r="Z46" i="329"/>
  <c r="T56" i="329"/>
  <c r="J75" i="329"/>
  <c r="S75" i="329" s="1"/>
  <c r="T75" i="329" s="1"/>
  <c r="Z75" i="329"/>
  <c r="Y82" i="329"/>
  <c r="U84" i="329"/>
  <c r="V84" i="329" s="1"/>
  <c r="Y84" i="329"/>
  <c r="Y97" i="329"/>
  <c r="W97" i="329"/>
  <c r="V97" i="329"/>
  <c r="U97" i="329"/>
  <c r="X97" i="329" s="1"/>
  <c r="J100" i="329"/>
  <c r="S100" i="329" s="1"/>
  <c r="W33" i="330"/>
  <c r="Y33" i="330"/>
  <c r="U33" i="330"/>
  <c r="U82" i="330"/>
  <c r="Y82" i="330"/>
  <c r="V95" i="329"/>
  <c r="U95" i="329"/>
  <c r="X95" i="329" s="1"/>
  <c r="Y95" i="329"/>
  <c r="Y126" i="329"/>
  <c r="U126" i="329"/>
  <c r="Z142" i="330"/>
  <c r="T142" i="330"/>
  <c r="J71" i="329"/>
  <c r="S71" i="329" s="1"/>
  <c r="T71" i="329" s="1"/>
  <c r="W84" i="329"/>
  <c r="T100" i="329"/>
  <c r="W126" i="329"/>
  <c r="Y222" i="329"/>
  <c r="W222" i="329"/>
  <c r="U222" i="329"/>
  <c r="V222" i="329" s="1"/>
  <c r="X222" i="329" s="1"/>
  <c r="W82" i="330"/>
  <c r="Y214" i="329"/>
  <c r="W214" i="329"/>
  <c r="U214" i="329"/>
  <c r="V214" i="329" s="1"/>
  <c r="Z58" i="330"/>
  <c r="T33" i="329"/>
  <c r="U34" i="329"/>
  <c r="J51" i="329"/>
  <c r="S51" i="329" s="1"/>
  <c r="U81" i="329"/>
  <c r="Z103" i="329"/>
  <c r="J103" i="329"/>
  <c r="S103" i="329" s="1"/>
  <c r="W112" i="329"/>
  <c r="W155" i="329"/>
  <c r="U155" i="329"/>
  <c r="V155" i="329" s="1"/>
  <c r="AE226" i="329"/>
  <c r="AC226" i="329"/>
  <c r="W34" i="330"/>
  <c r="Y34" i="330"/>
  <c r="U34" i="330"/>
  <c r="J58" i="330"/>
  <c r="S58" i="330" s="1"/>
  <c r="T58" i="330" s="1"/>
  <c r="Y113" i="330"/>
  <c r="W113" i="330"/>
  <c r="U113" i="330"/>
  <c r="V113" i="330" s="1"/>
  <c r="X113" i="330" s="1"/>
  <c r="W166" i="330"/>
  <c r="Y166" i="330"/>
  <c r="U166" i="330"/>
  <c r="Y132" i="330"/>
  <c r="W132" i="330"/>
  <c r="U132" i="330"/>
  <c r="V132" i="330" s="1"/>
  <c r="T32" i="329"/>
  <c r="T52" i="329"/>
  <c r="J61" i="329"/>
  <c r="S61" i="329" s="1"/>
  <c r="T61" i="329" s="1"/>
  <c r="T62" i="329"/>
  <c r="J66" i="329"/>
  <c r="S66" i="329" s="1"/>
  <c r="T66" i="329" s="1"/>
  <c r="W81" i="329"/>
  <c r="W86" i="329"/>
  <c r="U86" i="329"/>
  <c r="T103" i="329"/>
  <c r="S130" i="329"/>
  <c r="Y155" i="329"/>
  <c r="Y162" i="329"/>
  <c r="W162" i="329"/>
  <c r="V162" i="329" s="1"/>
  <c r="X162" i="329" s="1"/>
  <c r="Y107" i="330"/>
  <c r="W107" i="330"/>
  <c r="V107" i="330"/>
  <c r="U107" i="330"/>
  <c r="X107" i="330" s="1"/>
  <c r="W34" i="329"/>
  <c r="Y88" i="329"/>
  <c r="W88" i="329"/>
  <c r="V88" i="329"/>
  <c r="X88" i="329" s="1"/>
  <c r="T117" i="329"/>
  <c r="Y120" i="329"/>
  <c r="W120" i="329"/>
  <c r="U120" i="329"/>
  <c r="V120" i="329" s="1"/>
  <c r="X120" i="329" s="1"/>
  <c r="Z183" i="329"/>
  <c r="M183" i="329"/>
  <c r="J183" i="329"/>
  <c r="S183" i="329" s="1"/>
  <c r="T183" i="329" s="1"/>
  <c r="AD223" i="329"/>
  <c r="AA223" i="329"/>
  <c r="AD226" i="329"/>
  <c r="Z23" i="330"/>
  <c r="J23" i="330"/>
  <c r="S23" i="330" s="1"/>
  <c r="T23" i="330" s="1"/>
  <c r="J48" i="329"/>
  <c r="S48" i="329" s="1"/>
  <c r="T48" i="329" s="1"/>
  <c r="J60" i="329"/>
  <c r="S60" i="329" s="1"/>
  <c r="J74" i="329"/>
  <c r="S74" i="329" s="1"/>
  <c r="T74" i="329" s="1"/>
  <c r="Y81" i="329"/>
  <c r="U88" i="329"/>
  <c r="Z138" i="329"/>
  <c r="J138" i="329"/>
  <c r="S138" i="329" s="1"/>
  <c r="T138" i="329" s="1"/>
  <c r="Z184" i="329"/>
  <c r="J184" i="329"/>
  <c r="S184" i="329" s="1"/>
  <c r="T184" i="329" s="1"/>
  <c r="Z197" i="329"/>
  <c r="J197" i="329"/>
  <c r="S197" i="329" s="1"/>
  <c r="T197" i="329" s="1"/>
  <c r="Z231" i="329"/>
  <c r="I232" i="329"/>
  <c r="J231" i="329"/>
  <c r="S231" i="329" s="1"/>
  <c r="T231" i="329" s="1"/>
  <c r="Z157" i="330"/>
  <c r="T157" i="330"/>
  <c r="Y77" i="329"/>
  <c r="W77" i="329"/>
  <c r="U83" i="329"/>
  <c r="J101" i="329"/>
  <c r="S101" i="329" s="1"/>
  <c r="T101" i="329" s="1"/>
  <c r="Y191" i="329"/>
  <c r="W191" i="329"/>
  <c r="V191" i="329"/>
  <c r="W31" i="330"/>
  <c r="Y31" i="330"/>
  <c r="AD80" i="330"/>
  <c r="AA80" i="330"/>
  <c r="Z103" i="330"/>
  <c r="J103" i="330"/>
  <c r="S103" i="330" s="1"/>
  <c r="T103" i="330"/>
  <c r="Z162" i="330"/>
  <c r="J162" i="330"/>
  <c r="S162" i="330" s="1"/>
  <c r="T162" i="330" s="1"/>
  <c r="Z34" i="329"/>
  <c r="AA34" i="329" s="1"/>
  <c r="J46" i="329"/>
  <c r="S46" i="329" s="1"/>
  <c r="T46" i="329" s="1"/>
  <c r="J59" i="329"/>
  <c r="S59" i="329" s="1"/>
  <c r="T60" i="329"/>
  <c r="J65" i="329"/>
  <c r="S65" i="329" s="1"/>
  <c r="T65" i="329" s="1"/>
  <c r="U77" i="329"/>
  <c r="V77" i="329" s="1"/>
  <c r="X77" i="329" s="1"/>
  <c r="V80" i="329"/>
  <c r="V83" i="329"/>
  <c r="X83" i="329" s="1"/>
  <c r="AC86" i="329"/>
  <c r="W92" i="329"/>
  <c r="V92" i="329" s="1"/>
  <c r="V94" i="329"/>
  <c r="W96" i="329"/>
  <c r="U96" i="329"/>
  <c r="U191" i="329"/>
  <c r="AE200" i="329"/>
  <c r="AC200" i="329"/>
  <c r="AB200" i="329"/>
  <c r="AF200" i="329" s="1"/>
  <c r="U31" i="330"/>
  <c r="V31" i="330" s="1"/>
  <c r="X31" i="330" s="1"/>
  <c r="Y112" i="329"/>
  <c r="V112" i="329"/>
  <c r="U112" i="329"/>
  <c r="X112" i="329" s="1"/>
  <c r="T27" i="329"/>
  <c r="Z33" i="329"/>
  <c r="W80" i="329"/>
  <c r="W83" i="329"/>
  <c r="AD86" i="329"/>
  <c r="X92" i="329"/>
  <c r="X94" i="329"/>
  <c r="Y96" i="329"/>
  <c r="Z99" i="329"/>
  <c r="J99" i="329"/>
  <c r="S99" i="329" s="1"/>
  <c r="T99" i="329" s="1"/>
  <c r="J107" i="329"/>
  <c r="S107" i="329" s="1"/>
  <c r="T107" i="329" s="1"/>
  <c r="I128" i="329"/>
  <c r="Z125" i="329"/>
  <c r="Z128" i="329" s="1"/>
  <c r="J125" i="329"/>
  <c r="Y153" i="329"/>
  <c r="W153" i="329"/>
  <c r="U153" i="329"/>
  <c r="T172" i="329"/>
  <c r="W171" i="329"/>
  <c r="W172" i="329" s="1"/>
  <c r="U171" i="329"/>
  <c r="U172" i="329" s="1"/>
  <c r="Q233" i="329"/>
  <c r="X191" i="329"/>
  <c r="V207" i="329"/>
  <c r="Y207" i="329"/>
  <c r="W207" i="329"/>
  <c r="U207" i="329"/>
  <c r="X207" i="329" s="1"/>
  <c r="Y60" i="330"/>
  <c r="U60" i="330"/>
  <c r="W60" i="330"/>
  <c r="T28" i="329"/>
  <c r="T26" i="329"/>
  <c r="Z32" i="329"/>
  <c r="J58" i="329"/>
  <c r="S58" i="329" s="1"/>
  <c r="T58" i="329" s="1"/>
  <c r="T59" i="329"/>
  <c r="P123" i="329"/>
  <c r="X80" i="329"/>
  <c r="Y83" i="329"/>
  <c r="AE86" i="329"/>
  <c r="Y94" i="329"/>
  <c r="Z101" i="329"/>
  <c r="Z149" i="329"/>
  <c r="T149" i="329"/>
  <c r="S151" i="329"/>
  <c r="AA177" i="329"/>
  <c r="AD95" i="330"/>
  <c r="AA95" i="330"/>
  <c r="V153" i="330"/>
  <c r="X153" i="330" s="1"/>
  <c r="Y153" i="330"/>
  <c r="W186" i="330"/>
  <c r="V186" i="330" s="1"/>
  <c r="X186" i="330" s="1"/>
  <c r="U186" i="330"/>
  <c r="Y186" i="330"/>
  <c r="J144" i="329"/>
  <c r="S144" i="329" s="1"/>
  <c r="Z144" i="329"/>
  <c r="T164" i="329"/>
  <c r="T210" i="329"/>
  <c r="Z20" i="330"/>
  <c r="J20" i="330"/>
  <c r="S20" i="330" s="1"/>
  <c r="T20" i="330" s="1"/>
  <c r="Z24" i="330"/>
  <c r="T24" i="330"/>
  <c r="J24" i="330"/>
  <c r="S24" i="330" s="1"/>
  <c r="AD106" i="330"/>
  <c r="AA106" i="330"/>
  <c r="Y122" i="330"/>
  <c r="W122" i="330"/>
  <c r="U122" i="330"/>
  <c r="S126" i="330"/>
  <c r="S128" i="330" s="1"/>
  <c r="J128" i="330"/>
  <c r="W146" i="330"/>
  <c r="Y146" i="330"/>
  <c r="U146" i="330"/>
  <c r="V146" i="330" s="1"/>
  <c r="X146" i="330" s="1"/>
  <c r="T110" i="329"/>
  <c r="Y127" i="329"/>
  <c r="U127" i="329"/>
  <c r="T142" i="329"/>
  <c r="Z142" i="329"/>
  <c r="T144" i="329"/>
  <c r="T112" i="330"/>
  <c r="J112" i="330"/>
  <c r="S112" i="330" s="1"/>
  <c r="T174" i="330"/>
  <c r="J110" i="329"/>
  <c r="S110" i="329" s="1"/>
  <c r="J114" i="329"/>
  <c r="S114" i="329" s="1"/>
  <c r="T114" i="329" s="1"/>
  <c r="T134" i="329"/>
  <c r="J142" i="329"/>
  <c r="S142" i="329" s="1"/>
  <c r="Y198" i="329"/>
  <c r="W198" i="329"/>
  <c r="V198" i="329" s="1"/>
  <c r="X198" i="329" s="1"/>
  <c r="Z204" i="329"/>
  <c r="T204" i="329"/>
  <c r="Z21" i="330"/>
  <c r="T21" i="330"/>
  <c r="J70" i="330"/>
  <c r="S70" i="330" s="1"/>
  <c r="T70" i="330" s="1"/>
  <c r="Z70" i="330"/>
  <c r="Z134" i="330"/>
  <c r="I168" i="330"/>
  <c r="J134" i="330"/>
  <c r="S134" i="330" s="1"/>
  <c r="T134" i="330" s="1"/>
  <c r="T106" i="329"/>
  <c r="T122" i="329"/>
  <c r="W127" i="329"/>
  <c r="U159" i="329"/>
  <c r="Y159" i="329"/>
  <c r="Y181" i="329"/>
  <c r="W181" i="329"/>
  <c r="V181" i="329" s="1"/>
  <c r="X181" i="329" s="1"/>
  <c r="U181" i="329"/>
  <c r="L233" i="329"/>
  <c r="I37" i="330"/>
  <c r="Y104" i="330"/>
  <c r="W104" i="330"/>
  <c r="U104" i="330"/>
  <c r="Z216" i="330"/>
  <c r="M199" i="330"/>
  <c r="J199" i="330"/>
  <c r="S199" i="330" s="1"/>
  <c r="T199" i="330" s="1"/>
  <c r="Z199" i="330"/>
  <c r="U210" i="330"/>
  <c r="V210" i="330" s="1"/>
  <c r="J119" i="329"/>
  <c r="S119" i="329" s="1"/>
  <c r="T119" i="329"/>
  <c r="J131" i="329"/>
  <c r="S131" i="329" s="1"/>
  <c r="T131" i="329" s="1"/>
  <c r="I168" i="329"/>
  <c r="Y146" i="329"/>
  <c r="U146" i="329"/>
  <c r="Z152" i="329"/>
  <c r="J152" i="329"/>
  <c r="S152" i="329" s="1"/>
  <c r="T152" i="329" s="1"/>
  <c r="Z195" i="329"/>
  <c r="Z66" i="330"/>
  <c r="J66" i="330"/>
  <c r="S66" i="330" s="1"/>
  <c r="J114" i="330"/>
  <c r="S114" i="330" s="1"/>
  <c r="T114" i="330" s="1"/>
  <c r="J109" i="329"/>
  <c r="S109" i="329" s="1"/>
  <c r="T109" i="329" s="1"/>
  <c r="J116" i="329"/>
  <c r="S116" i="329" s="1"/>
  <c r="T116" i="329" s="1"/>
  <c r="Z134" i="329"/>
  <c r="V146" i="329"/>
  <c r="W159" i="329"/>
  <c r="Z165" i="329"/>
  <c r="T165" i="329"/>
  <c r="T174" i="329"/>
  <c r="Z185" i="329"/>
  <c r="J195" i="329"/>
  <c r="S195" i="329" s="1"/>
  <c r="T195" i="329" s="1"/>
  <c r="J218" i="329"/>
  <c r="Z218" i="329"/>
  <c r="Z219" i="329" s="1"/>
  <c r="I219" i="329"/>
  <c r="N233" i="329"/>
  <c r="Y163" i="330"/>
  <c r="U163" i="330"/>
  <c r="V163" i="330"/>
  <c r="X163" i="330" s="1"/>
  <c r="Y206" i="330"/>
  <c r="W206" i="330"/>
  <c r="U206" i="330"/>
  <c r="V206" i="330" s="1"/>
  <c r="X206" i="330" s="1"/>
  <c r="W210" i="330"/>
  <c r="T113" i="329"/>
  <c r="J143" i="329"/>
  <c r="S143" i="329" s="1"/>
  <c r="T143" i="329" s="1"/>
  <c r="W146" i="329"/>
  <c r="J165" i="329"/>
  <c r="S165" i="329" s="1"/>
  <c r="W176" i="329"/>
  <c r="U176" i="329"/>
  <c r="V176" i="329" s="1"/>
  <c r="X176" i="329" s="1"/>
  <c r="Y176" i="329"/>
  <c r="J185" i="329"/>
  <c r="S185" i="329" s="1"/>
  <c r="T185" i="329" s="1"/>
  <c r="Z215" i="329"/>
  <c r="J215" i="329"/>
  <c r="S215" i="329" s="1"/>
  <c r="T215" i="329" s="1"/>
  <c r="T230" i="329"/>
  <c r="Z230" i="329"/>
  <c r="J230" i="329"/>
  <c r="S230" i="329" s="1"/>
  <c r="Z26" i="330"/>
  <c r="J26" i="330"/>
  <c r="S26" i="330" s="1"/>
  <c r="T26" i="330" s="1"/>
  <c r="T66" i="330"/>
  <c r="U86" i="330"/>
  <c r="Y86" i="330"/>
  <c r="Y120" i="330"/>
  <c r="X120" i="330"/>
  <c r="W120" i="330"/>
  <c r="U120" i="330"/>
  <c r="V120" i="330"/>
  <c r="Z136" i="330"/>
  <c r="T136" i="330"/>
  <c r="U148" i="330"/>
  <c r="V148" i="330" s="1"/>
  <c r="X148" i="330" s="1"/>
  <c r="Y148" i="330"/>
  <c r="Y210" i="330"/>
  <c r="T139" i="329"/>
  <c r="Z139" i="329"/>
  <c r="P168" i="329"/>
  <c r="P233" i="329" s="1"/>
  <c r="X146" i="329"/>
  <c r="T148" i="329"/>
  <c r="J154" i="329"/>
  <c r="S154" i="329" s="1"/>
  <c r="T154" i="329" s="1"/>
  <c r="Z154" i="329"/>
  <c r="Z182" i="329"/>
  <c r="M182" i="329"/>
  <c r="Y188" i="329"/>
  <c r="W199" i="329"/>
  <c r="Y199" i="329"/>
  <c r="U199" i="329"/>
  <c r="V223" i="329"/>
  <c r="X223" i="329" s="1"/>
  <c r="Z73" i="330"/>
  <c r="J73" i="330"/>
  <c r="S73" i="330" s="1"/>
  <c r="T73" i="330" s="1"/>
  <c r="X76" i="330"/>
  <c r="V76" i="330"/>
  <c r="U76" i="330"/>
  <c r="W76" i="330"/>
  <c r="U89" i="330"/>
  <c r="V89" i="330" s="1"/>
  <c r="X89" i="330" s="1"/>
  <c r="Y89" i="330"/>
  <c r="Y101" i="330"/>
  <c r="W101" i="330"/>
  <c r="U101" i="330"/>
  <c r="V101" i="330" s="1"/>
  <c r="W110" i="330"/>
  <c r="U110" i="330"/>
  <c r="V110" i="330" s="1"/>
  <c r="X110" i="330" s="1"/>
  <c r="AC131" i="330"/>
  <c r="AE131" i="330"/>
  <c r="Y144" i="330"/>
  <c r="W144" i="330"/>
  <c r="V144" i="330" s="1"/>
  <c r="U144" i="330"/>
  <c r="T155" i="330"/>
  <c r="J155" i="330"/>
  <c r="S155" i="330" s="1"/>
  <c r="Z155" i="330"/>
  <c r="W196" i="330"/>
  <c r="U196" i="330"/>
  <c r="J105" i="329"/>
  <c r="S105" i="329" s="1"/>
  <c r="T105" i="329" s="1"/>
  <c r="J121" i="329"/>
  <c r="S121" i="329" s="1"/>
  <c r="T121" i="329" s="1"/>
  <c r="Z131" i="329"/>
  <c r="Z168" i="329" s="1"/>
  <c r="T133" i="329"/>
  <c r="Z133" i="329"/>
  <c r="J139" i="329"/>
  <c r="S139" i="329" s="1"/>
  <c r="S145" i="329"/>
  <c r="T145" i="329" s="1"/>
  <c r="Z148" i="329"/>
  <c r="J182" i="329"/>
  <c r="S182" i="329" s="1"/>
  <c r="T182" i="329" s="1"/>
  <c r="U188" i="329"/>
  <c r="X188" i="329" s="1"/>
  <c r="J206" i="329"/>
  <c r="S206" i="329" s="1"/>
  <c r="T206" i="329" s="1"/>
  <c r="U223" i="329"/>
  <c r="U225" i="329"/>
  <c r="Z57" i="330"/>
  <c r="T57" i="330"/>
  <c r="Y76" i="330"/>
  <c r="W89" i="330"/>
  <c r="AB131" i="330"/>
  <c r="AF131" i="330" s="1"/>
  <c r="J133" i="329"/>
  <c r="S133" i="329" s="1"/>
  <c r="Y179" i="329"/>
  <c r="W179" i="329"/>
  <c r="V179" i="329"/>
  <c r="X179" i="329" s="1"/>
  <c r="U179" i="329"/>
  <c r="V188" i="329"/>
  <c r="W202" i="329"/>
  <c r="U202" i="329"/>
  <c r="V202" i="329" s="1"/>
  <c r="X202" i="329" s="1"/>
  <c r="W223" i="329"/>
  <c r="W225" i="329"/>
  <c r="Y44" i="330"/>
  <c r="U44" i="330"/>
  <c r="W44" i="330"/>
  <c r="Y52" i="330"/>
  <c r="U52" i="330"/>
  <c r="V52" i="330" s="1"/>
  <c r="X52" i="330" s="1"/>
  <c r="W52" i="330"/>
  <c r="J57" i="330"/>
  <c r="S57" i="330" s="1"/>
  <c r="Y62" i="330"/>
  <c r="V62" i="330"/>
  <c r="U62" i="330"/>
  <c r="X62" i="330" s="1"/>
  <c r="W62" i="330"/>
  <c r="AD116" i="330"/>
  <c r="AA116" i="330"/>
  <c r="Z164" i="330"/>
  <c r="T164" i="330"/>
  <c r="Y196" i="330"/>
  <c r="T135" i="329"/>
  <c r="W177" i="329"/>
  <c r="U177" i="329"/>
  <c r="V177" i="329" s="1"/>
  <c r="X177" i="329" s="1"/>
  <c r="F233" i="329"/>
  <c r="Z36" i="330"/>
  <c r="T36" i="330"/>
  <c r="U88" i="330"/>
  <c r="Y88" i="330"/>
  <c r="W88" i="330"/>
  <c r="Z177" i="330"/>
  <c r="I216" i="330"/>
  <c r="T177" i="330"/>
  <c r="J177" i="330"/>
  <c r="S177" i="330" s="1"/>
  <c r="U214" i="330"/>
  <c r="V214" i="330" s="1"/>
  <c r="X214" i="330" s="1"/>
  <c r="Y214" i="330"/>
  <c r="W214" i="330"/>
  <c r="Z231" i="330"/>
  <c r="J231" i="330"/>
  <c r="S231" i="330" s="1"/>
  <c r="T231" i="330" s="1"/>
  <c r="T132" i="329"/>
  <c r="Z135" i="329"/>
  <c r="Z49" i="330"/>
  <c r="U83" i="330"/>
  <c r="Z180" i="330"/>
  <c r="J180" i="330"/>
  <c r="S180" i="330" s="1"/>
  <c r="Y184" i="330"/>
  <c r="W184" i="330"/>
  <c r="U184" i="330"/>
  <c r="W223" i="330"/>
  <c r="U223" i="330"/>
  <c r="V223" i="330" s="1"/>
  <c r="X223" i="330" s="1"/>
  <c r="Y223" i="330"/>
  <c r="J132" i="329"/>
  <c r="S132" i="329" s="1"/>
  <c r="M178" i="329"/>
  <c r="J178" i="329"/>
  <c r="T209" i="329"/>
  <c r="Z41" i="330"/>
  <c r="J41" i="330"/>
  <c r="S41" i="330" s="1"/>
  <c r="T41" i="330" s="1"/>
  <c r="Y46" i="330"/>
  <c r="U46" i="330"/>
  <c r="V46" i="330" s="1"/>
  <c r="X46" i="330" s="1"/>
  <c r="W46" i="330"/>
  <c r="J49" i="330"/>
  <c r="S49" i="330" s="1"/>
  <c r="T49" i="330" s="1"/>
  <c r="Y74" i="330"/>
  <c r="W74" i="330"/>
  <c r="V74" i="330"/>
  <c r="X74" i="330" s="1"/>
  <c r="U74" i="330"/>
  <c r="W83" i="330"/>
  <c r="V83" i="330" s="1"/>
  <c r="J115" i="330"/>
  <c r="S115" i="330" s="1"/>
  <c r="T115" i="330"/>
  <c r="AC160" i="330"/>
  <c r="AB160" i="330"/>
  <c r="AF160" i="330" s="1"/>
  <c r="Y207" i="330"/>
  <c r="W207" i="330"/>
  <c r="V207" i="330"/>
  <c r="U207" i="330"/>
  <c r="X207" i="330" s="1"/>
  <c r="T137" i="329"/>
  <c r="T141" i="329"/>
  <c r="J164" i="329"/>
  <c r="S164" i="329" s="1"/>
  <c r="J205" i="329"/>
  <c r="S205" i="329" s="1"/>
  <c r="T205" i="329" s="1"/>
  <c r="U224" i="329"/>
  <c r="V224" i="329" s="1"/>
  <c r="Z229" i="329"/>
  <c r="Z232" i="329" s="1"/>
  <c r="T229" i="329"/>
  <c r="W29" i="330"/>
  <c r="Y29" i="330"/>
  <c r="U29" i="330"/>
  <c r="V29" i="330" s="1"/>
  <c r="X29" i="330" s="1"/>
  <c r="T32" i="330"/>
  <c r="Y83" i="330"/>
  <c r="V85" i="330"/>
  <c r="U85" i="330"/>
  <c r="X85" i="330" s="1"/>
  <c r="Y85" i="330"/>
  <c r="U108" i="330"/>
  <c r="Y108" i="330"/>
  <c r="AE160" i="330"/>
  <c r="T180" i="330"/>
  <c r="W175" i="329"/>
  <c r="V175" i="329"/>
  <c r="X175" i="329" s="1"/>
  <c r="U175" i="329"/>
  <c r="AD190" i="329"/>
  <c r="AA190" i="329"/>
  <c r="Z19" i="330"/>
  <c r="Z37" i="330" s="1"/>
  <c r="J19" i="330"/>
  <c r="S19" i="330" s="1"/>
  <c r="T19" i="330" s="1"/>
  <c r="T68" i="330"/>
  <c r="M68" i="330"/>
  <c r="M123" i="330" s="1"/>
  <c r="J68" i="330"/>
  <c r="S68" i="330" s="1"/>
  <c r="U92" i="330"/>
  <c r="W92" i="330"/>
  <c r="AE96" i="330"/>
  <c r="AB96" i="330"/>
  <c r="AF96" i="330" s="1"/>
  <c r="AD154" i="330"/>
  <c r="AA154" i="330"/>
  <c r="Q168" i="329"/>
  <c r="T158" i="329"/>
  <c r="Z178" i="329"/>
  <c r="Z216" i="329" s="1"/>
  <c r="J180" i="329"/>
  <c r="S180" i="329" s="1"/>
  <c r="Z180" i="329"/>
  <c r="T180" i="329"/>
  <c r="U190" i="329"/>
  <c r="Z203" i="329"/>
  <c r="J203" i="329"/>
  <c r="S203" i="329" s="1"/>
  <c r="T203" i="329" s="1"/>
  <c r="J213" i="329"/>
  <c r="S213" i="329" s="1"/>
  <c r="T213" i="329" s="1"/>
  <c r="S232" i="329"/>
  <c r="T27" i="330"/>
  <c r="T35" i="330"/>
  <c r="Y92" i="330"/>
  <c r="AC96" i="330"/>
  <c r="W108" i="330"/>
  <c r="Y119" i="330"/>
  <c r="W119" i="330"/>
  <c r="U119" i="330"/>
  <c r="U140" i="330"/>
  <c r="Y140" i="330"/>
  <c r="W158" i="330"/>
  <c r="Y158" i="330"/>
  <c r="V158" i="330"/>
  <c r="U158" i="330"/>
  <c r="Z161" i="330"/>
  <c r="T161" i="330"/>
  <c r="J161" i="330"/>
  <c r="S161" i="330" s="1"/>
  <c r="J158" i="329"/>
  <c r="S158" i="329" s="1"/>
  <c r="Z167" i="329"/>
  <c r="T167" i="329"/>
  <c r="Y175" i="329"/>
  <c r="J196" i="329"/>
  <c r="S196" i="329" s="1"/>
  <c r="T196" i="329" s="1"/>
  <c r="T221" i="329"/>
  <c r="Y224" i="329"/>
  <c r="J47" i="330"/>
  <c r="S47" i="330" s="1"/>
  <c r="T47" i="330" s="1"/>
  <c r="T50" i="330"/>
  <c r="AD79" i="330"/>
  <c r="AA79" i="330"/>
  <c r="W116" i="330"/>
  <c r="V116" i="330" s="1"/>
  <c r="X116" i="330" s="1"/>
  <c r="Y198" i="330"/>
  <c r="W198" i="330"/>
  <c r="V198" i="330"/>
  <c r="U198" i="330"/>
  <c r="X198" i="330" s="1"/>
  <c r="Z230" i="330"/>
  <c r="I232" i="330"/>
  <c r="T136" i="329"/>
  <c r="T140" i="329"/>
  <c r="Z151" i="329"/>
  <c r="T151" i="329"/>
  <c r="M186" i="329"/>
  <c r="S186" i="329" s="1"/>
  <c r="T186" i="329" s="1"/>
  <c r="Z186" i="329"/>
  <c r="W190" i="329"/>
  <c r="V190" i="329" s="1"/>
  <c r="Z194" i="329"/>
  <c r="J194" i="329"/>
  <c r="S194" i="329" s="1"/>
  <c r="T194" i="329" s="1"/>
  <c r="V211" i="329"/>
  <c r="X211" i="329" s="1"/>
  <c r="Y211" i="329"/>
  <c r="W211" i="329"/>
  <c r="U211" i="329"/>
  <c r="W226" i="329"/>
  <c r="AB226" i="329" s="1"/>
  <c r="AF226" i="329" s="1"/>
  <c r="V226" i="329"/>
  <c r="U226" i="329"/>
  <c r="X226" i="329" s="1"/>
  <c r="E233" i="329"/>
  <c r="T25" i="330"/>
  <c r="Z30" i="330"/>
  <c r="J30" i="330"/>
  <c r="S30" i="330" s="1"/>
  <c r="T30" i="330" s="1"/>
  <c r="Z65" i="330"/>
  <c r="T65" i="330"/>
  <c r="Z68" i="330"/>
  <c r="AE77" i="330"/>
  <c r="AC77" i="330"/>
  <c r="Y102" i="330"/>
  <c r="V102" i="330"/>
  <c r="U102" i="330"/>
  <c r="Y105" i="330"/>
  <c r="W105" i="330"/>
  <c r="V105" i="330"/>
  <c r="X105" i="330" s="1"/>
  <c r="T138" i="330"/>
  <c r="Y176" i="330"/>
  <c r="U176" i="330"/>
  <c r="V176" i="330" s="1"/>
  <c r="X176" i="330" s="1"/>
  <c r="T189" i="330"/>
  <c r="J189" i="330"/>
  <c r="S189" i="330" s="1"/>
  <c r="Y208" i="330"/>
  <c r="W208" i="330"/>
  <c r="U208" i="330"/>
  <c r="J230" i="330"/>
  <c r="S230" i="330" s="1"/>
  <c r="T230" i="330" s="1"/>
  <c r="V79" i="330"/>
  <c r="U79" i="330"/>
  <c r="X79" i="330" s="1"/>
  <c r="V95" i="330"/>
  <c r="X95" i="330" s="1"/>
  <c r="U95" i="330"/>
  <c r="T98" i="330"/>
  <c r="J72" i="330"/>
  <c r="S72" i="330" s="1"/>
  <c r="T72" i="330" s="1"/>
  <c r="U91" i="330"/>
  <c r="V91" i="330" s="1"/>
  <c r="T109" i="330"/>
  <c r="I123" i="330"/>
  <c r="N233" i="330"/>
  <c r="T194" i="330"/>
  <c r="J194" i="330"/>
  <c r="S194" i="330" s="1"/>
  <c r="Z194" i="330"/>
  <c r="AE197" i="330"/>
  <c r="AC197" i="330"/>
  <c r="AB197" i="330"/>
  <c r="AF197" i="330" s="1"/>
  <c r="W205" i="330"/>
  <c r="V205" i="330"/>
  <c r="X205" i="330" s="1"/>
  <c r="Y205" i="330"/>
  <c r="U78" i="330"/>
  <c r="U94" i="330"/>
  <c r="V94" i="330" s="1"/>
  <c r="X94" i="330" s="1"/>
  <c r="T97" i="330"/>
  <c r="U117" i="330"/>
  <c r="J147" i="330"/>
  <c r="S147" i="330" s="1"/>
  <c r="Z147" i="330"/>
  <c r="J167" i="330"/>
  <c r="S167" i="330" s="1"/>
  <c r="Z167" i="330"/>
  <c r="T167" i="330"/>
  <c r="U81" i="330"/>
  <c r="W125" i="330"/>
  <c r="U125" i="330"/>
  <c r="O233" i="330"/>
  <c r="K216" i="329"/>
  <c r="K233" i="329" s="1"/>
  <c r="J210" i="329"/>
  <c r="S210" i="329" s="1"/>
  <c r="S227" i="329"/>
  <c r="T227" i="329" s="1"/>
  <c r="J35" i="330"/>
  <c r="S35" i="330" s="1"/>
  <c r="J51" i="330"/>
  <c r="S51" i="330" s="1"/>
  <c r="T51" i="330" s="1"/>
  <c r="J59" i="330"/>
  <c r="S59" i="330" s="1"/>
  <c r="T59" i="330" s="1"/>
  <c r="J67" i="330"/>
  <c r="S67" i="330" s="1"/>
  <c r="Y78" i="330"/>
  <c r="W81" i="330"/>
  <c r="U84" i="330"/>
  <c r="Y94" i="330"/>
  <c r="Y117" i="330"/>
  <c r="Y125" i="330"/>
  <c r="T127" i="330"/>
  <c r="T137" i="330"/>
  <c r="Z143" i="330"/>
  <c r="Z168" i="330" s="1"/>
  <c r="T143" i="330"/>
  <c r="P168" i="330"/>
  <c r="S171" i="330"/>
  <c r="Y175" i="330"/>
  <c r="W175" i="330"/>
  <c r="U175" i="330"/>
  <c r="V175" i="330" s="1"/>
  <c r="X175" i="330" s="1"/>
  <c r="Z228" i="330"/>
  <c r="J228" i="330"/>
  <c r="S228" i="330" s="1"/>
  <c r="T228" i="330" s="1"/>
  <c r="J192" i="329"/>
  <c r="S192" i="329" s="1"/>
  <c r="T192" i="329" s="1"/>
  <c r="J201" i="329"/>
  <c r="S201" i="329" s="1"/>
  <c r="T201" i="329" s="1"/>
  <c r="J18" i="330"/>
  <c r="T43" i="330"/>
  <c r="T67" i="330"/>
  <c r="Y81" i="330"/>
  <c r="W84" i="330"/>
  <c r="AB84" i="330" s="1"/>
  <c r="AF84" i="330" s="1"/>
  <c r="U87" i="330"/>
  <c r="V87" i="330" s="1"/>
  <c r="X87" i="330" s="1"/>
  <c r="AA91" i="330"/>
  <c r="J143" i="330"/>
  <c r="S143" i="330" s="1"/>
  <c r="T147" i="330"/>
  <c r="S149" i="330"/>
  <c r="AC215" i="330"/>
  <c r="S219" i="330"/>
  <c r="T218" i="330"/>
  <c r="L233" i="330"/>
  <c r="J69" i="330"/>
  <c r="S69" i="330" s="1"/>
  <c r="T69" i="330" s="1"/>
  <c r="U90" i="330"/>
  <c r="V90" i="330" s="1"/>
  <c r="U111" i="330"/>
  <c r="V111" i="330" s="1"/>
  <c r="X111" i="330" s="1"/>
  <c r="R168" i="330"/>
  <c r="R233" i="330" s="1"/>
  <c r="T145" i="330"/>
  <c r="J191" i="330"/>
  <c r="S191" i="330" s="1"/>
  <c r="T191" i="330" s="1"/>
  <c r="Z191" i="330"/>
  <c r="AD215" i="330"/>
  <c r="J39" i="330"/>
  <c r="U77" i="330"/>
  <c r="Y87" i="330"/>
  <c r="W90" i="330"/>
  <c r="U93" i="330"/>
  <c r="T99" i="330"/>
  <c r="W111" i="330"/>
  <c r="U131" i="330"/>
  <c r="V131" i="330" s="1"/>
  <c r="W154" i="330"/>
  <c r="U154" i="330"/>
  <c r="Y209" i="330"/>
  <c r="W209" i="330"/>
  <c r="V209" i="330" s="1"/>
  <c r="X209" i="330" s="1"/>
  <c r="U209" i="330"/>
  <c r="AE215" i="330"/>
  <c r="AC224" i="330"/>
  <c r="Z179" i="329"/>
  <c r="J187" i="329"/>
  <c r="S187" i="329" s="1"/>
  <c r="T187" i="329" s="1"/>
  <c r="Z187" i="329"/>
  <c r="D233" i="329"/>
  <c r="T17" i="330"/>
  <c r="T22" i="330"/>
  <c r="J42" i="330"/>
  <c r="S42" i="330" s="1"/>
  <c r="T42" i="330" s="1"/>
  <c r="J45" i="330"/>
  <c r="S45" i="330" s="1"/>
  <c r="T45" i="330" s="1"/>
  <c r="T48" i="330"/>
  <c r="J53" i="330"/>
  <c r="S53" i="330" s="1"/>
  <c r="T53" i="330" s="1"/>
  <c r="T56" i="330"/>
  <c r="J61" i="330"/>
  <c r="S61" i="330" s="1"/>
  <c r="T61" i="330" s="1"/>
  <c r="T64" i="330"/>
  <c r="J71" i="330"/>
  <c r="S71" i="330" s="1"/>
  <c r="T71" i="330" s="1"/>
  <c r="W77" i="330"/>
  <c r="AB77" i="330" s="1"/>
  <c r="AF77" i="330" s="1"/>
  <c r="U80" i="330"/>
  <c r="Y90" i="330"/>
  <c r="W93" i="330"/>
  <c r="AB93" i="330" s="1"/>
  <c r="AF93" i="330" s="1"/>
  <c r="V96" i="330"/>
  <c r="U96" i="330"/>
  <c r="X96" i="330" s="1"/>
  <c r="Y111" i="330"/>
  <c r="W131" i="330"/>
  <c r="Z133" i="330"/>
  <c r="J133" i="330"/>
  <c r="S133" i="330" s="1"/>
  <c r="T133" i="330" s="1"/>
  <c r="T135" i="330"/>
  <c r="T156" i="330"/>
  <c r="J156" i="330"/>
  <c r="S156" i="330" s="1"/>
  <c r="S187" i="330"/>
  <c r="T187" i="330" s="1"/>
  <c r="T192" i="330"/>
  <c r="J192" i="330"/>
  <c r="S192" i="330" s="1"/>
  <c r="W225" i="330"/>
  <c r="Y225" i="330"/>
  <c r="U225" i="330"/>
  <c r="W211" i="330"/>
  <c r="V211" i="330" s="1"/>
  <c r="X211" i="330" s="1"/>
  <c r="T126" i="330"/>
  <c r="T141" i="330"/>
  <c r="W179" i="330"/>
  <c r="Y179" i="330"/>
  <c r="U179" i="330"/>
  <c r="V179" i="330" s="1"/>
  <c r="W185" i="330"/>
  <c r="V185" i="330"/>
  <c r="U185" i="330"/>
  <c r="X185" i="330" s="1"/>
  <c r="W197" i="330"/>
  <c r="V197" i="330"/>
  <c r="U197" i="330"/>
  <c r="X197" i="330" s="1"/>
  <c r="Z192" i="330"/>
  <c r="Y211" i="330"/>
  <c r="J98" i="330"/>
  <c r="S98" i="330" s="1"/>
  <c r="J109" i="330"/>
  <c r="S109" i="330" s="1"/>
  <c r="J130" i="330"/>
  <c r="J139" i="330"/>
  <c r="S139" i="330" s="1"/>
  <c r="T139" i="330" s="1"/>
  <c r="J151" i="330"/>
  <c r="S151" i="330" s="1"/>
  <c r="T151" i="330" s="1"/>
  <c r="U160" i="330"/>
  <c r="X160" i="330" s="1"/>
  <c r="T149" i="330"/>
  <c r="J150" i="330"/>
  <c r="S150" i="330" s="1"/>
  <c r="T150" i="330" s="1"/>
  <c r="J159" i="330"/>
  <c r="S159" i="330" s="1"/>
  <c r="T159" i="330" s="1"/>
  <c r="S165" i="330"/>
  <c r="T165" i="330" s="1"/>
  <c r="AA185" i="330"/>
  <c r="E233" i="330"/>
  <c r="T152" i="330"/>
  <c r="W160" i="330"/>
  <c r="V160" i="330" s="1"/>
  <c r="K216" i="330"/>
  <c r="K233" i="330" s="1"/>
  <c r="Y200" i="330"/>
  <c r="W200" i="330"/>
  <c r="U200" i="330"/>
  <c r="V200" i="330" s="1"/>
  <c r="X200" i="330" s="1"/>
  <c r="W215" i="330"/>
  <c r="AB215" i="330" s="1"/>
  <c r="AF215" i="330" s="1"/>
  <c r="U215" i="330"/>
  <c r="W224" i="330"/>
  <c r="AB224" i="330" s="1"/>
  <c r="AF224" i="330" s="1"/>
  <c r="U224" i="330"/>
  <c r="V224" i="330" s="1"/>
  <c r="X224" i="330" s="1"/>
  <c r="P232" i="330"/>
  <c r="Z178" i="330"/>
  <c r="M183" i="330"/>
  <c r="J183" i="330"/>
  <c r="S183" i="330" s="1"/>
  <c r="T183" i="330" s="1"/>
  <c r="Z201" i="330"/>
  <c r="J201" i="330"/>
  <c r="S201" i="330" s="1"/>
  <c r="T201" i="330" s="1"/>
  <c r="Z203" i="330"/>
  <c r="T203" i="330"/>
  <c r="Z182" i="330"/>
  <c r="M182" i="330"/>
  <c r="M216" i="330" s="1"/>
  <c r="M233" i="330" s="1"/>
  <c r="J193" i="330"/>
  <c r="S193" i="330" s="1"/>
  <c r="T193" i="330" s="1"/>
  <c r="Z227" i="330"/>
  <c r="Z232" i="330" s="1"/>
  <c r="J227" i="330"/>
  <c r="S227" i="330" s="1"/>
  <c r="T227" i="330" s="1"/>
  <c r="Z229" i="330"/>
  <c r="J182" i="330"/>
  <c r="T188" i="330"/>
  <c r="T195" i="330"/>
  <c r="J229" i="330"/>
  <c r="S229" i="330" s="1"/>
  <c r="T229" i="330" s="1"/>
  <c r="Z202" i="330"/>
  <c r="Z181" i="330"/>
  <c r="J190" i="330"/>
  <c r="S190" i="330" s="1"/>
  <c r="T190" i="330" s="1"/>
  <c r="J202" i="330"/>
  <c r="S202" i="330" s="1"/>
  <c r="T202" i="330" s="1"/>
  <c r="J204" i="330"/>
  <c r="S204" i="330" s="1"/>
  <c r="T204" i="330" s="1"/>
  <c r="J213" i="330"/>
  <c r="S213" i="330" s="1"/>
  <c r="T213" i="330" s="1"/>
  <c r="J222" i="330"/>
  <c r="S222" i="330" s="1"/>
  <c r="T222" i="330" s="1"/>
  <c r="S181" i="330"/>
  <c r="T181" i="330" s="1"/>
  <c r="D233" i="330"/>
  <c r="J226" i="330"/>
  <c r="S226" i="330" s="1"/>
  <c r="T226" i="330" s="1"/>
  <c r="J212" i="330"/>
  <c r="S212" i="330" s="1"/>
  <c r="T212" i="330" s="1"/>
  <c r="J221" i="330"/>
  <c r="H453" i="327"/>
  <c r="G101" i="327" s="1"/>
  <c r="F101" i="327" s="1"/>
  <c r="H110" i="327"/>
  <c r="H23" i="327"/>
  <c r="G41" i="327"/>
  <c r="H495" i="327"/>
  <c r="H507" i="327"/>
  <c r="D22" i="154" s="1"/>
  <c r="H91" i="327"/>
  <c r="F40" i="327" s="1"/>
  <c r="G40" i="327" s="1"/>
  <c r="H38" i="327" s="1"/>
  <c r="H8" i="327"/>
  <c r="H571" i="327" s="1"/>
  <c r="G91" i="327"/>
  <c r="H8" i="328"/>
  <c r="H571" i="328" s="1"/>
  <c r="H464" i="328"/>
  <c r="H485" i="328" s="1"/>
  <c r="G103" i="328" s="1"/>
  <c r="F103" i="328" s="1"/>
  <c r="H566" i="327"/>
  <c r="H559" i="327" s="1"/>
  <c r="D25" i="154" s="1"/>
  <c r="H453" i="328"/>
  <c r="G101" i="328" s="1"/>
  <c r="F101" i="328" s="1"/>
  <c r="F491" i="328"/>
  <c r="H491" i="328" s="1"/>
  <c r="G41" i="328"/>
  <c r="H38" i="328" s="1"/>
  <c r="H495" i="328"/>
  <c r="G552" i="327"/>
  <c r="H311" i="328"/>
  <c r="H343" i="328"/>
  <c r="G91" i="328"/>
  <c r="H110" i="328"/>
  <c r="G100" i="328" s="1"/>
  <c r="H343" i="327"/>
  <c r="H488" i="328" l="1"/>
  <c r="H559" i="328"/>
  <c r="E25" i="154" s="1"/>
  <c r="H487" i="327"/>
  <c r="D20" i="154" s="1"/>
  <c r="R29" i="335"/>
  <c r="BF131" i="333"/>
  <c r="BB131" i="333"/>
  <c r="BC131" i="333"/>
  <c r="BC195" i="333"/>
  <c r="BF195" i="333"/>
  <c r="BD195" i="333"/>
  <c r="BB195" i="333"/>
  <c r="BE195" i="333" s="1"/>
  <c r="BF134" i="333"/>
  <c r="BC134" i="333"/>
  <c r="BB134" i="333"/>
  <c r="BD134" i="333" s="1"/>
  <c r="BE134" i="333" s="1"/>
  <c r="BB77" i="333"/>
  <c r="BD77" i="333" s="1"/>
  <c r="BC77" i="333"/>
  <c r="BF77" i="333"/>
  <c r="BC199" i="333"/>
  <c r="BF199" i="333"/>
  <c r="BB199" i="333"/>
  <c r="BD199" i="333" s="1"/>
  <c r="BC46" i="333"/>
  <c r="BD46" i="333" s="1"/>
  <c r="BE46" i="333" s="1"/>
  <c r="BF46" i="333"/>
  <c r="BB46" i="333"/>
  <c r="BB126" i="333"/>
  <c r="BF126" i="333"/>
  <c r="BC126" i="333"/>
  <c r="BG105" i="333"/>
  <c r="Z105" i="333"/>
  <c r="BF129" i="333"/>
  <c r="BD129" i="333"/>
  <c r="BC129" i="333"/>
  <c r="BB129" i="333"/>
  <c r="BE129" i="333"/>
  <c r="AO135" i="333"/>
  <c r="BF52" i="333"/>
  <c r="BD52" i="333"/>
  <c r="BE52" i="333"/>
  <c r="BC52" i="333"/>
  <c r="BB52" i="333"/>
  <c r="Z14" i="333"/>
  <c r="BF120" i="333"/>
  <c r="BB120" i="333"/>
  <c r="BC120" i="333"/>
  <c r="BD120" i="333" s="1"/>
  <c r="BE120" i="333" s="1"/>
  <c r="BC75" i="333"/>
  <c r="BF75" i="333"/>
  <c r="BB75" i="333"/>
  <c r="BD75" i="333" s="1"/>
  <c r="AZ157" i="333"/>
  <c r="BG175" i="333"/>
  <c r="Z175" i="333"/>
  <c r="Y183" i="333"/>
  <c r="BG110" i="333"/>
  <c r="Z110" i="333"/>
  <c r="AZ110" i="333" s="1"/>
  <c r="BA110" i="333"/>
  <c r="BG55" i="333"/>
  <c r="Z55" i="333"/>
  <c r="AZ55" i="333" s="1"/>
  <c r="BA55" i="333" s="1"/>
  <c r="AP135" i="333"/>
  <c r="Z60" i="333"/>
  <c r="AZ60" i="333" s="1"/>
  <c r="BA60" i="333" s="1"/>
  <c r="BG60" i="333"/>
  <c r="AZ59" i="333"/>
  <c r="BA59" i="333" s="1"/>
  <c r="Y196" i="333"/>
  <c r="AZ185" i="333"/>
  <c r="BA185" i="333" s="1"/>
  <c r="AN124" i="333"/>
  <c r="AN201" i="333" s="1"/>
  <c r="BG157" i="333"/>
  <c r="BA89" i="333"/>
  <c r="BG89" i="333"/>
  <c r="AL93" i="333"/>
  <c r="AM93" i="333" s="1"/>
  <c r="AP93" i="333"/>
  <c r="AJ93" i="333"/>
  <c r="AK93" i="333" s="1"/>
  <c r="Y93" i="333"/>
  <c r="AJ69" i="333"/>
  <c r="AK69" i="333" s="1"/>
  <c r="AL69" i="333"/>
  <c r="AM69" i="333" s="1"/>
  <c r="Y69" i="333"/>
  <c r="AR69" i="333"/>
  <c r="AQ103" i="333"/>
  <c r="Z67" i="333"/>
  <c r="BG67" i="333"/>
  <c r="BG51" i="333"/>
  <c r="Z51" i="333"/>
  <c r="AZ51" i="333" s="1"/>
  <c r="BA51" i="333" s="1"/>
  <c r="BG50" i="333"/>
  <c r="BA50" i="333"/>
  <c r="Z50" i="333"/>
  <c r="AZ50" i="333" s="1"/>
  <c r="AZ44" i="333"/>
  <c r="BA44" i="333" s="1"/>
  <c r="Z198" i="333"/>
  <c r="AZ198" i="333" s="1"/>
  <c r="BG198" i="333"/>
  <c r="BA198" i="333"/>
  <c r="Y192" i="333"/>
  <c r="AL192" i="333"/>
  <c r="AM192" i="333" s="1"/>
  <c r="Z193" i="333"/>
  <c r="AZ193" i="333" s="1"/>
  <c r="BA193" i="333" s="1"/>
  <c r="BG193" i="333"/>
  <c r="BG111" i="333"/>
  <c r="Z111" i="333"/>
  <c r="AZ111" i="333" s="1"/>
  <c r="BA111" i="333" s="1"/>
  <c r="BA79" i="333"/>
  <c r="Z79" i="333"/>
  <c r="AZ79" i="333" s="1"/>
  <c r="BG79" i="333"/>
  <c r="Z165" i="333"/>
  <c r="AZ165" i="333" s="1"/>
  <c r="BA165" i="333" s="1"/>
  <c r="BG165" i="333"/>
  <c r="Z176" i="333"/>
  <c r="AZ176" i="333" s="1"/>
  <c r="BA176" i="333" s="1"/>
  <c r="BG176" i="333"/>
  <c r="BG85" i="333"/>
  <c r="Z85" i="333"/>
  <c r="AZ85" i="333" s="1"/>
  <c r="BA85" i="333" s="1"/>
  <c r="AL100" i="333"/>
  <c r="AM100" i="333" s="1"/>
  <c r="AJ100" i="333"/>
  <c r="AK100" i="333" s="1"/>
  <c r="AO100" i="333"/>
  <c r="Y100" i="333"/>
  <c r="BG78" i="333"/>
  <c r="Z78" i="333"/>
  <c r="AZ78" i="333" s="1"/>
  <c r="BA78" i="333" s="1"/>
  <c r="AJ109" i="333"/>
  <c r="AK109" i="333" s="1"/>
  <c r="AL109" i="333"/>
  <c r="AM109" i="333" s="1"/>
  <c r="X86" i="333"/>
  <c r="BA115" i="333"/>
  <c r="Z115" i="333"/>
  <c r="AZ115" i="333" s="1"/>
  <c r="BG115" i="333"/>
  <c r="Z68" i="333"/>
  <c r="BG68" i="333"/>
  <c r="BG84" i="333"/>
  <c r="BA84" i="333"/>
  <c r="Z84" i="333"/>
  <c r="AZ84" i="333" s="1"/>
  <c r="AZ54" i="333"/>
  <c r="BA54" i="333" s="1"/>
  <c r="BG112" i="333"/>
  <c r="Z112" i="333"/>
  <c r="AZ112" i="333" s="1"/>
  <c r="BA112" i="333"/>
  <c r="AQ66" i="333"/>
  <c r="Z65" i="333"/>
  <c r="AZ65" i="333" s="1"/>
  <c r="BA65" i="333" s="1"/>
  <c r="BG65" i="333"/>
  <c r="Z181" i="333"/>
  <c r="AZ181" i="333" s="1"/>
  <c r="BA181" i="333" s="1"/>
  <c r="BG181" i="333"/>
  <c r="BF102" i="333"/>
  <c r="BC102" i="333"/>
  <c r="BB102" i="333"/>
  <c r="BD102" i="333"/>
  <c r="BE102" i="333" s="1"/>
  <c r="BA76" i="333"/>
  <c r="Z76" i="333"/>
  <c r="AZ76" i="333" s="1"/>
  <c r="BG76" i="333"/>
  <c r="AO66" i="333"/>
  <c r="Y189" i="333"/>
  <c r="Y158" i="333"/>
  <c r="AL158" i="333"/>
  <c r="AM158" i="333" s="1"/>
  <c r="AM161" i="333" s="1"/>
  <c r="AP158" i="333"/>
  <c r="Z90" i="333"/>
  <c r="AZ90" i="333" s="1"/>
  <c r="BA90" i="333"/>
  <c r="BG90" i="333"/>
  <c r="AZ151" i="333"/>
  <c r="BA151" i="333" s="1"/>
  <c r="BG104" i="333"/>
  <c r="Z104" i="333"/>
  <c r="Z177" i="333"/>
  <c r="AZ177" i="333" s="1"/>
  <c r="BG177" i="333"/>
  <c r="BA177" i="333"/>
  <c r="BA178" i="333"/>
  <c r="Z178" i="333"/>
  <c r="AZ178" i="333" s="1"/>
  <c r="BG178" i="333"/>
  <c r="BG62" i="333"/>
  <c r="Z62" i="333"/>
  <c r="AZ62" i="333" s="1"/>
  <c r="BA62" i="333" s="1"/>
  <c r="AK104" i="333"/>
  <c r="Z167" i="333"/>
  <c r="BG167" i="333"/>
  <c r="AZ45" i="333"/>
  <c r="BA45" i="333" s="1"/>
  <c r="BA108" i="333"/>
  <c r="BG108" i="333"/>
  <c r="Z145" i="333"/>
  <c r="AZ145" i="333" s="1"/>
  <c r="BA145" i="333" s="1"/>
  <c r="BG145" i="333"/>
  <c r="BG56" i="333"/>
  <c r="Z56" i="333"/>
  <c r="AZ56" i="333" s="1"/>
  <c r="BA56" i="333" s="1"/>
  <c r="BG42" i="333"/>
  <c r="Z42" i="333"/>
  <c r="AZ42" i="333" s="1"/>
  <c r="BA42" i="333" s="1"/>
  <c r="Z163" i="333"/>
  <c r="AZ163" i="333" s="1"/>
  <c r="BG163" i="333"/>
  <c r="BA163" i="333"/>
  <c r="AZ108" i="333"/>
  <c r="AL184" i="333"/>
  <c r="X200" i="333"/>
  <c r="BF148" i="333"/>
  <c r="BC148" i="333"/>
  <c r="BD148" i="333" s="1"/>
  <c r="BB148" i="333"/>
  <c r="X124" i="333"/>
  <c r="BG114" i="333"/>
  <c r="Z114" i="333"/>
  <c r="AZ114" i="333" s="1"/>
  <c r="BA114" i="333"/>
  <c r="Z99" i="333"/>
  <c r="AZ99" i="333" s="1"/>
  <c r="BA99" i="333"/>
  <c r="BG99" i="333"/>
  <c r="AM174" i="333"/>
  <c r="Z48" i="333"/>
  <c r="AZ48" i="333" s="1"/>
  <c r="BA48" i="333"/>
  <c r="BG48" i="333"/>
  <c r="BG96" i="333"/>
  <c r="Z96" i="333"/>
  <c r="AZ96" i="333" s="1"/>
  <c r="BA96" i="333"/>
  <c r="Z63" i="333"/>
  <c r="AZ63" i="333" s="1"/>
  <c r="BG63" i="333"/>
  <c r="BA63" i="333"/>
  <c r="Z197" i="333"/>
  <c r="AZ197" i="333" s="1"/>
  <c r="BA197" i="333" s="1"/>
  <c r="BG197" i="333"/>
  <c r="BG160" i="333"/>
  <c r="Z160" i="333"/>
  <c r="AZ160" i="333" s="1"/>
  <c r="BA160" i="333"/>
  <c r="Z41" i="333"/>
  <c r="AZ41" i="333" s="1"/>
  <c r="BG41" i="333"/>
  <c r="BA41" i="333"/>
  <c r="Y184" i="333"/>
  <c r="AL119" i="333"/>
  <c r="AM119" i="333" s="1"/>
  <c r="AJ119" i="333"/>
  <c r="AK119" i="333" s="1"/>
  <c r="AZ141" i="333"/>
  <c r="BA141" i="333" s="1"/>
  <c r="AL123" i="333"/>
  <c r="AM104" i="333"/>
  <c r="AP174" i="333"/>
  <c r="X103" i="333"/>
  <c r="AJ87" i="333"/>
  <c r="AL87" i="333"/>
  <c r="AZ57" i="333"/>
  <c r="BA57" i="333" s="1"/>
  <c r="BG159" i="333"/>
  <c r="Z159" i="333"/>
  <c r="Z168" i="333"/>
  <c r="AZ168" i="333" s="1"/>
  <c r="BA168" i="333"/>
  <c r="BG168" i="333"/>
  <c r="BF132" i="333"/>
  <c r="BC132" i="333"/>
  <c r="BD132" i="333" s="1"/>
  <c r="BE132" i="333" s="1"/>
  <c r="BB132" i="333"/>
  <c r="X166" i="333"/>
  <c r="AL162" i="333"/>
  <c r="Y162" i="333"/>
  <c r="AP162" i="333"/>
  <c r="AP166" i="333" s="1"/>
  <c r="Y194" i="333"/>
  <c r="AO174" i="333"/>
  <c r="Y188" i="333"/>
  <c r="AP184" i="333"/>
  <c r="AP200" i="333" s="1"/>
  <c r="BG106" i="333"/>
  <c r="Z106" i="333"/>
  <c r="AZ106" i="333" s="1"/>
  <c r="BA106" i="333" s="1"/>
  <c r="AZ187" i="333"/>
  <c r="BA187" i="333" s="1"/>
  <c r="Z171" i="333"/>
  <c r="AZ171" i="333" s="1"/>
  <c r="BA171" i="333" s="1"/>
  <c r="BG171" i="333"/>
  <c r="AL68" i="333"/>
  <c r="AJ68" i="333"/>
  <c r="AO68" i="333"/>
  <c r="AO86" i="333" s="1"/>
  <c r="BJ149" i="333"/>
  <c r="BH149" i="333"/>
  <c r="BG82" i="333"/>
  <c r="Z82" i="333"/>
  <c r="AZ82" i="333" s="1"/>
  <c r="BA82" i="333" s="1"/>
  <c r="AQ166" i="333"/>
  <c r="AL66" i="333"/>
  <c r="AR174" i="333"/>
  <c r="AP161" i="333"/>
  <c r="AZ191" i="333"/>
  <c r="BA191" i="333" s="1"/>
  <c r="AZ169" i="333"/>
  <c r="BA169" i="333" s="1"/>
  <c r="AZ98" i="333"/>
  <c r="BA98" i="333" s="1"/>
  <c r="Z180" i="333"/>
  <c r="AZ180" i="333" s="1"/>
  <c r="BA180" i="333" s="1"/>
  <c r="BG180" i="333"/>
  <c r="BG97" i="333"/>
  <c r="Z97" i="333"/>
  <c r="K124" i="333"/>
  <c r="K201" i="333" s="1"/>
  <c r="AZ121" i="333"/>
  <c r="BA121" i="333" s="1"/>
  <c r="AZ95" i="333"/>
  <c r="BA95" i="333" s="1"/>
  <c r="AK38" i="333"/>
  <c r="BG130" i="333"/>
  <c r="Z130" i="333"/>
  <c r="AZ130" i="333" s="1"/>
  <c r="BA130" i="333"/>
  <c r="BG83" i="333"/>
  <c r="Z83" i="333"/>
  <c r="AZ83" i="333" s="1"/>
  <c r="BA83" i="333" s="1"/>
  <c r="AQ161" i="333"/>
  <c r="AL173" i="333"/>
  <c r="AM173" i="333" s="1"/>
  <c r="Y173" i="333"/>
  <c r="Y174" i="333" s="1"/>
  <c r="AR173" i="333"/>
  <c r="AL174" i="333"/>
  <c r="Y137" i="333"/>
  <c r="AL137" i="333"/>
  <c r="AM137" i="333" s="1"/>
  <c r="AJ97" i="333"/>
  <c r="AK97" i="333" s="1"/>
  <c r="AL97" i="333"/>
  <c r="AM97" i="333" s="1"/>
  <c r="AZ94" i="333"/>
  <c r="BA94" i="333" s="1"/>
  <c r="AP137" i="333"/>
  <c r="AP143" i="333" s="1"/>
  <c r="BG117" i="333"/>
  <c r="BA117" i="333"/>
  <c r="BD149" i="333"/>
  <c r="BE149" i="333" s="1"/>
  <c r="BG38" i="333"/>
  <c r="Z38" i="333"/>
  <c r="AQ86" i="333"/>
  <c r="AP86" i="333"/>
  <c r="AO166" i="333"/>
  <c r="AP66" i="333"/>
  <c r="BC142" i="333"/>
  <c r="BF142" i="333"/>
  <c r="BD142" i="333"/>
  <c r="BB142" i="333"/>
  <c r="BE142" i="333" s="1"/>
  <c r="BC71" i="333"/>
  <c r="BB71" i="333"/>
  <c r="BF71" i="333"/>
  <c r="AL161" i="333"/>
  <c r="BA113" i="333"/>
  <c r="Z113" i="333"/>
  <c r="AZ113" i="333" s="1"/>
  <c r="BG113" i="333"/>
  <c r="AD124" i="333"/>
  <c r="AD201" i="333" s="1"/>
  <c r="BG153" i="333"/>
  <c r="Z153" i="333"/>
  <c r="BA140" i="333"/>
  <c r="Z140" i="333"/>
  <c r="AZ140" i="333" s="1"/>
  <c r="BG140" i="333"/>
  <c r="X174" i="333"/>
  <c r="AZ179" i="333"/>
  <c r="BA179" i="333" s="1"/>
  <c r="Y155" i="333"/>
  <c r="AO152" i="333"/>
  <c r="AL88" i="333"/>
  <c r="AM88" i="333" s="1"/>
  <c r="AJ88" i="333"/>
  <c r="AK88" i="333" s="1"/>
  <c r="Y88" i="333"/>
  <c r="AZ147" i="333"/>
  <c r="BA147" i="333" s="1"/>
  <c r="AR143" i="333"/>
  <c r="Y128" i="333"/>
  <c r="BA139" i="333"/>
  <c r="Z139" i="333"/>
  <c r="AZ139" i="333" s="1"/>
  <c r="BG139" i="333"/>
  <c r="BG80" i="333"/>
  <c r="Z80" i="333"/>
  <c r="AZ80" i="333" s="1"/>
  <c r="BA80" i="333" s="1"/>
  <c r="BG92" i="333"/>
  <c r="Z92" i="333"/>
  <c r="Z49" i="333"/>
  <c r="AZ49" i="333" s="1"/>
  <c r="BA49" i="333" s="1"/>
  <c r="BG49" i="333"/>
  <c r="AL43" i="333"/>
  <c r="AM43" i="333" s="1"/>
  <c r="AJ43" i="333"/>
  <c r="AK43" i="333" s="1"/>
  <c r="Y43" i="333"/>
  <c r="AO43" i="333"/>
  <c r="AR166" i="333"/>
  <c r="AP159" i="333"/>
  <c r="AO128" i="333"/>
  <c r="AL164" i="333"/>
  <c r="AM164" i="333" s="1"/>
  <c r="Y164" i="333"/>
  <c r="BA61" i="333"/>
  <c r="BG61" i="333"/>
  <c r="Y144" i="333"/>
  <c r="AZ116" i="333"/>
  <c r="BA116" i="333" s="1"/>
  <c r="AO155" i="333"/>
  <c r="AO156" i="333" s="1"/>
  <c r="AL70" i="333"/>
  <c r="AM70" i="333" s="1"/>
  <c r="AJ70" i="333"/>
  <c r="AK70" i="333" s="1"/>
  <c r="Y70" i="333"/>
  <c r="Z91" i="333"/>
  <c r="AZ91" i="333" s="1"/>
  <c r="BG91" i="333"/>
  <c r="BA91" i="333"/>
  <c r="AZ72" i="333"/>
  <c r="BA72" i="333" s="1"/>
  <c r="AZ154" i="333"/>
  <c r="BA154" i="333" s="1"/>
  <c r="BA53" i="333"/>
  <c r="Z53" i="333"/>
  <c r="AZ53" i="333" s="1"/>
  <c r="BG53" i="333"/>
  <c r="AR86" i="333"/>
  <c r="AR124" i="333" s="1"/>
  <c r="AR201" i="333" s="1"/>
  <c r="AJ92" i="333"/>
  <c r="AK92" i="333" s="1"/>
  <c r="AP92" i="333"/>
  <c r="AL92" i="333"/>
  <c r="AM92" i="333" s="1"/>
  <c r="AW201" i="333"/>
  <c r="AP152" i="333"/>
  <c r="AL125" i="333"/>
  <c r="X135" i="333"/>
  <c r="AB201" i="333"/>
  <c r="BG73" i="333"/>
  <c r="BA73" i="333"/>
  <c r="Z73" i="333"/>
  <c r="AZ73" i="333" s="1"/>
  <c r="AP123" i="333"/>
  <c r="BA107" i="333"/>
  <c r="Z107" i="333"/>
  <c r="AZ107" i="333" s="1"/>
  <c r="BG107" i="333"/>
  <c r="Z150" i="333"/>
  <c r="AZ150" i="333" s="1"/>
  <c r="BA150" i="333"/>
  <c r="BG150" i="333"/>
  <c r="AL136" i="333"/>
  <c r="X143" i="333"/>
  <c r="Y136" i="333"/>
  <c r="Z138" i="333"/>
  <c r="AZ138" i="333" s="1"/>
  <c r="BG138" i="333"/>
  <c r="BA138" i="333"/>
  <c r="Z190" i="333"/>
  <c r="AZ190" i="333" s="1"/>
  <c r="BG190" i="333"/>
  <c r="BA190" i="333"/>
  <c r="AR135" i="333"/>
  <c r="X66" i="333"/>
  <c r="Z182" i="333"/>
  <c r="AZ182" i="333" s="1"/>
  <c r="BA182" i="333" s="1"/>
  <c r="BG182" i="333"/>
  <c r="Y146" i="333"/>
  <c r="AL146" i="333"/>
  <c r="AM146" i="333" s="1"/>
  <c r="BA172" i="333"/>
  <c r="BG172" i="333"/>
  <c r="Z172" i="333"/>
  <c r="AZ172" i="333" s="1"/>
  <c r="AO123" i="333"/>
  <c r="Y109" i="333"/>
  <c r="BG170" i="333"/>
  <c r="Z170" i="333"/>
  <c r="AZ170" i="333" s="1"/>
  <c r="BA170" i="333" s="1"/>
  <c r="Z122" i="333"/>
  <c r="AZ122" i="333" s="1"/>
  <c r="BG122" i="333"/>
  <c r="BA122" i="333"/>
  <c r="AO103" i="333"/>
  <c r="AL39" i="333"/>
  <c r="AM39" i="333" s="1"/>
  <c r="AM66" i="333" s="1"/>
  <c r="Y39" i="333"/>
  <c r="AJ39" i="333"/>
  <c r="AK39" i="333" s="1"/>
  <c r="AQ152" i="333"/>
  <c r="Y125" i="333"/>
  <c r="Z101" i="333"/>
  <c r="AZ101" i="333" s="1"/>
  <c r="BA101" i="333" s="1"/>
  <c r="BG101" i="333"/>
  <c r="AI201" i="333"/>
  <c r="AQ105" i="333"/>
  <c r="AQ123" i="333" s="1"/>
  <c r="AQ124" i="333" s="1"/>
  <c r="AQ201" i="333" s="1"/>
  <c r="AL105" i="333"/>
  <c r="AM105" i="333" s="1"/>
  <c r="AJ105" i="333"/>
  <c r="AK105" i="333" s="1"/>
  <c r="AL144" i="333"/>
  <c r="X152" i="333"/>
  <c r="BF186" i="333"/>
  <c r="BB186" i="333"/>
  <c r="BC186" i="333"/>
  <c r="BE186" i="333" s="1"/>
  <c r="BD186" i="333"/>
  <c r="Z118" i="333"/>
  <c r="AZ118" i="333" s="1"/>
  <c r="BG118" i="333"/>
  <c r="BA118" i="333"/>
  <c r="BG133" i="333"/>
  <c r="Z133" i="333"/>
  <c r="AZ133" i="333" s="1"/>
  <c r="BA133" i="333" s="1"/>
  <c r="BG81" i="333"/>
  <c r="Z81" i="333"/>
  <c r="AZ81" i="333" s="1"/>
  <c r="BA81" i="333" s="1"/>
  <c r="Y119" i="333"/>
  <c r="BG127" i="333"/>
  <c r="BA127" i="333"/>
  <c r="Z127" i="333"/>
  <c r="AZ127" i="333" s="1"/>
  <c r="Z74" i="333"/>
  <c r="AZ74" i="333" s="1"/>
  <c r="BG74" i="333"/>
  <c r="BA74" i="333"/>
  <c r="AP103" i="333"/>
  <c r="Z64" i="333"/>
  <c r="AZ64" i="333" s="1"/>
  <c r="BA64" i="333" s="1"/>
  <c r="BG64" i="333"/>
  <c r="AZ40" i="333"/>
  <c r="BA40" i="333" s="1"/>
  <c r="BA47" i="333"/>
  <c r="Z47" i="333"/>
  <c r="AZ47" i="333" s="1"/>
  <c r="BG47" i="333"/>
  <c r="BA58" i="333"/>
  <c r="Z58" i="333"/>
  <c r="AZ58" i="333" s="1"/>
  <c r="BG58" i="333"/>
  <c r="Y87" i="333"/>
  <c r="Y139" i="330"/>
  <c r="W139" i="330"/>
  <c r="U139" i="330"/>
  <c r="V139" i="330" s="1"/>
  <c r="X139" i="330" s="1"/>
  <c r="W133" i="330"/>
  <c r="U133" i="330"/>
  <c r="Y133" i="330"/>
  <c r="W206" i="329"/>
  <c r="Y206" i="329"/>
  <c r="U206" i="329"/>
  <c r="X144" i="330"/>
  <c r="W73" i="330"/>
  <c r="Y73" i="330"/>
  <c r="U73" i="330"/>
  <c r="Y114" i="329"/>
  <c r="W114" i="329"/>
  <c r="U114" i="329"/>
  <c r="V114" i="329" s="1"/>
  <c r="W46" i="329"/>
  <c r="Y46" i="329"/>
  <c r="U46" i="329"/>
  <c r="V46" i="329" s="1"/>
  <c r="Y63" i="330"/>
  <c r="U63" i="330"/>
  <c r="V63" i="330" s="1"/>
  <c r="X63" i="330" s="1"/>
  <c r="W63" i="330"/>
  <c r="Y181" i="330"/>
  <c r="U181" i="330"/>
  <c r="W181" i="330"/>
  <c r="V181" i="330"/>
  <c r="X181" i="330" s="1"/>
  <c r="W19" i="330"/>
  <c r="Y19" i="330"/>
  <c r="U19" i="330"/>
  <c r="V19" i="330" s="1"/>
  <c r="X19" i="330" s="1"/>
  <c r="U116" i="329"/>
  <c r="V116" i="329" s="1"/>
  <c r="X116" i="329" s="1"/>
  <c r="W116" i="329"/>
  <c r="Y116" i="329"/>
  <c r="W199" i="330"/>
  <c r="U199" i="330"/>
  <c r="Y199" i="330"/>
  <c r="AB34" i="329"/>
  <c r="AE34" i="329"/>
  <c r="AC34" i="329"/>
  <c r="AF34" i="329"/>
  <c r="U48" i="329"/>
  <c r="Y48" i="329"/>
  <c r="W48" i="329"/>
  <c r="V48" i="329" s="1"/>
  <c r="X48" i="329" s="1"/>
  <c r="W201" i="329"/>
  <c r="U201" i="329"/>
  <c r="Y201" i="329"/>
  <c r="U182" i="329"/>
  <c r="Y182" i="329"/>
  <c r="W182" i="329"/>
  <c r="V182" i="329" s="1"/>
  <c r="V215" i="329"/>
  <c r="Y215" i="329"/>
  <c r="W215" i="329"/>
  <c r="U215" i="329"/>
  <c r="X215" i="329" s="1"/>
  <c r="U109" i="329"/>
  <c r="Y109" i="329"/>
  <c r="W109" i="329"/>
  <c r="Y107" i="329"/>
  <c r="W107" i="329"/>
  <c r="U107" i="329"/>
  <c r="V107" i="329" s="1"/>
  <c r="V162" i="330"/>
  <c r="Y162" i="330"/>
  <c r="U162" i="330"/>
  <c r="X162" i="330" s="1"/>
  <c r="W162" i="330"/>
  <c r="Y23" i="330"/>
  <c r="U23" i="330"/>
  <c r="U115" i="329"/>
  <c r="W115" i="329"/>
  <c r="V115" i="329" s="1"/>
  <c r="X115" i="329" s="1"/>
  <c r="Y115" i="329"/>
  <c r="Y192" i="329"/>
  <c r="U192" i="329"/>
  <c r="W192" i="329"/>
  <c r="V192" i="329"/>
  <c r="X192" i="329" s="1"/>
  <c r="Y114" i="330"/>
  <c r="U114" i="330"/>
  <c r="W114" i="330"/>
  <c r="Y134" i="330"/>
  <c r="W134" i="330"/>
  <c r="U134" i="330"/>
  <c r="Y159" i="330"/>
  <c r="U159" i="330"/>
  <c r="V159" i="330" s="1"/>
  <c r="W159" i="330"/>
  <c r="Y185" i="329"/>
  <c r="W185" i="329"/>
  <c r="V185" i="329" s="1"/>
  <c r="U185" i="329"/>
  <c r="X185" i="329" s="1"/>
  <c r="Y231" i="329"/>
  <c r="W231" i="329"/>
  <c r="V231" i="329" s="1"/>
  <c r="X231" i="329" s="1"/>
  <c r="U231" i="329"/>
  <c r="Y150" i="330"/>
  <c r="W150" i="330"/>
  <c r="U150" i="330"/>
  <c r="V150" i="330" s="1"/>
  <c r="Y212" i="329"/>
  <c r="W212" i="329"/>
  <c r="U212" i="329"/>
  <c r="V212" i="329" s="1"/>
  <c r="Y227" i="330"/>
  <c r="W227" i="330"/>
  <c r="U227" i="330"/>
  <c r="V227" i="330" s="1"/>
  <c r="X227" i="330" s="1"/>
  <c r="U191" i="330"/>
  <c r="V191" i="330" s="1"/>
  <c r="X191" i="330" s="1"/>
  <c r="W191" i="330"/>
  <c r="Y191" i="330"/>
  <c r="W230" i="330"/>
  <c r="Y230" i="330"/>
  <c r="U230" i="330"/>
  <c r="V230" i="330" s="1"/>
  <c r="X230" i="330" s="1"/>
  <c r="U231" i="330"/>
  <c r="W231" i="330"/>
  <c r="Y231" i="330"/>
  <c r="X231" i="330"/>
  <c r="V231" i="330"/>
  <c r="Y152" i="329"/>
  <c r="U152" i="329"/>
  <c r="W152" i="329"/>
  <c r="Y70" i="330"/>
  <c r="W70" i="330"/>
  <c r="U70" i="330"/>
  <c r="X70" i="330" s="1"/>
  <c r="V70" i="330"/>
  <c r="Y183" i="329"/>
  <c r="U183" i="329"/>
  <c r="W183" i="329"/>
  <c r="X21" i="329"/>
  <c r="Y118" i="330"/>
  <c r="W118" i="330"/>
  <c r="V118" i="330" s="1"/>
  <c r="X118" i="330" s="1"/>
  <c r="U118" i="330"/>
  <c r="U193" i="330"/>
  <c r="Y193" i="330"/>
  <c r="W193" i="330"/>
  <c r="V193" i="330" s="1"/>
  <c r="X193" i="330" s="1"/>
  <c r="X93" i="330"/>
  <c r="X228" i="330"/>
  <c r="V228" i="330"/>
  <c r="Y228" i="330"/>
  <c r="U228" i="330"/>
  <c r="W228" i="330"/>
  <c r="Y49" i="330"/>
  <c r="V49" i="330"/>
  <c r="U49" i="330"/>
  <c r="X49" i="330" s="1"/>
  <c r="W49" i="330"/>
  <c r="Y121" i="329"/>
  <c r="W121" i="329"/>
  <c r="V121" i="329"/>
  <c r="U121" i="329"/>
  <c r="X121" i="329" s="1"/>
  <c r="Y195" i="329"/>
  <c r="W195" i="329"/>
  <c r="U195" i="329"/>
  <c r="X195" i="329" s="1"/>
  <c r="V195" i="329"/>
  <c r="W184" i="329"/>
  <c r="Y184" i="329"/>
  <c r="U184" i="329"/>
  <c r="X34" i="329"/>
  <c r="W222" i="330"/>
  <c r="V222" i="330" s="1"/>
  <c r="X222" i="330" s="1"/>
  <c r="U222" i="330"/>
  <c r="Y222" i="330"/>
  <c r="Y71" i="330"/>
  <c r="W71" i="330"/>
  <c r="U71" i="330"/>
  <c r="X71" i="330" s="1"/>
  <c r="V71" i="330"/>
  <c r="W105" i="329"/>
  <c r="Y105" i="329"/>
  <c r="U105" i="329"/>
  <c r="V105" i="329" s="1"/>
  <c r="X154" i="329"/>
  <c r="W154" i="329"/>
  <c r="Y154" i="329"/>
  <c r="U154" i="329"/>
  <c r="V154" i="329"/>
  <c r="Y143" i="329"/>
  <c r="W143" i="329"/>
  <c r="U143" i="329"/>
  <c r="V143" i="329" s="1"/>
  <c r="X143" i="329" s="1"/>
  <c r="U213" i="330"/>
  <c r="V213" i="330" s="1"/>
  <c r="X213" i="330" s="1"/>
  <c r="W213" i="330"/>
  <c r="Y213" i="330"/>
  <c r="Y59" i="330"/>
  <c r="U59" i="330"/>
  <c r="W59" i="330"/>
  <c r="Y72" i="330"/>
  <c r="W72" i="330"/>
  <c r="U72" i="330"/>
  <c r="X72" i="330" s="1"/>
  <c r="V72" i="330"/>
  <c r="X196" i="330"/>
  <c r="Y138" i="329"/>
  <c r="W138" i="329"/>
  <c r="V138" i="329" s="1"/>
  <c r="U138" i="329"/>
  <c r="X138" i="329" s="1"/>
  <c r="Y98" i="329"/>
  <c r="W98" i="329"/>
  <c r="V98" i="329"/>
  <c r="U98" i="329"/>
  <c r="X98" i="329" s="1"/>
  <c r="Y201" i="330"/>
  <c r="W201" i="330"/>
  <c r="U201" i="330"/>
  <c r="Y69" i="330"/>
  <c r="W69" i="330"/>
  <c r="V69" i="330" s="1"/>
  <c r="X69" i="330" s="1"/>
  <c r="U69" i="330"/>
  <c r="Y51" i="330"/>
  <c r="X51" i="330"/>
  <c r="V51" i="330"/>
  <c r="U51" i="330"/>
  <c r="W51" i="330"/>
  <c r="V131" i="329"/>
  <c r="X131" i="329" s="1"/>
  <c r="U131" i="329"/>
  <c r="Y131" i="329"/>
  <c r="W131" i="329"/>
  <c r="Y58" i="330"/>
  <c r="U58" i="330"/>
  <c r="V58" i="330" s="1"/>
  <c r="X58" i="330" s="1"/>
  <c r="W58" i="330"/>
  <c r="Y36" i="329"/>
  <c r="W36" i="329"/>
  <c r="U36" i="329"/>
  <c r="V36" i="329" s="1"/>
  <c r="X36" i="329" s="1"/>
  <c r="Y202" i="330"/>
  <c r="U202" i="330"/>
  <c r="W202" i="330"/>
  <c r="V202" i="330" s="1"/>
  <c r="X202" i="330" s="1"/>
  <c r="X92" i="330"/>
  <c r="W26" i="330"/>
  <c r="Y26" i="330"/>
  <c r="U26" i="330"/>
  <c r="V26" i="330" s="1"/>
  <c r="X26" i="330" s="1"/>
  <c r="W65" i="329"/>
  <c r="V65" i="329"/>
  <c r="X65" i="329" s="1"/>
  <c r="U65" i="329"/>
  <c r="Y65" i="329"/>
  <c r="X34" i="330"/>
  <c r="Y212" i="330"/>
  <c r="W212" i="330"/>
  <c r="U212" i="330"/>
  <c r="V212" i="330" s="1"/>
  <c r="U190" i="330"/>
  <c r="X190" i="330" s="1"/>
  <c r="W190" i="330"/>
  <c r="V190" i="330"/>
  <c r="Y190" i="330"/>
  <c r="W229" i="330"/>
  <c r="U229" i="330"/>
  <c r="V229" i="330" s="1"/>
  <c r="Y229" i="330"/>
  <c r="Y213" i="329"/>
  <c r="W213" i="329"/>
  <c r="U213" i="329"/>
  <c r="V213" i="329" s="1"/>
  <c r="X83" i="330"/>
  <c r="U101" i="329"/>
  <c r="Y101" i="329"/>
  <c r="W101" i="329"/>
  <c r="V101" i="329" s="1"/>
  <c r="U75" i="330"/>
  <c r="Y75" i="330"/>
  <c r="W75" i="330"/>
  <c r="Y151" i="330"/>
  <c r="W151" i="330"/>
  <c r="U151" i="330"/>
  <c r="V151" i="330" s="1"/>
  <c r="W203" i="329"/>
  <c r="Y203" i="329"/>
  <c r="X203" i="329"/>
  <c r="V203" i="329"/>
  <c r="U203" i="329"/>
  <c r="W74" i="329"/>
  <c r="U74" i="329"/>
  <c r="V74" i="329" s="1"/>
  <c r="Y74" i="329"/>
  <c r="Y68" i="329"/>
  <c r="W68" i="329"/>
  <c r="V68" i="329" s="1"/>
  <c r="U68" i="329"/>
  <c r="Y51" i="329"/>
  <c r="W51" i="329"/>
  <c r="U51" i="329"/>
  <c r="V51" i="329" s="1"/>
  <c r="X51" i="329" s="1"/>
  <c r="AA96" i="329"/>
  <c r="AD96" i="329"/>
  <c r="AE185" i="330"/>
  <c r="AC185" i="330"/>
  <c r="AB185" i="330" s="1"/>
  <c r="AF185" i="330" s="1"/>
  <c r="AD90" i="330"/>
  <c r="AA90" i="330"/>
  <c r="V77" i="330"/>
  <c r="X77" i="330" s="1"/>
  <c r="Y145" i="330"/>
  <c r="V145" i="330"/>
  <c r="W145" i="330"/>
  <c r="U145" i="330"/>
  <c r="X145" i="330" s="1"/>
  <c r="Y67" i="330"/>
  <c r="U67" i="330"/>
  <c r="W67" i="330"/>
  <c r="U194" i="330"/>
  <c r="W194" i="330"/>
  <c r="X194" i="330"/>
  <c r="Y194" i="330"/>
  <c r="V194" i="330"/>
  <c r="AD198" i="330"/>
  <c r="AA198" i="330"/>
  <c r="W32" i="330"/>
  <c r="V32" i="330" s="1"/>
  <c r="Y32" i="330"/>
  <c r="U32" i="330"/>
  <c r="X210" i="330"/>
  <c r="J128" i="329"/>
  <c r="S125" i="329"/>
  <c r="AE80" i="330"/>
  <c r="AC80" i="330"/>
  <c r="AB80" i="330" s="1"/>
  <c r="AF80" i="330" s="1"/>
  <c r="AD107" i="330"/>
  <c r="AA107" i="330"/>
  <c r="W52" i="329"/>
  <c r="Y52" i="329"/>
  <c r="V52" i="329"/>
  <c r="X52" i="329" s="1"/>
  <c r="U52" i="329"/>
  <c r="V81" i="329"/>
  <c r="X81" i="329" s="1"/>
  <c r="Y18" i="329"/>
  <c r="U18" i="329"/>
  <c r="AD43" i="329"/>
  <c r="AA43" i="329"/>
  <c r="X40" i="330"/>
  <c r="AD70" i="329"/>
  <c r="AA70" i="329"/>
  <c r="AD78" i="329"/>
  <c r="AA78" i="329"/>
  <c r="AD156" i="329"/>
  <c r="AA156" i="329"/>
  <c r="Y54" i="329"/>
  <c r="W54" i="329"/>
  <c r="U54" i="329"/>
  <c r="X47" i="329"/>
  <c r="AA25" i="329"/>
  <c r="AD25" i="329"/>
  <c r="AD44" i="329"/>
  <c r="AA44" i="329"/>
  <c r="Y135" i="330"/>
  <c r="W135" i="330"/>
  <c r="U135" i="330"/>
  <c r="V135" i="330" s="1"/>
  <c r="X135" i="330" s="1"/>
  <c r="V196" i="330"/>
  <c r="V34" i="330"/>
  <c r="AA89" i="329"/>
  <c r="AD89" i="329"/>
  <c r="Y183" i="330"/>
  <c r="W183" i="330"/>
  <c r="V183" i="330"/>
  <c r="X183" i="330" s="1"/>
  <c r="U183" i="330"/>
  <c r="AA200" i="330"/>
  <c r="AD200" i="330"/>
  <c r="J216" i="330"/>
  <c r="Y43" i="330"/>
  <c r="U43" i="330"/>
  <c r="W43" i="330"/>
  <c r="V43" i="330" s="1"/>
  <c r="X43" i="330" s="1"/>
  <c r="AA78" i="330"/>
  <c r="AD78" i="330"/>
  <c r="U189" i="330"/>
  <c r="V189" i="330" s="1"/>
  <c r="Y189" i="330"/>
  <c r="W189" i="330"/>
  <c r="AD211" i="329"/>
  <c r="AA211" i="329"/>
  <c r="W161" i="330"/>
  <c r="Y161" i="330"/>
  <c r="U161" i="330"/>
  <c r="V161" i="330" s="1"/>
  <c r="W158" i="329"/>
  <c r="Y158" i="329"/>
  <c r="U158" i="329"/>
  <c r="AF190" i="329"/>
  <c r="AE190" i="329"/>
  <c r="AB190" i="329"/>
  <c r="AC190" i="329"/>
  <c r="AD223" i="330"/>
  <c r="AA223" i="330"/>
  <c r="Y177" i="330"/>
  <c r="W177" i="330"/>
  <c r="U177" i="330"/>
  <c r="W135" i="329"/>
  <c r="Y135" i="329"/>
  <c r="U135" i="329"/>
  <c r="V135" i="329" s="1"/>
  <c r="X135" i="329" s="1"/>
  <c r="Y133" i="329"/>
  <c r="U133" i="329"/>
  <c r="W133" i="329"/>
  <c r="V133" i="329" s="1"/>
  <c r="Y230" i="329"/>
  <c r="W230" i="329"/>
  <c r="U230" i="329"/>
  <c r="V230" i="329" s="1"/>
  <c r="X230" i="329" s="1"/>
  <c r="Y174" i="330"/>
  <c r="V174" i="330"/>
  <c r="U174" i="330"/>
  <c r="X174" i="330" s="1"/>
  <c r="W174" i="330"/>
  <c r="W24" i="330"/>
  <c r="Y24" i="330"/>
  <c r="U24" i="330"/>
  <c r="V24" i="330" s="1"/>
  <c r="X24" i="330" s="1"/>
  <c r="V34" i="329"/>
  <c r="AD126" i="329"/>
  <c r="AA126" i="329"/>
  <c r="AE225" i="329"/>
  <c r="AC225" i="329"/>
  <c r="AB225" i="329" s="1"/>
  <c r="AF225" i="329" s="1"/>
  <c r="AA53" i="329"/>
  <c r="AD53" i="329"/>
  <c r="Y102" i="329"/>
  <c r="W102" i="329"/>
  <c r="U102" i="329"/>
  <c r="AE80" i="329"/>
  <c r="AC80" i="329"/>
  <c r="AB80" i="329" s="1"/>
  <c r="AF80" i="329" s="1"/>
  <c r="Y35" i="329"/>
  <c r="W35" i="329"/>
  <c r="V35" i="329"/>
  <c r="U35" i="329"/>
  <c r="X35" i="329" s="1"/>
  <c r="Y63" i="329"/>
  <c r="W63" i="329"/>
  <c r="U63" i="329"/>
  <c r="AD20" i="329"/>
  <c r="AA20" i="329"/>
  <c r="U149" i="330"/>
  <c r="W149" i="330"/>
  <c r="V149" i="330"/>
  <c r="Y149" i="330"/>
  <c r="X149" i="330"/>
  <c r="X215" i="330"/>
  <c r="Y165" i="330"/>
  <c r="W165" i="330"/>
  <c r="U165" i="330"/>
  <c r="V165" i="330" s="1"/>
  <c r="V80" i="330"/>
  <c r="X80" i="330" s="1"/>
  <c r="W187" i="329"/>
  <c r="U187" i="329"/>
  <c r="Y187" i="329"/>
  <c r="AA209" i="330"/>
  <c r="AD209" i="330"/>
  <c r="S39" i="330"/>
  <c r="J123" i="330"/>
  <c r="S18" i="330"/>
  <c r="J37" i="330"/>
  <c r="AA175" i="330"/>
  <c r="AD175" i="330"/>
  <c r="V78" i="330"/>
  <c r="X78" i="330" s="1"/>
  <c r="U132" i="329"/>
  <c r="X132" i="329" s="1"/>
  <c r="W132" i="329"/>
  <c r="V132" i="329"/>
  <c r="Y132" i="329"/>
  <c r="AD181" i="329"/>
  <c r="AA181" i="329"/>
  <c r="AA153" i="330"/>
  <c r="AD153" i="330"/>
  <c r="AA112" i="329"/>
  <c r="AD112" i="329"/>
  <c r="AD31" i="330"/>
  <c r="AA31" i="330"/>
  <c r="I233" i="329"/>
  <c r="AD120" i="329"/>
  <c r="AA120" i="329"/>
  <c r="W32" i="329"/>
  <c r="Y32" i="329"/>
  <c r="U32" i="329"/>
  <c r="AA113" i="330"/>
  <c r="AD113" i="330"/>
  <c r="AD95" i="329"/>
  <c r="AA95" i="329"/>
  <c r="AD54" i="330"/>
  <c r="AA54" i="330"/>
  <c r="V28" i="330"/>
  <c r="X28" i="330" s="1"/>
  <c r="V156" i="329"/>
  <c r="X156" i="329" s="1"/>
  <c r="Y55" i="329"/>
  <c r="X55" i="329"/>
  <c r="W55" i="329"/>
  <c r="V55" i="329"/>
  <c r="U55" i="329"/>
  <c r="S123" i="329"/>
  <c r="V184" i="330"/>
  <c r="X184" i="330" s="1"/>
  <c r="AD147" i="329"/>
  <c r="AA147" i="329"/>
  <c r="V215" i="330"/>
  <c r="X154" i="330"/>
  <c r="V154" i="330"/>
  <c r="T171" i="330"/>
  <c r="S172" i="330"/>
  <c r="Y65" i="330"/>
  <c r="X65" i="330"/>
  <c r="V65" i="330"/>
  <c r="U65" i="330"/>
  <c r="W65" i="330"/>
  <c r="Y194" i="329"/>
  <c r="W194" i="329"/>
  <c r="U194" i="329"/>
  <c r="AE79" i="330"/>
  <c r="AC79" i="330"/>
  <c r="AB79" i="330"/>
  <c r="AF79" i="330" s="1"/>
  <c r="X158" i="330"/>
  <c r="AD92" i="330"/>
  <c r="AA92" i="330"/>
  <c r="AE154" i="330"/>
  <c r="AC154" i="330"/>
  <c r="AB154" i="330" s="1"/>
  <c r="AF154" i="330" s="1"/>
  <c r="AD29" i="330"/>
  <c r="AA29" i="330"/>
  <c r="AD76" i="330"/>
  <c r="AA76" i="330"/>
  <c r="U174" i="329"/>
  <c r="Y174" i="329"/>
  <c r="W174" i="329"/>
  <c r="W20" i="330"/>
  <c r="Y20" i="330"/>
  <c r="U20" i="330"/>
  <c r="V20" i="330" s="1"/>
  <c r="X20" i="330" s="1"/>
  <c r="AD207" i="329"/>
  <c r="AA207" i="329"/>
  <c r="W117" i="329"/>
  <c r="V117" i="329"/>
  <c r="Y117" i="329"/>
  <c r="U117" i="329"/>
  <c r="X117" i="329" s="1"/>
  <c r="AD162" i="329"/>
  <c r="AA162" i="329"/>
  <c r="X132" i="330"/>
  <c r="AD189" i="329"/>
  <c r="AA189" i="329"/>
  <c r="AD163" i="329"/>
  <c r="AA163" i="329"/>
  <c r="V50" i="329"/>
  <c r="X50" i="329" s="1"/>
  <c r="AD28" i="330"/>
  <c r="AA28" i="330"/>
  <c r="AA40" i="330"/>
  <c r="AD40" i="330"/>
  <c r="AD228" i="329"/>
  <c r="AA228" i="329"/>
  <c r="J123" i="329"/>
  <c r="W35" i="330"/>
  <c r="U35" i="330"/>
  <c r="Y35" i="330"/>
  <c r="W59" i="329"/>
  <c r="Y59" i="329"/>
  <c r="U59" i="329"/>
  <c r="V59" i="329" s="1"/>
  <c r="V225" i="330"/>
  <c r="X225" i="330" s="1"/>
  <c r="Y143" i="330"/>
  <c r="W143" i="330"/>
  <c r="U143" i="330"/>
  <c r="W167" i="330"/>
  <c r="V167" i="330" s="1"/>
  <c r="X167" i="330" s="1"/>
  <c r="U167" i="330"/>
  <c r="Y167" i="330"/>
  <c r="Y50" i="330"/>
  <c r="U50" i="330"/>
  <c r="W50" i="330"/>
  <c r="AD158" i="330"/>
  <c r="AA158" i="330"/>
  <c r="W27" i="330"/>
  <c r="Y27" i="330"/>
  <c r="V27" i="330"/>
  <c r="U27" i="330"/>
  <c r="X27" i="330" s="1"/>
  <c r="AD46" i="330"/>
  <c r="AA46" i="330"/>
  <c r="AD88" i="330"/>
  <c r="AA88" i="330"/>
  <c r="Y197" i="329"/>
  <c r="W197" i="329"/>
  <c r="U197" i="329"/>
  <c r="J232" i="330"/>
  <c r="S221" i="330"/>
  <c r="Y47" i="330"/>
  <c r="U47" i="330"/>
  <c r="V47" i="330" s="1"/>
  <c r="X47" i="330" s="1"/>
  <c r="W47" i="330"/>
  <c r="AD86" i="330"/>
  <c r="AA86" i="330"/>
  <c r="V159" i="329"/>
  <c r="X159" i="329" s="1"/>
  <c r="J168" i="330"/>
  <c r="S130" i="330"/>
  <c r="AD225" i="330"/>
  <c r="AA225" i="330"/>
  <c r="Y64" i="330"/>
  <c r="U64" i="330"/>
  <c r="W64" i="330"/>
  <c r="X131" i="330"/>
  <c r="X90" i="330"/>
  <c r="X91" i="330"/>
  <c r="W25" i="330"/>
  <c r="Y25" i="330"/>
  <c r="U25" i="330"/>
  <c r="Y186" i="329"/>
  <c r="W186" i="329"/>
  <c r="U186" i="329"/>
  <c r="V186" i="329" s="1"/>
  <c r="X186" i="329" s="1"/>
  <c r="AD224" i="329"/>
  <c r="AA224" i="329"/>
  <c r="AA140" i="330"/>
  <c r="AD140" i="330"/>
  <c r="W180" i="330"/>
  <c r="V180" i="330"/>
  <c r="U180" i="330"/>
  <c r="X180" i="330" s="1"/>
  <c r="Y180" i="330"/>
  <c r="Z123" i="330"/>
  <c r="Z233" i="330" s="1"/>
  <c r="V88" i="330"/>
  <c r="X88" i="330" s="1"/>
  <c r="AD179" i="329"/>
  <c r="AA179" i="329"/>
  <c r="V225" i="329"/>
  <c r="X225" i="329" s="1"/>
  <c r="X101" i="330"/>
  <c r="Y142" i="329"/>
  <c r="W142" i="329"/>
  <c r="V142" i="329"/>
  <c r="U142" i="329"/>
  <c r="X142" i="329"/>
  <c r="W26" i="329"/>
  <c r="W37" i="329" s="1"/>
  <c r="V26" i="329"/>
  <c r="Y26" i="329"/>
  <c r="U26" i="329"/>
  <c r="X26" i="329" s="1"/>
  <c r="AD88" i="329"/>
  <c r="AA88" i="329"/>
  <c r="Y103" i="329"/>
  <c r="W103" i="329"/>
  <c r="U103" i="329"/>
  <c r="AD132" i="330"/>
  <c r="AA132" i="330"/>
  <c r="Y33" i="329"/>
  <c r="W33" i="329"/>
  <c r="V33" i="329"/>
  <c r="U33" i="329"/>
  <c r="X33" i="329" s="1"/>
  <c r="V82" i="330"/>
  <c r="X82" i="330" s="1"/>
  <c r="AD208" i="329"/>
  <c r="AA208" i="329"/>
  <c r="V89" i="329"/>
  <c r="X89" i="329" s="1"/>
  <c r="AA111" i="329"/>
  <c r="AD111" i="329"/>
  <c r="V29" i="329"/>
  <c r="X29" i="329" s="1"/>
  <c r="X31" i="329"/>
  <c r="J37" i="329"/>
  <c r="S17" i="329"/>
  <c r="Z37" i="329"/>
  <c r="AD73" i="329"/>
  <c r="AA73" i="329"/>
  <c r="AD19" i="329"/>
  <c r="AA19" i="329"/>
  <c r="U229" i="329"/>
  <c r="Y229" i="329"/>
  <c r="X229" i="329"/>
  <c r="W229" i="329"/>
  <c r="V229" i="329"/>
  <c r="W164" i="329"/>
  <c r="U164" i="329"/>
  <c r="V164" i="329" s="1"/>
  <c r="X164" i="329" s="1"/>
  <c r="Y164" i="329"/>
  <c r="W226" i="330"/>
  <c r="Y226" i="330"/>
  <c r="V226" i="330"/>
  <c r="U226" i="330"/>
  <c r="X226" i="330" s="1"/>
  <c r="X179" i="330"/>
  <c r="Y61" i="330"/>
  <c r="V61" i="330"/>
  <c r="X61" i="330" s="1"/>
  <c r="U61" i="330"/>
  <c r="W61" i="330"/>
  <c r="W147" i="330"/>
  <c r="Y147" i="330"/>
  <c r="U147" i="330"/>
  <c r="V147" i="330" s="1"/>
  <c r="X147" i="330" s="1"/>
  <c r="Y137" i="330"/>
  <c r="W137" i="330"/>
  <c r="V137" i="330" s="1"/>
  <c r="U137" i="330"/>
  <c r="X137" i="330" s="1"/>
  <c r="Y98" i="330"/>
  <c r="W98" i="330"/>
  <c r="U98" i="330"/>
  <c r="V98" i="330" s="1"/>
  <c r="X98" i="330" s="1"/>
  <c r="U151" i="329"/>
  <c r="Y151" i="329"/>
  <c r="W151" i="329"/>
  <c r="V151" i="329" s="1"/>
  <c r="X151" i="329" s="1"/>
  <c r="T232" i="329"/>
  <c r="U221" i="329"/>
  <c r="U232" i="329" s="1"/>
  <c r="Y221" i="329"/>
  <c r="W221" i="329"/>
  <c r="Y115" i="330"/>
  <c r="W115" i="330"/>
  <c r="U115" i="330"/>
  <c r="Y209" i="329"/>
  <c r="W209" i="329"/>
  <c r="U209" i="329"/>
  <c r="V209" i="329" s="1"/>
  <c r="AE116" i="330"/>
  <c r="AC116" i="330"/>
  <c r="AF116" i="330"/>
  <c r="AB116" i="330"/>
  <c r="V44" i="330"/>
  <c r="X44" i="330" s="1"/>
  <c r="AD101" i="330"/>
  <c r="AA101" i="330"/>
  <c r="V199" i="329"/>
  <c r="X199" i="329" s="1"/>
  <c r="V86" i="330"/>
  <c r="X86" i="330" s="1"/>
  <c r="V104" i="330"/>
  <c r="X104" i="330" s="1"/>
  <c r="Y122" i="329"/>
  <c r="W122" i="329"/>
  <c r="U122" i="329"/>
  <c r="V127" i="329"/>
  <c r="W149" i="329"/>
  <c r="U149" i="329"/>
  <c r="V149" i="329" s="1"/>
  <c r="X149" i="329" s="1"/>
  <c r="Y149" i="329"/>
  <c r="V28" i="329"/>
  <c r="U28" i="329"/>
  <c r="Y28" i="329"/>
  <c r="X28" i="329"/>
  <c r="W28" i="329"/>
  <c r="AD191" i="329"/>
  <c r="AA191" i="329"/>
  <c r="AE223" i="329"/>
  <c r="AB223" i="329"/>
  <c r="AF223" i="329" s="1"/>
  <c r="AC223" i="329"/>
  <c r="U100" i="329"/>
  <c r="V100" i="329" s="1"/>
  <c r="X100" i="329" s="1"/>
  <c r="Y100" i="329"/>
  <c r="W100" i="329"/>
  <c r="AD82" i="329"/>
  <c r="AA82" i="329"/>
  <c r="V208" i="329"/>
  <c r="X208" i="329" s="1"/>
  <c r="AD90" i="329"/>
  <c r="AA90" i="329"/>
  <c r="T123" i="329"/>
  <c r="Y39" i="329"/>
  <c r="W39" i="329"/>
  <c r="U39" i="329"/>
  <c r="V39" i="329" s="1"/>
  <c r="X93" i="329"/>
  <c r="X178" i="330"/>
  <c r="V79" i="329"/>
  <c r="X79" i="329" s="1"/>
  <c r="Y57" i="329"/>
  <c r="W57" i="329"/>
  <c r="U57" i="329"/>
  <c r="V57" i="329" s="1"/>
  <c r="X57" i="329" s="1"/>
  <c r="V104" i="329"/>
  <c r="X104" i="329" s="1"/>
  <c r="W218" i="330"/>
  <c r="W219" i="330" s="1"/>
  <c r="V218" i="330"/>
  <c r="V219" i="330" s="1"/>
  <c r="U218" i="330"/>
  <c r="U219" i="330" s="1"/>
  <c r="T219" i="330"/>
  <c r="Y218" i="330"/>
  <c r="AD179" i="330"/>
  <c r="AA179" i="330"/>
  <c r="W30" i="330"/>
  <c r="V30" i="330" s="1"/>
  <c r="X30" i="330" s="1"/>
  <c r="Y30" i="330"/>
  <c r="U30" i="330"/>
  <c r="AD205" i="330"/>
  <c r="AA205" i="330"/>
  <c r="J168" i="329"/>
  <c r="U195" i="330"/>
  <c r="Y195" i="330"/>
  <c r="W195" i="330"/>
  <c r="W141" i="330"/>
  <c r="U141" i="330"/>
  <c r="Y141" i="330"/>
  <c r="Y56" i="330"/>
  <c r="V56" i="330"/>
  <c r="U56" i="330"/>
  <c r="X56" i="330" s="1"/>
  <c r="W56" i="330"/>
  <c r="U99" i="330"/>
  <c r="V99" i="330" s="1"/>
  <c r="W99" i="330"/>
  <c r="Y99" i="330"/>
  <c r="W127" i="330"/>
  <c r="V127" i="330" s="1"/>
  <c r="X127" i="330" s="1"/>
  <c r="Y127" i="330"/>
  <c r="U127" i="330"/>
  <c r="V125" i="330"/>
  <c r="I233" i="330"/>
  <c r="V140" i="330"/>
  <c r="X140" i="330" s="1"/>
  <c r="V92" i="330"/>
  <c r="AA108" i="330"/>
  <c r="AD108" i="330"/>
  <c r="X224" i="329"/>
  <c r="S178" i="329"/>
  <c r="J216" i="329"/>
  <c r="AA184" i="330"/>
  <c r="AD184" i="330"/>
  <c r="W36" i="330"/>
  <c r="V36" i="330" s="1"/>
  <c r="X36" i="330" s="1"/>
  <c r="Y36" i="330"/>
  <c r="U36" i="330"/>
  <c r="Y139" i="329"/>
  <c r="U139" i="329"/>
  <c r="V139" i="329" s="1"/>
  <c r="X139" i="329" s="1"/>
  <c r="W139" i="329"/>
  <c r="AD146" i="329"/>
  <c r="AA146" i="329"/>
  <c r="U106" i="329"/>
  <c r="Y106" i="329"/>
  <c r="W106" i="329"/>
  <c r="AD198" i="329"/>
  <c r="AA198" i="329"/>
  <c r="AD127" i="329"/>
  <c r="AA127" i="329"/>
  <c r="V86" i="329"/>
  <c r="X86" i="329" s="1"/>
  <c r="AE202" i="329"/>
  <c r="AC202" i="329"/>
  <c r="AB202" i="329" s="1"/>
  <c r="AF202" i="329" s="1"/>
  <c r="AA150" i="329"/>
  <c r="AD150" i="329"/>
  <c r="Z123" i="329"/>
  <c r="Z233" i="329" s="1"/>
  <c r="AD93" i="329"/>
  <c r="AA93" i="329"/>
  <c r="V126" i="329"/>
  <c r="X126" i="329" s="1"/>
  <c r="AD79" i="329"/>
  <c r="AA79" i="329"/>
  <c r="AD85" i="329"/>
  <c r="AA85" i="329"/>
  <c r="AA31" i="329"/>
  <c r="AD31" i="329"/>
  <c r="V87" i="329"/>
  <c r="X87" i="329" s="1"/>
  <c r="V23" i="329"/>
  <c r="X23" i="329" s="1"/>
  <c r="U188" i="330"/>
  <c r="Y188" i="330"/>
  <c r="W188" i="330"/>
  <c r="V188" i="330" s="1"/>
  <c r="AD211" i="330"/>
  <c r="AA211" i="330"/>
  <c r="W126" i="330"/>
  <c r="Y126" i="330"/>
  <c r="U126" i="330"/>
  <c r="U128" i="330" s="1"/>
  <c r="U192" i="330"/>
  <c r="Y192" i="330"/>
  <c r="W192" i="330"/>
  <c r="V192" i="330" s="1"/>
  <c r="X192" i="330" s="1"/>
  <c r="Y53" i="330"/>
  <c r="U53" i="330"/>
  <c r="W53" i="330"/>
  <c r="AE91" i="330"/>
  <c r="AC91" i="330"/>
  <c r="AB91" i="330"/>
  <c r="AF91" i="330" s="1"/>
  <c r="AD125" i="330"/>
  <c r="AA125" i="330"/>
  <c r="Y128" i="330"/>
  <c r="T128" i="330"/>
  <c r="Y140" i="329"/>
  <c r="W140" i="329"/>
  <c r="U140" i="329"/>
  <c r="V140" i="329" s="1"/>
  <c r="X140" i="329" s="1"/>
  <c r="Y196" i="329"/>
  <c r="W196" i="329"/>
  <c r="U196" i="329"/>
  <c r="V196" i="329" s="1"/>
  <c r="X196" i="329" s="1"/>
  <c r="V108" i="330"/>
  <c r="X108" i="330" s="1"/>
  <c r="W205" i="329"/>
  <c r="Y205" i="329"/>
  <c r="V205" i="329"/>
  <c r="X205" i="329" s="1"/>
  <c r="U205" i="329"/>
  <c r="M216" i="329"/>
  <c r="M233" i="329" s="1"/>
  <c r="AD44" i="330"/>
  <c r="AA44" i="330"/>
  <c r="Y155" i="330"/>
  <c r="V155" i="330"/>
  <c r="U155" i="330"/>
  <c r="X155" i="330" s="1"/>
  <c r="W155" i="330"/>
  <c r="AD89" i="330"/>
  <c r="AA89" i="330"/>
  <c r="AD199" i="329"/>
  <c r="AA199" i="329"/>
  <c r="Y66" i="330"/>
  <c r="U66" i="330"/>
  <c r="V66" i="330" s="1"/>
  <c r="X66" i="330" s="1"/>
  <c r="W66" i="330"/>
  <c r="AA163" i="330"/>
  <c r="AD163" i="330"/>
  <c r="AD104" i="330"/>
  <c r="AA104" i="330"/>
  <c r="V122" i="330"/>
  <c r="X122" i="330" s="1"/>
  <c r="V171" i="329"/>
  <c r="V172" i="329" s="1"/>
  <c r="AB86" i="329"/>
  <c r="AF86" i="329" s="1"/>
  <c r="AD166" i="330"/>
  <c r="AA166" i="330"/>
  <c r="V33" i="330"/>
  <c r="X33" i="330" s="1"/>
  <c r="W75" i="329"/>
  <c r="U75" i="329"/>
  <c r="V75" i="329" s="1"/>
  <c r="X75" i="329" s="1"/>
  <c r="Y75" i="329"/>
  <c r="AE110" i="330"/>
  <c r="AC110" i="330"/>
  <c r="AB110" i="330" s="1"/>
  <c r="AF110" i="330" s="1"/>
  <c r="AA104" i="329"/>
  <c r="AD104" i="329"/>
  <c r="Y64" i="329"/>
  <c r="X64" i="329"/>
  <c r="W64" i="329"/>
  <c r="V64" i="329"/>
  <c r="U64" i="329"/>
  <c r="V121" i="330"/>
  <c r="X121" i="330" s="1"/>
  <c r="V21" i="329"/>
  <c r="AD45" i="329"/>
  <c r="AA45" i="329"/>
  <c r="Y138" i="330"/>
  <c r="U138" i="330"/>
  <c r="V138" i="330"/>
  <c r="X138" i="330"/>
  <c r="W138" i="330"/>
  <c r="Y160" i="329"/>
  <c r="W160" i="329"/>
  <c r="U160" i="329"/>
  <c r="X160" i="329" s="1"/>
  <c r="V160" i="329"/>
  <c r="S182" i="330"/>
  <c r="T182" i="330" s="1"/>
  <c r="U187" i="330"/>
  <c r="V187" i="330" s="1"/>
  <c r="Y187" i="330"/>
  <c r="W187" i="330"/>
  <c r="AA111" i="330"/>
  <c r="AD111" i="330"/>
  <c r="Y48" i="330"/>
  <c r="V48" i="330"/>
  <c r="U48" i="330"/>
  <c r="X48" i="330" s="1"/>
  <c r="W48" i="330"/>
  <c r="V93" i="330"/>
  <c r="AD117" i="330"/>
  <c r="AA117" i="330"/>
  <c r="W128" i="330"/>
  <c r="V117" i="330"/>
  <c r="X117" i="330" s="1"/>
  <c r="AD105" i="330"/>
  <c r="AA105" i="330"/>
  <c r="Y136" i="329"/>
  <c r="W136" i="329"/>
  <c r="U136" i="329"/>
  <c r="V136" i="329" s="1"/>
  <c r="X190" i="329"/>
  <c r="AD85" i="330"/>
  <c r="AA85" i="330"/>
  <c r="J232" i="329"/>
  <c r="AA210" i="330"/>
  <c r="AD210" i="330"/>
  <c r="Y134" i="329"/>
  <c r="W134" i="329"/>
  <c r="U134" i="329"/>
  <c r="Y110" i="329"/>
  <c r="W110" i="329"/>
  <c r="U110" i="329"/>
  <c r="V96" i="329"/>
  <c r="X96" i="329" s="1"/>
  <c r="V166" i="330"/>
  <c r="X166" i="330" s="1"/>
  <c r="Y71" i="329"/>
  <c r="W71" i="329"/>
  <c r="V71" i="329"/>
  <c r="U71" i="329"/>
  <c r="X71" i="329" s="1"/>
  <c r="AD33" i="330"/>
  <c r="AA33" i="330"/>
  <c r="Y56" i="329"/>
  <c r="V56" i="329"/>
  <c r="X56" i="329" s="1"/>
  <c r="W56" i="329"/>
  <c r="U56" i="329"/>
  <c r="AD30" i="329"/>
  <c r="AA30" i="329"/>
  <c r="Y67" i="329"/>
  <c r="W67" i="329"/>
  <c r="U67" i="329"/>
  <c r="V67" i="329" s="1"/>
  <c r="X67" i="329" s="1"/>
  <c r="AD47" i="329"/>
  <c r="AA47" i="329"/>
  <c r="AD23" i="329"/>
  <c r="AA23" i="329"/>
  <c r="AD118" i="329"/>
  <c r="AA118" i="329"/>
  <c r="Y203" i="330"/>
  <c r="V203" i="330"/>
  <c r="U203" i="330"/>
  <c r="X203" i="330" s="1"/>
  <c r="W203" i="330"/>
  <c r="Y45" i="330"/>
  <c r="U45" i="330"/>
  <c r="W45" i="330"/>
  <c r="AA94" i="330"/>
  <c r="AD94" i="330"/>
  <c r="X125" i="330"/>
  <c r="V208" i="330"/>
  <c r="X208" i="330" s="1"/>
  <c r="X102" i="330"/>
  <c r="AD175" i="329"/>
  <c r="AA175" i="329"/>
  <c r="V119" i="330"/>
  <c r="X119" i="330" s="1"/>
  <c r="Y180" i="329"/>
  <c r="W180" i="329"/>
  <c r="U180" i="329"/>
  <c r="V180" i="329" s="1"/>
  <c r="X180" i="329" s="1"/>
  <c r="AD148" i="330"/>
  <c r="AA148" i="330"/>
  <c r="V60" i="330"/>
  <c r="X60" i="330" s="1"/>
  <c r="V153" i="329"/>
  <c r="X153" i="329" s="1"/>
  <c r="X214" i="329"/>
  <c r="Y142" i="330"/>
  <c r="W142" i="330"/>
  <c r="U142" i="330"/>
  <c r="AD76" i="329"/>
  <c r="AA76" i="329"/>
  <c r="Y42" i="329"/>
  <c r="W42" i="329"/>
  <c r="U42" i="329"/>
  <c r="AA166" i="329"/>
  <c r="AD166" i="329"/>
  <c r="AD87" i="329"/>
  <c r="AA87" i="329"/>
  <c r="AA121" i="330"/>
  <c r="AD121" i="330"/>
  <c r="AD21" i="329"/>
  <c r="AA21" i="329"/>
  <c r="V22" i="329"/>
  <c r="X22" i="329" s="1"/>
  <c r="AD29" i="329"/>
  <c r="AA29" i="329"/>
  <c r="P233" i="330"/>
  <c r="Y42" i="330"/>
  <c r="U42" i="330"/>
  <c r="V42" i="330" s="1"/>
  <c r="X42" i="330" s="1"/>
  <c r="W42" i="330"/>
  <c r="W97" i="330"/>
  <c r="U97" i="330"/>
  <c r="Y97" i="330"/>
  <c r="V97" i="330"/>
  <c r="X97" i="330" s="1"/>
  <c r="U167" i="329"/>
  <c r="V167" i="329" s="1"/>
  <c r="X167" i="329" s="1"/>
  <c r="Y167" i="329"/>
  <c r="W167" i="329"/>
  <c r="Y68" i="330"/>
  <c r="W68" i="330"/>
  <c r="U68" i="330"/>
  <c r="V68" i="330" s="1"/>
  <c r="X68" i="330" s="1"/>
  <c r="W141" i="329"/>
  <c r="U141" i="329"/>
  <c r="V141" i="329" s="1"/>
  <c r="Y141" i="329"/>
  <c r="AD214" i="330"/>
  <c r="AA214" i="330"/>
  <c r="AD188" i="329"/>
  <c r="AA188" i="329"/>
  <c r="X127" i="329"/>
  <c r="AD122" i="330"/>
  <c r="AA122" i="330"/>
  <c r="AA94" i="329"/>
  <c r="AD94" i="329"/>
  <c r="Y103" i="330"/>
  <c r="W103" i="330"/>
  <c r="U103" i="330"/>
  <c r="V103" i="330" s="1"/>
  <c r="X103" i="330" s="1"/>
  <c r="U66" i="329"/>
  <c r="V66" i="329" s="1"/>
  <c r="X66" i="329" s="1"/>
  <c r="W66" i="329"/>
  <c r="Y66" i="329"/>
  <c r="AD214" i="329"/>
  <c r="AA214" i="329"/>
  <c r="Y40" i="329"/>
  <c r="W40" i="329"/>
  <c r="U40" i="329"/>
  <c r="Y100" i="330"/>
  <c r="W100" i="330"/>
  <c r="U100" i="330"/>
  <c r="X82" i="329"/>
  <c r="V82" i="329"/>
  <c r="Y55" i="330"/>
  <c r="U55" i="330"/>
  <c r="W55" i="330"/>
  <c r="AC171" i="329"/>
  <c r="AC172" i="329" s="1"/>
  <c r="AA172" i="329"/>
  <c r="AB171" i="329"/>
  <c r="AB172" i="329" s="1"/>
  <c r="AE171" i="329"/>
  <c r="AE172" i="329" s="1"/>
  <c r="AD49" i="329"/>
  <c r="AA49" i="329"/>
  <c r="AD193" i="329"/>
  <c r="AA193" i="329"/>
  <c r="AE50" i="329"/>
  <c r="AC50" i="329"/>
  <c r="AB50" i="329" s="1"/>
  <c r="AF50" i="329" s="1"/>
  <c r="Y156" i="330"/>
  <c r="W156" i="330"/>
  <c r="V156" i="330"/>
  <c r="U156" i="330"/>
  <c r="X156" i="330" s="1"/>
  <c r="Y57" i="330"/>
  <c r="V57" i="330"/>
  <c r="U57" i="330"/>
  <c r="X57" i="330" s="1"/>
  <c r="W57" i="330"/>
  <c r="AD176" i="330"/>
  <c r="AA176" i="330"/>
  <c r="AD24" i="329"/>
  <c r="AA24" i="329"/>
  <c r="AD206" i="330"/>
  <c r="AA206" i="330"/>
  <c r="X84" i="329"/>
  <c r="W22" i="330"/>
  <c r="V22" i="330" s="1"/>
  <c r="U22" i="330"/>
  <c r="Y22" i="330"/>
  <c r="AD87" i="330"/>
  <c r="AA87" i="330"/>
  <c r="V84" i="330"/>
  <c r="X84" i="330" s="1"/>
  <c r="V81" i="330"/>
  <c r="X81" i="330" s="1"/>
  <c r="AD102" i="330"/>
  <c r="AA102" i="330"/>
  <c r="W137" i="329"/>
  <c r="V137" i="329" s="1"/>
  <c r="X137" i="329" s="1"/>
  <c r="U137" i="329"/>
  <c r="Y137" i="329"/>
  <c r="U145" i="329"/>
  <c r="Y145" i="329"/>
  <c r="W145" i="329"/>
  <c r="W113" i="329"/>
  <c r="U113" i="329"/>
  <c r="V113" i="329" s="1"/>
  <c r="Y113" i="329"/>
  <c r="Y119" i="329"/>
  <c r="W119" i="329"/>
  <c r="U119" i="329"/>
  <c r="V119" i="329" s="1"/>
  <c r="X119" i="329" s="1"/>
  <c r="AE106" i="330"/>
  <c r="AC106" i="330"/>
  <c r="AB106" i="330" s="1"/>
  <c r="AF106" i="330" s="1"/>
  <c r="AA186" i="330"/>
  <c r="AD186" i="330"/>
  <c r="AD60" i="330"/>
  <c r="AA60" i="330"/>
  <c r="AD77" i="329"/>
  <c r="AA77" i="329"/>
  <c r="Y62" i="329"/>
  <c r="W62" i="329"/>
  <c r="V62" i="329" s="1"/>
  <c r="X62" i="329" s="1"/>
  <c r="U62" i="329"/>
  <c r="X155" i="329"/>
  <c r="Y72" i="329"/>
  <c r="W72" i="329"/>
  <c r="V72" i="329" s="1"/>
  <c r="X72" i="329" s="1"/>
  <c r="U72" i="329"/>
  <c r="V70" i="329"/>
  <c r="X70" i="329" s="1"/>
  <c r="AD108" i="329"/>
  <c r="AA108" i="329"/>
  <c r="AD22" i="329"/>
  <c r="AA22" i="329"/>
  <c r="Y152" i="330"/>
  <c r="W152" i="330"/>
  <c r="U152" i="330"/>
  <c r="V152" i="330" s="1"/>
  <c r="Y109" i="330"/>
  <c r="W109" i="330"/>
  <c r="U109" i="330"/>
  <c r="V109" i="330" s="1"/>
  <c r="AD207" i="330"/>
  <c r="AA207" i="330"/>
  <c r="AD196" i="330"/>
  <c r="AA196" i="330"/>
  <c r="AD159" i="329"/>
  <c r="AA159" i="329"/>
  <c r="W21" i="330"/>
  <c r="Y21" i="330"/>
  <c r="U21" i="330"/>
  <c r="V21" i="330" s="1"/>
  <c r="Y112" i="330"/>
  <c r="W112" i="330"/>
  <c r="U112" i="330"/>
  <c r="V112" i="330" s="1"/>
  <c r="X112" i="330" s="1"/>
  <c r="AD146" i="330"/>
  <c r="AA146" i="330"/>
  <c r="AE95" i="330"/>
  <c r="AC95" i="330"/>
  <c r="AB95" i="330"/>
  <c r="AF95" i="330" s="1"/>
  <c r="W99" i="329"/>
  <c r="U99" i="329"/>
  <c r="V99" i="329" s="1"/>
  <c r="X99" i="329" s="1"/>
  <c r="Y99" i="329"/>
  <c r="AA155" i="329"/>
  <c r="AD155" i="329"/>
  <c r="AD97" i="329"/>
  <c r="AA97" i="329"/>
  <c r="AD161" i="329"/>
  <c r="AA161" i="329"/>
  <c r="Y164" i="330"/>
  <c r="U164" i="330"/>
  <c r="V164" i="330" s="1"/>
  <c r="X164" i="330" s="1"/>
  <c r="W164" i="330"/>
  <c r="AD52" i="330"/>
  <c r="AA52" i="330"/>
  <c r="W148" i="329"/>
  <c r="Y148" i="329"/>
  <c r="U148" i="329"/>
  <c r="AD120" i="330"/>
  <c r="AA120" i="330"/>
  <c r="W165" i="329"/>
  <c r="Y165" i="329"/>
  <c r="U165" i="329"/>
  <c r="V165" i="329" s="1"/>
  <c r="X165" i="329" s="1"/>
  <c r="Y144" i="329"/>
  <c r="W144" i="329"/>
  <c r="U144" i="329"/>
  <c r="X144" i="329" s="1"/>
  <c r="V144" i="329"/>
  <c r="W210" i="329"/>
  <c r="U210" i="329"/>
  <c r="V210" i="329" s="1"/>
  <c r="X210" i="329" s="1"/>
  <c r="Y210" i="329"/>
  <c r="Y58" i="329"/>
  <c r="U58" i="329"/>
  <c r="W58" i="329"/>
  <c r="V58" i="329" s="1"/>
  <c r="X58" i="329" s="1"/>
  <c r="U60" i="329"/>
  <c r="V60" i="329" s="1"/>
  <c r="Y60" i="329"/>
  <c r="W60" i="329"/>
  <c r="T130" i="329"/>
  <c r="S168" i="329"/>
  <c r="AD34" i="330"/>
  <c r="AA34" i="330"/>
  <c r="AD222" i="329"/>
  <c r="AA222" i="329"/>
  <c r="AD82" i="330"/>
  <c r="AA82" i="330"/>
  <c r="AD84" i="329"/>
  <c r="AA84" i="329"/>
  <c r="AD178" i="330"/>
  <c r="AA178" i="330"/>
  <c r="AD69" i="329"/>
  <c r="AA69" i="329"/>
  <c r="W227" i="329"/>
  <c r="V227" i="329"/>
  <c r="U227" i="329"/>
  <c r="X227" i="329" s="1"/>
  <c r="Y227" i="329"/>
  <c r="Y41" i="330"/>
  <c r="V41" i="330"/>
  <c r="U41" i="330"/>
  <c r="X41" i="330" s="1"/>
  <c r="W41" i="330"/>
  <c r="AA176" i="329"/>
  <c r="AD176" i="329"/>
  <c r="W204" i="329"/>
  <c r="Y204" i="329"/>
  <c r="U204" i="329"/>
  <c r="AE177" i="329"/>
  <c r="AC177" i="329"/>
  <c r="AB177" i="329"/>
  <c r="AF177" i="329" s="1"/>
  <c r="U157" i="329"/>
  <c r="Y157" i="329"/>
  <c r="W157" i="329"/>
  <c r="W204" i="330"/>
  <c r="V204" i="330"/>
  <c r="U204" i="330"/>
  <c r="X204" i="330" s="1"/>
  <c r="Y204" i="330"/>
  <c r="U17" i="330"/>
  <c r="V17" i="330"/>
  <c r="Y17" i="330"/>
  <c r="AA81" i="330"/>
  <c r="AD81" i="330"/>
  <c r="AD208" i="330"/>
  <c r="AA208" i="330"/>
  <c r="AD119" i="330"/>
  <c r="AA119" i="330"/>
  <c r="AA83" i="330"/>
  <c r="AD83" i="330"/>
  <c r="AD74" i="330"/>
  <c r="AA74" i="330"/>
  <c r="AD62" i="330"/>
  <c r="AA62" i="330"/>
  <c r="AD144" i="330"/>
  <c r="AA144" i="330"/>
  <c r="Y136" i="330"/>
  <c r="W136" i="330"/>
  <c r="U136" i="330"/>
  <c r="J219" i="329"/>
  <c r="S218" i="329"/>
  <c r="AA83" i="329"/>
  <c r="AD83" i="329"/>
  <c r="AD153" i="329"/>
  <c r="AA153" i="329"/>
  <c r="U27" i="329"/>
  <c r="X27" i="329" s="1"/>
  <c r="W27" i="329"/>
  <c r="Y27" i="329"/>
  <c r="V27" i="329"/>
  <c r="W157" i="330"/>
  <c r="Y157" i="330"/>
  <c r="U157" i="330"/>
  <c r="AA81" i="329"/>
  <c r="AD81" i="329"/>
  <c r="U61" i="329"/>
  <c r="X61" i="329" s="1"/>
  <c r="W61" i="329"/>
  <c r="V61" i="329"/>
  <c r="Y61" i="329"/>
  <c r="Y41" i="329"/>
  <c r="W41" i="329"/>
  <c r="V41" i="329" s="1"/>
  <c r="X41" i="329" s="1"/>
  <c r="U41" i="329"/>
  <c r="AB92" i="329"/>
  <c r="AF92" i="329" s="1"/>
  <c r="AD91" i="329"/>
  <c r="AA91" i="329"/>
  <c r="H98" i="328"/>
  <c r="F100" i="328"/>
  <c r="G100" i="327"/>
  <c r="H487" i="328"/>
  <c r="E20" i="154" s="1"/>
  <c r="E19" i="154" l="1"/>
  <c r="BF42" i="333"/>
  <c r="BC42" i="333"/>
  <c r="BD42" i="333"/>
  <c r="BB42" i="333"/>
  <c r="BE42" i="333" s="1"/>
  <c r="BB85" i="333"/>
  <c r="BD85" i="333" s="1"/>
  <c r="BF85" i="333"/>
  <c r="BC85" i="333"/>
  <c r="BB106" i="333"/>
  <c r="BC106" i="333"/>
  <c r="BF106" i="333"/>
  <c r="BE106" i="333"/>
  <c r="BD106" i="333"/>
  <c r="BB56" i="333"/>
  <c r="BF56" i="333"/>
  <c r="BC56" i="333"/>
  <c r="BC197" i="333"/>
  <c r="BF197" i="333"/>
  <c r="BB197" i="333"/>
  <c r="BD197" i="333" s="1"/>
  <c r="BE197" i="333" s="1"/>
  <c r="BC145" i="333"/>
  <c r="BE145" i="333" s="1"/>
  <c r="BB145" i="333"/>
  <c r="BD145" i="333"/>
  <c r="BF145" i="333"/>
  <c r="BD165" i="333"/>
  <c r="BF165" i="333"/>
  <c r="BC165" i="333"/>
  <c r="BB165" i="333"/>
  <c r="BE165" i="333" s="1"/>
  <c r="BF51" i="333"/>
  <c r="BC51" i="333"/>
  <c r="BB51" i="333"/>
  <c r="BD51" i="333" s="1"/>
  <c r="BE51" i="333" s="1"/>
  <c r="BC64" i="333"/>
  <c r="BF64" i="333"/>
  <c r="BB64" i="333"/>
  <c r="BD82" i="333"/>
  <c r="BE82" i="333" s="1"/>
  <c r="BF82" i="333"/>
  <c r="BC82" i="333"/>
  <c r="BB82" i="333"/>
  <c r="BC181" i="333"/>
  <c r="BF181" i="333"/>
  <c r="BB181" i="333"/>
  <c r="BD181" i="333" s="1"/>
  <c r="BE75" i="333"/>
  <c r="BF170" i="333"/>
  <c r="BB170" i="333"/>
  <c r="BC170" i="333"/>
  <c r="BD170" i="333"/>
  <c r="BE170" i="333" s="1"/>
  <c r="BB65" i="333"/>
  <c r="BD65" i="333" s="1"/>
  <c r="BE65" i="333" s="1"/>
  <c r="BF65" i="333"/>
  <c r="BC65" i="333"/>
  <c r="BF111" i="333"/>
  <c r="BC111" i="333"/>
  <c r="BB111" i="333"/>
  <c r="BD111" i="333" s="1"/>
  <c r="BE111" i="333" s="1"/>
  <c r="BB78" i="333"/>
  <c r="BF78" i="333"/>
  <c r="BC78" i="333"/>
  <c r="BD60" i="333"/>
  <c r="BC60" i="333"/>
  <c r="BF60" i="333"/>
  <c r="BB60" i="333"/>
  <c r="BE60" i="333" s="1"/>
  <c r="BD49" i="333"/>
  <c r="BF49" i="333"/>
  <c r="BC49" i="333"/>
  <c r="BB49" i="333"/>
  <c r="BE49" i="333" s="1"/>
  <c r="BF62" i="333"/>
  <c r="BC62" i="333"/>
  <c r="BD62" i="333" s="1"/>
  <c r="BB62" i="333"/>
  <c r="BE62" i="333" s="1"/>
  <c r="BC193" i="333"/>
  <c r="BB193" i="333"/>
  <c r="BD193" i="333" s="1"/>
  <c r="BF193" i="333"/>
  <c r="BF55" i="333"/>
  <c r="BD55" i="333"/>
  <c r="BC55" i="333"/>
  <c r="BB55" i="333"/>
  <c r="BE55" i="333" s="1"/>
  <c r="BB176" i="333"/>
  <c r="BE176" i="333" s="1"/>
  <c r="BD176" i="333"/>
  <c r="BC176" i="333"/>
  <c r="BF176" i="333"/>
  <c r="BF81" i="333"/>
  <c r="BB81" i="333"/>
  <c r="BD81" i="333" s="1"/>
  <c r="BC81" i="333"/>
  <c r="BC182" i="333"/>
  <c r="BB182" i="333"/>
  <c r="BD182" i="333" s="1"/>
  <c r="BF182" i="333"/>
  <c r="BF83" i="333"/>
  <c r="BC83" i="333"/>
  <c r="BB83" i="333"/>
  <c r="BD83" i="333" s="1"/>
  <c r="BC133" i="333"/>
  <c r="BD133" i="333"/>
  <c r="BB133" i="333"/>
  <c r="BE133" i="333" s="1"/>
  <c r="BF133" i="333"/>
  <c r="BC101" i="333"/>
  <c r="BF101" i="333"/>
  <c r="BB101" i="333"/>
  <c r="BD101" i="333" s="1"/>
  <c r="BC80" i="333"/>
  <c r="BB80" i="333"/>
  <c r="BD80" i="333" s="1"/>
  <c r="BF80" i="333"/>
  <c r="BC180" i="333"/>
  <c r="BB180" i="333"/>
  <c r="BD180" i="333" s="1"/>
  <c r="BE180" i="333" s="1"/>
  <c r="BF180" i="333"/>
  <c r="BF171" i="333"/>
  <c r="BC171" i="333"/>
  <c r="BB171" i="333"/>
  <c r="BC96" i="333"/>
  <c r="BB96" i="333"/>
  <c r="BD96" i="333" s="1"/>
  <c r="BE96" i="333" s="1"/>
  <c r="BF96" i="333"/>
  <c r="BF118" i="333"/>
  <c r="BC118" i="333"/>
  <c r="BE118" i="333" s="1"/>
  <c r="BB118" i="333"/>
  <c r="BD118" i="333" s="1"/>
  <c r="Z125" i="333"/>
  <c r="Y135" i="333"/>
  <c r="BG125" i="333"/>
  <c r="BC172" i="333"/>
  <c r="BB172" i="333"/>
  <c r="BD172" i="333" s="1"/>
  <c r="BF172" i="333"/>
  <c r="AL143" i="333"/>
  <c r="AM136" i="333"/>
  <c r="AM143" i="333" s="1"/>
  <c r="BF116" i="333"/>
  <c r="BD116" i="333"/>
  <c r="BC116" i="333"/>
  <c r="BB116" i="333"/>
  <c r="BE116" i="333" s="1"/>
  <c r="BJ71" i="333"/>
  <c r="BH71" i="333"/>
  <c r="AL86" i="333"/>
  <c r="AM68" i="333"/>
  <c r="AM86" i="333" s="1"/>
  <c r="AM123" i="333"/>
  <c r="BG158" i="333"/>
  <c r="Z158" i="333"/>
  <c r="BA69" i="333"/>
  <c r="Z69" i="333"/>
  <c r="AZ69" i="333" s="1"/>
  <c r="BG69" i="333"/>
  <c r="AK68" i="333"/>
  <c r="AK86" i="333" s="1"/>
  <c r="AJ86" i="333"/>
  <c r="BF63" i="333"/>
  <c r="BC63" i="333"/>
  <c r="BB63" i="333"/>
  <c r="X201" i="333"/>
  <c r="BC115" i="333"/>
  <c r="BF115" i="333"/>
  <c r="BD115" i="333"/>
  <c r="BB115" i="333"/>
  <c r="BE115" i="333" s="1"/>
  <c r="BC198" i="333"/>
  <c r="BF198" i="333"/>
  <c r="BB198" i="333"/>
  <c r="BF59" i="333"/>
  <c r="BE59" i="333"/>
  <c r="BC59" i="333"/>
  <c r="BB59" i="333"/>
  <c r="BD59" i="333"/>
  <c r="Y152" i="333"/>
  <c r="Z144" i="333"/>
  <c r="BG144" i="333"/>
  <c r="AZ92" i="333"/>
  <c r="BA92" i="333" s="1"/>
  <c r="Z155" i="333"/>
  <c r="AZ155" i="333" s="1"/>
  <c r="BG155" i="333"/>
  <c r="BG156" i="333" s="1"/>
  <c r="BA155" i="333"/>
  <c r="BB98" i="333"/>
  <c r="BF98" i="333"/>
  <c r="BD98" i="333"/>
  <c r="BE98" i="333" s="1"/>
  <c r="BC98" i="333"/>
  <c r="BE148" i="333"/>
  <c r="Z189" i="333"/>
  <c r="AZ189" i="333" s="1"/>
  <c r="BA189" i="333" s="1"/>
  <c r="BG189" i="333"/>
  <c r="BJ75" i="333"/>
  <c r="BH75" i="333"/>
  <c r="BH52" i="333"/>
  <c r="BJ52" i="333"/>
  <c r="BA39" i="333"/>
  <c r="BG39" i="333"/>
  <c r="BG66" i="333" s="1"/>
  <c r="Z39" i="333"/>
  <c r="AZ39" i="333" s="1"/>
  <c r="Z164" i="333"/>
  <c r="AZ164" i="333" s="1"/>
  <c r="BA164" i="333"/>
  <c r="BG164" i="333"/>
  <c r="BD71" i="333"/>
  <c r="BE71" i="333" s="1"/>
  <c r="BC187" i="333"/>
  <c r="BB187" i="333"/>
  <c r="BF187" i="333"/>
  <c r="BJ134" i="333"/>
  <c r="BH134" i="333"/>
  <c r="BB191" i="333"/>
  <c r="BF191" i="333"/>
  <c r="BD191" i="333"/>
  <c r="BE191" i="333" s="1"/>
  <c r="BC191" i="333"/>
  <c r="BH132" i="333"/>
  <c r="BJ132" i="333"/>
  <c r="BJ186" i="333"/>
  <c r="BH186" i="333"/>
  <c r="BC94" i="333"/>
  <c r="BD94" i="333"/>
  <c r="BF94" i="333"/>
  <c r="BB94" i="333"/>
  <c r="BE94" i="333" s="1"/>
  <c r="AJ66" i="333"/>
  <c r="Y200" i="333"/>
  <c r="Z184" i="333"/>
  <c r="BG184" i="333"/>
  <c r="BC108" i="333"/>
  <c r="BB108" i="333"/>
  <c r="BD108" i="333" s="1"/>
  <c r="BE108" i="333" s="1"/>
  <c r="BF108" i="333"/>
  <c r="BB76" i="333"/>
  <c r="BF76" i="333"/>
  <c r="BC76" i="333"/>
  <c r="BF50" i="333"/>
  <c r="BB50" i="333"/>
  <c r="BD50" i="333"/>
  <c r="BE50" i="333"/>
  <c r="BC50" i="333"/>
  <c r="BC74" i="333"/>
  <c r="BF74" i="333"/>
  <c r="BB74" i="333"/>
  <c r="BA146" i="333"/>
  <c r="BG146" i="333"/>
  <c r="Z146" i="333"/>
  <c r="AZ146" i="333" s="1"/>
  <c r="BF150" i="333"/>
  <c r="BB150" i="333"/>
  <c r="BD150" i="333" s="1"/>
  <c r="BE150" i="333" s="1"/>
  <c r="BC150" i="333"/>
  <c r="BB179" i="333"/>
  <c r="BF179" i="333"/>
  <c r="BC179" i="333"/>
  <c r="BD179" i="333" s="1"/>
  <c r="BC117" i="333"/>
  <c r="BB117" i="333"/>
  <c r="BD117" i="333" s="1"/>
  <c r="BF117" i="333"/>
  <c r="BF130" i="333"/>
  <c r="BC130" i="333"/>
  <c r="BD130" i="333"/>
  <c r="BE130" i="333" s="1"/>
  <c r="BB130" i="333"/>
  <c r="BF169" i="333"/>
  <c r="BC169" i="333"/>
  <c r="BB169" i="333"/>
  <c r="BE169" i="333" s="1"/>
  <c r="BD169" i="333"/>
  <c r="BB141" i="333"/>
  <c r="BC141" i="333"/>
  <c r="BD141" i="333" s="1"/>
  <c r="BF141" i="333"/>
  <c r="BC178" i="333"/>
  <c r="BD178" i="333" s="1"/>
  <c r="BB178" i="333"/>
  <c r="BE178" i="333" s="1"/>
  <c r="BF178" i="333"/>
  <c r="BB61" i="333"/>
  <c r="BC61" i="333"/>
  <c r="BD61" i="333"/>
  <c r="BE61" i="333" s="1"/>
  <c r="BF61" i="333"/>
  <c r="BC177" i="333"/>
  <c r="BE177" i="333" s="1"/>
  <c r="BB177" i="333"/>
  <c r="BF177" i="333"/>
  <c r="BD177" i="333"/>
  <c r="BC112" i="333"/>
  <c r="BF112" i="333"/>
  <c r="BB112" i="333"/>
  <c r="BD112" i="333" s="1"/>
  <c r="BE112" i="333" s="1"/>
  <c r="Z87" i="333"/>
  <c r="BG87" i="333"/>
  <c r="Y103" i="333"/>
  <c r="BC127" i="333"/>
  <c r="BF127" i="333"/>
  <c r="BE127" i="333"/>
  <c r="BD127" i="333"/>
  <c r="BB127" i="333"/>
  <c r="BB122" i="333"/>
  <c r="BF122" i="333"/>
  <c r="BC122" i="333"/>
  <c r="BF107" i="333"/>
  <c r="BC107" i="333"/>
  <c r="BD107" i="333" s="1"/>
  <c r="BB107" i="333"/>
  <c r="BF53" i="333"/>
  <c r="BC53" i="333"/>
  <c r="BB53" i="333"/>
  <c r="BB140" i="333"/>
  <c r="BF140" i="333"/>
  <c r="BC140" i="333"/>
  <c r="BD140" i="333" s="1"/>
  <c r="AK66" i="333"/>
  <c r="BC168" i="333"/>
  <c r="BB168" i="333"/>
  <c r="BD168" i="333" s="1"/>
  <c r="BE168" i="333" s="1"/>
  <c r="BF168" i="333"/>
  <c r="BF45" i="333"/>
  <c r="BC45" i="333"/>
  <c r="BB45" i="333"/>
  <c r="BB54" i="333"/>
  <c r="BF54" i="333"/>
  <c r="BC54" i="333"/>
  <c r="BD54" i="333" s="1"/>
  <c r="BG100" i="333"/>
  <c r="Z100" i="333"/>
  <c r="AZ100" i="333" s="1"/>
  <c r="BA100" i="333"/>
  <c r="BF79" i="333"/>
  <c r="BB79" i="333"/>
  <c r="BC79" i="333"/>
  <c r="BE79" i="333" s="1"/>
  <c r="BD79" i="333"/>
  <c r="AP124" i="333"/>
  <c r="AP201" i="333" s="1"/>
  <c r="BB154" i="333"/>
  <c r="BC154" i="333"/>
  <c r="BD154" i="333"/>
  <c r="BE154" i="333" s="1"/>
  <c r="BF154" i="333"/>
  <c r="Y156" i="333"/>
  <c r="BH142" i="333"/>
  <c r="BJ142" i="333"/>
  <c r="BF95" i="333"/>
  <c r="BD95" i="333"/>
  <c r="BC95" i="333"/>
  <c r="BB95" i="333"/>
  <c r="BE95" i="333" s="1"/>
  <c r="AZ104" i="333"/>
  <c r="BC110" i="333"/>
  <c r="BD110" i="333" s="1"/>
  <c r="BE110" i="333" s="1"/>
  <c r="BB110" i="333"/>
  <c r="BF110" i="333"/>
  <c r="BJ129" i="333"/>
  <c r="BH129" i="333"/>
  <c r="BJ199" i="333"/>
  <c r="BH199" i="333"/>
  <c r="AL200" i="333"/>
  <c r="AM184" i="333"/>
  <c r="AM200" i="333" s="1"/>
  <c r="Z119" i="333"/>
  <c r="AZ119" i="333" s="1"/>
  <c r="BG119" i="333"/>
  <c r="BA119" i="333"/>
  <c r="AL152" i="333"/>
  <c r="AM144" i="333"/>
  <c r="AM152" i="333" s="1"/>
  <c r="BF190" i="333"/>
  <c r="BC190" i="333"/>
  <c r="BB190" i="333"/>
  <c r="BC72" i="333"/>
  <c r="BB72" i="333"/>
  <c r="BF72" i="333"/>
  <c r="BF139" i="333"/>
  <c r="BB139" i="333"/>
  <c r="BC139" i="333"/>
  <c r="AZ159" i="333"/>
  <c r="BA159" i="333" s="1"/>
  <c r="BF163" i="333"/>
  <c r="BB163" i="333"/>
  <c r="BC163" i="333"/>
  <c r="AZ167" i="333"/>
  <c r="Z174" i="333"/>
  <c r="Y123" i="333"/>
  <c r="BB84" i="333"/>
  <c r="BE84" i="333" s="1"/>
  <c r="BC84" i="333"/>
  <c r="BD84" i="333" s="1"/>
  <c r="BF84" i="333"/>
  <c r="BF89" i="333"/>
  <c r="BB89" i="333"/>
  <c r="BC89" i="333"/>
  <c r="BD89" i="333" s="1"/>
  <c r="BE199" i="333"/>
  <c r="BH195" i="333"/>
  <c r="BJ195" i="333"/>
  <c r="BF44" i="333"/>
  <c r="BC44" i="333"/>
  <c r="BB44" i="333"/>
  <c r="BD44" i="333" s="1"/>
  <c r="BE44" i="333" s="1"/>
  <c r="BB58" i="333"/>
  <c r="BD58" i="333" s="1"/>
  <c r="BE58" i="333" s="1"/>
  <c r="BF58" i="333"/>
  <c r="BC58" i="333"/>
  <c r="BF73" i="333"/>
  <c r="BC73" i="333"/>
  <c r="BB73" i="333"/>
  <c r="BC91" i="333"/>
  <c r="BD91" i="333" s="1"/>
  <c r="BE91" i="333" s="1"/>
  <c r="BF91" i="333"/>
  <c r="BB91" i="333"/>
  <c r="AZ153" i="333"/>
  <c r="Z156" i="333"/>
  <c r="BG137" i="333"/>
  <c r="Z137" i="333"/>
  <c r="AZ137" i="333" s="1"/>
  <c r="BA137" i="333"/>
  <c r="BC121" i="333"/>
  <c r="BF121" i="333"/>
  <c r="BB121" i="333"/>
  <c r="Z188" i="333"/>
  <c r="AZ188" i="333" s="1"/>
  <c r="BA188" i="333" s="1"/>
  <c r="BG188" i="333"/>
  <c r="BF160" i="333"/>
  <c r="BC160" i="333"/>
  <c r="BB160" i="333"/>
  <c r="BG161" i="333"/>
  <c r="BH120" i="333"/>
  <c r="BJ120" i="333"/>
  <c r="AZ105" i="333"/>
  <c r="BA105" i="333" s="1"/>
  <c r="BH148" i="333"/>
  <c r="BJ148" i="333"/>
  <c r="Z43" i="333"/>
  <c r="AZ43" i="333" s="1"/>
  <c r="BG43" i="333"/>
  <c r="BA43" i="333"/>
  <c r="Z128" i="333"/>
  <c r="AZ128" i="333" s="1"/>
  <c r="BA128" i="333" s="1"/>
  <c r="BG128" i="333"/>
  <c r="BC99" i="333"/>
  <c r="BF99" i="333"/>
  <c r="BB99" i="333"/>
  <c r="BD99" i="333" s="1"/>
  <c r="BE99" i="333" s="1"/>
  <c r="BF151" i="333"/>
  <c r="BC151" i="333"/>
  <c r="BB151" i="333"/>
  <c r="BD151" i="333" s="1"/>
  <c r="BJ102" i="333"/>
  <c r="BH102" i="333"/>
  <c r="BG86" i="333"/>
  <c r="Y161" i="333"/>
  <c r="BG93" i="333"/>
  <c r="Z93" i="333"/>
  <c r="AZ93" i="333" s="1"/>
  <c r="BA93" i="333" s="1"/>
  <c r="BF138" i="333"/>
  <c r="BC138" i="333"/>
  <c r="BB138" i="333"/>
  <c r="BD138" i="333" s="1"/>
  <c r="BE138" i="333" s="1"/>
  <c r="AZ97" i="333"/>
  <c r="BA97" i="333" s="1"/>
  <c r="Z194" i="333"/>
  <c r="AZ194" i="333" s="1"/>
  <c r="BA194" i="333" s="1"/>
  <c r="BG194" i="333"/>
  <c r="BF57" i="333"/>
  <c r="BC57" i="333"/>
  <c r="BB57" i="333"/>
  <c r="BD57" i="333" s="1"/>
  <c r="AK123" i="333"/>
  <c r="BA157" i="333"/>
  <c r="Y66" i="333"/>
  <c r="BD126" i="333"/>
  <c r="BE126" i="333" s="1"/>
  <c r="BE77" i="333"/>
  <c r="BD131" i="333"/>
  <c r="BE131" i="333" s="1"/>
  <c r="BB41" i="333"/>
  <c r="BD41" i="333"/>
  <c r="BE41" i="333" s="1"/>
  <c r="BF41" i="333"/>
  <c r="BC41" i="333"/>
  <c r="BF47" i="333"/>
  <c r="BC47" i="333"/>
  <c r="BD47" i="333" s="1"/>
  <c r="BE47" i="333" s="1"/>
  <c r="BB47" i="333"/>
  <c r="Z109" i="333"/>
  <c r="AZ109" i="333" s="1"/>
  <c r="BA109" i="333" s="1"/>
  <c r="BG109" i="333"/>
  <c r="BG123" i="333" s="1"/>
  <c r="Z70" i="333"/>
  <c r="AZ70" i="333" s="1"/>
  <c r="BA70" i="333"/>
  <c r="BG70" i="333"/>
  <c r="BB147" i="333"/>
  <c r="BD147" i="333" s="1"/>
  <c r="BE147" i="333" s="1"/>
  <c r="BC147" i="333"/>
  <c r="BF147" i="333"/>
  <c r="BG173" i="333"/>
  <c r="BG174" i="333" s="1"/>
  <c r="Z173" i="333"/>
  <c r="AZ173" i="333" s="1"/>
  <c r="BA173" i="333" s="1"/>
  <c r="BL149" i="333"/>
  <c r="BI149" i="333"/>
  <c r="BK149" i="333" s="1"/>
  <c r="BM149" i="333" s="1"/>
  <c r="AL103" i="333"/>
  <c r="AL124" i="333" s="1"/>
  <c r="AL201" i="333" s="1"/>
  <c r="AM87" i="333"/>
  <c r="AM103" i="333" s="1"/>
  <c r="BF114" i="333"/>
  <c r="BB114" i="333"/>
  <c r="BC114" i="333"/>
  <c r="AJ123" i="333"/>
  <c r="BC90" i="333"/>
  <c r="BB90" i="333"/>
  <c r="BD90" i="333" s="1"/>
  <c r="BF90" i="333"/>
  <c r="AZ67" i="333"/>
  <c r="Z86" i="333"/>
  <c r="Z183" i="333"/>
  <c r="AZ175" i="333"/>
  <c r="Z66" i="333"/>
  <c r="BJ77" i="333"/>
  <c r="BH77" i="333"/>
  <c r="BB40" i="333"/>
  <c r="BD40" i="333" s="1"/>
  <c r="BE40" i="333" s="1"/>
  <c r="BC40" i="333"/>
  <c r="BF40" i="333"/>
  <c r="AO124" i="333"/>
  <c r="AO201" i="333" s="1"/>
  <c r="AL135" i="333"/>
  <c r="AM125" i="333"/>
  <c r="AM135" i="333" s="1"/>
  <c r="Z88" i="333"/>
  <c r="AZ88" i="333" s="1"/>
  <c r="BA88" i="333" s="1"/>
  <c r="BG88" i="333"/>
  <c r="BG162" i="333"/>
  <c r="Y166" i="333"/>
  <c r="Z162" i="333"/>
  <c r="AK87" i="333"/>
  <c r="AK103" i="333" s="1"/>
  <c r="AJ103" i="333"/>
  <c r="Y86" i="333"/>
  <c r="BC185" i="333"/>
  <c r="BB185" i="333"/>
  <c r="BD185" i="333"/>
  <c r="BE185" i="333" s="1"/>
  <c r="BF185" i="333"/>
  <c r="BG183" i="333"/>
  <c r="BH46" i="333"/>
  <c r="BJ46" i="333"/>
  <c r="BC48" i="333"/>
  <c r="BD48" i="333"/>
  <c r="BF48" i="333"/>
  <c r="BB48" i="333"/>
  <c r="BE48" i="333" s="1"/>
  <c r="Y143" i="333"/>
  <c r="Z136" i="333"/>
  <c r="BG136" i="333"/>
  <c r="BG143" i="333" s="1"/>
  <c r="BC113" i="333"/>
  <c r="BD113" i="333"/>
  <c r="BE113" i="333" s="1"/>
  <c r="BB113" i="333"/>
  <c r="BF113" i="333"/>
  <c r="AZ38" i="333"/>
  <c r="AL166" i="333"/>
  <c r="AM162" i="333"/>
  <c r="AM166" i="333" s="1"/>
  <c r="Z192" i="333"/>
  <c r="AZ192" i="333" s="1"/>
  <c r="BA192" i="333" s="1"/>
  <c r="BG192" i="333"/>
  <c r="BG196" i="333"/>
  <c r="Z196" i="333"/>
  <c r="AZ196" i="333" s="1"/>
  <c r="BA196" i="333" s="1"/>
  <c r="BJ126" i="333"/>
  <c r="BH126" i="333"/>
  <c r="BJ131" i="333"/>
  <c r="BH131" i="333"/>
  <c r="X133" i="329"/>
  <c r="X201" i="330"/>
  <c r="X101" i="329"/>
  <c r="X148" i="329"/>
  <c r="X100" i="330"/>
  <c r="X182" i="329"/>
  <c r="X188" i="330"/>
  <c r="X197" i="329"/>
  <c r="X42" i="329"/>
  <c r="X53" i="330"/>
  <c r="X45" i="330"/>
  <c r="X183" i="329"/>
  <c r="X25" i="330"/>
  <c r="X204" i="329"/>
  <c r="X22" i="330"/>
  <c r="X32" i="330"/>
  <c r="X68" i="329"/>
  <c r="AC208" i="329"/>
  <c r="AB208" i="329" s="1"/>
  <c r="AF208" i="329" s="1"/>
  <c r="AE208" i="329"/>
  <c r="AE163" i="329"/>
  <c r="AC163" i="329"/>
  <c r="AB163" i="329" s="1"/>
  <c r="AF163" i="329" s="1"/>
  <c r="AD20" i="330"/>
  <c r="AA20" i="330"/>
  <c r="AB95" i="329"/>
  <c r="AF95" i="329" s="1"/>
  <c r="AE95" i="329"/>
  <c r="AC95" i="329"/>
  <c r="S37" i="330"/>
  <c r="T18" i="330"/>
  <c r="AA174" i="330"/>
  <c r="AD174" i="330"/>
  <c r="Y216" i="330"/>
  <c r="AA51" i="330"/>
  <c r="AD51" i="330"/>
  <c r="AD231" i="329"/>
  <c r="AA231" i="329"/>
  <c r="AB62" i="330"/>
  <c r="AF62" i="330" s="1"/>
  <c r="AC62" i="330"/>
  <c r="AE62" i="330"/>
  <c r="AE81" i="330"/>
  <c r="AC81" i="330"/>
  <c r="AB81" i="330" s="1"/>
  <c r="AF81" i="330" s="1"/>
  <c r="V157" i="329"/>
  <c r="X157" i="329" s="1"/>
  <c r="AB34" i="330"/>
  <c r="AF34" i="330" s="1"/>
  <c r="AE34" i="330"/>
  <c r="AC34" i="330"/>
  <c r="V148" i="329"/>
  <c r="AE97" i="329"/>
  <c r="AC97" i="329"/>
  <c r="AB97" i="329"/>
  <c r="AF97" i="329" s="1"/>
  <c r="AD137" i="329"/>
  <c r="AA137" i="329"/>
  <c r="AC206" i="330"/>
  <c r="AE206" i="330"/>
  <c r="AB206" i="330"/>
  <c r="AF206" i="330" s="1"/>
  <c r="V100" i="330"/>
  <c r="AA203" i="330"/>
  <c r="AD203" i="330"/>
  <c r="V110" i="329"/>
  <c r="X110" i="329" s="1"/>
  <c r="AE104" i="330"/>
  <c r="AC104" i="330"/>
  <c r="AB104" i="330" s="1"/>
  <c r="AF104" i="330" s="1"/>
  <c r="AC125" i="330"/>
  <c r="AB125" i="330"/>
  <c r="AF125" i="330" s="1"/>
  <c r="AE125" i="330"/>
  <c r="AD192" i="330"/>
  <c r="AA192" i="330"/>
  <c r="AE150" i="329"/>
  <c r="AC150" i="329"/>
  <c r="AB150" i="329" s="1"/>
  <c r="AF150" i="329" s="1"/>
  <c r="V195" i="330"/>
  <c r="X195" i="330" s="1"/>
  <c r="V25" i="330"/>
  <c r="AB46" i="330"/>
  <c r="AC46" i="330"/>
  <c r="AF46" i="330"/>
  <c r="AE46" i="330"/>
  <c r="AD167" i="330"/>
  <c r="AA167" i="330"/>
  <c r="X59" i="329"/>
  <c r="AE92" i="330"/>
  <c r="AC92" i="330"/>
  <c r="AB92" i="330" s="1"/>
  <c r="AF92" i="330" s="1"/>
  <c r="AD65" i="330"/>
  <c r="AA65" i="330"/>
  <c r="AE153" i="330"/>
  <c r="AC153" i="330"/>
  <c r="AB153" i="330" s="1"/>
  <c r="AF153" i="330" s="1"/>
  <c r="V177" i="330"/>
  <c r="X177" i="330" s="1"/>
  <c r="X161" i="330"/>
  <c r="AE44" i="329"/>
  <c r="AC44" i="329"/>
  <c r="AB44" i="329" s="1"/>
  <c r="AF44" i="329" s="1"/>
  <c r="X213" i="329"/>
  <c r="X212" i="330"/>
  <c r="AD138" i="329"/>
  <c r="AA138" i="329"/>
  <c r="X105" i="329"/>
  <c r="AD118" i="330"/>
  <c r="AA118" i="330"/>
  <c r="AA152" i="329"/>
  <c r="AD152" i="329"/>
  <c r="AD159" i="330"/>
  <c r="AA159" i="330"/>
  <c r="AA115" i="329"/>
  <c r="AD115" i="329"/>
  <c r="AD48" i="329"/>
  <c r="AA48" i="329"/>
  <c r="X114" i="329"/>
  <c r="V133" i="330"/>
  <c r="X133" i="330" s="1"/>
  <c r="AF176" i="329"/>
  <c r="AE176" i="329"/>
  <c r="AC176" i="329"/>
  <c r="AB176" i="329"/>
  <c r="AF87" i="329"/>
  <c r="AB87" i="329"/>
  <c r="AE87" i="329"/>
  <c r="AC87" i="329"/>
  <c r="AE146" i="329"/>
  <c r="AC146" i="329"/>
  <c r="AB146" i="329"/>
  <c r="AF146" i="329" s="1"/>
  <c r="AD25" i="330"/>
  <c r="AA25" i="330"/>
  <c r="AD41" i="329"/>
  <c r="AA41" i="329"/>
  <c r="AD17" i="330"/>
  <c r="AA17" i="330"/>
  <c r="AD148" i="329"/>
  <c r="AA148" i="329"/>
  <c r="X109" i="330"/>
  <c r="AD57" i="330"/>
  <c r="AA57" i="330"/>
  <c r="AE49" i="329"/>
  <c r="AC49" i="329"/>
  <c r="AB49" i="329"/>
  <c r="AF49" i="329" s="1"/>
  <c r="AD141" i="329"/>
  <c r="AA141" i="329"/>
  <c r="AE94" i="330"/>
  <c r="AC94" i="330"/>
  <c r="AB94" i="330"/>
  <c r="AF94" i="330"/>
  <c r="X136" i="329"/>
  <c r="AD48" i="330"/>
  <c r="AA48" i="330"/>
  <c r="AD155" i="330"/>
  <c r="AA155" i="330"/>
  <c r="AD188" i="330"/>
  <c r="AA188" i="330"/>
  <c r="AE108" i="330"/>
  <c r="AC108" i="330"/>
  <c r="AB108" i="330"/>
  <c r="AF108" i="330" s="1"/>
  <c r="AC179" i="330"/>
  <c r="AB179" i="330" s="1"/>
  <c r="AF179" i="330" s="1"/>
  <c r="AE179" i="330"/>
  <c r="X218" i="330"/>
  <c r="X219" i="330" s="1"/>
  <c r="AA137" i="330"/>
  <c r="AD137" i="330"/>
  <c r="AA180" i="330"/>
  <c r="AD180" i="330"/>
  <c r="AD59" i="329"/>
  <c r="AA59" i="329"/>
  <c r="AE189" i="329"/>
  <c r="AB189" i="329"/>
  <c r="AF189" i="329" s="1"/>
  <c r="AC189" i="329"/>
  <c r="AE181" i="329"/>
  <c r="AC181" i="329"/>
  <c r="AB181" i="329"/>
  <c r="AF181" i="329" s="1"/>
  <c r="S123" i="330"/>
  <c r="T39" i="330"/>
  <c r="X165" i="330"/>
  <c r="AD161" i="330"/>
  <c r="AA161" i="330"/>
  <c r="AE43" i="329"/>
  <c r="AC43" i="329"/>
  <c r="AB43" i="329" s="1"/>
  <c r="AF43" i="329" s="1"/>
  <c r="AD213" i="329"/>
  <c r="AA213" i="329"/>
  <c r="AD212" i="330"/>
  <c r="AA212" i="330"/>
  <c r="AA105" i="329"/>
  <c r="AD105" i="329"/>
  <c r="X212" i="329"/>
  <c r="X107" i="329"/>
  <c r="AD182" i="329"/>
  <c r="AA182" i="329"/>
  <c r="AD114" i="329"/>
  <c r="AA114" i="329"/>
  <c r="AB214" i="330"/>
  <c r="AF214" i="330"/>
  <c r="AE214" i="330"/>
  <c r="AC214" i="330"/>
  <c r="X128" i="330"/>
  <c r="AA61" i="329"/>
  <c r="AD61" i="329"/>
  <c r="AD109" i="330"/>
  <c r="AA109" i="330"/>
  <c r="X141" i="329"/>
  <c r="AB166" i="329"/>
  <c r="AF166" i="329"/>
  <c r="AE166" i="329"/>
  <c r="AC166" i="329"/>
  <c r="AD136" i="329"/>
  <c r="AA136" i="329"/>
  <c r="AE45" i="329"/>
  <c r="AC45" i="329"/>
  <c r="AB45" i="329" s="1"/>
  <c r="AF45" i="329" s="1"/>
  <c r="AD196" i="329"/>
  <c r="AA196" i="329"/>
  <c r="AC19" i="329"/>
  <c r="AE19" i="329"/>
  <c r="AB19" i="329"/>
  <c r="AF19" i="329" s="1"/>
  <c r="AD26" i="329"/>
  <c r="AA26" i="329"/>
  <c r="AE147" i="329"/>
  <c r="AC147" i="329"/>
  <c r="AB147" i="329" s="1"/>
  <c r="AF147" i="329" s="1"/>
  <c r="AE113" i="330"/>
  <c r="AC113" i="330"/>
  <c r="AB113" i="330" s="1"/>
  <c r="AF113" i="330" s="1"/>
  <c r="AA165" i="330"/>
  <c r="AD165" i="330"/>
  <c r="AA35" i="329"/>
  <c r="AD35" i="329"/>
  <c r="AE126" i="329"/>
  <c r="AC126" i="329"/>
  <c r="AB126" i="329" s="1"/>
  <c r="AF126" i="329" s="1"/>
  <c r="AD75" i="330"/>
  <c r="AA75" i="330"/>
  <c r="AA121" i="329"/>
  <c r="AD121" i="329"/>
  <c r="AA212" i="329"/>
  <c r="AD212" i="329"/>
  <c r="AA192" i="329"/>
  <c r="AD192" i="329"/>
  <c r="AD107" i="329"/>
  <c r="AA107" i="329"/>
  <c r="AB153" i="329"/>
  <c r="AF153" i="329"/>
  <c r="AE153" i="329"/>
  <c r="AC153" i="329"/>
  <c r="AC74" i="330"/>
  <c r="AB74" i="330" s="1"/>
  <c r="AF74" i="330" s="1"/>
  <c r="AE74" i="330"/>
  <c r="AD157" i="329"/>
  <c r="AA157" i="329"/>
  <c r="U130" i="329"/>
  <c r="U168" i="329" s="1"/>
  <c r="T168" i="329"/>
  <c r="Y130" i="329"/>
  <c r="W130" i="329"/>
  <c r="W168" i="329" s="1"/>
  <c r="AF155" i="329"/>
  <c r="AB155" i="329"/>
  <c r="AE155" i="329"/>
  <c r="AC155" i="329"/>
  <c r="AA112" i="330"/>
  <c r="AD112" i="330"/>
  <c r="AD100" i="330"/>
  <c r="AA100" i="330"/>
  <c r="AD103" i="330"/>
  <c r="AA103" i="330"/>
  <c r="AE148" i="330"/>
  <c r="AC148" i="330"/>
  <c r="AB148" i="330" s="1"/>
  <c r="AF148" i="330" s="1"/>
  <c r="AA110" i="329"/>
  <c r="AD110" i="329"/>
  <c r="AE111" i="330"/>
  <c r="AC111" i="330"/>
  <c r="AB111" i="330" s="1"/>
  <c r="AF111" i="330" s="1"/>
  <c r="AA75" i="329"/>
  <c r="AD75" i="329"/>
  <c r="AE163" i="330"/>
  <c r="AC163" i="330"/>
  <c r="AB163" i="330" s="1"/>
  <c r="AF163" i="330" s="1"/>
  <c r="U123" i="329"/>
  <c r="AD229" i="329"/>
  <c r="AA229" i="329"/>
  <c r="S168" i="330"/>
  <c r="T130" i="330"/>
  <c r="AD47" i="330"/>
  <c r="AA47" i="330"/>
  <c r="AD132" i="329"/>
  <c r="AA132" i="329"/>
  <c r="AE209" i="330"/>
  <c r="AC209" i="330"/>
  <c r="AB209" i="330" s="1"/>
  <c r="AF209" i="330" s="1"/>
  <c r="AD149" i="330"/>
  <c r="AA149" i="330"/>
  <c r="AD177" i="330"/>
  <c r="AA177" i="330"/>
  <c r="AA43" i="330"/>
  <c r="AD43" i="330"/>
  <c r="AE25" i="329"/>
  <c r="AC25" i="329"/>
  <c r="AB25" i="329" s="1"/>
  <c r="AF25" i="329" s="1"/>
  <c r="S128" i="329"/>
  <c r="T125" i="329"/>
  <c r="AA229" i="330"/>
  <c r="AD229" i="330"/>
  <c r="AD58" i="330"/>
  <c r="AA58" i="330"/>
  <c r="AD193" i="330"/>
  <c r="AA193" i="330"/>
  <c r="AD231" i="330"/>
  <c r="AA231" i="330"/>
  <c r="X17" i="330"/>
  <c r="AD41" i="330"/>
  <c r="AA41" i="330"/>
  <c r="AB52" i="330"/>
  <c r="AF52" i="330" s="1"/>
  <c r="AE52" i="330"/>
  <c r="AC52" i="330"/>
  <c r="AD99" i="329"/>
  <c r="AA99" i="329"/>
  <c r="AA119" i="329"/>
  <c r="AD119" i="329"/>
  <c r="AF102" i="330"/>
  <c r="AE102" i="330"/>
  <c r="AC102" i="330"/>
  <c r="AB102" i="330"/>
  <c r="V42" i="329"/>
  <c r="V45" i="330"/>
  <c r="AC118" i="329"/>
  <c r="AB118" i="329"/>
  <c r="AF118" i="329" s="1"/>
  <c r="AE118" i="329"/>
  <c r="AE105" i="330"/>
  <c r="AC105" i="330"/>
  <c r="AB105" i="330" s="1"/>
  <c r="AF105" i="330" s="1"/>
  <c r="V126" i="330"/>
  <c r="W123" i="329"/>
  <c r="V122" i="329"/>
  <c r="X122" i="329" s="1"/>
  <c r="X209" i="329"/>
  <c r="AD147" i="330"/>
  <c r="AA147" i="330"/>
  <c r="AC73" i="329"/>
  <c r="AE73" i="329"/>
  <c r="AB73" i="329"/>
  <c r="AF73" i="329" s="1"/>
  <c r="AD27" i="330"/>
  <c r="AA27" i="330"/>
  <c r="AD35" i="330"/>
  <c r="AA35" i="330"/>
  <c r="AF162" i="329"/>
  <c r="AE162" i="329"/>
  <c r="AC162" i="329"/>
  <c r="AB162" i="329"/>
  <c r="AD174" i="329"/>
  <c r="AA174" i="329"/>
  <c r="V32" i="329"/>
  <c r="X32" i="329" s="1"/>
  <c r="AD187" i="329"/>
  <c r="AA187" i="329"/>
  <c r="AD230" i="329"/>
  <c r="AA230" i="329"/>
  <c r="AE223" i="330"/>
  <c r="AC223" i="330"/>
  <c r="AB223" i="330"/>
  <c r="AF223" i="330" s="1"/>
  <c r="AC211" i="329"/>
  <c r="AB211" i="329"/>
  <c r="AF211" i="329"/>
  <c r="AE211" i="329"/>
  <c r="V18" i="329"/>
  <c r="X18" i="329" s="1"/>
  <c r="V67" i="330"/>
  <c r="X67" i="330" s="1"/>
  <c r="AD203" i="329"/>
  <c r="AA203" i="329"/>
  <c r="V75" i="330"/>
  <c r="X75" i="330" s="1"/>
  <c r="AA69" i="330"/>
  <c r="AD69" i="330"/>
  <c r="V184" i="329"/>
  <c r="X184" i="329" s="1"/>
  <c r="V183" i="329"/>
  <c r="V134" i="330"/>
  <c r="X134" i="330" s="1"/>
  <c r="V201" i="329"/>
  <c r="X201" i="329" s="1"/>
  <c r="AA19" i="330"/>
  <c r="AD19" i="330"/>
  <c r="AD73" i="330"/>
  <c r="AA73" i="330"/>
  <c r="AA227" i="329"/>
  <c r="AD227" i="329"/>
  <c r="X60" i="329"/>
  <c r="X21" i="330"/>
  <c r="AA62" i="329"/>
  <c r="AD62" i="329"/>
  <c r="X113" i="329"/>
  <c r="AD156" i="330"/>
  <c r="AA156" i="330"/>
  <c r="V40" i="329"/>
  <c r="X40" i="329" s="1"/>
  <c r="AD97" i="330"/>
  <c r="AA97" i="330"/>
  <c r="AD56" i="329"/>
  <c r="AA56" i="329"/>
  <c r="V134" i="329"/>
  <c r="X134" i="329" s="1"/>
  <c r="AD187" i="330"/>
  <c r="AA187" i="330"/>
  <c r="AE44" i="330"/>
  <c r="AC44" i="330"/>
  <c r="AB44" i="330" s="1"/>
  <c r="AF44" i="330" s="1"/>
  <c r="AA126" i="330"/>
  <c r="AA128" i="330" s="1"/>
  <c r="AD126" i="330"/>
  <c r="AD128" i="330" s="1"/>
  <c r="AD139" i="329"/>
  <c r="AA139" i="329"/>
  <c r="V128" i="330"/>
  <c r="AD56" i="330"/>
  <c r="AA56" i="330"/>
  <c r="X39" i="329"/>
  <c r="AD209" i="329"/>
  <c r="AA209" i="329"/>
  <c r="AA151" i="329"/>
  <c r="AD151" i="329"/>
  <c r="AA33" i="329"/>
  <c r="AD33" i="329"/>
  <c r="S232" i="330"/>
  <c r="T221" i="330"/>
  <c r="V143" i="330"/>
  <c r="X143" i="330" s="1"/>
  <c r="W171" i="330"/>
  <c r="W172" i="330" s="1"/>
  <c r="T172" i="330"/>
  <c r="Y171" i="330"/>
  <c r="U171" i="330"/>
  <c r="U172" i="330" s="1"/>
  <c r="AD18" i="329"/>
  <c r="AA18" i="329"/>
  <c r="AA51" i="329"/>
  <c r="AD51" i="329"/>
  <c r="X229" i="330"/>
  <c r="AD65" i="329"/>
  <c r="AA65" i="329"/>
  <c r="AA227" i="330"/>
  <c r="AD227" i="330"/>
  <c r="AD185" i="329"/>
  <c r="AA185" i="329"/>
  <c r="AA109" i="329"/>
  <c r="AD109" i="329"/>
  <c r="V73" i="330"/>
  <c r="X73" i="330" s="1"/>
  <c r="AD27" i="329"/>
  <c r="AA27" i="329"/>
  <c r="AD210" i="329"/>
  <c r="AA210" i="329"/>
  <c r="AA100" i="329"/>
  <c r="AD100" i="329"/>
  <c r="AA135" i="330"/>
  <c r="AD135" i="330"/>
  <c r="AE83" i="329"/>
  <c r="AC83" i="329"/>
  <c r="AB83" i="329" s="1"/>
  <c r="AF83" i="329" s="1"/>
  <c r="AE83" i="330"/>
  <c r="AC83" i="330"/>
  <c r="AB83" i="330" s="1"/>
  <c r="AF83" i="330" s="1"/>
  <c r="AE69" i="329"/>
  <c r="AC69" i="329"/>
  <c r="AB69" i="329" s="1"/>
  <c r="AF69" i="329" s="1"/>
  <c r="AD60" i="329"/>
  <c r="AA60" i="329"/>
  <c r="AA21" i="330"/>
  <c r="AD21" i="330"/>
  <c r="X152" i="330"/>
  <c r="AF22" i="329"/>
  <c r="AC22" i="329"/>
  <c r="AE22" i="329"/>
  <c r="AB22" i="329"/>
  <c r="AF77" i="329"/>
  <c r="AE77" i="329"/>
  <c r="AB77" i="329"/>
  <c r="AC77" i="329"/>
  <c r="AA113" i="329"/>
  <c r="AD113" i="329"/>
  <c r="AE94" i="329"/>
  <c r="AC94" i="329"/>
  <c r="AB94" i="329" s="1"/>
  <c r="AF94" i="329" s="1"/>
  <c r="AA45" i="330"/>
  <c r="AD45" i="330"/>
  <c r="AE23" i="329"/>
  <c r="AC23" i="329"/>
  <c r="AB23" i="329"/>
  <c r="AF23" i="329" s="1"/>
  <c r="AE33" i="330"/>
  <c r="AC33" i="330"/>
  <c r="AB33" i="330" s="1"/>
  <c r="AF33" i="330" s="1"/>
  <c r="X187" i="330"/>
  <c r="AD140" i="329"/>
  <c r="AA140" i="329"/>
  <c r="AE31" i="329"/>
  <c r="AF31" i="329" s="1"/>
  <c r="AB31" i="329"/>
  <c r="AC31" i="329"/>
  <c r="AE127" i="329"/>
  <c r="AC127" i="329"/>
  <c r="AB127" i="329"/>
  <c r="AF127" i="329" s="1"/>
  <c r="AA141" i="330"/>
  <c r="AD141" i="330"/>
  <c r="Y123" i="329"/>
  <c r="AA39" i="329"/>
  <c r="AD39" i="329"/>
  <c r="AC191" i="329"/>
  <c r="AB191" i="329" s="1"/>
  <c r="AF191" i="329" s="1"/>
  <c r="AE191" i="329"/>
  <c r="AE140" i="330"/>
  <c r="AC140" i="330"/>
  <c r="AB140" i="330" s="1"/>
  <c r="AF140" i="330" s="1"/>
  <c r="J233" i="330"/>
  <c r="V35" i="330"/>
  <c r="X35" i="330" s="1"/>
  <c r="AD32" i="329"/>
  <c r="AA32" i="329"/>
  <c r="V187" i="329"/>
  <c r="X187" i="329" s="1"/>
  <c r="X189" i="330"/>
  <c r="V54" i="329"/>
  <c r="X54" i="329" s="1"/>
  <c r="AA67" i="330"/>
  <c r="AD67" i="330"/>
  <c r="V201" i="330"/>
  <c r="AD184" i="329"/>
  <c r="AA184" i="329"/>
  <c r="AA183" i="329"/>
  <c r="AD183" i="329"/>
  <c r="AD201" i="329"/>
  <c r="AA201" i="329"/>
  <c r="W37" i="330"/>
  <c r="S219" i="329"/>
  <c r="T218" i="329"/>
  <c r="AB119" i="330"/>
  <c r="AF119" i="330" s="1"/>
  <c r="AE119" i="330"/>
  <c r="AC119" i="330"/>
  <c r="AA144" i="329"/>
  <c r="AD144" i="329"/>
  <c r="AA152" i="330"/>
  <c r="AD152" i="330"/>
  <c r="AF171" i="329"/>
  <c r="AF172" i="329" s="1"/>
  <c r="AC122" i="330"/>
  <c r="AB122" i="330" s="1"/>
  <c r="AF122" i="330" s="1"/>
  <c r="AE122" i="330"/>
  <c r="AD42" i="329"/>
  <c r="AA42" i="329"/>
  <c r="AA160" i="329"/>
  <c r="AD160" i="329"/>
  <c r="AC166" i="330"/>
  <c r="AE166" i="330"/>
  <c r="AB166" i="330"/>
  <c r="AF166" i="330" s="1"/>
  <c r="X126" i="330"/>
  <c r="AE85" i="329"/>
  <c r="AC85" i="329"/>
  <c r="AB85" i="329" s="1"/>
  <c r="AF85" i="329" s="1"/>
  <c r="AA122" i="329"/>
  <c r="AD122" i="329"/>
  <c r="AD226" i="330"/>
  <c r="AA226" i="330"/>
  <c r="S37" i="329"/>
  <c r="T17" i="329"/>
  <c r="AC132" i="330"/>
  <c r="AB132" i="330"/>
  <c r="AF132" i="330" s="1"/>
  <c r="AE132" i="330"/>
  <c r="AE224" i="329"/>
  <c r="AC224" i="329"/>
  <c r="AB224" i="329"/>
  <c r="AF224" i="329" s="1"/>
  <c r="AE158" i="330"/>
  <c r="AC158" i="330"/>
  <c r="AB158" i="330" s="1"/>
  <c r="AF158" i="330" s="1"/>
  <c r="V174" i="329"/>
  <c r="AC20" i="329"/>
  <c r="AB20" i="329" s="1"/>
  <c r="AF20" i="329" s="1"/>
  <c r="AE20" i="329"/>
  <c r="AD24" i="330"/>
  <c r="AA24" i="330"/>
  <c r="AC200" i="330"/>
  <c r="AB200" i="330" s="1"/>
  <c r="AF200" i="330" s="1"/>
  <c r="AE200" i="330"/>
  <c r="AA131" i="329"/>
  <c r="AD131" i="329"/>
  <c r="AA72" i="330"/>
  <c r="AD72" i="330"/>
  <c r="AA71" i="330"/>
  <c r="AD71" i="330"/>
  <c r="AA134" i="330"/>
  <c r="AD134" i="330"/>
  <c r="AD23" i="330"/>
  <c r="AA23" i="330"/>
  <c r="V109" i="329"/>
  <c r="X109" i="329" s="1"/>
  <c r="AD63" i="330"/>
  <c r="AA63" i="330"/>
  <c r="AA139" i="330"/>
  <c r="AD139" i="330"/>
  <c r="AC81" i="329"/>
  <c r="AB81" i="329" s="1"/>
  <c r="AF81" i="329" s="1"/>
  <c r="AE81" i="329"/>
  <c r="AC178" i="330"/>
  <c r="AB178" i="330" s="1"/>
  <c r="AF178" i="330" s="1"/>
  <c r="AE178" i="330"/>
  <c r="AE108" i="329"/>
  <c r="AC108" i="329"/>
  <c r="AB108" i="329" s="1"/>
  <c r="AF108" i="329" s="1"/>
  <c r="AE60" i="330"/>
  <c r="AC60" i="330"/>
  <c r="AB60" i="330" s="1"/>
  <c r="AF60" i="330" s="1"/>
  <c r="AD40" i="329"/>
  <c r="AA40" i="329"/>
  <c r="AE29" i="329"/>
  <c r="AC29" i="329"/>
  <c r="AB29" i="329" s="1"/>
  <c r="AF29" i="329" s="1"/>
  <c r="AC76" i="329"/>
  <c r="AE76" i="329"/>
  <c r="AB76" i="329"/>
  <c r="AF76" i="329" s="1"/>
  <c r="AA180" i="329"/>
  <c r="AD180" i="329"/>
  <c r="AE47" i="329"/>
  <c r="AF47" i="329" s="1"/>
  <c r="AC47" i="329"/>
  <c r="AB47" i="329"/>
  <c r="AD134" i="329"/>
  <c r="AA134" i="329"/>
  <c r="AE117" i="330"/>
  <c r="AC117" i="330"/>
  <c r="AB117" i="330" s="1"/>
  <c r="AF117" i="330" s="1"/>
  <c r="AD66" i="330"/>
  <c r="AA66" i="330"/>
  <c r="AB211" i="330"/>
  <c r="AF211" i="330" s="1"/>
  <c r="AE211" i="330"/>
  <c r="AC211" i="330"/>
  <c r="AE198" i="329"/>
  <c r="AB198" i="329"/>
  <c r="AF198" i="329" s="1"/>
  <c r="AC198" i="329"/>
  <c r="AD36" i="330"/>
  <c r="AA36" i="330"/>
  <c r="AD127" i="330"/>
  <c r="AA127" i="330"/>
  <c r="V141" i="330"/>
  <c r="X141" i="330" s="1"/>
  <c r="AC90" i="329"/>
  <c r="AB90" i="329" s="1"/>
  <c r="AF90" i="329" s="1"/>
  <c r="AE90" i="329"/>
  <c r="V115" i="330"/>
  <c r="X115" i="330" s="1"/>
  <c r="AA143" i="330"/>
  <c r="AD143" i="330"/>
  <c r="AE228" i="329"/>
  <c r="AC228" i="329"/>
  <c r="AB228" i="329" s="1"/>
  <c r="AF228" i="329" s="1"/>
  <c r="AD117" i="329"/>
  <c r="AA117" i="329"/>
  <c r="AE76" i="330"/>
  <c r="AC76" i="330"/>
  <c r="AB76" i="330" s="1"/>
  <c r="AF76" i="330" s="1"/>
  <c r="V194" i="329"/>
  <c r="X194" i="329" s="1"/>
  <c r="AC120" i="329"/>
  <c r="AE120" i="329"/>
  <c r="AB120" i="329"/>
  <c r="AF120" i="329" s="1"/>
  <c r="V102" i="329"/>
  <c r="X102" i="329" s="1"/>
  <c r="AD189" i="330"/>
  <c r="AA189" i="330"/>
  <c r="AF89" i="329"/>
  <c r="AB89" i="329"/>
  <c r="AE89" i="329"/>
  <c r="AC89" i="329"/>
  <c r="AD32" i="330"/>
  <c r="AA32" i="330"/>
  <c r="X151" i="330"/>
  <c r="AD190" i="330"/>
  <c r="AA190" i="330"/>
  <c r="AA202" i="330"/>
  <c r="AD202" i="330"/>
  <c r="AD143" i="329"/>
  <c r="AA143" i="329"/>
  <c r="AD230" i="330"/>
  <c r="AA230" i="330"/>
  <c r="X150" i="330"/>
  <c r="V23" i="330"/>
  <c r="X23" i="330" s="1"/>
  <c r="AD199" i="330"/>
  <c r="AA199" i="330"/>
  <c r="AC159" i="329"/>
  <c r="AB159" i="329" s="1"/>
  <c r="AF159" i="329" s="1"/>
  <c r="AE159" i="329"/>
  <c r="AE87" i="330"/>
  <c r="AC87" i="330"/>
  <c r="AB87" i="330" s="1"/>
  <c r="AF87" i="330" s="1"/>
  <c r="AE24" i="329"/>
  <c r="AC24" i="329"/>
  <c r="AB24" i="329" s="1"/>
  <c r="AF24" i="329" s="1"/>
  <c r="AC214" i="329"/>
  <c r="AE214" i="329"/>
  <c r="AB214" i="329"/>
  <c r="AF214" i="329" s="1"/>
  <c r="AE199" i="329"/>
  <c r="AC199" i="329"/>
  <c r="AB199" i="329" s="1"/>
  <c r="AF199" i="329" s="1"/>
  <c r="AC79" i="329"/>
  <c r="AB79" i="329" s="1"/>
  <c r="AF79" i="329" s="1"/>
  <c r="AE79" i="329"/>
  <c r="AD142" i="329"/>
  <c r="AA142" i="329"/>
  <c r="AA133" i="329"/>
  <c r="AD133" i="329"/>
  <c r="AA54" i="329"/>
  <c r="AD54" i="329"/>
  <c r="AD151" i="330"/>
  <c r="AA151" i="330"/>
  <c r="AA101" i="329"/>
  <c r="AD101" i="329"/>
  <c r="AD201" i="330"/>
  <c r="AA201" i="330"/>
  <c r="AD98" i="329"/>
  <c r="AA98" i="329"/>
  <c r="AD222" i="330"/>
  <c r="AA222" i="330"/>
  <c r="AD49" i="330"/>
  <c r="AA49" i="330"/>
  <c r="AD150" i="330"/>
  <c r="AA150" i="330"/>
  <c r="AE91" i="329"/>
  <c r="AC91" i="329"/>
  <c r="AB91" i="329"/>
  <c r="AF91" i="329" s="1"/>
  <c r="V157" i="330"/>
  <c r="X157" i="330" s="1"/>
  <c r="V136" i="330"/>
  <c r="X136" i="330" s="1"/>
  <c r="AB208" i="330"/>
  <c r="AF208" i="330" s="1"/>
  <c r="AE208" i="330"/>
  <c r="AC208" i="330"/>
  <c r="V204" i="329"/>
  <c r="AE84" i="329"/>
  <c r="AC84" i="329"/>
  <c r="AB84" i="329" s="1"/>
  <c r="AF84" i="329" s="1"/>
  <c r="AD165" i="329"/>
  <c r="AA165" i="329"/>
  <c r="AD164" i="330"/>
  <c r="AA164" i="330"/>
  <c r="V145" i="329"/>
  <c r="X145" i="329" s="1"/>
  <c r="V55" i="330"/>
  <c r="X55" i="330" s="1"/>
  <c r="AE188" i="329"/>
  <c r="AC188" i="329"/>
  <c r="AB188" i="329" s="1"/>
  <c r="AF188" i="329" s="1"/>
  <c r="AA68" i="330"/>
  <c r="AD68" i="330"/>
  <c r="AB210" i="330"/>
  <c r="AF210" i="330" s="1"/>
  <c r="AC210" i="330"/>
  <c r="AE210" i="330"/>
  <c r="AD64" i="329"/>
  <c r="AA64" i="329"/>
  <c r="V53" i="330"/>
  <c r="V106" i="329"/>
  <c r="X106" i="329" s="1"/>
  <c r="AC205" i="330"/>
  <c r="AE205" i="330"/>
  <c r="AB205" i="330"/>
  <c r="AF205" i="330" s="1"/>
  <c r="AD28" i="329"/>
  <c r="AA28" i="329"/>
  <c r="AD98" i="330"/>
  <c r="AA98" i="330"/>
  <c r="V103" i="329"/>
  <c r="X103" i="329" s="1"/>
  <c r="V197" i="329"/>
  <c r="AE29" i="330"/>
  <c r="AC29" i="330"/>
  <c r="AB29" i="330" s="1"/>
  <c r="AF29" i="330" s="1"/>
  <c r="AA55" i="329"/>
  <c r="AD55" i="329"/>
  <c r="V63" i="329"/>
  <c r="X63" i="329" s="1"/>
  <c r="AA102" i="329"/>
  <c r="AD102" i="329"/>
  <c r="AE156" i="329"/>
  <c r="AC156" i="329"/>
  <c r="AB156" i="329" s="1"/>
  <c r="AF156" i="329" s="1"/>
  <c r="AD68" i="329"/>
  <c r="AA68" i="329"/>
  <c r="S216" i="330"/>
  <c r="V114" i="330"/>
  <c r="X114" i="330" s="1"/>
  <c r="V199" i="330"/>
  <c r="X199" i="330" s="1"/>
  <c r="X46" i="329"/>
  <c r="V206" i="329"/>
  <c r="X206" i="329" s="1"/>
  <c r="AE196" i="330"/>
  <c r="AC196" i="330"/>
  <c r="AB196" i="330" s="1"/>
  <c r="AF196" i="330" s="1"/>
  <c r="AE186" i="330"/>
  <c r="AC186" i="330"/>
  <c r="AB186" i="330" s="1"/>
  <c r="AF186" i="330" s="1"/>
  <c r="AE176" i="330"/>
  <c r="AC176" i="330"/>
  <c r="AB176" i="330" s="1"/>
  <c r="AF176" i="330" s="1"/>
  <c r="AA66" i="329"/>
  <c r="AD66" i="329"/>
  <c r="AC21" i="329"/>
  <c r="AB21" i="329" s="1"/>
  <c r="AF21" i="329" s="1"/>
  <c r="AE21" i="329"/>
  <c r="V142" i="330"/>
  <c r="X142" i="330" s="1"/>
  <c r="AB175" i="329"/>
  <c r="AF175" i="329" s="1"/>
  <c r="AC175" i="329"/>
  <c r="AE175" i="329"/>
  <c r="J233" i="329"/>
  <c r="Y182" i="330"/>
  <c r="W182" i="330"/>
  <c r="W216" i="330" s="1"/>
  <c r="U182" i="330"/>
  <c r="U216" i="330" s="1"/>
  <c r="X171" i="329"/>
  <c r="X172" i="329" s="1"/>
  <c r="AE89" i="330"/>
  <c r="AC89" i="330"/>
  <c r="AB89" i="330" s="1"/>
  <c r="AF89" i="330" s="1"/>
  <c r="AD205" i="329"/>
  <c r="AA205" i="329"/>
  <c r="AD99" i="330"/>
  <c r="AA99" i="330"/>
  <c r="AE82" i="329"/>
  <c r="AC82" i="329"/>
  <c r="AB82" i="329" s="1"/>
  <c r="AF82" i="329" s="1"/>
  <c r="AF101" i="330"/>
  <c r="AE101" i="330"/>
  <c r="AC101" i="330"/>
  <c r="AB101" i="330"/>
  <c r="AD115" i="330"/>
  <c r="AA115" i="330"/>
  <c r="AD61" i="330"/>
  <c r="AA61" i="330"/>
  <c r="V64" i="330"/>
  <c r="X64" i="330" s="1"/>
  <c r="V50" i="330"/>
  <c r="X50" i="330" s="1"/>
  <c r="AB40" i="330"/>
  <c r="AF40" i="330" s="1"/>
  <c r="AC40" i="330"/>
  <c r="AE40" i="330"/>
  <c r="AC207" i="329"/>
  <c r="AE207" i="329"/>
  <c r="AB207" i="329"/>
  <c r="AF207" i="329" s="1"/>
  <c r="AA194" i="329"/>
  <c r="AD194" i="329"/>
  <c r="AB31" i="330"/>
  <c r="AF31" i="330" s="1"/>
  <c r="AE31" i="330"/>
  <c r="AC31" i="330"/>
  <c r="V158" i="329"/>
  <c r="X158" i="329" s="1"/>
  <c r="AD52" i="329"/>
  <c r="AA52" i="329"/>
  <c r="AE198" i="330"/>
  <c r="AC198" i="330"/>
  <c r="AB198" i="330"/>
  <c r="AF198" i="330" s="1"/>
  <c r="AD145" i="330"/>
  <c r="AA145" i="330"/>
  <c r="AC96" i="329"/>
  <c r="AE96" i="329"/>
  <c r="AB96" i="329"/>
  <c r="AF96" i="329" s="1"/>
  <c r="V59" i="330"/>
  <c r="X59" i="330" s="1"/>
  <c r="AA154" i="329"/>
  <c r="AD154" i="329"/>
  <c r="AA70" i="330"/>
  <c r="AD70" i="330"/>
  <c r="AA181" i="330"/>
  <c r="AD181" i="330"/>
  <c r="AD46" i="329"/>
  <c r="AA46" i="329"/>
  <c r="AA157" i="330"/>
  <c r="AD157" i="330"/>
  <c r="AD204" i="329"/>
  <c r="AA204" i="329"/>
  <c r="AE82" i="330"/>
  <c r="AC82" i="330"/>
  <c r="AB82" i="330" s="1"/>
  <c r="AF82" i="330" s="1"/>
  <c r="AA22" i="330"/>
  <c r="AD22" i="330"/>
  <c r="AD55" i="330"/>
  <c r="AA55" i="330"/>
  <c r="AA167" i="329"/>
  <c r="AD167" i="329"/>
  <c r="AA42" i="330"/>
  <c r="AD42" i="330"/>
  <c r="AD71" i="329"/>
  <c r="AA71" i="329"/>
  <c r="AE85" i="330"/>
  <c r="AC85" i="330"/>
  <c r="AB85" i="330"/>
  <c r="AF85" i="330" s="1"/>
  <c r="AA138" i="330"/>
  <c r="AD138" i="330"/>
  <c r="AE104" i="329"/>
  <c r="AF104" i="329" s="1"/>
  <c r="AC104" i="329"/>
  <c r="AB104" i="329"/>
  <c r="AA53" i="330"/>
  <c r="AD53" i="330"/>
  <c r="AE93" i="329"/>
  <c r="AC93" i="329"/>
  <c r="AB93" i="329" s="1"/>
  <c r="AF93" i="329" s="1"/>
  <c r="AE184" i="330"/>
  <c r="AC184" i="330"/>
  <c r="AB184" i="330" s="1"/>
  <c r="AF184" i="330" s="1"/>
  <c r="AA218" i="330"/>
  <c r="AD218" i="330"/>
  <c r="AD219" i="330" s="1"/>
  <c r="Y219" i="330"/>
  <c r="W232" i="329"/>
  <c r="AD164" i="329"/>
  <c r="AA164" i="329"/>
  <c r="AE111" i="329"/>
  <c r="AC111" i="329"/>
  <c r="AB111" i="329" s="1"/>
  <c r="AF111" i="329" s="1"/>
  <c r="AE179" i="329"/>
  <c r="AC179" i="329"/>
  <c r="AB179" i="329"/>
  <c r="AF179" i="329" s="1"/>
  <c r="AB28" i="330"/>
  <c r="AF28" i="330" s="1"/>
  <c r="AE28" i="330"/>
  <c r="AC28" i="330"/>
  <c r="T216" i="330"/>
  <c r="AA135" i="329"/>
  <c r="AD135" i="329"/>
  <c r="AD183" i="330"/>
  <c r="AA183" i="330"/>
  <c r="AF78" i="329"/>
  <c r="AE78" i="329"/>
  <c r="AC78" i="329"/>
  <c r="AB78" i="329"/>
  <c r="X74" i="329"/>
  <c r="AD26" i="330"/>
  <c r="AA26" i="330"/>
  <c r="AA228" i="330"/>
  <c r="AD228" i="330"/>
  <c r="V152" i="329"/>
  <c r="X152" i="329" s="1"/>
  <c r="AD114" i="330"/>
  <c r="AA114" i="330"/>
  <c r="AD215" i="329"/>
  <c r="AA215" i="329"/>
  <c r="AD206" i="329"/>
  <c r="AA206" i="329"/>
  <c r="AD72" i="329"/>
  <c r="AA72" i="329"/>
  <c r="AE193" i="329"/>
  <c r="AC193" i="329"/>
  <c r="AB193" i="329" s="1"/>
  <c r="AF193" i="329" s="1"/>
  <c r="AE30" i="329"/>
  <c r="AC30" i="329"/>
  <c r="AB30" i="329"/>
  <c r="AF30" i="329" s="1"/>
  <c r="AA136" i="330"/>
  <c r="AD136" i="330"/>
  <c r="AD204" i="330"/>
  <c r="AA204" i="330"/>
  <c r="AD58" i="329"/>
  <c r="AA58" i="329"/>
  <c r="AB120" i="330"/>
  <c r="AF120" i="330" s="1"/>
  <c r="AE120" i="330"/>
  <c r="AC120" i="330"/>
  <c r="AF146" i="330"/>
  <c r="AE146" i="330"/>
  <c r="AC146" i="330"/>
  <c r="AB146" i="330"/>
  <c r="AB207" i="330"/>
  <c r="AF207" i="330" s="1"/>
  <c r="AE207" i="330"/>
  <c r="AC207" i="330"/>
  <c r="AA145" i="329"/>
  <c r="AD145" i="329"/>
  <c r="AD106" i="329"/>
  <c r="AA106" i="329"/>
  <c r="X99" i="330"/>
  <c r="AD57" i="329"/>
  <c r="AA57" i="329"/>
  <c r="AD149" i="329"/>
  <c r="AA149" i="329"/>
  <c r="V221" i="329"/>
  <c r="V232" i="329" s="1"/>
  <c r="AD103" i="329"/>
  <c r="AA103" i="329"/>
  <c r="AA186" i="329"/>
  <c r="AD186" i="329"/>
  <c r="AD64" i="330"/>
  <c r="AA64" i="330"/>
  <c r="AE86" i="330"/>
  <c r="AC86" i="330"/>
  <c r="AB86" i="330" s="1"/>
  <c r="AF86" i="330" s="1"/>
  <c r="AD197" i="329"/>
  <c r="AA197" i="329"/>
  <c r="AA50" i="330"/>
  <c r="AD50" i="330"/>
  <c r="AC54" i="330"/>
  <c r="AB54" i="330" s="1"/>
  <c r="AF54" i="330" s="1"/>
  <c r="AE54" i="330"/>
  <c r="AE175" i="330"/>
  <c r="AC175" i="330"/>
  <c r="AB175" i="330" s="1"/>
  <c r="AF175" i="330" s="1"/>
  <c r="AD63" i="329"/>
  <c r="AA63" i="329"/>
  <c r="AC53" i="329"/>
  <c r="AB53" i="329" s="1"/>
  <c r="AF53" i="329" s="1"/>
  <c r="AE53" i="329"/>
  <c r="AD158" i="329"/>
  <c r="AA158" i="329"/>
  <c r="AE107" i="330"/>
  <c r="AC107" i="330"/>
  <c r="AB107" i="330" s="1"/>
  <c r="AF107" i="330" s="1"/>
  <c r="AE90" i="330"/>
  <c r="AB90" i="330"/>
  <c r="AF90" i="330" s="1"/>
  <c r="AC90" i="330"/>
  <c r="AA74" i="329"/>
  <c r="AD74" i="329"/>
  <c r="AA59" i="330"/>
  <c r="AD59" i="330"/>
  <c r="AA195" i="329"/>
  <c r="AD195" i="329"/>
  <c r="AD191" i="330"/>
  <c r="AA191" i="330"/>
  <c r="X159" i="330"/>
  <c r="AA162" i="330"/>
  <c r="AD162" i="330"/>
  <c r="AA116" i="329"/>
  <c r="AD116" i="329"/>
  <c r="AC144" i="330"/>
  <c r="AB144" i="330" s="1"/>
  <c r="AF144" i="330" s="1"/>
  <c r="AE144" i="330"/>
  <c r="AE222" i="329"/>
  <c r="AC222" i="329"/>
  <c r="AB222" i="329" s="1"/>
  <c r="AF222" i="329" s="1"/>
  <c r="AC161" i="329"/>
  <c r="AB161" i="329" s="1"/>
  <c r="AF161" i="329" s="1"/>
  <c r="AE161" i="329"/>
  <c r="AE121" i="330"/>
  <c r="AC121" i="330"/>
  <c r="AB121" i="330" s="1"/>
  <c r="AF121" i="330" s="1"/>
  <c r="AA142" i="330"/>
  <c r="AD142" i="330"/>
  <c r="AD67" i="329"/>
  <c r="AA67" i="329"/>
  <c r="S216" i="329"/>
  <c r="T178" i="329"/>
  <c r="AD195" i="330"/>
  <c r="AA195" i="330"/>
  <c r="AD30" i="330"/>
  <c r="AA30" i="330"/>
  <c r="AD221" i="329"/>
  <c r="Y232" i="329"/>
  <c r="AA221" i="329"/>
  <c r="AC88" i="329"/>
  <c r="AB88" i="329"/>
  <c r="AF88" i="329" s="1"/>
  <c r="AE88" i="329"/>
  <c r="AC225" i="330"/>
  <c r="AB225" i="330"/>
  <c r="AF225" i="330"/>
  <c r="AE225" i="330"/>
  <c r="AE88" i="330"/>
  <c r="AC88" i="330"/>
  <c r="AB88" i="330" s="1"/>
  <c r="AF88" i="330" s="1"/>
  <c r="AE112" i="329"/>
  <c r="AC112" i="329"/>
  <c r="AB112" i="329" s="1"/>
  <c r="AF112" i="329" s="1"/>
  <c r="AE78" i="330"/>
  <c r="AC78" i="330"/>
  <c r="AB78" i="330" s="1"/>
  <c r="AF78" i="330" s="1"/>
  <c r="AE70" i="329"/>
  <c r="AB70" i="329"/>
  <c r="AF70" i="329" s="1"/>
  <c r="AC70" i="329"/>
  <c r="AD194" i="330"/>
  <c r="AA194" i="330"/>
  <c r="AD36" i="329"/>
  <c r="AA36" i="329"/>
  <c r="AD213" i="330"/>
  <c r="AA213" i="330"/>
  <c r="AA133" i="330"/>
  <c r="AD133" i="330"/>
  <c r="F100" i="327"/>
  <c r="H98" i="327"/>
  <c r="D19" i="154" l="1"/>
  <c r="BB128" i="333"/>
  <c r="BF128" i="333"/>
  <c r="BC128" i="333"/>
  <c r="BD128" i="333" s="1"/>
  <c r="BE189" i="333"/>
  <c r="BD189" i="333"/>
  <c r="BF189" i="333"/>
  <c r="BB189" i="333"/>
  <c r="BC189" i="333"/>
  <c r="BE182" i="333"/>
  <c r="BE121" i="333"/>
  <c r="BE64" i="333"/>
  <c r="BE45" i="333"/>
  <c r="BE74" i="333"/>
  <c r="BF173" i="333"/>
  <c r="BB173" i="333"/>
  <c r="BC173" i="333"/>
  <c r="BD173" i="333" s="1"/>
  <c r="BF93" i="333"/>
  <c r="BD93" i="333"/>
  <c r="BE93" i="333" s="1"/>
  <c r="BB93" i="333"/>
  <c r="BC93" i="333"/>
  <c r="BE139" i="333"/>
  <c r="BE89" i="333"/>
  <c r="BC196" i="333"/>
  <c r="BE196" i="333" s="1"/>
  <c r="BB196" i="333"/>
  <c r="BD196" i="333" s="1"/>
  <c r="BF196" i="333"/>
  <c r="BC88" i="333"/>
  <c r="BF88" i="333"/>
  <c r="BB88" i="333"/>
  <c r="BE88" i="333" s="1"/>
  <c r="BD88" i="333"/>
  <c r="BE140" i="333"/>
  <c r="BE181" i="333"/>
  <c r="BG124" i="333"/>
  <c r="BE76" i="333"/>
  <c r="BF109" i="333"/>
  <c r="BB109" i="333"/>
  <c r="BC109" i="333"/>
  <c r="BE141" i="333"/>
  <c r="BE83" i="333"/>
  <c r="BE78" i="333"/>
  <c r="BF192" i="333"/>
  <c r="BD192" i="333"/>
  <c r="BE192" i="333" s="1"/>
  <c r="BC192" i="333"/>
  <c r="BB192" i="333"/>
  <c r="BC194" i="333"/>
  <c r="BB194" i="333"/>
  <c r="BD194" i="333" s="1"/>
  <c r="BE194" i="333" s="1"/>
  <c r="BF194" i="333"/>
  <c r="BF188" i="333"/>
  <c r="BB188" i="333"/>
  <c r="BC188" i="333"/>
  <c r="BH113" i="333"/>
  <c r="BJ113" i="333"/>
  <c r="BJ90" i="333"/>
  <c r="BH90" i="333"/>
  <c r="BJ160" i="333"/>
  <c r="BH160" i="333"/>
  <c r="BL129" i="333"/>
  <c r="BI129" i="333"/>
  <c r="BM129" i="333" s="1"/>
  <c r="BK129" i="333"/>
  <c r="BI142" i="333"/>
  <c r="BK142" i="333" s="1"/>
  <c r="BL142" i="333"/>
  <c r="BH117" i="333"/>
  <c r="BJ117" i="333"/>
  <c r="BL186" i="333"/>
  <c r="BI186" i="333"/>
  <c r="BJ133" i="333"/>
  <c r="BH133" i="333"/>
  <c r="BE81" i="333"/>
  <c r="BE193" i="333"/>
  <c r="BJ60" i="333"/>
  <c r="BH60" i="333"/>
  <c r="BJ65" i="333"/>
  <c r="BH65" i="333"/>
  <c r="BH165" i="333"/>
  <c r="BJ165" i="333"/>
  <c r="BE90" i="333"/>
  <c r="BH91" i="333"/>
  <c r="BJ91" i="333"/>
  <c r="BJ44" i="333"/>
  <c r="BH44" i="333"/>
  <c r="AZ174" i="333"/>
  <c r="BA167" i="333"/>
  <c r="BE54" i="333"/>
  <c r="BH140" i="333"/>
  <c r="BJ140" i="333"/>
  <c r="BD122" i="333"/>
  <c r="BE122" i="333" s="1"/>
  <c r="BH141" i="333"/>
  <c r="BJ141" i="333"/>
  <c r="BE117" i="333"/>
  <c r="BB146" i="333"/>
  <c r="BC146" i="333"/>
  <c r="BE146" i="333"/>
  <c r="BF146" i="333"/>
  <c r="BD146" i="333"/>
  <c r="BJ108" i="333"/>
  <c r="BH108" i="333"/>
  <c r="BJ59" i="333"/>
  <c r="BH59" i="333"/>
  <c r="BJ63" i="333"/>
  <c r="BH63" i="333"/>
  <c r="BJ193" i="333"/>
  <c r="BH193" i="333"/>
  <c r="BJ82" i="333"/>
  <c r="BH82" i="333"/>
  <c r="BL131" i="333"/>
  <c r="BI131" i="333"/>
  <c r="BK131" i="333" s="1"/>
  <c r="BH47" i="333"/>
  <c r="BJ47" i="333"/>
  <c r="BJ57" i="333"/>
  <c r="BH57" i="333"/>
  <c r="BI195" i="333"/>
  <c r="BL195" i="333"/>
  <c r="BH110" i="333"/>
  <c r="BJ110" i="333"/>
  <c r="BJ177" i="333"/>
  <c r="BH177" i="333"/>
  <c r="BD74" i="333"/>
  <c r="BL132" i="333"/>
  <c r="BI132" i="333"/>
  <c r="BJ98" i="333"/>
  <c r="BH98" i="333"/>
  <c r="BD198" i="333"/>
  <c r="BE198" i="333" s="1"/>
  <c r="BJ116" i="333"/>
  <c r="BH116" i="333"/>
  <c r="BH81" i="333"/>
  <c r="BJ81" i="333"/>
  <c r="BJ106" i="333"/>
  <c r="BH106" i="333"/>
  <c r="BH40" i="333"/>
  <c r="BJ40" i="333"/>
  <c r="BH147" i="333"/>
  <c r="BJ147" i="333"/>
  <c r="BE151" i="333"/>
  <c r="BD121" i="333"/>
  <c r="BD163" i="333"/>
  <c r="BE163" i="333" s="1"/>
  <c r="BD190" i="333"/>
  <c r="BE190" i="333" s="1"/>
  <c r="BJ118" i="333"/>
  <c r="BH118" i="333"/>
  <c r="BJ176" i="333"/>
  <c r="BH176" i="333"/>
  <c r="BD78" i="333"/>
  <c r="BD64" i="333"/>
  <c r="BJ185" i="333"/>
  <c r="BH185" i="333"/>
  <c r="BE57" i="333"/>
  <c r="BJ54" i="333"/>
  <c r="BH54" i="333"/>
  <c r="BF164" i="333"/>
  <c r="BC164" i="333"/>
  <c r="BD164" i="333" s="1"/>
  <c r="BB164" i="333"/>
  <c r="BE164" i="333" s="1"/>
  <c r="BJ145" i="333"/>
  <c r="BH145" i="333"/>
  <c r="BL126" i="333"/>
  <c r="BI126" i="333"/>
  <c r="AJ124" i="333"/>
  <c r="AJ201" i="333" s="1"/>
  <c r="BH41" i="333"/>
  <c r="BJ41" i="333"/>
  <c r="BD73" i="333"/>
  <c r="BE73" i="333" s="1"/>
  <c r="BJ190" i="333"/>
  <c r="BH190" i="333"/>
  <c r="BE179" i="333"/>
  <c r="BH74" i="333"/>
  <c r="BJ74" i="333"/>
  <c r="BD155" i="333"/>
  <c r="BC155" i="333"/>
  <c r="BE155" i="333"/>
  <c r="BB155" i="333"/>
  <c r="BF155" i="333"/>
  <c r="BH198" i="333"/>
  <c r="BJ198" i="333"/>
  <c r="BJ80" i="333"/>
  <c r="BH80" i="333"/>
  <c r="BJ78" i="333"/>
  <c r="BH78" i="333"/>
  <c r="BJ64" i="333"/>
  <c r="BH64" i="333"/>
  <c r="Z143" i="333"/>
  <c r="AZ136" i="333"/>
  <c r="BK148" i="333"/>
  <c r="BM148" i="333" s="1"/>
  <c r="BI148" i="333"/>
  <c r="BL148" i="333"/>
  <c r="BJ121" i="333"/>
  <c r="BH121" i="333"/>
  <c r="BJ73" i="333"/>
  <c r="BH73" i="333"/>
  <c r="BJ163" i="333"/>
  <c r="BH163" i="333"/>
  <c r="BG200" i="333"/>
  <c r="BJ191" i="333"/>
  <c r="BH191" i="333"/>
  <c r="BB39" i="333"/>
  <c r="BC39" i="333"/>
  <c r="BF39" i="333"/>
  <c r="BE39" i="333"/>
  <c r="BD39" i="333"/>
  <c r="BF69" i="333"/>
  <c r="BC69" i="333"/>
  <c r="BB69" i="333"/>
  <c r="BD69" i="333" s="1"/>
  <c r="BE69" i="333" s="1"/>
  <c r="BJ83" i="333"/>
  <c r="BH83" i="333"/>
  <c r="BH62" i="333"/>
  <c r="BJ62" i="333"/>
  <c r="BF97" i="333"/>
  <c r="BC97" i="333"/>
  <c r="BB97" i="333"/>
  <c r="BE97" i="333" s="1"/>
  <c r="BD97" i="333"/>
  <c r="BF105" i="333"/>
  <c r="BC105" i="333"/>
  <c r="BB105" i="333"/>
  <c r="BD105" i="333" s="1"/>
  <c r="BE105" i="333" s="1"/>
  <c r="BF159" i="333"/>
  <c r="BB159" i="333"/>
  <c r="BC159" i="333"/>
  <c r="BE159" i="333"/>
  <c r="BD159" i="333"/>
  <c r="Z123" i="333"/>
  <c r="Z124" i="333" s="1"/>
  <c r="BD45" i="333"/>
  <c r="BH53" i="333"/>
  <c r="BJ53" i="333"/>
  <c r="BH127" i="333"/>
  <c r="BJ127" i="333"/>
  <c r="BJ61" i="333"/>
  <c r="BH61" i="333"/>
  <c r="BJ179" i="333"/>
  <c r="BH179" i="333"/>
  <c r="AZ184" i="333"/>
  <c r="Z200" i="333"/>
  <c r="BJ172" i="333"/>
  <c r="BH172" i="333"/>
  <c r="BE80" i="333"/>
  <c r="BJ170" i="333"/>
  <c r="BH170" i="333"/>
  <c r="BE85" i="333"/>
  <c r="BF43" i="333"/>
  <c r="BC43" i="333"/>
  <c r="BB43" i="333"/>
  <c r="BD43" i="333" s="1"/>
  <c r="BJ122" i="333"/>
  <c r="BH122" i="333"/>
  <c r="BI77" i="333"/>
  <c r="BL77" i="333"/>
  <c r="BD114" i="333"/>
  <c r="BE114" i="333" s="1"/>
  <c r="BJ151" i="333"/>
  <c r="BH151" i="333"/>
  <c r="AZ123" i="333"/>
  <c r="BA104" i="333"/>
  <c r="BD53" i="333"/>
  <c r="BE53" i="333" s="1"/>
  <c r="BI52" i="333"/>
  <c r="BL52" i="333"/>
  <c r="BK52" i="333"/>
  <c r="BM52" i="333" s="1"/>
  <c r="BC92" i="333"/>
  <c r="BF92" i="333"/>
  <c r="BB92" i="333"/>
  <c r="BD92" i="333" s="1"/>
  <c r="BE92" i="333" s="1"/>
  <c r="AZ158" i="333"/>
  <c r="Z161" i="333"/>
  <c r="BH96" i="333"/>
  <c r="BJ96" i="333"/>
  <c r="BH85" i="333"/>
  <c r="BJ85" i="333"/>
  <c r="AZ162" i="333"/>
  <c r="Z166" i="333"/>
  <c r="BH114" i="333"/>
  <c r="BJ114" i="333"/>
  <c r="BI120" i="333"/>
  <c r="BK120" i="333" s="1"/>
  <c r="BL120" i="333"/>
  <c r="BC137" i="333"/>
  <c r="BB137" i="333"/>
  <c r="BD137" i="333"/>
  <c r="BE137" i="333" s="1"/>
  <c r="BF137" i="333"/>
  <c r="BH58" i="333"/>
  <c r="BJ58" i="333"/>
  <c r="BH89" i="333"/>
  <c r="BJ89" i="333"/>
  <c r="BD139" i="333"/>
  <c r="BC119" i="333"/>
  <c r="BD119" i="333"/>
  <c r="BE119" i="333" s="1"/>
  <c r="BF119" i="333"/>
  <c r="BB119" i="333"/>
  <c r="BJ45" i="333"/>
  <c r="BH45" i="333"/>
  <c r="BL134" i="333"/>
  <c r="BI134" i="333"/>
  <c r="BL75" i="333"/>
  <c r="BI75" i="333"/>
  <c r="BJ115" i="333"/>
  <c r="BH115" i="333"/>
  <c r="BB70" i="333"/>
  <c r="BD70" i="333"/>
  <c r="BE70" i="333" s="1"/>
  <c r="BC70" i="333"/>
  <c r="BF70" i="333"/>
  <c r="BJ99" i="333"/>
  <c r="BH99" i="333"/>
  <c r="BH168" i="333"/>
  <c r="BJ168" i="333"/>
  <c r="BE107" i="333"/>
  <c r="BG103" i="333"/>
  <c r="BH169" i="333"/>
  <c r="BJ169" i="333"/>
  <c r="BG152" i="333"/>
  <c r="AM124" i="333"/>
  <c r="AM201" i="333" s="1"/>
  <c r="BE172" i="333"/>
  <c r="BJ182" i="333"/>
  <c r="BH182" i="333"/>
  <c r="BJ51" i="333"/>
  <c r="BH51" i="333"/>
  <c r="BH197" i="333"/>
  <c r="BJ197" i="333"/>
  <c r="BH48" i="333"/>
  <c r="BJ48" i="333"/>
  <c r="BG166" i="333"/>
  <c r="AZ183" i="333"/>
  <c r="BA175" i="333"/>
  <c r="BJ138" i="333"/>
  <c r="BH138" i="333"/>
  <c r="BJ84" i="333"/>
  <c r="BH84" i="333"/>
  <c r="BJ50" i="333"/>
  <c r="BH50" i="333"/>
  <c r="BD187" i="333"/>
  <c r="BE187" i="333" s="1"/>
  <c r="Z152" i="333"/>
  <c r="AZ144" i="333"/>
  <c r="BE101" i="333"/>
  <c r="BJ49" i="333"/>
  <c r="BH49" i="333"/>
  <c r="BJ181" i="333"/>
  <c r="BH181" i="333"/>
  <c r="BJ180" i="333"/>
  <c r="BH180" i="333"/>
  <c r="BH139" i="333"/>
  <c r="BJ139" i="333"/>
  <c r="BJ79" i="333"/>
  <c r="BH79" i="333"/>
  <c r="Z103" i="333"/>
  <c r="AZ87" i="333"/>
  <c r="BJ178" i="333"/>
  <c r="BH178" i="333"/>
  <c r="BH94" i="333"/>
  <c r="BJ94" i="333"/>
  <c r="BH187" i="333"/>
  <c r="BJ187" i="333"/>
  <c r="BG135" i="333"/>
  <c r="BJ101" i="333"/>
  <c r="BH101" i="333"/>
  <c r="BF157" i="333"/>
  <c r="BD157" i="333"/>
  <c r="BB157" i="333"/>
  <c r="BC157" i="333"/>
  <c r="BD160" i="333"/>
  <c r="BE160" i="333" s="1"/>
  <c r="AZ156" i="333"/>
  <c r="BA153" i="333"/>
  <c r="BD72" i="333"/>
  <c r="BE72" i="333" s="1"/>
  <c r="BH95" i="333"/>
  <c r="BJ95" i="333"/>
  <c r="BF100" i="333"/>
  <c r="BC100" i="333"/>
  <c r="BB100" i="333"/>
  <c r="BD100" i="333" s="1"/>
  <c r="BJ150" i="333"/>
  <c r="BH150" i="333"/>
  <c r="BD76" i="333"/>
  <c r="BD63" i="333"/>
  <c r="BE63" i="333" s="1"/>
  <c r="BD171" i="333"/>
  <c r="BE171" i="333" s="1"/>
  <c r="BJ55" i="333"/>
  <c r="BH55" i="333"/>
  <c r="BJ111" i="333"/>
  <c r="BH111" i="333"/>
  <c r="BD56" i="333"/>
  <c r="BE56" i="333" s="1"/>
  <c r="BA67" i="333"/>
  <c r="AK124" i="333"/>
  <c r="AK201" i="333" s="1"/>
  <c r="BH72" i="333"/>
  <c r="BJ72" i="333"/>
  <c r="BL199" i="333"/>
  <c r="BI199" i="333"/>
  <c r="BM199" i="333" s="1"/>
  <c r="BK199" i="333"/>
  <c r="BJ107" i="333"/>
  <c r="BH107" i="333"/>
  <c r="BJ76" i="333"/>
  <c r="BH76" i="333"/>
  <c r="BL71" i="333"/>
  <c r="BI71" i="333"/>
  <c r="BL102" i="333"/>
  <c r="BI102" i="333"/>
  <c r="BK102" i="333" s="1"/>
  <c r="BH154" i="333"/>
  <c r="BJ154" i="333"/>
  <c r="AZ66" i="333"/>
  <c r="BA38" i="333"/>
  <c r="BI46" i="333"/>
  <c r="BK46" i="333" s="1"/>
  <c r="BM46" i="333" s="1"/>
  <c r="BL46" i="333"/>
  <c r="AZ68" i="333"/>
  <c r="BA68" i="333" s="1"/>
  <c r="Y124" i="333"/>
  <c r="Y201" i="333" s="1"/>
  <c r="BJ112" i="333"/>
  <c r="BH112" i="333"/>
  <c r="BJ130" i="333"/>
  <c r="BH130" i="333"/>
  <c r="AZ125" i="333"/>
  <c r="Z135" i="333"/>
  <c r="BH171" i="333"/>
  <c r="BJ171" i="333"/>
  <c r="BJ56" i="333"/>
  <c r="BH56" i="333"/>
  <c r="BH42" i="333"/>
  <c r="BJ42" i="333"/>
  <c r="AE30" i="330"/>
  <c r="AC30" i="330"/>
  <c r="AB30" i="330" s="1"/>
  <c r="AF30" i="330" s="1"/>
  <c r="AE136" i="330"/>
  <c r="AC136" i="330"/>
  <c r="AB136" i="330" s="1"/>
  <c r="AF136" i="330" s="1"/>
  <c r="AE206" i="329"/>
  <c r="AC206" i="329"/>
  <c r="AB206" i="329" s="1"/>
  <c r="AF206" i="329" s="1"/>
  <c r="AE55" i="330"/>
  <c r="AC55" i="330"/>
  <c r="AB55" i="330" s="1"/>
  <c r="AF55" i="330" s="1"/>
  <c r="AC157" i="330"/>
  <c r="AB157" i="330"/>
  <c r="AF157" i="330" s="1"/>
  <c r="AE157" i="330"/>
  <c r="AE98" i="330"/>
  <c r="AC98" i="330"/>
  <c r="AB98" i="330" s="1"/>
  <c r="AF98" i="330" s="1"/>
  <c r="AE222" i="330"/>
  <c r="AC222" i="330"/>
  <c r="AB222" i="330" s="1"/>
  <c r="AF222" i="330" s="1"/>
  <c r="AC134" i="329"/>
  <c r="AB134" i="329"/>
  <c r="AF134" i="329" s="1"/>
  <c r="AE134" i="329"/>
  <c r="AC40" i="329"/>
  <c r="AB40" i="329" s="1"/>
  <c r="AF40" i="329" s="1"/>
  <c r="AE40" i="329"/>
  <c r="AC71" i="330"/>
  <c r="AE71" i="330"/>
  <c r="AF71" i="330" s="1"/>
  <c r="AB71" i="330"/>
  <c r="AE24" i="330"/>
  <c r="AC24" i="330"/>
  <c r="AB24" i="330" s="1"/>
  <c r="AF24" i="330" s="1"/>
  <c r="AB45" i="330"/>
  <c r="AF45" i="330" s="1"/>
  <c r="AC45" i="330"/>
  <c r="AE45" i="330"/>
  <c r="AC139" i="329"/>
  <c r="AE139" i="329"/>
  <c r="AB139" i="329"/>
  <c r="AF139" i="329" s="1"/>
  <c r="AC62" i="329"/>
  <c r="AB62" i="329"/>
  <c r="AF62" i="329" s="1"/>
  <c r="AE62" i="329"/>
  <c r="AB58" i="330"/>
  <c r="AF58" i="330"/>
  <c r="AE58" i="330"/>
  <c r="AC58" i="330"/>
  <c r="AE25" i="330"/>
  <c r="AC25" i="330"/>
  <c r="AB25" i="330" s="1"/>
  <c r="AF25" i="330" s="1"/>
  <c r="AE152" i="329"/>
  <c r="AC152" i="329"/>
  <c r="AB152" i="329" s="1"/>
  <c r="AF152" i="329" s="1"/>
  <c r="AE192" i="330"/>
  <c r="AC192" i="330"/>
  <c r="AF192" i="330"/>
  <c r="AB192" i="330"/>
  <c r="AC231" i="329"/>
  <c r="AB231" i="329"/>
  <c r="AF231" i="329" s="1"/>
  <c r="AE231" i="329"/>
  <c r="AE162" i="330"/>
  <c r="AC162" i="330"/>
  <c r="AB162" i="330" s="1"/>
  <c r="AF162" i="330" s="1"/>
  <c r="AE63" i="329"/>
  <c r="AC63" i="329"/>
  <c r="AB63" i="329"/>
  <c r="AF63" i="329" s="1"/>
  <c r="AC53" i="330"/>
  <c r="AB53" i="330" s="1"/>
  <c r="AF53" i="330" s="1"/>
  <c r="AE53" i="330"/>
  <c r="AE46" i="329"/>
  <c r="AC46" i="329"/>
  <c r="AB46" i="329"/>
  <c r="AF46" i="329" s="1"/>
  <c r="AC143" i="329"/>
  <c r="AB143" i="329"/>
  <c r="AE143" i="329"/>
  <c r="AF143" i="329" s="1"/>
  <c r="AE189" i="330"/>
  <c r="AF189" i="330" s="1"/>
  <c r="AB189" i="330"/>
  <c r="AC189" i="330"/>
  <c r="AC183" i="329"/>
  <c r="AB183" i="329"/>
  <c r="AF183" i="329"/>
  <c r="AE183" i="329"/>
  <c r="AF27" i="329"/>
  <c r="AE27" i="329"/>
  <c r="AC27" i="329"/>
  <c r="AB27" i="329"/>
  <c r="AE18" i="329"/>
  <c r="AC18" i="329"/>
  <c r="AB18" i="329" s="1"/>
  <c r="AF18" i="329" s="1"/>
  <c r="W221" i="330"/>
  <c r="W232" i="330" s="1"/>
  <c r="T232" i="330"/>
  <c r="Y221" i="330"/>
  <c r="U221" i="330"/>
  <c r="U232" i="330" s="1"/>
  <c r="AC19" i="330"/>
  <c r="AE19" i="330"/>
  <c r="AB19" i="330"/>
  <c r="AF19" i="330" s="1"/>
  <c r="AE182" i="329"/>
  <c r="AC182" i="329"/>
  <c r="AB182" i="329"/>
  <c r="AF182" i="329" s="1"/>
  <c r="AB48" i="330"/>
  <c r="AF48" i="330" s="1"/>
  <c r="AE48" i="330"/>
  <c r="AC48" i="330"/>
  <c r="AE118" i="330"/>
  <c r="AC118" i="330"/>
  <c r="AB118" i="330" s="1"/>
  <c r="AF118" i="330" s="1"/>
  <c r="AE65" i="330"/>
  <c r="AC65" i="330"/>
  <c r="AB65" i="330" s="1"/>
  <c r="AF65" i="330" s="1"/>
  <c r="AE67" i="329"/>
  <c r="AF67" i="329" s="1"/>
  <c r="AC67" i="329"/>
  <c r="AB67" i="329"/>
  <c r="AE186" i="329"/>
  <c r="AC186" i="329"/>
  <c r="AB186" i="329" s="1"/>
  <c r="AF186" i="329" s="1"/>
  <c r="AE28" i="329"/>
  <c r="AC28" i="329"/>
  <c r="AB28" i="329" s="1"/>
  <c r="AF28" i="329" s="1"/>
  <c r="AE98" i="329"/>
  <c r="AC98" i="329"/>
  <c r="AB98" i="329"/>
  <c r="AF98" i="329" s="1"/>
  <c r="AC142" i="329"/>
  <c r="AE142" i="329"/>
  <c r="AB142" i="329"/>
  <c r="AF142" i="329" s="1"/>
  <c r="AE72" i="330"/>
  <c r="AC72" i="330"/>
  <c r="AB72" i="330" s="1"/>
  <c r="AF72" i="330" s="1"/>
  <c r="S233" i="330"/>
  <c r="AE187" i="330"/>
  <c r="AC187" i="330"/>
  <c r="AB187" i="330" s="1"/>
  <c r="AF187" i="330" s="1"/>
  <c r="AB41" i="330"/>
  <c r="AF41" i="330" s="1"/>
  <c r="AE41" i="330"/>
  <c r="AC41" i="330"/>
  <c r="AC161" i="330"/>
  <c r="AB161" i="330" s="1"/>
  <c r="AF161" i="330" s="1"/>
  <c r="AE161" i="330"/>
  <c r="AB133" i="330"/>
  <c r="AE133" i="330"/>
  <c r="AC133" i="330"/>
  <c r="AF133" i="330"/>
  <c r="AB103" i="329"/>
  <c r="AF103" i="329" s="1"/>
  <c r="AC103" i="329"/>
  <c r="AE103" i="329"/>
  <c r="AC215" i="329"/>
  <c r="AE215" i="329"/>
  <c r="AB215" i="329"/>
  <c r="AF215" i="329" s="1"/>
  <c r="Y17" i="329"/>
  <c r="V17" i="329"/>
  <c r="V37" i="329" s="1"/>
  <c r="T37" i="329"/>
  <c r="U17" i="329"/>
  <c r="U37" i="329" s="1"/>
  <c r="AE144" i="329"/>
  <c r="AC144" i="329"/>
  <c r="AB144" i="329" s="1"/>
  <c r="AF144" i="329" s="1"/>
  <c r="AC184" i="329"/>
  <c r="AB184" i="329" s="1"/>
  <c r="AF184" i="329" s="1"/>
  <c r="AE184" i="329"/>
  <c r="AD123" i="329"/>
  <c r="AC229" i="330"/>
  <c r="AB229" i="330"/>
  <c r="AF229" i="330" s="1"/>
  <c r="AE229" i="330"/>
  <c r="AC107" i="329"/>
  <c r="AE107" i="329"/>
  <c r="AB107" i="329"/>
  <c r="AF107" i="329" s="1"/>
  <c r="AE59" i="329"/>
  <c r="AC59" i="329"/>
  <c r="AB59" i="329"/>
  <c r="AF59" i="329" s="1"/>
  <c r="AE132" i="329"/>
  <c r="AC132" i="329"/>
  <c r="AB132" i="329" s="1"/>
  <c r="AF132" i="329" s="1"/>
  <c r="AB142" i="330"/>
  <c r="AF142" i="330" s="1"/>
  <c r="AE142" i="330"/>
  <c r="AC142" i="330"/>
  <c r="AC114" i="330"/>
  <c r="AB114" i="330" s="1"/>
  <c r="AF114" i="330" s="1"/>
  <c r="AE114" i="330"/>
  <c r="AE71" i="329"/>
  <c r="AC71" i="329"/>
  <c r="AB71" i="329" s="1"/>
  <c r="AF71" i="329" s="1"/>
  <c r="AE145" i="330"/>
  <c r="AC145" i="330"/>
  <c r="AB145" i="330" s="1"/>
  <c r="AF145" i="330" s="1"/>
  <c r="AE164" i="330"/>
  <c r="AC164" i="330"/>
  <c r="AB164" i="330" s="1"/>
  <c r="AF164" i="330" s="1"/>
  <c r="AE190" i="330"/>
  <c r="AC190" i="330"/>
  <c r="AB190" i="330"/>
  <c r="AF190" i="330" s="1"/>
  <c r="AE66" i="330"/>
  <c r="AC66" i="330"/>
  <c r="AB66" i="330" s="1"/>
  <c r="AF66" i="330" s="1"/>
  <c r="AB226" i="330"/>
  <c r="AF226" i="330" s="1"/>
  <c r="AC226" i="330"/>
  <c r="AE226" i="330"/>
  <c r="AE160" i="329"/>
  <c r="AC160" i="329"/>
  <c r="AB160" i="329" s="1"/>
  <c r="AF160" i="329" s="1"/>
  <c r="AC32" i="329"/>
  <c r="AB32" i="329"/>
  <c r="AF32" i="329" s="1"/>
  <c r="AE32" i="329"/>
  <c r="AE109" i="329"/>
  <c r="AB109" i="329"/>
  <c r="AF109" i="329" s="1"/>
  <c r="AC109" i="329"/>
  <c r="AE56" i="329"/>
  <c r="AC56" i="329"/>
  <c r="AB56" i="329" s="1"/>
  <c r="AF56" i="329" s="1"/>
  <c r="AB35" i="330"/>
  <c r="AF35" i="330" s="1"/>
  <c r="AE35" i="330"/>
  <c r="AC35" i="330"/>
  <c r="AE229" i="329"/>
  <c r="AC229" i="329"/>
  <c r="AB229" i="329" s="1"/>
  <c r="AF229" i="329" s="1"/>
  <c r="AE103" i="330"/>
  <c r="AC103" i="330"/>
  <c r="AB103" i="330" s="1"/>
  <c r="AF103" i="330" s="1"/>
  <c r="AC35" i="329"/>
  <c r="AB35" i="329" s="1"/>
  <c r="AF35" i="329" s="1"/>
  <c r="AE35" i="329"/>
  <c r="AC196" i="329"/>
  <c r="AB196" i="329" s="1"/>
  <c r="AF196" i="329" s="1"/>
  <c r="AE196" i="329"/>
  <c r="AE51" i="330"/>
  <c r="AC51" i="330"/>
  <c r="AB51" i="330" s="1"/>
  <c r="AF51" i="330" s="1"/>
  <c r="AB213" i="330"/>
  <c r="AF213" i="330"/>
  <c r="AE213" i="330"/>
  <c r="AC213" i="330"/>
  <c r="AE102" i="329"/>
  <c r="AB102" i="329"/>
  <c r="AF102" i="329" s="1"/>
  <c r="AC102" i="329"/>
  <c r="AE127" i="330"/>
  <c r="AC127" i="330"/>
  <c r="AB127" i="330" s="1"/>
  <c r="AF127" i="330" s="1"/>
  <c r="X174" i="329"/>
  <c r="AB185" i="329"/>
  <c r="AF185" i="329"/>
  <c r="AE185" i="329"/>
  <c r="AC185" i="329"/>
  <c r="V171" i="330"/>
  <c r="V172" i="330" s="1"/>
  <c r="AC227" i="329"/>
  <c r="AB227" i="329" s="1"/>
  <c r="AF227" i="329" s="1"/>
  <c r="AE227" i="329"/>
  <c r="AE192" i="329"/>
  <c r="AC192" i="329"/>
  <c r="AB192" i="329" s="1"/>
  <c r="AF192" i="329" s="1"/>
  <c r="AC180" i="330"/>
  <c r="AB180" i="330"/>
  <c r="AF180" i="330" s="1"/>
  <c r="AE180" i="330"/>
  <c r="AB17" i="330"/>
  <c r="AF17" i="330" s="1"/>
  <c r="AE17" i="330"/>
  <c r="AC17" i="330"/>
  <c r="AC138" i="329"/>
  <c r="AF138" i="329"/>
  <c r="AE138" i="329"/>
  <c r="AB138" i="329"/>
  <c r="AC137" i="329"/>
  <c r="AE137" i="329"/>
  <c r="AB137" i="329"/>
  <c r="AF137" i="329" s="1"/>
  <c r="AD216" i="330"/>
  <c r="AB195" i="329"/>
  <c r="AF195" i="329" s="1"/>
  <c r="AE195" i="329"/>
  <c r="AC195" i="329"/>
  <c r="AE138" i="330"/>
  <c r="AC138" i="330"/>
  <c r="AB138" i="330" s="1"/>
  <c r="AF138" i="330" s="1"/>
  <c r="V182" i="330"/>
  <c r="V216" i="330" s="1"/>
  <c r="AE68" i="330"/>
  <c r="AC68" i="330"/>
  <c r="AB68" i="330"/>
  <c r="AF68" i="330" s="1"/>
  <c r="AC165" i="329"/>
  <c r="AB165" i="329"/>
  <c r="AE165" i="329"/>
  <c r="AF165" i="329" s="1"/>
  <c r="AE101" i="329"/>
  <c r="AC101" i="329"/>
  <c r="AB101" i="329" s="1"/>
  <c r="AF101" i="329" s="1"/>
  <c r="AE180" i="329"/>
  <c r="AC180" i="329"/>
  <c r="AB180" i="329"/>
  <c r="AF180" i="329" s="1"/>
  <c r="AE139" i="330"/>
  <c r="AC139" i="330"/>
  <c r="AB139" i="330" s="1"/>
  <c r="AF139" i="330" s="1"/>
  <c r="AE141" i="330"/>
  <c r="AC141" i="330"/>
  <c r="AB141" i="330" s="1"/>
  <c r="AF141" i="330" s="1"/>
  <c r="AC21" i="330"/>
  <c r="AB21" i="330" s="1"/>
  <c r="AF21" i="330" s="1"/>
  <c r="AE21" i="330"/>
  <c r="AB27" i="330"/>
  <c r="AF27" i="330" s="1"/>
  <c r="AE27" i="330"/>
  <c r="AC27" i="330"/>
  <c r="AE47" i="330"/>
  <c r="AC47" i="330"/>
  <c r="AB47" i="330" s="1"/>
  <c r="AF47" i="330" s="1"/>
  <c r="AE100" i="330"/>
  <c r="AC100" i="330"/>
  <c r="AB100" i="330" s="1"/>
  <c r="AF100" i="330" s="1"/>
  <c r="V130" i="329"/>
  <c r="AE165" i="330"/>
  <c r="AC165" i="330"/>
  <c r="AB165" i="330" s="1"/>
  <c r="AF165" i="330" s="1"/>
  <c r="AE105" i="329"/>
  <c r="AC105" i="329"/>
  <c r="AB105" i="329" s="1"/>
  <c r="AF105" i="329" s="1"/>
  <c r="AA216" i="330"/>
  <c r="AE174" i="330"/>
  <c r="AC174" i="330"/>
  <c r="AB174" i="330" s="1"/>
  <c r="AC202" i="330"/>
  <c r="AF202" i="330"/>
  <c r="AB202" i="330"/>
  <c r="AE202" i="330"/>
  <c r="AC140" i="329"/>
  <c r="AF140" i="329"/>
  <c r="AE140" i="329"/>
  <c r="AB140" i="329"/>
  <c r="AC36" i="329"/>
  <c r="AB36" i="329"/>
  <c r="AF36" i="329" s="1"/>
  <c r="AE36" i="329"/>
  <c r="AC218" i="330"/>
  <c r="AC219" i="330" s="1"/>
  <c r="AA219" i="330"/>
  <c r="AE218" i="330"/>
  <c r="AE219" i="330" s="1"/>
  <c r="AF66" i="329"/>
  <c r="AE66" i="329"/>
  <c r="AC66" i="329"/>
  <c r="AB66" i="329"/>
  <c r="AE68" i="329"/>
  <c r="AB68" i="329"/>
  <c r="AF68" i="329" s="1"/>
  <c r="AC68" i="329"/>
  <c r="AE151" i="330"/>
  <c r="AC151" i="330"/>
  <c r="AB151" i="330" s="1"/>
  <c r="AF151" i="330" s="1"/>
  <c r="AB36" i="330"/>
  <c r="AF36" i="330" s="1"/>
  <c r="AE36" i="330"/>
  <c r="AC36" i="330"/>
  <c r="AE63" i="330"/>
  <c r="AC63" i="330"/>
  <c r="AB63" i="330" s="1"/>
  <c r="AF63" i="330" s="1"/>
  <c r="AE122" i="329"/>
  <c r="AC122" i="329"/>
  <c r="AB122" i="329" s="1"/>
  <c r="AF122" i="329" s="1"/>
  <c r="AF60" i="329"/>
  <c r="AE60" i="329"/>
  <c r="AC60" i="329"/>
  <c r="AB60" i="329"/>
  <c r="AB135" i="330"/>
  <c r="AF135" i="330" s="1"/>
  <c r="AC135" i="330"/>
  <c r="AE135" i="330"/>
  <c r="AA171" i="330"/>
  <c r="Y172" i="330"/>
  <c r="AD171" i="330"/>
  <c r="AD172" i="330" s="1"/>
  <c r="AE126" i="330"/>
  <c r="AE128" i="330" s="1"/>
  <c r="AC126" i="330"/>
  <c r="AC128" i="330" s="1"/>
  <c r="AB97" i="330"/>
  <c r="AF97" i="330" s="1"/>
  <c r="AE97" i="330"/>
  <c r="AC97" i="330"/>
  <c r="AB43" i="330"/>
  <c r="AF43" i="330" s="1"/>
  <c r="AE43" i="330"/>
  <c r="AC43" i="330"/>
  <c r="AC110" i="329"/>
  <c r="AB110" i="329"/>
  <c r="AF110" i="329" s="1"/>
  <c r="AE110" i="329"/>
  <c r="AE157" i="329"/>
  <c r="AC157" i="329"/>
  <c r="AB157" i="329" s="1"/>
  <c r="AF157" i="329" s="1"/>
  <c r="AC212" i="329"/>
  <c r="AB212" i="329" s="1"/>
  <c r="AF212" i="329" s="1"/>
  <c r="AE212" i="329"/>
  <c r="AB212" i="330"/>
  <c r="AF212" i="330" s="1"/>
  <c r="AE212" i="330"/>
  <c r="AC212" i="330"/>
  <c r="AE188" i="330"/>
  <c r="AC188" i="330"/>
  <c r="AB188" i="330"/>
  <c r="AF188" i="330" s="1"/>
  <c r="AE167" i="330"/>
  <c r="AC167" i="330"/>
  <c r="AB167" i="330" s="1"/>
  <c r="AF167" i="330" s="1"/>
  <c r="AC201" i="330"/>
  <c r="AE201" i="330"/>
  <c r="AB201" i="330"/>
  <c r="AF201" i="330" s="1"/>
  <c r="AC33" i="329"/>
  <c r="AE33" i="329"/>
  <c r="AB33" i="329"/>
  <c r="AF33" i="329" s="1"/>
  <c r="AC148" i="329"/>
  <c r="AB148" i="329"/>
  <c r="AF148" i="329"/>
  <c r="AE148" i="329"/>
  <c r="AB50" i="330"/>
  <c r="AF50" i="330" s="1"/>
  <c r="AE50" i="330"/>
  <c r="AC50" i="330"/>
  <c r="AE195" i="330"/>
  <c r="AC195" i="330"/>
  <c r="AB195" i="330" s="1"/>
  <c r="AF195" i="330" s="1"/>
  <c r="AF197" i="329"/>
  <c r="AE197" i="329"/>
  <c r="AC197" i="329"/>
  <c r="AB197" i="329"/>
  <c r="AC149" i="329"/>
  <c r="AB149" i="329" s="1"/>
  <c r="AF149" i="329" s="1"/>
  <c r="AE149" i="329"/>
  <c r="AE58" i="329"/>
  <c r="AC58" i="329"/>
  <c r="AB58" i="329" s="1"/>
  <c r="AF58" i="329" s="1"/>
  <c r="AC22" i="330"/>
  <c r="AB22" i="330" s="1"/>
  <c r="AF22" i="330" s="1"/>
  <c r="AE22" i="330"/>
  <c r="AE204" i="329"/>
  <c r="AC204" i="329"/>
  <c r="AB204" i="329" s="1"/>
  <c r="AF204" i="329" s="1"/>
  <c r="AB194" i="329"/>
  <c r="AF194" i="329" s="1"/>
  <c r="AE194" i="329"/>
  <c r="AC194" i="329"/>
  <c r="X182" i="330"/>
  <c r="X216" i="330" s="1"/>
  <c r="AE150" i="330"/>
  <c r="AC150" i="330"/>
  <c r="AB150" i="330" s="1"/>
  <c r="AF150" i="330" s="1"/>
  <c r="Y218" i="329"/>
  <c r="W218" i="329"/>
  <c r="W219" i="329" s="1"/>
  <c r="W233" i="329" s="1"/>
  <c r="U218" i="329"/>
  <c r="U219" i="329" s="1"/>
  <c r="U233" i="329" s="1"/>
  <c r="T219" i="329"/>
  <c r="AC227" i="330"/>
  <c r="AB227" i="330" s="1"/>
  <c r="AF227" i="330" s="1"/>
  <c r="AE227" i="330"/>
  <c r="AE69" i="330"/>
  <c r="AB69" i="330"/>
  <c r="AF69" i="330" s="1"/>
  <c r="AC69" i="330"/>
  <c r="AE187" i="329"/>
  <c r="AC187" i="329"/>
  <c r="AB187" i="329" s="1"/>
  <c r="AF187" i="329" s="1"/>
  <c r="AE177" i="330"/>
  <c r="AC177" i="330"/>
  <c r="AB177" i="330" s="1"/>
  <c r="AF177" i="330" s="1"/>
  <c r="AC75" i="329"/>
  <c r="AB75" i="329"/>
  <c r="AE75" i="329"/>
  <c r="AF75" i="329" s="1"/>
  <c r="AF26" i="329"/>
  <c r="AE26" i="329"/>
  <c r="AB26" i="329"/>
  <c r="AC26" i="329"/>
  <c r="T123" i="330"/>
  <c r="Y39" i="330"/>
  <c r="U39" i="330"/>
  <c r="U123" i="330" s="1"/>
  <c r="W39" i="330"/>
  <c r="W123" i="330" s="1"/>
  <c r="AC141" i="329"/>
  <c r="AB141" i="329"/>
  <c r="AF141" i="329" s="1"/>
  <c r="AE141" i="329"/>
  <c r="AF41" i="329"/>
  <c r="AE41" i="329"/>
  <c r="AB41" i="329"/>
  <c r="AC41" i="329"/>
  <c r="AE48" i="329"/>
  <c r="AC48" i="329"/>
  <c r="AB48" i="329"/>
  <c r="AF48" i="329" s="1"/>
  <c r="AE194" i="330"/>
  <c r="AF194" i="330"/>
  <c r="AC194" i="330"/>
  <c r="AB194" i="330"/>
  <c r="AC59" i="330"/>
  <c r="AB59" i="330" s="1"/>
  <c r="AF59" i="330" s="1"/>
  <c r="AE59" i="330"/>
  <c r="AC158" i="329"/>
  <c r="AB158" i="329" s="1"/>
  <c r="AF158" i="329" s="1"/>
  <c r="AE158" i="329"/>
  <c r="AE70" i="330"/>
  <c r="AC70" i="330"/>
  <c r="AB70" i="330" s="1"/>
  <c r="AF70" i="330" s="1"/>
  <c r="AE99" i="330"/>
  <c r="AB99" i="330"/>
  <c r="AF99" i="330" s="1"/>
  <c r="AC99" i="330"/>
  <c r="AA182" i="330"/>
  <c r="AD182" i="330"/>
  <c r="AE64" i="329"/>
  <c r="AC64" i="329"/>
  <c r="AB64" i="329"/>
  <c r="AF64" i="329" s="1"/>
  <c r="AC42" i="329"/>
  <c r="AE42" i="329"/>
  <c r="AB42" i="329"/>
  <c r="AF42" i="329" s="1"/>
  <c r="S233" i="329"/>
  <c r="AB67" i="330"/>
  <c r="AF67" i="330" s="1"/>
  <c r="AC67" i="330"/>
  <c r="AE67" i="330"/>
  <c r="AC100" i="329"/>
  <c r="AB100" i="329" s="1"/>
  <c r="AF100" i="329" s="1"/>
  <c r="AE100" i="329"/>
  <c r="AC210" i="329"/>
  <c r="AB210" i="329" s="1"/>
  <c r="AF210" i="329" s="1"/>
  <c r="AE210" i="329"/>
  <c r="AE65" i="329"/>
  <c r="AC65" i="329"/>
  <c r="AB65" i="329"/>
  <c r="AF65" i="329" s="1"/>
  <c r="AC119" i="329"/>
  <c r="AB119" i="329" s="1"/>
  <c r="AF119" i="329" s="1"/>
  <c r="AE119" i="329"/>
  <c r="AC121" i="329"/>
  <c r="AB121" i="329" s="1"/>
  <c r="AF121" i="329" s="1"/>
  <c r="AE121" i="329"/>
  <c r="AC213" i="329"/>
  <c r="AB213" i="329"/>
  <c r="AF213" i="329" s="1"/>
  <c r="AE213" i="329"/>
  <c r="AC20" i="330"/>
  <c r="AB20" i="330" s="1"/>
  <c r="AF20" i="330" s="1"/>
  <c r="AE20" i="330"/>
  <c r="V123" i="329"/>
  <c r="AE57" i="329"/>
  <c r="AC57" i="329"/>
  <c r="AB57" i="329" s="1"/>
  <c r="AF57" i="329" s="1"/>
  <c r="AE183" i="330"/>
  <c r="AC183" i="330"/>
  <c r="AB183" i="330" s="1"/>
  <c r="AF183" i="330" s="1"/>
  <c r="AC199" i="330"/>
  <c r="AB199" i="330" s="1"/>
  <c r="AF199" i="330" s="1"/>
  <c r="AE199" i="330"/>
  <c r="AB32" i="330"/>
  <c r="AE32" i="330"/>
  <c r="AC32" i="330"/>
  <c r="AF32" i="330"/>
  <c r="AE23" i="330"/>
  <c r="AC23" i="330"/>
  <c r="AB23" i="330" s="1"/>
  <c r="AF23" i="330" s="1"/>
  <c r="AF151" i="329"/>
  <c r="AE151" i="329"/>
  <c r="AC151" i="329"/>
  <c r="AB151" i="329"/>
  <c r="AC156" i="330"/>
  <c r="AE156" i="330"/>
  <c r="AB156" i="330"/>
  <c r="AF156" i="330" s="1"/>
  <c r="AE203" i="329"/>
  <c r="AC203" i="329"/>
  <c r="AB203" i="329"/>
  <c r="AF203" i="329" s="1"/>
  <c r="AC99" i="329"/>
  <c r="AB99" i="329" s="1"/>
  <c r="AF99" i="329" s="1"/>
  <c r="AE99" i="329"/>
  <c r="AE149" i="330"/>
  <c r="AC149" i="330"/>
  <c r="AB149" i="330" s="1"/>
  <c r="AF149" i="330" s="1"/>
  <c r="AE75" i="330"/>
  <c r="AC75" i="330"/>
  <c r="AB75" i="330" s="1"/>
  <c r="AF75" i="330" s="1"/>
  <c r="AC136" i="329"/>
  <c r="AE136" i="329"/>
  <c r="AB136" i="329"/>
  <c r="AF136" i="329" s="1"/>
  <c r="AE155" i="330"/>
  <c r="AC155" i="330"/>
  <c r="AB155" i="330"/>
  <c r="AF155" i="330" s="1"/>
  <c r="Y178" i="329"/>
  <c r="W178" i="329"/>
  <c r="W216" i="329" s="1"/>
  <c r="V178" i="329"/>
  <c r="V216" i="329" s="1"/>
  <c r="U178" i="329"/>
  <c r="U216" i="329" s="1"/>
  <c r="T216" i="329"/>
  <c r="AC74" i="329"/>
  <c r="AB74" i="329"/>
  <c r="AF74" i="329" s="1"/>
  <c r="AE74" i="329"/>
  <c r="AC145" i="329"/>
  <c r="AB145" i="329"/>
  <c r="AF145" i="329" s="1"/>
  <c r="AE145" i="329"/>
  <c r="AF154" i="329"/>
  <c r="AE154" i="329"/>
  <c r="AB154" i="329"/>
  <c r="AC154" i="329"/>
  <c r="AC55" i="329"/>
  <c r="AB55" i="329"/>
  <c r="AF55" i="329" s="1"/>
  <c r="AE55" i="329"/>
  <c r="AE152" i="330"/>
  <c r="AC152" i="330"/>
  <c r="AB152" i="330" s="1"/>
  <c r="AF152" i="330" s="1"/>
  <c r="AC201" i="329"/>
  <c r="AB201" i="329" s="1"/>
  <c r="AF201" i="329" s="1"/>
  <c r="AE201" i="329"/>
  <c r="AC113" i="329"/>
  <c r="AF113" i="329"/>
  <c r="AB113" i="329"/>
  <c r="AE113" i="329"/>
  <c r="AC209" i="329"/>
  <c r="AE209" i="329"/>
  <c r="AB209" i="329"/>
  <c r="AF209" i="329" s="1"/>
  <c r="AE231" i="330"/>
  <c r="AC231" i="330"/>
  <c r="AB231" i="330" s="1"/>
  <c r="AF231" i="330" s="1"/>
  <c r="Y125" i="329"/>
  <c r="T128" i="329"/>
  <c r="W125" i="329"/>
  <c r="W128" i="329" s="1"/>
  <c r="U125" i="329"/>
  <c r="U128" i="329" s="1"/>
  <c r="AE61" i="329"/>
  <c r="AB61" i="329"/>
  <c r="AF61" i="329" s="1"/>
  <c r="AC61" i="329"/>
  <c r="AE115" i="329"/>
  <c r="AC115" i="329"/>
  <c r="AB115" i="329" s="1"/>
  <c r="AF115" i="329" s="1"/>
  <c r="AB181" i="330"/>
  <c r="AF181" i="330" s="1"/>
  <c r="AE181" i="330"/>
  <c r="AC181" i="330"/>
  <c r="AA123" i="329"/>
  <c r="AC39" i="329"/>
  <c r="AB39" i="329"/>
  <c r="AE39" i="329"/>
  <c r="AD130" i="329"/>
  <c r="AD168" i="329" s="1"/>
  <c r="Y168" i="329"/>
  <c r="AA130" i="329"/>
  <c r="AC52" i="329"/>
  <c r="AB52" i="329" s="1"/>
  <c r="AF52" i="329" s="1"/>
  <c r="AE52" i="329"/>
  <c r="AE221" i="329"/>
  <c r="AC221" i="329"/>
  <c r="AB221" i="329" s="1"/>
  <c r="AA232" i="329"/>
  <c r="AC204" i="330"/>
  <c r="AB204" i="330"/>
  <c r="AF204" i="330"/>
  <c r="AE204" i="330"/>
  <c r="AB228" i="330"/>
  <c r="AF228" i="330"/>
  <c r="AE228" i="330"/>
  <c r="AC228" i="330"/>
  <c r="AC164" i="329"/>
  <c r="AE164" i="329"/>
  <c r="AB164" i="329"/>
  <c r="AF164" i="329" s="1"/>
  <c r="AE42" i="330"/>
  <c r="AC42" i="330"/>
  <c r="AB42" i="330" s="1"/>
  <c r="AF42" i="330" s="1"/>
  <c r="AC61" i="330"/>
  <c r="AB61" i="330" s="1"/>
  <c r="AF61" i="330" s="1"/>
  <c r="AE61" i="330"/>
  <c r="AE54" i="329"/>
  <c r="AC54" i="329"/>
  <c r="AB54" i="329" s="1"/>
  <c r="AF54" i="329" s="1"/>
  <c r="AE117" i="329"/>
  <c r="AC117" i="329"/>
  <c r="AB117" i="329"/>
  <c r="AF117" i="329" s="1"/>
  <c r="AB56" i="330"/>
  <c r="AF56" i="330" s="1"/>
  <c r="AE56" i="330"/>
  <c r="AC56" i="330"/>
  <c r="AE147" i="330"/>
  <c r="AC147" i="330"/>
  <c r="AB147" i="330"/>
  <c r="AF147" i="330" s="1"/>
  <c r="AB112" i="330"/>
  <c r="AE112" i="330"/>
  <c r="AF112" i="330" s="1"/>
  <c r="AC112" i="330"/>
  <c r="AB137" i="330"/>
  <c r="AF137" i="330"/>
  <c r="AE137" i="330"/>
  <c r="AC137" i="330"/>
  <c r="AE159" i="330"/>
  <c r="AC159" i="330"/>
  <c r="AB159" i="330"/>
  <c r="AF159" i="330" s="1"/>
  <c r="AC203" i="330"/>
  <c r="AB203" i="330"/>
  <c r="AE203" i="330"/>
  <c r="AF203" i="330" s="1"/>
  <c r="U18" i="330"/>
  <c r="U37" i="330" s="1"/>
  <c r="Y18" i="330"/>
  <c r="T37" i="330"/>
  <c r="AE191" i="330"/>
  <c r="AC191" i="330"/>
  <c r="AB191" i="330"/>
  <c r="AF191" i="330" s="1"/>
  <c r="AE143" i="330"/>
  <c r="AC143" i="330"/>
  <c r="AB143" i="330"/>
  <c r="AF143" i="330" s="1"/>
  <c r="AC106" i="329"/>
  <c r="AB106" i="329"/>
  <c r="AE106" i="329"/>
  <c r="AF106" i="329" s="1"/>
  <c r="AE72" i="329"/>
  <c r="AB72" i="329"/>
  <c r="AF72" i="329" s="1"/>
  <c r="AC72" i="329"/>
  <c r="AB26" i="330"/>
  <c r="AF26" i="330" s="1"/>
  <c r="AC26" i="330"/>
  <c r="AE26" i="330"/>
  <c r="AC135" i="329"/>
  <c r="AE135" i="329"/>
  <c r="AB135" i="329"/>
  <c r="AF135" i="329" s="1"/>
  <c r="AE205" i="329"/>
  <c r="AC205" i="329"/>
  <c r="AB205" i="329"/>
  <c r="AF205" i="329" s="1"/>
  <c r="AB49" i="330"/>
  <c r="AF49" i="330"/>
  <c r="AE49" i="330"/>
  <c r="AC49" i="330"/>
  <c r="AE134" i="330"/>
  <c r="AC134" i="330"/>
  <c r="AB134" i="330" s="1"/>
  <c r="AF134" i="330" s="1"/>
  <c r="AF51" i="329"/>
  <c r="AE51" i="329"/>
  <c r="AB51" i="329"/>
  <c r="AC51" i="329"/>
  <c r="X123" i="329"/>
  <c r="AE73" i="330"/>
  <c r="AC73" i="330"/>
  <c r="AB73" i="330"/>
  <c r="AF73" i="330" s="1"/>
  <c r="AB174" i="329"/>
  <c r="AE174" i="329"/>
  <c r="AC174" i="329"/>
  <c r="AE193" i="330"/>
  <c r="AC193" i="330"/>
  <c r="AB193" i="330" s="1"/>
  <c r="AF193" i="330" s="1"/>
  <c r="T168" i="330"/>
  <c r="U130" i="330"/>
  <c r="U168" i="330" s="1"/>
  <c r="Y130" i="330"/>
  <c r="W130" i="330"/>
  <c r="W168" i="330" s="1"/>
  <c r="X221" i="329"/>
  <c r="X232" i="329" s="1"/>
  <c r="AE131" i="329"/>
  <c r="AB131" i="329"/>
  <c r="AF131" i="329" s="1"/>
  <c r="AC131" i="329"/>
  <c r="AC109" i="330"/>
  <c r="AB109" i="330"/>
  <c r="AF109" i="330" s="1"/>
  <c r="AE109" i="330"/>
  <c r="AD232" i="329"/>
  <c r="AE116" i="329"/>
  <c r="AB116" i="329"/>
  <c r="AF116" i="329" s="1"/>
  <c r="AC116" i="329"/>
  <c r="AB64" i="330"/>
  <c r="AE64" i="330"/>
  <c r="AF64" i="330"/>
  <c r="AC64" i="330"/>
  <c r="AF167" i="329"/>
  <c r="AC167" i="329"/>
  <c r="AB167" i="329"/>
  <c r="AE167" i="329"/>
  <c r="AC115" i="330"/>
  <c r="AB115" i="330" s="1"/>
  <c r="AF115" i="330" s="1"/>
  <c r="AE115" i="330"/>
  <c r="AC133" i="329"/>
  <c r="AB133" i="329" s="1"/>
  <c r="AF133" i="329" s="1"/>
  <c r="AE133" i="329"/>
  <c r="AC230" i="330"/>
  <c r="AB230" i="330" s="1"/>
  <c r="AF230" i="330" s="1"/>
  <c r="AE230" i="330"/>
  <c r="AC230" i="329"/>
  <c r="AB230" i="329" s="1"/>
  <c r="AF230" i="329" s="1"/>
  <c r="AE230" i="329"/>
  <c r="AE114" i="329"/>
  <c r="AC114" i="329"/>
  <c r="AB114" i="329"/>
  <c r="AF114" i="329" s="1"/>
  <c r="AB57" i="330"/>
  <c r="AF57" i="330" s="1"/>
  <c r="AE57" i="330"/>
  <c r="AC57" i="330"/>
  <c r="BE173" i="333" l="1"/>
  <c r="BM132" i="333"/>
  <c r="BE128" i="333"/>
  <c r="BK95" i="333"/>
  <c r="BL95" i="333"/>
  <c r="BI95" i="333"/>
  <c r="BM95" i="333" s="1"/>
  <c r="BI197" i="333"/>
  <c r="BK197" i="333" s="1"/>
  <c r="BM197" i="333" s="1"/>
  <c r="BL197" i="333"/>
  <c r="BI145" i="333"/>
  <c r="BK145" i="333" s="1"/>
  <c r="BM145" i="333" s="1"/>
  <c r="BL145" i="333"/>
  <c r="BI118" i="333"/>
  <c r="BL118" i="333"/>
  <c r="BK118" i="333"/>
  <c r="BM118" i="333" s="1"/>
  <c r="BK57" i="333"/>
  <c r="BL57" i="333"/>
  <c r="BI57" i="333"/>
  <c r="BM57" i="333" s="1"/>
  <c r="BL44" i="333"/>
  <c r="BI44" i="333"/>
  <c r="BK44" i="333" s="1"/>
  <c r="BK71" i="333"/>
  <c r="BM71" i="333" s="1"/>
  <c r="BI111" i="333"/>
  <c r="BK111" i="333"/>
  <c r="BM111" i="333" s="1"/>
  <c r="BL111" i="333"/>
  <c r="BL94" i="333"/>
  <c r="BI94" i="333"/>
  <c r="AZ152" i="333"/>
  <c r="BA144" i="333"/>
  <c r="BK51" i="333"/>
  <c r="BM51" i="333" s="1"/>
  <c r="BI51" i="333"/>
  <c r="BL51" i="333"/>
  <c r="BH70" i="333"/>
  <c r="BJ70" i="333"/>
  <c r="BM120" i="333"/>
  <c r="BH92" i="333"/>
  <c r="BJ92" i="333"/>
  <c r="BL122" i="333"/>
  <c r="BI122" i="333"/>
  <c r="BM122" i="333" s="1"/>
  <c r="BK122" i="333"/>
  <c r="BK98" i="333"/>
  <c r="BI98" i="333"/>
  <c r="BM98" i="333" s="1"/>
  <c r="BL98" i="333"/>
  <c r="BK186" i="333"/>
  <c r="BM186" i="333" s="1"/>
  <c r="BJ192" i="333"/>
  <c r="BH192" i="333"/>
  <c r="BL179" i="333"/>
  <c r="BI179" i="333"/>
  <c r="BJ69" i="333"/>
  <c r="BH69" i="333"/>
  <c r="BI108" i="333"/>
  <c r="BK108" i="333" s="1"/>
  <c r="BM108" i="333" s="1"/>
  <c r="BL108" i="333"/>
  <c r="BC68" i="333"/>
  <c r="BF68" i="333"/>
  <c r="BB68" i="333"/>
  <c r="BD68" i="333" s="1"/>
  <c r="BE68" i="333" s="1"/>
  <c r="BF153" i="333"/>
  <c r="BA156" i="333"/>
  <c r="BB153" i="333"/>
  <c r="BB156" i="333" s="1"/>
  <c r="BC153" i="333"/>
  <c r="BC156" i="333" s="1"/>
  <c r="BK178" i="333"/>
  <c r="BI178" i="333"/>
  <c r="BL178" i="333"/>
  <c r="BM178" i="333" s="1"/>
  <c r="BI61" i="333"/>
  <c r="BL61" i="333"/>
  <c r="BI113" i="333"/>
  <c r="BL113" i="333"/>
  <c r="BK113" i="333"/>
  <c r="BM113" i="333" s="1"/>
  <c r="BG201" i="333"/>
  <c r="AZ103" i="333"/>
  <c r="BA87" i="333"/>
  <c r="BL50" i="333"/>
  <c r="BM50" i="333" s="1"/>
  <c r="BK50" i="333"/>
  <c r="BI50" i="333"/>
  <c r="BH39" i="333"/>
  <c r="BJ39" i="333"/>
  <c r="BL117" i="333"/>
  <c r="BK117" i="333"/>
  <c r="BM117" i="333" s="1"/>
  <c r="BI117" i="333"/>
  <c r="BI107" i="333"/>
  <c r="BL107" i="333"/>
  <c r="BL115" i="333"/>
  <c r="BK115" i="333"/>
  <c r="BI115" i="333"/>
  <c r="BM115" i="333" s="1"/>
  <c r="BL114" i="333"/>
  <c r="BI114" i="333"/>
  <c r="BK114" i="333" s="1"/>
  <c r="BM114" i="333" s="1"/>
  <c r="BE43" i="333"/>
  <c r="BL127" i="333"/>
  <c r="BI127" i="333"/>
  <c r="BK127" i="333" s="1"/>
  <c r="BH164" i="333"/>
  <c r="BJ164" i="333"/>
  <c r="BM131" i="333"/>
  <c r="BM142" i="333"/>
  <c r="BD188" i="333"/>
  <c r="BE188" i="333" s="1"/>
  <c r="AZ143" i="333"/>
  <c r="BA136" i="333"/>
  <c r="BI74" i="333"/>
  <c r="BL74" i="333"/>
  <c r="BK132" i="333"/>
  <c r="BI42" i="333"/>
  <c r="BL42" i="333"/>
  <c r="BI79" i="333"/>
  <c r="BK79" i="333"/>
  <c r="BM79" i="333" s="1"/>
  <c r="BL79" i="333"/>
  <c r="BL84" i="333"/>
  <c r="BI84" i="333"/>
  <c r="BI64" i="333"/>
  <c r="BK64" i="333" s="1"/>
  <c r="BL64" i="333"/>
  <c r="BI190" i="333"/>
  <c r="BM190" i="333" s="1"/>
  <c r="BL190" i="333"/>
  <c r="BK190" i="333"/>
  <c r="BI165" i="333"/>
  <c r="BK165" i="333"/>
  <c r="BM165" i="333" s="1"/>
  <c r="BL165" i="333"/>
  <c r="BJ188" i="333"/>
  <c r="BH188" i="333"/>
  <c r="BL76" i="333"/>
  <c r="BK76" i="333"/>
  <c r="BM76" i="333" s="1"/>
  <c r="BI76" i="333"/>
  <c r="BL55" i="333"/>
  <c r="BI55" i="333"/>
  <c r="BK55" i="333" s="1"/>
  <c r="BM55" i="333" s="1"/>
  <c r="BI182" i="333"/>
  <c r="BL182" i="333"/>
  <c r="BK182" i="333"/>
  <c r="BM182" i="333" s="1"/>
  <c r="BJ119" i="333"/>
  <c r="BH119" i="333"/>
  <c r="BJ105" i="333"/>
  <c r="BH105" i="333"/>
  <c r="BI47" i="333"/>
  <c r="BL47" i="333"/>
  <c r="BM47" i="333" s="1"/>
  <c r="BK47" i="333"/>
  <c r="BJ146" i="333"/>
  <c r="BH146" i="333"/>
  <c r="BI56" i="333"/>
  <c r="BL56" i="333"/>
  <c r="BB38" i="333"/>
  <c r="BB66" i="333" s="1"/>
  <c r="BA66" i="333"/>
  <c r="BF38" i="333"/>
  <c r="BD38" i="333"/>
  <c r="BD66" i="333" s="1"/>
  <c r="BC38" i="333"/>
  <c r="BC66" i="333" s="1"/>
  <c r="AZ166" i="333"/>
  <c r="BA162" i="333"/>
  <c r="BJ43" i="333"/>
  <c r="BH43" i="333"/>
  <c r="BK53" i="333"/>
  <c r="BL53" i="333"/>
  <c r="BI53" i="333"/>
  <c r="BM53" i="333" s="1"/>
  <c r="BJ97" i="333"/>
  <c r="BH97" i="333"/>
  <c r="BL191" i="333"/>
  <c r="BI191" i="333"/>
  <c r="BK191" i="333" s="1"/>
  <c r="BM191" i="333" s="1"/>
  <c r="BI54" i="333"/>
  <c r="BL54" i="333"/>
  <c r="BK54" i="333"/>
  <c r="BM54" i="333" s="1"/>
  <c r="BK147" i="333"/>
  <c r="BI147" i="333"/>
  <c r="BM147" i="333"/>
  <c r="BL147" i="333"/>
  <c r="BL65" i="333"/>
  <c r="BI65" i="333"/>
  <c r="BH189" i="333"/>
  <c r="BJ189" i="333"/>
  <c r="BI150" i="333"/>
  <c r="BL150" i="333"/>
  <c r="BJ157" i="333"/>
  <c r="BH157" i="333"/>
  <c r="BI138" i="333"/>
  <c r="BL138" i="333"/>
  <c r="BK75" i="333"/>
  <c r="BM75" i="333" s="1"/>
  <c r="BL89" i="333"/>
  <c r="BI89" i="333"/>
  <c r="BB104" i="333"/>
  <c r="BB123" i="333" s="1"/>
  <c r="BA123" i="333"/>
  <c r="BF104" i="333"/>
  <c r="BC104" i="333"/>
  <c r="BC123" i="333" s="1"/>
  <c r="BL78" i="333"/>
  <c r="BK78" i="333"/>
  <c r="BM78" i="333" s="1"/>
  <c r="BI78" i="333"/>
  <c r="BL177" i="333"/>
  <c r="BI177" i="333"/>
  <c r="BM177" i="333" s="1"/>
  <c r="BK177" i="333"/>
  <c r="BL82" i="333"/>
  <c r="BI82" i="333"/>
  <c r="BK82" i="333" s="1"/>
  <c r="BD109" i="333"/>
  <c r="BE109" i="333" s="1"/>
  <c r="BI91" i="333"/>
  <c r="BL91" i="333"/>
  <c r="BM91" i="333" s="1"/>
  <c r="BK91" i="333"/>
  <c r="BE157" i="333"/>
  <c r="BK139" i="333"/>
  <c r="BI139" i="333"/>
  <c r="BM139" i="333" s="1"/>
  <c r="BL139" i="333"/>
  <c r="BL169" i="333"/>
  <c r="BI169" i="333"/>
  <c r="BL85" i="333"/>
  <c r="BI85" i="333"/>
  <c r="BK85" i="333" s="1"/>
  <c r="BM85" i="333" s="1"/>
  <c r="BI170" i="333"/>
  <c r="BK170" i="333" s="1"/>
  <c r="BL170" i="333"/>
  <c r="Z201" i="333"/>
  <c r="BL40" i="333"/>
  <c r="BI40" i="333"/>
  <c r="BI141" i="333"/>
  <c r="BK141" i="333"/>
  <c r="BM141" i="333" s="1"/>
  <c r="BL141" i="333"/>
  <c r="BI60" i="333"/>
  <c r="BM60" i="333" s="1"/>
  <c r="BL60" i="333"/>
  <c r="BK60" i="333"/>
  <c r="BJ194" i="333"/>
  <c r="BH194" i="333"/>
  <c r="BJ109" i="333"/>
  <c r="BH109" i="333"/>
  <c r="BH93" i="333"/>
  <c r="BJ93" i="333"/>
  <c r="BL171" i="333"/>
  <c r="BI171" i="333"/>
  <c r="BM171" i="333" s="1"/>
  <c r="BK171" i="333"/>
  <c r="BK154" i="333"/>
  <c r="BM154" i="333"/>
  <c r="BL154" i="333"/>
  <c r="BI154" i="333"/>
  <c r="BL180" i="333"/>
  <c r="BM180" i="333" s="1"/>
  <c r="BK180" i="333"/>
  <c r="BI180" i="333"/>
  <c r="BA183" i="333"/>
  <c r="BF175" i="333"/>
  <c r="BB175" i="333"/>
  <c r="BB183" i="333" s="1"/>
  <c r="BC175" i="333"/>
  <c r="BC183" i="333" s="1"/>
  <c r="BL58" i="333"/>
  <c r="BI58" i="333"/>
  <c r="BK58" i="333" s="1"/>
  <c r="BL151" i="333"/>
  <c r="BI151" i="333"/>
  <c r="BI62" i="333"/>
  <c r="BM62" i="333" s="1"/>
  <c r="BL62" i="333"/>
  <c r="BK62" i="333"/>
  <c r="BL163" i="333"/>
  <c r="BI163" i="333"/>
  <c r="BI80" i="333"/>
  <c r="BK80" i="333" s="1"/>
  <c r="BM80" i="333" s="1"/>
  <c r="BL80" i="333"/>
  <c r="BK41" i="333"/>
  <c r="BI41" i="333"/>
  <c r="BL41" i="333"/>
  <c r="BM41" i="333" s="1"/>
  <c r="BL185" i="333"/>
  <c r="BI185" i="333"/>
  <c r="BK185" i="333" s="1"/>
  <c r="BM185" i="333" s="1"/>
  <c r="BI106" i="333"/>
  <c r="BL106" i="333"/>
  <c r="BK106" i="333"/>
  <c r="BM106" i="333" s="1"/>
  <c r="BL193" i="333"/>
  <c r="BI193" i="333"/>
  <c r="BH88" i="333"/>
  <c r="BJ88" i="333"/>
  <c r="BI101" i="333"/>
  <c r="BM101" i="333" s="1"/>
  <c r="BK101" i="333"/>
  <c r="BL101" i="333"/>
  <c r="BJ137" i="333"/>
  <c r="BH137" i="333"/>
  <c r="BL96" i="333"/>
  <c r="BI96" i="333"/>
  <c r="BM96" i="333" s="1"/>
  <c r="BK96" i="333"/>
  <c r="BL83" i="333"/>
  <c r="BI83" i="333"/>
  <c r="BK83" i="333" s="1"/>
  <c r="BM83" i="333" s="1"/>
  <c r="BI110" i="333"/>
  <c r="BK110" i="333" s="1"/>
  <c r="BM110" i="333" s="1"/>
  <c r="BL110" i="333"/>
  <c r="AZ135" i="333"/>
  <c r="BA125" i="333"/>
  <c r="BL72" i="333"/>
  <c r="BI72" i="333"/>
  <c r="BJ100" i="333"/>
  <c r="BH100" i="333"/>
  <c r="BL181" i="333"/>
  <c r="BI181" i="333"/>
  <c r="BK134" i="333"/>
  <c r="BM134" i="333" s="1"/>
  <c r="BI172" i="333"/>
  <c r="BK172" i="333" s="1"/>
  <c r="BM172" i="333" s="1"/>
  <c r="BL172" i="333"/>
  <c r="BI73" i="333"/>
  <c r="BK73" i="333" s="1"/>
  <c r="BM73" i="333" s="1"/>
  <c r="BL73" i="333"/>
  <c r="BL63" i="333"/>
  <c r="BK63" i="333"/>
  <c r="BI63" i="333"/>
  <c r="BM63" i="333" s="1"/>
  <c r="BI140" i="333"/>
  <c r="BL140" i="333"/>
  <c r="BK140" i="333"/>
  <c r="BM140" i="333" s="1"/>
  <c r="BI130" i="333"/>
  <c r="BL130" i="333"/>
  <c r="BM130" i="333" s="1"/>
  <c r="BK130" i="333"/>
  <c r="BM102" i="333"/>
  <c r="BE100" i="333"/>
  <c r="BL168" i="333"/>
  <c r="BI168" i="333"/>
  <c r="BA158" i="333"/>
  <c r="AZ161" i="333"/>
  <c r="BK77" i="333"/>
  <c r="BM77" i="333" s="1"/>
  <c r="BI198" i="333"/>
  <c r="BL198" i="333"/>
  <c r="BK126" i="333"/>
  <c r="BM126" i="333" s="1"/>
  <c r="BL81" i="333"/>
  <c r="BI81" i="333"/>
  <c r="BK81" i="333"/>
  <c r="BM81" i="333" s="1"/>
  <c r="BI133" i="333"/>
  <c r="BK133" i="333" s="1"/>
  <c r="BM133" i="333" s="1"/>
  <c r="BL133" i="333"/>
  <c r="BL160" i="333"/>
  <c r="BI160" i="333"/>
  <c r="BK160" i="333" s="1"/>
  <c r="BH196" i="333"/>
  <c r="BJ196" i="333"/>
  <c r="BJ128" i="333"/>
  <c r="BH128" i="333"/>
  <c r="BB67" i="333"/>
  <c r="BB86" i="333" s="1"/>
  <c r="BA86" i="333"/>
  <c r="BF67" i="333"/>
  <c r="BC67" i="333"/>
  <c r="BL49" i="333"/>
  <c r="BI49" i="333"/>
  <c r="BK49" i="333" s="1"/>
  <c r="BL48" i="333"/>
  <c r="BK48" i="333"/>
  <c r="BI48" i="333"/>
  <c r="BM48" i="333" s="1"/>
  <c r="BL99" i="333"/>
  <c r="BK99" i="333"/>
  <c r="BM99" i="333" s="1"/>
  <c r="BI99" i="333"/>
  <c r="BH159" i="333"/>
  <c r="BJ159" i="333"/>
  <c r="BL121" i="333"/>
  <c r="BI121" i="333"/>
  <c r="BK121" i="333" s="1"/>
  <c r="BH155" i="333"/>
  <c r="BJ155" i="333"/>
  <c r="BL176" i="333"/>
  <c r="BI176" i="333"/>
  <c r="BK176" i="333" s="1"/>
  <c r="BM176" i="333" s="1"/>
  <c r="BL116" i="333"/>
  <c r="BI116" i="333"/>
  <c r="BK195" i="333"/>
  <c r="BM195" i="333" s="1"/>
  <c r="BL59" i="333"/>
  <c r="BI59" i="333"/>
  <c r="BK59" i="333" s="1"/>
  <c r="BM59" i="333" s="1"/>
  <c r="BC167" i="333"/>
  <c r="BC174" i="333" s="1"/>
  <c r="BB167" i="333"/>
  <c r="BB174" i="333" s="1"/>
  <c r="BA174" i="333"/>
  <c r="BF167" i="333"/>
  <c r="BJ173" i="333"/>
  <c r="BH173" i="333"/>
  <c r="BK112" i="333"/>
  <c r="BM112" i="333" s="1"/>
  <c r="BI112" i="333"/>
  <c r="BL112" i="333"/>
  <c r="AZ86" i="333"/>
  <c r="AZ124" i="333" s="1"/>
  <c r="AZ201" i="333" s="1"/>
  <c r="BI187" i="333"/>
  <c r="BL187" i="333"/>
  <c r="BK187" i="333"/>
  <c r="BM187" i="333" s="1"/>
  <c r="BL45" i="333"/>
  <c r="BI45" i="333"/>
  <c r="BK45" i="333" s="1"/>
  <c r="BM45" i="333" s="1"/>
  <c r="AZ200" i="333"/>
  <c r="BA184" i="333"/>
  <c r="BL90" i="333"/>
  <c r="BI90" i="333"/>
  <c r="BK90" i="333" s="1"/>
  <c r="BM90" i="333" s="1"/>
  <c r="AF174" i="330"/>
  <c r="AB232" i="329"/>
  <c r="AF221" i="329"/>
  <c r="AF232" i="329" s="1"/>
  <c r="AD18" i="330"/>
  <c r="AD37" i="330" s="1"/>
  <c r="AA18" i="330"/>
  <c r="Y37" i="330"/>
  <c r="V125" i="329"/>
  <c r="X178" i="329"/>
  <c r="T233" i="329"/>
  <c r="AF174" i="329"/>
  <c r="AA178" i="329"/>
  <c r="AD178" i="329"/>
  <c r="AD216" i="329" s="1"/>
  <c r="Y216" i="329"/>
  <c r="X216" i="329"/>
  <c r="X218" i="329"/>
  <c r="X219" i="329" s="1"/>
  <c r="X221" i="330"/>
  <c r="X232" i="330" s="1"/>
  <c r="U233" i="330"/>
  <c r="AB123" i="329"/>
  <c r="V39" i="330"/>
  <c r="V123" i="330" s="1"/>
  <c r="AB126" i="330"/>
  <c r="X17" i="329"/>
  <c r="X37" i="329" s="1"/>
  <c r="V221" i="330"/>
  <c r="V232" i="330" s="1"/>
  <c r="AD130" i="330"/>
  <c r="AD168" i="330" s="1"/>
  <c r="Y168" i="330"/>
  <c r="AA130" i="330"/>
  <c r="AC123" i="329"/>
  <c r="Y123" i="330"/>
  <c r="AD39" i="330"/>
  <c r="AD123" i="330" s="1"/>
  <c r="AA39" i="330"/>
  <c r="AB218" i="330"/>
  <c r="AD17" i="329"/>
  <c r="AD37" i="329" s="1"/>
  <c r="Y37" i="329"/>
  <c r="AA17" i="329"/>
  <c r="AD221" i="330"/>
  <c r="AD232" i="330" s="1"/>
  <c r="AD233" i="330" s="1"/>
  <c r="Y232" i="330"/>
  <c r="Y233" i="330" s="1"/>
  <c r="AA221" i="330"/>
  <c r="AC232" i="329"/>
  <c r="T233" i="330"/>
  <c r="V218" i="329"/>
  <c r="V219" i="329" s="1"/>
  <c r="AE232" i="329"/>
  <c r="AC171" i="330"/>
  <c r="AC172" i="330" s="1"/>
  <c r="AB171" i="330"/>
  <c r="AB172" i="330" s="1"/>
  <c r="AA172" i="330"/>
  <c r="AE171" i="330"/>
  <c r="AE172" i="330" s="1"/>
  <c r="X171" i="330"/>
  <c r="X172" i="330" s="1"/>
  <c r="W233" i="330"/>
  <c r="V18" i="330"/>
  <c r="V37" i="330" s="1"/>
  <c r="V130" i="330"/>
  <c r="V168" i="330" s="1"/>
  <c r="AD125" i="329"/>
  <c r="AD128" i="329" s="1"/>
  <c r="AA125" i="329"/>
  <c r="Y128" i="329"/>
  <c r="AE123" i="329"/>
  <c r="AA218" i="329"/>
  <c r="Y219" i="329"/>
  <c r="Y233" i="329" s="1"/>
  <c r="AD218" i="329"/>
  <c r="AD219" i="329" s="1"/>
  <c r="AD233" i="329" s="1"/>
  <c r="AE182" i="330"/>
  <c r="AE216" i="330" s="1"/>
  <c r="AC182" i="330"/>
  <c r="AC216" i="330" s="1"/>
  <c r="AA168" i="329"/>
  <c r="AE130" i="329"/>
  <c r="AE168" i="329" s="1"/>
  <c r="AC130" i="329"/>
  <c r="AC168" i="329" s="1"/>
  <c r="AB130" i="329"/>
  <c r="AB168" i="329" s="1"/>
  <c r="AF39" i="329"/>
  <c r="AF123" i="329" s="1"/>
  <c r="V168" i="329"/>
  <c r="X130" i="329"/>
  <c r="X168" i="329" s="1"/>
  <c r="BM94" i="333" l="1"/>
  <c r="BM163" i="333"/>
  <c r="BM74" i="333"/>
  <c r="BM72" i="333"/>
  <c r="BM40" i="333"/>
  <c r="BM193" i="333"/>
  <c r="BL146" i="333"/>
  <c r="BK146" i="333"/>
  <c r="BM146" i="333" s="1"/>
  <c r="BI146" i="333"/>
  <c r="BM64" i="333"/>
  <c r="BK61" i="333"/>
  <c r="BM61" i="333" s="1"/>
  <c r="BL159" i="333"/>
  <c r="BI159" i="333"/>
  <c r="BK159" i="333" s="1"/>
  <c r="BF125" i="333"/>
  <c r="BA135" i="333"/>
  <c r="BC125" i="333"/>
  <c r="BC135" i="333" s="1"/>
  <c r="BB125" i="333"/>
  <c r="BB135" i="333" s="1"/>
  <c r="BL194" i="333"/>
  <c r="BK194" i="333"/>
  <c r="BI194" i="333"/>
  <c r="BM194" i="333" s="1"/>
  <c r="BM170" i="333"/>
  <c r="BK138" i="333"/>
  <c r="BM138" i="333" s="1"/>
  <c r="BI43" i="333"/>
  <c r="BM43" i="333" s="1"/>
  <c r="BK43" i="333"/>
  <c r="BL43" i="333"/>
  <c r="BH68" i="333"/>
  <c r="BJ68" i="333"/>
  <c r="BF144" i="333"/>
  <c r="BA152" i="333"/>
  <c r="BC144" i="333"/>
  <c r="BC152" i="333" s="1"/>
  <c r="BB144" i="333"/>
  <c r="BB152" i="333" s="1"/>
  <c r="BF86" i="333"/>
  <c r="BJ67" i="333"/>
  <c r="BJ86" i="333" s="1"/>
  <c r="BH67" i="333"/>
  <c r="BK116" i="333"/>
  <c r="BM116" i="333" s="1"/>
  <c r="BI157" i="333"/>
  <c r="BL157" i="333"/>
  <c r="BK74" i="333"/>
  <c r="BL128" i="333"/>
  <c r="BI128" i="333"/>
  <c r="BK128" i="333" s="1"/>
  <c r="BI173" i="333"/>
  <c r="BK173" i="333" s="1"/>
  <c r="BL173" i="333"/>
  <c r="BK198" i="333"/>
  <c r="BM198" i="333" s="1"/>
  <c r="BK151" i="333"/>
  <c r="BM151" i="333" s="1"/>
  <c r="BD104" i="333"/>
  <c r="BK150" i="333"/>
  <c r="BM150" i="333" s="1"/>
  <c r="BK84" i="333"/>
  <c r="BM84" i="333" s="1"/>
  <c r="BL39" i="333"/>
  <c r="BI39" i="333"/>
  <c r="BK94" i="333"/>
  <c r="BA200" i="333"/>
  <c r="BB184" i="333"/>
  <c r="BB200" i="333" s="1"/>
  <c r="BC184" i="333"/>
  <c r="BC200" i="333" s="1"/>
  <c r="BF184" i="333"/>
  <c r="BD184" i="333"/>
  <c r="BD200" i="333" s="1"/>
  <c r="BL88" i="333"/>
  <c r="BI88" i="333"/>
  <c r="BK88" i="333" s="1"/>
  <c r="BH104" i="333"/>
  <c r="BF123" i="333"/>
  <c r="BJ104" i="333"/>
  <c r="BJ123" i="333" s="1"/>
  <c r="BI105" i="333"/>
  <c r="BK105" i="333" s="1"/>
  <c r="BM105" i="333" s="1"/>
  <c r="BL105" i="333"/>
  <c r="BI188" i="333"/>
  <c r="BK188" i="333" s="1"/>
  <c r="BL188" i="333"/>
  <c r="BB136" i="333"/>
  <c r="BB143" i="333" s="1"/>
  <c r="BC136" i="333"/>
  <c r="BC143" i="333" s="1"/>
  <c r="BA143" i="333"/>
  <c r="BF136" i="333"/>
  <c r="BL196" i="333"/>
  <c r="BI196" i="333"/>
  <c r="BF174" i="333"/>
  <c r="BJ167" i="333"/>
  <c r="BJ174" i="333" s="1"/>
  <c r="BH167" i="333"/>
  <c r="BK181" i="333"/>
  <c r="BM181" i="333" s="1"/>
  <c r="BM58" i="333"/>
  <c r="BE38" i="333"/>
  <c r="BE66" i="333" s="1"/>
  <c r="BI119" i="333"/>
  <c r="BK119" i="333" s="1"/>
  <c r="BM119" i="333" s="1"/>
  <c r="BL119" i="333"/>
  <c r="BD167" i="333"/>
  <c r="BM160" i="333"/>
  <c r="BK193" i="333"/>
  <c r="BM82" i="333"/>
  <c r="BJ38" i="333"/>
  <c r="BJ66" i="333" s="1"/>
  <c r="BH38" i="333"/>
  <c r="BF66" i="333"/>
  <c r="BA103" i="333"/>
  <c r="BB87" i="333"/>
  <c r="BB103" i="333" s="1"/>
  <c r="BB124" i="333" s="1"/>
  <c r="BB201" i="333" s="1"/>
  <c r="BC87" i="333"/>
  <c r="BC103" i="333" s="1"/>
  <c r="BC124" i="333" s="1"/>
  <c r="BC201" i="333" s="1"/>
  <c r="BF87" i="333"/>
  <c r="BI92" i="333"/>
  <c r="BK92" i="333" s="1"/>
  <c r="BM92" i="333" s="1"/>
  <c r="BL92" i="333"/>
  <c r="BL69" i="333"/>
  <c r="BI69" i="333"/>
  <c r="BK169" i="333"/>
  <c r="BM169" i="333" s="1"/>
  <c r="BK89" i="333"/>
  <c r="BM89" i="333" s="1"/>
  <c r="BL189" i="333"/>
  <c r="BK189" i="333"/>
  <c r="BI189" i="333"/>
  <c r="BM189" i="333" s="1"/>
  <c r="BD153" i="333"/>
  <c r="BK179" i="333"/>
  <c r="BM179" i="333" s="1"/>
  <c r="BI155" i="333"/>
  <c r="BK155" i="333" s="1"/>
  <c r="BM155" i="333" s="1"/>
  <c r="BL155" i="333"/>
  <c r="BB158" i="333"/>
  <c r="BB161" i="333" s="1"/>
  <c r="BC158" i="333"/>
  <c r="BC161" i="333" s="1"/>
  <c r="BD158" i="333"/>
  <c r="BD161" i="333" s="1"/>
  <c r="BF158" i="333"/>
  <c r="BA161" i="333"/>
  <c r="BL100" i="333"/>
  <c r="BK100" i="333"/>
  <c r="BI100" i="333"/>
  <c r="BM100" i="333" s="1"/>
  <c r="BL97" i="333"/>
  <c r="BI97" i="333"/>
  <c r="BM49" i="333"/>
  <c r="BK163" i="333"/>
  <c r="BK40" i="333"/>
  <c r="BK65" i="333"/>
  <c r="BM65" i="333" s="1"/>
  <c r="BI164" i="333"/>
  <c r="BL164" i="333"/>
  <c r="BK164" i="333"/>
  <c r="BM164" i="333" s="1"/>
  <c r="BL70" i="333"/>
  <c r="BI70" i="333"/>
  <c r="BA124" i="333"/>
  <c r="BK168" i="333"/>
  <c r="BM168" i="333" s="1"/>
  <c r="BK42" i="333"/>
  <c r="BM42" i="333" s="1"/>
  <c r="BK107" i="333"/>
  <c r="BM107" i="333" s="1"/>
  <c r="BF156" i="333"/>
  <c r="BH153" i="333"/>
  <c r="BJ153" i="333"/>
  <c r="BJ156" i="333" s="1"/>
  <c r="BL192" i="333"/>
  <c r="BI192" i="333"/>
  <c r="BM44" i="333"/>
  <c r="BM121" i="333"/>
  <c r="BC86" i="333"/>
  <c r="BK72" i="333"/>
  <c r="BD175" i="333"/>
  <c r="BD183" i="333" s="1"/>
  <c r="BL93" i="333"/>
  <c r="BK93" i="333"/>
  <c r="BM93" i="333" s="1"/>
  <c r="BI93" i="333"/>
  <c r="BK56" i="333"/>
  <c r="BM56" i="333" s="1"/>
  <c r="BM127" i="333"/>
  <c r="BF162" i="333"/>
  <c r="BC162" i="333"/>
  <c r="BC166" i="333" s="1"/>
  <c r="BB162" i="333"/>
  <c r="BB166" i="333" s="1"/>
  <c r="BA166" i="333"/>
  <c r="BD67" i="333"/>
  <c r="BL137" i="333"/>
  <c r="BI137" i="333"/>
  <c r="BK137" i="333" s="1"/>
  <c r="BJ175" i="333"/>
  <c r="BJ183" i="333" s="1"/>
  <c r="BH175" i="333"/>
  <c r="BF183" i="333"/>
  <c r="BL109" i="333"/>
  <c r="BI109" i="333"/>
  <c r="AC18" i="330"/>
  <c r="AC37" i="330" s="1"/>
  <c r="AE18" i="330"/>
  <c r="AE37" i="330" s="1"/>
  <c r="AB18" i="330"/>
  <c r="AB37" i="330" s="1"/>
  <c r="AA37" i="330"/>
  <c r="X233" i="330"/>
  <c r="AF171" i="330"/>
  <c r="AF172" i="330" s="1"/>
  <c r="AB219" i="330"/>
  <c r="AF218" i="330"/>
  <c r="AF219" i="330" s="1"/>
  <c r="X39" i="330"/>
  <c r="X123" i="330" s="1"/>
  <c r="AB182" i="330"/>
  <c r="X130" i="330"/>
  <c r="X168" i="330" s="1"/>
  <c r="AF130" i="329"/>
  <c r="AF168" i="329" s="1"/>
  <c r="AE233" i="329"/>
  <c r="AE221" i="330"/>
  <c r="AE232" i="330" s="1"/>
  <c r="AE233" i="330" s="1"/>
  <c r="AC221" i="330"/>
  <c r="AC232" i="330" s="1"/>
  <c r="AA232" i="330"/>
  <c r="V233" i="329"/>
  <c r="AC39" i="330"/>
  <c r="AC123" i="330" s="1"/>
  <c r="AA123" i="330"/>
  <c r="AE39" i="330"/>
  <c r="AE123" i="330" s="1"/>
  <c r="AF126" i="330"/>
  <c r="AF128" i="330" s="1"/>
  <c r="AB128" i="330"/>
  <c r="AA168" i="330"/>
  <c r="AC130" i="330"/>
  <c r="AC168" i="330" s="1"/>
  <c r="AE130" i="330"/>
  <c r="AE168" i="330" s="1"/>
  <c r="AB130" i="330"/>
  <c r="AB168" i="330" s="1"/>
  <c r="AA219" i="329"/>
  <c r="AA233" i="329" s="1"/>
  <c r="AE218" i="329"/>
  <c r="AE219" i="329" s="1"/>
  <c r="AC218" i="329"/>
  <c r="AC219" i="329" s="1"/>
  <c r="AC233" i="329" s="1"/>
  <c r="AB218" i="329"/>
  <c r="AB219" i="329" s="1"/>
  <c r="AF218" i="329"/>
  <c r="AF219" i="329" s="1"/>
  <c r="AE178" i="329"/>
  <c r="AE216" i="329" s="1"/>
  <c r="AC178" i="329"/>
  <c r="AC216" i="329" s="1"/>
  <c r="AA216" i="329"/>
  <c r="V233" i="330"/>
  <c r="X18" i="330"/>
  <c r="X37" i="330" s="1"/>
  <c r="AA37" i="329"/>
  <c r="AC17" i="329"/>
  <c r="AC37" i="329" s="1"/>
  <c r="AB17" i="329"/>
  <c r="AB37" i="329" s="1"/>
  <c r="AE17" i="329"/>
  <c r="AE37" i="329" s="1"/>
  <c r="V128" i="329"/>
  <c r="X125" i="329"/>
  <c r="X128" i="329" s="1"/>
  <c r="X233" i="329" s="1"/>
  <c r="AE125" i="329"/>
  <c r="AE128" i="329" s="1"/>
  <c r="AA128" i="329"/>
  <c r="AC125" i="329"/>
  <c r="AC128" i="329" s="1"/>
  <c r="BM109" i="333" l="1"/>
  <c r="BM159" i="333"/>
  <c r="BD123" i="333"/>
  <c r="BE104" i="333"/>
  <c r="BE123" i="333" s="1"/>
  <c r="BM137" i="333"/>
  <c r="BK70" i="333"/>
  <c r="BM70" i="333" s="1"/>
  <c r="BM188" i="333"/>
  <c r="BE184" i="333"/>
  <c r="BE200" i="333" s="1"/>
  <c r="BM88" i="333"/>
  <c r="BD86" i="333"/>
  <c r="BE67" i="333"/>
  <c r="BE86" i="333" s="1"/>
  <c r="BD87" i="333"/>
  <c r="BD103" i="333" s="1"/>
  <c r="BF200" i="333"/>
  <c r="BJ184" i="333"/>
  <c r="BJ200" i="333" s="1"/>
  <c r="BH184" i="333"/>
  <c r="BM173" i="333"/>
  <c r="BK97" i="333"/>
  <c r="BM97" i="333" s="1"/>
  <c r="BA201" i="333"/>
  <c r="BL167" i="333"/>
  <c r="BL174" i="333" s="1"/>
  <c r="BH174" i="333"/>
  <c r="BK167" i="333"/>
  <c r="BK174" i="333" s="1"/>
  <c r="BI167" i="333"/>
  <c r="BI174" i="333" s="1"/>
  <c r="BJ87" i="333"/>
  <c r="BJ103" i="333" s="1"/>
  <c r="BF103" i="333"/>
  <c r="BF124" i="333" s="1"/>
  <c r="BF201" i="333" s="1"/>
  <c r="BH87" i="333"/>
  <c r="BD162" i="333"/>
  <c r="BD166" i="333" s="1"/>
  <c r="BJ158" i="333"/>
  <c r="BJ161" i="333" s="1"/>
  <c r="BH158" i="333"/>
  <c r="BF161" i="333"/>
  <c r="BL38" i="333"/>
  <c r="BL66" i="333" s="1"/>
  <c r="BI38" i="333"/>
  <c r="BI66" i="333" s="1"/>
  <c r="BK38" i="333"/>
  <c r="BK66" i="333" s="1"/>
  <c r="BH66" i="333"/>
  <c r="BD144" i="333"/>
  <c r="BD152" i="333" s="1"/>
  <c r="BE162" i="333"/>
  <c r="BE166" i="333" s="1"/>
  <c r="BK192" i="333"/>
  <c r="BM192" i="333" s="1"/>
  <c r="BM128" i="333"/>
  <c r="BH144" i="333"/>
  <c r="BF152" i="333"/>
  <c r="BJ144" i="333"/>
  <c r="BJ152" i="333" s="1"/>
  <c r="BK109" i="333"/>
  <c r="BH162" i="333"/>
  <c r="BF166" i="333"/>
  <c r="BJ162" i="333"/>
  <c r="BJ166" i="333" s="1"/>
  <c r="BK196" i="333"/>
  <c r="BM196" i="333" s="1"/>
  <c r="BK39" i="333"/>
  <c r="BM39" i="333" s="1"/>
  <c r="BD125" i="333"/>
  <c r="BD135" i="333" s="1"/>
  <c r="BF143" i="333"/>
  <c r="BJ136" i="333"/>
  <c r="BJ143" i="333" s="1"/>
  <c r="BH136" i="333"/>
  <c r="BE158" i="333"/>
  <c r="BE161" i="333" s="1"/>
  <c r="BK69" i="333"/>
  <c r="BM69" i="333" s="1"/>
  <c r="BJ124" i="333"/>
  <c r="BJ201" i="333" s="1"/>
  <c r="BE125" i="333"/>
  <c r="BE135" i="333" s="1"/>
  <c r="BD156" i="333"/>
  <c r="BE153" i="333"/>
  <c r="BE156" i="333" s="1"/>
  <c r="BL67" i="333"/>
  <c r="BH86" i="333"/>
  <c r="BI67" i="333"/>
  <c r="BI86" i="333" s="1"/>
  <c r="BL153" i="333"/>
  <c r="BL156" i="333" s="1"/>
  <c r="BI153" i="333"/>
  <c r="BI156" i="333" s="1"/>
  <c r="BH156" i="333"/>
  <c r="BE175" i="333"/>
  <c r="BE183" i="333" s="1"/>
  <c r="BL68" i="333"/>
  <c r="BK68" i="333"/>
  <c r="BI68" i="333"/>
  <c r="BM68" i="333" s="1"/>
  <c r="BI175" i="333"/>
  <c r="BI183" i="333" s="1"/>
  <c r="BH183" i="333"/>
  <c r="BL175" i="333"/>
  <c r="BL183" i="333" s="1"/>
  <c r="BE87" i="333"/>
  <c r="BE103" i="333" s="1"/>
  <c r="BD174" i="333"/>
  <c r="BE167" i="333"/>
  <c r="BE174" i="333" s="1"/>
  <c r="BD136" i="333"/>
  <c r="BL104" i="333"/>
  <c r="BL123" i="333" s="1"/>
  <c r="BH123" i="333"/>
  <c r="BI104" i="333"/>
  <c r="BI123" i="333" s="1"/>
  <c r="BK157" i="333"/>
  <c r="BJ125" i="333"/>
  <c r="BJ135" i="333" s="1"/>
  <c r="BF135" i="333"/>
  <c r="BH125" i="333"/>
  <c r="AB39" i="330"/>
  <c r="AF182" i="330"/>
  <c r="AF216" i="330" s="1"/>
  <c r="AB216" i="330"/>
  <c r="AF18" i="330"/>
  <c r="AF37" i="330" s="1"/>
  <c r="AB125" i="329"/>
  <c r="AB178" i="329"/>
  <c r="AF130" i="330"/>
  <c r="AF168" i="330" s="1"/>
  <c r="AF17" i="329"/>
  <c r="AF37" i="329" s="1"/>
  <c r="AB221" i="330"/>
  <c r="AA233" i="330"/>
  <c r="AC233" i="330"/>
  <c r="BK104" i="333" l="1"/>
  <c r="BK123" i="333" s="1"/>
  <c r="BI87" i="333"/>
  <c r="BI103" i="333" s="1"/>
  <c r="BL87" i="333"/>
  <c r="BL103" i="333" s="1"/>
  <c r="BK87" i="333"/>
  <c r="BK103" i="333" s="1"/>
  <c r="BH103" i="333"/>
  <c r="BL124" i="333"/>
  <c r="BK153" i="333"/>
  <c r="BK156" i="333" s="1"/>
  <c r="BE124" i="333"/>
  <c r="BE144" i="333"/>
  <c r="BE152" i="333" s="1"/>
  <c r="BM38" i="333"/>
  <c r="BM66" i="333" s="1"/>
  <c r="BM167" i="333"/>
  <c r="BM174" i="333" s="1"/>
  <c r="BL125" i="333"/>
  <c r="BL135" i="333" s="1"/>
  <c r="BI125" i="333"/>
  <c r="BI135" i="333" s="1"/>
  <c r="BH135" i="333"/>
  <c r="BL184" i="333"/>
  <c r="BL200" i="333" s="1"/>
  <c r="BH200" i="333"/>
  <c r="BI184" i="333"/>
  <c r="BI200" i="333" s="1"/>
  <c r="BK184" i="333"/>
  <c r="BK200" i="333" s="1"/>
  <c r="BH143" i="333"/>
  <c r="BI136" i="333"/>
  <c r="BI143" i="333" s="1"/>
  <c r="BL136" i="333"/>
  <c r="BL143" i="333" s="1"/>
  <c r="BI124" i="333"/>
  <c r="BH124" i="333"/>
  <c r="BM153" i="333"/>
  <c r="BM156" i="333" s="1"/>
  <c r="BK175" i="333"/>
  <c r="BK67" i="333"/>
  <c r="BL158" i="333"/>
  <c r="BL161" i="333" s="1"/>
  <c r="BI158" i="333"/>
  <c r="BI161" i="333" s="1"/>
  <c r="BH161" i="333"/>
  <c r="BI144" i="333"/>
  <c r="BI152" i="333" s="1"/>
  <c r="BH152" i="333"/>
  <c r="BK144" i="333"/>
  <c r="BK152" i="333" s="1"/>
  <c r="BL144" i="333"/>
  <c r="BL152" i="333" s="1"/>
  <c r="BD143" i="333"/>
  <c r="BE136" i="333"/>
  <c r="BE143" i="333" s="1"/>
  <c r="BM157" i="333"/>
  <c r="BH166" i="333"/>
  <c r="BI162" i="333"/>
  <c r="BI166" i="333" s="1"/>
  <c r="BL162" i="333"/>
  <c r="BL166" i="333" s="1"/>
  <c r="BD124" i="333"/>
  <c r="BL86" i="333"/>
  <c r="BM104" i="333"/>
  <c r="BM123" i="333" s="1"/>
  <c r="AB216" i="329"/>
  <c r="AB233" i="329" s="1"/>
  <c r="AF178" i="329"/>
  <c r="AF216" i="329" s="1"/>
  <c r="AF233" i="329" s="1"/>
  <c r="AB128" i="329"/>
  <c r="AF125" i="329"/>
  <c r="AF128" i="329" s="1"/>
  <c r="AB232" i="330"/>
  <c r="AB233" i="330" s="1"/>
  <c r="AF221" i="330"/>
  <c r="AF232" i="330" s="1"/>
  <c r="AF233" i="330" s="1"/>
  <c r="AB123" i="330"/>
  <c r="AF39" i="330"/>
  <c r="AF123" i="330" s="1"/>
  <c r="BL201" i="333" l="1"/>
  <c r="BK183" i="333"/>
  <c r="BM175" i="333"/>
  <c r="BM183" i="333" s="1"/>
  <c r="BH201" i="333"/>
  <c r="BK86" i="333"/>
  <c r="BM67" i="333"/>
  <c r="BM86" i="333" s="1"/>
  <c r="BI201" i="333"/>
  <c r="BE201" i="333"/>
  <c r="BK136" i="333"/>
  <c r="BK143" i="333" s="1"/>
  <c r="BM144" i="333"/>
  <c r="BM152" i="333" s="1"/>
  <c r="BM162" i="333"/>
  <c r="BM166" i="333" s="1"/>
  <c r="BM158" i="333"/>
  <c r="BM161" i="333" s="1"/>
  <c r="BM87" i="333"/>
  <c r="BM103" i="333" s="1"/>
  <c r="BM124" i="333" s="1"/>
  <c r="BD201" i="333"/>
  <c r="BK162" i="333"/>
  <c r="BK166" i="333" s="1"/>
  <c r="BK158" i="333"/>
  <c r="BK161" i="333" s="1"/>
  <c r="BM184" i="333"/>
  <c r="BM200" i="333" s="1"/>
  <c r="BK125" i="333"/>
  <c r="BK135" i="333" s="1"/>
  <c r="BK124" i="333"/>
  <c r="BM136" i="333" l="1"/>
  <c r="BM143" i="333" s="1"/>
  <c r="BK201" i="333"/>
  <c r="BM125" i="333"/>
  <c r="BM135" i="333" s="1"/>
  <c r="BM201" i="333" s="1"/>
  <c r="D503" i="297" l="1"/>
  <c r="D501" i="297"/>
  <c r="H346" i="297"/>
  <c r="H347" i="297"/>
  <c r="H348" i="297"/>
  <c r="H349" i="297"/>
  <c r="H350" i="297"/>
  <c r="H351" i="297"/>
  <c r="H352" i="297"/>
  <c r="H353" i="297"/>
  <c r="H354" i="297"/>
  <c r="H355" i="297"/>
  <c r="H356" i="297"/>
  <c r="H357" i="297"/>
  <c r="H358" i="297"/>
  <c r="H359" i="297"/>
  <c r="H360" i="297"/>
  <c r="H361" i="297"/>
  <c r="H362" i="297"/>
  <c r="H345" i="297"/>
  <c r="B346" i="297"/>
  <c r="B347" i="297" s="1"/>
  <c r="B348" i="297" s="1"/>
  <c r="B349" i="297" s="1"/>
  <c r="B350" i="297" s="1"/>
  <c r="B351" i="297" s="1"/>
  <c r="B352" i="297" s="1"/>
  <c r="B353" i="297" s="1"/>
  <c r="B354" i="297" s="1"/>
  <c r="B355" i="297" s="1"/>
  <c r="B356" i="297" s="1"/>
  <c r="B357" i="297" s="1"/>
  <c r="B358" i="297" s="1"/>
  <c r="B359" i="297" l="1"/>
  <c r="B360" i="297" s="1"/>
  <c r="B361" i="297" s="1"/>
  <c r="B362" i="297" s="1"/>
  <c r="H344" i="297"/>
  <c r="G92" i="297" s="1"/>
  <c r="F92" i="297" s="1"/>
  <c r="N19" i="301"/>
  <c r="N18" i="301"/>
  <c r="J23" i="301"/>
  <c r="M23" i="301"/>
  <c r="P23" i="301"/>
  <c r="J24" i="301"/>
  <c r="M24" i="301"/>
  <c r="P24" i="301"/>
  <c r="J25" i="301"/>
  <c r="M25" i="301"/>
  <c r="P25" i="301"/>
  <c r="R25" i="301"/>
  <c r="J26" i="301"/>
  <c r="R26" i="301" s="1"/>
  <c r="M26" i="301"/>
  <c r="P26" i="301"/>
  <c r="J27" i="301"/>
  <c r="R27" i="301" s="1"/>
  <c r="M27" i="301"/>
  <c r="P27" i="301"/>
  <c r="J28" i="301"/>
  <c r="R28" i="301" s="1"/>
  <c r="M28" i="301"/>
  <c r="P28" i="301"/>
  <c r="J29" i="301"/>
  <c r="R29" i="301" s="1"/>
  <c r="M29" i="301"/>
  <c r="P29" i="301"/>
  <c r="J30" i="301"/>
  <c r="R30" i="301" s="1"/>
  <c r="M30" i="301"/>
  <c r="P30" i="301"/>
  <c r="J31" i="301"/>
  <c r="M31" i="301"/>
  <c r="P31" i="301"/>
  <c r="J32" i="301"/>
  <c r="R32" i="301" s="1"/>
  <c r="M32" i="301"/>
  <c r="P32" i="301"/>
  <c r="A20" i="301"/>
  <c r="A21" i="301" s="1"/>
  <c r="A22" i="301" s="1"/>
  <c r="A23" i="301" s="1"/>
  <c r="A24" i="301" s="1"/>
  <c r="A25" i="301" s="1"/>
  <c r="A26" i="301" s="1"/>
  <c r="A27" i="301" s="1"/>
  <c r="A28" i="301" s="1"/>
  <c r="A29" i="301" s="1"/>
  <c r="A30" i="301" s="1"/>
  <c r="A31" i="301" s="1"/>
  <c r="A32" i="301" s="1"/>
  <c r="R31" i="301" l="1"/>
  <c r="R23" i="301"/>
  <c r="R24" i="301"/>
  <c r="H526" i="297" l="1"/>
  <c r="H527" i="297"/>
  <c r="H528" i="297"/>
  <c r="H529" i="297"/>
  <c r="H525" i="297" l="1"/>
  <c r="H281" i="297"/>
  <c r="H339" i="297"/>
  <c r="H340" i="297"/>
  <c r="H338" i="297"/>
  <c r="H337" i="297" l="1"/>
  <c r="G91" i="297" s="1"/>
  <c r="F91" i="297" s="1"/>
  <c r="H368" i="297" l="1"/>
  <c r="H369" i="297"/>
  <c r="H370" i="297"/>
  <c r="H371" i="297"/>
  <c r="H372" i="297"/>
  <c r="H373" i="297"/>
  <c r="H374" i="297"/>
  <c r="H375" i="297"/>
  <c r="H376" i="297"/>
  <c r="H377" i="297"/>
  <c r="H378" i="297"/>
  <c r="H379" i="297"/>
  <c r="H380" i="297"/>
  <c r="H381" i="297"/>
  <c r="H382" i="297"/>
  <c r="H383" i="297"/>
  <c r="H384" i="297"/>
  <c r="H385" i="297"/>
  <c r="H386" i="297"/>
  <c r="H387" i="297"/>
  <c r="H388" i="297"/>
  <c r="H389" i="297"/>
  <c r="H390" i="297"/>
  <c r="H391" i="297"/>
  <c r="H392" i="297"/>
  <c r="H393" i="297"/>
  <c r="H394" i="297"/>
  <c r="H395" i="297"/>
  <c r="H396" i="297"/>
  <c r="H397" i="297"/>
  <c r="H398" i="297"/>
  <c r="H399" i="297"/>
  <c r="H400" i="297"/>
  <c r="H401" i="297"/>
  <c r="H402" i="297"/>
  <c r="H403" i="297"/>
  <c r="H404" i="297"/>
  <c r="H405" i="297"/>
  <c r="H406" i="297"/>
  <c r="H407" i="297"/>
  <c r="H408" i="297"/>
  <c r="H409" i="297"/>
  <c r="H410" i="297"/>
  <c r="H411" i="297"/>
  <c r="H412" i="297"/>
  <c r="H413" i="297"/>
  <c r="H414" i="297"/>
  <c r="H415" i="297"/>
  <c r="H416" i="297"/>
  <c r="H417" i="297"/>
  <c r="H418" i="297"/>
  <c r="H419" i="297"/>
  <c r="H420" i="297"/>
  <c r="H421" i="297"/>
  <c r="H422" i="297"/>
  <c r="H423" i="297"/>
  <c r="H424" i="297"/>
  <c r="H425" i="297"/>
  <c r="H426" i="297"/>
  <c r="H427" i="297"/>
  <c r="H428" i="297"/>
  <c r="H429" i="297"/>
  <c r="H430" i="297"/>
  <c r="H431" i="297"/>
  <c r="H432" i="297"/>
  <c r="H433" i="297"/>
  <c r="H434" i="297"/>
  <c r="H435" i="297"/>
  <c r="H436" i="297"/>
  <c r="H437" i="297"/>
  <c r="H438" i="297"/>
  <c r="H439" i="297"/>
  <c r="H440" i="297"/>
  <c r="H441" i="297"/>
  <c r="H442" i="297"/>
  <c r="H443" i="297"/>
  <c r="H444" i="297"/>
  <c r="H445" i="297"/>
  <c r="H446" i="297"/>
  <c r="H447" i="297"/>
  <c r="H448" i="297"/>
  <c r="H449" i="297"/>
  <c r="H450" i="297"/>
  <c r="H451" i="297"/>
  <c r="H452" i="297"/>
  <c r="E503" i="297" l="1"/>
  <c r="E502" i="297"/>
  <c r="E501" i="297"/>
  <c r="E500" i="297"/>
  <c r="E499" i="297"/>
  <c r="E496" i="297"/>
  <c r="E493" i="297"/>
  <c r="E492" i="297"/>
  <c r="H513" i="297"/>
  <c r="H514" i="297"/>
  <c r="H515" i="297"/>
  <c r="H517" i="297"/>
  <c r="H518" i="297"/>
  <c r="H522" i="297"/>
  <c r="H523" i="297"/>
  <c r="H524" i="297"/>
  <c r="H511" i="297"/>
  <c r="H487" i="297"/>
  <c r="H486" i="297" s="1"/>
  <c r="E20" i="58" l="1"/>
  <c r="D20" i="58"/>
  <c r="P22" i="301"/>
  <c r="P21" i="301"/>
  <c r="N20" i="301"/>
  <c r="P20" i="301" s="1"/>
  <c r="H477" i="297" l="1"/>
  <c r="H468" i="297"/>
  <c r="H512" i="297" l="1"/>
  <c r="F492" i="297"/>
  <c r="H492" i="297" s="1"/>
  <c r="F20" i="58" l="1"/>
  <c r="A6" i="306" l="1"/>
  <c r="A14" i="306" s="1"/>
  <c r="A15" i="306" s="1"/>
  <c r="A16" i="306" s="1"/>
  <c r="A17" i="306" s="1"/>
  <c r="A18" i="306" s="1"/>
  <c r="A19" i="306" s="1"/>
  <c r="A20" i="306" s="1"/>
  <c r="D12" i="306" l="1"/>
  <c r="E12" i="306" s="1"/>
  <c r="F493" i="297"/>
  <c r="H493" i="297" s="1"/>
  <c r="D13" i="306" l="1"/>
  <c r="E13" i="306" s="1"/>
  <c r="D16" i="306"/>
  <c r="E16" i="306" s="1"/>
  <c r="D17" i="306"/>
  <c r="E17" i="306" s="1"/>
  <c r="D15" i="306"/>
  <c r="E15" i="306" s="1"/>
  <c r="D14" i="306" l="1"/>
  <c r="E14" i="306" s="1"/>
  <c r="D20" i="306"/>
  <c r="E20" i="306" s="1"/>
  <c r="Q33" i="301"/>
  <c r="O33" i="301"/>
  <c r="L33" i="301"/>
  <c r="K33" i="301"/>
  <c r="I33" i="301"/>
  <c r="H33" i="301"/>
  <c r="G33" i="301"/>
  <c r="F33" i="301"/>
  <c r="E33" i="301"/>
  <c r="M22" i="301"/>
  <c r="J22" i="301"/>
  <c r="M21" i="301"/>
  <c r="J21" i="301"/>
  <c r="M20" i="301"/>
  <c r="J20" i="301"/>
  <c r="P19" i="301"/>
  <c r="M19" i="301"/>
  <c r="J19" i="301"/>
  <c r="M18" i="301"/>
  <c r="J18" i="301"/>
  <c r="H567" i="297"/>
  <c r="H566" i="297"/>
  <c r="E558" i="297"/>
  <c r="E557" i="297"/>
  <c r="E555" i="297"/>
  <c r="E539" i="297" s="1"/>
  <c r="G539" i="297" s="1"/>
  <c r="G540" i="297" s="1"/>
  <c r="G536" i="297" s="1"/>
  <c r="G554" i="297"/>
  <c r="G553" i="297"/>
  <c r="G552" i="297"/>
  <c r="G551" i="297"/>
  <c r="G550" i="297"/>
  <c r="G549" i="297"/>
  <c r="G548" i="297"/>
  <c r="G547" i="297"/>
  <c r="G546" i="297"/>
  <c r="G545" i="297"/>
  <c r="G544" i="297"/>
  <c r="G543" i="297"/>
  <c r="B512" i="297"/>
  <c r="B513" i="297" s="1"/>
  <c r="B514" i="297" s="1"/>
  <c r="B515" i="297" s="1"/>
  <c r="B516" i="297" s="1"/>
  <c r="B517" i="297" s="1"/>
  <c r="B518" i="297" s="1"/>
  <c r="H507" i="297"/>
  <c r="F503" i="297"/>
  <c r="H503" i="297" s="1"/>
  <c r="F502" i="297"/>
  <c r="H502" i="297" s="1"/>
  <c r="F501" i="297"/>
  <c r="H501" i="297" s="1"/>
  <c r="F500" i="297"/>
  <c r="H500" i="297" s="1"/>
  <c r="F499" i="297"/>
  <c r="H499" i="297" s="1"/>
  <c r="F496" i="297"/>
  <c r="H496" i="297" s="1"/>
  <c r="H490" i="297"/>
  <c r="H482" i="297"/>
  <c r="H481" i="297"/>
  <c r="H480" i="297"/>
  <c r="H479" i="297"/>
  <c r="H478" i="297"/>
  <c r="H476" i="297"/>
  <c r="H475" i="297"/>
  <c r="H474" i="297"/>
  <c r="H473" i="297"/>
  <c r="H472" i="297"/>
  <c r="H471" i="297"/>
  <c r="H470" i="297"/>
  <c r="H469" i="297"/>
  <c r="H467" i="297"/>
  <c r="H466" i="297"/>
  <c r="H463" i="297"/>
  <c r="H462" i="297"/>
  <c r="H461" i="297"/>
  <c r="H460" i="297"/>
  <c r="H459" i="297"/>
  <c r="B459" i="297"/>
  <c r="B460" i="297" s="1"/>
  <c r="B461" i="297" s="1"/>
  <c r="B462" i="297" s="1"/>
  <c r="B463" i="297" s="1"/>
  <c r="H458" i="297"/>
  <c r="B368" i="297"/>
  <c r="B369" i="297" s="1"/>
  <c r="B370" i="297" s="1"/>
  <c r="B371" i="297" s="1"/>
  <c r="B372" i="297" s="1"/>
  <c r="B373" i="297" s="1"/>
  <c r="B374" i="297" s="1"/>
  <c r="B375" i="297" s="1"/>
  <c r="B376" i="297" s="1"/>
  <c r="B377" i="297" s="1"/>
  <c r="B378" i="297" s="1"/>
  <c r="B379" i="297" s="1"/>
  <c r="B380" i="297" s="1"/>
  <c r="B381" i="297" s="1"/>
  <c r="B382" i="297" s="1"/>
  <c r="B383" i="297" s="1"/>
  <c r="B384" i="297" s="1"/>
  <c r="B385" i="297" s="1"/>
  <c r="B386" i="297" s="1"/>
  <c r="B387" i="297" s="1"/>
  <c r="B388" i="297" s="1"/>
  <c r="B389" i="297" s="1"/>
  <c r="B390" i="297" s="1"/>
  <c r="B391" i="297" s="1"/>
  <c r="B392" i="297" s="1"/>
  <c r="B393" i="297" s="1"/>
  <c r="B394" i="297" s="1"/>
  <c r="B395" i="297" s="1"/>
  <c r="B396" i="297" s="1"/>
  <c r="B397" i="297" s="1"/>
  <c r="B398" i="297" s="1"/>
  <c r="B399" i="297" s="1"/>
  <c r="B400" i="297" s="1"/>
  <c r="B401" i="297" s="1"/>
  <c r="B402" i="297" s="1"/>
  <c r="B403" i="297" s="1"/>
  <c r="B404" i="297" s="1"/>
  <c r="B405" i="297" s="1"/>
  <c r="B406" i="297" s="1"/>
  <c r="B407" i="297" s="1"/>
  <c r="B408" i="297" s="1"/>
  <c r="B409" i="297" s="1"/>
  <c r="B410" i="297" s="1"/>
  <c r="B411" i="297" s="1"/>
  <c r="B412" i="297" s="1"/>
  <c r="B413" i="297" s="1"/>
  <c r="B414" i="297" s="1"/>
  <c r="B415" i="297" s="1"/>
  <c r="B416" i="297" s="1"/>
  <c r="B417" i="297" s="1"/>
  <c r="B418" i="297" s="1"/>
  <c r="B419" i="297" s="1"/>
  <c r="B420" i="297" s="1"/>
  <c r="B421" i="297" s="1"/>
  <c r="B422" i="297" s="1"/>
  <c r="B423" i="297" s="1"/>
  <c r="B424" i="297" s="1"/>
  <c r="B425" i="297" s="1"/>
  <c r="B426" i="297" s="1"/>
  <c r="B427" i="297" s="1"/>
  <c r="B428" i="297" s="1"/>
  <c r="B429" i="297" s="1"/>
  <c r="B430" i="297" s="1"/>
  <c r="B431" i="297" s="1"/>
  <c r="B432" i="297" s="1"/>
  <c r="B433" i="297" s="1"/>
  <c r="B434" i="297" s="1"/>
  <c r="B435" i="297" s="1"/>
  <c r="B436" i="297" s="1"/>
  <c r="B437" i="297" s="1"/>
  <c r="B438" i="297" s="1"/>
  <c r="B439" i="297" s="1"/>
  <c r="B440" i="297" s="1"/>
  <c r="B441" i="297" s="1"/>
  <c r="B442" i="297" s="1"/>
  <c r="B443" i="297" s="1"/>
  <c r="B444" i="297" s="1"/>
  <c r="B445" i="297" s="1"/>
  <c r="B446" i="297" s="1"/>
  <c r="B447" i="297" s="1"/>
  <c r="B448" i="297" s="1"/>
  <c r="B449" i="297" s="1"/>
  <c r="B450" i="297" s="1"/>
  <c r="B451" i="297" s="1"/>
  <c r="B452" i="297" s="1"/>
  <c r="H367" i="297"/>
  <c r="H366" i="297" s="1"/>
  <c r="G90" i="297" s="1"/>
  <c r="F90" i="297" s="1"/>
  <c r="H333" i="297"/>
  <c r="H332" i="297"/>
  <c r="H331" i="297"/>
  <c r="H330" i="297"/>
  <c r="H329" i="297"/>
  <c r="H328" i="297"/>
  <c r="H327" i="297"/>
  <c r="H326" i="297"/>
  <c r="H325" i="297"/>
  <c r="H324" i="297"/>
  <c r="H323" i="297"/>
  <c r="H322" i="297"/>
  <c r="H321" i="297"/>
  <c r="H320" i="297"/>
  <c r="H319" i="297"/>
  <c r="H318" i="297"/>
  <c r="B318" i="297"/>
  <c r="B319" i="297" s="1"/>
  <c r="B320" i="297" s="1"/>
  <c r="B321" i="297" s="1"/>
  <c r="B322" i="297" s="1"/>
  <c r="B323" i="297" s="1"/>
  <c r="B324" i="297" s="1"/>
  <c r="B325" i="297" s="1"/>
  <c r="B326" i="297" s="1"/>
  <c r="B327" i="297" s="1"/>
  <c r="B328" i="297" s="1"/>
  <c r="B329" i="297" s="1"/>
  <c r="B330" i="297" s="1"/>
  <c r="B331" i="297" s="1"/>
  <c r="B332" i="297" s="1"/>
  <c r="B333" i="297" s="1"/>
  <c r="E89" i="297" s="1"/>
  <c r="H317" i="297"/>
  <c r="H312" i="297"/>
  <c r="H311" i="297"/>
  <c r="H310" i="297"/>
  <c r="H309" i="297"/>
  <c r="H308" i="297"/>
  <c r="H307" i="297"/>
  <c r="H306" i="297"/>
  <c r="H305" i="297"/>
  <c r="H304" i="297"/>
  <c r="H303" i="297"/>
  <c r="H302" i="297"/>
  <c r="H301" i="297"/>
  <c r="H300" i="297"/>
  <c r="H299" i="297"/>
  <c r="H298" i="297"/>
  <c r="H297" i="297"/>
  <c r="H296" i="297"/>
  <c r="H295" i="297"/>
  <c r="H294" i="297"/>
  <c r="H293" i="297"/>
  <c r="H292" i="297"/>
  <c r="H291" i="297"/>
  <c r="H290" i="297"/>
  <c r="H289" i="297"/>
  <c r="B289" i="297"/>
  <c r="B290" i="297" s="1"/>
  <c r="B291" i="297" s="1"/>
  <c r="B292" i="297" s="1"/>
  <c r="B293" i="297" s="1"/>
  <c r="B294" i="297" s="1"/>
  <c r="B295" i="297" s="1"/>
  <c r="B296" i="297" s="1"/>
  <c r="B297" i="297" s="1"/>
  <c r="B298" i="297" s="1"/>
  <c r="B299" i="297" s="1"/>
  <c r="B300" i="297" s="1"/>
  <c r="B301" i="297" s="1"/>
  <c r="B302" i="297" s="1"/>
  <c r="B303" i="297" s="1"/>
  <c r="B304" i="297" s="1"/>
  <c r="B305" i="297" s="1"/>
  <c r="B306" i="297" s="1"/>
  <c r="B307" i="297" s="1"/>
  <c r="B308" i="297" s="1"/>
  <c r="B309" i="297" s="1"/>
  <c r="B310" i="297" s="1"/>
  <c r="B311" i="297" s="1"/>
  <c r="B312" i="297" s="1"/>
  <c r="E88" i="297" s="1"/>
  <c r="H288" i="297"/>
  <c r="H276" i="297"/>
  <c r="H275" i="297"/>
  <c r="H274" i="297"/>
  <c r="H273" i="297"/>
  <c r="H272" i="297"/>
  <c r="H271" i="297"/>
  <c r="H270" i="297"/>
  <c r="H269" i="297"/>
  <c r="H268" i="297"/>
  <c r="H267" i="297"/>
  <c r="H266" i="297"/>
  <c r="H265" i="297"/>
  <c r="H264" i="297"/>
  <c r="H263" i="297"/>
  <c r="H262" i="297"/>
  <c r="H261" i="297"/>
  <c r="H260" i="297"/>
  <c r="H259" i="297"/>
  <c r="H258" i="297"/>
  <c r="H257" i="297"/>
  <c r="H256" i="297"/>
  <c r="H255" i="297"/>
  <c r="H283" i="297"/>
  <c r="H282" i="297"/>
  <c r="H280" i="297" s="1"/>
  <c r="G87" i="297" s="1"/>
  <c r="F87" i="297" s="1"/>
  <c r="H254" i="297"/>
  <c r="H253" i="297"/>
  <c r="H252" i="297"/>
  <c r="H251" i="297"/>
  <c r="H250" i="297"/>
  <c r="H249" i="297"/>
  <c r="H248" i="297"/>
  <c r="H247" i="297"/>
  <c r="H246" i="297"/>
  <c r="H245" i="297"/>
  <c r="H244" i="297"/>
  <c r="H243" i="297"/>
  <c r="H242" i="297"/>
  <c r="H241" i="297"/>
  <c r="H240" i="297"/>
  <c r="H239" i="297"/>
  <c r="H238" i="297"/>
  <c r="H237" i="297"/>
  <c r="H236" i="297"/>
  <c r="H235" i="297"/>
  <c r="H234" i="297"/>
  <c r="H233" i="297"/>
  <c r="H232" i="297"/>
  <c r="H231" i="297"/>
  <c r="H230" i="297"/>
  <c r="H229" i="297"/>
  <c r="H228" i="297"/>
  <c r="H227" i="297"/>
  <c r="H226" i="297"/>
  <c r="H225" i="297"/>
  <c r="H224" i="297"/>
  <c r="H223" i="297"/>
  <c r="H222" i="297"/>
  <c r="H221" i="297"/>
  <c r="H220" i="297"/>
  <c r="H219" i="297"/>
  <c r="H218" i="297"/>
  <c r="H217" i="297"/>
  <c r="H216" i="297"/>
  <c r="H215" i="297"/>
  <c r="H214" i="297"/>
  <c r="H213" i="297"/>
  <c r="H212" i="297"/>
  <c r="H211" i="297"/>
  <c r="H210" i="297"/>
  <c r="H209" i="297"/>
  <c r="H208" i="297"/>
  <c r="H207" i="297"/>
  <c r="H206" i="297"/>
  <c r="H205" i="297"/>
  <c r="H204" i="297"/>
  <c r="H203" i="297"/>
  <c r="H202" i="297"/>
  <c r="H201" i="297"/>
  <c r="H200" i="297"/>
  <c r="H199" i="297"/>
  <c r="H198" i="297"/>
  <c r="H197" i="297"/>
  <c r="H196" i="297"/>
  <c r="H195" i="297"/>
  <c r="H194" i="297"/>
  <c r="H193" i="297"/>
  <c r="H192" i="297"/>
  <c r="H191" i="297"/>
  <c r="H190" i="297"/>
  <c r="H189" i="297"/>
  <c r="H188" i="297"/>
  <c r="H187" i="297"/>
  <c r="H186" i="297"/>
  <c r="H185" i="297"/>
  <c r="H184" i="297"/>
  <c r="H183" i="297"/>
  <c r="H182" i="297"/>
  <c r="H181" i="297"/>
  <c r="H180" i="297"/>
  <c r="H179" i="297"/>
  <c r="H178" i="297"/>
  <c r="H177" i="297"/>
  <c r="H176" i="297"/>
  <c r="H175" i="297"/>
  <c r="H174" i="297"/>
  <c r="H173" i="297"/>
  <c r="H172" i="297"/>
  <c r="H171" i="297"/>
  <c r="H170" i="297"/>
  <c r="H169" i="297"/>
  <c r="H168" i="297"/>
  <c r="H167" i="297"/>
  <c r="H166" i="297"/>
  <c r="H165" i="297"/>
  <c r="H164" i="297"/>
  <c r="H163" i="297"/>
  <c r="H162" i="297"/>
  <c r="H161" i="297"/>
  <c r="H160" i="297"/>
  <c r="H159" i="297"/>
  <c r="H158" i="297"/>
  <c r="H157" i="297"/>
  <c r="H156" i="297"/>
  <c r="H155" i="297"/>
  <c r="H154" i="297"/>
  <c r="H153" i="297"/>
  <c r="H152" i="297"/>
  <c r="H151" i="297"/>
  <c r="H150" i="297"/>
  <c r="H149" i="297"/>
  <c r="H148" i="297"/>
  <c r="H147" i="297"/>
  <c r="H146" i="297"/>
  <c r="H145" i="297"/>
  <c r="H144" i="297"/>
  <c r="H143" i="297"/>
  <c r="H142" i="297"/>
  <c r="H141" i="297"/>
  <c r="H140" i="297"/>
  <c r="H139" i="297"/>
  <c r="H138" i="297"/>
  <c r="H137" i="297"/>
  <c r="H136" i="297"/>
  <c r="H135" i="297"/>
  <c r="H134" i="297"/>
  <c r="H133" i="297"/>
  <c r="H132" i="297"/>
  <c r="H131" i="297"/>
  <c r="H130" i="297"/>
  <c r="H129" i="297"/>
  <c r="H128" i="297"/>
  <c r="H127" i="297"/>
  <c r="H126" i="297"/>
  <c r="H125" i="297"/>
  <c r="H124" i="297"/>
  <c r="H123" i="297"/>
  <c r="H122" i="297"/>
  <c r="H121" i="297"/>
  <c r="H120" i="297"/>
  <c r="H119" i="297"/>
  <c r="H118" i="297"/>
  <c r="H117" i="297"/>
  <c r="H116" i="297"/>
  <c r="H115" i="297"/>
  <c r="H114" i="297"/>
  <c r="H113" i="297"/>
  <c r="H112" i="297"/>
  <c r="H111" i="297"/>
  <c r="H110" i="297"/>
  <c r="H109" i="297"/>
  <c r="H108" i="297"/>
  <c r="H107" i="297"/>
  <c r="H106" i="297"/>
  <c r="H105" i="297"/>
  <c r="H104" i="297"/>
  <c r="H103" i="297"/>
  <c r="H102" i="297"/>
  <c r="B102" i="297"/>
  <c r="B103" i="297" s="1"/>
  <c r="B104" i="297" s="1"/>
  <c r="B105" i="297" s="1"/>
  <c r="B106" i="297" s="1"/>
  <c r="B107" i="297" s="1"/>
  <c r="B108" i="297" s="1"/>
  <c r="B109" i="297" s="1"/>
  <c r="B110" i="297" s="1"/>
  <c r="B111" i="297" s="1"/>
  <c r="B112" i="297" s="1"/>
  <c r="B113" i="297" s="1"/>
  <c r="B114" i="297" s="1"/>
  <c r="B115" i="297" s="1"/>
  <c r="B116" i="297" s="1"/>
  <c r="B117" i="297" s="1"/>
  <c r="B118" i="297" s="1"/>
  <c r="B119" i="297" s="1"/>
  <c r="B120" i="297" s="1"/>
  <c r="B121" i="297" s="1"/>
  <c r="B122" i="297" s="1"/>
  <c r="B123" i="297" s="1"/>
  <c r="B124" i="297" s="1"/>
  <c r="B125" i="297" s="1"/>
  <c r="B126" i="297" s="1"/>
  <c r="B127" i="297" s="1"/>
  <c r="B128" i="297" s="1"/>
  <c r="B129" i="297" s="1"/>
  <c r="B130" i="297" s="1"/>
  <c r="B131" i="297" s="1"/>
  <c r="B132" i="297" s="1"/>
  <c r="B133" i="297" s="1"/>
  <c r="B134" i="297" s="1"/>
  <c r="B135" i="297" s="1"/>
  <c r="B136" i="297" s="1"/>
  <c r="B137" i="297" s="1"/>
  <c r="B138" i="297" s="1"/>
  <c r="B139" i="297" s="1"/>
  <c r="B140" i="297" s="1"/>
  <c r="B141" i="297" s="1"/>
  <c r="B142" i="297" s="1"/>
  <c r="B143" i="297" s="1"/>
  <c r="B144" i="297" s="1"/>
  <c r="B145" i="297" s="1"/>
  <c r="B146" i="297" s="1"/>
  <c r="B147" i="297" s="1"/>
  <c r="B148" i="297" s="1"/>
  <c r="B149" i="297" s="1"/>
  <c r="B150" i="297" s="1"/>
  <c r="B151" i="297" s="1"/>
  <c r="B152" i="297" s="1"/>
  <c r="B153" i="297" s="1"/>
  <c r="B154" i="297" s="1"/>
  <c r="B155" i="297" s="1"/>
  <c r="B156" i="297" s="1"/>
  <c r="B157" i="297" s="1"/>
  <c r="B158" i="297" s="1"/>
  <c r="B159" i="297" s="1"/>
  <c r="B160" i="297" s="1"/>
  <c r="B161" i="297" s="1"/>
  <c r="B162" i="297" s="1"/>
  <c r="B163" i="297" s="1"/>
  <c r="B164" i="297" s="1"/>
  <c r="B165" i="297" s="1"/>
  <c r="B166" i="297" s="1"/>
  <c r="B167" i="297" s="1"/>
  <c r="B168" i="297" s="1"/>
  <c r="B169" i="297" s="1"/>
  <c r="B170" i="297" s="1"/>
  <c r="B171" i="297" s="1"/>
  <c r="B172" i="297" s="1"/>
  <c r="B173" i="297" s="1"/>
  <c r="B174" i="297" s="1"/>
  <c r="B175" i="297" s="1"/>
  <c r="B176" i="297" s="1"/>
  <c r="B177" i="297" s="1"/>
  <c r="B178" i="297" s="1"/>
  <c r="B179" i="297" s="1"/>
  <c r="B180" i="297" s="1"/>
  <c r="B181" i="297" s="1"/>
  <c r="B182" i="297" s="1"/>
  <c r="B183" i="297" s="1"/>
  <c r="B184" i="297" s="1"/>
  <c r="B185" i="297" s="1"/>
  <c r="B186" i="297" s="1"/>
  <c r="B187" i="297" s="1"/>
  <c r="B188" i="297" s="1"/>
  <c r="B189" i="297" s="1"/>
  <c r="B190" i="297" s="1"/>
  <c r="B191" i="297" s="1"/>
  <c r="B192" i="297" s="1"/>
  <c r="B193" i="297" s="1"/>
  <c r="B194" i="297" s="1"/>
  <c r="B195" i="297" s="1"/>
  <c r="B196" i="297" s="1"/>
  <c r="B197" i="297" s="1"/>
  <c r="B198" i="297" s="1"/>
  <c r="B199" i="297" s="1"/>
  <c r="B200" i="297" s="1"/>
  <c r="B201" i="297" s="1"/>
  <c r="B202" i="297" s="1"/>
  <c r="B203" i="297" s="1"/>
  <c r="B204" i="297" s="1"/>
  <c r="B205" i="297" s="1"/>
  <c r="B206" i="297" s="1"/>
  <c r="B207" i="297" s="1"/>
  <c r="B208" i="297" s="1"/>
  <c r="B209" i="297" s="1"/>
  <c r="B210" i="297" s="1"/>
  <c r="B211" i="297" s="1"/>
  <c r="B212" i="297" s="1"/>
  <c r="B213" i="297" s="1"/>
  <c r="B214" i="297" s="1"/>
  <c r="B215" i="297" s="1"/>
  <c r="B216" i="297" s="1"/>
  <c r="B217" i="297" s="1"/>
  <c r="B218" i="297" s="1"/>
  <c r="B219" i="297" s="1"/>
  <c r="B220" i="297" s="1"/>
  <c r="B221" i="297" s="1"/>
  <c r="B222" i="297" s="1"/>
  <c r="B223" i="297" s="1"/>
  <c r="B224" i="297" s="1"/>
  <c r="B225" i="297" s="1"/>
  <c r="B226" i="297" s="1"/>
  <c r="B227" i="297" s="1"/>
  <c r="B228" i="297" s="1"/>
  <c r="B229" i="297" s="1"/>
  <c r="B230" i="297" s="1"/>
  <c r="B231" i="297" s="1"/>
  <c r="B232" i="297" s="1"/>
  <c r="B233" i="297" s="1"/>
  <c r="B234" i="297" s="1"/>
  <c r="B235" i="297" s="1"/>
  <c r="B236" i="297" s="1"/>
  <c r="B237" i="297" s="1"/>
  <c r="B238" i="297" s="1"/>
  <c r="B239" i="297" s="1"/>
  <c r="B240" i="297" s="1"/>
  <c r="B241" i="297" s="1"/>
  <c r="B242" i="297" s="1"/>
  <c r="B243" i="297" s="1"/>
  <c r="B244" i="297" s="1"/>
  <c r="B245" i="297" s="1"/>
  <c r="B246" i="297" s="1"/>
  <c r="B247" i="297" s="1"/>
  <c r="B248" i="297" s="1"/>
  <c r="B249" i="297" s="1"/>
  <c r="B250" i="297" s="1"/>
  <c r="B251" i="297" s="1"/>
  <c r="B252" i="297" s="1"/>
  <c r="B253" i="297" s="1"/>
  <c r="B254" i="297" s="1"/>
  <c r="B255" i="297" s="1"/>
  <c r="H101" i="297"/>
  <c r="G76" i="297"/>
  <c r="H76" i="297" s="1"/>
  <c r="G75" i="297"/>
  <c r="H75" i="297" s="1"/>
  <c r="G74" i="297"/>
  <c r="H74" i="297" s="1"/>
  <c r="G73" i="297"/>
  <c r="H73" i="297" s="1"/>
  <c r="G72" i="297"/>
  <c r="H72" i="297" s="1"/>
  <c r="G71" i="297"/>
  <c r="H71" i="297" s="1"/>
  <c r="G70" i="297"/>
  <c r="H70" i="297" s="1"/>
  <c r="G69" i="297"/>
  <c r="H69" i="297" s="1"/>
  <c r="G68" i="297"/>
  <c r="H68" i="297" s="1"/>
  <c r="G67" i="297"/>
  <c r="H67" i="297" s="1"/>
  <c r="G66" i="297"/>
  <c r="H66" i="297" s="1"/>
  <c r="G65" i="297"/>
  <c r="H65" i="297" s="1"/>
  <c r="G64" i="297"/>
  <c r="H64" i="297" s="1"/>
  <c r="G63" i="297"/>
  <c r="H63" i="297" s="1"/>
  <c r="G62" i="297"/>
  <c r="H62" i="297" s="1"/>
  <c r="G61" i="297"/>
  <c r="H61" i="297" s="1"/>
  <c r="G60" i="297"/>
  <c r="H60" i="297" s="1"/>
  <c r="G59" i="297"/>
  <c r="H59" i="297" s="1"/>
  <c r="G58" i="297"/>
  <c r="H58" i="297" s="1"/>
  <c r="G57" i="297"/>
  <c r="H57" i="297" s="1"/>
  <c r="G56" i="297"/>
  <c r="H56" i="297" s="1"/>
  <c r="G55" i="297"/>
  <c r="H55" i="297" s="1"/>
  <c r="G54" i="297"/>
  <c r="H54" i="297" s="1"/>
  <c r="G53" i="297"/>
  <c r="H53" i="297" s="1"/>
  <c r="G52" i="297"/>
  <c r="H52" i="297" s="1"/>
  <c r="G51" i="297"/>
  <c r="H51" i="297" s="1"/>
  <c r="G50" i="297"/>
  <c r="H50" i="297" s="1"/>
  <c r="G49" i="297"/>
  <c r="H49" i="297" s="1"/>
  <c r="G48" i="297"/>
  <c r="H48" i="297" s="1"/>
  <c r="G47" i="297"/>
  <c r="H47" i="297" s="1"/>
  <c r="G46" i="297"/>
  <c r="H46" i="297" s="1"/>
  <c r="G45" i="297"/>
  <c r="H45" i="297" s="1"/>
  <c r="G44" i="297"/>
  <c r="H44" i="297" s="1"/>
  <c r="B44" i="297"/>
  <c r="B45" i="297" s="1"/>
  <c r="B46" i="297" s="1"/>
  <c r="B47" i="297" s="1"/>
  <c r="B48" i="297" s="1"/>
  <c r="B49" i="297" s="1"/>
  <c r="B50" i="297" s="1"/>
  <c r="B51" i="297" s="1"/>
  <c r="B52" i="297" s="1"/>
  <c r="B53" i="297" s="1"/>
  <c r="B54" i="297" s="1"/>
  <c r="B55" i="297" s="1"/>
  <c r="B56" i="297" s="1"/>
  <c r="B57" i="297" s="1"/>
  <c r="B58" i="297" s="1"/>
  <c r="B59" i="297" s="1"/>
  <c r="B60" i="297" s="1"/>
  <c r="B61" i="297" s="1"/>
  <c r="B62" i="297" s="1"/>
  <c r="B63" i="297" s="1"/>
  <c r="B64" i="297" s="1"/>
  <c r="B65" i="297" s="1"/>
  <c r="B66" i="297" s="1"/>
  <c r="B67" i="297" s="1"/>
  <c r="B68" i="297" s="1"/>
  <c r="B69" i="297" s="1"/>
  <c r="B70" i="297" s="1"/>
  <c r="B71" i="297" s="1"/>
  <c r="B72" i="297" s="1"/>
  <c r="B73" i="297" s="1"/>
  <c r="B74" i="297" s="1"/>
  <c r="B75" i="297" s="1"/>
  <c r="B76" i="297" s="1"/>
  <c r="G43" i="297"/>
  <c r="H43" i="297" s="1"/>
  <c r="D40" i="297"/>
  <c r="G35" i="297"/>
  <c r="G34" i="297"/>
  <c r="G33" i="297"/>
  <c r="G32" i="297"/>
  <c r="G31" i="297"/>
  <c r="G30" i="297"/>
  <c r="G29" i="297"/>
  <c r="G28" i="297"/>
  <c r="G27" i="297"/>
  <c r="G26" i="297"/>
  <c r="G25" i="297"/>
  <c r="E25" i="297"/>
  <c r="E26" i="297" s="1"/>
  <c r="E27" i="297" s="1"/>
  <c r="G24" i="297"/>
  <c r="H24" i="297" s="1"/>
  <c r="D23" i="297"/>
  <c r="D20" i="297" s="1"/>
  <c r="B11" i="297"/>
  <c r="B12" i="297" s="1"/>
  <c r="B13" i="297" s="1"/>
  <c r="B14" i="297" s="1"/>
  <c r="B15" i="297" s="1"/>
  <c r="B16" i="297" s="1"/>
  <c r="H465" i="297" l="1"/>
  <c r="B466" i="297"/>
  <c r="B467" i="297" s="1"/>
  <c r="B468" i="297" s="1"/>
  <c r="B469" i="297" s="1"/>
  <c r="B470" i="297" s="1"/>
  <c r="B471" i="297" s="1"/>
  <c r="B472" i="297" s="1"/>
  <c r="B473" i="297" s="1"/>
  <c r="B474" i="297" s="1"/>
  <c r="B475" i="297" s="1"/>
  <c r="B476" i="297" s="1"/>
  <c r="B282" i="297"/>
  <c r="B283" i="297" s="1"/>
  <c r="B256" i="297" s="1"/>
  <c r="B257" i="297" s="1"/>
  <c r="B258" i="297" s="1"/>
  <c r="B259" i="297" s="1"/>
  <c r="B260" i="297" s="1"/>
  <c r="B261" i="297" s="1"/>
  <c r="B262" i="297" s="1"/>
  <c r="B263" i="297" s="1"/>
  <c r="B264" i="297" s="1"/>
  <c r="B265" i="297" s="1"/>
  <c r="B266" i="297" s="1"/>
  <c r="B267" i="297" s="1"/>
  <c r="B268" i="297" s="1"/>
  <c r="B269" i="297" s="1"/>
  <c r="B270" i="297" s="1"/>
  <c r="B271" i="297" s="1"/>
  <c r="B272" i="297" s="1"/>
  <c r="B273" i="297" s="1"/>
  <c r="B274" i="297" s="1"/>
  <c r="B275" i="297" s="1"/>
  <c r="B276" i="297" s="1"/>
  <c r="E86" i="297" s="1"/>
  <c r="B519" i="297"/>
  <c r="B520" i="297" s="1"/>
  <c r="B521" i="297" s="1"/>
  <c r="B522" i="297" s="1"/>
  <c r="B523" i="297" s="1"/>
  <c r="B524" i="297" s="1"/>
  <c r="B525" i="297" s="1"/>
  <c r="B526" i="297" s="1"/>
  <c r="B527" i="297" s="1"/>
  <c r="B528" i="297" s="1"/>
  <c r="B529" i="297" s="1"/>
  <c r="C24" i="154"/>
  <c r="C19" i="208" s="1"/>
  <c r="H25" i="297"/>
  <c r="H570" i="297"/>
  <c r="H494" i="297"/>
  <c r="H505" i="297"/>
  <c r="H565" i="297"/>
  <c r="H568" i="297"/>
  <c r="N33" i="301"/>
  <c r="M33" i="301"/>
  <c r="G533" i="297" s="1"/>
  <c r="H569" i="297"/>
  <c r="R22" i="301"/>
  <c r="J33" i="301"/>
  <c r="R20" i="301"/>
  <c r="R19" i="301"/>
  <c r="R21" i="301"/>
  <c r="P18" i="301"/>
  <c r="P33" i="301" s="1"/>
  <c r="E533" i="297" s="1"/>
  <c r="H457" i="297"/>
  <c r="G77" i="297"/>
  <c r="H564" i="297"/>
  <c r="G555" i="297"/>
  <c r="E28" i="297"/>
  <c r="E29" i="297" s="1"/>
  <c r="E30" i="297" s="1"/>
  <c r="H27" i="297"/>
  <c r="H26" i="297"/>
  <c r="H77" i="297"/>
  <c r="F40" i="297" s="1"/>
  <c r="G40" i="297" s="1"/>
  <c r="H38" i="297" s="1"/>
  <c r="C17" i="154" s="1"/>
  <c r="C12" i="208" s="1"/>
  <c r="H497" i="297"/>
  <c r="H287" i="297"/>
  <c r="G88" i="297" s="1"/>
  <c r="F88" i="297" s="1"/>
  <c r="H100" i="297"/>
  <c r="G86" i="297" s="1"/>
  <c r="H316" i="297"/>
  <c r="G89" i="297" s="1"/>
  <c r="F89" i="297" s="1"/>
  <c r="G23" i="297"/>
  <c r="H456" i="297" l="1"/>
  <c r="G93" i="297" s="1"/>
  <c r="F93" i="297" s="1"/>
  <c r="E20" i="297"/>
  <c r="G20" i="297" s="1"/>
  <c r="G18" i="297" s="1"/>
  <c r="B477" i="297"/>
  <c r="B478" i="297" s="1"/>
  <c r="B479" i="297" s="1"/>
  <c r="B480" i="297" s="1"/>
  <c r="B481" i="297" s="1"/>
  <c r="B482" i="297" s="1"/>
  <c r="B483" i="297" s="1"/>
  <c r="B484" i="297" s="1"/>
  <c r="B486" i="297" s="1"/>
  <c r="C21" i="154"/>
  <c r="C16" i="208" s="1"/>
  <c r="H489" i="297"/>
  <c r="D19" i="306"/>
  <c r="R18" i="301"/>
  <c r="R33" i="301" s="1"/>
  <c r="H533" i="297" s="1"/>
  <c r="H531" i="297" s="1"/>
  <c r="H561" i="297"/>
  <c r="H29" i="297"/>
  <c r="H30" i="297"/>
  <c r="E31" i="297"/>
  <c r="H28" i="297"/>
  <c r="H84" i="297" l="1"/>
  <c r="C25" i="154"/>
  <c r="C20" i="208" s="1"/>
  <c r="C20" i="154"/>
  <c r="C15" i="208" s="1"/>
  <c r="C23" i="154"/>
  <c r="C18" i="208" s="1"/>
  <c r="C16" i="154"/>
  <c r="C11" i="208" s="1"/>
  <c r="E19" i="306"/>
  <c r="E32" i="297"/>
  <c r="H31" i="297"/>
  <c r="F86" i="297"/>
  <c r="D18" i="306" l="1"/>
  <c r="E18" i="306" s="1"/>
  <c r="C19" i="154"/>
  <c r="C14" i="208" s="1"/>
  <c r="E33" i="297"/>
  <c r="H32" i="297"/>
  <c r="H33" i="297" l="1"/>
  <c r="E34" i="297"/>
  <c r="F28" i="190" l="1"/>
  <c r="F20" i="190"/>
  <c r="E35" i="297"/>
  <c r="H35" i="297" s="1"/>
  <c r="H34" i="297"/>
  <c r="F29" i="190" l="1"/>
  <c r="F21" i="190"/>
  <c r="H23" i="297"/>
  <c r="L22" i="190" l="1"/>
  <c r="F12" i="190" l="1"/>
  <c r="H10" i="297" l="1"/>
  <c r="L12" i="190"/>
  <c r="F13" i="190"/>
  <c r="H11" i="297" l="1"/>
  <c r="L13" i="190"/>
  <c r="D22" i="190"/>
  <c r="G22" i="190" l="1"/>
  <c r="D11" i="154" s="1"/>
  <c r="E30" i="190" l="1"/>
  <c r="D30" i="190"/>
  <c r="A29" i="190"/>
  <c r="G30" i="190"/>
  <c r="C30" i="190"/>
  <c r="A21" i="190"/>
  <c r="E11" i="154" l="1"/>
  <c r="D6" i="306" s="1"/>
  <c r="E6" i="306" s="1"/>
  <c r="E22" i="190"/>
  <c r="K30" i="190"/>
  <c r="E15" i="154" s="1"/>
  <c r="K22" i="190"/>
  <c r="A13" i="190"/>
  <c r="D15" i="154" l="1"/>
  <c r="J22" i="190"/>
  <c r="J30" i="190"/>
  <c r="E14" i="154" s="1"/>
  <c r="F30" i="190"/>
  <c r="E10" i="154" s="1"/>
  <c r="D14" i="154" l="1"/>
  <c r="I22" i="190"/>
  <c r="L30" i="190"/>
  <c r="I30" i="190"/>
  <c r="E13" i="154" s="1"/>
  <c r="F22" i="190"/>
  <c r="D10" i="154" s="1"/>
  <c r="C5" i="189" s="1"/>
  <c r="D13" i="154" l="1"/>
  <c r="D5" i="306"/>
  <c r="D26" i="154"/>
  <c r="E5" i="306" l="1"/>
  <c r="E26" i="154"/>
  <c r="I20" i="58" s="1"/>
  <c r="I21" i="58" s="1"/>
  <c r="H20" i="58"/>
  <c r="H21" i="58" s="1"/>
  <c r="C21" i="306" l="1"/>
  <c r="F10" i="75" s="1"/>
  <c r="C22" i="190"/>
  <c r="E21" i="306" l="1"/>
  <c r="D21" i="306"/>
  <c r="C21" i="189"/>
  <c r="E10" i="75" s="1"/>
  <c r="C14" i="190" l="1"/>
  <c r="D14" i="190" l="1"/>
  <c r="G14" i="190" l="1"/>
  <c r="C11" i="154" l="1"/>
  <c r="H12" i="297"/>
  <c r="K14" i="190" l="1"/>
  <c r="C15" i="154" l="1"/>
  <c r="H16" i="297"/>
  <c r="F14" i="190"/>
  <c r="J14" i="190"/>
  <c r="C14" i="154" l="1"/>
  <c r="H15" i="297"/>
  <c r="C10" i="154"/>
  <c r="L14" i="190"/>
  <c r="I14" i="190" l="1"/>
  <c r="C13" i="154" l="1"/>
  <c r="H14" i="297"/>
  <c r="H8" i="297" s="1"/>
  <c r="A6" i="189"/>
  <c r="A6" i="208"/>
  <c r="D12" i="208" l="1"/>
  <c r="E12" i="208" s="1"/>
  <c r="D12" i="189"/>
  <c r="E12" i="189" s="1"/>
  <c r="D20" i="189" l="1"/>
  <c r="E20" i="189" s="1"/>
  <c r="D20" i="208"/>
  <c r="E20" i="208" s="1"/>
  <c r="D15" i="189"/>
  <c r="E15" i="189" s="1"/>
  <c r="D11" i="189"/>
  <c r="E11" i="189" s="1"/>
  <c r="D13" i="189"/>
  <c r="E13" i="189" s="1"/>
  <c r="D16" i="189"/>
  <c r="E16" i="189" s="1"/>
  <c r="D19" i="208"/>
  <c r="E19" i="208" s="1"/>
  <c r="D11" i="208"/>
  <c r="E11" i="208" s="1"/>
  <c r="D19" i="189"/>
  <c r="E19" i="189" s="1"/>
  <c r="D16" i="208"/>
  <c r="E16" i="208" s="1"/>
  <c r="D18" i="208"/>
  <c r="E18" i="208" s="1"/>
  <c r="D13" i="208"/>
  <c r="E13" i="208" s="1"/>
  <c r="D18" i="189"/>
  <c r="E18" i="189" s="1"/>
  <c r="D15" i="208" l="1"/>
  <c r="E15" i="208" s="1"/>
  <c r="D14" i="208"/>
  <c r="E14" i="208" s="1"/>
  <c r="D14" i="189"/>
  <c r="E14" i="189" s="1"/>
  <c r="A11" i="154" l="1"/>
  <c r="A17" i="154" l="1"/>
  <c r="A18" i="154" s="1"/>
  <c r="A19" i="154" s="1"/>
  <c r="A20" i="154" s="1"/>
  <c r="A21" i="154" s="1"/>
  <c r="A22" i="154" s="1"/>
  <c r="A23" i="154" s="1"/>
  <c r="A24" i="154" s="1"/>
  <c r="A25" i="154" s="1"/>
  <c r="A12" i="154"/>
  <c r="A13" i="154" s="1"/>
  <c r="A14" i="154" s="1"/>
  <c r="A15" i="154" s="1"/>
  <c r="D6" i="208"/>
  <c r="E6" i="208" s="1"/>
  <c r="D6" i="189" l="1"/>
  <c r="E6" i="189" s="1"/>
  <c r="D10" i="208" l="1"/>
  <c r="E10" i="208" s="1"/>
  <c r="D10" i="189" l="1"/>
  <c r="E10" i="189" s="1"/>
  <c r="D9" i="189"/>
  <c r="E9" i="189" s="1"/>
  <c r="D9" i="208"/>
  <c r="E9" i="208" s="1"/>
  <c r="D8" i="208" l="1"/>
  <c r="E8" i="208" s="1"/>
  <c r="D8" i="189" l="1"/>
  <c r="E8" i="189" s="1"/>
  <c r="D5" i="189" l="1"/>
  <c r="D5" i="208" l="1"/>
  <c r="E5" i="189"/>
  <c r="E5" i="208" l="1"/>
  <c r="E12" i="75" l="1"/>
  <c r="E13" i="75" s="1"/>
  <c r="D17" i="189" l="1"/>
  <c r="F12" i="75"/>
  <c r="F13" i="75" s="1"/>
  <c r="D21" i="189" l="1"/>
  <c r="E17" i="189"/>
  <c r="E21" i="189" s="1"/>
  <c r="E14" i="190"/>
  <c r="H516" i="297" l="1"/>
  <c r="H519" i="297"/>
  <c r="H520" i="297"/>
  <c r="H521" i="297"/>
  <c r="H509" i="297" l="1"/>
  <c r="C22" i="154" l="1"/>
  <c r="C17" i="208" s="1"/>
  <c r="H573" i="297"/>
  <c r="C26" i="154"/>
  <c r="G20" i="58" s="1"/>
  <c r="G21" i="58" s="1"/>
  <c r="D17" i="208" l="1"/>
  <c r="C21" i="208"/>
  <c r="D10" i="75" s="1"/>
  <c r="D12" i="75" s="1"/>
  <c r="D13" i="75" s="1"/>
  <c r="E17" i="208" l="1"/>
  <c r="E21" i="208" s="1"/>
  <c r="D21" i="208"/>
</calcChain>
</file>

<file path=xl/sharedStrings.xml><?xml version="1.0" encoding="utf-8"?>
<sst xmlns="http://schemas.openxmlformats.org/spreadsheetml/2006/main" count="11398" uniqueCount="2477">
  <si>
    <t>Наименование</t>
  </si>
  <si>
    <t>№</t>
  </si>
  <si>
    <t>ИТОГО</t>
  </si>
  <si>
    <t>РБ</t>
  </si>
  <si>
    <t>ИПН</t>
  </si>
  <si>
    <t>Всего:</t>
  </si>
  <si>
    <t>Оплата труда</t>
  </si>
  <si>
    <t>№ п/п</t>
  </si>
  <si>
    <t>тенге</t>
  </si>
  <si>
    <t>Наименование должностей</t>
  </si>
  <si>
    <t>Образование</t>
  </si>
  <si>
    <t>Всего ФЗП за месяц</t>
  </si>
  <si>
    <t>Директор</t>
  </si>
  <si>
    <t>Заместитель директора по воспитательной работе</t>
  </si>
  <si>
    <t>Уборщик служебных помещений</t>
  </si>
  <si>
    <t>Электромонтер</t>
  </si>
  <si>
    <t>Педагог-психолог</t>
  </si>
  <si>
    <t>Библиотекарь</t>
  </si>
  <si>
    <t>Системный администратор</t>
  </si>
  <si>
    <t xml:space="preserve">Медицинская сестра </t>
  </si>
  <si>
    <t xml:space="preserve">№ </t>
  </si>
  <si>
    <t>Февраль</t>
  </si>
  <si>
    <t>Март</t>
  </si>
  <si>
    <t>Май</t>
  </si>
  <si>
    <t>Июнь</t>
  </si>
  <si>
    <t>Август</t>
  </si>
  <si>
    <t>Сентябрь</t>
  </si>
  <si>
    <t>Октябрь</t>
  </si>
  <si>
    <t>Ноябрь</t>
  </si>
  <si>
    <t>Декабрь</t>
  </si>
  <si>
    <t>Ед. изм.</t>
  </si>
  <si>
    <t>Кол-во чел.</t>
  </si>
  <si>
    <t>Количество</t>
  </si>
  <si>
    <t>шт</t>
  </si>
  <si>
    <t>Наименование расходов</t>
  </si>
  <si>
    <t>Итого</t>
  </si>
  <si>
    <t>Наименование товаров</t>
  </si>
  <si>
    <t>Цена</t>
  </si>
  <si>
    <t>Пункт назначения</t>
  </si>
  <si>
    <t>Всего, тенге</t>
  </si>
  <si>
    <t>Кол-во поездок</t>
  </si>
  <si>
    <t>Кол-во дней</t>
  </si>
  <si>
    <t>Проезд в оба конца</t>
  </si>
  <si>
    <t>Проживание</t>
  </si>
  <si>
    <t>итого</t>
  </si>
  <si>
    <t>Всего :</t>
  </si>
  <si>
    <t>Бухгалтер</t>
  </si>
  <si>
    <t>Секретарь</t>
  </si>
  <si>
    <t>Инженер по оборудованию</t>
  </si>
  <si>
    <t xml:space="preserve">Заведующий библиотекой </t>
  </si>
  <si>
    <t>Заместитель директора по научно-методической работе</t>
  </si>
  <si>
    <t>Педагог организатор  НВП</t>
  </si>
  <si>
    <t>Экономист</t>
  </si>
  <si>
    <t>Дворник</t>
  </si>
  <si>
    <t>Экономист филиала</t>
  </si>
  <si>
    <t>Ед.измерения</t>
  </si>
  <si>
    <t xml:space="preserve">Заместитель директора по учебной работе </t>
  </si>
  <si>
    <t>В</t>
  </si>
  <si>
    <t>Коды</t>
  </si>
  <si>
    <t>Год</t>
  </si>
  <si>
    <t>План</t>
  </si>
  <si>
    <t>Функциональная группа</t>
  </si>
  <si>
    <t>Наименование учреждения</t>
  </si>
  <si>
    <t>Подпрограмма</t>
  </si>
  <si>
    <t>Приложение 51</t>
  </si>
  <si>
    <t xml:space="preserve">к Правилам составления и </t>
  </si>
  <si>
    <t>представления бюджетной заявки</t>
  </si>
  <si>
    <t xml:space="preserve">Сводный расчет расходов администратора </t>
  </si>
  <si>
    <t>бюджетных программ по бюджетным программам  (подпрограммам)</t>
  </si>
  <si>
    <t xml:space="preserve">Вид данных(прогноз, план,отчет) </t>
  </si>
  <si>
    <t>Админинистратор программ</t>
  </si>
  <si>
    <t>Программа</t>
  </si>
  <si>
    <t>Кассовые расходы</t>
  </si>
  <si>
    <t>Фактические расходы</t>
  </si>
  <si>
    <t>Всего затрат( тенге)</t>
  </si>
  <si>
    <t>Социальный налог</t>
  </si>
  <si>
    <t>Обязательное медицинское страхование</t>
  </si>
  <si>
    <t>Приобретение медикаментов и прочих средств медицинского назначения</t>
  </si>
  <si>
    <t>Приобретение прочих запасов</t>
  </si>
  <si>
    <t>№ п.п</t>
  </si>
  <si>
    <t>Среднегодовое количество получателей (ед)</t>
  </si>
  <si>
    <t>Норма отпуска медикаментов на 1 единицу в день (тенге)</t>
  </si>
  <si>
    <t>Кол-во, шт.</t>
  </si>
  <si>
    <t>Цена, тенге</t>
  </si>
  <si>
    <t>№п/п</t>
  </si>
  <si>
    <t>Ед.изм.</t>
  </si>
  <si>
    <t>Средняя стоимость за единицу, тенге</t>
  </si>
  <si>
    <t>Общая стоимость, тенге</t>
  </si>
  <si>
    <t xml:space="preserve">Канцелярские товары </t>
  </si>
  <si>
    <t>ед изм</t>
  </si>
  <si>
    <t>Характеристика товара</t>
  </si>
  <si>
    <t xml:space="preserve">Кол-во, объём </t>
  </si>
  <si>
    <t>Цена за единицу, тенге</t>
  </si>
  <si>
    <t>Сумма,  тенге</t>
  </si>
  <si>
    <t>Норма в натур.выражении</t>
  </si>
  <si>
    <t>Количество единиц мощности</t>
  </si>
  <si>
    <t>Холодная вода</t>
  </si>
  <si>
    <t xml:space="preserve">Норма годового расхода электроэнергии на единицу в натуральном выражении                                                                                                                                                                                                                                                                                                                                                                                                                                                                                                                                                                                                                                                                                                                                                                                                                                                                                                                                                                                                                                                                                                                                                                                                                                                                                                                                                                                                                                                                                                                                                                                      </t>
  </si>
  <si>
    <t>Продолжительность отопительного сезона</t>
  </si>
  <si>
    <t>Виды связи</t>
  </si>
  <si>
    <t>Кол-во номеров (точек, каналов)   (ед.)</t>
  </si>
  <si>
    <t>Абонентская плата на 1 единицу в месяц (тенге)</t>
  </si>
  <si>
    <t>Число месяцев</t>
  </si>
  <si>
    <t>Средняя стоимость одного проезда в оба конца (тенге)</t>
  </si>
  <si>
    <t>Сводная сумма по бюджетной заявке</t>
  </si>
  <si>
    <t>Количество учащихся</t>
  </si>
  <si>
    <t>Расчет на одного учащегося по государственному заданию (в тенге)</t>
  </si>
  <si>
    <t>Прочие услуги и работы</t>
  </si>
  <si>
    <t>Стоимость за ед.в тенге</t>
  </si>
  <si>
    <t>Компенсационные выплаты</t>
  </si>
  <si>
    <t>Водитель</t>
  </si>
  <si>
    <t>ФИО</t>
  </si>
  <si>
    <t>Согамбаева Галия Бердибековна</t>
  </si>
  <si>
    <t>Вакансия</t>
  </si>
  <si>
    <t>00.00.00</t>
  </si>
  <si>
    <t>8D</t>
  </si>
  <si>
    <t>Аубакирова Гульнур Габдувна</t>
  </si>
  <si>
    <t>8A</t>
  </si>
  <si>
    <t>9D</t>
  </si>
  <si>
    <t>7А</t>
  </si>
  <si>
    <t>С/С</t>
  </si>
  <si>
    <t>20.00.00</t>
  </si>
  <si>
    <t>Штатное расписание</t>
  </si>
  <si>
    <t>Дни функционирования учреждения (дни)</t>
  </si>
  <si>
    <t>Период</t>
  </si>
  <si>
    <t xml:space="preserve">Январь </t>
  </si>
  <si>
    <t xml:space="preserve">Июль </t>
  </si>
  <si>
    <t>Количество комплектов</t>
  </si>
  <si>
    <t>Подписка на периодические издания</t>
  </si>
  <si>
    <t>Услуга</t>
  </si>
  <si>
    <t>Наименование услуг</t>
  </si>
  <si>
    <t>Коммунальные услуги</t>
  </si>
  <si>
    <t>Социальные отчисления</t>
  </si>
  <si>
    <t>Услуги связи и интернет</t>
  </si>
  <si>
    <t xml:space="preserve">Норма в денежн. выраж. </t>
  </si>
  <si>
    <t xml:space="preserve">Норма годового расхода электроэнергии на единицу вденежном выражении  </t>
  </si>
  <si>
    <t>Электрическая энергия</t>
  </si>
  <si>
    <t>1. Фонд Оплаты Труда</t>
  </si>
  <si>
    <t>2.1.</t>
  </si>
  <si>
    <t>Медикаменты</t>
  </si>
  <si>
    <t>в размере ДО</t>
  </si>
  <si>
    <t>Обязательные пенсионные взносы 5%</t>
  </si>
  <si>
    <t>Количество бутылей 1 бутыле 18,9 (л)</t>
  </si>
  <si>
    <t>основных средств, строительных материалов, используемых на ремонт основных средств, запасных частей для оборудования,</t>
  </si>
  <si>
    <t xml:space="preserve"> другие запасы непосредственно связанные с содержанием, обслуживанием и ремонтом здания</t>
  </si>
  <si>
    <t>Горячая вода (гкал)</t>
  </si>
  <si>
    <t>отопление (гкал)</t>
  </si>
  <si>
    <t xml:space="preserve">хим.очищенная вода </t>
  </si>
  <si>
    <t>годовая потребность</t>
  </si>
  <si>
    <t>Перечень мероприятий</t>
  </si>
  <si>
    <t>Исходные данные</t>
  </si>
  <si>
    <t>Внутри РК</t>
  </si>
  <si>
    <t>Размер МРП, тенге</t>
  </si>
  <si>
    <t>в т.ч. кол-во дней в пути</t>
  </si>
  <si>
    <t>норма МРП</t>
  </si>
  <si>
    <t>Суточные</t>
  </si>
  <si>
    <t>Среднегодовое количество питающихся</t>
  </si>
  <si>
    <t>Норма питания на 1 единицу в сутки в тенге</t>
  </si>
  <si>
    <t>Итого:</t>
  </si>
  <si>
    <t xml:space="preserve">Штатное расписание </t>
  </si>
  <si>
    <t>Возмещение родителей (20%)</t>
  </si>
  <si>
    <t>Питание за счет бюджета (80%)</t>
  </si>
  <si>
    <t xml:space="preserve">Норматив на 1-го на день * (л) </t>
  </si>
  <si>
    <t>Сумма  (тенге)</t>
  </si>
  <si>
    <t>Дни функционирования  в год (дни)</t>
  </si>
  <si>
    <t>Тариф с НДС</t>
  </si>
  <si>
    <t>государственного учреждения</t>
  </si>
  <si>
    <t>Руководитель бюджетной программы</t>
  </si>
  <si>
    <t xml:space="preserve"> Главный бухгалтер (начальник ФЭО) </t>
  </si>
  <si>
    <t>Обеспечение доступности качественного школьного образования</t>
  </si>
  <si>
    <t>Обучение и воспитание детей в республиканских организациях образования</t>
  </si>
  <si>
    <t>по 100 подпрограмме "Обучение и воспитание детей в республиканских организациях образования"</t>
  </si>
  <si>
    <t>Стоимость на 1гкал тепла с НДС</t>
  </si>
  <si>
    <t>Цена на 1 -го учащегося (5-ти разовое питание) в тенге</t>
  </si>
  <si>
    <t xml:space="preserve">Кол-во учащихся </t>
  </si>
  <si>
    <t>Январь</t>
  </si>
  <si>
    <t>Апрель</t>
  </si>
  <si>
    <t>Июль</t>
  </si>
  <si>
    <t>Услуга по предоставлению Интернет портала</t>
  </si>
  <si>
    <t>Расшифровка расходов по медикаментам для учащихся школы</t>
  </si>
  <si>
    <t xml:space="preserve">Председатель Правления НАО "РФМШ"                                           </t>
  </si>
  <si>
    <t>Гл.бухгалтер НАО "РФМШ"</t>
  </si>
  <si>
    <t xml:space="preserve">Экономист НАО "РФМШ" </t>
  </si>
  <si>
    <t>Заместитель ПП по ФЭВ НАО "РФМШ"</t>
  </si>
  <si>
    <t>Затраты Фонда всеобщего обязательного среднего образования</t>
  </si>
  <si>
    <t>Командировки и служебные разъезды в пределах страны</t>
  </si>
  <si>
    <t>Всего ФЗП  с леч пособием</t>
  </si>
  <si>
    <t>Социальный налог 6%</t>
  </si>
  <si>
    <t>Кабулова Нурбану Таргиновна</t>
  </si>
  <si>
    <t>Уадилова Айгуль Дюсенбековна</t>
  </si>
  <si>
    <t>Асылова Куралай Мухаметкалиевна</t>
  </si>
  <si>
    <t>Коэффциент</t>
  </si>
  <si>
    <t>Итого доплаты</t>
  </si>
  <si>
    <t>Лечебно-оздоровительные пособия</t>
  </si>
  <si>
    <t>Педагог-модератор  30%</t>
  </si>
  <si>
    <t>Жаруллаев Дастан Берікұлы</t>
  </si>
  <si>
    <t>Омар Мәден</t>
  </si>
  <si>
    <t>Нагашбекова Анар Турсынбековна</t>
  </si>
  <si>
    <t>Кишкеева Каламкас Суттибаевна</t>
  </si>
  <si>
    <t>Ардақ Дидар</t>
  </si>
  <si>
    <t>Шинасилова Сауле Сыздыковна</t>
  </si>
  <si>
    <t>Рыскулова Ултуар Бейсетаевна</t>
  </si>
  <si>
    <t>Омарова Шакизат Султановна</t>
  </si>
  <si>
    <t>Кошанова Рабига Игенбеккызы</t>
  </si>
  <si>
    <t>Долаев Архат Садырбаевич</t>
  </si>
  <si>
    <t>Батыршаев Мейрам Жайлаубекович</t>
  </si>
  <si>
    <t>Бегимбетов Талгат Полатович</t>
  </si>
  <si>
    <t>Ахметова Ғалия Зейноллақызы</t>
  </si>
  <si>
    <t>Шарипбжанова Жулдыз Болатовна</t>
  </si>
  <si>
    <t>Есмагамбетова Лязат Амиргалиевна</t>
  </si>
  <si>
    <t>Довгаль Юрий Николаевич</t>
  </si>
  <si>
    <t xml:space="preserve"> Средняя стоимость услуги в месяц</t>
  </si>
  <si>
    <t>Хозяйственные товары</t>
  </si>
  <si>
    <t>Мыло-моющие товары</t>
  </si>
  <si>
    <t>Заработная плата за месяц</t>
  </si>
  <si>
    <t xml:space="preserve">Тарификация </t>
  </si>
  <si>
    <t>Председатель комитета</t>
  </si>
  <si>
    <t>Адилов Шерзод Рустамович</t>
  </si>
  <si>
    <t>Освежитель воздуха</t>
  </si>
  <si>
    <t>Фум лента</t>
  </si>
  <si>
    <t>Электротовары</t>
  </si>
  <si>
    <t>Вода питьевая бутилированная 18,9 л на 1186 детей</t>
  </si>
  <si>
    <t>Пленка ПВХ</t>
  </si>
  <si>
    <t>Кабинет</t>
  </si>
  <si>
    <t>Магистр-математика</t>
  </si>
  <si>
    <t>Токтасбаев Бейбарыс Ералиевич</t>
  </si>
  <si>
    <t xml:space="preserve">Кунгожин Нұрбек Манбетұлы </t>
  </si>
  <si>
    <t>Магистр-техническая физика</t>
  </si>
  <si>
    <t>Турагалдиева  Шолпан  Амреевна</t>
  </si>
  <si>
    <t>Магистр-информационные системы</t>
  </si>
  <si>
    <t>ВСЕГО нагрузка часов по РУПу</t>
  </si>
  <si>
    <t>Ед.изерения</t>
  </si>
  <si>
    <t>Итого расходы на 1186 обучающихся по Гос.З. (тыс. тенге)</t>
  </si>
  <si>
    <t>штук</t>
  </si>
  <si>
    <t>5. Приобретение прочих запасов</t>
  </si>
  <si>
    <t>1</t>
  </si>
  <si>
    <t>2</t>
  </si>
  <si>
    <t>3</t>
  </si>
  <si>
    <t>Организационный взнос</t>
  </si>
  <si>
    <t>Тариф на электроэнергию с НДС</t>
  </si>
  <si>
    <t>Руководитель аппарата/руководитель</t>
  </si>
  <si>
    <t>Обязательное социальное медицинское страхование 3%</t>
  </si>
  <si>
    <t xml:space="preserve">Прочие услуги и работы </t>
  </si>
  <si>
    <t>Обеспечение  5-ти разовым горячим питанием учащихся проживающих в интернате</t>
  </si>
  <si>
    <t>Стоимость на одного в год</t>
  </si>
  <si>
    <t xml:space="preserve"> Утверждаю:</t>
  </si>
  <si>
    <t xml:space="preserve">Директор  ________________А.М. Кунгожин </t>
  </si>
  <si>
    <t xml:space="preserve"> филиал НАО "Республиканская физико-математическая школа" в г.Алматы</t>
  </si>
  <si>
    <t>Всего ФЗП в год</t>
  </si>
  <si>
    <t>Педагог-мастер</t>
  </si>
  <si>
    <t>Абилгазиев Жанарбек Нурбакытович</t>
  </si>
  <si>
    <t>А308</t>
  </si>
  <si>
    <t xml:space="preserve">Айтжанов Ердос Ержанұлы </t>
  </si>
  <si>
    <t>алгебра, геометрия, практикум решения задач в 7DEF</t>
  </si>
  <si>
    <t>Педагог-модератор</t>
  </si>
  <si>
    <t>Педагог-исследователь</t>
  </si>
  <si>
    <t xml:space="preserve">Ахметов Талгат Дуйсеналиевич </t>
  </si>
  <si>
    <t>A305</t>
  </si>
  <si>
    <t>8K</t>
  </si>
  <si>
    <t>Педагог-эксперт</t>
  </si>
  <si>
    <t>A206</t>
  </si>
  <si>
    <t xml:space="preserve">Даярбек Ернар </t>
  </si>
  <si>
    <t>алгебра, геометрия, практикум решения задач в 9ABC</t>
  </si>
  <si>
    <t>A317</t>
  </si>
  <si>
    <t>А307</t>
  </si>
  <si>
    <t>А310</t>
  </si>
  <si>
    <t>Магистр-математика и комп-е моделирование</t>
  </si>
  <si>
    <t>Омарова Гульжан Смановна</t>
  </si>
  <si>
    <t xml:space="preserve">Оразалиев Бақшат Бақтыбайұлы </t>
  </si>
  <si>
    <t>Раимбаева Аяужан Қонысбекқызы</t>
  </si>
  <si>
    <t>Магистр-естественных наук</t>
  </si>
  <si>
    <t>A219</t>
  </si>
  <si>
    <t>11A</t>
  </si>
  <si>
    <t>Свыше 25 лет</t>
  </si>
  <si>
    <t>A316</t>
  </si>
  <si>
    <t>A312</t>
  </si>
  <si>
    <t>Заместитель директора по УЧ</t>
  </si>
  <si>
    <t>Экономист филиала НАО "РФМШ" г.Алматы</t>
  </si>
  <si>
    <t>03.04.00</t>
  </si>
  <si>
    <t>01.04.00</t>
  </si>
  <si>
    <t>06.04.00</t>
  </si>
  <si>
    <t>Куюкова Гаухар Ермековна</t>
  </si>
  <si>
    <t xml:space="preserve">Обязательное социальное медицинское страхование </t>
  </si>
  <si>
    <t xml:space="preserve">Оплата труда по тарификации учителей </t>
  </si>
  <si>
    <t>Постановление Правительства Республики Казахстан
от 12 марта 2012 года № 320</t>
  </si>
  <si>
    <t xml:space="preserve">Нотариальные услуги </t>
  </si>
  <si>
    <t>Экономист филиала НАО "РФМШ" в г.Алматы</t>
  </si>
  <si>
    <t>Обязательные пенсионные взносы за счет работодателя</t>
  </si>
  <si>
    <t xml:space="preserve">Обязательное  социальное медицинское схрахование 3% </t>
  </si>
  <si>
    <t>ИТОГО стоимость питания одного дня согласно меню (пяти разового  питания для учеников проживающих в интернате)</t>
  </si>
  <si>
    <t>2.Приобретение питьевой воды для учащихся</t>
  </si>
  <si>
    <t>Единица измерения</t>
  </si>
  <si>
    <t>Кол-во, объем.</t>
  </si>
  <si>
    <t>Прочие текущие затраты</t>
  </si>
  <si>
    <t>Бумага А4</t>
  </si>
  <si>
    <t>Упаковка</t>
  </si>
  <si>
    <t>Индексы в наборе 45х12</t>
  </si>
  <si>
    <t>Линейка 20см</t>
  </si>
  <si>
    <t>Линейка 30см</t>
  </si>
  <si>
    <t>Маркер перманентный</t>
  </si>
  <si>
    <t>Маркер текстовый разноцветный</t>
  </si>
  <si>
    <t>Папка с файлами А4 30 вкладышей</t>
  </si>
  <si>
    <t>Пачка</t>
  </si>
  <si>
    <t>Автоматические выключатели</t>
  </si>
  <si>
    <t>Хомут</t>
  </si>
  <si>
    <t>Лента для ограждения</t>
  </si>
  <si>
    <t>Мешок для мусора 30л</t>
  </si>
  <si>
    <t>Мешок для мусора 60л</t>
  </si>
  <si>
    <t>Мешок для мусора 120л</t>
  </si>
  <si>
    <t>Ведро</t>
  </si>
  <si>
    <t>Урна</t>
  </si>
  <si>
    <t>Стакан пластиковый PP 200мл белый 100 шт/уп</t>
  </si>
  <si>
    <t>Ерш для чистки унитаза</t>
  </si>
  <si>
    <t>Швабра деревянная 50см</t>
  </si>
  <si>
    <t>Скотч</t>
  </si>
  <si>
    <t>Соль</t>
  </si>
  <si>
    <t>Веник с совком для сбора мусора</t>
  </si>
  <si>
    <t>Смеситель раковины</t>
  </si>
  <si>
    <t>Лопата для уборки снега</t>
  </si>
  <si>
    <t>Плоскогубцы с диэлектрическими ручками</t>
  </si>
  <si>
    <t>Замок мебельный</t>
  </si>
  <si>
    <t>Дюбель гвозди потай</t>
  </si>
  <si>
    <t>Диск циркулярный</t>
  </si>
  <si>
    <t>Адаптер дм 25 резьбой 20</t>
  </si>
  <si>
    <t>Адаптер дм 25 резьбой 32</t>
  </si>
  <si>
    <t>Хомут металлические 50шт/уп</t>
  </si>
  <si>
    <t>Шуруп</t>
  </si>
  <si>
    <t>Шуруп коленный с частой резьбой</t>
  </si>
  <si>
    <t>Анкерный болт с гайкой 10*125(130)</t>
  </si>
  <si>
    <t>Сверло для перфоратора по бетону SDS PLUS 16х210</t>
  </si>
  <si>
    <t>Изолента</t>
  </si>
  <si>
    <t>Рукав для воды</t>
  </si>
  <si>
    <t>Муфта -переходник</t>
  </si>
  <si>
    <t>Труба из полипропилена д-15 (4м)</t>
  </si>
  <si>
    <t>Труба из полипропилена д-20 (4м)</t>
  </si>
  <si>
    <t>Унитаз в комплекте</t>
  </si>
  <si>
    <t>Тряпка для пола из микрофибры 80х80см.</t>
  </si>
  <si>
    <t>Тряпка для пола из микрофибры 100х100см.</t>
  </si>
  <si>
    <t>Тряпка для мебели из микрофибры 40х40см.</t>
  </si>
  <si>
    <t>Батарейки пальчиковые</t>
  </si>
  <si>
    <t>Батарейки мизинчиковые</t>
  </si>
  <si>
    <t>Краска интерьерная</t>
  </si>
  <si>
    <t>Кисть строительная 50 мм</t>
  </si>
  <si>
    <t>Валик 250мм</t>
  </si>
  <si>
    <t>Валик 100мм</t>
  </si>
  <si>
    <t>Фильтр для глубокой фильтрации воды</t>
  </si>
  <si>
    <t>Губка для мытья различных поверхностей</t>
  </si>
  <si>
    <t>Универсальный чистящий порошок</t>
  </si>
  <si>
    <t>Мыло жидкое</t>
  </si>
  <si>
    <t>Мыло-пена</t>
  </si>
  <si>
    <t>Мыло туалетное</t>
  </si>
  <si>
    <t>Мыло хозяйственное</t>
  </si>
  <si>
    <t>Перчатки резиновые</t>
  </si>
  <si>
    <t>Перчатки</t>
  </si>
  <si>
    <t>Рабочие перчатки</t>
  </si>
  <si>
    <t>Стиральный порошок</t>
  </si>
  <si>
    <t>Средство для мытья полов</t>
  </si>
  <si>
    <t>Средство для мытья стекол и зеркал</t>
  </si>
  <si>
    <t>Туалетная бумага</t>
  </si>
  <si>
    <t>Ветошь</t>
  </si>
  <si>
    <t>Салфетки бумажные</t>
  </si>
  <si>
    <t>Литр</t>
  </si>
  <si>
    <t>ДТ зимнее</t>
  </si>
  <si>
    <t>ДТ летнее</t>
  </si>
  <si>
    <t>ЕГЕМЕН КАЗАХСТАН</t>
  </si>
  <si>
    <t>КАЗАХСТАНСКАЯ ПРАВДА</t>
  </si>
  <si>
    <t>ҚАЗАҚСТАН МҰҒАЛІМІ</t>
  </si>
  <si>
    <t>САРБАЗ</t>
  </si>
  <si>
    <t>Современное образование</t>
  </si>
  <si>
    <t>NATIONAL GEOGRAPHIC QAZAQSTAN</t>
  </si>
  <si>
    <t>Мектептегі кітапханашы - Библиотекарь в школе</t>
  </si>
  <si>
    <t>Мектептегі мерекелер: тәрбие жұмыстарының сценарийлері</t>
  </si>
  <si>
    <t>Қазақ тілі мен әдебиеті</t>
  </si>
  <si>
    <t>Мектептегi дене шынықтыру</t>
  </si>
  <si>
    <t>Химия мектепте</t>
  </si>
  <si>
    <t>Командировка зам.директора по НМР для отчета по Международной Жаутыковской олимпиаде в МОН РК</t>
  </si>
  <si>
    <t>Нотариальные услуги Удостоверение договоров об отчуждении недвижимого имущества (земельных участков, жилох домов,квартир, дач,гаражей, сооружений и иного недвижимого имущества) в городской местности,  если с одной стороны является юридическое лицо  (7МРП)</t>
  </si>
  <si>
    <t>услуга</t>
  </si>
  <si>
    <t>При удостоверении прочих доверенностей, для юридических лиц- 2МРП</t>
  </si>
  <si>
    <t>При удостоверении договоров поручительства и гарантии -1МРП</t>
  </si>
  <si>
    <t>При совершении других нотариальных действий, предусмотренных настоящим Законом и иными законодательными актами Республики Казахстана-7МРП</t>
  </si>
  <si>
    <t>Выдача дубликата (2МРП)</t>
  </si>
  <si>
    <t>Свидетельствование подлинности подписей при открытии счетов в банках (за каждый документ) для юридических лиц (0,5МРП)</t>
  </si>
  <si>
    <t>Организация горячим пятиразовым питанием</t>
  </si>
  <si>
    <t>Приобретение продуктов питания (питьевая вода)</t>
  </si>
  <si>
    <t>Лечебно оздоровительные пособия</t>
  </si>
  <si>
    <t>Куюкова Г.Е.</t>
  </si>
  <si>
    <t>Расчет на одного учащегося по государственному заданию по филиалу НАО "Республиканская физико-математическая школа" в г.Алматы</t>
  </si>
  <si>
    <t>На одного в год</t>
  </si>
  <si>
    <t>На одного в месяц</t>
  </si>
  <si>
    <t>004</t>
  </si>
  <si>
    <t>по бюджетной программе 004 "Обеспечение доступности качественного школьного образования"</t>
  </si>
  <si>
    <t>Министерство просвещения РК</t>
  </si>
  <si>
    <t>Аманкельдыұлы Қалмас</t>
  </si>
  <si>
    <t>A209</t>
  </si>
  <si>
    <t>2026г.</t>
  </si>
  <si>
    <t>04.04.00</t>
  </si>
  <si>
    <t>35.03.00</t>
  </si>
  <si>
    <t>23.11.25</t>
  </si>
  <si>
    <t>Свод по тарификационной ведомости и штатному расписанию  за счет средств республиканского бюджета на 2026 год</t>
  </si>
  <si>
    <t>2026г</t>
  </si>
  <si>
    <t xml:space="preserve">Кол-во часов </t>
  </si>
  <si>
    <t xml:space="preserve"> Фактическая численность един.</t>
  </si>
  <si>
    <t>среднего образования</t>
  </si>
  <si>
    <t>ОПВ 3,5%</t>
  </si>
  <si>
    <t xml:space="preserve"> Годовой ФОТ за  2026 года с налогами (соц.налог,соц отч, мед страх, пен.взн)</t>
  </si>
  <si>
    <t xml:space="preserve"> Годовой ФЗП за  2026 год</t>
  </si>
  <si>
    <t>_________________</t>
  </si>
  <si>
    <t xml:space="preserve">Калькуляция затрат на государственные образовательные услуги филиала НАО "Республиканская физико-математическая школа" в г.Алматы  на 2026 год на одного ученика </t>
  </si>
  <si>
    <t>2026 г</t>
  </si>
  <si>
    <t>Всего на 2026 г.</t>
  </si>
  <si>
    <t>Служебная поездка для участия в заклютельном этапе Республиканского конкурса научных проектов</t>
  </si>
  <si>
    <t>Служебная поездка для участия в учебно-тренировочных сборах по информатике</t>
  </si>
  <si>
    <t>Служебная поездка для участия в ХХ Президентской олимпиаде по предметам естественно-математического цикла</t>
  </si>
  <si>
    <t>Норма возмещения суточных расходов (тенге)</t>
  </si>
  <si>
    <t>Водоотведение</t>
  </si>
  <si>
    <t>Потери</t>
  </si>
  <si>
    <t>Вентиляция</t>
  </si>
  <si>
    <t>4</t>
  </si>
  <si>
    <t>5</t>
  </si>
  <si>
    <t>г.Алматы-г.Астана</t>
  </si>
  <si>
    <t>на одного туда</t>
  </si>
  <si>
    <t>на одного обратно</t>
  </si>
  <si>
    <t>Норма расходов по найму жилого помещения на 1 чел (тенге)</t>
  </si>
  <si>
    <t>Среднегодовое количество командируемых человек</t>
  </si>
  <si>
    <t>Директор  ________________М.Е.Меирбек</t>
  </si>
  <si>
    <t>ОПВ 10%</t>
  </si>
  <si>
    <t>Итого на руки</t>
  </si>
  <si>
    <t>Меирбек Меирлан Едигерулы</t>
  </si>
  <si>
    <t xml:space="preserve">Жасыбаева Лазат Карбозовна </t>
  </si>
  <si>
    <t xml:space="preserve">Таукебаев Куаныш Муратбекович </t>
  </si>
  <si>
    <t>Заместитель директора по профильно- экспериментальной работе</t>
  </si>
  <si>
    <t>Алин Береке Адильханович</t>
  </si>
  <si>
    <t>Камбарбаев Айдын Майсаканович</t>
  </si>
  <si>
    <t xml:space="preserve">Куюкова Гаухар Ермековна </t>
  </si>
  <si>
    <t>Главный бухгалтер</t>
  </si>
  <si>
    <t>Абулова Жулдыз Муратовна</t>
  </si>
  <si>
    <t>Старший бухгалтер</t>
  </si>
  <si>
    <t>Қожамқұлова Жанна Пірмағанбетқызы</t>
  </si>
  <si>
    <t>Специалист по закупкам</t>
  </si>
  <si>
    <t>Жанабилов Жандос Ерболатович</t>
  </si>
  <si>
    <t>Юрист</t>
  </si>
  <si>
    <t xml:space="preserve">Инспектор по кадрам </t>
  </si>
  <si>
    <t>Архивариус</t>
  </si>
  <si>
    <t>Ермеккалиева Тлектес Сансизбаевна</t>
  </si>
  <si>
    <t>Учебно-вспомогательный персонал (УВП)</t>
  </si>
  <si>
    <t>Консультант по профессиональной ориентации</t>
  </si>
  <si>
    <t xml:space="preserve">Ахметова Алия Нуртаевна </t>
  </si>
  <si>
    <t xml:space="preserve">Жумабекова Асель Камбарбековна                 </t>
  </si>
  <si>
    <t>Педагог-организатор-куратор</t>
  </si>
  <si>
    <t>Жәнәбіл Айжан Нышанбайқызы</t>
  </si>
  <si>
    <t xml:space="preserve">Нурымова Шолпан Искандировна </t>
  </si>
  <si>
    <t>Сайлауханқызы Зарина</t>
  </si>
  <si>
    <t>Педагог дополнительного образования</t>
  </si>
  <si>
    <t>Кунгожин Медеубек Аманкельдиевич</t>
  </si>
  <si>
    <t>Мамышев Бақыт Жанасұлы</t>
  </si>
  <si>
    <t>Музыкально- художественный руководитель</t>
  </si>
  <si>
    <t>Сизов Евгений Николаевич</t>
  </si>
  <si>
    <t>Сеиткали Дидар Мараткызы</t>
  </si>
  <si>
    <t xml:space="preserve">Педагог-психолог </t>
  </si>
  <si>
    <t>Динсаламова Бакыткул Мукагалиевна</t>
  </si>
  <si>
    <t>Мансурова Румилям Карлиновна</t>
  </si>
  <si>
    <t>Тлеубердинова Жанат Мураткановна</t>
  </si>
  <si>
    <t>Социальный педагог</t>
  </si>
  <si>
    <t xml:space="preserve">Дюсупова Зарина Канатпаевна </t>
  </si>
  <si>
    <t xml:space="preserve">Смагулова Нургуль Бактурсыновна </t>
  </si>
  <si>
    <t>Алжанова Айжан Копжасаровна</t>
  </si>
  <si>
    <t xml:space="preserve">Имангожина Рая Аскергалиевна </t>
  </si>
  <si>
    <t>Құсатай Серікжан Қалимұратұлы</t>
  </si>
  <si>
    <t>Специалист по специальному оборудованию (фото-видео)</t>
  </si>
  <si>
    <t>Ізбай Арнұр Рысбекұлы</t>
  </si>
  <si>
    <t>Специалист по программному обепечению</t>
  </si>
  <si>
    <t>Альжанов Мадияр Ерғалиұлы</t>
  </si>
  <si>
    <t xml:space="preserve">Лаборант </t>
  </si>
  <si>
    <t>Медицинский персонал (МП)</t>
  </si>
  <si>
    <t>Врач-педиатр</t>
  </si>
  <si>
    <t xml:space="preserve">Даулетярова Нургайша Адаевна </t>
  </si>
  <si>
    <t>Кенжебекова Айгуль Туякбаевна</t>
  </si>
  <si>
    <t>Диетическая медсестра</t>
  </si>
  <si>
    <t>Аксакалова Анар Сагидолдановна</t>
  </si>
  <si>
    <t>Обслуживающий и вспомогательный персонал (ОВП)</t>
  </si>
  <si>
    <t>Инженер по охране труда и техники безопасности</t>
  </si>
  <si>
    <t>Алимжанов Ислам Алимжанович</t>
  </si>
  <si>
    <t>Заведующий складом</t>
  </si>
  <si>
    <t xml:space="preserve">Байбосунова Шолпан Сагындыковна </t>
  </si>
  <si>
    <t>Асылбаев Кайрат Бекенович</t>
  </si>
  <si>
    <t>Энергетик</t>
  </si>
  <si>
    <t xml:space="preserve">Пивоваров Сергей Геннадьевич </t>
  </si>
  <si>
    <t>Плотник</t>
  </si>
  <si>
    <t>Суймагамбетов Багитжан Тургалиевич</t>
  </si>
  <si>
    <t>Слесарь-сантехник</t>
  </si>
  <si>
    <t>Садықов Қайрат Пірмағанбетұлы</t>
  </si>
  <si>
    <t xml:space="preserve">Садовник </t>
  </si>
  <si>
    <t xml:space="preserve">Литвинова Бахытгул Айхимовна </t>
  </si>
  <si>
    <t>Ескелді Хушанг Мухаммед</t>
  </si>
  <si>
    <t>Бургибаев Айдын Сатыбалдиевич</t>
  </si>
  <si>
    <t>Нуркожаев Усен Абдикадирбекулы</t>
  </si>
  <si>
    <t xml:space="preserve">Ахметова Жаныл Махпратовна </t>
  </si>
  <si>
    <t>Еримбетова Айгул Аралбаевна</t>
  </si>
  <si>
    <t xml:space="preserve">Естемесова Назгуль Омарова </t>
  </si>
  <si>
    <t>Исагалиева Каламкас Жаиковна</t>
  </si>
  <si>
    <t>Ізтілеу Тамара Тегісбайқызы</t>
  </si>
  <si>
    <t>Кабылбаева Жазира Казезовна</t>
  </si>
  <si>
    <t>Карибаева Кулжазира Мажитовна</t>
  </si>
  <si>
    <t xml:space="preserve">Нургожаева Назигуль Азанбековна </t>
  </si>
  <si>
    <t xml:space="preserve">Сагинова Роза Садиуаккасовна </t>
  </si>
  <si>
    <t xml:space="preserve">Самиева Гульназ Утемисовна </t>
  </si>
  <si>
    <t>Тисанова Роза Муратовна</t>
  </si>
  <si>
    <t xml:space="preserve">Туребаева Анар Дарьябаевна </t>
  </si>
  <si>
    <t>Административно-управленческий персонал (АУП)</t>
  </si>
  <si>
    <t>Заведующий интернатом</t>
  </si>
  <si>
    <t>Калдыбаев Ербол Омарович</t>
  </si>
  <si>
    <t>Воспитатель</t>
  </si>
  <si>
    <t xml:space="preserve">Абзелбек Ақерке Берекеқызы </t>
  </si>
  <si>
    <t>Айтуарова Манат Бодаубаевна</t>
  </si>
  <si>
    <t>Ермекова Гульжан Таласовна</t>
  </si>
  <si>
    <t xml:space="preserve">Конысбаева Гулден Токтамысовна </t>
  </si>
  <si>
    <t>Коргасбекова Айман Нуракиновна</t>
  </si>
  <si>
    <t>Нусипова Шынар Шынгысхановна</t>
  </si>
  <si>
    <t>Салыкова Орманкул Токенкызы</t>
  </si>
  <si>
    <t>Сетербаева Айгул Дюсетаевна</t>
  </si>
  <si>
    <t>Слямова Алмагуль Чакеновна</t>
  </si>
  <si>
    <t>Телебаева Лаура Сыдыковна</t>
  </si>
  <si>
    <t>Помощник воспитателя</t>
  </si>
  <si>
    <t>Байжанова Гульмира Сарсембаевна</t>
  </si>
  <si>
    <t xml:space="preserve">Мадемарова Салтанат Асипбековна </t>
  </si>
  <si>
    <t>Маманова Гаухар Аманбайқызы</t>
  </si>
  <si>
    <t xml:space="preserve">Мухашева Жанар Алдажаровна </t>
  </si>
  <si>
    <t xml:space="preserve">Турабаев Сейтхан Смагулович </t>
  </si>
  <si>
    <t xml:space="preserve">Шамарканова Жанар Рамазановна </t>
  </si>
  <si>
    <t>Шалғабаева Балжан Кабдылқызы</t>
  </si>
  <si>
    <t>Шалғынбаева Сәния Шайхысламқызы</t>
  </si>
  <si>
    <t xml:space="preserve">Менеджер интерната </t>
  </si>
  <si>
    <t xml:space="preserve">Отызбекова Майраш Бакбергенова </t>
  </si>
  <si>
    <t>Шалғабаева Балғын Қабдылқызы</t>
  </si>
  <si>
    <t>Обслуживающий и вспомогательный  персонал (ОВП)</t>
  </si>
  <si>
    <t>Аманкулов Конлимхош Изтаевич</t>
  </si>
  <si>
    <t xml:space="preserve">Плотник </t>
  </si>
  <si>
    <t>Шаралдаев Бейсеналы Бейсенбекович</t>
  </si>
  <si>
    <t>Кастелянша</t>
  </si>
  <si>
    <t>Шалгимбаева Айша Каскеровна</t>
  </si>
  <si>
    <t>Жанысбекова Дария Кыдырбаевна</t>
  </si>
  <si>
    <t>Оразбаева Жанна Жанабековна</t>
  </si>
  <si>
    <t xml:space="preserve">Оператор стиральных машин </t>
  </si>
  <si>
    <t>Абильдаева Гулшат Айткалиевна</t>
  </si>
  <si>
    <t>9K</t>
  </si>
  <si>
    <t>А214</t>
  </si>
  <si>
    <t>А319</t>
  </si>
  <si>
    <t>Онаев Айнабек Тогайбекович</t>
  </si>
  <si>
    <t xml:space="preserve"> </t>
  </si>
  <si>
    <t>Канетов Ордабай Абдухумарович</t>
  </si>
  <si>
    <t>Меньщиков Андрей Борисович</t>
  </si>
  <si>
    <t>Ахметов Нурали Боранказыұлы</t>
  </si>
  <si>
    <t>Талғатұлы Дәурен</t>
  </si>
  <si>
    <t>Абсаттарова Тогжан Абдимажитовна</t>
  </si>
  <si>
    <t>Сумма затрат  в тенге</t>
  </si>
  <si>
    <t>Итого в год, тенге</t>
  </si>
  <si>
    <t>Расходы по медикаментам на 1 учащегося в год, тенге</t>
  </si>
  <si>
    <t>Пластиковые 10 литров, материал полипропилен.</t>
  </si>
  <si>
    <t>Пластиковые для мусора, прочная и надежная сетчатая корзина круглой формы объемом 9 литров с гладкой сетчатой поверхностью для утилизации и временного хранения мусора.</t>
  </si>
  <si>
    <t>Диаметр насадки 4 см Длина ручки 130 см (ручка швабры без сучков)</t>
  </si>
  <si>
    <t>Техническая соль сыпучий кристаллический продукт. Хлорид натрия или хлористый натрий (NaCl) - натриевая соль соляной кислоты. в мешке 50кг</t>
  </si>
  <si>
    <t>Кран шаровой 11Б27П1 м/м ручка рычаг Ду-20</t>
  </si>
  <si>
    <t>Лента ФУМ Профессионал 19мм х 0,1-0,2мм х 10м</t>
  </si>
  <si>
    <t>Шуруп для крепления листов металла до 0,9 мм 4,2*50</t>
  </si>
  <si>
    <t>Шуруп для Г/К 3,5х41 крупная резьба</t>
  </si>
  <si>
    <t>Саморезы ПШМ-С со сверлом для листового металла, 32 х 4.2 мм,</t>
  </si>
  <si>
    <t>Саморезы ПШМ-С со сверлом для листового металла, 32 х 3,5 мм,</t>
  </si>
  <si>
    <t>Шуруп коленный черный с частой резьбой 3,5*30 450гр.</t>
  </si>
  <si>
    <t>Шуруп коленный черный с частой резьбой 3,5*50 450гр.</t>
  </si>
  <si>
    <t>Шуруп для крепления гипсокартонных плит 3,5*16 крупная-мелкая резьба</t>
  </si>
  <si>
    <t>Для ударного сверления отверстий в бетоне, кирпиче, камне перфораторами SDS-plus. Благодаря спирали равномерно распределяется ударная нагрузка на тело бура, снижается вибрация, уменьшается трение, увеличивается срок службы</t>
  </si>
  <si>
    <t>Полипро пиленовый муфта -переходник д 25 на 20</t>
  </si>
  <si>
    <t>Труба из полипропилена PPR-C для систем питьевого и хозяйственно-питьевого холодного водоснабжения, горячего водоснабжения, а также технологических трубопроводов, транспортирующих жидкости и газы, неагрессивные к материалам трубы. Допустимое рабочее давление при температуре воды 70 °C – 10 бар, при транспортировке холодной воды – 20 бар.</t>
  </si>
  <si>
    <t>Бачок с механизмом однорежимного слива, Размеры: 663х375х790 мм, Подвод воды: нижний</t>
  </si>
  <si>
    <t>Кювета пластмассовая черная, 330х350мм</t>
  </si>
  <si>
    <t>Материал ручки дерево Материал ворса Искусственная щетина Ширина 50 мм</t>
  </si>
  <si>
    <t>Антибактериальное природное 300мл.флафон с дозатором</t>
  </si>
  <si>
    <t>мыло-пена мягкое 5л. Состав Очищенная деминерализованная, лауретсульфат натрия, хлорид натрия, ланолин, консервант.</t>
  </si>
  <si>
    <t>Мыло антибактериальное, Вес: 90 г</t>
  </si>
  <si>
    <t>Твердое 1-группы 72% гост 30266-75</t>
  </si>
  <si>
    <t>Освежитель воздуха аэрозольный 300мл.</t>
  </si>
  <si>
    <t>Рабочие перчатки с нитриловый вспененным покрытием пара в упаковке</t>
  </si>
  <si>
    <t>Салфетки 100 л/уп, однослойная, белая, влагопрочная</t>
  </si>
  <si>
    <t>Клейкие листки-индексы пластиковые 5 цветов по 20 листов, размер 45*12мм, стрелки, В пластиковом блистере 5 цветов по 25 листов</t>
  </si>
  <si>
    <t>Линейка, длина 20 см, пластиковая, с держателем, прозрачная</t>
  </si>
  <si>
    <t>Линейка, длина 30 см, пластиковая, с держателем, прозрачная</t>
  </si>
  <si>
    <t>Пластиковая 30 вкладышей</t>
  </si>
  <si>
    <t>с 40 файлами с перфорацией (титульная обложка прозрачная)</t>
  </si>
  <si>
    <t>Скобы для степлера №10, 1 - 10л, 1000шт, оцинкованные</t>
  </si>
  <si>
    <t>Срок подписки/месяц</t>
  </si>
  <si>
    <t>Цена за единицу,  с НДС тенге</t>
  </si>
  <si>
    <t>250 в год</t>
  </si>
  <si>
    <t>249 в год</t>
  </si>
  <si>
    <t>2 в мес</t>
  </si>
  <si>
    <t>1 раз в нед</t>
  </si>
  <si>
    <t>4 раза в год</t>
  </si>
  <si>
    <t>1 раз в месяц</t>
  </si>
  <si>
    <t>3 раза в полугодие</t>
  </si>
  <si>
    <t>6 раз в год</t>
  </si>
  <si>
    <t>12 раз в год</t>
  </si>
  <si>
    <t>Папка с файлами А4 40 вкладышей</t>
  </si>
  <si>
    <t>Папка с файлами А4 60 вкладышей</t>
  </si>
  <si>
    <t>с 60 файлами с перфорацией (титульная обложка прозрачная</t>
  </si>
  <si>
    <t>Фломастеры (12 штук)</t>
  </si>
  <si>
    <t>Набор текст выделителей 1-5мм, 4 цвета в упаковке</t>
  </si>
  <si>
    <t>Скобы для степлера №24/6, Изготовлены из специальной стали Заточенные, что облегчает сшивание, В упаковке 1000 штук</t>
  </si>
  <si>
    <t>ҰЛАН</t>
  </si>
  <si>
    <t>БІЛІМДІ ЕЛ / ОБРАЗОВАННАЯ СТРАНА</t>
  </si>
  <si>
    <t>География в школах</t>
  </si>
  <si>
    <t>Английский язык в школе, колледже и вузе</t>
  </si>
  <si>
    <t>Вата стерильная</t>
  </si>
  <si>
    <t>Услуги охраны</t>
  </si>
  <si>
    <t xml:space="preserve">Щетка утюжок </t>
  </si>
  <si>
    <t>Грунт для цветов 50 литров мешок</t>
  </si>
  <si>
    <t>Монтажный Клей Professional Classic Fix</t>
  </si>
  <si>
    <t>Силикон универсальный, бесцветный  POL, 280 мл</t>
  </si>
  <si>
    <t>Двухкомпонентный клей </t>
  </si>
  <si>
    <t>Кисть молярная 38 мм ширина</t>
  </si>
  <si>
    <t xml:space="preserve">Бур по бетону d 6Х110 мм, </t>
  </si>
  <si>
    <t>Дюбель нейлоновый со сверлом 10х40 мм для гипсокартона</t>
  </si>
  <si>
    <t xml:space="preserve">Дюбель гвозди Потай Нагель-дюбель 6х40 </t>
  </si>
  <si>
    <t>Пистолет для монтажной пены</t>
  </si>
  <si>
    <t>Швабра для мытья окон</t>
  </si>
  <si>
    <t>Ножовка садовая 236035</t>
  </si>
  <si>
    <t>Замок врезной цилиндровый</t>
  </si>
  <si>
    <t>Душевой шланг</t>
  </si>
  <si>
    <t>Суперклей</t>
  </si>
  <si>
    <t>Кран (вентиле) дм20</t>
  </si>
  <si>
    <t>Отвод ППРдм20</t>
  </si>
  <si>
    <t>Отвод ППР дм25</t>
  </si>
  <si>
    <t>ППР Муфта 20 Полипропиленовые</t>
  </si>
  <si>
    <t>Муфта ППР дм 25</t>
  </si>
  <si>
    <t>Саморез пресс шайба</t>
  </si>
  <si>
    <t>Доводчик дверей 45кг</t>
  </si>
  <si>
    <t>Доводчик дверей 60кг</t>
  </si>
  <si>
    <t>Доводчик дверей 100кг</t>
  </si>
  <si>
    <t>Сифон для раковины </t>
  </si>
  <si>
    <t>Перчатки сварщика</t>
  </si>
  <si>
    <t>Коврик придворный</t>
  </si>
  <si>
    <t>Грунтовка  для сухих и влажных помещений</t>
  </si>
  <si>
    <t>Скотч бумажный монтажный 40мм х 25м</t>
  </si>
  <si>
    <t>Лезвия сегментированные 18 мм</t>
  </si>
  <si>
    <t>Биты для шуруповёрта</t>
  </si>
  <si>
    <t xml:space="preserve">Гибкая подводка для смесителя </t>
  </si>
  <si>
    <t>Водосливная арматура Уклад А 110.56.00.0, штоковоя с боковым подводом</t>
  </si>
  <si>
    <t xml:space="preserve">Cиликоновая смазка-спрей для замков и петель </t>
  </si>
  <si>
    <t>Сверло ступенчато</t>
  </si>
  <si>
    <t>Шпатель малярный  300 мм, нержавеющая сталь</t>
  </si>
  <si>
    <t>Шпатель малярный  50 мм, нержавеющая сталь</t>
  </si>
  <si>
    <t>Шпатель малярный  100 мм, нержавеющая сталь</t>
  </si>
  <si>
    <t>Брелки для ключей, инфо-окно 28x15 мм</t>
  </si>
  <si>
    <t>Строительный нож</t>
  </si>
  <si>
    <t>Длина 300 мм, 2-х компонентная рукоятка + ножны, подвес для поясного ремня. Полотно изготовлено из высокоуглеродистой рессорно-пружинной стали ABS-пластик Материал рукояти рукоятка выполнена из термостойкого пластика и обрезинена в месте хвата.</t>
  </si>
  <si>
    <t>Замок врезной цилиндровый с защёлкой в комплекте с ручкой KIT P16 4070 CRONA SN (мат. никель), 5 кл.</t>
  </si>
  <si>
    <t>Лента оградительная (лента сигнальная) 70мм-200метр толщина 50 мкм Материал: полиэтилен.</t>
  </si>
  <si>
    <t>Стакан одноразовый предназначен для холодных и горячих напитков Абсолютная экологическая безопасность: изготавливается из безвредных материалов,  подходит к любым пищевым продуктам;</t>
  </si>
  <si>
    <t>Ёрш пластиковый для унитаза с подставкой (крышка закрывающая верхнюю часть ерщика)</t>
  </si>
  <si>
    <t>веник Пластиковый с алюминиевой ручкой, совок для мусора из ударопрочного пластика с железной ручкой.</t>
  </si>
  <si>
    <t>Лопата для уборки снега Рабочая часть выполнена из ударопрочного и устойчивого к низким температурам поликарбонат. Благодаря алюминиевому черенку лопата имеет лёгкий вес ширина лопаты не менее 49- 50см.</t>
  </si>
  <si>
    <t>Размер: 180 мм. Материал Cr-V. КПД на 30% выше, в сравнении с обычными плоскогубцами. Ручка TPR пластик. Плоскогубцы изготовлены из инструментальной углеродистой стали. Предназначены для захвата, манипулирования и перекусывания проволоки средней твердости (с пределом прочности на растяжение 1600 МПа, диаметром 1,6 мм). Материал рукояток – двухслойный пластизоль – позволяет работать с ток проводимыми контактами до 1000 В.</t>
  </si>
  <si>
    <t>Нагель-дюбель 6х80 (пачка 100шт)</t>
  </si>
  <si>
    <t>Пильный диск по дереву Сибртех 732767, ф160 х 20 мм, с 36 зубьями и</t>
  </si>
  <si>
    <t>для пластик. Трубы наружн. резьбой</t>
  </si>
  <si>
    <t>для пластик. Трубы внутренней резьбой</t>
  </si>
  <si>
    <t>для пластик. Трубы наружной резьбой</t>
  </si>
  <si>
    <t>Хомуты металлические Стандартное болтовое крепление 40-60мм, 50шт/уп, ширина 9мм</t>
  </si>
  <si>
    <t>Саморез с пресс шайбой А2 Длина крепежного изделия 50мм Нержавеющая сталь</t>
  </si>
  <si>
    <t>крепёжная деталь состоит из резьбовой шпильки с конусом, гайки с плоской шайбой и гильзы (муфты) с продольными прорезями, на поверхность которых нанесен слой защитного цинкового покрытия.</t>
  </si>
  <si>
    <t>КРАГИ "OPTIMA PLASMA ELEMENTA" СПИЛОК, С ПОДКЛАДКОЙ, ПРОШИВКА KEVLAR Р.11</t>
  </si>
  <si>
    <t>Коврик KG  TM 027    0,90м х 1,50м Резина-текстиль мелкие квадраты чёрный</t>
  </si>
  <si>
    <t>Размер 80*80 см. Плотность: 250 гр./м2. Материал: Полиэстер 80%, полиамид 20%.</t>
  </si>
  <si>
    <t>Размер 100*100 см. Плотность: 250 гр./м2. Материал: Полиэстер 80%, полиамид 20%.</t>
  </si>
  <si>
    <t>Размер 40*40 см. Плотность: 250 гр./м2 Материал: Полиэстер 80%, полиамид 20%</t>
  </si>
  <si>
    <t>Батарейка  Digi Alkaline LR03-BP4DG 4 шт. в блистере  код: 8609 размер ААА</t>
  </si>
  <si>
    <t>Кювета пластмассовая для валиков, 120*260мм</t>
  </si>
  <si>
    <t>Сменный валик из поли акрила с ворсом 12 мм, шириной 250 мм и диаметром 36 мм совместим с бюгелем 6 мм.</t>
  </si>
  <si>
    <t>Малярный или бумажный скотч представляет собою ленту со слабовыраженным гофром, изготовленную из специальной бумаги и покрытую, с одной стороны, каучуковым клеем.</t>
  </si>
  <si>
    <t xml:space="preserve">Пленка полиэтиленовая Eco прозрачная рукав 200 мкм  высота 1.5 м (3 м в развороте) х 100 м, 25 кг </t>
  </si>
  <si>
    <t>Комплект сменных модулей K3-KH-K7 - состоит из трех сменных модулей и используется для очистки холодной воды. Используется в системе Аква фор "Кристалл". В состав комплекта входит три картриджа-модуля. Модуль К3 - применяется для механической очистки воды. Модуль КН - предназначен для умягчения воды. Модуль К7 - используется для финишной очистки и кондиционирования.</t>
  </si>
  <si>
    <t>Перчатки х/б OfficeClean, стандарт,с точечным ПВХ-покрытием,4 нитки, белые</t>
  </si>
  <si>
    <t>Гибкая подводка для смесителя Акватехник 60 см, г/ш 1/2-10*18/35 Материал прокладка и шланга - EPDM</t>
  </si>
  <si>
    <t>Для смывных бачков с боковой подводкой воды и с отверстием Ø25 мм в крышке</t>
  </si>
  <si>
    <t xml:space="preserve">Силиконовая смазка-спрей для замков и петель Silicot spray, 210 мл </t>
  </si>
  <si>
    <t>Растворитель 646 4л ГОСТ 18188-72</t>
  </si>
  <si>
    <t>Замок навесной, дисковый механизм секрета, ВС2А (37220)длина 81 мм Ширина дужки 41 мм</t>
  </si>
  <si>
    <t xml:space="preserve">Замок навесной "мастер" общего применения, дисковый механизм секрета, ключ 7 pin, дужка d-14мм, </t>
  </si>
  <si>
    <t>Шпатель 300мм,н/ж ст.,пласт.ручка Нержавеющая сталь</t>
  </si>
  <si>
    <t>Шпатель 50мм,н/ж ст.,пласт.ручка Нержавеющая сталь</t>
  </si>
  <si>
    <t>Шпатель 100мм,н/ж ст.,пласт.ручка Нержавеющая сталь</t>
  </si>
  <si>
    <t xml:space="preserve">Совок с длинной железной ручкой 90см  ,совок очень прочная пластма черная ширина 28см </t>
  </si>
  <si>
    <t>Брелки для ключей, инфо-окно 28x15 мм в упаковке 100шт</t>
  </si>
  <si>
    <t>отвертка двухсторонняя Американка 6х115мм</t>
  </si>
  <si>
    <t>Рулетка  5 м х 20 мм, серия "Профессионал" вес 0,22кг Габариты, см 2,0*6*5 Ширина ленты 1,7мм</t>
  </si>
  <si>
    <t>Рулон</t>
  </si>
  <si>
    <t>Сердцевина -70мм (МЦ1-6 механизм цилиндровый</t>
  </si>
  <si>
    <t>Лейка для душа со шлангом</t>
  </si>
  <si>
    <t>Висячий замок</t>
  </si>
  <si>
    <t>Растворитель 646 4литра</t>
  </si>
  <si>
    <t>Навесной замок</t>
  </si>
  <si>
    <t>Навесной замок средний</t>
  </si>
  <si>
    <t xml:space="preserve">Электрическая лампа светодиодная </t>
  </si>
  <si>
    <t>Прожектор светодиодный</t>
  </si>
  <si>
    <t>Кабельный канал</t>
  </si>
  <si>
    <t>Кабель</t>
  </si>
  <si>
    <t>Розетка двойная накладная с заземлением</t>
  </si>
  <si>
    <t>Розетка двойная встроенная с заземлением</t>
  </si>
  <si>
    <t>Розетка одинарная встроенная с заземлением</t>
  </si>
  <si>
    <t>Выключатель двух клавишный накладной</t>
  </si>
  <si>
    <t>Выключатель двух клавишный встроенный</t>
  </si>
  <si>
    <t>Выключатель одно клавишный встроенный</t>
  </si>
  <si>
    <t>Вилка штепсельная прямая с заземлением</t>
  </si>
  <si>
    <t>Патрон керамический с держателем</t>
  </si>
  <si>
    <t>Ультратонкая светодиодная панель</t>
  </si>
  <si>
    <t>Светодиодная панель накладная (потолочная)</t>
  </si>
  <si>
    <t>Колодка электрическая с выключателем    4 гнезда с заземлением</t>
  </si>
  <si>
    <t>Соединительные изолирующие зажимы(сиз)</t>
  </si>
  <si>
    <t>Диэлектрические  перчатки латексные</t>
  </si>
  <si>
    <t>Дюбель «улитка» со сверлом для гипсокартона</t>
  </si>
  <si>
    <t>ВА47-29 1Р  с16А   IP20</t>
  </si>
  <si>
    <t>ВА47-29 1Р  с25А   IP20</t>
  </si>
  <si>
    <t>ВА47-29 3Р  с32А   IP20</t>
  </si>
  <si>
    <t>ПВХ  19 ХО. 15*20 (синия)</t>
  </si>
  <si>
    <t>Е-27.  15Вт. 6400к.1200лм.220В-240В. (цвет холодный)</t>
  </si>
  <si>
    <t>Е-27. 12Вт. 4000к.1020лм. 220В-240В. (цвет нейтрально белый)</t>
  </si>
  <si>
    <t>FL- 50Вт. 220В. IP65 (чёрный)</t>
  </si>
  <si>
    <t>T-Plast   25*16</t>
  </si>
  <si>
    <t>TTR  3*1,5</t>
  </si>
  <si>
    <t>TTR  3*2,5</t>
  </si>
  <si>
    <t>16А  220В  IP20</t>
  </si>
  <si>
    <t xml:space="preserve">10А  220В/230В   IP54 </t>
  </si>
  <si>
    <t>10А  220В/230В    до 2.2кВт</t>
  </si>
  <si>
    <t>10А  250В</t>
  </si>
  <si>
    <t>Е-27   230В    IP20</t>
  </si>
  <si>
    <t>595*595*9   48Вт. 6400к. 3400лм.  IP20</t>
  </si>
  <si>
    <t>600*600    42Вт. 6500к. 3780лм.     IP20</t>
  </si>
  <si>
    <t>16А. 220В.  До 2,2кВт</t>
  </si>
  <si>
    <t>SP-7-2(1,0-4,5)мм2</t>
  </si>
  <si>
    <t>SP-7-3(1,5-6,0)мм2</t>
  </si>
  <si>
    <t>Нейлон  14*32  (пачка 200 шт)</t>
  </si>
  <si>
    <t>Метр</t>
  </si>
  <si>
    <t>Хлор-таблетки</t>
  </si>
  <si>
    <t>Средство для дезинфекции</t>
  </si>
  <si>
    <t xml:space="preserve">Вафельное полотно </t>
  </si>
  <si>
    <t>Для мытья посуды и кухонного оборудования, кафеля в упаковке не менее 6 шт. 14см*8см.</t>
  </si>
  <si>
    <t>Дез-Хлор-таблетки 300 таблеток в упаковке</t>
  </si>
  <si>
    <t>Перчатки резиновые (гелиевые), плотные. Предназначены для работы с химическими веществами (растворы кислот до 80% концентрации и щелочей до 50% концентрации). Предназначены для выполнения грубых работ и позволяют выдержать длительное время воздействия кислот и щелочей.</t>
  </si>
  <si>
    <t>Порошок стиральный автомат 4,5 кг Показатель концентрации водородных ионов, 7,5-11,5 единиц рН. Моющая способность не менее 85%. Отбеливающая способность не менее 80% (для порошков содержащих химические отбеливатели). Пенообразующая способность не мнее 200мм. Биоразлагаемость поверхностно-активных веществ, используемых для изготовления порошков должна быть не менее 80%. Порошок в упакованном виде, должен сохранять свои свойства при температуре не выше 35оС и относительной влажности воздуха не более 95%.</t>
  </si>
  <si>
    <t>Гель отбеливатель 3 в 1, отбеливающее и дезинфицирующее средство, содержание хлора не менее 10%, объем 1,1 литр, Концентрация 5.5 % тара  белая с синей этикеткой и крышкой и желтой  надписью .</t>
  </si>
  <si>
    <t>Средство для мытья стекол и зеркал "Мистер Мускул", 500мл, с курком. Состав ≥ 5%; но &lt;15% растворители; в том числе спирт изопропиловый; &lt;5%: АПАВ и НПАВ; &lt;5%: силикон; аммоний углекислый; краситель; ароматизирующая добавка</t>
  </si>
  <si>
    <t>Гелеобразное для чистки поверхности 500мл. Состав &lt;5% анионные ПАВ; &lt;5% неионогенные ПАВ; &lt;5% мыло; &lt;5% отдушка; &lt;5% линалол; &lt;5% бензизотиазолинон; &lt;5% лимонен</t>
  </si>
  <si>
    <t>Туалетная бумага в рулонах, 200м Система:  - Т2..Серия: Universal.Диаметр рулона: 158 мм Ширина рулона: 9.2 см Внутренний диаметр втулки: 60 мм.</t>
  </si>
  <si>
    <t>Ветошь обтирочная (плотная) ширина 140см. (рулон 100м)</t>
  </si>
  <si>
    <t>Вафельное полотно (отбеленное) 80см ширина 150гр плотность в рулоне 100м</t>
  </si>
  <si>
    <t>Система-S4 - Жидкое Мыло-пена. Внешний вид-белая пена. Аромат-аромат свежести. Объем-1000 ml. Кол-во порций-2500. Цвет-Бесцветный</t>
  </si>
  <si>
    <t xml:space="preserve">Расшифровка расходов на приобретение прочих запасов (Канцелярские товары)                                                                                                         </t>
  </si>
  <si>
    <t>Услуги по вывозу ТБО</t>
  </si>
  <si>
    <t>Услуги по техническому обслуживанию видеонаблюдения, систем безопасности и пожарной сигнализации</t>
  </si>
  <si>
    <t xml:space="preserve">Услуга по промывке и опрессовке системы отопления </t>
  </si>
  <si>
    <t>Услуга по обслуживанию лифтов и грузовых подъемников</t>
  </si>
  <si>
    <t>Услуги по заправке картриджей</t>
  </si>
  <si>
    <t>Услуги экспресс почты</t>
  </si>
  <si>
    <t>Услуги по аттестации на допуск выше 1000 Вольт</t>
  </si>
  <si>
    <t>Услуги по сервисному обслуживанию учета тепловой энергии</t>
  </si>
  <si>
    <t>Услуги прачечной стирки, чистке ковровых изделий, химчистке нацкостюмов, матрасов и т.д.</t>
  </si>
  <si>
    <t>Услуги дератизации, дезинсекции, дезинфекции и акарицидной обработки</t>
  </si>
  <si>
    <t>Услуги по обслуживанию прочистки канализации</t>
  </si>
  <si>
    <t>Ватные ушные палочки</t>
  </si>
  <si>
    <t>6. Коммунальные услуги</t>
  </si>
  <si>
    <t>6.1. Водоснабжение и водоотведение</t>
  </si>
  <si>
    <t>6.2. Электрическая энергия</t>
  </si>
  <si>
    <t>6.3. Тепловая энергия</t>
  </si>
  <si>
    <t>7. Услуги связи</t>
  </si>
  <si>
    <t>8. Прочие услуги и работы</t>
  </si>
  <si>
    <t xml:space="preserve">9. Командировочные расходы </t>
  </si>
  <si>
    <t xml:space="preserve">              10. Организация горячим пятиразовым питанием учащихся</t>
  </si>
  <si>
    <t>Водно-дисперсионная краска, без запаха, не содержащая органических растворителей, для внутренней отделки V166. 15кг серый</t>
  </si>
  <si>
    <t>Чистящий крем универсальный с микрогранулами, 500 мл</t>
  </si>
  <si>
    <t>Чистящее средство для унитазов 1 литр</t>
  </si>
  <si>
    <t>Гелеобразное для чистки унитаза 1000мл. Состав отдушка, неионогенное поверхностно-активное вещество, анионное поверхностно активное вещество, мыло, гипохлорит натрия хлор</t>
  </si>
  <si>
    <t>Универсальный чистящий порошок 400 г</t>
  </si>
  <si>
    <t>Универсальный чистящий порошок предназначен для поверхностной и глубокой очистки любых керамических и стальных поверхностей, обладает мощным антибактериальным эффектом</t>
  </si>
  <si>
    <t>Сумма ставки приравненной к гос.пошлине</t>
  </si>
  <si>
    <t>Доп услуги тех. и правового характера (тенге)</t>
  </si>
  <si>
    <t>Общая сумма, тенге</t>
  </si>
  <si>
    <t xml:space="preserve">При свидетельствовании подлиности подписи на документах, а также верности перевода документов с одного языка на другой (за каждый документ) для юридических лиц-1МРП </t>
  </si>
  <si>
    <t>Служебная поездка для участия отборочном турнире по робототехнике</t>
  </si>
  <si>
    <t>г.Алматы -г.Астана</t>
  </si>
  <si>
    <t>г.Алматы -г.Тараз</t>
  </si>
  <si>
    <t>Служебная поездка для участия в Республиканском чемпионате школьного предпринимательства</t>
  </si>
  <si>
    <t xml:space="preserve">Служебная поездка для участия в Республиканской олимпиаде по каз.языку и литературе им.К.Битибаевой </t>
  </si>
  <si>
    <t>г.Алматы-г.Устькаменогорск</t>
  </si>
  <si>
    <t>Служебная поездка для участия в Республиканской юниорской олимпиаде</t>
  </si>
  <si>
    <t>Служебная поездка для участия в ежегодном турнире по робототехнике Central Asia First Global Challenge</t>
  </si>
  <si>
    <t>Служебная поездка для участия в Республиканском съезде педагогов</t>
  </si>
  <si>
    <t>Служебная поездка для участия на встрече с Премьер-Министром РК с победителями международных олимпиад</t>
  </si>
  <si>
    <t>г.Алматы -г.Жезказган</t>
  </si>
  <si>
    <t>Санитарно-эпидемиологический аудит</t>
  </si>
  <si>
    <t>Производственный контроль</t>
  </si>
  <si>
    <t>Кювета пластмассовая для валиков</t>
  </si>
  <si>
    <t>модель: мц1-6материал корпуса: сплав цинковый (цам)кол-во ключей: 4механизм секрета: пластинчатый вес: 0,16кг тип ключа: "английский"</t>
  </si>
  <si>
    <t>Сумма затрат              (тенге) (гр3*гр4*гр5)</t>
  </si>
  <si>
    <t>Фактическая численность един.</t>
  </si>
  <si>
    <t xml:space="preserve"> (в том числе интернат )</t>
  </si>
  <si>
    <r>
      <rPr>
        <b/>
        <sz val="16"/>
        <color theme="1"/>
        <rFont val="Times New Roman"/>
        <family val="1"/>
        <charset val="204"/>
      </rPr>
      <t>Виды доплат</t>
    </r>
    <r>
      <rPr>
        <b/>
        <sz val="12"/>
        <color theme="1"/>
        <rFont val="Times New Roman"/>
        <family val="1"/>
        <charset val="204"/>
      </rPr>
      <t xml:space="preserve"> </t>
    </r>
    <r>
      <rPr>
        <sz val="12"/>
        <color theme="1"/>
        <rFont val="Times New Roman"/>
        <family val="1"/>
        <charset val="204"/>
      </rPr>
      <t xml:space="preserve">/согласно внутреннему Положению о системе оплаты труда работников НАО "Республиканская физико-математическая школа" заполнение  в строгости с соблюдением  наличие подтверждающих документов (диплом. протокол. приказ. удостоверение  и иной докумен подтверждающий документ подлежащий оплате)/ строки полежат дополнению в случае необходимости  </t>
    </r>
  </si>
  <si>
    <t>Количество штатных единиц</t>
  </si>
  <si>
    <r>
      <t>Кол-во штатных единиц  /</t>
    </r>
    <r>
      <rPr>
        <sz val="12"/>
        <color theme="1"/>
        <rFont val="Times New Roman"/>
        <family val="1"/>
        <charset val="204"/>
      </rPr>
      <t>по факту cогласно приказа</t>
    </r>
    <r>
      <rPr>
        <b/>
        <sz val="12"/>
        <color theme="1"/>
        <rFont val="Times New Roman"/>
        <family val="1"/>
        <charset val="204"/>
      </rPr>
      <t>)</t>
    </r>
  </si>
  <si>
    <t>коэффициент</t>
  </si>
  <si>
    <r>
      <t xml:space="preserve">Дата приема на работу/ </t>
    </r>
    <r>
      <rPr>
        <sz val="12"/>
        <color theme="1"/>
        <rFont val="Times New Roman"/>
        <family val="1"/>
        <charset val="204"/>
      </rPr>
      <t>согласно даты указанной в приказе</t>
    </r>
  </si>
  <si>
    <t>Коэффициент для исчисления должностного оклада работников</t>
  </si>
  <si>
    <r>
      <t>Должностной оклад/</t>
    </r>
    <r>
      <rPr>
        <sz val="12"/>
        <color theme="1"/>
        <rFont val="Times New Roman"/>
        <family val="1"/>
        <charset val="204"/>
      </rPr>
      <t xml:space="preserve"> сумма</t>
    </r>
  </si>
  <si>
    <r>
      <t xml:space="preserve">Доплата 10% за особые условия труда/ </t>
    </r>
    <r>
      <rPr>
        <sz val="12"/>
        <color theme="1"/>
        <rFont val="Times New Roman"/>
        <family val="1"/>
        <charset val="204"/>
      </rPr>
      <t>сумма</t>
    </r>
  </si>
  <si>
    <t>Ученая степень и  магистра</t>
  </si>
  <si>
    <t>Доплата  от ДО за квалификационную категорию руковод. (директорам) и  зам.руковод.</t>
  </si>
  <si>
    <t>Доплата от ДО за квалификацию педагогического мастерства учителей, воспитателей и иных педагогических работников</t>
  </si>
  <si>
    <t xml:space="preserve">Доплата от БДО за квалификационную категорию учителей, воспитателей и иных педагогических работников </t>
  </si>
  <si>
    <t xml:space="preserve">Доплата от БДО за  класса квалификацию  водителя  </t>
  </si>
  <si>
    <t>Доплата  в размере 30% от БДО за работу с библиотечным фондом, за использование дезинф.средств при уборке туалетов работниками</t>
  </si>
  <si>
    <t xml:space="preserve">Доплата  в размере 20% от БДО за  использование дезинфицирующих средств работниками </t>
  </si>
  <si>
    <t xml:space="preserve">Доплата  в размере 25% от БДО за  особые условия труда работников </t>
  </si>
  <si>
    <t>ВОСМС</t>
  </si>
  <si>
    <t>ОСМС 3%</t>
  </si>
  <si>
    <t>ВСЕГО ФОТ</t>
  </si>
  <si>
    <t>Вид бюджета</t>
  </si>
  <si>
    <t xml:space="preserve"> Административно-управленический персонал (АУП)</t>
  </si>
  <si>
    <t>Заведующий по хозяйственной работе</t>
  </si>
  <si>
    <t>Токсеитова Гульмира Назымбековна</t>
  </si>
  <si>
    <t>ИТОГО по АУП</t>
  </si>
  <si>
    <t>Ілиясбек Үміт Ілиясбекқызы</t>
  </si>
  <si>
    <t>Маханбет Ақмоншақ Қайратқызы</t>
  </si>
  <si>
    <t>ИТОГО по УВП</t>
  </si>
  <si>
    <t>ИТОГО по МП</t>
  </si>
  <si>
    <t>Элекромонтер</t>
  </si>
  <si>
    <t>Аркашев Бахтияр Саметович</t>
  </si>
  <si>
    <t>Рабочий по комплекному обслуживанию и текущему ремонту зданий</t>
  </si>
  <si>
    <t>ИТОГО по ОВП</t>
  </si>
  <si>
    <t>Интернат</t>
  </si>
  <si>
    <t>Тұрсынтай Қалмұрат</t>
  </si>
  <si>
    <t>Заведующий по хозяйственной работе (интерната)</t>
  </si>
  <si>
    <t>Алиев Бакыт Мелсович</t>
  </si>
  <si>
    <t>ИТОГО по филиалу НАО «РФМШ» Алматы</t>
  </si>
  <si>
    <t>_________________/Меирбек М.Е.</t>
  </si>
  <si>
    <t>_________________/Куюкова Г.Е.</t>
  </si>
  <si>
    <t>Инспектор по кадровым вопросам</t>
  </si>
  <si>
    <t>_________________/Асылова К.М.</t>
  </si>
  <si>
    <t>05.04.00</t>
  </si>
  <si>
    <t>2027г.</t>
  </si>
  <si>
    <t>2027г</t>
  </si>
  <si>
    <t>Свод по тарификационной ведомости и штатному расписанию  за счет средств республиканского бюджета на 2027 год</t>
  </si>
  <si>
    <t xml:space="preserve"> Годовой ФОТ за  2027 года с налогами (соц.налог,соц отч, мед страх, пен.взн)</t>
  </si>
  <si>
    <t xml:space="preserve"> Годовой ФЗП за  2027 год</t>
  </si>
  <si>
    <t>Количество бутылей  на 2026 год</t>
  </si>
  <si>
    <t xml:space="preserve">Калькуляция затрат на государственные образовательные услуги филиала НАО "Республиканская физико-математическая школа" в г.Алматы  на 2027 год на одного ученика </t>
  </si>
  <si>
    <t>Всего на 2027 г.</t>
  </si>
  <si>
    <t>2027 г</t>
  </si>
  <si>
    <t xml:space="preserve">План  командировок и служебных раъездов в пределах РК на 2026 год  </t>
  </si>
  <si>
    <t xml:space="preserve">План  командировок и служебных раъездов в пределах РК на 2027 год  </t>
  </si>
  <si>
    <t>Социальные отчисления 5%</t>
  </si>
  <si>
    <t>Сумма затрат в тенге в рамках лимита</t>
  </si>
  <si>
    <t>Сумма затрат в тенге</t>
  </si>
  <si>
    <t xml:space="preserve">Общая стоимость,  тенге </t>
  </si>
  <si>
    <t xml:space="preserve">Сумма затрат в тенге </t>
  </si>
  <si>
    <t>Сумма затрат                                       в тенге</t>
  </si>
  <si>
    <t xml:space="preserve">     Сумма затрат в тенге</t>
  </si>
  <si>
    <t>Сумма затрат (тенге) (гр3*гр4*гр5)/1000</t>
  </si>
  <si>
    <t xml:space="preserve">План  командировок и служебных раъездов в пределах РК на 2028 год  </t>
  </si>
  <si>
    <t>2028 г</t>
  </si>
  <si>
    <t xml:space="preserve">Калькуляция затрат на государственные образовательные услуги филиала НАО "Республиканская физико-математическая школа" в г.Алматы  на 2028 год на одного ученика </t>
  </si>
  <si>
    <t>Всего на 2028 г.</t>
  </si>
  <si>
    <t>Отчет за 2024 год</t>
  </si>
  <si>
    <t>Утвер. план 2025г</t>
  </si>
  <si>
    <t>2028г.</t>
  </si>
  <si>
    <t>2026-2028</t>
  </si>
  <si>
    <t>2028г</t>
  </si>
  <si>
    <t xml:space="preserve"> Годовой ФЗП за  2028 год</t>
  </si>
  <si>
    <t xml:space="preserve"> Годовой ФОТ за  2028 года с налогами (соц.налог,соц отч, мед страх, пен.взн)</t>
  </si>
  <si>
    <t>Свод по тарификационной ведомости и штатному расписанию  за счет средств республиканского бюджета на 2028 год</t>
  </si>
  <si>
    <t xml:space="preserve">Сумма затрат              </t>
  </si>
  <si>
    <t xml:space="preserve">   Расшифровка на приобретение  питьевой воды для школы</t>
  </si>
  <si>
    <t>Контингент учащихся 1186</t>
  </si>
  <si>
    <t>г.Алматы-г.Жезказган</t>
  </si>
  <si>
    <t>г.Алматы-г.Караганда</t>
  </si>
  <si>
    <t>Астана, Караганда, Жезказган, Костанай, Тараз, Павлодар</t>
  </si>
  <si>
    <t xml:space="preserve">Наименование услуг на общий объем здания </t>
  </si>
  <si>
    <t>Приобретение продуктов питания (питьевой воды)</t>
  </si>
  <si>
    <t>Приобретение горюче-смазочных материалов</t>
  </si>
  <si>
    <t xml:space="preserve">Наименование организации:  Филиал НАО «Республиканская физико-математическая школа» в г. Алматы на «01» января 2026 года                               </t>
  </si>
  <si>
    <t>По бюджетной программе 004 «Обеспечение доступности качественного школьного образования»</t>
  </si>
  <si>
    <t>по 100 подпрограмме «Обучение и воспитание детей в республиканских организациях образования»</t>
  </si>
  <si>
    <t>«УТВЕРЖДЕНО»</t>
  </si>
  <si>
    <t>Решением Правления НАО «РФМШ»</t>
  </si>
  <si>
    <t>Протокол №_____ от «______» _____________ 20_____г.</t>
  </si>
  <si>
    <t>Заместитель директора по административно-хозяйственной работе</t>
  </si>
  <si>
    <t>Сабирова Гулжан Саухановна</t>
  </si>
  <si>
    <t>Каныбетова Балжан Сериковна</t>
  </si>
  <si>
    <t>Жупбаева Жулдуз Ибраимовна</t>
  </si>
  <si>
    <t xml:space="preserve">Амангельдина Айгерім Санатқызы </t>
  </si>
  <si>
    <t>Мақашева Нұрила Болатқызы</t>
  </si>
  <si>
    <t>Муратова Алина Кабыловна</t>
  </si>
  <si>
    <t>Менеджер УР</t>
  </si>
  <si>
    <t>Абдыкаримова Акерке Маратовна</t>
  </si>
  <si>
    <t>Нусибақын Аружан Ерболқызы</t>
  </si>
  <si>
    <t>Вакансия-2</t>
  </si>
  <si>
    <t>Менеджер ВР</t>
  </si>
  <si>
    <t>Өтегенқызы Арайлым</t>
  </si>
  <si>
    <t>Вакансия-0,5</t>
  </si>
  <si>
    <t>Асадилла Әсем Талғатқызы</t>
  </si>
  <si>
    <t>Нусипкожаева Диляра Касымхановна</t>
  </si>
  <si>
    <t>Оралбаева Ардак Бектасовна</t>
  </si>
  <si>
    <t>Вакансия -2</t>
  </si>
  <si>
    <t xml:space="preserve">Ақан Дәулет Ардақұлы </t>
  </si>
  <si>
    <t>Амантай Баянбек</t>
  </si>
  <si>
    <t>Гуламов Бахтияр Нишантаевич</t>
  </si>
  <si>
    <t>Джумабекова Қасиет Айдарқызы</t>
  </si>
  <si>
    <t>Елшибеков Халыкбек Ерикұлы</t>
  </si>
  <si>
    <t>Мусатай Санат Сагатұлы</t>
  </si>
  <si>
    <t>Сәлден Шахназар Қанағатұлы</t>
  </si>
  <si>
    <t>Смайлов Бауыржан Болатович</t>
  </si>
  <si>
    <t>Султанов Ескендір Маратұлы</t>
  </si>
  <si>
    <t>Шакиров Аман Кайратұлы</t>
  </si>
  <si>
    <t>Вакансия-3</t>
  </si>
  <si>
    <t>Каирбекова Жанна Нуртолеуовна</t>
  </si>
  <si>
    <t>Туреханова Кундуз Моминовна (по совместиттельству)</t>
  </si>
  <si>
    <t>Атканов Нурлан Аканович</t>
  </si>
  <si>
    <t>Қуанышбай Айбар Мұратұлы</t>
  </si>
  <si>
    <t>Жамишева Сауле Абрашовна</t>
  </si>
  <si>
    <t>Тулғанова Аида Әшірәліқызы</t>
  </si>
  <si>
    <t>Алтынбеков Батырхан</t>
  </si>
  <si>
    <t>Асқар Аманжол (по совместительству)</t>
  </si>
  <si>
    <t>Рабиғұлова Гүлдана Берікханқызы</t>
  </si>
  <si>
    <t>Юдина Светлана Юрьевна</t>
  </si>
  <si>
    <t>Вакансия-1</t>
  </si>
  <si>
    <t>Вакансия-1,5</t>
  </si>
  <si>
    <t>Омирханова Анель Руслановна</t>
  </si>
  <si>
    <t>Директор филиала НАО «РФМШ» в г.Алматы</t>
  </si>
  <si>
    <t>Бекітемін:</t>
  </si>
  <si>
    <t>Алматы қаласындағы «Республикалық физика-математика мектебі»</t>
  </si>
  <si>
    <t>коммерциялық емес акционерлік қоғамы филиалының директоры</t>
  </si>
  <si>
    <t>________________Меирбек М.Е.</t>
  </si>
  <si>
    <t>Мұғалімдердің  аты-жөні  ФИО УЧИТЕЛЯ</t>
  </si>
  <si>
    <t>Лауазымдық (қызметтік) атаулары                    Наименование должностей</t>
  </si>
  <si>
    <t>Білімі Образование</t>
  </si>
  <si>
    <t xml:space="preserve">Біліктілігік санаты Педагогическое мастерство </t>
  </si>
  <si>
    <t>Доктор,магистр дәрежесі Ученая степень</t>
  </si>
  <si>
    <t>Педагогикалық өтілі Педагогический стаж работинка</t>
  </si>
  <si>
    <t>НЛЖ          БДО</t>
  </si>
  <si>
    <t>Жалақы Оклад</t>
  </si>
  <si>
    <t>Инварианттық компоненттен сыныптар бойынша нақты жүктеме Фактическая нагрузка по классам-инвариативный компонент</t>
  </si>
  <si>
    <t xml:space="preserve"> Инварианттық компонент бойынша жалпы сағаты Итого часов инвариат. компонент</t>
  </si>
  <si>
    <t>Вариативтік компоненттен сыныптар бойынша нақты жүктемесі Фактическая нагрузка по классам-вариативный компонент</t>
  </si>
  <si>
    <t xml:space="preserve"> Вариативтік компонент бойынша жалпы сағаты Итого часов вариат. компонент</t>
  </si>
  <si>
    <t>Барлық сағат саны ИТОГО кол-во часов</t>
  </si>
  <si>
    <t>Сағаттың сомасы         Сумма за часы</t>
  </si>
  <si>
    <t>Қосымща ақы, Доплата 10% на ДО</t>
  </si>
  <si>
    <t>Дәптер тексеру Проверка тетрадей 40%, 50% от БДО</t>
  </si>
  <si>
    <t>Сыныпты топқа бөлу кезіндегі дәптер тексеру                    Проверка тетрадей при делении класса (40%,50%/2)</t>
  </si>
  <si>
    <t>Кафедра меңгеру үшін сомасы  Сумма за заведование кафедрой</t>
  </si>
  <si>
    <t>Кабинет меңгірушілігі үшін За заведование кабинетом 20% от БДО</t>
  </si>
  <si>
    <t>Сынып жетекшілігі үшін За классное руководство  ст. и ср. классы-200% от БДО</t>
  </si>
  <si>
    <t>Тереңдетіліп оқытылатын пәндер сағаты үшін қосымша төлем                          Доплата за углубленное изучение предмета 40% от БДО</t>
  </si>
  <si>
    <t>Жаңартылған мазмұн үшін қосымша төлем   Доплата за обновленное содержание 30% от ДО</t>
  </si>
  <si>
    <t xml:space="preserve"> Біліктілік санаты үшін қосымша төлем                        Доплата за педагогическое мастерство от ДО</t>
  </si>
  <si>
    <t>Оқыту әдістеріне шетелдік тәжірибені енгізгені үшін қосымша ақы 100 АЕК-ке дейін     Доплата за внедрение в методику преподавания на зарубежном опыт не более 100 МРП</t>
  </si>
  <si>
    <t>AР пәндерін (жобаларды іске асыратын-  дарды қоса алғанда) оқыту үшін қосымша ақы 200 АЕК-ке дейін      Доплата за преподавание по АР предметам ( в том числе внедряющим проекты)      до 200 МРП</t>
  </si>
  <si>
    <t>Доктор,магистр дәрежесі             Ученая степень</t>
  </si>
  <si>
    <t>Доктор, магистр дәрежесі үшін қосымша ақы Доплата за ученую степень Магистра 10 МРП, Доктор (PhD) 17 МРП</t>
  </si>
  <si>
    <t>НЛЖ 100% тәлімгерлік үшін қосымша ақы   Доплата за наставничество 100% от БДО</t>
  </si>
  <si>
    <t>Барлық қосымша ақы Итого доплаты</t>
  </si>
  <si>
    <t>Ай сайынғы барлық жалақы қоры               Всего ФЗП за месяц</t>
  </si>
  <si>
    <t xml:space="preserve">МЗЖ айына, ОПВ 10%   в месяц </t>
  </si>
  <si>
    <t>МӘМСЖ, ВОСМС 2%</t>
  </si>
  <si>
    <t>ЖТС айына 14 АЕК               ИПН в месяц                  (14 МРП)</t>
  </si>
  <si>
    <t xml:space="preserve">Ай сайын жалпы қолға алатын               Итого на руки в месяц </t>
  </si>
  <si>
    <t>Жылына барлық жалақы қоры                Всего ФЗП в год</t>
  </si>
  <si>
    <t>Сауықтыру жәрдемақысы Оздоровительные пособия</t>
  </si>
  <si>
    <t>Сауықтыру жәрдемақысымен барлық жалақы қоры Всего ФЗП  с леч пособием</t>
  </si>
  <si>
    <t>Әлеуметтік аударымдар Социальные отчисления 5% в год</t>
  </si>
  <si>
    <t>МӘМС, ОСМС 3% в год</t>
  </si>
  <si>
    <t xml:space="preserve">Әлеуметтік салық Социальный налог (11 % -5%)=6% в год </t>
  </si>
  <si>
    <t>Жылдық еңбек ақы төлеу қоры      ФОТ на год</t>
  </si>
  <si>
    <t>Штат. кесте бойынша қосымша бірліктер Доп.единицы по шт.рас.</t>
  </si>
  <si>
    <t>Саны Кол-во</t>
  </si>
  <si>
    <t>Сома   Сумма</t>
  </si>
  <si>
    <t>Саны  Кол-во</t>
  </si>
  <si>
    <t>Сома Сумма</t>
  </si>
  <si>
    <t>Сынып Класс</t>
  </si>
  <si>
    <t>Сома  Сумма</t>
  </si>
  <si>
    <t>СағаттарЧасы</t>
  </si>
  <si>
    <t>Сома          Сумма</t>
  </si>
  <si>
    <t>Сағаттар  Часы</t>
  </si>
  <si>
    <t>Сома            Сумма</t>
  </si>
  <si>
    <t>Педагог-шебер 50%</t>
  </si>
  <si>
    <t>Педагог-зерттеуші 40%</t>
  </si>
  <si>
    <t>Педагог-сарапшы 35%</t>
  </si>
  <si>
    <t>АЕК  МРП</t>
  </si>
  <si>
    <t>АЕК МРП</t>
  </si>
  <si>
    <t>Сома    Сумма</t>
  </si>
  <si>
    <t>алгебра және анализ бастамалары, геометрия  11ABCH</t>
  </si>
  <si>
    <t>Ж</t>
  </si>
  <si>
    <t>Педагог-шебер</t>
  </si>
  <si>
    <t>А317</t>
  </si>
  <si>
    <t>алгебра, геометрия, есептерді шешу практикумы 8L 9DEF</t>
  </si>
  <si>
    <t>А008</t>
  </si>
  <si>
    <t>алгебра, геометрия 10DEF</t>
  </si>
  <si>
    <t>алгебра, геометрия, есептерді шешу практикумы 8DF</t>
  </si>
  <si>
    <t>Педагог-зерттеуші</t>
  </si>
  <si>
    <t>40.00.01</t>
  </si>
  <si>
    <t>алгебра және анализ бастамалары, геометрия  11DK</t>
  </si>
  <si>
    <t>38.01.01</t>
  </si>
  <si>
    <t>11K</t>
  </si>
  <si>
    <t>алгебра және анализ бастамалары 10K</t>
  </si>
  <si>
    <t>Педагог-сарапшы</t>
  </si>
  <si>
    <t>Бекен Дәулет Еркінұлы</t>
  </si>
  <si>
    <t>алгебра, геометрия, есептерді шешу практикумы 7BH, 9G</t>
  </si>
  <si>
    <t>Дайрабай Бақдәулет Бақытжанұлы</t>
  </si>
  <si>
    <t>алгебра, геометрия, есептерді шешу практикумы 8ABC</t>
  </si>
  <si>
    <t>01.00.00</t>
  </si>
  <si>
    <t>A010</t>
  </si>
  <si>
    <t>алгебра, геометрия, есептерді шешу практикумы 9DE</t>
  </si>
  <si>
    <t>43.08.00</t>
  </si>
  <si>
    <t>Ермеков Нұржан Харпесұлы</t>
  </si>
  <si>
    <t>алгебра, геометрия, есептерді шешу практикум 8КL 9FK</t>
  </si>
  <si>
    <t>А/О</t>
  </si>
  <si>
    <t>A003</t>
  </si>
  <si>
    <t>алгебра, геометрия, есептерді шешу практикумы 11DK</t>
  </si>
  <si>
    <t>41.11.19</t>
  </si>
  <si>
    <t>алгебра, геометрия, есептерді шешу практикумы 7АCGH</t>
  </si>
  <si>
    <t>A005</t>
  </si>
  <si>
    <t>алгебра және анализ бастамалары, геометрия 10ABG, 11G</t>
  </si>
  <si>
    <t>37.02.00</t>
  </si>
  <si>
    <t xml:space="preserve">алгебра, геометрия, есептерді шешу практикумы 8ABC алгебра және анализ бастамалары, геометрия 11G </t>
  </si>
  <si>
    <t>36.09.25</t>
  </si>
  <si>
    <t>8B</t>
  </si>
  <si>
    <t xml:space="preserve">Мақұлбек Асылан Серікұлы </t>
  </si>
  <si>
    <t>алгебра, геометрия, есептерді шешу практикумы 8GH 9G, таңдау пәні, математикадан олимпиадаға дайындық 7АBCGHDEFKL (2-топ), жаһандық құзыреттілік 7ABCG (1-топ)</t>
  </si>
  <si>
    <t>Магистр прикладная математика</t>
  </si>
  <si>
    <t>таңдау пәні, математикадан олимпиадаға дайындық 7АBCGHDEFKL (1-топ), 8АBCGHDEFKL (1-топ), жеке консультация 7AВ (1-топ), SAT дайындық 10 ABCGDEF (1-топ), SAT дайындық  11ABCGHDE(2-топ)</t>
  </si>
  <si>
    <t>алгебра және анализ бастамалары, геометрия 11ABCH</t>
  </si>
  <si>
    <t>34.00.21</t>
  </si>
  <si>
    <t>алгебра, геометрия, есептерді шешу практикумы 9ABCH</t>
  </si>
  <si>
    <t>25.07.25</t>
  </si>
  <si>
    <t>алгебра және анализ бастамалары, геометрия 10CHK</t>
  </si>
  <si>
    <t>02.00.00</t>
  </si>
  <si>
    <t>А019</t>
  </si>
  <si>
    <t>Петров Алексей Александрович</t>
  </si>
  <si>
    <t>алгебра, геометрия, есептерді шешу практикумы 7DEFK</t>
  </si>
  <si>
    <t>Магистр педагогических наук</t>
  </si>
  <si>
    <t>Раймбаева Әйгерім Қонысбекқызы</t>
  </si>
  <si>
    <t>алгебра, геометрия, есептерді шешу практикумы 7KL 9K</t>
  </si>
  <si>
    <t>36.11.28</t>
  </si>
  <si>
    <t>9A</t>
  </si>
  <si>
    <t>алгебра және анализ бастамалары, геометрия 10H 11EF</t>
  </si>
  <si>
    <t>алгебра, геометрия, есептерді шешу практикумы 7ABC, алгебра және анализ бастамалары, геометрия 10С</t>
  </si>
  <si>
    <t>29.00.01</t>
  </si>
  <si>
    <t>А217</t>
  </si>
  <si>
    <t>7C</t>
  </si>
  <si>
    <t>Сүйінәлі Нұржігіт Талғатұлы</t>
  </si>
  <si>
    <t>алгебра, геометрия, есептерді шешу практикумы 7G, 8GH, алгебра және анализ бастамалары, геометрия 10G</t>
  </si>
  <si>
    <t>Сұлтан Динара Рахманқұлқызы</t>
  </si>
  <si>
    <t>алгебра, геометрия, есептерді шешу практикумы 7L, 8ЕК</t>
  </si>
  <si>
    <t>алгебра және анализ бастамалары, геометрия 11F</t>
  </si>
  <si>
    <t xml:space="preserve">алгебра, геометрия, есептерді шешу практикумы 8DEF алгебра және анализ бастамалары, геометрия 11E </t>
  </si>
  <si>
    <t>алгебра және анализ бастамалары, геометрия 10 DEF, геометрия 10K</t>
  </si>
  <si>
    <t>A310</t>
  </si>
  <si>
    <t>алгебра және анализ бастамалары, геометрия 10AB</t>
  </si>
  <si>
    <t>38.09.17</t>
  </si>
  <si>
    <t>Шубай Айдана Манатқызы</t>
  </si>
  <si>
    <t>алгебра және анализ бастамалары, геометрия 7DEK</t>
  </si>
  <si>
    <t>Магистр-матем. и комп. моделирование</t>
  </si>
  <si>
    <t>7F</t>
  </si>
  <si>
    <t xml:space="preserve">физика, физикадан есептерді шешу практикумы 9D физика 10DEFK, таңдау пәні, физикадан олимпиадаға дайындық 9ABCGHDEFK (1-топ), жаһандық құзыреттілік 7EFKL (1-топ), 7ABCG (2-топ), 7HD (1,2-топ) </t>
  </si>
  <si>
    <t>физика в 11DEFК</t>
  </si>
  <si>
    <t>50.00.27</t>
  </si>
  <si>
    <t>А301</t>
  </si>
  <si>
    <t>физика, физикадан есептерді шешу практикумы 9К, физика 10HK, STEM 10НК (1,2 топ)</t>
  </si>
  <si>
    <t>Магистр физика, кандидат доктора естест. Наук</t>
  </si>
  <si>
    <t>Жумагалиева Карлыгаш Канатовна</t>
  </si>
  <si>
    <t>физика, физикадан есептерді шешу практикумы 8EКL</t>
  </si>
  <si>
    <t>43.01.18</t>
  </si>
  <si>
    <t>Кабдиева Гульмира Тулеповна</t>
  </si>
  <si>
    <t xml:space="preserve">физика 11DEFK </t>
  </si>
  <si>
    <t>28.01.20</t>
  </si>
  <si>
    <t>А302</t>
  </si>
  <si>
    <t>Керимбеков Даурен Сартбаевич</t>
  </si>
  <si>
    <t>физика, физикадан есептерді шешу практикумы 9DЕFK, физика 10DEF</t>
  </si>
  <si>
    <t>Магистр материаловедение</t>
  </si>
  <si>
    <t>Коканбаев Мейрамхан Зикирович</t>
  </si>
  <si>
    <t xml:space="preserve">физика, физикадан есептерді шешу практикумы 8ABСGH </t>
  </si>
  <si>
    <t>29.07.01</t>
  </si>
  <si>
    <t>Көшеген Мақсат</t>
  </si>
  <si>
    <t xml:space="preserve">физика, физикадан есептерді шешу практикумы 8H, 9BGH </t>
  </si>
  <si>
    <t>Қабылқақ  Мұрал</t>
  </si>
  <si>
    <t xml:space="preserve">физика, физикадан есептерді шешу практикумы 7ABCGH, 9C </t>
  </si>
  <si>
    <t>Магистр-физика</t>
  </si>
  <si>
    <t>А315</t>
  </si>
  <si>
    <t xml:space="preserve">Мамутов Мусабек Сапахович </t>
  </si>
  <si>
    <t xml:space="preserve">физика, физикадан есептерді шешу практикумы 9AH, физика 11ABCGH, жаһандық құзыреттілік 9DEFK (1топ),жеке консультация 8EFK (2-топ),   </t>
  </si>
  <si>
    <t>Магистр- физика</t>
  </si>
  <si>
    <t>Махмедханова Гульзат Махмедхановна</t>
  </si>
  <si>
    <t>физика, физикадан есептерді шешу практикумы 7DEFKL</t>
  </si>
  <si>
    <t>25.08.14</t>
  </si>
  <si>
    <t>Мурзабаев Абилкайыр Бердимуратович</t>
  </si>
  <si>
    <t>физика, физикадан есептерді шешу практикумы 9ABG, физика 10ABCG</t>
  </si>
  <si>
    <t>А006</t>
  </si>
  <si>
    <t>физика, физикадан есептерді шешу практикумы 8ABCG, таңдау пәні, физикадан олимпиадаға дайындық 9ABCGHDEFK (2-топ),  жаһандық құзыреттілік 7EFKL (2-топ), 9ABCGHDEFK (1топ)</t>
  </si>
  <si>
    <t>31.01.00</t>
  </si>
  <si>
    <t>А306</t>
  </si>
  <si>
    <t>Садыков Алдияр Багдатович</t>
  </si>
  <si>
    <t>A311</t>
  </si>
  <si>
    <t>7G</t>
  </si>
  <si>
    <t>Туякбаев Сабыр</t>
  </si>
  <si>
    <t>физика 11ABCG</t>
  </si>
  <si>
    <t>52.00.21</t>
  </si>
  <si>
    <t>Тұрмаханов Бақдаулет Темірханұлы</t>
  </si>
  <si>
    <t>физика, физикадан есептерді шешу практикумы 8DEFКL</t>
  </si>
  <si>
    <t>физика 10ABCGH, 11H, жеке консультация 7ABCGHDEFKL (2-топ), 8ABCG (1-топ)</t>
  </si>
  <si>
    <t>Магистр-ядерная физика</t>
  </si>
  <si>
    <t>физика, физикадан есептерді шешу практикумы 8DF 9EF</t>
  </si>
  <si>
    <t>Алғазы Серік Сәбитұлы</t>
  </si>
  <si>
    <t>информатика 8ABC</t>
  </si>
  <si>
    <t>40.07.29</t>
  </si>
  <si>
    <t>Амантай Баянбек Амантаевич</t>
  </si>
  <si>
    <t>информатика 9ABCGH, 10ABCGHK, 11АGH</t>
  </si>
  <si>
    <t>Магистр-информатики</t>
  </si>
  <si>
    <t>A207</t>
  </si>
  <si>
    <t>информатика 10D, 11DEFK</t>
  </si>
  <si>
    <t>педагог-шебер</t>
  </si>
  <si>
    <t>27.01.18</t>
  </si>
  <si>
    <t>Ахмадуллаева Бахрампаша Хасанджановна</t>
  </si>
  <si>
    <t>информатика 8DEF, 9DEFK, 10DEF</t>
  </si>
  <si>
    <t>34.09.08</t>
  </si>
  <si>
    <t>A203</t>
  </si>
  <si>
    <t>Базартаева Айгуль Удербаевна</t>
  </si>
  <si>
    <t>информатика 7ABCGH, 8GH</t>
  </si>
  <si>
    <t>01.10.02</t>
  </si>
  <si>
    <t>Бұлақбаева Индира Мұратқызы</t>
  </si>
  <si>
    <t>информатика 8ABCGH, 11ABCGH</t>
  </si>
  <si>
    <t>15.00.29</t>
  </si>
  <si>
    <t>A208</t>
  </si>
  <si>
    <t>11C</t>
  </si>
  <si>
    <t>Джумадуллаева Улдарай Сералиевна</t>
  </si>
  <si>
    <t>информатика 9ABCGH, 10ABCG, 11BC</t>
  </si>
  <si>
    <t>A204</t>
  </si>
  <si>
    <t>Калиева Жансая</t>
  </si>
  <si>
    <t>информатика 9DEFK, 11DEKL</t>
  </si>
  <si>
    <t>12.00.01</t>
  </si>
  <si>
    <t>А202</t>
  </si>
  <si>
    <t>Самет Мадина Болатқызы</t>
  </si>
  <si>
    <t>информатика 7DEFKL</t>
  </si>
  <si>
    <t>Сатылханов Темірлан Қайратұлы</t>
  </si>
  <si>
    <t>жеке консультация                   9 ABCGHDE (1-топ) FK (1,2-топ), жеке консультация 10ABCGDEF (1-топ)</t>
  </si>
  <si>
    <t xml:space="preserve">таңдау пәні, информатикадан олимпиадаға дайындық 10ABCG (1,2-топ), жеке консультация 9 ABCGH (1-топ), SAT дайындық 10 ABCGDEF (2-топ),  SAT дайындық  11GHDE (1-топ) </t>
  </si>
  <si>
    <t>Султанова Жания Нуржановна</t>
  </si>
  <si>
    <t>информатика 10HEFK</t>
  </si>
  <si>
    <t>Сұлтан Рамазан Маратұлы</t>
  </si>
  <si>
    <t>жеке консультация 8HDEFKL (1-топ) 10ABCGDEF (2-топ)</t>
  </si>
  <si>
    <t>Магистр-Управления IT проектами</t>
  </si>
  <si>
    <t xml:space="preserve">информатика  7DEFKL, 8K
информатика  7ABCGH, 8L,                       информатика  8DEFKL   </t>
  </si>
  <si>
    <t>Магистр</t>
  </si>
  <si>
    <t>таңдау пәні, математикадан олимпиадаға дайындық 10DEF (1,2-топ), жеке консультация 7CGHDEFKL (1-топ)   таңдау пәні, математикадан олимпиадаға дайындық 8АBCGHDEFKL (1-топ) SAT дайындық  11ABC</t>
  </si>
  <si>
    <t xml:space="preserve">таңдау пәні, физикадан олимпиадаға дайындық 11DEFК(2-топ),  SAT дайындық  11FK (1,2-топ),  </t>
  </si>
  <si>
    <t xml:space="preserve">бағдарламалау, ЖИ 10 ABCGDEF (1,2-топ) 11ABCGHDEFK (1,2-топ), </t>
  </si>
  <si>
    <t xml:space="preserve"> ИТОГО</t>
  </si>
  <si>
    <t>Әбдіғаппарова Нұрлыгүл Әділханқызы</t>
  </si>
  <si>
    <t>ағылшын тілі, IELTS-қа дайындық 11ABFH, жаһандық құзіреттілік 11ABFH, ағылшын тілі, ағылшын тілі (факультатив) 9CGH</t>
  </si>
  <si>
    <t>Магистр-лингвистика</t>
  </si>
  <si>
    <t>22.09.23</t>
  </si>
  <si>
    <t>A215</t>
  </si>
  <si>
    <t>11B</t>
  </si>
  <si>
    <t>Абдракбаева Майра Жапаркуловна</t>
  </si>
  <si>
    <t>ағылшын тілі ағылшын тілі (факультатив) 8А</t>
  </si>
  <si>
    <t>42.00.07</t>
  </si>
  <si>
    <t>Акегожаева Леила Нурдановна</t>
  </si>
  <si>
    <t>ағылшын тілі ағылшын тілі (факультатив) 8АBCGH 9AB</t>
  </si>
  <si>
    <t>Магистр образования (ин.язык)</t>
  </si>
  <si>
    <t>A212</t>
  </si>
  <si>
    <t>ағылшын тілі ағылшын тілі (факультатив) 9НEK, ағылшын тілі10GDEH, IELTS-қа дайындық 10GDE, жаһандық құзіреттілік 10GDE</t>
  </si>
  <si>
    <t>Амангельдина Айгерім Санатқызы</t>
  </si>
  <si>
    <t xml:space="preserve">ағылшын тілі ағылшын тілі (факультатив) 8B жеке консультация 8 ABC (2-топ) </t>
  </si>
  <si>
    <t>Әбдібекова Жанел Нұртасқызы</t>
  </si>
  <si>
    <t>ағылшын тілі, ағылшын тілі (факультатив) 8EFKL, ағылшын тілі, IELTS-қа дайындық 10DEF, жаһандық құзіреттілік 10DEF</t>
  </si>
  <si>
    <t>Балыкбаева Аружан Бекжігітқызы</t>
  </si>
  <si>
    <t>ағылшын тілі, ағылшын тілі (факультатив) 7ABCGH</t>
  </si>
  <si>
    <t>Батирова Жазира Жанибек Қизи</t>
  </si>
  <si>
    <t>ағылшын тілі ағылшын тілі (факультатив) 7DEFKL 8CH</t>
  </si>
  <si>
    <t>Бисембаева Улмекен Зайнуллаевна</t>
  </si>
  <si>
    <t>ағылшын тілі, ағылшын тілі (факультатив) 8G</t>
  </si>
  <si>
    <t>48.10.13</t>
  </si>
  <si>
    <t>Бухарбекова Баян Бакытовна</t>
  </si>
  <si>
    <t>ағылшын тілі, ағылшын тілі (факультатив) 9ABCGDEF</t>
  </si>
  <si>
    <t>Магистр-иностранный язык (два инностранных языка)</t>
  </si>
  <si>
    <t>Головинцева Валерия Валерьевна</t>
  </si>
  <si>
    <t>ағылшын тілі, ағылшын тілі (факультатив)7DEFKL 8DE</t>
  </si>
  <si>
    <t>ағылшын тілі, ағылшын тілі (факультатив) 9FK, ағылшын тілі 10ABGHF, IELTS-қа дайындық 10ABGF, жаһандық құзіреттілік 10ABGF</t>
  </si>
  <si>
    <t>C005</t>
  </si>
  <si>
    <t>ағылшын тілі, ағылшын тілі (факультатив) 8DFKL, ағылшын тілі 10CK, IELTS-қа дайындық 10C, жаһандық құзіреттілік 10С</t>
  </si>
  <si>
    <t>Магистр по спец.управлении образованием</t>
  </si>
  <si>
    <t>Кадирова Кенжегуль Толеухановна</t>
  </si>
  <si>
    <t>ағылшын тілі, ағылшын тілі (факультатив) 9D</t>
  </si>
  <si>
    <t>44.09.00</t>
  </si>
  <si>
    <t>Макашева Нурила Болатовна</t>
  </si>
  <si>
    <t xml:space="preserve">ағылшын тілі 10K </t>
  </si>
  <si>
    <t>Магистр наук в области лингвистики</t>
  </si>
  <si>
    <t>Найманова Динара Мухамедияновна (совместитель)</t>
  </si>
  <si>
    <t>ағылшын тілі, IELTS-қа дайындық 10AB, жаһандық құзіреттілік 10АВ</t>
  </si>
  <si>
    <t>Нелистанова Жайнар Арманқызы</t>
  </si>
  <si>
    <t>Нуриденова Самал Кайратовна</t>
  </si>
  <si>
    <t xml:space="preserve">ағылшын тілі, IELTS-қа дайындық 11АBCGDEK, жаһандық құзіреттілік 11ABCGDEK </t>
  </si>
  <si>
    <t>Магистр-лингвистика и препод. англ. яз.</t>
  </si>
  <si>
    <t>А213</t>
  </si>
  <si>
    <t>Союзова Жанат Қабидуллақызы</t>
  </si>
  <si>
    <t xml:space="preserve">ағылшын тілі, IELTS-қа дайындық 11CGHDEFK, жаһандық құзіреттілік 11CGHDEFK,жеке консультация 8 GHD (2-топ) </t>
  </si>
  <si>
    <t xml:space="preserve">ағылшын тілі, IELTS-қа дайындық 10С, жаһандық құзіреттілік 10С </t>
  </si>
  <si>
    <t>Итого профильные часы</t>
  </si>
  <si>
    <t>Кырыкбаева Гульмира Жумакожановна</t>
  </si>
  <si>
    <t>қазақ тілі мен әдебиеті 8L, 10DEFK, 11DEFK</t>
  </si>
  <si>
    <t>30.00.16</t>
  </si>
  <si>
    <t>Ахметбекова Айжан Каналбаевна</t>
  </si>
  <si>
    <t>қазақ тілі мен әдебиеті 8L, 10DEFK, 11DEFK, жеке консультация 11ABC (2-топ)</t>
  </si>
  <si>
    <t>30.01.19</t>
  </si>
  <si>
    <t>Бактуразова Эльмира Жуматаевна</t>
  </si>
  <si>
    <t>қазақ тілі мен әдебиеті 7DEFKL, 8E</t>
  </si>
  <si>
    <t>29.10.08</t>
  </si>
  <si>
    <t>A210</t>
  </si>
  <si>
    <t>Бейсембаева Жаннур Мелисовна</t>
  </si>
  <si>
    <t xml:space="preserve">қазақ тілі, қазақ әдебиеті 7ABCGH,  10ABG , таңдау пәні, қазақ тілі мен әдебиетінен олимпиадаға дайындық 11GН(2-топ), жаһандық құзыреттілік 8A (1,2-топ),  </t>
  </si>
  <si>
    <t>Магистр-педагогика</t>
  </si>
  <si>
    <t>28.09.02</t>
  </si>
  <si>
    <t>7B</t>
  </si>
  <si>
    <t>қазақ тілі мен әдебиеті 8DK</t>
  </si>
  <si>
    <t>10А</t>
  </si>
  <si>
    <t>Малик Ақжүніс Миндетқызы</t>
  </si>
  <si>
    <t>қазақ тілі, қазақ әдебиеті 8H, 9H, 10CH, қазақ тілі мен әдебиеті 8F</t>
  </si>
  <si>
    <t>Омарова Алтынай Турсынгазыевна</t>
  </si>
  <si>
    <t>қазақ тілі мен әдеби 7DEFKL 9DEFK</t>
  </si>
  <si>
    <t>A211</t>
  </si>
  <si>
    <t>қазақ тілі мен әдебиеті 8DEFK 9DEFK</t>
  </si>
  <si>
    <t>Магистр каз.филологии</t>
  </si>
  <si>
    <t>Сагадиева Майра Сатьжановна</t>
  </si>
  <si>
    <t>қазақ тілі, қазақ әдебиеті 8ABCG</t>
  </si>
  <si>
    <t>37.00.27</t>
  </si>
  <si>
    <t>A107</t>
  </si>
  <si>
    <t>Серикбаева Шынар Байтуяковна</t>
  </si>
  <si>
    <t>қазақ тілі, қазақ әдебиеті 9ABCG 11ABCGH , жеке консультация 11ABC (1-топ)</t>
  </si>
  <si>
    <t>Магистр-филология</t>
  </si>
  <si>
    <t>C004</t>
  </si>
  <si>
    <t>11А</t>
  </si>
  <si>
    <t>Абельпейсова Алия Мейркановна</t>
  </si>
  <si>
    <t>орыс тілі мен әдебиеті 7ABCGH, 8ABCGH</t>
  </si>
  <si>
    <t>35.00.10</t>
  </si>
  <si>
    <t>A108</t>
  </si>
  <si>
    <t>Балагазова Айгуль Кажибековна</t>
  </si>
  <si>
    <t>орыс тілі мен әдебиеті 10ABCGH 11ABCGH, жеке консультация 11H (1,2-топ)</t>
  </si>
  <si>
    <t>39.07.05</t>
  </si>
  <si>
    <t>A015</t>
  </si>
  <si>
    <t>11Н</t>
  </si>
  <si>
    <t>Бишманова Гульзада Шамеловна</t>
  </si>
  <si>
    <t>орыс тілі мен әдебиеті 9ABGH</t>
  </si>
  <si>
    <t>29.02.27</t>
  </si>
  <si>
    <t>Есмагамбетова Майя Амиргалиевна</t>
  </si>
  <si>
    <t>орыс тілі, орыс әдебиеті 8DEF, 11DE</t>
  </si>
  <si>
    <t>35.02.08</t>
  </si>
  <si>
    <t>А112</t>
  </si>
  <si>
    <t>Жүнісбек Дидар Сәкенұлы</t>
  </si>
  <si>
    <t>орыс тілі, орыс әдебиеті 7DEFKL, 8KL</t>
  </si>
  <si>
    <t>Магистр филологических наук</t>
  </si>
  <si>
    <t>7K</t>
  </si>
  <si>
    <t>Утешева Бакыткуль Жумагалиевна</t>
  </si>
  <si>
    <t>орыс тілі мен әдебиеті 9C, орыс тілі, орыс әдебиеті 11FK , жеке консультация 11G (1,2-топ)</t>
  </si>
  <si>
    <t>42.09.28</t>
  </si>
  <si>
    <t>C002</t>
  </si>
  <si>
    <t>Шайхынова Мадина Жанатбековна</t>
  </si>
  <si>
    <t>орыс тілі, орыс әдебиеті 9DEFK, 10DEFK,</t>
  </si>
  <si>
    <t>Магистр педагогика и психология</t>
  </si>
  <si>
    <t>25.06.09</t>
  </si>
  <si>
    <t>Абилхасимова Динара Куандыковна</t>
  </si>
  <si>
    <t xml:space="preserve">Қазақстан тарихы, дүниежүзі тарихы 7G, Қазақстан тарихы, дүниежүзі тарихы, құқық негіздері 9ABCGH, 11 CG </t>
  </si>
  <si>
    <t>Магистр-история</t>
  </si>
  <si>
    <t>C001</t>
  </si>
  <si>
    <t>11G</t>
  </si>
  <si>
    <t>Баймаханова Жанар Адамбаевна</t>
  </si>
  <si>
    <t xml:space="preserve">Қазақстан тарихы, дүниежүзі тарихы, құқық негіздері 10ABCGH 11ABH, жеке консультация 11D (1,2-топ) </t>
  </si>
  <si>
    <t>37.01.20</t>
  </si>
  <si>
    <t>А116</t>
  </si>
  <si>
    <t>10С</t>
  </si>
  <si>
    <t>Байсакова Асель Анатольевна</t>
  </si>
  <si>
    <t xml:space="preserve">Қазақстан тарихы, дүниежүзі тарихы, құқық негіздері 9DEFK 10DEFK,жеке консультация 11E (1,2-топ) </t>
  </si>
  <si>
    <t>A320</t>
  </si>
  <si>
    <t>Жұмабекова Назира Стамғазықызы</t>
  </si>
  <si>
    <t>Қазақстан тарихы, дүниежүзі тарихы 7H 8ABCGH</t>
  </si>
  <si>
    <t>8G</t>
  </si>
  <si>
    <t>Капалова Мунира Темишовна</t>
  </si>
  <si>
    <t>Қазақстан тарихы, дүниежүзі тарихы 8KL, дүниежүзі тарихы 8DEF</t>
  </si>
  <si>
    <t>Сенгербаев Даурен Турарбаевич</t>
  </si>
  <si>
    <t>Қазақстан тарихы, дүниежүзі тарихы 7ABC</t>
  </si>
  <si>
    <t>Тастембекова Гаухар Каиржановна</t>
  </si>
  <si>
    <t>Қазақстан тарихы, дүниежүзі тарихы 7DEFKL, Қазақстан тарихы, дүниежүзі тарихы, құқық негіздері 11LEFK</t>
  </si>
  <si>
    <t>31.03.23</t>
  </si>
  <si>
    <t>А004</t>
  </si>
  <si>
    <t>7E</t>
  </si>
  <si>
    <t>Таукебаев Қуаныш Муратбекович</t>
  </si>
  <si>
    <t>Қазақстан тарихы 8DEF</t>
  </si>
  <si>
    <t>Магистр археология и этнология</t>
  </si>
  <si>
    <t xml:space="preserve">география  7ABCGH, 8ABCGH, 9ABCGH, 10ABCGH, 11ABCGH, жеке консультация 11F (1-топ), жеке консультация 11К (1-топ) </t>
  </si>
  <si>
    <t>А018</t>
  </si>
  <si>
    <t>9B</t>
  </si>
  <si>
    <t>Концова Евгения Александровна</t>
  </si>
  <si>
    <t>география 7DEFКL, 8DEFKL, 9DEFK, 10DEFK, 11DEKL</t>
  </si>
  <si>
    <t>30.00.29</t>
  </si>
  <si>
    <t>А007</t>
  </si>
  <si>
    <t>11E</t>
  </si>
  <si>
    <t>жеке консультация 11F (2-топ), жеке консультация 11К (2-топ)</t>
  </si>
  <si>
    <t>биология 10ABCGH, 11ABCGH</t>
  </si>
  <si>
    <t>33.00.21</t>
  </si>
  <si>
    <t>биология 7DEFКL, 8DEFKL</t>
  </si>
  <si>
    <t>биология 9DEFK, 10DEFK, 11DEFK, жаһандық құзыреттілік 8BCGHDEFKL (1,2-топ),  таңдау пәні биологиядан олимпиадаға дайындық 11ABCGDE (1-топ)</t>
  </si>
  <si>
    <t>Магистр-биотехнология</t>
  </si>
  <si>
    <t>A103</t>
  </si>
  <si>
    <t>биология 7ABCGH, 8ABCGH, 9ABCGH</t>
  </si>
  <si>
    <t>Казыбаева Диара Сериковна</t>
  </si>
  <si>
    <t xml:space="preserve">химия 8DFKL (2cағат), 9DEFK (2сағат), 10DEFK (1 сағат) 11DEFK (1сағат) </t>
  </si>
  <si>
    <t>Магистр-химия, доктор PhD</t>
  </si>
  <si>
    <t>А115</t>
  </si>
  <si>
    <t>Нургалиева Айнур Сагымбековна</t>
  </si>
  <si>
    <t>химия 9ABCG (2 сағат), 10ABCGH (1сағат) 11ABCGH (1сағат)</t>
  </si>
  <si>
    <t>Магистр-химия</t>
  </si>
  <si>
    <t>А111</t>
  </si>
  <si>
    <t xml:space="preserve">Тинасилов Рахим Мұхтарұлы </t>
  </si>
  <si>
    <t>химия 8BCHЕ (2 сағат), таңдау пәні, химиядан олимпиадаға дайындық 11HFKL (1-топ) ABC (2-топ), жеке консультауия 8L (2-топ)</t>
  </si>
  <si>
    <t>химия 7DEFKL, 9Н,  химия 7ABCGH (1 сағат), 8AG (2 сағат)</t>
  </si>
  <si>
    <t>Куаншалин Данияр Елубаевич</t>
  </si>
  <si>
    <t>дене шынықтыру 9CH, 11ABCGHDEFК, спорттық ойындар 7ABCGHDEFKL</t>
  </si>
  <si>
    <t>Магистр-физическая культура и спорт</t>
  </si>
  <si>
    <t>АӘТД 10ABCGHDEFK, 11ABCGHDEFK</t>
  </si>
  <si>
    <t>Магистр военного дела и безопасности</t>
  </si>
  <si>
    <t>А002</t>
  </si>
  <si>
    <t>Ахметов Аскар Булатович</t>
  </si>
  <si>
    <t>спорттық ойындар 11ABCGHDEF</t>
  </si>
  <si>
    <t>11.00.00</t>
  </si>
  <si>
    <t>Игисинов Асхат Сергалиевич</t>
  </si>
  <si>
    <t>дене шынықтыру 9DEFК, спорттық ойындар 9ABCGHDEF</t>
  </si>
  <si>
    <t>40.02.13</t>
  </si>
  <si>
    <t>Исмаилов Бахтияр Таирович</t>
  </si>
  <si>
    <t>дене шынықтыру 7ABCGНDEFКL, 8CH, спорттық ойындар 10AВCGHDEF</t>
  </si>
  <si>
    <t>10.03.11</t>
  </si>
  <si>
    <t>Кәрібек Дана Дидарқызы</t>
  </si>
  <si>
    <t>дене шынықтыру 8ABGDEFКL, спорттық ойындар 8KL, 9K, 10K, 11K</t>
  </si>
  <si>
    <t>7H</t>
  </si>
  <si>
    <t>Оспанова Мадина Сенбиевна</t>
  </si>
  <si>
    <t>дене шынықтыру 9ABC, 10ABCGHDEFK, спорттық ойындар 8AВCGHDEF</t>
  </si>
  <si>
    <t>Магистр физической культуры</t>
  </si>
  <si>
    <t>көркем еңбек 8АВС</t>
  </si>
  <si>
    <t>көркем еңбек 8DEF, 9DEFK,</t>
  </si>
  <si>
    <t>көркем еңбек 7ABCGH, 8GH</t>
  </si>
  <si>
    <t>көркем еңбек 8ABCGH, 9АBCGH</t>
  </si>
  <si>
    <t>көркем еңбек 9ABCGH,</t>
  </si>
  <si>
    <t>көркем еңбек 9DEFK</t>
  </si>
  <si>
    <t xml:space="preserve">көркем еңбек 7DEFKL 
</t>
  </si>
  <si>
    <t>көркем еңбек  7DEFKL, 8K, көркем еңбек  7ABCGH, 8L, көркем еңбек  8DEFKL</t>
  </si>
  <si>
    <t>Изкенов Самен Жумагалиевич</t>
  </si>
  <si>
    <t>жаһандық құзыреттілік 10HK (1,2-топ),</t>
  </si>
  <si>
    <t>жеке консультация 9А (2-топ), жаһандық құзыреттілік 9ABCGHDEFKL (2-топ)</t>
  </si>
  <si>
    <t>40.10.23</t>
  </si>
  <si>
    <t xml:space="preserve">жеке консультация 10НК (1-топ), жеке консультация 9В (2-топ) </t>
  </si>
  <si>
    <t>36.09.24</t>
  </si>
  <si>
    <t>Сетербаева Айгуль Дюсетаевна</t>
  </si>
  <si>
    <t>таңдау пәні 10 сыныптар</t>
  </si>
  <si>
    <t>педагог-ұйымдастырушы-куратор</t>
  </si>
  <si>
    <t>8H,9G</t>
  </si>
  <si>
    <t>Динсаламова Бакыткуль Мукагалиевна</t>
  </si>
  <si>
    <t>педагог-психолог</t>
  </si>
  <si>
    <t>27.08.00</t>
  </si>
  <si>
    <t>10G</t>
  </si>
  <si>
    <t>Дюсупова Зарина Канатпаевна</t>
  </si>
  <si>
    <t>социальный педагог</t>
  </si>
  <si>
    <t>07.09.07</t>
  </si>
  <si>
    <t>10Е, 10К</t>
  </si>
  <si>
    <t>8C, 9H</t>
  </si>
  <si>
    <t>Жумабекова Асель Камбарбековна</t>
  </si>
  <si>
    <t>менеджер по УР</t>
  </si>
  <si>
    <t>Магистр филологии</t>
  </si>
  <si>
    <t>01.09.24</t>
  </si>
  <si>
    <t>10F, 10D, 11D</t>
  </si>
  <si>
    <t>Нурымова Шолпан Искандировна</t>
  </si>
  <si>
    <t>25.10.16</t>
  </si>
  <si>
    <t>9C, 10B, 10H</t>
  </si>
  <si>
    <t>01.11.28</t>
  </si>
  <si>
    <t>7L, 8E, 9F</t>
  </si>
  <si>
    <t>03.05.02</t>
  </si>
  <si>
    <t>7D, 8F, 9E</t>
  </si>
  <si>
    <t>15.05.25</t>
  </si>
  <si>
    <t>11F</t>
  </si>
  <si>
    <t>02.02.29</t>
  </si>
  <si>
    <t>8L</t>
  </si>
  <si>
    <t>МО педагогики</t>
  </si>
  <si>
    <t>ОПВР 3.5%</t>
  </si>
  <si>
    <t xml:space="preserve">Алматы қаласындағы  «РФММ» КеАҚ филиалының 2026 жылғы 01 қаңтардағы тарификациялық ведомостің жинағы        </t>
  </si>
  <si>
    <t xml:space="preserve">Свод тарификационной ведомости на 01 января 2026 года филиала НАО «РФМШ» в г.Алматы </t>
  </si>
  <si>
    <t>ЖБМЗЖ            ОПВР 3,5%</t>
  </si>
  <si>
    <t>17.04.00</t>
  </si>
  <si>
    <t>04.03.18</t>
  </si>
  <si>
    <t>06.03.09</t>
  </si>
  <si>
    <t>08.04.00</t>
  </si>
  <si>
    <t>00.04.00</t>
  </si>
  <si>
    <t>01.03.14</t>
  </si>
  <si>
    <t>05.10.02</t>
  </si>
  <si>
    <t>02.04.00</t>
  </si>
  <si>
    <t>09.03.03</t>
  </si>
  <si>
    <t>02.05.05</t>
  </si>
  <si>
    <t>10.03.21</t>
  </si>
  <si>
    <t>03.03.14</t>
  </si>
  <si>
    <t>18.09.23</t>
  </si>
  <si>
    <t>19.03.15</t>
  </si>
  <si>
    <t>10.03.13</t>
  </si>
  <si>
    <t>13.00.01</t>
  </si>
  <si>
    <t>04.01.04</t>
  </si>
  <si>
    <t>17.02.15</t>
  </si>
  <si>
    <t>13.05.03</t>
  </si>
  <si>
    <t>10.07.00</t>
  </si>
  <si>
    <t>02.10.25</t>
  </si>
  <si>
    <t>09.10.00</t>
  </si>
  <si>
    <t>14.00.20</t>
  </si>
  <si>
    <t>02.02.02</t>
  </si>
  <si>
    <t>15.04.29</t>
  </si>
  <si>
    <t>12.04.01</t>
  </si>
  <si>
    <t>14.00.25</t>
  </si>
  <si>
    <t>10.11.03</t>
  </si>
  <si>
    <t>23.01.23</t>
  </si>
  <si>
    <t>25.05.25</t>
  </si>
  <si>
    <t>00.09.00</t>
  </si>
  <si>
    <t>04.09.19</t>
  </si>
  <si>
    <t>14.04.29</t>
  </si>
  <si>
    <t>25.00.06</t>
  </si>
  <si>
    <t>00.07.13</t>
  </si>
  <si>
    <t>23.02.28</t>
  </si>
  <si>
    <t>14.01.13</t>
  </si>
  <si>
    <t>21.11.27</t>
  </si>
  <si>
    <t>01.03.26</t>
  </si>
  <si>
    <t>23.01.25</t>
  </si>
  <si>
    <t>04.01.24</t>
  </si>
  <si>
    <t>23.03.18</t>
  </si>
  <si>
    <t>22.08.26</t>
  </si>
  <si>
    <t>21.08.00</t>
  </si>
  <si>
    <t>12.02.01</t>
  </si>
  <si>
    <t>19.03.04</t>
  </si>
  <si>
    <t>08.11.07</t>
  </si>
  <si>
    <t>09.01.31</t>
  </si>
  <si>
    <t>09.04.00</t>
  </si>
  <si>
    <t>13.05.04</t>
  </si>
  <si>
    <t>01.10.24</t>
  </si>
  <si>
    <t>13.03.26</t>
  </si>
  <si>
    <t>11.04.00</t>
  </si>
  <si>
    <t>10.07.11</t>
  </si>
  <si>
    <t>13.05.00</t>
  </si>
  <si>
    <t>20.04.01</t>
  </si>
  <si>
    <t>16.04.28</t>
  </si>
  <si>
    <t>Сводный расчет расходов на 2026 год</t>
  </si>
  <si>
    <t>ПЛАН</t>
  </si>
  <si>
    <t>Сводный расчет расходов на 2026-2028 годы</t>
  </si>
  <si>
    <t>Филиал НАО "Республиканская физико-математическая школа" в г.Алматы</t>
  </si>
  <si>
    <t>Адреналин 0,18 %  1 мл №5</t>
  </si>
  <si>
    <t>Аллервэй № 10</t>
  </si>
  <si>
    <t xml:space="preserve">Аммиак 10 %  20 мл </t>
  </si>
  <si>
    <t>Бинт 7х14 см  стерильный</t>
  </si>
  <si>
    <t>Бинт мед эластичн 2х8 см</t>
  </si>
  <si>
    <t>Бриллиантовая зелень</t>
  </si>
  <si>
    <t>Долгит крем</t>
  </si>
  <si>
    <t>Ибупрофен 200 мг № 20 табл</t>
  </si>
  <si>
    <t>Лейкопластырь неткан. 2,5х5 см</t>
  </si>
  <si>
    <t>Одноразовые простыни в рулонах</t>
  </si>
  <si>
    <t>Парацетамол 0,5 мг №10</t>
  </si>
  <si>
    <t>Перекись водорода 3%  100 мл</t>
  </si>
  <si>
    <t>Перчатки смотровые размер L</t>
  </si>
  <si>
    <t>Перчатки смотровые размер М</t>
  </si>
  <si>
    <t>Повидон йод 30 мл</t>
  </si>
  <si>
    <t>Преднизолон 30 мг/мл №3</t>
  </si>
  <si>
    <t>Псилобальзам</t>
  </si>
  <si>
    <t>Регидрон № 20</t>
  </si>
  <si>
    <t>Салфетки 10х10 см стерильные марлевые</t>
  </si>
  <si>
    <t>Сальбутамол аэрозоль</t>
  </si>
  <si>
    <t>Санипласт   (19*72) № 100</t>
  </si>
  <si>
    <t>Скорая помощь бальзам  35 г.</t>
  </si>
  <si>
    <t>Скорая помощь спрей антисептик</t>
  </si>
  <si>
    <t>Спирт этиловый  50 мл</t>
  </si>
  <si>
    <t>Спиртовые салфетки (65*30) одноразов  №100</t>
  </si>
  <si>
    <t>Уголь активированный №10</t>
  </si>
  <si>
    <t>Эуфиллин 24 мг/мл  5 мл  №5</t>
  </si>
  <si>
    <t>Система для внутривенного вливания</t>
  </si>
  <si>
    <t>Шприц 2,0</t>
  </si>
  <si>
    <t>Шприц 5,0</t>
  </si>
  <si>
    <t>Шприц 10,0</t>
  </si>
  <si>
    <t>Газеты РК :</t>
  </si>
  <si>
    <t xml:space="preserve"> Казахстанские журналы</t>
  </si>
  <si>
    <t>Справочник руководителя  образовательного учреждения</t>
  </si>
  <si>
    <t xml:space="preserve">Классный час </t>
  </si>
  <si>
    <t>Алғашқы әскери дайындық. Өмір қауіпсіздігі негіздері.</t>
  </si>
  <si>
    <t xml:space="preserve">Қазақ тілі мен әдебиеті орыс мектебінде </t>
  </si>
  <si>
    <t xml:space="preserve">История Казахстана преподавание в школе </t>
  </si>
  <si>
    <t xml:space="preserve">АҚ ЖЕЛКЕН </t>
  </si>
  <si>
    <t>Математика (қазақ, орыс және ағылшын тілдерінде; на казахском, русском и английском языках. Оказание научно-методической педагогической помощи учителям)</t>
  </si>
  <si>
    <t>Физика (қазақ, орыс және ағылшын тілдерінде; на казахском, русском и английском языках. Оказание научно-методической педагогической помощи учителям)</t>
  </si>
  <si>
    <t>Российские журналы</t>
  </si>
  <si>
    <t xml:space="preserve">Квант </t>
  </si>
  <si>
    <t xml:space="preserve">Резиновые прокладки для окон </t>
  </si>
  <si>
    <t>Клейкая основа: Нет Материал: вспененная резина EPDM Длина: 20.0 м Ширина: 8.0 мм</t>
  </si>
  <si>
    <t>Резиновые прокладки для железных дверей</t>
  </si>
  <si>
    <t>Применяется как уплотнитель дверей Цвет  - черный ширина 2см глубина 1см</t>
  </si>
  <si>
    <t>Щетка утюжок Имеет удобную ручку и твердую щетину ручка с профилированным упором для большого пальца для чистки твердых поверхностей.</t>
  </si>
  <si>
    <t>Штук</t>
  </si>
  <si>
    <t>Грунт универсальный для всех видов культур 50 л</t>
  </si>
  <si>
    <t>Короткое наименование товара для клиента:Клей монтажн T Prof Classic Fix универсальный клей №1 в тубе 310 мл, прозрачный Время схватывания 5-10 мин Вес, кг:0.341Прочность склеивания (кг/см²):0.12</t>
  </si>
  <si>
    <t>Силикон универсальный, бесцветный   280 мл</t>
  </si>
  <si>
    <t>.Клей двухкомпонентный МДФ 400мл+100г  GA065B</t>
  </si>
  <si>
    <t>Пистолет для монтажной пены Трещоточный регулятор подачи пены
Удобная облегченная рукоятка из ударопрочного пластика.
Игольчатый и шариковый клапаны из нержавеющей стали.
Полировка внутренней поверхности ствола</t>
  </si>
  <si>
    <t>Швабра треугольная для мытья окон снаружы вращающаяся: Металл, пластик
Размеры в упаковке: 90x24x6 см
Комплектация: Швабра, микрофибровые насадки с коротким ворсом - 2 шт, микрофибровые насадки с длинным ворсом - 2 шт.
Длина регулируется от 80-130 см;
Диаметр трубы: верхняя часть 2,5 см, нижняя 2,2 см;
Крючок для подвешивания: 4х3х2 см
Вес в упаковке: 575 г</t>
  </si>
  <si>
    <t>80мм сердцевина (цинковая Двухрядный секретность 1.000.000 цикл работы 3 года гарантии</t>
  </si>
  <si>
    <t xml:space="preserve">Отрезной круг по металлу </t>
  </si>
  <si>
    <t>Отрезной круг по металлу WA46TBF 74382, 180 х 1,6 х 22,2 мм, состоит из абразивного полотна, обычно армированного для прочности специальной сеткой (бакелитовая связка), которая придает отрезному диску прочность и препятствует разлету осколков при заклинивании диска. Вес 0.095 кг</t>
  </si>
  <si>
    <t xml:space="preserve">Спецификация 	AS 60 T BF, 125 mm, 1,0 mm Посадочный диаметр:22.2 мм </t>
  </si>
  <si>
    <t xml:space="preserve">Мешки обладают повышенной прочностью. Мешки для мусора. Объём 30 литров. Размер: 26*60 см, Плотность: 15 мкр. В рулоне: 20 штук. </t>
  </si>
  <si>
    <t>Мешки обладают повышенной прочностью. Мешки для мусора. Объём 60 литров. Плотность: 20 мкр. В рулоне: 20 штук.</t>
  </si>
  <si>
    <t xml:space="preserve">Мешки обладают повышенной прочностью. Мешки для мусора. Объём 120 литров. Плотность: 30 мкр. В рулоне:  20 штук. </t>
  </si>
  <si>
    <t xml:space="preserve">2-сторонний. Лента клейкая на вспененной основе усиленная, двусторонняя, черная и белая, 19 мм х 5 м </t>
  </si>
  <si>
    <t>Шланг в силиконовой оплетке, 1,5 м, VRSH15, VODA</t>
  </si>
  <si>
    <t>Лейка для душа со шлангом Душевой шланг силиконовый арт. VRSH15</t>
  </si>
  <si>
    <t>Суперклей  Ok 201 (20мл.) Прозрачный жидкий клей мгновенного действия.  Применяется для склеивания резиновых и пластиковых поверхностей (ПВХ), изделий из кожи. Удобная упаковка с носиком. Не желтеет.</t>
  </si>
  <si>
    <t>2 х оборотный без сердечника Диаметр врезной части, мм: 15 Длина врезной части, мм: 20 Тип ключа: Английский Тип механизма секрета: Цилиндровый Цвет: Никель</t>
  </si>
  <si>
    <t xml:space="preserve">.ППР отвод диаметр составляет 20 мм Отвод для водопровода имеет градус: 90.  гарантия 50 лет Рабочее давление ППР трубы 25 бар
</t>
  </si>
  <si>
    <t xml:space="preserve">.ППР отвод диаметр составляет 25 мм Отвод для водопровода имеет градус: 90.  гарантия 50 лет Рабочее давление ППР трубы 25 бар
</t>
  </si>
  <si>
    <t xml:space="preserve"> Представляет собой белый полипропиленовый патрубок длиной 3,4 см с входным диаметром 20 мм.  МУФТА ПП D20</t>
  </si>
  <si>
    <t>Представляет собой белый полипропиленовый патрубок длиной 3,8 см с входным диаметром 25 мм. Посредине изнутри устроен разделительный монтажный буртик.</t>
  </si>
  <si>
    <t>Адаптер пп дм 20 резьбой 15</t>
  </si>
  <si>
    <t>Адаптер 20 1/2"В Адаптер с внутренне резьбой</t>
  </si>
  <si>
    <t>Адаптер 20 1/2"В для пластик. трубы внутренней резьбой</t>
  </si>
  <si>
    <t>Саморез с прессшайбой по металлу 4,2х50 мм</t>
  </si>
  <si>
    <t>Шуруп для Г/К 4,8 х 102 мелкая резьба</t>
  </si>
  <si>
    <t>Дюбель распорный тип ВСК 6х41</t>
  </si>
  <si>
    <t xml:space="preserve">Дюбель распорный тип ВСК 6х41в пачке 100 шт., с шипами;трехлепестковый </t>
  </si>
  <si>
    <t>Дюбель распорный тип ВСК 5х40</t>
  </si>
  <si>
    <t xml:space="preserve">Дюбель пластиковый, Диам.: 5 мм*40 в пачке 100 шт., с шипами;трехлепестковый </t>
  </si>
  <si>
    <t>Дюбель пластиковый 12х60 </t>
  </si>
  <si>
    <t xml:space="preserve">Дюбель пластиковый 12х60 из пластика имеет стопорные усики для избегания прокручивания в отверстии. В упаковке 50шт </t>
  </si>
  <si>
    <t>Дюбель фасадный 10х80</t>
  </si>
  <si>
    <t xml:space="preserve">Дюбель пластиковый 10х80 из пластика имеет стопорные усики для избегания прокручивания в отверстии.. В упаковке 50шт </t>
  </si>
  <si>
    <t>Анкерный болт с гайкой 8*100</t>
  </si>
  <si>
    <t xml:space="preserve">Для ударного сверления отверстий в бетоне, кирпиче, камне перфораторами SDS-plus.БУР П/БЕТ. SDSPL 16Х210ММ  </t>
  </si>
  <si>
    <t>Сверло для перфоратора по бетону SDS PLUS 6х110</t>
  </si>
  <si>
    <t>Класс доводчика EN 2 от 750 до 850 мм / 45 кг увеличенный ресурс раборы до 400 000 циклов</t>
  </si>
  <si>
    <t>Доводчик двухскоростной  для дверей.Угол открывания двери до 180 град.  60кг цвет белый метал увеличенный ресурс раборы до 500 000 циклов</t>
  </si>
  <si>
    <t>Доводчик двухскоростной  для дверей.Угол открывания двери до 180 град.  100кг цвет белый метал увеличенный ресурс раборы до 500 000 циклов</t>
  </si>
  <si>
    <t xml:space="preserve">Гибкая подводка, подключение: гайка G1/2 – гайка G1/2, длина: 60 см, оплётка из нержавеющей стали, гайки из латуни, материал шланга: EPDM. Максимальное рабочее давление 1,5 МПа
</t>
  </si>
  <si>
    <t xml:space="preserve">Короткое наименование товара для клиента CR_СИФОН Д/РАКОВИНЫ КОМПЛ. EQUATION СЛИВ d 40 мм Вес, кг: 0.276 </t>
  </si>
  <si>
    <t>Резиновые коврики 0,9*1,2 с отверстиями в виде дырок или как их называют иначе маты ячеистые</t>
  </si>
  <si>
    <t>Полипро пиленовый муфта -переходник д 20 на 15</t>
  </si>
  <si>
    <t>Электроды сварочные</t>
  </si>
  <si>
    <t>Электроды ЦЛ 11 АРС (E 347-15) 3,0 / 350мм,1кг(31-32шт) Сварка нержавеющих сталей</t>
  </si>
  <si>
    <t>Электроды сварочные МР-3 АРС D=3мм уп. 2,5кг Код: арс3мм</t>
  </si>
  <si>
    <t>Тряпка для мытья стёкол из микрофибры 40×40 см</t>
  </si>
  <si>
    <t>Тряпка для мытья стекол из микрофибры которая не оставляет следов 40*40см</t>
  </si>
  <si>
    <t>Мешки полипропиленовые зеленый (строительный)</t>
  </si>
  <si>
    <t>Мешки полипропиленовые зеленый, обьем-60.0л, размер-105х55см</t>
  </si>
  <si>
    <t>Батарейки  Basic АА/LR6  6шт в блистере</t>
  </si>
  <si>
    <t>Краска для стен и потолков «Белоснежка» цвет белый 25 кг</t>
  </si>
  <si>
    <t>Водно-дисперсионная краска, без запаха, не содержащая органических растворителей, для внутренней отделки. Супербелая водно-дисперсионная краска Белоснежка 25кг Ширина товара в индивидуальной упаковке (см):33 Высота товара в индивидуальной упаковке (см):28 Вес товара в индивидуальной упаковке (кг):25.74</t>
  </si>
  <si>
    <t>Алкидная Глянцевая краска белая</t>
  </si>
  <si>
    <t>Тип окрашиваемого материала Металл, Дерево Цвет Белый Prince №100 белая 17,5 л.Краска алкидные глянцевые на масляной основе   Время высыхания на касание: 4 ч;Время высыхания для повторного нанесения: 24 ч;теоретический расход 8 - 10 м2 - на 1 л</t>
  </si>
  <si>
    <t>Алкидная Глянцевая краска черная</t>
  </si>
  <si>
    <t>Краска алкидная глянцевая на масляной основе Prince №199 черная 3,5 л теоретический расход 8 - 10 м2 - на 1 л</t>
  </si>
  <si>
    <t>Краска алкидная глянцевая на масляной основе Prince №104 серая 3,5 л теоретический расход 8 - 10 м2 - на 1 л</t>
  </si>
  <si>
    <t>Шпаклёвка гипсовая базовая  Glatt 25 кг</t>
  </si>
  <si>
    <t>Гипсовая универсальная шпаклёвка вес 25кг светло бежевый с оттенками желтого или серого цвета Размер фракции (мм):0.16 Адгезия (МПа): 0,5 Расход кг/м² при толщине слоя 1 мм:	1.2 Прочность на сжатие ( кг / м² 25.0 Прочность на изгиб (МПа): 1.0</t>
  </si>
  <si>
    <t>Шпаклёвка гипсовая финишная  Glatt plus 25 кг</t>
  </si>
  <si>
    <t>Шпаклёвка гипсовая финишная A Glatt plus 25 кг с повышенной степенью пластичности (в мешке силует человека вовесь рост)</t>
  </si>
  <si>
    <t>Грунтовка для стен и потолка  «PRIMER», 10 кг. Объём тары 10 литров экологически безопасен. Трех уровневый контроль качества Площадь покрытия (м²) 33Внешний вид:Матовый ПреимуществаСредство против плесени Без запаха Ширина 18 Высота 21 Глубина товара в индивидуальной упаковке (см): 28</t>
  </si>
  <si>
    <t>Сменный валик из поли акрила с ворсом 12 мм, шириной 100 мм и диаметром 36 мм совместим с бюгелем 6 мм. В комплекте с запасным сменным валиком 6шт</t>
  </si>
  <si>
    <t>комплект</t>
  </si>
  <si>
    <t>Замок навесной  "МАСТЕР" общего применения, дисковый механизм секрета, ключ 7 PIN, дужка d-14мм, 80мм</t>
  </si>
  <si>
    <t>Сменное лезвие сегментированное  09710-18-10, ЭКСПЕРТ, улучшенная инструментальная сталь У8А, в боксе, 18 мм, 10 шт</t>
  </si>
  <si>
    <t>Набор бит с магнитным адаптером.Cr-Mo, 11 предметов</t>
  </si>
  <si>
    <t xml:space="preserve">Сверло ступенчатое  (По металлу, 4-32 мм,HSS/P6M5 быстрорежущая, спиральный профиль Длина рабочая 76 мм Тип хвостовика HEX-шестигранный Длина общая 101 мм Артикул: 72359 </t>
  </si>
  <si>
    <t>Сантехнический ключ длина: 250 мм количество ступеней регулировки: 7 шт тип стали: кованая Cr-V сталь</t>
  </si>
  <si>
    <t xml:space="preserve">Рулетка  5 м х 1,8, серия "Профессионал" </t>
  </si>
  <si>
    <t>Нейлон ИЭК 3,6х280 (100шт в упаковке)</t>
  </si>
  <si>
    <t>Нейлон ИЭК 4,2х350 (100шт в упаковке)</t>
  </si>
  <si>
    <t xml:space="preserve">НОЖ ТРАПЕЦИЕВИДНЫЙ В МЕТАЛЛ. КОРПУСЕ NN Вес, кг: 0,053 Ширина см 3,7 Высота см 1,7 лубина товара в индивидуальной упаковке (см):14.7 Материал полотна: Углеродистая сталь Материал корпуса 	Алюминиевый сплав </t>
  </si>
  <si>
    <t>Метла чий</t>
  </si>
  <si>
    <t xml:space="preserve">Метла чий без черенка. Диаметр 8-8,5 см. Длина окружности (метла в обхвате у основания) 24-25 см. Длина метлы 120-130 см.
 </t>
  </si>
  <si>
    <t>для электриков предназначены для защиты рук от поражения электрическим током. Применяются в электроустановках до 1000В, в качестве основного изолирующего средства. Перчатки предназначены для эксплуатации при температуре от плюс 50 С и минус 40 С и относительной влажности воздуха не выше 95 %</t>
  </si>
  <si>
    <t>Нейлон ИЭК  3,6*120</t>
  </si>
  <si>
    <t>Нейлон ИЭК  4,8*180</t>
  </si>
  <si>
    <t>Круг лепестковый торцевой КЛТ1 Flexione Р80 125x22.2 мм</t>
  </si>
  <si>
    <t xml:space="preserve">Круг лепестковый плоский, для крепления на вал шлифовальной машинки. Применяется для грубого выравнивания и шлифовки деталей из металла, пластика или дерева. Изготовлен из мультикомпонентного материала, в качестве абразива использована окись алюминия. Размер составляет 125 мм, посадочный диаметр — 22,2 мм.  скоростью вращения до 12 250 об/мин.  зернистостью Р80 </t>
  </si>
  <si>
    <t>Круг лепестковый торцевой КЛТ1 Dexter Р40 125x22.2 мм</t>
  </si>
  <si>
    <t xml:space="preserve">68 полос обеспечивают плотный взаимный нахлест, поэтому диск будет стачиваться равномерно без потери эффективности.Зернистость круга — 40 единиц Короткое наименование товара для клиента ДИСК ЛЕП УНИВ D125XX22,2 PCS1GR40 </t>
  </si>
  <si>
    <t>Набор ключей  шестигранники Hex 1.5-10 мм 9 шт.</t>
  </si>
  <si>
    <t>Набор ключей  Hex состоит из  Г-образнных  9 предметов. Включает в себя шестигранные ключи размерами от 1,5 до 10 мм, изготовленные из прочного, износостойкого и неподверженного коррозии хромованадиевого сплава CrV. Ключи помещены в термоусадочную упаковку. Общий вес набора составляет 268 г.</t>
  </si>
  <si>
    <t>Киянка резиновая белая  XM171124032 450 г</t>
  </si>
  <si>
    <t>Киянка Dexter белая XM171124032— это разновидность молотка, имеющая резиновую ударную часть. Вес бойка — 0,45 кг.Ширина головы — 6 см.Ручка деревянная, имеет длину 26 см Вес нетто (кг):0.546</t>
  </si>
  <si>
    <t xml:space="preserve">Набор для крепления унитаза 10x80 мм цвет серебро
</t>
  </si>
  <si>
    <t>Набор для крепления унитаза 10х80 мм цвет серебро  комплект крепежа для установки унитаза и жесткой фиксации его к полу. Декоративная насадка скрывает металлические части и защищает от влаги. Комплект состоит из стального шурупа, полимерной насадки, втулки и дюбеля.</t>
  </si>
  <si>
    <t>Лак паркетный глянцевый бесцветный 5 л</t>
  </si>
  <si>
    <t>Лак паркетный Luxens алкидно-уретановый глянцевый бесцветный 5 л ремя высыхания "на отлип" (мин):4.0 Тип упаковки:Ведро Срок службы покрытия (лет) 	15 Срок годности (в месяцах):36 Ширина товара в индивидуальной упаковке (см)20.6 Высота товара в индивидуальной упаковке (см) 25 Короткое наименование товара для клиента:Лак парк.L,алк-уретан,б/цв,гл 5л</t>
  </si>
  <si>
    <t>Натрий едкий гранулированный, NaOH, мешки полипропиленовые с клапаном и полиэтиленовым вкладышем вместимостью по массе 25 кг</t>
  </si>
  <si>
    <t>Заглушка на квадратную трубу 25x25</t>
  </si>
  <si>
    <t>Пластмассовая пробка состоит из шляпки и основание. Основание шляпки полукруглая .Заглушка на квадратную трубу 25x25 D049</t>
  </si>
  <si>
    <t>Заглушка внутренняя для круглых труб, 19 мм</t>
  </si>
  <si>
    <t>Заглушка внутренняя для круглых труб, 19 мм  С114</t>
  </si>
  <si>
    <t>Салфетки бумажные для диспенсеров</t>
  </si>
  <si>
    <t>Цвет – белый Сырье – 100% целлюлоза 2-слойная. , Количество листов 180 шт</t>
  </si>
  <si>
    <t>Спецодежда 80%-хлопок хорошо пропускает воздух и впитывает влагу, материал не вызывает аллергии и не создает дискомфорта во время носки.</t>
  </si>
  <si>
    <t>Костюм летний (куртка+брюки)</t>
  </si>
  <si>
    <t>Костюм летний Кок-тобе (куртка+брюки) Состав ткани: 100% хлопок, обеспечивающий естественную мягкость и дышащесть. Цвет: Василек, придающий стильный и уникальный вид. Этот костюм "Кок-тобе" создан с учетом комфорта, стиля и функциональности. Идеальный выбор для тех, кто ценит естественные материалы и хочет выглядеть стильно в повседневной жизни.</t>
  </si>
  <si>
    <t>Сапоги резиновые Мегатоп зима</t>
  </si>
  <si>
    <t>Сапоги резиновые Мегатоп зима Материал: этилвинилацетат (ЭВА) — упругий, эластичный и устойчивый к истиранию, морозам и влаге. Защитный подносок: до 20 Дж Цвета:  хаки Высота: 40 см Вес одной пары сапог составляет всего 700 грамм,</t>
  </si>
  <si>
    <t>Гофра для унитаза</t>
  </si>
  <si>
    <t>Гофра для унитаза  110мм L=231-550мм К 828</t>
  </si>
  <si>
    <t>Троиник  d20, Диаметр 1: Ду20. Материал: ПП-полипропилен. Тройник полипропиленовый двухплоскостной D20. Основной материал-полипропилен</t>
  </si>
  <si>
    <t>Троиник  d15, Диаметр 1: Ду15. Материал: ПП-полипропилен. Тройник полипропиленовый двухплоскостной D15. Основной материал-полипропилен</t>
  </si>
  <si>
    <t>Клей "Дракон" полимерный, универсальный</t>
  </si>
  <si>
    <t>Клей ПВА-801 стандарт</t>
  </si>
  <si>
    <t>Клей ПВА-801 стандарт вес:800гр+-10гр</t>
  </si>
  <si>
    <t xml:space="preserve">Веник </t>
  </si>
  <si>
    <t>Веник "Сорго" люкс, ручка крепко перевязана полипропиленовым шпагатом.
 Высокое качество ; прутья не выпадают и не ломаются в процессе эксплуатации</t>
  </si>
  <si>
    <t xml:space="preserve">Саморез </t>
  </si>
  <si>
    <t>Саморез с пресс шайбой 4,2х25. Длина крепежного изделия 25мм. Нержавеющая сталь.</t>
  </si>
  <si>
    <t>Швабра для мытья полов (МОП)</t>
  </si>
  <si>
    <t>Швабра с телескопической рукояткой + насадка из МОП, ручка 120см, ручка и насадка из прочного материала, прочный.</t>
  </si>
  <si>
    <t xml:space="preserve">Запаска для швабры </t>
  </si>
  <si>
    <t>Запаска для швабры York Salsa, микрофибра, размер 42*12мм.</t>
  </si>
  <si>
    <t>Семена газонных трав</t>
  </si>
  <si>
    <t xml:space="preserve">Газон Мастер луга спортивный Prosport. Трава: мятлик, овсяница, райграс, Назначение газона: спортивный, Жизненный цикл-многолетнее, тип-семена, особенности-низкорослый.
 </t>
  </si>
  <si>
    <t xml:space="preserve">Горелка-насадка газовая с пьезоподжигом </t>
  </si>
  <si>
    <t xml:space="preserve">Насадка на газовый баллон Вихрь НГ-2 73/5/5/2, Вес.кг-0,122кг, вид топлива-бутан/пропан-бутановая смесь, </t>
  </si>
  <si>
    <t>Ручка дверная</t>
  </si>
  <si>
    <t>APS ручка на розетке 2 шт, TL-23-AB, тип-ручка на розетке, стационарная, материал ручки-сталь</t>
  </si>
  <si>
    <t>Известь негашеная</t>
  </si>
  <si>
    <t>Известь негашеная, высший сорт, комовая в мешках, белая, вес-25кг, упаковка-мешок, скорость гашения извести-быстрогасящаяся</t>
  </si>
  <si>
    <t>Урна с крышкой</t>
  </si>
  <si>
    <t>Урна металлическая с педалью 12 литров. Черный цвет, ведро для мусора контейнер. Высота-38,5см., диаметр-25см.</t>
  </si>
  <si>
    <t xml:space="preserve">Бак пластиковый мусорный </t>
  </si>
  <si>
    <t>Бак пластиковый мусорный Idea, 60 л, 550*480*530 мм, с крышкой, полипропилен.</t>
  </si>
  <si>
    <t>Чайник электрический</t>
  </si>
  <si>
    <t>Электрочайник Midea MK-17G01B черный, обьем-1,7 и выше, мощность-2200,0Вт, материал корпуса-стекло.</t>
  </si>
  <si>
    <t>Электрочайник Dekart Mivan-CH218 черный, 2,0литра, мощность 2200,0Вт, Покрытие нагревательного-нержавеющая сталь элемента, материал корпуса-пластик, металл. Заварочный чайник</t>
  </si>
  <si>
    <t xml:space="preserve">Врезной замок </t>
  </si>
  <si>
    <t xml:space="preserve">Замок врезной защелка </t>
  </si>
  <si>
    <t>Зеркало настенное</t>
  </si>
  <si>
    <t>Форма-прямоугольная, Размещение-настенное, Рама-Да, Размеры-70х50см, Высота -70см, ширина-50, толщина-1,7см.</t>
  </si>
  <si>
    <r>
      <t>Замок врезной защелка VILLANI de LUXE 220</t>
    </r>
    <r>
      <rPr>
        <b/>
        <sz val="10"/>
        <rFont val="Times New Roman"/>
        <family val="1"/>
        <charset val="204"/>
      </rPr>
      <t xml:space="preserve">. </t>
    </r>
    <r>
      <rPr>
        <sz val="10"/>
        <rFont val="Times New Roman"/>
        <family val="1"/>
        <charset val="204"/>
      </rPr>
      <t>Цвет: золото. Замки для межкомнатных дверей. Материал выдерживает механические воздействия, на нем не образуются трещины и царапины. Виды межкомнатных замков: замок-защелка, замок под фиксатор, замок под ключ. По типу язычка замки  делятся: механические с металлическим язычком, магнитные. 
Тип: замок врезной защелка с металлическим язычком.</t>
    </r>
  </si>
  <si>
    <t>Автоматический выключатель</t>
  </si>
  <si>
    <t>T-Plast   40*40</t>
  </si>
  <si>
    <t>Кабельный канал напольный</t>
  </si>
  <si>
    <t>70*16 темносерый</t>
  </si>
  <si>
    <t>Вилка штепсельная прямая с заземлением16А   220В</t>
  </si>
  <si>
    <t>Вилка штепсельная угловая с заземлением</t>
  </si>
  <si>
    <t>Универсальный чистящий порошок лимон, 400 гр. Для дезинфекции кафеля, Для очищение туалета. Убивает до 99,99% бактерий</t>
  </si>
  <si>
    <t>Мыло, жидкое гелеобразное, 5лит. Состав:вода, АПАВ 3-5%, неиноногенные ПАВ, менее 5%,амфотерные ПАВ 3-5%, глицерин, ПЕГ 7, перламутровый концентрат, отдушка, вспомогательные компоненты.</t>
  </si>
  <si>
    <t>Гелеобразное вещество для мытья полов и стен, объем тары 5л. Состав:представляет собой водный раствор лауретсульфата натрия, LABSA, кокамидопропил бетаина, 1,1-дифосфоновой кислоты, аминоксида, каустической соды, трилона Б, алкилполигликозида, лимонный кислоты, растворителя ММВ, красителя, отдушки</t>
  </si>
  <si>
    <t>Жидкость для мытья посуды Fairy 0,5 л Состав: 5% и более, но менее 15%: анионные ПАВ; менее 5%: неионогенные ПАВ; бензизотиазолинон; фенокситанол; гераниол; лимонен; отдушка.</t>
  </si>
  <si>
    <t>Бумага А4, плотность 80гр./м, толщина 108 мкм, в упаковке 500 листов формата А4, размер листа А4-210х297мм, матовое покрытие</t>
  </si>
  <si>
    <t xml:space="preserve">Бумага цветная </t>
  </si>
  <si>
    <t>Бумага цветная, IQ Color, А4, 80г/кв.м. 250листов,  цвет бумаги ассорти.</t>
  </si>
  <si>
    <t>Бумага для записей 80х80х800л</t>
  </si>
  <si>
    <t>Бумага для записей 90х90х500л</t>
  </si>
  <si>
    <t xml:space="preserve">Картон цветной </t>
  </si>
  <si>
    <t>Картон цветной в наборе - 210х297 5л. 5цв.</t>
  </si>
  <si>
    <t>Маркеры для доски</t>
  </si>
  <si>
    <t>Набор маркеров для доски, пулевидный наконечник 3 мм, ассорти, 4 цвета</t>
  </si>
  <si>
    <t>Маркер перманентный, пулевидный наконечник 1 мм, цвет черный,</t>
  </si>
  <si>
    <t>Маркер 2х сторонний</t>
  </si>
  <si>
    <t>Маркер 2х сторонний CD-DVD, черный цвет, перманентный не стирающийся, форма наконечника- пулевидный/игольчатый</t>
  </si>
  <si>
    <t>Файлы №100шт, в упаковке</t>
  </si>
  <si>
    <t>100 штук в упаковке, А4, матовые 60 микрон, файловый карман с универсальной с перфорацией для подшивки в папки регистраторы, стандартная перфорация</t>
  </si>
  <si>
    <t>Пробковая доска</t>
  </si>
  <si>
    <t>Доска пробковая, для объявлений, размер 100*150 см, алюминиевая рамка</t>
  </si>
  <si>
    <t>Материал корпуса-пластик, толщина линии письма-0,7мм, цвет корпуса прозрачный, цвет чернил-синий, количество в упаковке №10</t>
  </si>
  <si>
    <t>Ручки с красной пастой</t>
  </si>
  <si>
    <t>Материал корпуса-пластик, толщина линии письма-0,7мм, цвет корпуса прозрачный, цвет чернил-красный, количество в упаковке №10</t>
  </si>
  <si>
    <t>Ручки с зеленой пастой</t>
  </si>
  <si>
    <t>Материал корпуса-пластик, толщина линии письма-0,7мм, цвет корпуса прозрачный, цвет чернил-зеленый, количество в упаковке №10</t>
  </si>
  <si>
    <t>Ручки с черной пастой</t>
  </si>
  <si>
    <t>Материал корпуса-пластик, толщина линии письма-0,7мм, цвет корпуса прозрачный, цвет чернил-черный, количество в упаковке №10</t>
  </si>
  <si>
    <t>Карандаш HB</t>
  </si>
  <si>
    <t>черно-графитовый,  c ластиком, 12HB</t>
  </si>
  <si>
    <t>Карандаш в наборе</t>
  </si>
  <si>
    <t>Карандаши в наборе цветные - 12цв. "Color'peps" (карандаш с ластиком+точилка) (Maped)</t>
  </si>
  <si>
    <t xml:space="preserve">Стикеры для заметок 76х76мм, </t>
  </si>
  <si>
    <t>Стикеры для заметок 76х76мм, количество листов/закладок 400.0шт, форма квадратная. Материал -бумага цветная. Самоклеяшиеся</t>
  </si>
  <si>
    <t>Стикеры разных форматов</t>
  </si>
  <si>
    <t xml:space="preserve">Стикеры разных форматов виде сердечки и т.д, большие Самоклеяшиеся </t>
  </si>
  <si>
    <t>Тетрадь общая в клетку, 96 л.</t>
  </si>
  <si>
    <t>Общая тетрадь в клетку на 96 стр.синий цвет</t>
  </si>
  <si>
    <t>Тетрадь общая в клетку, А4</t>
  </si>
  <si>
    <t>Тетрадь общая в клетку, А4, обложка бумвил, цвет синий</t>
  </si>
  <si>
    <t>Книга учета А4 (твердая обложка)</t>
  </si>
  <si>
    <t>Книга учета А4 (твердая обложка), 96листов в клетку</t>
  </si>
  <si>
    <t xml:space="preserve">Корректирующий карандаш </t>
  </si>
  <si>
    <t>Корректирующий карандаш жидкий в карандаше от 8ml-до 9ml</t>
  </si>
  <si>
    <t>Корректирующая лента</t>
  </si>
  <si>
    <t>Корректирующая лента, ширина ленты 5мм, длина ленты  8м</t>
  </si>
  <si>
    <t xml:space="preserve">Штрих-замазка с кисточкой </t>
  </si>
  <si>
    <t>Штрих-замазка с кисточкой Retype 20 мл. (оригинал)</t>
  </si>
  <si>
    <t>Степлер №24/6</t>
  </si>
  <si>
    <t>Степлер №10</t>
  </si>
  <si>
    <t>Степлер №23/6</t>
  </si>
  <si>
    <t>Степлер №23/6. 210 листов</t>
  </si>
  <si>
    <t>Степлер металлический №23/6, 23/24</t>
  </si>
  <si>
    <t>Степлер сшивает до 220 листов, Berlingo "Steel and Style", №23/6 - 23/24, металлический, глубина захвата листа-70мм. Вместимость контейнера-100скобок.</t>
  </si>
  <si>
    <t>Скобы 24/6 мм</t>
  </si>
  <si>
    <t>Скобы 23/6</t>
  </si>
  <si>
    <t>Скобы 10 мм</t>
  </si>
  <si>
    <t>Ножницы (19см)</t>
  </si>
  <si>
    <t>Ножницы, универсальные 19 см, пластиковые ручки</t>
  </si>
  <si>
    <t>Клей канцелярский (25gr)</t>
  </si>
  <si>
    <t>Клей канцелярский (25gr), Клеящий карандаш, концистенция - твердая</t>
  </si>
  <si>
    <t>Клей ПВА</t>
  </si>
  <si>
    <t>Вес 65 гр. жидкий</t>
  </si>
  <si>
    <t>Папка с файлами А4 10 вкладышей</t>
  </si>
  <si>
    <t>Пластиковый 10 вкладышей</t>
  </si>
  <si>
    <t>Скотч прозрачный 50ммх300м</t>
  </si>
  <si>
    <t>Скотч прозрачный, белый 50 мм х 300 м. Прочная клейкая лента</t>
  </si>
  <si>
    <t>Скотч прозрачный 24ммх30м</t>
  </si>
  <si>
    <t>Скотч прозрачный, белый 24 мм х 30 м. Прочная клейкая лента</t>
  </si>
  <si>
    <t xml:space="preserve">Глянцевая двухсторонняя фотобумага, А4-210мм х 297мм, 50листов, 200гр., 5760dpi, Maulet </t>
  </si>
  <si>
    <t>Самоклеящаяся Бумага А4, матовый</t>
  </si>
  <si>
    <t>Канцелярский нож</t>
  </si>
  <si>
    <t>Канцелярский нож 18мм, L-5</t>
  </si>
  <si>
    <t xml:space="preserve">Папка регистр </t>
  </si>
  <si>
    <t>Папка-регистратор А4, ПВХ, 80мм, цвет синий, черный</t>
  </si>
  <si>
    <t>Рамки А4 для грамот бело-золотистыми контуром</t>
  </si>
  <si>
    <t>Рамки А4 для грамот бело-золотистыми контуром. Расположение-настольное, подвесное. Форма рамки-прямоугольная.</t>
  </si>
  <si>
    <t>Рамки А4 для грамот коричневым контуром</t>
  </si>
  <si>
    <t>Рамки А4 для грамот коричневым контуром. Расположение-настольное, подвесное. Форма рамки-прямоугольная.</t>
  </si>
  <si>
    <t>Лотки вертикальные</t>
  </si>
  <si>
    <t>Лоток вертикальный Стамм "Эксперт", 286*95*285 мм, серый или черный</t>
  </si>
  <si>
    <t>Ежедневник датированый</t>
  </si>
  <si>
    <t>Ежедневник датированный Staff, 2026 г, А5, 160 л, бумвинил, черный, синий. С календарем 2026г</t>
  </si>
  <si>
    <t>Папка-скоросшиватель пластиковый</t>
  </si>
  <si>
    <t>Папка-скоросшиватель Стамм, А4 формат, 160 мкм , синяя, с перфорацией</t>
  </si>
  <si>
    <t>Кнопки канцелярские цветные</t>
  </si>
  <si>
    <t xml:space="preserve">Кнопки канцелярские цветные 12мм., цветные, 50шт в упаковке , вид-гвозди, </t>
  </si>
  <si>
    <t>Скрепки канцелярские 28мм</t>
  </si>
  <si>
    <t>Скрепки канцелярские 28мм, 100шт в упаковке</t>
  </si>
  <si>
    <t xml:space="preserve">Зажимы для бумаги (51мм) </t>
  </si>
  <si>
    <t>Зажимы для бумаги (51мм), цвет черный, №12шт</t>
  </si>
  <si>
    <t>Зажимы для бумаги (32мм), №12</t>
  </si>
  <si>
    <t>Зажимы для бумаги (32мм), №12шт</t>
  </si>
  <si>
    <t>Зажимы для бумаги (25мм) разноцветная</t>
  </si>
  <si>
    <t>Зажимы для бумаги (25мм), цвет  разноцветная, №12шт</t>
  </si>
  <si>
    <t>Зажимы для бумаги (19мм)</t>
  </si>
  <si>
    <t>Дырокол большой 150 листов</t>
  </si>
  <si>
    <t>Дырокол "78150", до 150 листов, металлический корпус, черный. Диаметр отверстий 6мм, растояние между отверстиями-80мм.</t>
  </si>
  <si>
    <t>Дырокол -60л ассорти</t>
  </si>
  <si>
    <t>60 листов ассорти</t>
  </si>
  <si>
    <t>Линейки, большие для меловой доски  (набор из  5х частей)</t>
  </si>
  <si>
    <t xml:space="preserve">Набор чертежный для классной доски. В набор входит:
• линейка 100 см;
• транспортир 180° с ручкой;
• циркуль для мела и маркера;
• треугольник 30 и 60 градусов (25×45 см) с ручкой;
• треугольник 45 и 45 градусов (30×30 см) с ручкой.
Изготовлен из прочного пластика. С выделенной разметкой.
</t>
  </si>
  <si>
    <t>Мел для доски</t>
  </si>
  <si>
    <t xml:space="preserve">Школьный мел для рисования на любой поверхности </t>
  </si>
  <si>
    <t>Губка для маркерной доски</t>
  </si>
  <si>
    <t>Журнал для регистраций по пожарной безопасности</t>
  </si>
  <si>
    <t>Журнал учета инструктажей по пожарной безопасности</t>
  </si>
  <si>
    <t>Журнал для регистраций по технике безопасности</t>
  </si>
  <si>
    <t>Журнал учета инструктажей по технике безопасности</t>
  </si>
  <si>
    <t xml:space="preserve">Ластик </t>
  </si>
  <si>
    <t>Ластик (54х20х10мм), материал-каучук, форма ластика-прямоугольный, белый</t>
  </si>
  <si>
    <t>12 цвет. 40мл</t>
  </si>
  <si>
    <t>Кисточка</t>
  </si>
  <si>
    <t>Кисти в наборе - 4шт. "Color'peps" (№4.10.14 круглые №14 плоская) в блистере (Maped)</t>
  </si>
  <si>
    <t xml:space="preserve">Краски Акварельные </t>
  </si>
  <si>
    <t>Краски акварельные 12 цветов</t>
  </si>
  <si>
    <t xml:space="preserve">Калькулятор </t>
  </si>
  <si>
    <t>CITIZEN настольный SDC-664S, 16-разрядный, черный. Особенности-клавиша 00, смена знака, вычисления налога, расчет процентов, квадратный корень, округление, тригонометрические функции</t>
  </si>
  <si>
    <t>Гвозди L-11мм</t>
  </si>
  <si>
    <t>Гвозди L-11мм., 50шт., упаковка  в пластике</t>
  </si>
  <si>
    <t>Магниты для доски</t>
  </si>
  <si>
    <t xml:space="preserve">Магниты для доски 12шт, цветные </t>
  </si>
  <si>
    <t>Нить для прошивки документов OfficeSpace ЛШ-460, 500 м, лавсановая, белая, материал-лавсановая.</t>
  </si>
  <si>
    <t>Иголка для документа</t>
  </si>
  <si>
    <t xml:space="preserve">Иглы для прошивки документов, длина иголки от 8-до12см, диамент-1,83см,  №5, </t>
  </si>
  <si>
    <t>Точилка ручная Dolphin X02-2-2, 1 шт, мультиколор</t>
  </si>
  <si>
    <t>Точилка ручная Dolphin X02-2-2, 1 шт, мультиколор, количество отверстий-2, вид-ручная, диаметр отверстиий-8мм, 12мм</t>
  </si>
  <si>
    <t xml:space="preserve">Стакан металлический </t>
  </si>
  <si>
    <t>Стакан металлический сетчатый, круглый, черный, Настольная подставка Deli для канцелярских принадлежностей</t>
  </si>
  <si>
    <t xml:space="preserve">Подставки для блок-кубиков (кубарика) металлическая </t>
  </si>
  <si>
    <t>Подставки для блок-кубиков (кубарика) металлическая сетка, черные, 4 штуки в комплекте</t>
  </si>
  <si>
    <t>Комплект</t>
  </si>
  <si>
    <t>Конверт папка А4</t>
  </si>
  <si>
    <t>Настольный органайзер</t>
  </si>
  <si>
    <t>Настольный органайзер, предмет 14шт-16шт, черный, Комплектациястеплер, скобы для степлера, ластик, линейка, канцелярский нож, канцелярские ножницы, точилка, карандаш, ручка, скрепки, бумага для заметок
Основной материал-пластик качественый.</t>
  </si>
  <si>
    <t>Набор</t>
  </si>
  <si>
    <t>Папка-скоросшиватель картонная А4</t>
  </si>
  <si>
    <t>Папка-скоросшиватель картонная, А4 формат, 250 гр, белая</t>
  </si>
  <si>
    <t>Диспенсер (распределитель скотча)</t>
  </si>
  <si>
    <t xml:space="preserve">Диспенсер DELI 814 синий, Максимальная ширина ленты-19.0 мм, Диаметр втулки ленты-2.0 мм. Длина-33.0 мм. Ширина-19.0 мм. Высота-57.0 мм </t>
  </si>
  <si>
    <t xml:space="preserve">Диспенсер 3M 4585628, распредилитель скотча. Максимальная ширина ленты -50,0мм. Длина-160.0мм. Ширина-52,0мм. Материал-металл. </t>
  </si>
  <si>
    <t xml:space="preserve">Увлажнитель д/пальцев квадратный с губкой </t>
  </si>
  <si>
    <r>
      <t xml:space="preserve">Конверт- на кнопке А4 </t>
    </r>
    <r>
      <rPr>
        <u/>
        <sz val="10"/>
        <rFont val="Times New Roman"/>
        <family val="1"/>
        <charset val="204"/>
      </rPr>
      <t xml:space="preserve">прозрачная </t>
    </r>
    <r>
      <rPr>
        <sz val="10"/>
        <rFont val="Times New Roman"/>
        <family val="1"/>
        <charset val="204"/>
      </rPr>
      <t xml:space="preserve">180мкм </t>
    </r>
  </si>
  <si>
    <t>Кг</t>
  </si>
  <si>
    <t>Пара</t>
  </si>
  <si>
    <t>Сердцевина (цинковая 80мм)</t>
  </si>
  <si>
    <t xml:space="preserve">Адаптер ПП-РС20/15 с нар.рез. для пластик трубы </t>
  </si>
  <si>
    <t>Сантехнический (трубные) ключ</t>
  </si>
  <si>
    <t>Совок с длинной ручкой</t>
  </si>
  <si>
    <t>Спец. одежда для техперсонала женский куртка+брюки)</t>
  </si>
  <si>
    <t>Тройник d 20</t>
  </si>
  <si>
    <t>Тройник  d15</t>
  </si>
  <si>
    <t xml:space="preserve">Шторка для душа </t>
  </si>
  <si>
    <t>Шторка для душа водонепроницаемая. Белая штора для ванной изготовлена из качественного материала — полиэстера, обладающего водоотталкивающим свойством. Изделие имеет специальные отверстия. Высота 180см, ширина 180-200см, материал -полиэстер</t>
  </si>
  <si>
    <t>Карниз для шторки в душ</t>
  </si>
  <si>
    <t xml:space="preserve">Замок врезной 8550 SD 410 C SN хром, Варианты цвета SN (матовый никель), AB (старая бронза) Сторона открывания - универсальная Межосевое расстояние, мм - 85 Сечение квадрата, мм - 8 Ответка в комплекте - да Дополнительная фиксация - да Комплектация ручками - нет  Тип защелки - классическая </t>
  </si>
  <si>
    <t>Жидкость для мытья посуды</t>
  </si>
  <si>
    <t xml:space="preserve">Двухсторонняя глянцевая бумага  </t>
  </si>
  <si>
    <t>Губка для доски</t>
  </si>
  <si>
    <t>Фломастеры</t>
  </si>
  <si>
    <t>Гуашь</t>
  </si>
  <si>
    <t>Нить для документа</t>
  </si>
  <si>
    <t xml:space="preserve">Увлажнитель для пальцев квадратный с губкой </t>
  </si>
  <si>
    <t xml:space="preserve">Расшифровка расходов на приобретение инвентаря для проживающих воспитанников в интернате                                                                                                   </t>
  </si>
  <si>
    <t>Инвентарь для проживающих воспитанников в интернате</t>
  </si>
  <si>
    <t xml:space="preserve">Одеало </t>
  </si>
  <si>
    <t>Одеяло теплые из хлопчатобумажных тканей и тканей из смешанных нитей, с накопителем из натуральных волокон. (натуральные наполнитель)</t>
  </si>
  <si>
    <t>Покрывало</t>
  </si>
  <si>
    <t>Покрывало, вид – полутораспальный, материал – искуственный мех/полиэстер, размеры 150*200 см.</t>
  </si>
  <si>
    <t>Комплект постельного белья</t>
  </si>
  <si>
    <t>Постельное белье ( х/б, пододеяльник 160х220, простынь 180х240, наволочка от50х70, до 65х65 ткань 100% хлопок.</t>
  </si>
  <si>
    <t xml:space="preserve"> Расшифровка расходов на подписку и периодические издания </t>
  </si>
  <si>
    <t xml:space="preserve">Подписка и периодические издания </t>
  </si>
  <si>
    <t xml:space="preserve">Расшифровка расходов на приобретение мыло-моющих товаров                                                                                                </t>
  </si>
  <si>
    <t xml:space="preserve">Расшифровка расходов на приобретение электротоваров                                                                                        </t>
  </si>
  <si>
    <t>Расшифровка расходов на приобретение прочих запасов хозяйственных товаров, необходимых для обслуживания и содержания</t>
  </si>
  <si>
    <t>Мягкий инвентарь для проживающих воспитанников в интернате</t>
  </si>
  <si>
    <t xml:space="preserve">Расшифровка расходов на приобретение спец.одежды для тех.персонала                                                                           </t>
  </si>
  <si>
    <t xml:space="preserve">Спец. одежда для тех.персонала </t>
  </si>
  <si>
    <t>Спец.одежда для тех.персонала</t>
  </si>
  <si>
    <t>Комиссия банка</t>
  </si>
  <si>
    <t>Услуги полиграфии</t>
  </si>
  <si>
    <t>Услуги оформления мероприятий</t>
  </si>
  <si>
    <t xml:space="preserve">Услуга изготовления значков </t>
  </si>
  <si>
    <t>Обслуживание Автоматизированной системы мониторинга и систем безопасности</t>
  </si>
  <si>
    <t>Служебная поездка для участия в заклютельном этапе Республиканской олимпиады по физике и по биологии</t>
  </si>
  <si>
    <t>Служебная поездка для участия в заклютельном этапе Республиканской олимпиады по математике и по химии</t>
  </si>
  <si>
    <t>Служебная поездка для участия в заклютельном этапе Республиканской олимпиады по казахскому языку и летературе</t>
  </si>
  <si>
    <t>г.Алматы-г.Орал</t>
  </si>
  <si>
    <t>Служебная поездка для участия в заклютельном этапе Республиканской олимпиады по русскому языку и летературе</t>
  </si>
  <si>
    <t>Служебная поездка для участия в заклютельном этапе Республиканской олимпиады по истории Казахстана и основы права</t>
  </si>
  <si>
    <t>г.Алматы-г.Кызылорда</t>
  </si>
  <si>
    <t>Служебная поездка для участия в заклютельном этапе Республиканской олимпиады по английскому языку</t>
  </si>
  <si>
    <t>г.Алматы-г.Кокшетау</t>
  </si>
  <si>
    <t>Служебная поездка для участия в заклютельном этапе Республиканской олимпиады по химии имени К.Сатпаева</t>
  </si>
  <si>
    <t xml:space="preserve">Кубок </t>
  </si>
  <si>
    <t xml:space="preserve">Медали </t>
  </si>
  <si>
    <t xml:space="preserve">Мячи для мини- футбола  </t>
  </si>
  <si>
    <t xml:space="preserve">Мячи для футбола  </t>
  </si>
  <si>
    <t>Мяч баскетбольный  li-ning</t>
  </si>
  <si>
    <t xml:space="preserve">Ракетки для бадминтона Yonex </t>
  </si>
  <si>
    <t xml:space="preserve">Волан для бадминтона Yonex, mavis 350 </t>
  </si>
  <si>
    <t>Сетка для баскетбола DEMIX</t>
  </si>
  <si>
    <t xml:space="preserve">Ракетки для настольного тенниса  Stiga </t>
  </si>
  <si>
    <t xml:space="preserve">Журнал по технике безопасности </t>
  </si>
  <si>
    <t>Степ платформа AeroFit</t>
  </si>
  <si>
    <t>Подушка для растяжки</t>
  </si>
  <si>
    <t>Блок для йоги</t>
  </si>
  <si>
    <t>Сетка для мини футбольных ворот</t>
  </si>
  <si>
    <t xml:space="preserve">Расшифровка расходов на приобретение прочих запасов (Товары для кафедры физической культуры)                                                                                                         </t>
  </si>
  <si>
    <t>Товары для кафедры физической культуры</t>
  </si>
  <si>
    <t xml:space="preserve">Кубки металлические
Размеры кубков:
А-56 см В-49 см С-43 см </t>
  </si>
  <si>
    <t xml:space="preserve">Кубки металлические
Размеры кубков:
А-37 см В-34 см С-30 см </t>
  </si>
  <si>
    <t>Цвет-Золотистый
Диаметр-65 мм
Тип крепления-Ленточка на шею</t>
  </si>
  <si>
    <t>Размер: 9.5м x 1м
Материал: Нейлон
Диаметр:4.0 (мм)
Форма ячейки: Квадратная
Длина ячейки сетки:90 (мм)
Ширина ячейки сетки:90 (мм)
Особенности: Шнур повышенной  прочности,  Металлический трос в комплекте</t>
  </si>
  <si>
    <t>Цвет основной: Желтый
Цвет дополнительный: Синий
Категория товара:Мячи для волейбола Размер:5 Тип соединения панелей: Клееный
Количество панелей: 8</t>
  </si>
  <si>
    <t xml:space="preserve">Вес мяча 260-280 грамм, диаметр 210 мм. Мяч выполнен из синтетической кожи на основе микрофибры с углублениями. Новая конструкция мяча состоит из 8-ми панелей, склеенных между собой. Материал камеры - бутил. </t>
  </si>
  <si>
    <t>Тип мяча: Футзальный
Размер: 4 Материал: Полиуретан
Способ сшивки мяча:Ручной</t>
  </si>
  <si>
    <t>Тип мяча: Размер: 5
Материал: Полиуретан
Способ сшивки мяча:Ручной</t>
  </si>
  <si>
    <t>Баскетбольный мяч Li-Ning из синтетической кожи</t>
  </si>
  <si>
    <t>Материал ракетки:
Обод-сплав из алюминия;
Ручка-сталь. Комплектация: 2 ракетки, PVC-чехол</t>
  </si>
  <si>
    <t>Воланы для бадминтона с натуральной перьевой юбкой</t>
  </si>
  <si>
    <t>Диаметр нити баскетбольной сетки ―  мм 
Количество крепежных петель баскетбольной сетки ― 12
Цвет ― белый . Тип ― узловая</t>
  </si>
  <si>
    <t>Материал накладок: накладки Evo и губки толщиной 2,0 мм с применением передовой технологии NCT, Накладка с использованием технологии Synergy Tech.</t>
  </si>
  <si>
    <t>Журнал по технике безопасности на уроках</t>
  </si>
  <si>
    <t>Профессиональная степ-доска
4 надежных и устойчивых опоры
3 уровня высоты (10, 15, 20см)
Качественные и износостойкие материалы. Размер: 109х41х20см
Специальное покрытие для предотвращения скольжения.</t>
  </si>
  <si>
    <t>ШИРИНА:13 см. ДЛИНА:24 см
ВЫСОТА:5 см. ВЕС:90 г
МАТЕРИАЛ: бифлекс/поролон</t>
  </si>
  <si>
    <t>23 см * 15 см * 7,6 см, кирпич из пеноматериала, для растяжки</t>
  </si>
  <si>
    <t>Размеры: 3 м (ширина) * 2 м (высота) * 1 м (глубина)</t>
  </si>
  <si>
    <t>Сводный расчет расходов на 2027 год ПЛАН</t>
  </si>
  <si>
    <t xml:space="preserve">   Расшифровка на приобретение  питьевой воды </t>
  </si>
  <si>
    <t>*в среднем 1 л на 1-го учащегося</t>
  </si>
  <si>
    <t>Прочие средства медицинского назначения</t>
  </si>
  <si>
    <t>Расшифровка расходов прочих средств медицинского назначения</t>
  </si>
  <si>
    <t>Омрон Термометр</t>
  </si>
  <si>
    <t>Тонометр UB-888</t>
  </si>
  <si>
    <t>Простыни однаразовые в рулоне</t>
  </si>
  <si>
    <t>Халат пл 40 (голубой)</t>
  </si>
  <si>
    <t>Комплект шин подросковых</t>
  </si>
  <si>
    <t>Тонометр UA-100 механ. со встав. стетоск.</t>
  </si>
  <si>
    <t>Перчатки смотровые</t>
  </si>
  <si>
    <t>Бриллиантовой зелени р-р спиртовой</t>
  </si>
  <si>
    <t>Бинт нест</t>
  </si>
  <si>
    <t>Ибупрофен</t>
  </si>
  <si>
    <t>упаковка</t>
  </si>
  <si>
    <t>Шпатель медицинский</t>
  </si>
  <si>
    <t>Фрост спрей охлаждающее ср-во</t>
  </si>
  <si>
    <t>Троксевазин гель</t>
  </si>
  <si>
    <t>Перчатки нитриловые смотровые нестерильные неопудренные размер S</t>
  </si>
  <si>
    <t>Перчатки нитриловые смотровые нестерильные неопудренные размер M</t>
  </si>
  <si>
    <t>Отипакс</t>
  </si>
  <si>
    <t>Бинт стер</t>
  </si>
  <si>
    <t>Поллезин</t>
  </si>
  <si>
    <t>Салфетка спиртовая</t>
  </si>
  <si>
    <t>Аммиак</t>
  </si>
  <si>
    <t>Бинт мед.эласт.1,5м х 6 см</t>
  </si>
  <si>
    <t>Салфетки стерильные</t>
  </si>
  <si>
    <t>Лейкопластырь</t>
  </si>
  <si>
    <t>Сальбутамол</t>
  </si>
  <si>
    <t>Повидон йод</t>
  </si>
  <si>
    <t>Псило - бальзам 1%</t>
  </si>
  <si>
    <t>Адреналин</t>
  </si>
  <si>
    <t>Скорая помощь</t>
  </si>
  <si>
    <t>Регидрон</t>
  </si>
  <si>
    <t>Санипласт</t>
  </si>
  <si>
    <t>Парацетамол</t>
  </si>
  <si>
    <t>Перекись водорода</t>
  </si>
  <si>
    <t>Уголь активированный таблетки</t>
  </si>
  <si>
    <t>Хлоргексидин биглюконат</t>
  </si>
  <si>
    <t>Диазолин</t>
  </si>
  <si>
    <t>Вата нестерильная</t>
  </si>
  <si>
    <t>Валерианы экстракт</t>
  </si>
  <si>
    <t>Бинт мед.эласт. 2м х 80 мм</t>
  </si>
  <si>
    <t>Долгит</t>
  </si>
  <si>
    <t>Скорая помощь спрей</t>
  </si>
  <si>
    <t>Расшифровка расходов на приобретению прочих запасов хозяйственных товаров, необходимых для обслуживания и содержания</t>
  </si>
  <si>
    <t>Штука</t>
  </si>
  <si>
    <t>Монтажный Клей Professional Classic Fix универсальный клей №1 в тубе 310 мл, прозрачный</t>
  </si>
  <si>
    <t>штука</t>
  </si>
  <si>
    <t>Силикон универсальный, бесцветный, 280 мл</t>
  </si>
  <si>
    <t>Клей 2-х компонентный 400+100 мл.</t>
  </si>
  <si>
    <t>Коронка по бетону для подрозетников d 80</t>
  </si>
  <si>
    <t>Грабли веерные для листьев550х385/1440</t>
  </si>
  <si>
    <t>Удлинитель катушка 50 м.</t>
  </si>
  <si>
    <t>Удлинитель силовой 50 м, 16А, тип УХ10, ПВС, усиленный, на кабельной катушке, 4 розетки сечение 2 x 2.5 мм  IP20 максимальная нагрузка  тока 3500 Вт</t>
  </si>
  <si>
    <t xml:space="preserve">Леска для триммера 3 мм. 240 м/катушка </t>
  </si>
  <si>
    <t>Телескопическая швабра для мытья окон снаружи</t>
  </si>
  <si>
    <t>Бумажное полотенце c укладкой для диспенсера</t>
  </si>
  <si>
    <t>Бумажное полотенце Z укладка двухслойная 100 % целлюлоза салфетка Кол-во листов в пачке – 120</t>
  </si>
  <si>
    <t>Замок</t>
  </si>
  <si>
    <t>132/50B вертушка AB старая бронза Замок врезной с/руч Материал корпуса: Сталь Материал вертушки: Алюминиевый сплав Материал цилиндра: Алюминий/цинк Материал ключей: Сталь</t>
  </si>
  <si>
    <t>Круг отрезной</t>
  </si>
  <si>
    <t>Круг отрезной по металлу состоит из абразивного полотна, обычно армированного для прочности специальной сеткой (бакелитовая связка), которая придает отрезному диску прочность и препятствует разлету осколков при заклинивании диска. Диаметр диска, мм: 230 Посадочное отверстие, мм: 22 Толщина, мм: 1,6</t>
  </si>
  <si>
    <t>Клейкая лента</t>
  </si>
  <si>
    <t>Ленты для разметки пола ПВХ 0,17 мм x 50 мм x 30 метров, цвет красно-белый, Он используется в качестве полосы безопасности, ориентации и определения безопасной зоны на полу. Он устойчив к истиранию, воде и влаге.</t>
  </si>
  <si>
    <t xml:space="preserve">Мешки обладают повышенной прочностью. Мешки для мусора. Объём 30 литров. Размер: 26*60 см, Плотность: 10 мкр. В рулоне: 20 штук. </t>
  </si>
  <si>
    <t>рулон</t>
  </si>
  <si>
    <t>Мешки обладают повышенной прочностью. Мешки для мусора. Объём 60 литров. Плотность: 15 мкр. В рулоне: 20 штук.</t>
  </si>
  <si>
    <t xml:space="preserve">Мешки обладают повышенной прочностью. Мешки для мусора. Объём 120 литров. Плотность: 20 мкр. В рулоне:  20 штук. </t>
  </si>
  <si>
    <t>2-сторонний. Лента клейкая на вспененной основе усиленная, двусторонняя, черная и белая, 19 мм х 5 м Артикул - 12231-19-05. Подробнее: https://zubr-shop.kz/p50048390-dvuhstoronnyaya-klejkaya-lenta.html</t>
  </si>
  <si>
    <t>Килограмм</t>
  </si>
  <si>
    <t>Смеситель душевой настенный</t>
  </si>
  <si>
    <t xml:space="preserve">Смеситель душевой настенный  латунь, одно рычажный, цвет хром с системой ANTI-NOISE. керамический картриж Ø 35, тип крепления: эксцентрики с декоративными отражателями. В комплекте : душевая лейка, держатель для лейки, шланг 1,5 м. </t>
  </si>
  <si>
    <t>Смеситель одно рычажный для раковины хромированный, монтаж на одно отверстие</t>
  </si>
  <si>
    <t>Душевой шланг силиконовый арт. VRSH15</t>
  </si>
  <si>
    <t>набор</t>
  </si>
  <si>
    <t>№201 Прозрачный жидкий клей мгновенного действия. Обладает хорошими свойствами, теплоустойчивостью и устойчивостью к атмосферным осадкам. Применяется для склеивания резиновых и пластиковых поверхностей (ПВХ), изделий из кожи, наклеивания типс и ремонта ногтей. Рекомендуется для склеивания баннерных тканей. Удобная упаковка с носиком.</t>
  </si>
  <si>
    <t>2-х оборотный без сердечника Диаметр врезной части, мм: 15 Длина врезной части, мм: 20 Тип ключа: Английский Тип механизма секрета: Цилиндровый Цвет: Никель</t>
  </si>
  <si>
    <t>Отвод водопроводный, диаметром 20*90°, предназначена для разветвления трубопровода в помещениях. Изготовлен из полипропилена высокого качества.</t>
  </si>
  <si>
    <t>Отвод водопроводный, диаметром 25*90°, предназначена для разветвления трубопровода в помещениях. Изготовлен из полипропилена высокого качества.</t>
  </si>
  <si>
    <t>для пластик. трубы</t>
  </si>
  <si>
    <t>Муфта ППР дм 15</t>
  </si>
  <si>
    <t>Адаптер дм 20 резьбой 15</t>
  </si>
  <si>
    <t>для пластик. трубы наружной резьбой</t>
  </si>
  <si>
    <t>Хомуты металлические  50шт/уп</t>
  </si>
  <si>
    <t>Хомуты металлические Стандартное болтовое крепление 20-32мм, 50шт/уп,ширина 9мм </t>
  </si>
  <si>
    <t>Хомуты металлические</t>
  </si>
  <si>
    <t>Хомуты металлические Стандартное болтовое крепление 50-70мм, 50шт/уп,ширина 9мм 47563 (002)</t>
  </si>
  <si>
    <t>Винт с круглой головкой и гайкой</t>
  </si>
  <si>
    <t>м6*50мм</t>
  </si>
  <si>
    <t>Саморез</t>
  </si>
  <si>
    <t>Саморез с пресс шайбой А2 Длина крепежного изделия 13 мм Нержавеющая сталь</t>
  </si>
  <si>
    <t>Шуруп для Г/К 3,5х51 мелкая резьба</t>
  </si>
  <si>
    <t>Шуруп для Г/К 3,5х35 мелкая резьба</t>
  </si>
  <si>
    <t>Шуруп для Г/К 3,5х32 мелкая резьба</t>
  </si>
  <si>
    <t>Шуруп коленный черный с частой резьбой 3,5*40 450гр.</t>
  </si>
  <si>
    <t>Чепик</t>
  </si>
  <si>
    <t>6мм в пачке 100 шт.</t>
  </si>
  <si>
    <t>5мм в пачке 100 шт.</t>
  </si>
  <si>
    <t>Анкерный болт с гайкой 8*10*75</t>
  </si>
  <si>
    <t xml:space="preserve">Для ударного сверления отверстий в бетоне, кирпиче, камне перфораторами SDS-plus. </t>
  </si>
  <si>
    <t>Сверло для перфоратора по бетону SDS PLUS 5х210</t>
  </si>
  <si>
    <t>Сверло для перфоратора по бетону SDS PLUS 6х210</t>
  </si>
  <si>
    <t>Сверло для перфоратора по бетону SDS PLUS 10х210</t>
  </si>
  <si>
    <t>Сверло для перфоратора по бетону SDS PLUS 12х260</t>
  </si>
  <si>
    <t>Отвертка трещотка</t>
  </si>
  <si>
    <t>Отвертка Т-образная реверсивная Удлинитель 130 мм Гибкий удлинитель 140 мм Переходник для торцевых головок 1/4" Торцевые головки: 5, 6, 7, 8, 9, 10, 11, 12 ...</t>
  </si>
  <si>
    <t>Шпингалет мебельный (малый)</t>
  </si>
  <si>
    <t>Задвижка накладная для окон и мебели "ШП-60 БЦ", цвет белый/цинк, 60мм (37751-60)</t>
  </si>
  <si>
    <t>Класс доводчика EN 2 от 750 до 850 мм / 45 кг</t>
  </si>
  <si>
    <t>Доводчик двухскоростной  для дверей.Угол открывания двери до 180 град.  60кг цвет белый метал</t>
  </si>
  <si>
    <t>Доводчик двухскоростной  для дверей.Угол открывания двери до 180 град.  100кг цвет белый метал</t>
  </si>
  <si>
    <t>Гибкая подводка, подключение: гайка G1/2 – гайка G1/2, длина: 60 см, оплётка из нержавеющей стали, гайки из латуни, материал шланга: EPDM. Максимальное рабочее давление 1,5 МПа
&gt;10 шт. – в наличии 1
Гибкая подводка, подключение: гайка G1/2 – гайка G1/2, длина: 60 см, оплётка из нержавеющей стали, гайки из латуни, материал шланга: EPDM.</t>
  </si>
  <si>
    <t>Насадки для шуруповерта с магнитом</t>
  </si>
  <si>
    <t>Набор бит Ph2 x 50 мм, сталь S2,10 шт</t>
  </si>
  <si>
    <t>Магнитное кольцо для отвертки 1/4 дюйма</t>
  </si>
  <si>
    <t>Магнитное кольцо для отвертки 1/4 дюйма в комплекте 5шт</t>
  </si>
  <si>
    <t xml:space="preserve">CR_СИФОН Д/РАКОВИНЫ КОМПЛ. EQUATION СЛИВ Вес, кг: 0.276 </t>
  </si>
  <si>
    <t>Ограничитель открывания для пластиковых окон</t>
  </si>
  <si>
    <t>Фрамужные ножницы 13 см непосредственно выполняют функцию открывания окна или установку в режим проветривания. Сам элемент фурнитуры крепится к верхней петле окна. Элемент фурнитуры «ножницы» спроектирован таким образом, чтобы защитить окно от резкого захлопывания при порывах ветра, предусмотрена функция блокирования закрытия (или открытия) окна при неправильном положении ручки, также есть доводчик, который помогает закрыть окно и обеспечивает хороший прижим оконной створки к раме.</t>
  </si>
  <si>
    <t>Сварочная маска</t>
  </si>
  <si>
    <t>средство индивидуальной защиты глаз, лица и шеи от ожогов, ультрафиолетового излучения, искр, инфракрасного света и высоких температур при сварочных работах. Основная часть масок имеет смотровое окошко со светофильтром, которые выполнены из тонированного стекла, </t>
  </si>
  <si>
    <t>Очки защитные</t>
  </si>
  <si>
    <t>Очки зашитые прозрачные Очки защитные закрытого типа. Защита спереди и сбоку, сверху и снизу от брызг не разъедающих жидкостей и от сочетания их с воздействием твердых частиц. Конструкция: закрытые панорамные (обзор 180°) очки с непрямой вентиляцией. Простая и быстрая регулировка длины резинки.</t>
  </si>
  <si>
    <t>резиновые коврики 0,9*1,2</t>
  </si>
  <si>
    <t>Резиновые коврики с отверстиями в виде дырок или как их называют иначе маты ячеистые</t>
  </si>
  <si>
    <t>Аэрозольная краска черная (баллончик 520мл)</t>
  </si>
  <si>
    <t>"Эмаль универсальная высокопрочная RAL в баллончике", Алкидная, Глянцевая, 0.52 л, Чёрная глянцевая RAL 9005, KU-1002</t>
  </si>
  <si>
    <t>Аэрозольная краска серая (баллончик 520мл)</t>
  </si>
  <si>
    <t>"Эмаль универсальная высокопрочная RAL в баллончике", Алкидная, 0.52 л, Серая RAL 7040, KU-1018</t>
  </si>
  <si>
    <t>Аэрозольная краска белая (баллончик 520мл)</t>
  </si>
  <si>
    <t xml:space="preserve"> "Эмаль универсальная быстросохнущая RAL в баллончике" Акриловая, Глянцевая, 0.52 л, Белая RAL 9003</t>
  </si>
  <si>
    <t>Скобы для мебельного степлера</t>
  </si>
  <si>
    <t>скобы для мебельного степлера 53, 4-8мм</t>
  </si>
  <si>
    <t>Адаптер</t>
  </si>
  <si>
    <t>3/4", из латуни, с внешней резьбой, адаптер штуцерный BE-34 8-426116_z02 PROLine Подробнее: https://zubr-shop.kz/p91050994-grinda-latuni-vneshnej.html</t>
  </si>
  <si>
    <t>Труба из полипропилена д-25 (4м)</t>
  </si>
  <si>
    <t>Диспенсер</t>
  </si>
  <si>
    <t>Диспенсер для жидкого мыла</t>
  </si>
  <si>
    <t>Плита ГКЛ</t>
  </si>
  <si>
    <t>2500х1200х12,5</t>
  </si>
  <si>
    <t>Электрод</t>
  </si>
  <si>
    <t>Электроды Т-590 д.2,6 мм, (1кг) для износостойкой наплавки</t>
  </si>
  <si>
    <t>Тряпка резиновая для стеклянных поверхностей 40х40см.</t>
  </si>
  <si>
    <t>Размер 40*40 см. Плотность: 250 гр./м2 Материал: Вискоза.</t>
  </si>
  <si>
    <t>Магнитная защелка белая, удерживающее усилие 3-4кг.</t>
  </si>
  <si>
    <t>Магнитная защелка белая, удерживающее усилие 3-4 кг.Код: 246.26.720</t>
  </si>
  <si>
    <t>Диспенсер для мыло-пены</t>
  </si>
  <si>
    <t>Объем 500 мл, Ширина 10 см, Высота 15 см, Глубина 7 см. Тип диспенсера настенный, форма прямоугольная, материал изготовления пластик</t>
  </si>
  <si>
    <t>Батарейки **** Basic АА/LR6  6шт в блистере</t>
  </si>
  <si>
    <t xml:space="preserve">Водно-дисперсионная краска, без запаха, не содержащая органических растворителей, для внутренней отделки. Супербелая водно-дисперсионная краска Белоснежка 25кг </t>
  </si>
  <si>
    <t>Краска белая</t>
  </si>
  <si>
    <t>Тип окрашиваемого материала Металл, Дерево Цвет Белый Вес 25 кг</t>
  </si>
  <si>
    <t>Краска водоэмульсионная Классик 7кг</t>
  </si>
  <si>
    <t>водно-дисперсионная акриловая краска, без запаха, не содержащая органических растворителей, матовая, для внутренней отделки.  </t>
  </si>
  <si>
    <t>Сухая смесь ГЛАД</t>
  </si>
  <si>
    <t>Гипсовая универсальная шпаклёвка вес 25кг светло бежевый с оттенками желтого или серого цвета</t>
  </si>
  <si>
    <t>Гипсовая финишная шпаклёвка</t>
  </si>
  <si>
    <t>Гипсовая финишная шпаклёвка  «Glatt plus». вес 25гк</t>
  </si>
  <si>
    <t>Грунтовка для стен и потолка  «PRIMER», 10 кг. Объём тары 10 литров</t>
  </si>
  <si>
    <t>Сменный валик из поли акрила с ворсом 12 мм, шириной 1000 мм и диаметром 36 мм совместим с бюгелем 6 мм. В комплекте с запасным сменным валиком 6шт</t>
  </si>
  <si>
    <t>Наждачная бумага №0 рулон 19 м</t>
  </si>
  <si>
    <t>шлифовальная бумага, наждачка—  металл, дерево, стекло, пластик. 80*20м</t>
  </si>
  <si>
    <t>Замок навесной  "МАСТЕР" общего применения, дисковый механизм секрета, ключ 7 PIN, дужка d-14мм, 80мм Подробнее: https://zubr-shop.kz/p4217787-zamok-navesnoj-zubr.html</t>
  </si>
  <si>
    <t>Кожзам для обивки мебели</t>
  </si>
  <si>
    <t>Искусственная кожа, кожзам, мебельные ткани. Цвет черный  рулон-20метр Плотность  610 г/м2 полиэстер - 23%, ПВХ - 71%, полиуретан - 6% Ширина ткани 1400 мм</t>
  </si>
  <si>
    <t>Сменное лезвие сегментированное  09710-18-10, ЭКСПЕРТ, улучшенная инструментальная сталь У8А, в боксе, 18 мм, 10 шт Подробнее: https://zubr-shop.kz/p4214304-zubr-lezviya-segmentirovannye.html</t>
  </si>
  <si>
    <t>Набор бит с магнитным адаптером. 11 предметов</t>
  </si>
  <si>
    <t>Набор ключей комбинированных</t>
  </si>
  <si>
    <t xml:space="preserve">6мм, 8мм, 10мм, 12мм, 14мм, 17мм  CrV, полированный хром  15414 </t>
  </si>
  <si>
    <t>Аккумуляторный дрель шуруповерт</t>
  </si>
  <si>
    <t xml:space="preserve">АККУМУЛЯТОРНЫЙ ШУРУПОВЕРТ CT21056L-1.5 BMC Li-Lon  в комплекте 2-аккумулятора 18В вес 1,5кг </t>
  </si>
  <si>
    <t>Врезной цилиндровый замок </t>
  </si>
  <si>
    <t>Замок врезной Зенит-ЗВ1-2, покрытия  Оцинкованная сталь Высота корпуса - 75 мм, высота лицевой планки - 140 мм, толщина корпуса - 22 мм.</t>
  </si>
  <si>
    <t>Врезной замок Fuaro(Фуаро) 200 F</t>
  </si>
  <si>
    <t>Замок врезной крестообразный Fuaro X200 F (200 F) CP хром 3key</t>
  </si>
  <si>
    <t>Замок MS704 - замок для дверей шкафов</t>
  </si>
  <si>
    <t>Замок для гардеробных и других металлических шкафов и ящиков,</t>
  </si>
  <si>
    <t>Замок электрощита, почтового ящика TDM</t>
  </si>
  <si>
    <t>TDM Замок 20-20/50 (трехгранный ключ)</t>
  </si>
  <si>
    <t>Москитная сетка</t>
  </si>
  <si>
    <t>Москитная сетка внутреннего крепления, цвет белый  (замер и устоновка)</t>
  </si>
  <si>
    <t>Масляный радиатор</t>
  </si>
  <si>
    <t>С терморегулятором 3 режима нагрева</t>
  </si>
  <si>
    <t>Коробка (контейнеры) для медицинских отходов, КБУ, 10л</t>
  </si>
  <si>
    <t>Коробка (контейнеры) для безопасной утилизации (КБУ, КБСУ) для сбора, хранения и утилизации медицинских отходов, 10л. ЖЕЛТЫЕ </t>
  </si>
  <si>
    <t>СЕРДЦЕВИНА для замка </t>
  </si>
  <si>
    <t xml:space="preserve"> Тип цилиндрового механизма  Английский.  Латунь Размер цилиндра  70мм Количество ключей 6шт Цвет покрытия хром.</t>
  </si>
  <si>
    <t>Комплект арматуры для сливного бачка</t>
  </si>
  <si>
    <t>Комплект арматуры для сливного бачка с функцией СТАРТ-СТОП с клапаном нижней подачи воды с пластиковой резьбой</t>
  </si>
  <si>
    <t>Напольный диспенсер для воды</t>
  </si>
  <si>
    <t>Напольный диспенсер для воды  (нагрев / электронное охлаждение / шкафчик) 310х970х310</t>
  </si>
  <si>
    <t xml:space="preserve">Точный-МУЛЬТИ рез, по алюминию, ламинату, пластику, ДСП, 255 х 30 мм, 80Т </t>
  </si>
  <si>
    <t xml:space="preserve">Пильный диск по дереву универсальный **** 36907-255-30-80, ЭКСПЕРТ </t>
  </si>
  <si>
    <t>Термометр биметаллический аксиальный ТБП100/50/Т 0-160 °С 100 мм ½"</t>
  </si>
  <si>
    <t xml:space="preserve">Предназначены для измерения температуры различных веществ практически во всех фазовых состояниях (не вступающих во взаимодействие с медными сплавами). Диапазон измерений температуры, °С: 0-160 Присоединение резьбовое G, дюймы: ½,  Вес, кг:  0,15 Монтаж/Присоединение: гильза 50 мм с наружной резьбой Диаметр, мм: 100 </t>
  </si>
  <si>
    <t>Манометр радиальный МП100М 0-1,6 МПа 100 мм M20⨯1,5</t>
  </si>
  <si>
    <t>Предназначены для измерения избыточного давления неагрессивных некристаллизующихся сред (жидкостей, газов) в сфере ЖКХ. Диапазон измерений давления, МПа:  0-1,6 Присоединение резьбовое M, мм: М20⨯1,5; Вес, кг: 0,4; Монтаж/Присоединение: наружная резьба M Комплектующие: переходник-кран, артикул 102257 Диаметр, мм: 100</t>
  </si>
  <si>
    <t>Переходник для манометров ВР (M12⨯1,5)⨯НР ½"</t>
  </si>
  <si>
    <t xml:space="preserve">Переходник для манометров (M12⨯1,5)⨯½"; Вес, кг: 0,08; Присоединение резьбовое M, мм: (М12⨯1,5)⨯½"; Монтаж/Присоединение: внутренняя M, наружная G </t>
  </si>
  <si>
    <t>Переходник для манометров ВР (M12⨯1,5)⨯НР (M20⨯1,5)</t>
  </si>
  <si>
    <t xml:space="preserve">Переходник для манометров (M20⨯1,5)⨯(M12⨯1,5); Вес, кг: 0,08; Присоединения и размеры Присоединение резьбовое M, мм: (M12⨯1,5)⨯(M20⨯1,5)  Монтаж/Присоединение: внутренняя M, наружная M </t>
  </si>
  <si>
    <t xml:space="preserve">Кран трехходовой латунный КТНр ВР (M20⨯1,5)⨯ВР 1/2"; </t>
  </si>
  <si>
    <t xml:space="preserve">Используется для присоединения манометра к магистрали с рабочей средой, продувки импульсных линий, сброса давления и др. 
Кран трехходовой для манометра - это устройство, которое позволяет подключить манометр к системе и контролировать давление, используя один из трех доступных путей. Краны трехходовые для манометров используются в различных промышленных и научных областях для контроля давления в жидких и газообразных средах; Вес, кг: 0,2;  Монтаж/Присоединение: внутренние резьбы M, G; Присоединение резьбовое M, мм: (M20⨯1,5)⨯½". </t>
  </si>
  <si>
    <t xml:space="preserve">Кран шаровый стальной под приварку DN65 </t>
  </si>
  <si>
    <t>Область применения: Системы тепло и водоснабжения, кондиционирования, вентиляции и пожаротушения. Рабочая среда Газ, Воздух, Вода, Нефтепродукты; 
Корпус: Сталь углеродистая (на складе), Нерж. сталь (под заказ); Шар: Нерж. сталь; Уплотнение седла шара: Фторсилоксан; Максимальное рабочее давление 25 бар
Привод Ручной;  DN 65; PN 25; Максимальная рабочая температура до 200С.</t>
  </si>
  <si>
    <t xml:space="preserve">Кран шаровый стальной под приварку DN80 </t>
  </si>
  <si>
    <t>Область применения: Системы тепло и водоснабжения, кондиционирования, вентиляции и пожаротушения. Рабочая среда Газ, Воздух, Вода, Нефтепродукты; 
Корпус: Сталь углеродистая (на складе), Нерж. сталь (под заказ); Шар: Нерж. сталь; Уплотнение седла шара: Фторсилоксан; Максимальное рабочее давление 25 бар
Привод Ручной;  DN 80; PN 25; Максимальная рабочая температура до 200С.</t>
  </si>
  <si>
    <t>Кран шаровый стальной под приварку DN100</t>
  </si>
  <si>
    <t>Область применения: Системы тепло и водоснабжения, кондиционирования, вентиляции и пожаротушения. Рабочая среда Газ, Воздух, Вода, Нефтепродукты; 
Корпус: Сталь углеродистая (на складе), Нерж. сталь (под заказ); Шар: Нерж. сталь; Уплотнение седла шара: Фторсилоксан; Максимальное рабочее давление 25 бар
Привод Ручной;  DN 100; PN 25; Максимальная рабочая температура до 200С.</t>
  </si>
  <si>
    <t>Шлифмашина угловая **OWN CT13293</t>
  </si>
  <si>
    <t>Тип угловая, Максимальная частота вращения диска 11000 об/мин, Диаметр диска 125 мм Резьба шпинделя M14, Питание от сети Дополнительно. мощность 860 Вт</t>
  </si>
  <si>
    <t>Литол</t>
  </si>
  <si>
    <t>Смазка пластичная Литол-24 OILRIGHT 800г.</t>
  </si>
  <si>
    <t xml:space="preserve">Набор напильников по металлу </t>
  </si>
  <si>
    <t xml:space="preserve">                                                                                  353х160х13 мм  длина 200 мм плоский; полукруглый; круглый; трехгранный; квадратный, углеродистая сталь </t>
  </si>
  <si>
    <t xml:space="preserve">Набор напильников по дереву </t>
  </si>
  <si>
    <t>В наборе плоский, полукруглый и круглый рашпили</t>
  </si>
  <si>
    <t>Сверло ступенчатое MATRIX 72359 (По металлу, 4-32 мм,HSS/P6M5 быстрорежущая, спиральный профиль</t>
  </si>
  <si>
    <t>Пластиковое спортивное сиденье</t>
  </si>
  <si>
    <t>Stunity пластиковое спортивное сиденье, изготовленное при помощи пресс-иденье 420x450x310 мм цвет синии</t>
  </si>
  <si>
    <t xml:space="preserve">Стрейч пленка </t>
  </si>
  <si>
    <t>РУЧНАЯ СТРЕТЧ ПЛЕНКА 500ММ*256М*17МКМ Цвет: прозрачный</t>
  </si>
  <si>
    <t>Садовый шланг</t>
  </si>
  <si>
    <t xml:space="preserve">Термостойкость от -20 до +60 °Cчрезвычайно устойчивый к перегибам. давление до 45 бар  Габариты 39 × 39 × 21 см Длина шланга 50м Диаметр 5/8″ Вес 8 кг. Цвет черный с желтой полоской. </t>
  </si>
  <si>
    <t>бухта</t>
  </si>
  <si>
    <t>Поливочный набор</t>
  </si>
  <si>
    <t>поливочный набор из 4 предметов. </t>
  </si>
  <si>
    <t>Разбрызгиватель вращающийся для полив</t>
  </si>
  <si>
    <t>Разбрызгиватель вращающийся для полива /дождеватель; на подставке, 3 сопла/площадь полива 121 м2</t>
  </si>
  <si>
    <t xml:space="preserve">Сувальдный врезной замок Гардиан 10.01 </t>
  </si>
  <si>
    <t>количество ключей 4 Количество комбинаций 46 тысяч</t>
  </si>
  <si>
    <t>Набор для установки врезных замков, 22 мм/48 мм/ PROFESSIONAL</t>
  </si>
  <si>
    <t>Изготовлен из углеродистой стали.  для установки замков с посадочными диаметрами ручки 48 и 55 мм и щеколдой диаметром 22 мм. Комплектация: 70491 </t>
  </si>
  <si>
    <t>Уровень лазерный</t>
  </si>
  <si>
    <t>Лазерный уровень*** LLC03-30 BMC Тип выравнивания: автоматическое Погрешность: 0.15 мм/м Габариты без упаковки 130x120x195 мм вес 0.8 кг Количество и напряжение элементов питания:3х1.5B/AA/пальчиковая(R6;LR6;FR6)</t>
  </si>
  <si>
    <t>Сетка металлическая</t>
  </si>
  <si>
    <t>Сетка металлическая паянная сварная D-1,6мм яч40х40мм 1,5х20м (оцинкованная)</t>
  </si>
  <si>
    <t>Заклепки разных размеров  3.2*8 и 3.2*12</t>
  </si>
  <si>
    <t>заклепка состоит из гильзы и стержня по 100шт</t>
  </si>
  <si>
    <t>Заклепки разных размеров  4.0*8 и 4.0*12</t>
  </si>
  <si>
    <t>Ключ крокодил</t>
  </si>
  <si>
    <t>Ключ крокодил (попугай) 12" LIDER-PROF</t>
  </si>
  <si>
    <t>Совок с длинной ручкой, черный.</t>
  </si>
  <si>
    <t>упаковок</t>
  </si>
  <si>
    <t>Сиденье NOVA 2020.001 455x378 мм</t>
  </si>
  <si>
    <t xml:space="preserve"> Сиденье NOVA 2020.001 455x378 мм  пластик Крепления в комплекте </t>
  </si>
  <si>
    <t>Ножницы портновские</t>
  </si>
  <si>
    <t>Ножницы портновские (швейные) стальные 24.5 см JLB-L37</t>
  </si>
  <si>
    <t>ОТВЕРТКА ДВУХСТОРОННЯЯ американка</t>
  </si>
  <si>
    <t>Рулетка 10 м х 25 мм, серия "Профессионал" (34016-10)</t>
  </si>
  <si>
    <t>Рулетка  10 м х 25 мм, серия "Профессионал" вес 0,44кг Габариты, см 4*9*8 Ширина ленты 25 мм</t>
  </si>
  <si>
    <t xml:space="preserve">Рулетка 5 м х 1,8, серия "Профессионал" </t>
  </si>
  <si>
    <t>Сенсорный датчик для писсуара 6803-1</t>
  </si>
  <si>
    <t>Напряжение АС220В 50Гц/ DC6В (параллельное от сети 220вт и 4 батареях АА) Зона срабатывания сенсора (регулируется) - 25-120 см Продолжительность смыва - 3 секунды Устанавливается на любые виды обычных писсуаров</t>
  </si>
  <si>
    <t>Нейлон ИЭК 2,5х100 (100шт в упаковке)</t>
  </si>
  <si>
    <t>Нейлон ИЭК 3,6х120 (100шт в упаковке)</t>
  </si>
  <si>
    <t>Нейлон ИЭК 4,8х180 (100шт в упаковке)</t>
  </si>
  <si>
    <t>Скоба</t>
  </si>
  <si>
    <t>Скоба 8мм круглая пластиковая (100шт) ИЭК</t>
  </si>
  <si>
    <t>Скоба 10мм круглая пластиковая (100шт) ИЭК</t>
  </si>
  <si>
    <t>Линолеум</t>
  </si>
  <si>
    <t>40кв. Рисунок дерево, Тип линолеума офисный,Ширина 3.0.</t>
  </si>
  <si>
    <t>метр</t>
  </si>
  <si>
    <t>Складной нож с пластиковой двухкомпонентной рукояткой и 5 сменными трапециевидными лезвиями пригодится для бытового использования, во время проведения ремонтных и строительных работ. За счет трапециевидного лезвия он легко режет заготовки из картона, линолеума, кожи и других плотных материалов. За счет складной конструкции нож удобен и безопасен в транспортировке и хранении.</t>
  </si>
  <si>
    <t>Датчик движения</t>
  </si>
  <si>
    <t>FOX-08 1200Вт, 12м,87*145*125  IP44</t>
  </si>
  <si>
    <t>Дифф. выключатель нагрузки</t>
  </si>
  <si>
    <t>11473 УЗО 1Р+Н  16А. 30мА АД63С</t>
  </si>
  <si>
    <t>16А   220В</t>
  </si>
  <si>
    <t>уп.</t>
  </si>
  <si>
    <t>SP-7-4(1,5-9,5)мм2</t>
  </si>
  <si>
    <t>Стремянка алюминиевая</t>
  </si>
  <si>
    <t>Максимальная высота 244 см. Ступеней 8 шт. Максимальная рабочая нагрузка 150 кг</t>
  </si>
  <si>
    <t>Аккумуляторный дрель шуруповёрт</t>
  </si>
  <si>
    <t>В комплекте 2-аккомулятора (2Ач)   18 В.</t>
  </si>
  <si>
    <t>для электриков предназначены для защиты рук от поражения
электрическим током. Применяются в электроустановках до 1000В, в
качестве основного изолирующего средства. Перчатки предназначены
для эксплуатации при температуре от плюс 50 С и минус 40 С и относительной влажности воздуха не выше 95 %</t>
  </si>
  <si>
    <t>Напольная розетка лючок двойная квадратная</t>
  </si>
  <si>
    <t>16А. 220В с заземлением. IP54.Материал корпуса-пластик. Материал крышки-нержавеющая сталь</t>
  </si>
  <si>
    <t>Универсальный чистящий порошок, 350 гр. Для дезинфекции кафеля, Для очищение туалета. Убивает до 99,99% бактерий</t>
  </si>
  <si>
    <t>Мыло бюджетного сегмента, жидкое гелеобразное, 5лит</t>
  </si>
  <si>
    <t>Гелеобразное вещество для мытья полов и стен, объем тары 5л</t>
  </si>
  <si>
    <t>Средство для мытья посуды</t>
  </si>
  <si>
    <t>Средство для мытья посуды, безопасно для кожи рук. Удобная упаковка с дозатором. Запах свежего лимона. Хорошее пенообразование. не менее 700мл</t>
  </si>
  <si>
    <t>Подушка</t>
  </si>
  <si>
    <t>Прямоугольный, упругий, размер 50х70, (бамбук, лебяжий пух, лен эко)</t>
  </si>
  <si>
    <t>Антистеплер</t>
  </si>
  <si>
    <t>для скоб №10, 24/6-26/6, пластик</t>
  </si>
  <si>
    <t>Бумага А4 80 гр/м2, 500 л пачке</t>
  </si>
  <si>
    <t>Бумага А3</t>
  </si>
  <si>
    <t>Бумага Цветная А4</t>
  </si>
  <si>
    <t>Бумага А4 цветная офисная 100 л в пачке</t>
  </si>
  <si>
    <t>Бумага для записей</t>
  </si>
  <si>
    <t>Бумага для записей 80х80х40</t>
  </si>
  <si>
    <t>Бумага для заметок</t>
  </si>
  <si>
    <t>80х80*80мм,, 800л, белый</t>
  </si>
  <si>
    <t>Блок бумаги д/заметок</t>
  </si>
  <si>
    <t>90х90*90 мм, 500л,, белый</t>
  </si>
  <si>
    <t>95х95х55(90*90) мм,, белая рассыпная, пластиковый бокс</t>
  </si>
  <si>
    <t>Бумажный скоросшиватель</t>
  </si>
  <si>
    <t>Скоросшиватель «Дело», белый, мелованный картон, 330 г/м²</t>
  </si>
  <si>
    <t>Зажимы для бумаг</t>
  </si>
  <si>
    <t>19мм 12шт в упаковке</t>
  </si>
  <si>
    <t>25мм 12шт в упаковке</t>
  </si>
  <si>
    <t xml:space="preserve">32мм 12шт в упаковке </t>
  </si>
  <si>
    <t>Карандаш "НВ"</t>
  </si>
  <si>
    <t>черно-графитовый c ластиком</t>
  </si>
  <si>
    <t>Клей карандаш</t>
  </si>
  <si>
    <t>твердый клей в поворотной тубе 25 гр,, для склеивания бумаги, состав ПВА,</t>
  </si>
  <si>
    <t>Ватман</t>
  </si>
  <si>
    <t>Ватман 610х860</t>
  </si>
  <si>
    <t>Клейкие листки</t>
  </si>
  <si>
    <t>76х76мм, 400л, 5 цв,, самоклеящиеся, неон,</t>
  </si>
  <si>
    <t>Канцелярский органайзер пластиковый</t>
  </si>
  <si>
    <t>Пластиковая настольная подставка имеет легкое вращение на 360 градусов, 10 отделений для канцелярских мелочей, Матовой и глянцевой поверхности, Размер (ВхДхШ) - 14 х 10,7 х 10,7 см,</t>
  </si>
  <si>
    <t>Калькулятор</t>
  </si>
  <si>
    <t>Калькулятор настольный, 16 разрядов, 205*159*31 мм, Размер 205*159*31 мм, Разрядность 16, Цвет корпуса черный</t>
  </si>
  <si>
    <t>Корректирующая ручка 7 мл</t>
  </si>
  <si>
    <t>Ручка-корректор, 7 мл</t>
  </si>
  <si>
    <t>Корректирующая ручка 9 мл,</t>
  </si>
  <si>
    <t>9 мл,, металлический наконечник</t>
  </si>
  <si>
    <t>Корректирующий роллер 5 мм</t>
  </si>
  <si>
    <t>5 мм, длина 8 м</t>
  </si>
  <si>
    <t>Корректирующий карандаш</t>
  </si>
  <si>
    <t>карандаш-корректор, 10мл металлический наконечник</t>
  </si>
  <si>
    <t>Краска акварель (гуашь)</t>
  </si>
  <si>
    <t>набор гуашь картон 12 шт, х20мл</t>
  </si>
  <si>
    <t>Ластик</t>
  </si>
  <si>
    <t>Ластик модные неоновые цвета; для черно графитных карандашей; отдельная упаковка каждого ластика в ПП со штриховым кодом; не содержит ПВХ,</t>
  </si>
  <si>
    <t>Лезвия канцелярского ножа</t>
  </si>
  <si>
    <t>лезвия для канцелярского ножа (большие) 18 мм</t>
  </si>
  <si>
    <t>Лоток д/бумаги горизонтальный пластик</t>
  </si>
  <si>
    <t>Лоток горизонтальный, секционный от 3до 4 секций, черный</t>
  </si>
  <si>
    <t>Маркер для доски</t>
  </si>
  <si>
    <t>Маркеры для белой магнитно-маркерной доски: сухо стираемый, на водной основе, наконечник в четырех цветах (черный, красный, зеленый, синий), в упаковке по 4 цвета</t>
  </si>
  <si>
    <t>Маркер перманентный, пулевидный наконечник 1 мм</t>
  </si>
  <si>
    <t>Мел</t>
  </si>
  <si>
    <t>Мел белый канцелярский в упаковке по 100 шт,</t>
  </si>
  <si>
    <t>Ножницы</t>
  </si>
  <si>
    <t>Ножницы, универсальные 18 см, пластиковые ручки</t>
  </si>
  <si>
    <t>Ножницы из нерж, стали</t>
  </si>
  <si>
    <t>Ножницы 15,5см, эргономичные ручки</t>
  </si>
  <si>
    <t>Общая тетрадь в клетку на 96 стр,</t>
  </si>
  <si>
    <t>Папка на резинке А4</t>
  </si>
  <si>
    <t>Папка, А4 формат, 500 мкм, на резинке, черная</t>
  </si>
  <si>
    <t>Папка с прижимом</t>
  </si>
  <si>
    <t>Папка с зажимом, А4 формат, корешок 17 мм, черная</t>
  </si>
  <si>
    <t>Папка с файлами А4 20 вкладышей</t>
  </si>
  <si>
    <t>Пластиковый 20 вкладышей</t>
  </si>
  <si>
    <t>Папка-регистратор</t>
  </si>
  <si>
    <t>Папка-регистратор с металлическим арочным механизмом формат А4, ширина корешка - 50 мм, из жесткого картона, высота арочного механизма 90 мм,, максимальная вместимость - 750 листов стандартной плотности, Цвет: черный/синий</t>
  </si>
  <si>
    <t>Папка-регистратор 80 мм</t>
  </si>
  <si>
    <t>А4, 80 мм, с арочным механизмом цвет: синий/черный</t>
  </si>
  <si>
    <t>Подставка для скрепок</t>
  </si>
  <si>
    <t>41*67*12мм, магнитная, квадратная</t>
  </si>
  <si>
    <t>Ручка шариковая зеленый стержень</t>
  </si>
  <si>
    <t>Ручка шариковая красный стержень</t>
  </si>
  <si>
    <t>Ручка шариковая синий стержень</t>
  </si>
  <si>
    <t>Ручка шариковая черный стержень</t>
  </si>
  <si>
    <t>Скоба №10</t>
  </si>
  <si>
    <t>Скоба №24</t>
  </si>
  <si>
    <t>Скотч 15мм канцелярский</t>
  </si>
  <si>
    <t>Скотч 4,8см канцелярский</t>
  </si>
  <si>
    <t>Скотч 48*150 канцелярский</t>
  </si>
  <si>
    <t>Скотч шириной 3 см</t>
  </si>
  <si>
    <t>Скотч канцелярский прозрачный 19мм</t>
  </si>
  <si>
    <t>19мм х 33м</t>
  </si>
  <si>
    <t>Скрепки 28 мм,</t>
  </si>
  <si>
    <t>28 мм, никелированные, круглые, 100шт в пачке</t>
  </si>
  <si>
    <t>Скрепки 50 мм,</t>
  </si>
  <si>
    <t>Металлический, овальный, длина 50 мм, кол, В пачке 100 шт,</t>
  </si>
  <si>
    <t>Степлер</t>
  </si>
  <si>
    <t>размер № 10</t>
  </si>
  <si>
    <t>Степлер 24/6, 26/6</t>
  </si>
  <si>
    <t>Тетрадь общая</t>
  </si>
  <si>
    <t>твердый переплет, формат А 4, в синем цвете, 96 листов, клетка</t>
  </si>
  <si>
    <t>Точилка</t>
  </si>
  <si>
    <t>пластиковая двойная, форма цилиндра, с контейнером</t>
  </si>
  <si>
    <t>Файл -вкладыш 60 микрон</t>
  </si>
  <si>
    <t>Файл -вкладыш в упаковке 100 штук , А4, матовые 60 микрон, размер:235х305мм, файловый карман с универсальной с перфорацией для подшивки в папки регистраторы, стандартная перфорация</t>
  </si>
  <si>
    <t>Журнал регистрации по пожарной безопасности</t>
  </si>
  <si>
    <t>Журнал регистрации по технике безопасности</t>
  </si>
  <si>
    <t>Книга учета и выдачи аттестатов об общем среднем образовании</t>
  </si>
  <si>
    <t>Книга учета и выдачи аттестатов об окончании основной средней школы</t>
  </si>
  <si>
    <t>Алфавитная книга записи обучающихся</t>
  </si>
  <si>
    <t>Личный листок по учету кадров</t>
  </si>
  <si>
    <t>Самоклеящиеся закладки</t>
  </si>
  <si>
    <t>Cамоклеющиеся закладки Прозрачные пластиковые закладки неоновых цветов (стрелки)5 цветов, 12х45 мм</t>
  </si>
  <si>
    <t>пачка</t>
  </si>
  <si>
    <t>Фотобумага</t>
  </si>
  <si>
    <t>Фотобумага размера А4</t>
  </si>
  <si>
    <t>Конверт папка</t>
  </si>
  <si>
    <t xml:space="preserve">Конверт- на кнопке А4 прозрачный 180мкм </t>
  </si>
  <si>
    <t xml:space="preserve">Фломастеры </t>
  </si>
  <si>
    <t>Распределитель скотча</t>
  </si>
  <si>
    <t>Распределитель скотча (для большого скотча)</t>
  </si>
  <si>
    <t>Дырокол металлический</t>
  </si>
  <si>
    <t>Дырокол 40-45листов, (размеры: диаметр отверстий: 5,5 мм, Количество отверстий: 2, Материал: Металл, пластик)</t>
  </si>
  <si>
    <t xml:space="preserve"> Расшифровка на подписку и периодические издания </t>
  </si>
  <si>
    <t>Казахстанские газеты</t>
  </si>
  <si>
    <t>Казахстанские журналы</t>
  </si>
  <si>
    <t>Методист организации образования (печатная версия)</t>
  </si>
  <si>
    <t>Справочник руководителя образовательного учреждения</t>
  </si>
  <si>
    <t>Английский язык в школе колледже и вузе</t>
  </si>
  <si>
    <t>Классный час</t>
  </si>
  <si>
    <t>Алғашқы әскери дайындық, Өмір қауіпсіздігі негіздері,</t>
  </si>
  <si>
    <t>Қазақ тілі мен әдебиеті орыс мектебінде</t>
  </si>
  <si>
    <t>История Казахстана преподавание в школе</t>
  </si>
  <si>
    <t>Парасат</t>
  </si>
  <si>
    <t>АҚ ЖЕЛКЕН</t>
  </si>
  <si>
    <t>Математика (қазақ, орыс және ағылшын тілдерінде; на казахском, русском и английском языках, Оказание научно-методической педагогической помощи учителям)</t>
  </si>
  <si>
    <t>Физика (қазақ, орыс және ағылшын тілдерінде; на казахском, русском и английском языках, Оказание научно-методической педагогической помощи учителям)</t>
  </si>
  <si>
    <t>Российский журнал</t>
  </si>
  <si>
    <t>Квант</t>
  </si>
  <si>
    <t>Услуги по метрологической проверке приборов учета тепловой энергии</t>
  </si>
  <si>
    <t>Иготовление значка</t>
  </si>
  <si>
    <t xml:space="preserve">           </t>
  </si>
  <si>
    <t>Оформление на мероприятия</t>
  </si>
  <si>
    <t xml:space="preserve">Астана, Караганда, Шымкент, Атырау </t>
  </si>
  <si>
    <t>11. Прочие текущие затраты  (МРП-4335 на 2027 год)</t>
  </si>
  <si>
    <t>Сводный расчет расходов на 2028 год ПЛАН</t>
  </si>
  <si>
    <t>11. Прочие текущие затраты  (МРП-4552 на 2028 год)</t>
  </si>
  <si>
    <t xml:space="preserve">УТВЕРЖДАЮ:                                                                                                                              Председатель Правления Некоммерческого акционерного общества  «Республиканская физико-математическая школа» ______________________                                                                                                                                                                                                                                                                                                                                                                    _________________________ /______________________    </t>
  </si>
  <si>
    <t>роспись</t>
  </si>
  <si>
    <t xml:space="preserve">Наименование организации:  Филиал НАО «Республиканская физико-математическая школа» в г. Алматы на «01» января 2027 года                               </t>
  </si>
  <si>
    <t xml:space="preserve">Приложение №1 </t>
  </si>
  <si>
    <t>ОПВ 4.5%</t>
  </si>
  <si>
    <t>Емберген Мағжан Мәзімбайұлы</t>
  </si>
  <si>
    <t>Начальник отдела кадров</t>
  </si>
  <si>
    <t>Бигожина Асыл Жомартовна</t>
  </si>
  <si>
    <t>Акбаева Айкен Аблашиновна</t>
  </si>
  <si>
    <t>Нурмуханова Алма Аскаровна</t>
  </si>
  <si>
    <t xml:space="preserve">Досымжанқызы Жаклин </t>
  </si>
  <si>
    <t>Олжабаев Арман Семейханович</t>
  </si>
  <si>
    <t>Координатор</t>
  </si>
  <si>
    <t xml:space="preserve">Менеджер </t>
  </si>
  <si>
    <t>Исалдаева Арайлым Суханбердиевна</t>
  </si>
  <si>
    <t>Нұрланбек Ұлпан</t>
  </si>
  <si>
    <t>Серікбаева Таңшолпан Жанғалиқызы</t>
  </si>
  <si>
    <t>Жасталапова Мәлика Жасұланқызы</t>
  </si>
  <si>
    <t xml:space="preserve">Нурышева Маржан Мұратқызы </t>
  </si>
  <si>
    <t xml:space="preserve">Өтегенқызы Арайлым </t>
  </si>
  <si>
    <t>Таңат Жансая Қанатқызы</t>
  </si>
  <si>
    <t xml:space="preserve">Абдиманаапов Бахадурхан Шарипович </t>
  </si>
  <si>
    <t>Алтынбеков Батырхан Бауржанұлы</t>
  </si>
  <si>
    <t>Асқар Аманжол</t>
  </si>
  <si>
    <t xml:space="preserve">Каирбекова Жанна Нуртолеуовна </t>
  </si>
  <si>
    <t xml:space="preserve">Туреханова Кундуз Моминовна </t>
  </si>
  <si>
    <t xml:space="preserve">Эзау Петр Давыдович </t>
  </si>
  <si>
    <t xml:space="preserve">Абселемов Серикхан Ахметович </t>
  </si>
  <si>
    <t>Имашев Даулет Серикович</t>
  </si>
  <si>
    <t>Азимов Анвар Акбарович</t>
  </si>
  <si>
    <t>Башар Нұртөре Ерланұлы</t>
  </si>
  <si>
    <t>Болатұлы Шакен-Дан</t>
  </si>
  <si>
    <t xml:space="preserve">Жамишева Сауле Абрашовна </t>
  </si>
  <si>
    <t xml:space="preserve">Капитов Михаил Игоревич </t>
  </si>
  <si>
    <t xml:space="preserve">Карабаев Санжар Сейтбекович </t>
  </si>
  <si>
    <t>Таукебаева Айым Мейрамбекқызы</t>
  </si>
  <si>
    <t>Мустафаев Нурлан Орналиевич</t>
  </si>
  <si>
    <t>Толеуов Медет Дулатулы</t>
  </si>
  <si>
    <t xml:space="preserve">Абилбаева Гульмира Дуйсенбаевна </t>
  </si>
  <si>
    <t>Аманжанова Балхия Мухамедовна</t>
  </si>
  <si>
    <t xml:space="preserve">Байкожанова Назым Оразакыновна </t>
  </si>
  <si>
    <t xml:space="preserve">Битебаева Асем Биржановна </t>
  </si>
  <si>
    <t>Есеркегенова Жамиля Усмановна</t>
  </si>
  <si>
    <t xml:space="preserve">Енсебаева Райфа Ахановна </t>
  </si>
  <si>
    <t xml:space="preserve">Касенбаева Газиза Ергалиевна </t>
  </si>
  <si>
    <t>Мырзаханова Мира Шукирхановна</t>
  </si>
  <si>
    <t xml:space="preserve">Нурбекова Роза Жумабековна </t>
  </si>
  <si>
    <t xml:space="preserve">Утепова Шыныгул Муратбаевна </t>
  </si>
  <si>
    <t>Утенова Гульнур Турсынбековна</t>
  </si>
  <si>
    <t>Амирханов Ерик Абильханович</t>
  </si>
  <si>
    <t>Максутова Гульмира Жарылкаповна</t>
  </si>
  <si>
    <t>Рахимжанова Галия Сабеновна</t>
  </si>
  <si>
    <t>Джексенова Гульнар Канлыбаевна</t>
  </si>
  <si>
    <t>Скакова Асем Муратовна</t>
  </si>
  <si>
    <t>Директор филиала НАО "РФМШ"</t>
  </si>
  <si>
    <t xml:space="preserve">Наименование организации:  Филиал НАО «Республиканская физико-математическая школа» в г. Алматы на «01» января 2028 года                               </t>
  </si>
  <si>
    <t>ОПВ 5%</t>
  </si>
  <si>
    <t>26.04.22</t>
  </si>
  <si>
    <t>0</t>
  </si>
  <si>
    <t>алгебра и начало анализа, геометрия в 11ABC</t>
  </si>
  <si>
    <t>16.04.00</t>
  </si>
  <si>
    <t>алгебра, геометрия, практикум решения задач в  8K, 9F, алгебра и начала анализа, геометрия в 11K</t>
  </si>
  <si>
    <t>03.03.18</t>
  </si>
  <si>
    <t>алгебра, геометрия, практикум решения задач в 8DEF</t>
  </si>
  <si>
    <t>05.03.09</t>
  </si>
  <si>
    <t>алгебра, геометрия, практикум решения задач в 8G, 9GH</t>
  </si>
  <si>
    <t>11.08.23</t>
  </si>
  <si>
    <t>алгебра и начало анализа, геометрия в 11EFL</t>
  </si>
  <si>
    <t>39.04.01</t>
  </si>
  <si>
    <t>алгебра, геометрия, практикум решения задач в 9DEK</t>
  </si>
  <si>
    <t>37.05.01</t>
  </si>
  <si>
    <t>алгебра и начало анализа, геометрия в 10FKL</t>
  </si>
  <si>
    <t>15.03.00</t>
  </si>
  <si>
    <t xml:space="preserve">алгебра, геометрия  в 9F, алгебра и начала анализа, геометрия  в 10DE, AP CALCULUS(3 группы) </t>
  </si>
  <si>
    <t>07.04.00</t>
  </si>
  <si>
    <t xml:space="preserve">алгебра, геометрия, практикум решения задач в 10ABC, AP CALCULUS(2 группы) </t>
  </si>
  <si>
    <t>43.00.00</t>
  </si>
  <si>
    <t>алгебра, геометрия, практикум решения задач в 11DEF</t>
  </si>
  <si>
    <t>41.03.19</t>
  </si>
  <si>
    <t>алгебра, геометрия, практикум решения задач в 8ABC, практикум решения задач в 10 классах, предмет по выбору в 9 классах</t>
  </si>
  <si>
    <t>алгебра, геометрия,в 10GHM</t>
  </si>
  <si>
    <t>36.06.00</t>
  </si>
  <si>
    <t>алгебра, геометрия  в  11ABC</t>
  </si>
  <si>
    <t>36.01.25</t>
  </si>
  <si>
    <t>предмет по выбору в 7 классах, Индивидуальные и групповые консультации, занятия развивающего характера в 7 классах, Индивидуальные и групповые консультации, занятия развивающего характера в 8 классах(математика)</t>
  </si>
  <si>
    <t>08.11.20</t>
  </si>
  <si>
    <t>Мутали Дидар Сеитжанұлы</t>
  </si>
  <si>
    <t>алгебра и начала анализа, геометрия  в 11KL</t>
  </si>
  <si>
    <t>01.01.24</t>
  </si>
  <si>
    <t>алгебра, геометрия, практикум решения задач в 7G, 11GH</t>
  </si>
  <si>
    <t>36.03.00</t>
  </si>
  <si>
    <t>алгебра, геометрия  в 10ABC</t>
  </si>
  <si>
    <t>33.04.21</t>
  </si>
  <si>
    <t>алгебра и начала анализа, геометрия, практикум решения задач в 7ABC</t>
  </si>
  <si>
    <t>24.11.25</t>
  </si>
  <si>
    <t>алгебра, геометрия, практикум решения задач в 8HK, 10E</t>
  </si>
  <si>
    <t>алгебра, геометрия, практикум решения задач в 8G, геометрия в 8Н ; алгебра, геометрия, практикум решения задач в 9GH</t>
  </si>
  <si>
    <t>04.02.03</t>
  </si>
  <si>
    <t xml:space="preserve">«01» қаңтар 2027 жыл						</t>
  </si>
  <si>
    <t xml:space="preserve">Алматы қаласындағы  «РФММ» КеАҚ филиалының 2027 жылғы 01 қаңтардағы тарификациялық ведомостің жинағы        </t>
  </si>
  <si>
    <t xml:space="preserve">Свод тарификационной ведомости на 01 января 2027 года филиала НАО «РФМШ» в г.Алматы </t>
  </si>
  <si>
    <t>АЕК, МРП 4335тн</t>
  </si>
  <si>
    <t>ЖБМЗЖ            ОПВР 4,5%</t>
  </si>
  <si>
    <t>C006</t>
  </si>
  <si>
    <t>C007</t>
  </si>
  <si>
    <t xml:space="preserve">«01» қаңтар 2028 жыл						</t>
  </si>
  <si>
    <t xml:space="preserve">Алматы қаласындағы  «РФММ» КеАҚ филиалының 2028 жылғы 01 қаңтардағы тарификациялық ведомостің жинағы        </t>
  </si>
  <si>
    <t xml:space="preserve">Свод тарификационной ведомости на 01 января 2028 года филиала НАО «РФМШ» в г.Алматы </t>
  </si>
  <si>
    <t>АЕК, МРП 4552тн</t>
  </si>
  <si>
    <t>ЖБМЗЖ            ОПВР 5%</t>
  </si>
  <si>
    <t>Ручка синий</t>
  </si>
  <si>
    <t>Смеситель душевой (в комплекте)</t>
  </si>
  <si>
    <t>Доп. услуги тех. и правового характера (тенге)</t>
  </si>
  <si>
    <t>Нотариальные услуги Удостоверение договоров об отчуждении недвижимого имущества (земельных участков, жилых домов, квартир, дач, гаражей, сооружений и иного недвижимого имущества) в городской местности,  если с одной стороны является юридическое лицо  (7МРП)</t>
  </si>
  <si>
    <t xml:space="preserve">При свидетельствовании подлинности подписи на документах, а также верности перевода документов с одного языка на другой (за каждый документ) для юридических лиц-1МРП </t>
  </si>
  <si>
    <t>Стоимость за ед. в тенге</t>
  </si>
  <si>
    <t>Количество бутылей, в 1 бутыле 18,9 (л)</t>
  </si>
  <si>
    <t>Среднегодовое количество получателей (ед.)</t>
  </si>
  <si>
    <t>3. Приобретение медикаментов и прочих средств медицинского назначения</t>
  </si>
  <si>
    <t>4. Приобретение горюче-смазочных материалов</t>
  </si>
  <si>
    <t>по бюджетной программе 004 «Обеспечение доступности качественного школьного образования»</t>
  </si>
  <si>
    <t>2. Приобретение питьевой воды для учащихся</t>
  </si>
  <si>
    <t>*в среднем 0,5 л на 1-го учащегося</t>
  </si>
  <si>
    <t>Ножовка садовая</t>
  </si>
  <si>
    <t>кг</t>
  </si>
  <si>
    <t>Отвод ППР дм20</t>
  </si>
  <si>
    <t>Резиновые коврики</t>
  </si>
  <si>
    <t>Валик 250 мм</t>
  </si>
  <si>
    <t>Валик 100 мм</t>
  </si>
  <si>
    <t>Каустическая сода</t>
  </si>
  <si>
    <t xml:space="preserve">    ФНАО «Республиканская  физико-математическая школа» в г.Алматы</t>
  </si>
  <si>
    <t xml:space="preserve">Планинг настольный </t>
  </si>
  <si>
    <t>Планинг настольный — плотность 70 г/м²; с календарем на с 2026г и т.д</t>
  </si>
  <si>
    <t>Супрастин 20 мг/мл  №5</t>
  </si>
  <si>
    <t>Е-27.  18Вт. 6500к.560лм.175В-265В. (цвет холодный)</t>
  </si>
  <si>
    <t>АЕК, МРП 4325тн</t>
  </si>
  <si>
    <t>11. Прочие текущие затраты  (МРП-4325 на 2026 год)</t>
  </si>
  <si>
    <t>Grohe BauEdge Смеситель однорычажный для
раковины, DN 15 S, керамический картридж 28 мм
с ограничителем температуры, хромированное покрытие поверхности, изолированный водоток - вода не контактирует с металлами корпуса смесителя</t>
  </si>
  <si>
    <t>Смеситель для душа GROHE BauEdge, хром, однорычажный, монтажных отверстий: 2, Ширина:
155.0 мм, Высота: 115.0 мм, Длина: 195.0 мм. Набор для душа GROHE Tempesta 110, 2 режима струи, 5.6 л/мин, хром, Relexaflex душевой шланг 1250 мм 1/2"; x 1/2"; не регулируемый настенный держатель Tempesta</t>
  </si>
  <si>
    <t>Отвертка двухсторонняя американка</t>
  </si>
  <si>
    <t>Сетка для волейбола Mikasa</t>
  </si>
  <si>
    <t>Мяч волейбольный Mikasa MVA 300</t>
  </si>
  <si>
    <t>Мяч волейбольный Mikasa MVA 200</t>
  </si>
  <si>
    <t>Қазақстан мектебі</t>
  </si>
  <si>
    <t>Әл-Жәбрдің атасы</t>
  </si>
  <si>
    <t>Карниз для шторки в душ белый (140-260см). Прочная металлическая конструкция;
возможность регулировки по длине (140-260см);
пластмассовые наконечники не царапают стены;</t>
  </si>
  <si>
    <t xml:space="preserve">«01» қыркүйек 2025 жыл						</t>
  </si>
  <si>
    <t>Обязательные пенсионные взносы 3,5%</t>
  </si>
  <si>
    <t>Экономист филиала НАО «РФМШ» г.Алматы</t>
  </si>
  <si>
    <t>ИТОГО АУП пед работники</t>
  </si>
  <si>
    <t>ИТОГО АУП без пед .работников</t>
  </si>
  <si>
    <t>ВСЕГО по АУП</t>
  </si>
  <si>
    <t>Вакансия-1,75</t>
  </si>
  <si>
    <t xml:space="preserve">ИТОГО по УВП </t>
  </si>
  <si>
    <t>Вакансия-14</t>
  </si>
  <si>
    <t>ВСЕГО без пед. работников</t>
  </si>
  <si>
    <t>ВСЕГО  пед. работников</t>
  </si>
  <si>
    <t>ВСЕГО по филиалу НАО «РФМШ» Алматы</t>
  </si>
  <si>
    <t>Мастерстов</t>
  </si>
  <si>
    <t>учителей</t>
  </si>
  <si>
    <t>часы</t>
  </si>
  <si>
    <t>Вкакнсии</t>
  </si>
  <si>
    <t>Исследователь</t>
  </si>
  <si>
    <t>Эксперт</t>
  </si>
  <si>
    <t>Модератор</t>
  </si>
  <si>
    <t>Без квалификации</t>
  </si>
  <si>
    <t>ВСЕГО</t>
  </si>
  <si>
    <t>Обязательные пенсионные взносы</t>
  </si>
  <si>
    <t xml:space="preserve">Обязательные пенсионные взносы </t>
  </si>
  <si>
    <t>Директор ФНАО «РФМШ» Алматы</t>
  </si>
  <si>
    <t>Меирбек М.Е.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</si>
</sst>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43" formatCode="_-* #,##0.00_-;\-* #,##0.00_-;_-* &quot;-&quot;??_-;_-@_-"/>
    <numFmt numFmtId="164" formatCode="_-* #,##0.00\ _₽_-;\-* #,##0.00\ _₽_-;_-* &quot;-&quot;??\ _₽_-;_-@_-"/>
    <numFmt numFmtId="165" formatCode="&quot;Т&quot;#,##0.00;[Red]\-&quot;Т&quot;#,##0.00"/>
    <numFmt numFmtId="166" formatCode="_-&quot;Т&quot;* #,##0.00_-;\-&quot;Т&quot;* #,##0.00_-;_-&quot;Т&quot;* &quot;-&quot;??_-;_-@_-"/>
    <numFmt numFmtId="167" formatCode="_-* #,##0.00&quot;р.&quot;_-;\-* #,##0.00&quot;р.&quot;_-;_-* &quot;-&quot;??&quot;р.&quot;_-;_-@_-"/>
    <numFmt numFmtId="168" formatCode="_-* #,##0.00_р_._-;\-* #,##0.00_р_._-;_-* &quot;-&quot;??_р_._-;_-@_-"/>
    <numFmt numFmtId="169" formatCode="#,##0.0"/>
    <numFmt numFmtId="170" formatCode="_-[$€-2]\ * #,##0.00_-;\-[$€-2]\ * #,##0.00_-;_-[$€-2]\ * &quot;-&quot;??_-;_-@_-"/>
    <numFmt numFmtId="171" formatCode="_(* #,##0.0_);_(* \(#,##0.00\);_(* &quot;-&quot;??_);_(@_)"/>
    <numFmt numFmtId="172" formatCode="General_)"/>
    <numFmt numFmtId="173" formatCode="0.000"/>
    <numFmt numFmtId="174" formatCode="#,##0.0_);\(#,##0.0\)"/>
    <numFmt numFmtId="175" formatCode="#,##0.000_);\(#,##0.000\)"/>
    <numFmt numFmtId="176" formatCode="&quot;$&quot;#,\);\(&quot;$&quot;#,##0\)"/>
    <numFmt numFmtId="177" formatCode="00"/>
    <numFmt numFmtId="178" formatCode="000"/>
    <numFmt numFmtId="179" formatCode="\60\4\7\:"/>
    <numFmt numFmtId="180" formatCode="&quot;$&quot;#,##0_);[Red]\(&quot;$&quot;#,##0\)"/>
    <numFmt numFmtId="181" formatCode="[$-409]d\-mmm\-yy;@"/>
    <numFmt numFmtId="182" formatCode="[$-409]d\-mmm;@"/>
    <numFmt numFmtId="183" formatCode="_(#,##0;\(#,##0\);\-;&quot;  &quot;@"/>
    <numFmt numFmtId="184" formatCode="#,##0.00&quot; $&quot;;[Red]\-#,##0.00&quot; $&quot;"/>
    <numFmt numFmtId="185" formatCode="_(* #,##0,_);_(* \(#,##0,\);_(* &quot;-&quot;_);_(@_)"/>
    <numFmt numFmtId="186" formatCode="0%_);\(0%\)"/>
    <numFmt numFmtId="187" formatCode="&quot;$&quot;#,\);\(&quot;$&quot;#,\)"/>
    <numFmt numFmtId="188" formatCode="\+0.0;\-0.0"/>
    <numFmt numFmtId="189" formatCode="\+0.0%;\-0.0%"/>
    <numFmt numFmtId="190" formatCode="&quot;$&quot;#,##0"/>
    <numFmt numFmtId="191" formatCode="_-[$€-2]\ * #,##0.00_-;\-[$€-2]\ * #,##0.00_-;_-[$€-2]\ * \-??_-;_-@_-"/>
    <numFmt numFmtId="192" formatCode="&quot;$&quot;#,;\(&quot;$&quot;#,\)"/>
    <numFmt numFmtId="193" formatCode="\ #,##0.00&quot;р. &quot;;\-#,##0.00&quot;р. &quot;;&quot; -&quot;#&quot;р. &quot;;@\ "/>
    <numFmt numFmtId="194" formatCode="_-[$€-2]\ * #,##0_-;\-[$€-2]\ * #,##0_-;_-[$€-2]\ * &quot;-&quot;??_-;_-@_-"/>
    <numFmt numFmtId="195" formatCode="#,##0.00_ ;[Red]\-#,##0.00\ "/>
    <numFmt numFmtId="196" formatCode="_-* #,##0.0_р_._-;\-* #,##0.0_р_._-;_-* &quot;-&quot;??_р_._-;_-@_-"/>
    <numFmt numFmtId="197" formatCode="_-* #,##0.00000_р_._-;\-* #,##0.00000_р_._-;_-* &quot;-&quot;??_р_._-;_-@_-"/>
    <numFmt numFmtId="198" formatCode="_(* #,##0.00_);_(* \(#,##0.00\);_(* &quot;-&quot;??_);_(@_)"/>
    <numFmt numFmtId="199" formatCode="0.0"/>
    <numFmt numFmtId="200" formatCode="000000"/>
    <numFmt numFmtId="201" formatCode="#,##0.00;[Red]#,##0.00"/>
    <numFmt numFmtId="202" formatCode="0.0%"/>
    <numFmt numFmtId="203" formatCode="_-* #,##0_-;\-* #,##0_-;_-* &quot;-&quot;??_-;_-@_-"/>
    <numFmt numFmtId="204" formatCode="#,##0.00_ ;\-#,##0.00\ "/>
    <numFmt numFmtId="205" formatCode="0_ ;\-0\ "/>
    <numFmt numFmtId="206" formatCode="dd\.mm\.yyyy"/>
  </numFmts>
  <fonts count="154">
    <font>
      <sz val="10"/>
      <name val="Arial Cy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font>
    <font>
      <b/>
      <sz val="10"/>
      <name val="Times New Roman"/>
      <family val="1"/>
      <charset val="204"/>
    </font>
    <font>
      <sz val="10"/>
      <name val="Times New Roman"/>
      <family val="1"/>
      <charset val="204"/>
    </font>
    <font>
      <sz val="10"/>
      <color indexed="8"/>
      <name val="MS Sans Serif"/>
      <family val="2"/>
      <charset val="204"/>
    </font>
    <font>
      <sz val="10"/>
      <name val="Arial Cyr"/>
      <family val="2"/>
      <charset val="204"/>
    </font>
    <font>
      <sz val="10"/>
      <name val="Helv"/>
    </font>
    <font>
      <sz val="10"/>
      <name val="Helv"/>
      <charset val="204"/>
    </font>
    <font>
      <sz val="10"/>
      <name val="Arial"/>
      <family val="2"/>
      <charset val="204"/>
    </font>
    <font>
      <sz val="1"/>
      <color indexed="8"/>
      <name val="Courier"/>
      <family val="1"/>
      <charset val="204"/>
    </font>
    <font>
      <b/>
      <sz val="1"/>
      <color indexed="8"/>
      <name val="Courier"/>
      <family val="1"/>
      <charset val="204"/>
    </font>
    <font>
      <sz val="10"/>
      <name val="Arial Cyr"/>
      <charset val="204"/>
    </font>
    <font>
      <sz val="11"/>
      <color indexed="8"/>
      <name val="Calibri"/>
      <family val="2"/>
      <charset val="204"/>
    </font>
    <font>
      <sz val="11"/>
      <color indexed="9"/>
      <name val="Calibri"/>
      <family val="2"/>
      <charset val="204"/>
    </font>
    <font>
      <sz val="11"/>
      <color indexed="20"/>
      <name val="Calibri"/>
      <family val="2"/>
      <charset val="204"/>
    </font>
    <font>
      <sz val="9"/>
      <name val="Times New Roman"/>
      <family val="1"/>
    </font>
    <font>
      <sz val="10"/>
      <name val="Courier"/>
      <family val="1"/>
      <charset val="204"/>
    </font>
    <font>
      <b/>
      <sz val="11"/>
      <color indexed="52"/>
      <name val="Calibri"/>
      <family val="2"/>
      <charset val="204"/>
    </font>
    <font>
      <sz val="12"/>
      <name val="KZ Times New Roman"/>
      <family val="1"/>
      <charset val="204"/>
    </font>
    <font>
      <b/>
      <sz val="11"/>
      <color indexed="9"/>
      <name val="Calibri"/>
      <family val="2"/>
      <charset val="204"/>
    </font>
    <font>
      <sz val="10"/>
      <name val="Arial"/>
      <family val="2"/>
    </font>
    <font>
      <sz val="10"/>
      <name val="MS Sans Serif"/>
      <family val="2"/>
      <charset val="204"/>
    </font>
    <font>
      <sz val="10"/>
      <color indexed="8"/>
      <name val="Arial"/>
      <family val="2"/>
    </font>
    <font>
      <sz val="12"/>
      <name val="Tms Rmn"/>
      <charset val="204"/>
    </font>
    <font>
      <sz val="11"/>
      <color indexed="8"/>
      <name val="Calibri"/>
      <family val="2"/>
    </font>
    <font>
      <i/>
      <sz val="11"/>
      <color indexed="23"/>
      <name val="Calibri"/>
      <family val="2"/>
      <charset val="204"/>
    </font>
    <font>
      <sz val="10"/>
      <color indexed="62"/>
      <name val="Arial"/>
      <family val="2"/>
    </font>
    <font>
      <sz val="11"/>
      <color indexed="17"/>
      <name val="Calibri"/>
      <family val="2"/>
      <charset val="204"/>
    </font>
    <font>
      <sz val="8"/>
      <name val="Arial"/>
      <family val="2"/>
    </font>
    <font>
      <b/>
      <sz val="12"/>
      <name val="Arial"/>
      <family val="2"/>
    </font>
    <font>
      <b/>
      <sz val="10"/>
      <name val="Arial"/>
      <family val="2"/>
    </font>
    <font>
      <b/>
      <sz val="15"/>
      <color indexed="56"/>
      <name val="Calibri"/>
      <family val="2"/>
      <charset val="204"/>
    </font>
    <font>
      <b/>
      <sz val="13"/>
      <color indexed="56"/>
      <name val="Calibri"/>
      <family val="2"/>
      <charset val="204"/>
    </font>
    <font>
      <b/>
      <sz val="11"/>
      <color indexed="56"/>
      <name val="Calibri"/>
      <family val="2"/>
      <charset val="204"/>
    </font>
    <font>
      <b/>
      <sz val="10"/>
      <name val="Arial"/>
      <family val="2"/>
      <charset val="204"/>
    </font>
    <font>
      <u/>
      <sz val="11"/>
      <color indexed="39"/>
      <name val="Calibri"/>
      <family val="2"/>
      <charset val="204"/>
    </font>
    <font>
      <sz val="11"/>
      <color indexed="62"/>
      <name val="Calibri"/>
      <family val="2"/>
      <charset val="204"/>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11"/>
      <name val="Times New Roman"/>
      <family val="1"/>
      <charset val="204"/>
    </font>
    <font>
      <sz val="11"/>
      <color indexed="52"/>
      <name val="Calibri"/>
      <family val="2"/>
      <charset val="204"/>
    </font>
    <font>
      <b/>
      <i/>
      <sz val="12"/>
      <name val="KZ Times New Roman"/>
      <family val="1"/>
      <charset val="204"/>
    </font>
    <font>
      <b/>
      <sz val="12"/>
      <name val="KZ Times New Roman"/>
      <family val="1"/>
      <charset val="204"/>
    </font>
    <font>
      <sz val="10"/>
      <name val="KZ Times New Roman"/>
      <family val="1"/>
      <charset val="204"/>
    </font>
    <font>
      <sz val="11"/>
      <color indexed="60"/>
      <name val="Calibri"/>
      <family val="2"/>
      <charset val="204"/>
    </font>
    <font>
      <sz val="11"/>
      <color theme="1"/>
      <name val="Calibri"/>
      <family val="2"/>
      <scheme val="minor"/>
    </font>
    <font>
      <sz val="8"/>
      <name val="Helv"/>
      <charset val="204"/>
    </font>
    <font>
      <b/>
      <sz val="11"/>
      <color indexed="63"/>
      <name val="Calibri"/>
      <family val="2"/>
      <charset val="204"/>
    </font>
    <font>
      <sz val="12"/>
      <color indexed="8"/>
      <name val="Times New Roman"/>
      <family val="1"/>
    </font>
    <font>
      <sz val="8"/>
      <name val="Helv"/>
    </font>
    <font>
      <sz val="10"/>
      <name val="NTHelvetica/Cyrillic"/>
      <charset val="204"/>
    </font>
    <font>
      <sz val="11"/>
      <color rgb="FF000000"/>
      <name val="Calibri"/>
      <family val="2"/>
      <charset val="1"/>
    </font>
    <font>
      <sz val="11"/>
      <color rgb="FF000000"/>
      <name val="Calibri"/>
      <family val="2"/>
    </font>
    <font>
      <b/>
      <sz val="10"/>
      <color indexed="10"/>
      <name val="Arial"/>
      <family val="2"/>
    </font>
    <font>
      <b/>
      <sz val="18"/>
      <color indexed="56"/>
      <name val="Cambria"/>
      <family val="2"/>
      <charset val="204"/>
    </font>
    <font>
      <b/>
      <sz val="14"/>
      <name val="KZ Times New Roman"/>
      <family val="1"/>
      <charset val="204"/>
    </font>
    <font>
      <b/>
      <sz val="11"/>
      <color indexed="8"/>
      <name val="Calibri"/>
      <family val="2"/>
      <charset val="204"/>
    </font>
    <font>
      <sz val="11"/>
      <color indexed="10"/>
      <name val="Calibri"/>
      <family val="2"/>
      <charset val="204"/>
    </font>
    <font>
      <sz val="12"/>
      <color indexed="9"/>
      <name val="KZ Times New Roman"/>
      <family val="1"/>
      <charset val="204"/>
    </font>
    <font>
      <b/>
      <sz val="10"/>
      <color theme="1"/>
      <name val="Times New Roman"/>
      <family val="1"/>
      <charset val="204"/>
    </font>
    <font>
      <sz val="10"/>
      <color theme="1"/>
      <name val="Times New Roman"/>
      <family val="1"/>
      <charset val="204"/>
    </font>
    <font>
      <b/>
      <sz val="11"/>
      <color indexed="19"/>
      <name val="Calibri"/>
      <family val="2"/>
      <charset val="204"/>
    </font>
    <font>
      <u/>
      <sz val="11.5"/>
      <color indexed="39"/>
      <name val="Arial Cyr"/>
      <family val="2"/>
      <charset val="204"/>
    </font>
    <font>
      <b/>
      <sz val="10"/>
      <name val="Arial Cyr"/>
      <family val="2"/>
      <charset val="204"/>
    </font>
    <font>
      <sz val="10"/>
      <name val="Times New Roman Cyr"/>
      <family val="1"/>
      <charset val="204"/>
    </font>
    <font>
      <b/>
      <sz val="10"/>
      <color indexed="12"/>
      <name val="Arial Cyr"/>
      <family val="2"/>
      <charset val="204"/>
    </font>
    <font>
      <sz val="8"/>
      <name val="Arial"/>
      <family val="2"/>
      <charset val="204"/>
    </font>
    <font>
      <sz val="11"/>
      <color theme="1"/>
      <name val="Calibri"/>
      <family val="2"/>
      <charset val="204"/>
    </font>
    <font>
      <sz val="12"/>
      <color theme="1"/>
      <name val="Times New Roman"/>
      <family val="2"/>
      <charset val="204"/>
    </font>
    <font>
      <sz val="14"/>
      <color theme="1"/>
      <name val="Times New Roman"/>
      <family val="2"/>
      <charset val="204"/>
    </font>
    <font>
      <sz val="9"/>
      <color theme="1"/>
      <name val="Calibri"/>
      <family val="2"/>
      <charset val="204"/>
      <scheme val="minor"/>
    </font>
    <font>
      <sz val="11"/>
      <color theme="1"/>
      <name val="Times New Roman"/>
      <family val="2"/>
      <charset val="204"/>
    </font>
    <font>
      <b/>
      <sz val="11"/>
      <color theme="1"/>
      <name val="Times New Roman"/>
      <family val="1"/>
      <charset val="204"/>
    </font>
    <font>
      <b/>
      <sz val="11"/>
      <name val="Times New Roman"/>
      <family val="1"/>
      <charset val="204"/>
    </font>
    <font>
      <b/>
      <sz val="12"/>
      <name val="Times New Roman"/>
      <family val="1"/>
      <charset val="204"/>
    </font>
    <font>
      <sz val="12"/>
      <name val="Times New Roman"/>
      <family val="1"/>
      <charset val="204"/>
    </font>
    <font>
      <b/>
      <sz val="12"/>
      <color theme="1"/>
      <name val="Times New Roman"/>
      <family val="1"/>
      <charset val="204"/>
    </font>
    <font>
      <sz val="9"/>
      <name val="Times New Roman"/>
      <family val="1"/>
      <charset val="204"/>
    </font>
    <font>
      <b/>
      <sz val="9"/>
      <name val="Times New Roman"/>
      <family val="1"/>
      <charset val="204"/>
    </font>
    <font>
      <b/>
      <sz val="8"/>
      <name val="Times New Roman"/>
      <family val="1"/>
      <charset val="204"/>
    </font>
    <font>
      <sz val="8"/>
      <name val="Times New Roman"/>
      <family val="1"/>
      <charset val="204"/>
    </font>
    <font>
      <sz val="10"/>
      <color indexed="8"/>
      <name val="Times New Roman"/>
      <family val="1"/>
      <charset val="204"/>
    </font>
    <font>
      <b/>
      <sz val="11"/>
      <color indexed="8"/>
      <name val="Times New Roman"/>
      <family val="1"/>
      <charset val="204"/>
    </font>
    <font>
      <b/>
      <sz val="10"/>
      <name val="Arial Cyr"/>
      <charset val="204"/>
    </font>
    <font>
      <sz val="12"/>
      <name val="Arial Cyr"/>
      <family val="2"/>
      <charset val="204"/>
    </font>
    <font>
      <sz val="12"/>
      <name val="Arial Cyr"/>
    </font>
    <font>
      <b/>
      <sz val="12"/>
      <name val="Arial Cyr"/>
    </font>
    <font>
      <sz val="9"/>
      <name val="Arial Cyr"/>
    </font>
    <font>
      <b/>
      <sz val="9"/>
      <color theme="1"/>
      <name val="Times New Roman"/>
      <family val="1"/>
      <charset val="204"/>
    </font>
    <font>
      <sz val="11"/>
      <name val="Arial Cyr"/>
    </font>
    <font>
      <b/>
      <sz val="10"/>
      <color indexed="8"/>
      <name val="Times New Roman"/>
      <family val="1"/>
      <charset val="204"/>
    </font>
    <font>
      <sz val="12"/>
      <color rgb="FF000000"/>
      <name val="Times New Roman"/>
      <family val="1"/>
      <charset val="204"/>
    </font>
    <font>
      <sz val="8"/>
      <color rgb="FF000000"/>
      <name val="Times New Roman"/>
      <family val="1"/>
      <charset val="204"/>
    </font>
    <font>
      <b/>
      <sz val="12"/>
      <color rgb="FF000000"/>
      <name val="Times New Roman"/>
      <family val="1"/>
      <charset val="204"/>
    </font>
    <font>
      <b/>
      <sz val="8"/>
      <color indexed="8"/>
      <name val="Arial"/>
      <family val="2"/>
      <charset val="204"/>
    </font>
    <font>
      <b/>
      <sz val="12"/>
      <color indexed="8"/>
      <name val="Times New Roman"/>
      <family val="1"/>
      <charset val="204"/>
    </font>
    <font>
      <b/>
      <sz val="11"/>
      <color rgb="FF000000"/>
      <name val="Times New Roman"/>
      <family val="1"/>
      <charset val="204"/>
    </font>
    <font>
      <sz val="10"/>
      <color rgb="FF000000"/>
      <name val="Times New Roman"/>
      <family val="1"/>
      <charset val="204"/>
    </font>
    <font>
      <sz val="11"/>
      <color theme="1"/>
      <name val="Times New Roman"/>
      <family val="1"/>
      <charset val="204"/>
    </font>
    <font>
      <sz val="11"/>
      <name val="Calibri"/>
      <family val="2"/>
      <charset val="204"/>
    </font>
    <font>
      <sz val="10"/>
      <name val="Times New Roman"/>
      <family val="1"/>
    </font>
    <font>
      <sz val="12"/>
      <color theme="1"/>
      <name val="Times New Roman"/>
      <family val="1"/>
    </font>
    <font>
      <sz val="11"/>
      <color theme="1"/>
      <name val="Calibri"/>
      <family val="2"/>
    </font>
    <font>
      <b/>
      <sz val="12"/>
      <color theme="1"/>
      <name val="Times New Roman"/>
      <family val="1"/>
    </font>
    <font>
      <sz val="11"/>
      <name val="Calibri"/>
      <family val="2"/>
    </font>
    <font>
      <i/>
      <sz val="12"/>
      <color theme="1"/>
      <name val="Times New Roman"/>
      <family val="1"/>
    </font>
    <font>
      <b/>
      <sz val="11"/>
      <color theme="1"/>
      <name val="Times New Roman"/>
      <family val="1"/>
    </font>
    <font>
      <b/>
      <sz val="11"/>
      <color rgb="FF000000"/>
      <name val="Times New Roman"/>
      <family val="1"/>
    </font>
    <font>
      <sz val="11"/>
      <color theme="1"/>
      <name val="Times New Roman"/>
      <family val="1"/>
    </font>
    <font>
      <sz val="11"/>
      <color rgb="FF000000"/>
      <name val="Times New Roman"/>
      <family val="1"/>
    </font>
    <font>
      <i/>
      <sz val="11"/>
      <color theme="1"/>
      <name val="Times New Roman"/>
      <family val="1"/>
    </font>
    <font>
      <sz val="11"/>
      <color rgb="FF000000"/>
      <name val="Times New Roman"/>
      <family val="1"/>
      <charset val="204"/>
    </font>
    <font>
      <sz val="12"/>
      <name val="Calibri"/>
      <family val="2"/>
    </font>
    <font>
      <sz val="11"/>
      <color theme="1"/>
      <name val="Calibri"/>
      <family val="2"/>
      <charset val="204"/>
      <scheme val="minor"/>
    </font>
    <font>
      <sz val="11"/>
      <color rgb="FF000000"/>
      <name val="Calibri"/>
      <family val="2"/>
      <charset val="204"/>
      <scheme val="minor"/>
    </font>
    <font>
      <sz val="12"/>
      <color theme="1"/>
      <name val="Times New Roman"/>
      <family val="1"/>
      <charset val="204"/>
    </font>
    <font>
      <sz val="12"/>
      <name val="Arial Cyr"/>
      <charset val="204"/>
    </font>
    <font>
      <b/>
      <sz val="16"/>
      <color theme="1"/>
      <name val="Times New Roman"/>
      <family val="1"/>
      <charset val="204"/>
    </font>
    <font>
      <b/>
      <sz val="14"/>
      <color theme="1"/>
      <name val="Times New Roman"/>
      <family val="1"/>
      <charset val="204"/>
    </font>
    <font>
      <sz val="16"/>
      <name val="Calibri"/>
      <family val="2"/>
      <charset val="204"/>
    </font>
    <font>
      <sz val="11"/>
      <color theme="1"/>
      <name val="Calibri"/>
      <family val="2"/>
      <charset val="204"/>
      <scheme val="minor"/>
    </font>
    <font>
      <u/>
      <sz val="10"/>
      <color theme="10"/>
      <name val="Arial Cyr"/>
    </font>
    <font>
      <sz val="12"/>
      <color rgb="FF1F1F1F"/>
      <name val="Times New Roman"/>
      <family val="1"/>
      <charset val="204"/>
    </font>
    <font>
      <sz val="10"/>
      <name val="Bahnschrift Light"/>
      <family val="2"/>
      <charset val="204"/>
    </font>
    <font>
      <sz val="12"/>
      <color indexed="64"/>
      <name val="Times New Roman"/>
      <family val="1"/>
      <charset val="204"/>
    </font>
    <font>
      <b/>
      <sz val="12"/>
      <color indexed="64"/>
      <name val="Times New Roman"/>
      <family val="1"/>
      <charset val="204"/>
    </font>
    <font>
      <b/>
      <sz val="18"/>
      <name val="Times New Roman"/>
      <family val="1"/>
      <charset val="204"/>
    </font>
    <font>
      <b/>
      <sz val="18"/>
      <color theme="1"/>
      <name val="Times New Roman"/>
      <family val="1"/>
      <charset val="204"/>
    </font>
    <font>
      <sz val="18"/>
      <name val="Calibri"/>
      <family val="2"/>
      <charset val="204"/>
    </font>
    <font>
      <sz val="11"/>
      <color rgb="FF1F1F1F"/>
      <name val="Times New Roman"/>
      <family val="1"/>
      <charset val="204"/>
    </font>
    <font>
      <sz val="11"/>
      <color rgb="FF0C0C0C"/>
      <name val="Times New Roman"/>
      <family val="1"/>
    </font>
    <font>
      <sz val="11"/>
      <color rgb="FFFF0000"/>
      <name val="Times New Roman"/>
      <family val="1"/>
    </font>
    <font>
      <u/>
      <sz val="10"/>
      <name val="Times New Roman"/>
      <family val="1"/>
      <charset val="204"/>
    </font>
    <font>
      <sz val="10"/>
      <color rgb="FF1F1F1F"/>
      <name val="Times New Roman"/>
      <family val="1"/>
      <charset val="204"/>
    </font>
    <font>
      <sz val="10"/>
      <color rgb="FF222222"/>
      <name val="Times New Roman"/>
      <family val="1"/>
      <charset val="204"/>
    </font>
    <font>
      <sz val="10"/>
      <color rgb="FF01011B"/>
      <name val="Times New Roman"/>
      <family val="1"/>
      <charset val="204"/>
    </font>
    <font>
      <sz val="11"/>
      <color rgb="FFFF0000"/>
      <name val="Times New Roman"/>
      <family val="1"/>
      <charset val="204"/>
    </font>
    <font>
      <b/>
      <sz val="12"/>
      <color rgb="FF1F1F1F"/>
      <name val="Times New Roman"/>
      <family val="1"/>
      <charset val="204"/>
    </font>
    <font>
      <sz val="12"/>
      <color rgb="FF00B0F0"/>
      <name val="Times New Roman"/>
      <family val="1"/>
      <charset val="204"/>
    </font>
    <font>
      <b/>
      <sz val="12"/>
      <color rgb="FF00B0F0"/>
      <name val="Times New Roman"/>
      <family val="1"/>
      <charset val="204"/>
    </font>
    <font>
      <b/>
      <sz val="10"/>
      <color rgb="FF000000"/>
      <name val="Times New Roman"/>
      <family val="1"/>
      <charset val="204"/>
    </font>
    <font>
      <sz val="11"/>
      <name val="Arial Cyr"/>
      <charset val="204"/>
    </font>
  </fonts>
  <fills count="74">
    <fill>
      <patternFill patternType="none"/>
    </fill>
    <fill>
      <patternFill patternType="gray125"/>
    </fill>
    <fill>
      <patternFill patternType="solid">
        <fgColor theme="5"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9"/>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9"/>
        <bgColor indexed="64"/>
      </patternFill>
    </fill>
    <fill>
      <patternFill patternType="solid">
        <fgColor indexed="31"/>
        <bgColor indexed="22"/>
      </patternFill>
    </fill>
    <fill>
      <patternFill patternType="solid">
        <fgColor indexed="14"/>
        <bgColor indexed="64"/>
      </patternFill>
    </fill>
    <fill>
      <patternFill patternType="solid">
        <fgColor indexed="22"/>
        <bgColor indexed="64"/>
      </patternFill>
    </fill>
    <fill>
      <patternFill patternType="solid">
        <fgColor indexed="27"/>
        <bgColor indexed="64"/>
      </patternFill>
    </fill>
    <fill>
      <patternFill patternType="solid">
        <fgColor indexed="43"/>
        <bgColor indexed="64"/>
      </patternFill>
    </fill>
    <fill>
      <patternFill patternType="solid">
        <fgColor indexed="26"/>
        <bgColor indexed="64"/>
      </patternFill>
    </fill>
    <fill>
      <patternFill patternType="solid">
        <fgColor theme="9" tint="0.79998168889431442"/>
        <bgColor indexed="64"/>
      </patternFill>
    </fill>
    <fill>
      <patternFill patternType="solid">
        <fgColor theme="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0"/>
        <bgColor theme="0"/>
      </patternFill>
    </fill>
    <fill>
      <patternFill patternType="solid">
        <fgColor theme="6"/>
        <bgColor indexed="64"/>
      </patternFill>
    </fill>
    <fill>
      <patternFill patternType="solid">
        <fgColor theme="9"/>
        <bgColor indexed="64"/>
      </patternFill>
    </fill>
    <fill>
      <patternFill patternType="solid">
        <fgColor theme="2"/>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7030A0"/>
        <bgColor indexed="64"/>
      </patternFill>
    </fill>
    <fill>
      <patternFill patternType="solid">
        <fgColor rgb="FFFFFF00"/>
        <bgColor rgb="FFFFFF00"/>
      </patternFill>
    </fill>
    <fill>
      <patternFill patternType="solid">
        <fgColor rgb="FFFEF2CB"/>
        <bgColor rgb="FFFEF2CB"/>
      </patternFill>
    </fill>
    <fill>
      <patternFill patternType="solid">
        <fgColor theme="0"/>
        <bgColor rgb="FFFFFF00"/>
      </patternFill>
    </fill>
    <fill>
      <patternFill patternType="solid">
        <fgColor rgb="FFFFFFFF"/>
        <bgColor indexed="64"/>
      </patternFill>
    </fill>
    <fill>
      <patternFill patternType="solid">
        <fgColor theme="5" tint="0.79998168889431442"/>
        <bgColor theme="5" tint="0.79998168889431442"/>
      </patternFill>
    </fill>
    <fill>
      <patternFill patternType="solid">
        <fgColor rgb="FFFFFF00"/>
        <bgColor theme="0"/>
      </patternFill>
    </fill>
    <fill>
      <patternFill patternType="solid">
        <fgColor indexed="5"/>
        <bgColor theme="0"/>
      </patternFill>
    </fill>
    <fill>
      <patternFill patternType="solid">
        <fgColor indexed="5"/>
        <bgColor indexed="5"/>
      </patternFill>
    </fill>
    <fill>
      <patternFill patternType="solid">
        <fgColor rgb="FFFFFF00"/>
        <bgColor indexed="5"/>
      </patternFill>
    </fill>
    <fill>
      <patternFill patternType="solid">
        <fgColor indexed="65"/>
      </patternFill>
    </fill>
    <fill>
      <patternFill patternType="solid">
        <fgColor rgb="FFFFFFFF"/>
        <bgColor rgb="FFFFFFFF"/>
      </patternFill>
    </fill>
    <fill>
      <patternFill patternType="solid">
        <fgColor rgb="FFFFFF00"/>
        <bgColor rgb="FFFEF2CB"/>
      </patternFill>
    </fill>
    <fill>
      <patternFill patternType="solid">
        <fgColor theme="4" tint="0.79998168889431442"/>
        <bgColor rgb="FF00B0F0"/>
      </patternFill>
    </fill>
    <fill>
      <patternFill patternType="solid">
        <fgColor theme="0"/>
        <bgColor rgb="FFC5E0B3"/>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bgColor rgb="FFFFFFFF"/>
      </patternFill>
    </fill>
    <fill>
      <patternFill patternType="solid">
        <fgColor theme="9" tint="0.79998168889431442"/>
        <bgColor theme="0"/>
      </patternFill>
    </fill>
    <fill>
      <patternFill patternType="solid">
        <fgColor theme="0"/>
      </patternFill>
    </fill>
    <fill>
      <patternFill patternType="solid">
        <fgColor rgb="FF00B0F0"/>
        <bgColor indexed="64"/>
      </patternFill>
    </fill>
    <fill>
      <patternFill patternType="solid">
        <fgColor theme="6" tint="0.59999389629810485"/>
        <bgColor indexed="64"/>
      </patternFill>
    </fill>
    <fill>
      <patternFill patternType="solid">
        <fgColor theme="6" tint="0.59999389629810485"/>
        <bgColor theme="0"/>
      </patternFill>
    </fill>
    <fill>
      <patternFill patternType="solid">
        <fgColor theme="6" tint="0.59999389629810485"/>
        <bgColor rgb="FFFEF2CB"/>
      </patternFill>
    </fill>
    <fill>
      <patternFill patternType="solid">
        <fgColor theme="6" tint="0.59999389629810485"/>
        <bgColor rgb="FFFFFF00"/>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8"/>
      </left>
      <right/>
      <top/>
      <bottom/>
      <diagonal/>
    </border>
    <border>
      <left style="thin">
        <color indexed="64"/>
      </left>
      <right/>
      <top/>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top/>
      <bottom style="thin">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0"/>
      </left>
      <right style="thin">
        <color indexed="0"/>
      </right>
      <top style="thin">
        <color indexed="0"/>
      </top>
      <bottom style="thin">
        <color indexed="0"/>
      </bottom>
      <diagonal/>
    </border>
    <border>
      <left/>
      <right/>
      <top style="thin">
        <color indexed="62"/>
      </top>
      <bottom style="double">
        <color indexed="62"/>
      </bottom>
      <diagonal/>
    </border>
    <border>
      <left style="double">
        <color indexed="64"/>
      </left>
      <right style="double">
        <color indexed="64"/>
      </right>
      <top style="double">
        <color indexed="64"/>
      </top>
      <bottom style="double">
        <color indexed="64"/>
      </bottom>
      <diagonal/>
    </border>
    <border>
      <left style="hair">
        <color indexed="64"/>
      </left>
      <right/>
      <top style="hair">
        <color indexed="64"/>
      </top>
      <bottom style="hair">
        <color indexed="9"/>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auto="1"/>
      </left>
      <right style="thin">
        <color auto="1"/>
      </right>
      <top style="thin">
        <color auto="1"/>
      </top>
      <bottom style="thin">
        <color auto="1"/>
      </bottom>
      <diagonal/>
    </border>
    <border>
      <left style="thin">
        <color rgb="FF000000"/>
      </left>
      <right/>
      <top/>
      <bottom/>
      <diagonal/>
    </border>
    <border>
      <left/>
      <right style="thin">
        <color rgb="FF000000"/>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indexed="64"/>
      </left>
      <right style="thin">
        <color rgb="FF000000"/>
      </right>
      <top/>
      <bottom/>
      <diagonal/>
    </border>
    <border>
      <left style="thin">
        <color rgb="FF000000"/>
      </left>
      <right/>
      <top style="thin">
        <color rgb="FF000000"/>
      </top>
      <bottom style="thin">
        <color indexed="64"/>
      </bottom>
      <diagonal/>
    </border>
  </borders>
  <cellStyleXfs count="11684">
    <xf numFmtId="0" fontId="0" fillId="0" borderId="0"/>
    <xf numFmtId="0"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6" fillId="0" borderId="0"/>
    <xf numFmtId="0" fontId="16" fillId="0" borderId="0"/>
    <xf numFmtId="0" fontId="16" fillId="0" borderId="0"/>
    <xf numFmtId="0" fontId="16" fillId="0" borderId="0"/>
    <xf numFmtId="0" fontId="16" fillId="0" borderId="0"/>
    <xf numFmtId="0" fontId="15" fillId="0" borderId="0"/>
    <xf numFmtId="0" fontId="16" fillId="0" borderId="0"/>
    <xf numFmtId="0" fontId="15" fillId="0" borderId="0"/>
    <xf numFmtId="0" fontId="1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pplyNumberFormat="0" applyFill="0" applyBorder="0" applyAlignment="0" applyProtection="0"/>
    <xf numFmtId="0" fontId="17" fillId="0" borderId="0" applyNumberFormat="0" applyFill="0" applyBorder="0" applyAlignment="0" applyProtection="0"/>
    <xf numFmtId="170" fontId="17" fillId="0" borderId="0" applyNumberFormat="0" applyFill="0" applyBorder="0" applyAlignment="0" applyProtection="0"/>
    <xf numFmtId="170" fontId="17"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6" fillId="0" borderId="0"/>
    <xf numFmtId="0" fontId="15" fillId="0" borderId="0"/>
    <xf numFmtId="0" fontId="16" fillId="0" borderId="0"/>
    <xf numFmtId="0" fontId="16" fillId="0" borderId="0"/>
    <xf numFmtId="0" fontId="14" fillId="0" borderId="0"/>
    <xf numFmtId="0" fontId="14" fillId="0" borderId="0"/>
    <xf numFmtId="0" fontId="15" fillId="0" borderId="0"/>
    <xf numFmtId="0" fontId="16" fillId="0" borderId="0"/>
    <xf numFmtId="0" fontId="14" fillId="0" borderId="0"/>
    <xf numFmtId="0" fontId="14" fillId="0" borderId="0"/>
    <xf numFmtId="0" fontId="14" fillId="0" borderId="0"/>
    <xf numFmtId="0" fontId="15" fillId="0" borderId="0"/>
    <xf numFmtId="0" fontId="16" fillId="0" borderId="0"/>
    <xf numFmtId="167" fontId="18" fillId="0" borderId="0">
      <protection locked="0"/>
    </xf>
    <xf numFmtId="167" fontId="18" fillId="0" borderId="0">
      <protection locked="0"/>
    </xf>
    <xf numFmtId="167" fontId="18" fillId="0" borderId="0">
      <protection locked="0"/>
    </xf>
    <xf numFmtId="167" fontId="18" fillId="0" borderId="0">
      <protection locked="0"/>
    </xf>
    <xf numFmtId="167" fontId="18" fillId="0" borderId="0">
      <protection locked="0"/>
    </xf>
    <xf numFmtId="0" fontId="18" fillId="0" borderId="4">
      <protection locked="0"/>
    </xf>
    <xf numFmtId="0" fontId="19" fillId="0" borderId="0">
      <protection locked="0"/>
    </xf>
    <xf numFmtId="0" fontId="19" fillId="0" borderId="0">
      <protection locked="0"/>
    </xf>
    <xf numFmtId="0" fontId="18" fillId="0" borderId="4">
      <protection locked="0"/>
    </xf>
    <xf numFmtId="0" fontId="20" fillId="0" borderId="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7"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8"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21" fillId="9"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21" fillId="10"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21" fillId="11"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21" fillId="12"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0" borderId="0" applyNumberFormat="0" applyBorder="0" applyAlignment="0" applyProtection="0"/>
    <xf numFmtId="0" fontId="21" fillId="15" borderId="0" applyNumberFormat="0" applyBorder="0" applyAlignment="0" applyProtection="0"/>
    <xf numFmtId="0" fontId="21" fillId="18"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5"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1" fillId="16"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21" fillId="17"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21" fillId="10"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21" fillId="15"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21" fillId="18" borderId="0" applyNumberFormat="0" applyBorder="0" applyAlignment="0" applyProtection="0"/>
    <xf numFmtId="0" fontId="22" fillId="21"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28" borderId="0" applyNumberFormat="0" applyBorder="0" applyAlignment="0" applyProtection="0"/>
    <xf numFmtId="0" fontId="23" fillId="8" borderId="0" applyNumberFormat="0" applyBorder="0" applyAlignment="0" applyProtection="0"/>
    <xf numFmtId="171" fontId="24" fillId="0" borderId="0" applyFill="0" applyBorder="0" applyAlignment="0"/>
    <xf numFmtId="172" fontId="24" fillId="0" borderId="0" applyFill="0" applyBorder="0" applyAlignment="0"/>
    <xf numFmtId="173" fontId="24" fillId="0" borderId="0" applyFill="0" applyBorder="0" applyAlignment="0"/>
    <xf numFmtId="174" fontId="25" fillId="0" borderId="0" applyFill="0" applyBorder="0" applyAlignment="0"/>
    <xf numFmtId="175" fontId="25" fillId="0" borderId="0" applyFill="0" applyBorder="0" applyAlignment="0"/>
    <xf numFmtId="171" fontId="24" fillId="0" borderId="0" applyFill="0" applyBorder="0" applyAlignment="0"/>
    <xf numFmtId="176" fontId="25" fillId="0" borderId="0" applyFill="0" applyBorder="0" applyAlignment="0"/>
    <xf numFmtId="172" fontId="24" fillId="0" borderId="0" applyFill="0" applyBorder="0" applyAlignment="0"/>
    <xf numFmtId="0" fontId="26" fillId="19" borderId="5" applyNumberFormat="0" applyAlignment="0" applyProtection="0"/>
    <xf numFmtId="0" fontId="26" fillId="19" borderId="5" applyNumberFormat="0" applyAlignment="0" applyProtection="0"/>
    <xf numFmtId="0" fontId="26" fillId="19" borderId="5" applyNumberFormat="0" applyAlignment="0" applyProtection="0"/>
    <xf numFmtId="0" fontId="26" fillId="19" borderId="5" applyNumberFormat="0" applyAlignment="0" applyProtection="0"/>
    <xf numFmtId="0" fontId="26" fillId="19" borderId="5" applyNumberFormat="0" applyAlignment="0" applyProtection="0"/>
    <xf numFmtId="0" fontId="26" fillId="19" borderId="5" applyNumberFormat="0" applyAlignment="0" applyProtection="0"/>
    <xf numFmtId="0" fontId="27" fillId="0" borderId="6">
      <alignment horizontal="left" vertical="top" wrapText="1"/>
    </xf>
    <xf numFmtId="0" fontId="27" fillId="0" borderId="6">
      <alignment horizontal="left" vertical="top" wrapText="1"/>
    </xf>
    <xf numFmtId="170" fontId="27" fillId="0" borderId="6">
      <alignment horizontal="left" vertical="top" wrapText="1"/>
    </xf>
    <xf numFmtId="170" fontId="27" fillId="0" borderId="6">
      <alignment horizontal="left" vertical="top" wrapText="1"/>
    </xf>
    <xf numFmtId="0" fontId="27" fillId="0" borderId="6">
      <alignment horizontal="left" vertical="top" wrapText="1"/>
    </xf>
    <xf numFmtId="1" fontId="27" fillId="0" borderId="0">
      <alignment horizontal="center" vertical="top" wrapText="1"/>
    </xf>
    <xf numFmtId="177" fontId="27" fillId="0" borderId="7">
      <alignment horizontal="center" vertical="top" wrapText="1"/>
    </xf>
    <xf numFmtId="178" fontId="27" fillId="0" borderId="6">
      <alignment horizontal="center" vertical="top" wrapText="1"/>
    </xf>
    <xf numFmtId="178" fontId="27" fillId="0" borderId="7">
      <alignment horizontal="center" vertical="top" wrapText="1"/>
    </xf>
    <xf numFmtId="178" fontId="27" fillId="0" borderId="7">
      <alignment horizontal="center" vertical="top" wrapText="1"/>
    </xf>
    <xf numFmtId="178" fontId="27" fillId="0" borderId="7">
      <alignment horizontal="center" vertical="top" wrapText="1"/>
    </xf>
    <xf numFmtId="178" fontId="27" fillId="0" borderId="7">
      <alignment horizontal="center" vertical="top" wrapText="1"/>
    </xf>
    <xf numFmtId="0" fontId="28" fillId="29" borderId="8" applyNumberFormat="0" applyAlignment="0" applyProtection="0"/>
    <xf numFmtId="0" fontId="28" fillId="29" borderId="8" applyNumberFormat="0" applyAlignment="0" applyProtection="0"/>
    <xf numFmtId="0" fontId="28" fillId="29" borderId="8" applyNumberFormat="0" applyAlignment="0" applyProtection="0"/>
    <xf numFmtId="1" fontId="27" fillId="0" borderId="0">
      <alignment horizontal="center" vertical="top" wrapText="1"/>
    </xf>
    <xf numFmtId="177" fontId="27" fillId="0" borderId="0">
      <alignment horizontal="center" vertical="top" wrapText="1"/>
    </xf>
    <xf numFmtId="178" fontId="27" fillId="0" borderId="0">
      <alignment horizontal="center" vertical="top" wrapText="1"/>
    </xf>
    <xf numFmtId="178" fontId="27" fillId="0" borderId="0">
      <alignment horizontal="center" vertical="top" wrapText="1"/>
    </xf>
    <xf numFmtId="178" fontId="27" fillId="0" borderId="0">
      <alignment horizontal="center" vertical="top" wrapText="1"/>
    </xf>
    <xf numFmtId="0" fontId="27" fillId="0" borderId="0">
      <alignment horizontal="left" vertical="top" wrapText="1"/>
    </xf>
    <xf numFmtId="0" fontId="29" fillId="0" borderId="0" applyFont="0" applyFill="0" applyBorder="0" applyAlignment="0" applyProtection="0"/>
    <xf numFmtId="171" fontId="24"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79" fontId="24" fillId="0" borderId="0" applyFont="0" applyFill="0" applyBorder="0" applyAlignment="0" applyProtection="0"/>
    <xf numFmtId="180" fontId="30" fillId="0" borderId="0" applyFont="0" applyFill="0" applyBorder="0" applyAlignment="0" applyProtection="0"/>
    <xf numFmtId="172" fontId="24" fillId="0" borderId="0" applyFont="0" applyFill="0" applyBorder="0" applyAlignment="0" applyProtection="0"/>
    <xf numFmtId="176" fontId="25" fillId="0" borderId="0" applyFont="0" applyFill="0" applyBorder="0" applyAlignment="0" applyProtection="0"/>
    <xf numFmtId="0" fontId="27" fillId="0" borderId="0">
      <alignment horizontal="left" vertical="top" wrapText="1"/>
    </xf>
    <xf numFmtId="181" fontId="17" fillId="30" borderId="0" applyFont="0" applyFill="0" applyBorder="0" applyAlignment="0" applyProtection="0"/>
    <xf numFmtId="14" fontId="31" fillId="0" borderId="0" applyFill="0" applyBorder="0" applyAlignment="0"/>
    <xf numFmtId="182" fontId="17" fillId="30" borderId="0" applyFont="0" applyFill="0" applyBorder="0" applyAlignment="0" applyProtection="0"/>
    <xf numFmtId="0" fontId="17" fillId="30" borderId="0" applyFont="0" applyFill="0" applyBorder="0" applyAlignment="0" applyProtection="0"/>
    <xf numFmtId="38" fontId="30" fillId="0" borderId="9">
      <alignment vertical="center"/>
    </xf>
    <xf numFmtId="38" fontId="30" fillId="0" borderId="9">
      <alignment vertical="center"/>
    </xf>
    <xf numFmtId="38" fontId="30" fillId="0" borderId="9">
      <alignment vertical="center"/>
    </xf>
    <xf numFmtId="0" fontId="32" fillId="0" borderId="0" applyNumberFormat="0" applyFill="0" applyBorder="0" applyAlignment="0" applyProtection="0"/>
    <xf numFmtId="171" fontId="24" fillId="0" borderId="0" applyFill="0" applyBorder="0" applyAlignment="0"/>
    <xf numFmtId="172" fontId="24" fillId="0" borderId="0" applyFill="0" applyBorder="0" applyAlignment="0"/>
    <xf numFmtId="171" fontId="24" fillId="0" borderId="0" applyFill="0" applyBorder="0" applyAlignment="0"/>
    <xf numFmtId="176" fontId="25" fillId="0" borderId="0" applyFill="0" applyBorder="0" applyAlignment="0"/>
    <xf numFmtId="172" fontId="24" fillId="0" borderId="0" applyFill="0" applyBorder="0" applyAlignment="0"/>
    <xf numFmtId="0" fontId="33" fillId="0" borderId="0"/>
    <xf numFmtId="0" fontId="33" fillId="0" borderId="0"/>
    <xf numFmtId="170" fontId="33" fillId="0" borderId="0"/>
    <xf numFmtId="170" fontId="33" fillId="0" borderId="0"/>
    <xf numFmtId="0" fontId="33" fillId="0" borderId="0"/>
    <xf numFmtId="0" fontId="21" fillId="31" borderId="0" applyNumberFormat="0" applyBorder="0" applyAlignment="0" applyProtection="0"/>
    <xf numFmtId="0" fontId="34" fillId="0" borderId="0" applyNumberFormat="0" applyFill="0" applyBorder="0" applyAlignment="0" applyProtection="0"/>
    <xf numFmtId="10" fontId="35" fillId="32" borderId="1" applyNumberFormat="0" applyFill="0" applyBorder="0" applyAlignment="0" applyProtection="0">
      <protection locked="0"/>
    </xf>
    <xf numFmtId="10" fontId="35" fillId="32" borderId="1" applyNumberFormat="0" applyFill="0" applyBorder="0" applyAlignment="0" applyProtection="0">
      <protection locked="0"/>
    </xf>
    <xf numFmtId="10" fontId="35" fillId="32" borderId="1" applyNumberFormat="0" applyFill="0" applyBorder="0" applyAlignment="0" applyProtection="0">
      <protection locked="0"/>
    </xf>
    <xf numFmtId="10" fontId="35" fillId="32" borderId="1" applyNumberFormat="0" applyFill="0" applyBorder="0" applyAlignment="0" applyProtection="0">
      <protection locked="0"/>
    </xf>
    <xf numFmtId="0" fontId="36" fillId="9" borderId="0" applyNumberFormat="0" applyBorder="0" applyAlignment="0" applyProtection="0"/>
    <xf numFmtId="38" fontId="37" fillId="33" borderId="0" applyNumberFormat="0" applyBorder="0" applyAlignment="0" applyProtection="0"/>
    <xf numFmtId="0" fontId="38" fillId="0" borderId="10" applyNumberFormat="0" applyAlignment="0" applyProtection="0">
      <alignment horizontal="left" vertical="center"/>
    </xf>
    <xf numFmtId="0" fontId="38" fillId="0" borderId="11">
      <alignment horizontal="left" vertical="center"/>
    </xf>
    <xf numFmtId="0" fontId="38" fillId="0" borderId="11">
      <alignment horizontal="left" vertical="center"/>
    </xf>
    <xf numFmtId="0" fontId="38" fillId="0" borderId="11">
      <alignment horizontal="left" vertical="center"/>
    </xf>
    <xf numFmtId="0" fontId="38" fillId="0" borderId="11">
      <alignment horizontal="left" vertical="center"/>
    </xf>
    <xf numFmtId="14" fontId="39" fillId="34" borderId="12">
      <alignment horizontal="center" vertical="center" wrapText="1"/>
    </xf>
    <xf numFmtId="0" fontId="40" fillId="0" borderId="13" applyNumberFormat="0" applyFill="0" applyAlignment="0" applyProtection="0"/>
    <xf numFmtId="0" fontId="41" fillId="0" borderId="14" applyNumberFormat="0" applyFill="0" applyAlignment="0" applyProtection="0"/>
    <xf numFmtId="0" fontId="42" fillId="0" borderId="15" applyNumberFormat="0" applyFill="0" applyAlignment="0" applyProtection="0"/>
    <xf numFmtId="0" fontId="42" fillId="0" borderId="0" applyNumberFormat="0" applyFill="0" applyBorder="0" applyAlignment="0" applyProtection="0"/>
    <xf numFmtId="14" fontId="43" fillId="34" borderId="12">
      <alignment horizontal="center" vertical="center" wrapText="1"/>
    </xf>
    <xf numFmtId="0" fontId="27" fillId="0" borderId="7">
      <alignment horizontal="left" vertical="top"/>
    </xf>
    <xf numFmtId="0" fontId="27" fillId="0" borderId="16">
      <alignment horizontal="center" vertical="top" wrapText="1"/>
    </xf>
    <xf numFmtId="0" fontId="27" fillId="0" borderId="16">
      <alignment horizontal="center" vertical="top" wrapText="1"/>
    </xf>
    <xf numFmtId="0" fontId="27" fillId="0" borderId="0">
      <alignment horizontal="left" vertical="top"/>
    </xf>
    <xf numFmtId="0" fontId="27" fillId="0" borderId="17">
      <alignment horizontal="left" vertical="top"/>
    </xf>
    <xf numFmtId="0" fontId="27" fillId="0" borderId="17">
      <alignment horizontal="left" vertical="top"/>
    </xf>
    <xf numFmtId="0" fontId="44" fillId="0" borderId="0" applyNumberFormat="0" applyFill="0" applyBorder="0" applyAlignment="0" applyProtection="0"/>
    <xf numFmtId="183" fontId="17" fillId="35" borderId="1" applyNumberFormat="0" applyFont="0" applyAlignment="0">
      <protection locked="0"/>
    </xf>
    <xf numFmtId="10" fontId="37" fillId="36" borderId="1" applyNumberFormat="0" applyBorder="0" applyAlignment="0" applyProtection="0"/>
    <xf numFmtId="10" fontId="37" fillId="36" borderId="1" applyNumberFormat="0" applyBorder="0" applyAlignment="0" applyProtection="0"/>
    <xf numFmtId="10" fontId="37" fillId="36" borderId="1" applyNumberFormat="0" applyBorder="0" applyAlignment="0" applyProtection="0"/>
    <xf numFmtId="10" fontId="37" fillId="36" borderId="1" applyNumberFormat="0" applyBorder="0" applyAlignment="0" applyProtection="0"/>
    <xf numFmtId="10" fontId="37" fillId="36" borderId="1" applyNumberFormat="0" applyBorder="0" applyAlignment="0" applyProtection="0"/>
    <xf numFmtId="10" fontId="37" fillId="36" borderId="1" applyNumberFormat="0" applyBorder="0" applyAlignment="0" applyProtection="0"/>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183" fontId="17" fillId="35" borderId="1" applyNumberFormat="0" applyFont="0" applyAlignment="0">
      <protection locked="0"/>
    </xf>
    <xf numFmtId="0" fontId="45" fillId="12" borderId="5" applyNumberFormat="0" applyAlignment="0" applyProtection="0"/>
    <xf numFmtId="38" fontId="46" fillId="0" borderId="0"/>
    <xf numFmtId="38" fontId="47" fillId="0" borderId="0"/>
    <xf numFmtId="38" fontId="48" fillId="0" borderId="0"/>
    <xf numFmtId="38" fontId="49" fillId="0" borderId="0"/>
    <xf numFmtId="0" fontId="50" fillId="0" borderId="0"/>
    <xf numFmtId="0" fontId="50" fillId="0" borderId="0"/>
    <xf numFmtId="0" fontId="51" fillId="0" borderId="0"/>
    <xf numFmtId="171" fontId="24" fillId="0" borderId="0" applyFill="0" applyBorder="0" applyAlignment="0"/>
    <xf numFmtId="172" fontId="24" fillId="0" borderId="0" applyFill="0" applyBorder="0" applyAlignment="0"/>
    <xf numFmtId="171" fontId="24" fillId="0" borderId="0" applyFill="0" applyBorder="0" applyAlignment="0"/>
    <xf numFmtId="176" fontId="25" fillId="0" borderId="0" applyFill="0" applyBorder="0" applyAlignment="0"/>
    <xf numFmtId="172" fontId="24" fillId="0" borderId="0" applyFill="0" applyBorder="0" applyAlignment="0"/>
    <xf numFmtId="0" fontId="52" fillId="0" borderId="18" applyNumberFormat="0" applyFill="0" applyAlignment="0" applyProtection="0"/>
    <xf numFmtId="0" fontId="53" fillId="33" borderId="7">
      <alignment horizontal="left" vertical="top" wrapText="1"/>
    </xf>
    <xf numFmtId="0" fontId="53" fillId="33" borderId="7">
      <alignment horizontal="left" vertical="top" wrapText="1"/>
    </xf>
    <xf numFmtId="0" fontId="54" fillId="0" borderId="6">
      <alignment horizontal="left" vertical="top" wrapText="1"/>
    </xf>
    <xf numFmtId="0" fontId="54" fillId="0" borderId="7">
      <alignment horizontal="left" vertical="top" wrapText="1"/>
    </xf>
    <xf numFmtId="0" fontId="54" fillId="0" borderId="7">
      <alignment horizontal="left" vertical="top" wrapText="1"/>
    </xf>
    <xf numFmtId="0" fontId="54" fillId="0" borderId="6">
      <alignment horizontal="left" vertical="top" wrapText="1"/>
    </xf>
    <xf numFmtId="170" fontId="54" fillId="0" borderId="6">
      <alignment horizontal="left" vertical="top" wrapText="1"/>
    </xf>
    <xf numFmtId="0" fontId="54" fillId="0" borderId="6">
      <alignment horizontal="left" vertical="top" wrapText="1"/>
    </xf>
    <xf numFmtId="0" fontId="27" fillId="0" borderId="7">
      <alignment horizontal="left" vertical="top" wrapText="1"/>
    </xf>
    <xf numFmtId="0" fontId="55" fillId="0" borderId="7">
      <alignment horizontal="left" vertical="top" wrapText="1"/>
    </xf>
    <xf numFmtId="0" fontId="56" fillId="20" borderId="0" applyNumberFormat="0" applyBorder="0" applyAlignment="0" applyProtection="0"/>
    <xf numFmtId="0" fontId="17" fillId="0" borderId="0">
      <alignment horizontal="center"/>
    </xf>
    <xf numFmtId="0" fontId="17" fillId="0" borderId="0">
      <alignment horizontal="center"/>
    </xf>
    <xf numFmtId="170" fontId="17" fillId="0" borderId="0">
      <alignment horizontal="center"/>
    </xf>
    <xf numFmtId="170" fontId="17" fillId="0" borderId="0">
      <alignment horizontal="center"/>
    </xf>
    <xf numFmtId="0" fontId="17" fillId="0" borderId="0">
      <alignment horizontal="center"/>
    </xf>
    <xf numFmtId="0" fontId="29" fillId="0" borderId="0">
      <alignment vertical="center"/>
    </xf>
    <xf numFmtId="184" fontId="17" fillId="0" borderId="0"/>
    <xf numFmtId="0" fontId="57" fillId="0" borderId="0"/>
    <xf numFmtId="0" fontId="21" fillId="0" borderId="0"/>
    <xf numFmtId="0" fontId="29" fillId="0" borderId="0"/>
    <xf numFmtId="0" fontId="17" fillId="0" borderId="0"/>
    <xf numFmtId="0" fontId="17" fillId="0" borderId="0"/>
    <xf numFmtId="170" fontId="17" fillId="0" borderId="0"/>
    <xf numFmtId="170" fontId="17" fillId="0" borderId="0"/>
    <xf numFmtId="0" fontId="17" fillId="0" borderId="0"/>
    <xf numFmtId="0" fontId="21" fillId="0" borderId="0"/>
    <xf numFmtId="0" fontId="21" fillId="0" borderId="0"/>
    <xf numFmtId="170" fontId="21" fillId="0" borderId="0"/>
    <xf numFmtId="0" fontId="29" fillId="0" borderId="0"/>
    <xf numFmtId="170" fontId="21" fillId="0" borderId="0"/>
    <xf numFmtId="0" fontId="21" fillId="0" borderId="0"/>
    <xf numFmtId="0" fontId="21" fillId="0" borderId="0"/>
    <xf numFmtId="170" fontId="21" fillId="0" borderId="0"/>
    <xf numFmtId="0" fontId="21" fillId="0" borderId="0"/>
    <xf numFmtId="0" fontId="21" fillId="0" borderId="0"/>
    <xf numFmtId="0" fontId="17" fillId="0" borderId="0"/>
    <xf numFmtId="0" fontId="17" fillId="0" borderId="0"/>
    <xf numFmtId="170" fontId="17" fillId="0" borderId="0"/>
    <xf numFmtId="170" fontId="17" fillId="0" borderId="0"/>
    <xf numFmtId="0" fontId="17" fillId="0" borderId="0"/>
    <xf numFmtId="0" fontId="17" fillId="0" borderId="0"/>
    <xf numFmtId="0" fontId="17" fillId="0" borderId="0"/>
    <xf numFmtId="170" fontId="17" fillId="0" borderId="0"/>
    <xf numFmtId="170" fontId="17" fillId="0" borderId="0"/>
    <xf numFmtId="0" fontId="17" fillId="0" borderId="0"/>
    <xf numFmtId="0" fontId="17" fillId="0" borderId="0"/>
    <xf numFmtId="0" fontId="17" fillId="0" borderId="0"/>
    <xf numFmtId="170" fontId="17" fillId="0" borderId="0"/>
    <xf numFmtId="170" fontId="17" fillId="0" borderId="0"/>
    <xf numFmtId="0" fontId="17" fillId="0" borderId="0"/>
    <xf numFmtId="0" fontId="29" fillId="0" borderId="0"/>
    <xf numFmtId="0" fontId="29" fillId="0" borderId="0"/>
    <xf numFmtId="170" fontId="29" fillId="0" borderId="0"/>
    <xf numFmtId="170" fontId="29" fillId="0" borderId="0"/>
    <xf numFmtId="0" fontId="29" fillId="0" borderId="0"/>
    <xf numFmtId="0" fontId="17" fillId="0" borderId="0"/>
    <xf numFmtId="0" fontId="58" fillId="0" borderId="0"/>
    <xf numFmtId="0" fontId="15" fillId="0" borderId="0"/>
    <xf numFmtId="0" fontId="20" fillId="14" borderId="19" applyNumberFormat="0" applyFont="0" applyAlignment="0" applyProtection="0"/>
    <xf numFmtId="0" fontId="20" fillId="14" borderId="19" applyNumberFormat="0" applyFont="0" applyAlignment="0" applyProtection="0"/>
    <xf numFmtId="0" fontId="20" fillId="14" borderId="19" applyNumberFormat="0" applyFont="0" applyAlignment="0" applyProtection="0"/>
    <xf numFmtId="185" fontId="17" fillId="30" borderId="0"/>
    <xf numFmtId="0" fontId="59" fillId="19" borderId="20" applyNumberFormat="0" applyAlignment="0" applyProtection="0"/>
    <xf numFmtId="0" fontId="59" fillId="19" borderId="20" applyNumberFormat="0" applyAlignment="0" applyProtection="0"/>
    <xf numFmtId="0" fontId="59" fillId="19" borderId="20" applyNumberFormat="0" applyAlignment="0" applyProtection="0"/>
    <xf numFmtId="0" fontId="60" fillId="30" borderId="0"/>
    <xf numFmtId="186" fontId="17" fillId="0" borderId="0" applyFont="0" applyFill="0" applyBorder="0" applyAlignment="0" applyProtection="0"/>
    <xf numFmtId="175" fontId="25" fillId="0" borderId="0" applyFont="0" applyFill="0" applyBorder="0" applyAlignment="0" applyProtection="0"/>
    <xf numFmtId="179" fontId="24" fillId="0" borderId="0" applyFont="0" applyFill="0" applyBorder="0" applyAlignment="0" applyProtection="0"/>
    <xf numFmtId="10" fontId="17" fillId="0" borderId="0" applyFont="0" applyFill="0" applyBorder="0" applyAlignment="0" applyProtection="0"/>
    <xf numFmtId="187" fontId="25" fillId="0" borderId="0" applyFont="0" applyFill="0" applyBorder="0" applyAlignment="0" applyProtection="0"/>
    <xf numFmtId="188" fontId="15" fillId="0" borderId="0"/>
    <xf numFmtId="189" fontId="15" fillId="0" borderId="0"/>
    <xf numFmtId="171" fontId="24" fillId="0" borderId="0" applyFill="0" applyBorder="0" applyAlignment="0"/>
    <xf numFmtId="172" fontId="24" fillId="0" borderId="0" applyFill="0" applyBorder="0" applyAlignment="0"/>
    <xf numFmtId="171" fontId="24" fillId="0" borderId="0" applyFill="0" applyBorder="0" applyAlignment="0"/>
    <xf numFmtId="176" fontId="25" fillId="0" borderId="0" applyFill="0" applyBorder="0" applyAlignment="0"/>
    <xf numFmtId="172" fontId="24" fillId="0" borderId="0" applyFill="0" applyBorder="0" applyAlignment="0"/>
    <xf numFmtId="0" fontId="61" fillId="0" borderId="0" applyNumberFormat="0">
      <alignment horizontal="left"/>
    </xf>
    <xf numFmtId="3" fontId="14" fillId="0" borderId="0" applyFont="0" applyFill="0" applyBorder="0" applyAlignment="0"/>
    <xf numFmtId="190" fontId="62" fillId="0" borderId="1">
      <alignment horizontal="left" vertical="center"/>
      <protection locked="0"/>
    </xf>
    <xf numFmtId="0" fontId="30" fillId="0" borderId="0"/>
    <xf numFmtId="191" fontId="63" fillId="0" borderId="0"/>
    <xf numFmtId="166" fontId="64" fillId="0" borderId="0"/>
    <xf numFmtId="49" fontId="31" fillId="0" borderId="0" applyFill="0" applyBorder="0" applyAlignment="0"/>
    <xf numFmtId="187" fontId="25" fillId="0" borderId="0" applyFill="0" applyBorder="0" applyAlignment="0"/>
    <xf numFmtId="192" fontId="25" fillId="0" borderId="0" applyFill="0" applyBorder="0" applyAlignment="0"/>
    <xf numFmtId="0" fontId="65" fillId="0" borderId="0" applyFill="0" applyBorder="0" applyProtection="0">
      <alignment horizontal="left" vertical="top"/>
    </xf>
    <xf numFmtId="0" fontId="66" fillId="0" borderId="0" applyNumberFormat="0" applyFill="0" applyBorder="0" applyAlignment="0" applyProtection="0"/>
    <xf numFmtId="0" fontId="67" fillId="0" borderId="0">
      <alignment horizontal="center" vertical="top"/>
    </xf>
    <xf numFmtId="0" fontId="27" fillId="0" borderId="21">
      <alignment horizontal="center" textRotation="90" wrapText="1"/>
    </xf>
    <xf numFmtId="0" fontId="27" fillId="0" borderId="21">
      <alignment horizontal="center" textRotation="90" wrapText="1"/>
    </xf>
    <xf numFmtId="0" fontId="27" fillId="0" borderId="21">
      <alignment horizontal="center" textRotation="90" wrapText="1"/>
    </xf>
    <xf numFmtId="0" fontId="27" fillId="0" borderId="21">
      <alignment horizontal="center" vertical="center" wrapText="1"/>
    </xf>
    <xf numFmtId="0" fontId="27" fillId="0" borderId="21">
      <alignment horizontal="center" vertical="center" wrapText="1"/>
    </xf>
    <xf numFmtId="0" fontId="27" fillId="0" borderId="21">
      <alignment horizontal="center" vertical="center" wrapText="1"/>
    </xf>
    <xf numFmtId="0" fontId="68" fillId="0" borderId="22" applyNumberFormat="0" applyFill="0" applyAlignment="0" applyProtection="0"/>
    <xf numFmtId="0" fontId="68" fillId="0" borderId="22" applyNumberFormat="0" applyFill="0" applyAlignment="0" applyProtection="0"/>
    <xf numFmtId="0" fontId="68" fillId="0" borderId="22" applyNumberFormat="0" applyFill="0" applyAlignment="0" applyProtection="0"/>
    <xf numFmtId="0" fontId="69" fillId="0" borderId="0" applyNumberFormat="0" applyFill="0" applyBorder="0" applyAlignment="0" applyProtection="0"/>
    <xf numFmtId="1" fontId="70" fillId="0" borderId="0">
      <alignment horizontal="center" vertical="top" wrapText="1"/>
    </xf>
    <xf numFmtId="177" fontId="70" fillId="0" borderId="6">
      <alignment horizontal="center" vertical="top" wrapText="1"/>
    </xf>
    <xf numFmtId="177" fontId="70" fillId="0" borderId="7">
      <alignment horizontal="center" vertical="top" wrapText="1"/>
    </xf>
    <xf numFmtId="177" fontId="70" fillId="0" borderId="7">
      <alignment horizontal="center" vertical="top" wrapText="1"/>
    </xf>
    <xf numFmtId="178" fontId="70" fillId="0" borderId="7">
      <alignment horizontal="center" vertical="top" wrapText="1"/>
    </xf>
    <xf numFmtId="178" fontId="70" fillId="0" borderId="6">
      <alignment horizontal="center" vertical="top" wrapText="1"/>
    </xf>
    <xf numFmtId="178" fontId="70" fillId="0" borderId="7">
      <alignment horizontal="center" vertical="top" wrapText="1"/>
    </xf>
    <xf numFmtId="178" fontId="70" fillId="0" borderId="7">
      <alignment horizontal="center" vertical="top" wrapText="1"/>
    </xf>
    <xf numFmtId="178" fontId="70" fillId="0" borderId="6">
      <alignment horizontal="center" vertical="top" wrapText="1"/>
    </xf>
    <xf numFmtId="178" fontId="70" fillId="0" borderId="7">
      <alignment horizontal="center" vertical="top" wrapText="1"/>
    </xf>
    <xf numFmtId="178" fontId="70" fillId="0" borderId="7">
      <alignment horizontal="center" vertical="top" wrapText="1"/>
    </xf>
    <xf numFmtId="0" fontId="71" fillId="37" borderId="1"/>
    <xf numFmtId="0" fontId="71" fillId="37" borderId="1"/>
    <xf numFmtId="0" fontId="71" fillId="37" borderId="1"/>
    <xf numFmtId="0" fontId="71" fillId="37" borderId="1"/>
    <xf numFmtId="0" fontId="72" fillId="0" borderId="1"/>
    <xf numFmtId="0" fontId="72" fillId="0" borderId="1"/>
    <xf numFmtId="0" fontId="72" fillId="0" borderId="1"/>
    <xf numFmtId="0" fontId="72" fillId="0" borderId="1"/>
    <xf numFmtId="0" fontId="71" fillId="0" borderId="1">
      <alignment horizontal="center" vertical="center"/>
    </xf>
    <xf numFmtId="0" fontId="11" fillId="38" borderId="1">
      <alignment horizontal="center" vertical="center"/>
    </xf>
    <xf numFmtId="0" fontId="11" fillId="38" borderId="1">
      <alignment horizontal="center" vertical="center"/>
    </xf>
    <xf numFmtId="0" fontId="71" fillId="0" borderId="1">
      <alignment horizontal="center" vertical="center"/>
    </xf>
    <xf numFmtId="0" fontId="71" fillId="0" borderId="0" applyFill="0" applyBorder="0">
      <alignment horizontal="center" vertical="center" wrapText="1"/>
    </xf>
    <xf numFmtId="0" fontId="73" fillId="0" borderId="23"/>
    <xf numFmtId="0" fontId="73" fillId="0" borderId="23"/>
    <xf numFmtId="0" fontId="73" fillId="0" borderId="23"/>
    <xf numFmtId="172" fontId="14" fillId="0" borderId="24">
      <protection locked="0"/>
    </xf>
    <xf numFmtId="0" fontId="44" fillId="0" borderId="0" applyNumberFormat="0" applyFill="0" applyBorder="0" applyAlignment="0" applyProtection="0"/>
    <xf numFmtId="0" fontId="7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170" fontId="44" fillId="0" borderId="0" applyNumberFormat="0" applyFill="0" applyBorder="0" applyAlignment="0" applyProtection="0"/>
    <xf numFmtId="0" fontId="75" fillId="33" borderId="25"/>
    <xf numFmtId="14" fontId="14" fillId="0" borderId="0">
      <alignment horizontal="right"/>
    </xf>
    <xf numFmtId="167" fontId="10"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33" fillId="0" borderId="0" applyFont="0" applyFill="0" applyBorder="0" applyAlignment="0" applyProtection="0"/>
    <xf numFmtId="167" fontId="20" fillId="0" borderId="0" applyFont="0" applyFill="0" applyBorder="0" applyAlignment="0" applyProtection="0"/>
    <xf numFmtId="178" fontId="76" fillId="0" borderId="0" applyFill="0" applyBorder="0" applyAlignment="0" applyProtection="0"/>
    <xf numFmtId="193" fontId="76" fillId="0" borderId="0" applyFill="0" applyBorder="0" applyAlignment="0" applyProtection="0"/>
    <xf numFmtId="193" fontId="76" fillId="0" borderId="0" applyFill="0" applyBorder="0" applyAlignment="0" applyProtection="0"/>
    <xf numFmtId="193" fontId="76" fillId="0" borderId="0" applyFill="0" applyBorder="0" applyAlignment="0" applyProtection="0"/>
    <xf numFmtId="193" fontId="76" fillId="0" borderId="0" applyFill="0" applyBorder="0" applyAlignment="0" applyProtection="0"/>
    <xf numFmtId="193" fontId="76" fillId="0" borderId="0" applyFill="0" applyBorder="0" applyAlignment="0" applyProtection="0"/>
    <xf numFmtId="167" fontId="21" fillId="0" borderId="0" applyFont="0" applyFill="0" applyBorder="0" applyAlignment="0" applyProtection="0"/>
    <xf numFmtId="172" fontId="77" fillId="34" borderId="24"/>
    <xf numFmtId="0" fontId="17" fillId="0" borderId="1">
      <alignment horizontal="right"/>
    </xf>
    <xf numFmtId="0" fontId="17" fillId="0" borderId="1">
      <alignment horizontal="right"/>
    </xf>
    <xf numFmtId="0" fontId="17" fillId="0" borderId="1">
      <alignment horizontal="right"/>
    </xf>
    <xf numFmtId="0" fontId="17" fillId="0" borderId="1">
      <alignment horizontal="right"/>
    </xf>
    <xf numFmtId="0" fontId="17" fillId="0" borderId="0"/>
    <xf numFmtId="0" fontId="17" fillId="0" borderId="0"/>
    <xf numFmtId="0" fontId="17" fillId="0" borderId="0"/>
    <xf numFmtId="0" fontId="9" fillId="0" borderId="0"/>
    <xf numFmtId="0" fontId="9" fillId="0" borderId="0"/>
    <xf numFmtId="170" fontId="17" fillId="0" borderId="0"/>
    <xf numFmtId="0" fontId="17" fillId="0" borderId="0"/>
    <xf numFmtId="170" fontId="17" fillId="0" borderId="0"/>
    <xf numFmtId="0" fontId="17" fillId="0" borderId="0"/>
    <xf numFmtId="0" fontId="17" fillId="0" borderId="0"/>
    <xf numFmtId="170" fontId="17" fillId="0" borderId="0"/>
    <xf numFmtId="0" fontId="17" fillId="0" borderId="0"/>
    <xf numFmtId="0" fontId="17" fillId="0" borderId="0"/>
    <xf numFmtId="0" fontId="17"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20" fillId="0" borderId="0"/>
    <xf numFmtId="0" fontId="9" fillId="0" borderId="0"/>
    <xf numFmtId="0" fontId="20" fillId="0" borderId="0"/>
    <xf numFmtId="0" fontId="20" fillId="0" borderId="0"/>
    <xf numFmtId="0" fontId="20" fillId="0" borderId="0"/>
    <xf numFmtId="194" fontId="9" fillId="0" borderId="0"/>
    <xf numFmtId="0" fontId="20" fillId="0" borderId="0"/>
    <xf numFmtId="0" fontId="9" fillId="0" borderId="0"/>
    <xf numFmtId="0" fontId="20" fillId="0" borderId="0"/>
    <xf numFmtId="0" fontId="20" fillId="0" borderId="0"/>
    <xf numFmtId="0" fontId="9" fillId="0" borderId="0"/>
    <xf numFmtId="0" fontId="20" fillId="0" borderId="0"/>
    <xf numFmtId="0" fontId="20" fillId="0" borderId="0"/>
    <xf numFmtId="170" fontId="9" fillId="0" borderId="0"/>
    <xf numFmtId="0" fontId="20" fillId="0" borderId="0"/>
    <xf numFmtId="0" fontId="17" fillId="0" borderId="0"/>
    <xf numFmtId="0" fontId="17" fillId="0" borderId="0"/>
    <xf numFmtId="170" fontId="17" fillId="0" borderId="0"/>
    <xf numFmtId="170" fontId="17" fillId="0" borderId="0"/>
    <xf numFmtId="0" fontId="17" fillId="0" borderId="0"/>
    <xf numFmtId="0" fontId="20" fillId="0" borderId="0"/>
    <xf numFmtId="0" fontId="20" fillId="0" borderId="0"/>
    <xf numFmtId="0" fontId="20" fillId="0" borderId="0"/>
    <xf numFmtId="0" fontId="20" fillId="0" borderId="0"/>
    <xf numFmtId="170" fontId="9" fillId="0" borderId="0"/>
    <xf numFmtId="0" fontId="37" fillId="0" borderId="0"/>
    <xf numFmtId="0" fontId="17" fillId="0" borderId="0"/>
    <xf numFmtId="0" fontId="17" fillId="0" borderId="0"/>
    <xf numFmtId="170" fontId="17" fillId="0" borderId="0"/>
    <xf numFmtId="170" fontId="17" fillId="0" borderId="0"/>
    <xf numFmtId="0" fontId="17" fillId="0" borderId="0"/>
    <xf numFmtId="0" fontId="17" fillId="0" borderId="0"/>
    <xf numFmtId="0" fontId="17" fillId="0" borderId="0"/>
    <xf numFmtId="170" fontId="17" fillId="0" borderId="0"/>
    <xf numFmtId="170" fontId="17" fillId="0" borderId="0"/>
    <xf numFmtId="0" fontId="17" fillId="0" borderId="0"/>
    <xf numFmtId="0" fontId="37" fillId="0" borderId="0"/>
    <xf numFmtId="0" fontId="37" fillId="0" borderId="0"/>
    <xf numFmtId="0" fontId="78" fillId="0" borderId="0">
      <alignment horizontal="left"/>
    </xf>
    <xf numFmtId="170" fontId="9" fillId="0" borderId="0"/>
    <xf numFmtId="0" fontId="78" fillId="0" borderId="0">
      <alignment horizontal="left"/>
    </xf>
    <xf numFmtId="170" fontId="21" fillId="0" borderId="0"/>
    <xf numFmtId="0" fontId="37" fillId="0" borderId="0"/>
    <xf numFmtId="0" fontId="37" fillId="0" borderId="0"/>
    <xf numFmtId="170" fontId="9" fillId="0" borderId="0"/>
    <xf numFmtId="0" fontId="37" fillId="0" borderId="0"/>
    <xf numFmtId="0" fontId="37" fillId="0" borderId="0"/>
    <xf numFmtId="0" fontId="37" fillId="0" borderId="0"/>
    <xf numFmtId="0" fontId="37" fillId="0" borderId="0"/>
    <xf numFmtId="0" fontId="20" fillId="0" borderId="0"/>
    <xf numFmtId="170" fontId="20" fillId="0" borderId="0"/>
    <xf numFmtId="0" fontId="20" fillId="0" borderId="0"/>
    <xf numFmtId="0" fontId="20" fillId="0" borderId="0"/>
    <xf numFmtId="0" fontId="9" fillId="0" borderId="0"/>
    <xf numFmtId="0" fontId="21" fillId="0" borderId="0"/>
    <xf numFmtId="0" fontId="9" fillId="0" borderId="0"/>
    <xf numFmtId="0" fontId="9" fillId="0" borderId="0"/>
    <xf numFmtId="0" fontId="9" fillId="0" borderId="0"/>
    <xf numFmtId="0" fontId="9" fillId="0" borderId="0"/>
    <xf numFmtId="170" fontId="20" fillId="0" borderId="0"/>
    <xf numFmtId="0" fontId="20" fillId="0" borderId="0"/>
    <xf numFmtId="0" fontId="17" fillId="0" borderId="0"/>
    <xf numFmtId="0" fontId="17" fillId="0" borderId="0"/>
    <xf numFmtId="170" fontId="17" fillId="0" borderId="0"/>
    <xf numFmtId="170" fontId="17" fillId="0" borderId="0"/>
    <xf numFmtId="0" fontId="17" fillId="0" borderId="0"/>
    <xf numFmtId="0" fontId="17" fillId="0" borderId="0"/>
    <xf numFmtId="0" fontId="17" fillId="0" borderId="0"/>
    <xf numFmtId="170" fontId="17" fillId="0" borderId="0"/>
    <xf numFmtId="170" fontId="17" fillId="0" borderId="0"/>
    <xf numFmtId="0" fontId="17" fillId="0" borderId="0"/>
    <xf numFmtId="0" fontId="17" fillId="0" borderId="0"/>
    <xf numFmtId="0" fontId="17" fillId="0" borderId="0"/>
    <xf numFmtId="170" fontId="17" fillId="0" borderId="0"/>
    <xf numFmtId="170" fontId="17" fillId="0" borderId="0"/>
    <xf numFmtId="0" fontId="17" fillId="0" borderId="0"/>
    <xf numFmtId="170" fontId="30" fillId="0" borderId="0"/>
    <xf numFmtId="0" fontId="30" fillId="0" borderId="0"/>
    <xf numFmtId="0" fontId="30" fillId="0" borderId="0"/>
    <xf numFmtId="0" fontId="9" fillId="0" borderId="0"/>
    <xf numFmtId="0" fontId="21" fillId="0" borderId="0"/>
    <xf numFmtId="0" fontId="9" fillId="0" borderId="0"/>
    <xf numFmtId="0" fontId="9" fillId="0" borderId="0"/>
    <xf numFmtId="0" fontId="9" fillId="0" borderId="0"/>
    <xf numFmtId="0" fontId="9" fillId="0" borderId="0"/>
    <xf numFmtId="0" fontId="30" fillId="0" borderId="0"/>
    <xf numFmtId="0" fontId="57" fillId="0" borderId="0"/>
    <xf numFmtId="0" fontId="9" fillId="0" borderId="0"/>
    <xf numFmtId="0" fontId="9" fillId="0" borderId="0"/>
    <xf numFmtId="0" fontId="37" fillId="0" borderId="0"/>
    <xf numFmtId="0" fontId="9" fillId="0" borderId="0"/>
    <xf numFmtId="0" fontId="78" fillId="0" borderId="0">
      <alignment horizontal="left"/>
    </xf>
    <xf numFmtId="0" fontId="17" fillId="0" borderId="0"/>
    <xf numFmtId="0" fontId="78" fillId="0" borderId="0">
      <alignment horizontal="left"/>
    </xf>
    <xf numFmtId="0" fontId="78" fillId="0" borderId="0">
      <alignment horizontal="left"/>
    </xf>
    <xf numFmtId="0" fontId="78" fillId="0" borderId="0">
      <alignment horizontal="left"/>
    </xf>
    <xf numFmtId="0" fontId="78" fillId="0" borderId="0">
      <alignment horizontal="left"/>
    </xf>
    <xf numFmtId="0" fontId="78" fillId="0" borderId="0">
      <alignment horizontal="left"/>
    </xf>
    <xf numFmtId="0" fontId="78" fillId="0" borderId="0"/>
    <xf numFmtId="0" fontId="79" fillId="0" borderId="0"/>
    <xf numFmtId="0" fontId="9" fillId="0" borderId="0"/>
    <xf numFmtId="0" fontId="9" fillId="0" borderId="0"/>
    <xf numFmtId="0" fontId="2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0" fillId="0" borderId="0"/>
    <xf numFmtId="0" fontId="9" fillId="0" borderId="0"/>
    <xf numFmtId="0" fontId="9" fillId="0" borderId="0"/>
    <xf numFmtId="170" fontId="20" fillId="0" borderId="0"/>
    <xf numFmtId="0" fontId="9" fillId="0" borderId="0"/>
    <xf numFmtId="0" fontId="9" fillId="0" borderId="0"/>
    <xf numFmtId="0" fontId="9" fillId="0" borderId="0"/>
    <xf numFmtId="0" fontId="9" fillId="0" borderId="0"/>
    <xf numFmtId="0" fontId="9" fillId="0" borderId="0"/>
    <xf numFmtId="0" fontId="9" fillId="0" borderId="0"/>
    <xf numFmtId="170" fontId="20" fillId="0" borderId="0"/>
    <xf numFmtId="170" fontId="20" fillId="0" borderId="0"/>
    <xf numFmtId="170" fontId="20" fillId="0" borderId="0"/>
    <xf numFmtId="170" fontId="20" fillId="0" borderId="0"/>
    <xf numFmtId="0" fontId="9" fillId="0" borderId="0"/>
    <xf numFmtId="0" fontId="20" fillId="0" borderId="0"/>
    <xf numFmtId="170" fontId="9" fillId="0" borderId="0"/>
    <xf numFmtId="0" fontId="9" fillId="0" borderId="0"/>
    <xf numFmtId="170" fontId="9" fillId="0" borderId="0"/>
    <xf numFmtId="170" fontId="9" fillId="0" borderId="0"/>
    <xf numFmtId="0" fontId="21" fillId="0" borderId="0"/>
    <xf numFmtId="170" fontId="9" fillId="0" borderId="0"/>
    <xf numFmtId="170" fontId="9" fillId="0" borderId="0"/>
    <xf numFmtId="170" fontId="9" fillId="0" borderId="0"/>
    <xf numFmtId="170" fontId="9" fillId="0" borderId="0"/>
    <xf numFmtId="0" fontId="9" fillId="0" borderId="0"/>
    <xf numFmtId="170" fontId="2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1" fillId="0" borderId="0"/>
    <xf numFmtId="0" fontId="20" fillId="0" borderId="0"/>
    <xf numFmtId="170" fontId="9" fillId="0" borderId="0"/>
    <xf numFmtId="170" fontId="9" fillId="0" borderId="0"/>
    <xf numFmtId="0" fontId="9" fillId="0" borderId="0"/>
    <xf numFmtId="170" fontId="2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1" fillId="0" borderId="0"/>
    <xf numFmtId="0" fontId="9" fillId="0" borderId="0"/>
    <xf numFmtId="0" fontId="9" fillId="0" borderId="0"/>
    <xf numFmtId="0" fontId="9" fillId="0" borderId="0"/>
    <xf numFmtId="0" fontId="9" fillId="0" borderId="0"/>
    <xf numFmtId="0" fontId="9" fillId="0" borderId="0"/>
    <xf numFmtId="0" fontId="17" fillId="0" borderId="0"/>
    <xf numFmtId="0" fontId="21" fillId="0" borderId="0"/>
    <xf numFmtId="0" fontId="9" fillId="0" borderId="0"/>
    <xf numFmtId="0" fontId="9" fillId="0" borderId="0"/>
    <xf numFmtId="0" fontId="21" fillId="0" borderId="0"/>
    <xf numFmtId="0" fontId="9" fillId="0" borderId="0"/>
    <xf numFmtId="0" fontId="21" fillId="0" borderId="0"/>
    <xf numFmtId="0" fontId="78" fillId="0" borderId="0">
      <alignment horizontal="left"/>
    </xf>
    <xf numFmtId="0" fontId="9" fillId="0" borderId="0"/>
    <xf numFmtId="0" fontId="37" fillId="0" borderId="0"/>
    <xf numFmtId="0" fontId="17" fillId="0" borderId="0"/>
    <xf numFmtId="0" fontId="57" fillId="0" borderId="0"/>
    <xf numFmtId="0" fontId="17" fillId="0" borderId="0"/>
    <xf numFmtId="0" fontId="20" fillId="0" borderId="0"/>
    <xf numFmtId="0" fontId="20" fillId="0" borderId="0"/>
    <xf numFmtId="0" fontId="57" fillId="0" borderId="0"/>
    <xf numFmtId="0" fontId="20" fillId="0" borderId="0"/>
    <xf numFmtId="0" fontId="17" fillId="0" borderId="0"/>
    <xf numFmtId="0" fontId="17" fillId="0" borderId="0"/>
    <xf numFmtId="0" fontId="57" fillId="0" borderId="0"/>
    <xf numFmtId="170" fontId="17" fillId="0" borderId="0"/>
    <xf numFmtId="0" fontId="17" fillId="0" borderId="0"/>
    <xf numFmtId="0" fontId="17" fillId="0" borderId="0"/>
    <xf numFmtId="170" fontId="17" fillId="0" borderId="0"/>
    <xf numFmtId="0" fontId="17" fillId="0" borderId="0"/>
    <xf numFmtId="0" fontId="20" fillId="0" borderId="0"/>
    <xf numFmtId="0" fontId="14" fillId="0" borderId="0"/>
    <xf numFmtId="0" fontId="14" fillId="0" borderId="0"/>
    <xf numFmtId="0" fontId="14" fillId="0" borderId="0"/>
    <xf numFmtId="170" fontId="14" fillId="0" borderId="0"/>
    <xf numFmtId="170" fontId="14" fillId="0" borderId="0"/>
    <xf numFmtId="0" fontId="37" fillId="0" borderId="0"/>
    <xf numFmtId="0" fontId="12" fillId="0" borderId="0"/>
    <xf numFmtId="0" fontId="12" fillId="0" borderId="0"/>
    <xf numFmtId="170" fontId="12" fillId="0" borderId="0"/>
    <xf numFmtId="170" fontId="12" fillId="0" borderId="0"/>
    <xf numFmtId="170" fontId="78" fillId="0" borderId="0">
      <alignment horizontal="left"/>
    </xf>
    <xf numFmtId="0" fontId="20" fillId="0" borderId="0"/>
    <xf numFmtId="0" fontId="20" fillId="0" borderId="0"/>
    <xf numFmtId="0" fontId="9" fillId="0" borderId="0"/>
    <xf numFmtId="0" fontId="14" fillId="0" borderId="0"/>
    <xf numFmtId="0" fontId="57" fillId="0" borderId="0"/>
    <xf numFmtId="0" fontId="14" fillId="0" borderId="0"/>
    <xf numFmtId="170" fontId="20" fillId="0" borderId="0"/>
    <xf numFmtId="0" fontId="79" fillId="0" borderId="0"/>
    <xf numFmtId="0" fontId="20" fillId="0" borderId="0"/>
    <xf numFmtId="0" fontId="21" fillId="0" borderId="0"/>
    <xf numFmtId="170" fontId="30" fillId="0" borderId="0"/>
    <xf numFmtId="0" fontId="30" fillId="0" borderId="0"/>
    <xf numFmtId="0" fontId="30" fillId="0" borderId="0"/>
    <xf numFmtId="0" fontId="30" fillId="0" borderId="0"/>
    <xf numFmtId="170" fontId="30" fillId="0" borderId="0"/>
    <xf numFmtId="0" fontId="30" fillId="0" borderId="0"/>
    <xf numFmtId="0" fontId="30" fillId="0" borderId="0"/>
    <xf numFmtId="0" fontId="30" fillId="0" borderId="0"/>
    <xf numFmtId="170" fontId="30" fillId="0" borderId="0"/>
    <xf numFmtId="0" fontId="30" fillId="0" borderId="0"/>
    <xf numFmtId="0" fontId="30" fillId="0" borderId="0"/>
    <xf numFmtId="0" fontId="30" fillId="0" borderId="0"/>
    <xf numFmtId="170" fontId="30" fillId="0" borderId="0"/>
    <xf numFmtId="0" fontId="30" fillId="0" borderId="0"/>
    <xf numFmtId="0" fontId="30" fillId="0" borderId="0"/>
    <xf numFmtId="0" fontId="30" fillId="0" borderId="0"/>
    <xf numFmtId="170" fontId="30" fillId="0" borderId="0"/>
    <xf numFmtId="0" fontId="30" fillId="0" borderId="0"/>
    <xf numFmtId="0" fontId="30" fillId="0" borderId="0"/>
    <xf numFmtId="0" fontId="30" fillId="0" borderId="0"/>
    <xf numFmtId="170" fontId="30" fillId="0" borderId="0"/>
    <xf numFmtId="0" fontId="30" fillId="0" borderId="0"/>
    <xf numFmtId="0" fontId="30" fillId="0" borderId="0"/>
    <xf numFmtId="0" fontId="30" fillId="0" borderId="0"/>
    <xf numFmtId="170" fontId="30" fillId="0" borderId="0"/>
    <xf numFmtId="0" fontId="30" fillId="0" borderId="0"/>
    <xf numFmtId="0" fontId="30" fillId="0" borderId="0"/>
    <xf numFmtId="0" fontId="30" fillId="0" borderId="0"/>
    <xf numFmtId="0" fontId="9" fillId="0" borderId="0"/>
    <xf numFmtId="0" fontId="9" fillId="0" borderId="0"/>
    <xf numFmtId="0" fontId="9" fillId="0" borderId="0"/>
    <xf numFmtId="170" fontId="30" fillId="0" borderId="0"/>
    <xf numFmtId="0" fontId="30" fillId="0" borderId="0"/>
    <xf numFmtId="170" fontId="30" fillId="0" borderId="0"/>
    <xf numFmtId="0" fontId="30" fillId="0" borderId="0"/>
    <xf numFmtId="0" fontId="30" fillId="0" borderId="0"/>
    <xf numFmtId="0" fontId="30" fillId="0" borderId="0"/>
    <xf numFmtId="170" fontId="30" fillId="0" borderId="0"/>
    <xf numFmtId="0" fontId="30" fillId="0" borderId="0"/>
    <xf numFmtId="0" fontId="30" fillId="0" borderId="0"/>
    <xf numFmtId="0" fontId="30" fillId="0" borderId="0"/>
    <xf numFmtId="0" fontId="9" fillId="0" borderId="0"/>
    <xf numFmtId="0" fontId="9" fillId="0" borderId="0"/>
    <xf numFmtId="17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1" fillId="0" borderId="0"/>
    <xf numFmtId="0" fontId="17" fillId="0" borderId="0"/>
    <xf numFmtId="0" fontId="21" fillId="0" borderId="0"/>
    <xf numFmtId="0" fontId="9" fillId="0" borderId="0"/>
    <xf numFmtId="170" fontId="2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1" fillId="0" borderId="0"/>
    <xf numFmtId="0" fontId="9" fillId="0" borderId="0"/>
    <xf numFmtId="0" fontId="9" fillId="0" borderId="0"/>
    <xf numFmtId="0" fontId="21" fillId="0" borderId="0"/>
    <xf numFmtId="0" fontId="9" fillId="0" borderId="0"/>
    <xf numFmtId="0" fontId="9" fillId="0" borderId="0"/>
    <xf numFmtId="0" fontId="9" fillId="0" borderId="0"/>
    <xf numFmtId="0" fontId="80" fillId="0" borderId="0"/>
    <xf numFmtId="0" fontId="80" fillId="0" borderId="0"/>
    <xf numFmtId="0" fontId="21" fillId="0" borderId="0"/>
    <xf numFmtId="0" fontId="57" fillId="0" borderId="0"/>
    <xf numFmtId="170" fontId="9" fillId="0" borderId="0"/>
    <xf numFmtId="0" fontId="78" fillId="0" borderId="0">
      <alignment horizontal="left"/>
    </xf>
    <xf numFmtId="170" fontId="30" fillId="0" borderId="0"/>
    <xf numFmtId="0" fontId="30" fillId="0" borderId="0"/>
    <xf numFmtId="0" fontId="30" fillId="0" borderId="0"/>
    <xf numFmtId="0" fontId="30" fillId="0" borderId="0"/>
    <xf numFmtId="170" fontId="30" fillId="0" borderId="0"/>
    <xf numFmtId="0" fontId="30" fillId="0" borderId="0"/>
    <xf numFmtId="0" fontId="30" fillId="0" borderId="0"/>
    <xf numFmtId="0" fontId="30" fillId="0" borderId="0"/>
    <xf numFmtId="0" fontId="9" fillId="0" borderId="0"/>
    <xf numFmtId="0" fontId="78" fillId="0" borderId="0"/>
    <xf numFmtId="0" fontId="9" fillId="0" borderId="0"/>
    <xf numFmtId="0" fontId="78" fillId="0" borderId="0"/>
    <xf numFmtId="0" fontId="21" fillId="0" borderId="0"/>
    <xf numFmtId="0" fontId="9" fillId="0" borderId="0"/>
    <xf numFmtId="0" fontId="9" fillId="0" borderId="0"/>
    <xf numFmtId="0" fontId="9" fillId="0" borderId="0"/>
    <xf numFmtId="0" fontId="9" fillId="0" borderId="0"/>
    <xf numFmtId="0" fontId="9" fillId="0" borderId="0"/>
    <xf numFmtId="0" fontId="9" fillId="0" borderId="0"/>
    <xf numFmtId="0" fontId="21" fillId="0" borderId="0"/>
    <xf numFmtId="0" fontId="78" fillId="0" borderId="0"/>
    <xf numFmtId="0" fontId="9" fillId="0" borderId="0"/>
    <xf numFmtId="0" fontId="9" fillId="0" borderId="0"/>
    <xf numFmtId="0" fontId="9" fillId="0" borderId="0"/>
    <xf numFmtId="0" fontId="9" fillId="0" borderId="0"/>
    <xf numFmtId="0" fontId="21" fillId="0" borderId="0"/>
    <xf numFmtId="0" fontId="9" fillId="0" borderId="0"/>
    <xf numFmtId="0" fontId="9" fillId="0" borderId="0"/>
    <xf numFmtId="0" fontId="9" fillId="0" borderId="0"/>
    <xf numFmtId="0" fontId="9" fillId="0" borderId="0"/>
    <xf numFmtId="0" fontId="9" fillId="0" borderId="0"/>
    <xf numFmtId="0" fontId="21" fillId="0" borderId="0"/>
    <xf numFmtId="0" fontId="20" fillId="0" borderId="0"/>
    <xf numFmtId="0" fontId="9" fillId="0" borderId="0"/>
    <xf numFmtId="0" fontId="9" fillId="0" borderId="0"/>
    <xf numFmtId="0" fontId="9" fillId="0" borderId="0"/>
    <xf numFmtId="0" fontId="9" fillId="0" borderId="0"/>
    <xf numFmtId="0" fontId="21" fillId="0" borderId="0"/>
    <xf numFmtId="0" fontId="9" fillId="0" borderId="0"/>
    <xf numFmtId="0" fontId="9" fillId="0" borderId="0"/>
    <xf numFmtId="0" fontId="9" fillId="0" borderId="0"/>
    <xf numFmtId="0" fontId="21" fillId="0" borderId="0"/>
    <xf numFmtId="0" fontId="21" fillId="0" borderId="0"/>
    <xf numFmtId="0" fontId="9" fillId="0" borderId="0"/>
    <xf numFmtId="0" fontId="9" fillId="0" borderId="0"/>
    <xf numFmtId="0" fontId="9" fillId="0" borderId="0"/>
    <xf numFmtId="0" fontId="21" fillId="0" borderId="0"/>
    <xf numFmtId="0" fontId="9" fillId="0" borderId="0"/>
    <xf numFmtId="0" fontId="21" fillId="0" borderId="0"/>
    <xf numFmtId="0" fontId="37" fillId="0" borderId="0"/>
    <xf numFmtId="0" fontId="78" fillId="0" borderId="0"/>
    <xf numFmtId="0" fontId="9" fillId="0" borderId="0"/>
    <xf numFmtId="0" fontId="78" fillId="0" borderId="0"/>
    <xf numFmtId="0" fontId="21" fillId="0" borderId="0"/>
    <xf numFmtId="0" fontId="57" fillId="0" borderId="0"/>
    <xf numFmtId="0" fontId="81" fillId="0" borderId="0"/>
    <xf numFmtId="0" fontId="20" fillId="0" borderId="0"/>
    <xf numFmtId="0" fontId="78" fillId="0" borderId="0"/>
    <xf numFmtId="170" fontId="8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7" fillId="0" borderId="0"/>
    <xf numFmtId="0" fontId="9" fillId="0" borderId="0"/>
    <xf numFmtId="0" fontId="9" fillId="0" borderId="0"/>
    <xf numFmtId="0" fontId="9" fillId="0" borderId="0"/>
    <xf numFmtId="0" fontId="9" fillId="0" borderId="0"/>
    <xf numFmtId="0" fontId="21" fillId="0" borderId="0"/>
    <xf numFmtId="0" fontId="9" fillId="0" borderId="0"/>
    <xf numFmtId="0" fontId="9" fillId="0" borderId="0"/>
    <xf numFmtId="0" fontId="9" fillId="0" borderId="0"/>
    <xf numFmtId="0" fontId="9" fillId="0" borderId="0"/>
    <xf numFmtId="170" fontId="21" fillId="0" borderId="0"/>
    <xf numFmtId="0" fontId="9" fillId="0" borderId="0"/>
    <xf numFmtId="0" fontId="9" fillId="0" borderId="0"/>
    <xf numFmtId="0" fontId="9" fillId="0" borderId="0"/>
    <xf numFmtId="0" fontId="2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7" fillId="0" borderId="0"/>
    <xf numFmtId="170" fontId="9" fillId="0" borderId="0"/>
    <xf numFmtId="170" fontId="9" fillId="0" borderId="0"/>
    <xf numFmtId="0" fontId="21" fillId="0" borderId="0"/>
    <xf numFmtId="0" fontId="21" fillId="0" borderId="0"/>
    <xf numFmtId="0" fontId="57" fillId="0" borderId="0"/>
    <xf numFmtId="0" fontId="57" fillId="0" borderId="0"/>
    <xf numFmtId="0" fontId="14" fillId="0" borderId="0"/>
    <xf numFmtId="0" fontId="14" fillId="0" borderId="0"/>
    <xf numFmtId="0" fontId="9" fillId="0" borderId="0"/>
    <xf numFmtId="170" fontId="14" fillId="0" borderId="0"/>
    <xf numFmtId="170" fontId="14" fillId="0" borderId="0"/>
    <xf numFmtId="0" fontId="21" fillId="0" borderId="0"/>
    <xf numFmtId="0" fontId="81" fillId="0" borderId="0"/>
    <xf numFmtId="0" fontId="57" fillId="0" borderId="0"/>
    <xf numFmtId="0" fontId="81" fillId="0" borderId="0"/>
    <xf numFmtId="0" fontId="9" fillId="0" borderId="0"/>
    <xf numFmtId="0" fontId="9" fillId="0" borderId="0"/>
    <xf numFmtId="0" fontId="9"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21" fillId="0" borderId="0"/>
    <xf numFmtId="0" fontId="9" fillId="0" borderId="0"/>
    <xf numFmtId="0" fontId="9" fillId="0" borderId="0"/>
    <xf numFmtId="0" fontId="21" fillId="0" borderId="0"/>
    <xf numFmtId="0" fontId="9" fillId="0" borderId="0"/>
    <xf numFmtId="0" fontId="9" fillId="0" borderId="0"/>
    <xf numFmtId="0" fontId="21" fillId="0" borderId="0"/>
    <xf numFmtId="0" fontId="78" fillId="0" borderId="0"/>
    <xf numFmtId="0" fontId="78" fillId="0" borderId="0"/>
    <xf numFmtId="0" fontId="9" fillId="0" borderId="0"/>
    <xf numFmtId="0" fontId="78" fillId="0" borderId="0"/>
    <xf numFmtId="0" fontId="9" fillId="0" borderId="0"/>
    <xf numFmtId="0" fontId="21" fillId="0" borderId="0"/>
    <xf numFmtId="0" fontId="9" fillId="0" borderId="0"/>
    <xf numFmtId="0" fontId="9" fillId="0" borderId="0"/>
    <xf numFmtId="0" fontId="9" fillId="0" borderId="0"/>
    <xf numFmtId="0" fontId="9" fillId="0" borderId="0"/>
    <xf numFmtId="0" fontId="21" fillId="0" borderId="0"/>
    <xf numFmtId="0" fontId="9" fillId="0" borderId="0"/>
    <xf numFmtId="0" fontId="9" fillId="0" borderId="0"/>
    <xf numFmtId="0" fontId="9" fillId="0" borderId="0"/>
    <xf numFmtId="0" fontId="9" fillId="0" borderId="0"/>
    <xf numFmtId="0" fontId="21" fillId="0" borderId="0"/>
    <xf numFmtId="0" fontId="82" fillId="0" borderId="0"/>
    <xf numFmtId="0" fontId="82" fillId="0" borderId="0"/>
    <xf numFmtId="0" fontId="82" fillId="0" borderId="0"/>
    <xf numFmtId="0" fontId="9" fillId="0" borderId="0"/>
    <xf numFmtId="0" fontId="9" fillId="0" borderId="0"/>
    <xf numFmtId="0" fontId="9" fillId="0" borderId="0"/>
    <xf numFmtId="0" fontId="57" fillId="0" borderId="0"/>
    <xf numFmtId="0" fontId="57" fillId="0" borderId="0"/>
    <xf numFmtId="0" fontId="21" fillId="0" borderId="0"/>
    <xf numFmtId="177" fontId="9" fillId="0" borderId="0"/>
    <xf numFmtId="170" fontId="9" fillId="0" borderId="0"/>
    <xf numFmtId="0" fontId="2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1" fillId="0" borderId="0"/>
    <xf numFmtId="0" fontId="9" fillId="0" borderId="0"/>
    <xf numFmtId="0" fontId="9" fillId="0" borderId="0"/>
    <xf numFmtId="0" fontId="21" fillId="0" borderId="0"/>
    <xf numFmtId="0" fontId="57" fillId="0" borderId="0"/>
    <xf numFmtId="0" fontId="57" fillId="0" borderId="0"/>
    <xf numFmtId="0" fontId="37" fillId="0" borderId="0"/>
    <xf numFmtId="0" fontId="21" fillId="0" borderId="0"/>
    <xf numFmtId="0" fontId="20" fillId="0" borderId="0"/>
    <xf numFmtId="0" fontId="33" fillId="0" borderId="0"/>
    <xf numFmtId="170" fontId="33" fillId="0" borderId="0"/>
    <xf numFmtId="0" fontId="33" fillId="0" borderId="0"/>
    <xf numFmtId="0" fontId="20" fillId="0" borderId="0"/>
    <xf numFmtId="0" fontId="20" fillId="0" borderId="0"/>
    <xf numFmtId="0" fontId="20" fillId="0" borderId="0"/>
    <xf numFmtId="0" fontId="9" fillId="0" borderId="0"/>
    <xf numFmtId="0" fontId="9" fillId="0" borderId="0"/>
    <xf numFmtId="170" fontId="33" fillId="0" borderId="0"/>
    <xf numFmtId="0" fontId="9" fillId="0" borderId="0"/>
    <xf numFmtId="0" fontId="9" fillId="0" borderId="0"/>
    <xf numFmtId="0" fontId="9" fillId="0" borderId="0"/>
    <xf numFmtId="0" fontId="14" fillId="0" borderId="0"/>
    <xf numFmtId="0" fontId="9" fillId="0" borderId="0"/>
    <xf numFmtId="0" fontId="33" fillId="0" borderId="0"/>
    <xf numFmtId="170" fontId="33" fillId="0" borderId="0"/>
    <xf numFmtId="0" fontId="20" fillId="0" borderId="0"/>
    <xf numFmtId="0" fontId="14" fillId="0" borderId="0"/>
    <xf numFmtId="0" fontId="9" fillId="0" borderId="0"/>
    <xf numFmtId="0" fontId="14" fillId="0" borderId="0"/>
    <xf numFmtId="0" fontId="21" fillId="0" borderId="0"/>
    <xf numFmtId="0" fontId="78" fillId="0" borderId="0"/>
    <xf numFmtId="0" fontId="9" fillId="0" borderId="0"/>
    <xf numFmtId="0" fontId="21" fillId="0" borderId="0"/>
    <xf numFmtId="0" fontId="9" fillId="0" borderId="0"/>
    <xf numFmtId="0" fontId="9" fillId="0" borderId="0"/>
    <xf numFmtId="0" fontId="2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1" fillId="0" borderId="0"/>
    <xf numFmtId="170" fontId="9" fillId="0" borderId="0"/>
    <xf numFmtId="170" fontId="9" fillId="0" borderId="0"/>
    <xf numFmtId="0" fontId="21" fillId="0" borderId="0"/>
    <xf numFmtId="0" fontId="9" fillId="0" borderId="0"/>
    <xf numFmtId="0" fontId="9" fillId="0" borderId="0"/>
    <xf numFmtId="0" fontId="21" fillId="0" borderId="0"/>
    <xf numFmtId="0" fontId="9" fillId="0" borderId="0"/>
    <xf numFmtId="0" fontId="9" fillId="0" borderId="0"/>
    <xf numFmtId="0" fontId="9" fillId="0" borderId="0"/>
    <xf numFmtId="0" fontId="21" fillId="0" borderId="0"/>
    <xf numFmtId="170" fontId="9" fillId="0" borderId="0"/>
    <xf numFmtId="170" fontId="9" fillId="0" borderId="0"/>
    <xf numFmtId="0" fontId="9" fillId="0" borderId="0"/>
    <xf numFmtId="0" fontId="21" fillId="0" borderId="0"/>
    <xf numFmtId="195" fontId="9" fillId="0" borderId="0"/>
    <xf numFmtId="195" fontId="9" fillId="0" borderId="0"/>
    <xf numFmtId="194" fontId="9" fillId="0" borderId="0"/>
    <xf numFmtId="0" fontId="21" fillId="0" borderId="0"/>
    <xf numFmtId="0" fontId="9" fillId="0" borderId="0"/>
    <xf numFmtId="0" fontId="9" fillId="0" borderId="0"/>
    <xf numFmtId="0" fontId="57" fillId="0" borderId="0"/>
    <xf numFmtId="0" fontId="21" fillId="0" borderId="0"/>
    <xf numFmtId="0" fontId="17" fillId="0" borderId="0"/>
    <xf numFmtId="170" fontId="17" fillId="0" borderId="0"/>
    <xf numFmtId="0" fontId="17" fillId="0" borderId="0"/>
    <xf numFmtId="0" fontId="33" fillId="0" borderId="0"/>
    <xf numFmtId="0" fontId="9" fillId="0" borderId="0"/>
    <xf numFmtId="0" fontId="21" fillId="0" borderId="0"/>
    <xf numFmtId="0" fontId="9" fillId="0" borderId="0"/>
    <xf numFmtId="0" fontId="9" fillId="0" borderId="0"/>
    <xf numFmtId="0" fontId="21" fillId="0" borderId="0"/>
    <xf numFmtId="0" fontId="9" fillId="0" borderId="0"/>
    <xf numFmtId="0" fontId="9" fillId="0" borderId="0"/>
    <xf numFmtId="0" fontId="21" fillId="0" borderId="0"/>
    <xf numFmtId="0" fontId="9" fillId="0" borderId="0"/>
    <xf numFmtId="0" fontId="17" fillId="0" borderId="0"/>
    <xf numFmtId="170" fontId="17" fillId="0" borderId="0"/>
    <xf numFmtId="0" fontId="17" fillId="0" borderId="0"/>
    <xf numFmtId="0" fontId="17" fillId="0" borderId="0"/>
    <xf numFmtId="0" fontId="21" fillId="0" borderId="0"/>
    <xf numFmtId="0" fontId="57" fillId="0" borderId="0"/>
    <xf numFmtId="0" fontId="9" fillId="0" borderId="0"/>
    <xf numFmtId="0" fontId="21" fillId="0" borderId="0"/>
    <xf numFmtId="0" fontId="9" fillId="0" borderId="0"/>
    <xf numFmtId="0" fontId="9" fillId="0" borderId="0"/>
    <xf numFmtId="0" fontId="21" fillId="0" borderId="0"/>
    <xf numFmtId="0" fontId="9" fillId="0" borderId="0"/>
    <xf numFmtId="0" fontId="9" fillId="0" borderId="0"/>
    <xf numFmtId="170" fontId="21" fillId="0" borderId="0"/>
    <xf numFmtId="0" fontId="78" fillId="0" borderId="0"/>
    <xf numFmtId="0" fontId="9" fillId="0" borderId="0"/>
    <xf numFmtId="0" fontId="21" fillId="0" borderId="0"/>
    <xf numFmtId="0" fontId="79" fillId="0" borderId="0"/>
    <xf numFmtId="0" fontId="9" fillId="0" borderId="0"/>
    <xf numFmtId="0" fontId="9" fillId="0" borderId="0"/>
    <xf numFmtId="0" fontId="9" fillId="0" borderId="0"/>
    <xf numFmtId="0" fontId="9" fillId="0" borderId="0"/>
    <xf numFmtId="0" fontId="9" fillId="0" borderId="0"/>
    <xf numFmtId="0" fontId="9" fillId="0" borderId="0"/>
    <xf numFmtId="170" fontId="9" fillId="0" borderId="0"/>
    <xf numFmtId="0" fontId="9" fillId="0" borderId="0"/>
    <xf numFmtId="0" fontId="20" fillId="0" borderId="0"/>
    <xf numFmtId="0" fontId="9" fillId="0" borderId="0"/>
    <xf numFmtId="0" fontId="9" fillId="0" borderId="0"/>
    <xf numFmtId="0" fontId="9" fillId="0" borderId="0"/>
    <xf numFmtId="0" fontId="14" fillId="0" borderId="0"/>
    <xf numFmtId="0" fontId="21" fillId="0" borderId="0"/>
    <xf numFmtId="0" fontId="9" fillId="0" borderId="0"/>
    <xf numFmtId="0" fontId="9" fillId="0" borderId="0"/>
    <xf numFmtId="0" fontId="21" fillId="0" borderId="0"/>
    <xf numFmtId="0" fontId="9" fillId="0" borderId="0"/>
    <xf numFmtId="0" fontId="20" fillId="0" borderId="0"/>
    <xf numFmtId="170" fontId="14" fillId="0" borderId="0"/>
    <xf numFmtId="170" fontId="14" fillId="0" borderId="0"/>
    <xf numFmtId="0" fontId="21" fillId="0" borderId="0"/>
    <xf numFmtId="0" fontId="9" fillId="0" borderId="0"/>
    <xf numFmtId="0" fontId="9" fillId="0" borderId="0"/>
    <xf numFmtId="0" fontId="9" fillId="0" borderId="0"/>
    <xf numFmtId="0" fontId="9" fillId="0" borderId="0"/>
    <xf numFmtId="0" fontId="78" fillId="0" borderId="0"/>
    <xf numFmtId="0" fontId="21" fillId="0" borderId="0"/>
    <xf numFmtId="0" fontId="21" fillId="0" borderId="0"/>
    <xf numFmtId="0" fontId="21" fillId="0" borderId="0"/>
    <xf numFmtId="0" fontId="21" fillId="0" borderId="0"/>
    <xf numFmtId="0" fontId="21" fillId="0" borderId="0"/>
    <xf numFmtId="0" fontId="17" fillId="0" borderId="0"/>
    <xf numFmtId="0" fontId="17" fillId="0" borderId="0"/>
    <xf numFmtId="0" fontId="9" fillId="0" borderId="0"/>
    <xf numFmtId="0" fontId="9" fillId="0" borderId="0"/>
    <xf numFmtId="0" fontId="9" fillId="0" borderId="0"/>
    <xf numFmtId="0" fontId="9" fillId="0" borderId="0"/>
    <xf numFmtId="0" fontId="21" fillId="0" borderId="0"/>
    <xf numFmtId="0" fontId="17" fillId="0" borderId="0"/>
    <xf numFmtId="0" fontId="21" fillId="0" borderId="0"/>
    <xf numFmtId="0" fontId="9" fillId="0" borderId="0"/>
    <xf numFmtId="0" fontId="9" fillId="0" borderId="0"/>
    <xf numFmtId="170" fontId="17" fillId="0" borderId="0"/>
    <xf numFmtId="0" fontId="17" fillId="0" borderId="0"/>
    <xf numFmtId="0" fontId="9" fillId="0" borderId="0"/>
    <xf numFmtId="0" fontId="9" fillId="0" borderId="0"/>
    <xf numFmtId="0" fontId="21" fillId="0" borderId="0"/>
    <xf numFmtId="0" fontId="17" fillId="0" borderId="0"/>
    <xf numFmtId="170" fontId="17" fillId="0" borderId="0"/>
    <xf numFmtId="0" fontId="17" fillId="0" borderId="0"/>
    <xf numFmtId="0" fontId="17" fillId="0" borderId="0"/>
    <xf numFmtId="170" fontId="17" fillId="0" borderId="0"/>
    <xf numFmtId="0" fontId="17" fillId="0" borderId="0"/>
    <xf numFmtId="0" fontId="7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9" fillId="0" borderId="0"/>
    <xf numFmtId="0" fontId="17" fillId="0" borderId="0"/>
    <xf numFmtId="0" fontId="9" fillId="0" borderId="0"/>
    <xf numFmtId="170" fontId="17" fillId="0" borderId="0"/>
    <xf numFmtId="0" fontId="17" fillId="0" borderId="0"/>
    <xf numFmtId="0" fontId="21" fillId="0" borderId="0"/>
    <xf numFmtId="0" fontId="21" fillId="0" borderId="0"/>
    <xf numFmtId="0" fontId="2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63" fillId="0" borderId="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0" fontId="17" fillId="0" borderId="0"/>
    <xf numFmtId="0" fontId="57" fillId="0" borderId="0"/>
    <xf numFmtId="196" fontId="8" fillId="0" borderId="0"/>
    <xf numFmtId="0" fontId="8" fillId="0" borderId="0"/>
    <xf numFmtId="0" fontId="8" fillId="0" borderId="0"/>
    <xf numFmtId="0" fontId="8" fillId="0" borderId="0"/>
    <xf numFmtId="0" fontId="8" fillId="0" borderId="0"/>
    <xf numFmtId="197" fontId="8" fillId="0" borderId="0"/>
    <xf numFmtId="196" fontId="8" fillId="0" borderId="0"/>
    <xf numFmtId="196" fontId="8" fillId="0" borderId="0"/>
    <xf numFmtId="196" fontId="8" fillId="0" borderId="0"/>
    <xf numFmtId="0" fontId="17" fillId="0" borderId="0"/>
    <xf numFmtId="170" fontId="17" fillId="0" borderId="0"/>
    <xf numFmtId="0" fontId="78" fillId="0" borderId="0"/>
    <xf numFmtId="0" fontId="20" fillId="0" borderId="0"/>
    <xf numFmtId="0" fontId="8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0" fillId="0" borderId="0"/>
    <xf numFmtId="170" fontId="20" fillId="0" borderId="0"/>
    <xf numFmtId="0" fontId="8" fillId="0" borderId="0"/>
    <xf numFmtId="0" fontId="8" fillId="0" borderId="0"/>
    <xf numFmtId="0" fontId="8" fillId="0" borderId="0"/>
    <xf numFmtId="197"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7" fillId="0" borderId="0"/>
    <xf numFmtId="170" fontId="8" fillId="0" borderId="0"/>
    <xf numFmtId="0" fontId="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7" fillId="0" borderId="0"/>
    <xf numFmtId="170" fontId="30" fillId="0" borderId="0"/>
    <xf numFmtId="170" fontId="30" fillId="0" borderId="0"/>
    <xf numFmtId="170" fontId="30" fillId="0" borderId="0"/>
    <xf numFmtId="170" fontId="30" fillId="0" borderId="0"/>
    <xf numFmtId="170" fontId="30" fillId="0" borderId="0"/>
    <xf numFmtId="170" fontId="30" fillId="0" borderId="0"/>
    <xf numFmtId="170" fontId="30" fillId="0" borderId="0"/>
    <xf numFmtId="170" fontId="30" fillId="0" borderId="0"/>
    <xf numFmtId="170" fontId="3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7" fillId="0" borderId="0"/>
    <xf numFmtId="165"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0" fontId="30" fillId="0" borderId="0"/>
    <xf numFmtId="170" fontId="3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8" fillId="0" borderId="0"/>
    <xf numFmtId="0" fontId="7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0" fontId="81" fillId="0" borderId="0"/>
    <xf numFmtId="0" fontId="78" fillId="0" borderId="0"/>
    <xf numFmtId="0" fontId="78" fillId="0" borderId="0"/>
    <xf numFmtId="0" fontId="78" fillId="0" borderId="0"/>
    <xf numFmtId="0" fontId="8" fillId="0" borderId="0"/>
    <xf numFmtId="196" fontId="8" fillId="0" borderId="0"/>
    <xf numFmtId="0" fontId="7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0" fontId="3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97"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97" fontId="8" fillId="0" borderId="0"/>
    <xf numFmtId="0" fontId="8" fillId="0" borderId="0"/>
    <xf numFmtId="0" fontId="8" fillId="0" borderId="0"/>
    <xf numFmtId="0" fontId="8" fillId="0" borderId="0"/>
    <xf numFmtId="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7" fillId="0" borderId="0"/>
    <xf numFmtId="170" fontId="8" fillId="0" borderId="0"/>
    <xf numFmtId="0" fontId="57" fillId="0" borderId="0"/>
    <xf numFmtId="0" fontId="57" fillId="0" borderId="0"/>
    <xf numFmtId="0" fontId="8" fillId="0" borderId="0"/>
    <xf numFmtId="0" fontId="57" fillId="0" borderId="0"/>
    <xf numFmtId="197" fontId="57" fillId="0" borderId="0"/>
    <xf numFmtId="0" fontId="57" fillId="0" borderId="0"/>
    <xf numFmtId="197" fontId="57" fillId="0" borderId="0"/>
    <xf numFmtId="0" fontId="21" fillId="14" borderId="19" applyNumberFormat="0" applyFont="0" applyAlignment="0" applyProtection="0"/>
    <xf numFmtId="0" fontId="21" fillId="14" borderId="19" applyNumberFormat="0" applyFont="0" applyAlignment="0" applyProtection="0"/>
    <xf numFmtId="9" fontId="8" fillId="0" borderId="0" applyFont="0" applyFill="0" applyBorder="0" applyAlignment="0" applyProtection="0"/>
    <xf numFmtId="9" fontId="8"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43"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8" fillId="0" borderId="0" applyFont="0" applyFill="0" applyBorder="0" applyAlignment="0" applyProtection="0"/>
    <xf numFmtId="168" fontId="21" fillId="0" borderId="0" applyFont="0" applyFill="0" applyBorder="0" applyAlignment="0" applyProtection="0"/>
    <xf numFmtId="168" fontId="17"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98" fontId="17"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21"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21"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8"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9" fontId="10" fillId="0" borderId="0" applyFont="0" applyFill="0" applyBorder="0" applyAlignment="0" applyProtection="0"/>
    <xf numFmtId="168" fontId="10" fillId="0" borderId="0" applyFont="0" applyFill="0" applyBorder="0" applyAlignment="0" applyProtection="0"/>
    <xf numFmtId="0" fontId="106" fillId="0" borderId="0">
      <alignment horizontal="center" vertical="center" textRotation="90"/>
    </xf>
    <xf numFmtId="0" fontId="106" fillId="0" borderId="0">
      <alignment horizontal="center" vertical="center"/>
    </xf>
    <xf numFmtId="0" fontId="20" fillId="0" borderId="7" applyNumberFormat="0" applyFont="0" applyFill="0" applyAlignment="0" applyProtection="0"/>
    <xf numFmtId="0" fontId="125" fillId="0" borderId="0"/>
    <xf numFmtId="0" fontId="126" fillId="0" borderId="0"/>
    <xf numFmtId="0" fontId="7" fillId="0" borderId="0"/>
    <xf numFmtId="0" fontId="132" fillId="0" borderId="0"/>
    <xf numFmtId="0" fontId="133" fillId="0" borderId="0" applyNumberFormat="0" applyFill="0" applyBorder="0" applyAlignment="0" applyProtection="0"/>
    <xf numFmtId="0" fontId="6" fillId="0" borderId="0"/>
    <xf numFmtId="0" fontId="6" fillId="0" borderId="0"/>
    <xf numFmtId="0" fontId="5" fillId="0" borderId="0"/>
    <xf numFmtId="0" fontId="5" fillId="0" borderId="0"/>
    <xf numFmtId="0" fontId="4" fillId="0" borderId="0"/>
    <xf numFmtId="0" fontId="4" fillId="0" borderId="0"/>
    <xf numFmtId="0" fontId="4" fillId="0" borderId="0"/>
    <xf numFmtId="0" fontId="10"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cellStyleXfs>
  <cellXfs count="1597">
    <xf numFmtId="0" fontId="0" fillId="0" borderId="0" xfId="0"/>
    <xf numFmtId="3" fontId="11" fillId="0" borderId="0" xfId="0" applyNumberFormat="1" applyFont="1" applyAlignment="1">
      <alignment horizontal="center" vertical="center" wrapText="1"/>
    </xf>
    <xf numFmtId="3" fontId="12" fillId="0" borderId="0" xfId="0" applyNumberFormat="1" applyFont="1" applyAlignment="1">
      <alignment horizontal="center" vertical="top" wrapText="1"/>
    </xf>
    <xf numFmtId="0" fontId="86" fillId="0" borderId="1" xfId="0" applyFont="1" applyBorder="1" applyAlignment="1">
      <alignment horizontal="center" vertical="center" wrapText="1"/>
    </xf>
    <xf numFmtId="0" fontId="12" fillId="0" borderId="1" xfId="0" applyFont="1" applyBorder="1"/>
    <xf numFmtId="0" fontId="12" fillId="0" borderId="1" xfId="0" applyFont="1" applyBorder="1" applyAlignment="1">
      <alignment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xf>
    <xf numFmtId="3" fontId="12" fillId="0" borderId="1" xfId="0" applyNumberFormat="1" applyFont="1" applyBorder="1" applyAlignment="1">
      <alignment horizontal="center" vertical="center" wrapText="1"/>
    </xf>
    <xf numFmtId="0" fontId="12" fillId="0" borderId="0" xfId="0" applyFont="1"/>
    <xf numFmtId="0" fontId="89" fillId="0" borderId="0" xfId="0" applyFont="1"/>
    <xf numFmtId="0" fontId="92" fillId="0" borderId="1" xfId="0" applyFont="1" applyBorder="1" applyAlignment="1">
      <alignment horizontal="center"/>
    </xf>
    <xf numFmtId="0" fontId="84" fillId="0" borderId="0" xfId="3459" applyFont="1" applyAlignment="1">
      <alignment vertical="top"/>
    </xf>
    <xf numFmtId="0" fontId="92" fillId="0" borderId="0" xfId="0" applyFont="1"/>
    <xf numFmtId="0" fontId="92" fillId="0" borderId="0" xfId="0" applyFont="1" applyAlignment="1">
      <alignment horizontal="center"/>
    </xf>
    <xf numFmtId="0" fontId="91" fillId="0" borderId="0" xfId="0" applyFont="1"/>
    <xf numFmtId="0" fontId="92" fillId="0" borderId="0" xfId="0" applyFont="1" applyAlignment="1">
      <alignment horizontal="right"/>
    </xf>
    <xf numFmtId="49" fontId="92" fillId="0" borderId="0" xfId="0" applyNumberFormat="1" applyFont="1" applyAlignment="1">
      <alignment horizontal="right"/>
    </xf>
    <xf numFmtId="0" fontId="92" fillId="0" borderId="27" xfId="0" applyFont="1" applyBorder="1" applyAlignment="1">
      <alignment horizontal="center" vertical="center" wrapText="1"/>
    </xf>
    <xf numFmtId="0" fontId="92" fillId="0" borderId="1" xfId="0" applyFont="1" applyBorder="1" applyAlignment="1">
      <alignment horizontal="center" vertical="center" wrapText="1"/>
    </xf>
    <xf numFmtId="0" fontId="91" fillId="0" borderId="1" xfId="0" applyFont="1" applyBorder="1" applyAlignment="1">
      <alignment horizontal="center" vertical="center"/>
    </xf>
    <xf numFmtId="0" fontId="91" fillId="0" borderId="1" xfId="0" applyFont="1" applyBorder="1" applyAlignment="1">
      <alignment vertical="center" wrapText="1"/>
    </xf>
    <xf numFmtId="0" fontId="51" fillId="0" borderId="0" xfId="0" applyFont="1"/>
    <xf numFmtId="0" fontId="12" fillId="0" borderId="1" xfId="0" applyFont="1" applyBorder="1" applyAlignment="1">
      <alignment horizontal="center" vertical="center" wrapText="1"/>
    </xf>
    <xf numFmtId="2"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84" fillId="0" borderId="0" xfId="3459" applyFont="1" applyAlignment="1">
      <alignment vertical="top" wrapText="1"/>
    </xf>
    <xf numFmtId="0" fontId="84" fillId="0" borderId="0" xfId="3459" applyFont="1" applyAlignment="1">
      <alignment horizontal="left" vertical="center"/>
    </xf>
    <xf numFmtId="3" fontId="12" fillId="38" borderId="1" xfId="0" applyNumberFormat="1" applyFont="1" applyFill="1" applyBorder="1" applyAlignment="1">
      <alignment horizontal="center" vertical="center" wrapText="1"/>
    </xf>
    <xf numFmtId="4" fontId="11" fillId="38" borderId="1" xfId="0" applyNumberFormat="1" applyFont="1" applyFill="1" applyBorder="1" applyAlignment="1">
      <alignment horizontal="center" vertical="center" wrapText="1"/>
    </xf>
    <xf numFmtId="3" fontId="86" fillId="0" borderId="0" xfId="0" applyNumberFormat="1" applyFont="1" applyAlignment="1">
      <alignment horizontal="center" vertical="top" wrapText="1"/>
    </xf>
    <xf numFmtId="0" fontId="87" fillId="0" borderId="0" xfId="0" applyFont="1"/>
    <xf numFmtId="4" fontId="12" fillId="0" borderId="1" xfId="0" applyNumberFormat="1" applyFont="1" applyBorder="1" applyAlignment="1">
      <alignment horizontal="center" vertical="center"/>
    </xf>
    <xf numFmtId="169" fontId="12" fillId="38" borderId="1" xfId="0" applyNumberFormat="1" applyFont="1" applyFill="1" applyBorder="1" applyAlignment="1">
      <alignment horizontal="center" vertical="center" wrapText="1"/>
    </xf>
    <xf numFmtId="169" fontId="11" fillId="38" borderId="1" xfId="0" applyNumberFormat="1" applyFont="1" applyFill="1" applyBorder="1" applyAlignment="1">
      <alignment horizontal="center" vertical="center" wrapText="1"/>
    </xf>
    <xf numFmtId="3" fontId="11" fillId="38" borderId="1" xfId="0" applyNumberFormat="1" applyFont="1" applyFill="1" applyBorder="1" applyAlignment="1">
      <alignment horizontal="center" vertical="center" wrapText="1"/>
    </xf>
    <xf numFmtId="3" fontId="12" fillId="38" borderId="0" xfId="0" applyNumberFormat="1" applyFont="1" applyFill="1" applyAlignment="1">
      <alignment horizontal="center" vertical="center" wrapText="1"/>
    </xf>
    <xf numFmtId="49" fontId="92" fillId="0" borderId="1" xfId="0" applyNumberFormat="1" applyFont="1" applyBorder="1" applyAlignment="1">
      <alignment horizontal="center"/>
    </xf>
    <xf numFmtId="0" fontId="11" fillId="0" borderId="1" xfId="0" applyFont="1" applyBorder="1" applyAlignment="1">
      <alignment horizontal="center" vertical="center"/>
    </xf>
    <xf numFmtId="0" fontId="12" fillId="0" borderId="0" xfId="0" applyFont="1" applyAlignment="1">
      <alignment horizontal="center" wrapText="1"/>
    </xf>
    <xf numFmtId="0" fontId="96" fillId="0" borderId="0" xfId="0" applyFont="1"/>
    <xf numFmtId="0" fontId="12" fillId="0" borderId="1" xfId="0" applyFont="1" applyBorder="1" applyAlignment="1">
      <alignment vertical="center" wrapText="1"/>
    </xf>
    <xf numFmtId="0" fontId="51" fillId="0" borderId="1" xfId="0" applyFont="1" applyBorder="1" applyAlignment="1">
      <alignment horizontal="center" vertical="center" wrapText="1"/>
    </xf>
    <xf numFmtId="0" fontId="97" fillId="0" borderId="0" xfId="0" applyFont="1"/>
    <xf numFmtId="0" fontId="92" fillId="0" borderId="1" xfId="0" applyFont="1" applyBorder="1" applyAlignment="1">
      <alignment horizontal="center" vertical="center"/>
    </xf>
    <xf numFmtId="0" fontId="87" fillId="0" borderId="1" xfId="0" applyFont="1" applyBorder="1" applyAlignment="1">
      <alignment horizontal="center" vertical="center" wrapText="1"/>
    </xf>
    <xf numFmtId="0" fontId="87" fillId="0" borderId="1" xfId="0" applyFont="1" applyBorder="1" applyAlignment="1">
      <alignment horizontal="left" vertical="center" wrapText="1"/>
    </xf>
    <xf numFmtId="0" fontId="86" fillId="0" borderId="1" xfId="0" applyFont="1" applyBorder="1" applyAlignment="1">
      <alignment horizontal="center" vertical="top" wrapText="1"/>
    </xf>
    <xf numFmtId="0" fontId="98" fillId="0" borderId="0" xfId="0" applyFont="1"/>
    <xf numFmtId="0" fontId="86" fillId="0" borderId="0" xfId="0" applyFont="1"/>
    <xf numFmtId="0" fontId="93" fillId="38" borderId="1" xfId="0" applyFont="1" applyFill="1" applyBorder="1" applyAlignment="1" applyProtection="1">
      <alignment horizontal="center" vertical="center" wrapText="1"/>
      <protection hidden="1"/>
    </xf>
    <xf numFmtId="0" fontId="87" fillId="0" borderId="0" xfId="0" applyFont="1" applyAlignment="1">
      <alignment horizontal="center" vertical="center" wrapText="1"/>
    </xf>
    <xf numFmtId="2" fontId="87" fillId="0" borderId="0" xfId="0" applyNumberFormat="1" applyFont="1" applyAlignment="1">
      <alignment horizontal="center" vertical="center" wrapText="1"/>
    </xf>
    <xf numFmtId="0" fontId="99" fillId="0" borderId="0" xfId="0" applyFont="1"/>
    <xf numFmtId="3" fontId="94" fillId="0" borderId="0" xfId="0" applyNumberFormat="1" applyFont="1"/>
    <xf numFmtId="3" fontId="94" fillId="0" borderId="0" xfId="3716" applyNumberFormat="1" applyFont="1" applyAlignment="1">
      <alignment vertical="top" wrapText="1"/>
    </xf>
    <xf numFmtId="3" fontId="94" fillId="0" borderId="0" xfId="3716" applyNumberFormat="1" applyFont="1" applyAlignment="1">
      <alignment horizontal="center" vertical="top" wrapText="1"/>
    </xf>
    <xf numFmtId="0" fontId="0" fillId="38" borderId="0" xfId="0" applyFill="1"/>
    <xf numFmtId="0" fontId="72" fillId="38" borderId="1" xfId="0" applyFont="1" applyFill="1" applyBorder="1" applyAlignment="1">
      <alignment horizontal="center" vertical="center" wrapText="1"/>
    </xf>
    <xf numFmtId="1" fontId="72" fillId="38" borderId="1" xfId="0" applyNumberFormat="1" applyFont="1" applyFill="1" applyBorder="1" applyAlignment="1">
      <alignment horizontal="center" vertical="center" wrapText="1"/>
    </xf>
    <xf numFmtId="0" fontId="97" fillId="38" borderId="0" xfId="0" applyFont="1" applyFill="1"/>
    <xf numFmtId="0" fontId="12" fillId="38" borderId="1" xfId="0" applyFont="1" applyFill="1" applyBorder="1" applyAlignment="1">
      <alignment horizontal="center"/>
    </xf>
    <xf numFmtId="0" fontId="0" fillId="0" borderId="0" xfId="0" applyAlignment="1">
      <alignment vertical="center"/>
    </xf>
    <xf numFmtId="3" fontId="97" fillId="0" borderId="0" xfId="0" applyNumberFormat="1" applyFont="1"/>
    <xf numFmtId="0" fontId="86" fillId="0" borderId="1" xfId="0" applyFont="1" applyBorder="1" applyAlignment="1">
      <alignment horizontal="left" vertical="center" wrapText="1"/>
    </xf>
    <xf numFmtId="0" fontId="12" fillId="38" borderId="1" xfId="0" applyFont="1" applyFill="1" applyBorder="1" applyAlignment="1">
      <alignment horizontal="center" vertical="center" wrapText="1"/>
    </xf>
    <xf numFmtId="0" fontId="97" fillId="38" borderId="0" xfId="0" applyFont="1" applyFill="1" applyAlignment="1">
      <alignment vertical="center"/>
    </xf>
    <xf numFmtId="2" fontId="87" fillId="38" borderId="0" xfId="0" applyNumberFormat="1" applyFont="1" applyFill="1" applyAlignment="1">
      <alignment horizontal="center" vertical="center" wrapText="1"/>
    </xf>
    <xf numFmtId="0" fontId="86" fillId="38" borderId="0" xfId="0" applyFont="1" applyFill="1"/>
    <xf numFmtId="0" fontId="11" fillId="38" borderId="0" xfId="0" applyFont="1" applyFill="1"/>
    <xf numFmtId="0" fontId="87" fillId="38" borderId="0" xfId="0" applyFont="1" applyFill="1" applyAlignment="1">
      <alignment horizontal="center" vertical="center" wrapText="1"/>
    </xf>
    <xf numFmtId="0" fontId="51" fillId="0" borderId="0" xfId="0" applyFont="1" applyAlignment="1">
      <alignment horizontal="right"/>
    </xf>
    <xf numFmtId="0" fontId="85" fillId="0" borderId="0" xfId="0" applyFont="1"/>
    <xf numFmtId="0" fontId="51" fillId="0" borderId="0" xfId="0" applyFont="1" applyAlignment="1">
      <alignment vertical="top" wrapText="1"/>
    </xf>
    <xf numFmtId="0" fontId="84" fillId="0" borderId="0" xfId="0" applyFont="1" applyAlignment="1">
      <alignment horizontal="left" vertical="center"/>
    </xf>
    <xf numFmtId="0" fontId="103" fillId="0" borderId="0" xfId="0" applyFont="1"/>
    <xf numFmtId="0" fontId="104" fillId="0" borderId="0" xfId="0" applyFont="1" applyAlignment="1">
      <alignment vertical="center"/>
    </xf>
    <xf numFmtId="0" fontId="92" fillId="0" borderId="0" xfId="0" applyFont="1" applyAlignment="1">
      <alignment vertical="center"/>
    </xf>
    <xf numFmtId="0" fontId="86" fillId="0" borderId="0" xfId="0" applyFont="1" applyAlignment="1">
      <alignment wrapText="1"/>
    </xf>
    <xf numFmtId="4" fontId="87" fillId="38" borderId="1" xfId="0" applyNumberFormat="1" applyFont="1" applyFill="1" applyBorder="1" applyAlignment="1">
      <alignment horizontal="center" vertical="center"/>
    </xf>
    <xf numFmtId="3" fontId="92" fillId="38" borderId="1" xfId="0" applyNumberFormat="1" applyFont="1" applyFill="1" applyBorder="1" applyAlignment="1">
      <alignment horizontal="center" vertical="center" wrapText="1"/>
    </xf>
    <xf numFmtId="0" fontId="97" fillId="40" borderId="0" xfId="0" applyFont="1" applyFill="1"/>
    <xf numFmtId="0" fontId="12" fillId="38" borderId="1" xfId="0" applyFont="1" applyFill="1" applyBorder="1" applyAlignment="1">
      <alignment vertical="center" wrapText="1"/>
    </xf>
    <xf numFmtId="0" fontId="88" fillId="0" borderId="0" xfId="0" applyFont="1" applyAlignment="1">
      <alignment vertical="center" wrapText="1"/>
    </xf>
    <xf numFmtId="0" fontId="88" fillId="0" borderId="0" xfId="0" applyFont="1" applyAlignment="1">
      <alignment horizontal="left" vertical="center" wrapText="1"/>
    </xf>
    <xf numFmtId="3" fontId="85" fillId="0" borderId="0" xfId="0" applyNumberFormat="1" applyFont="1" applyAlignment="1">
      <alignment horizontal="left" vertical="center" wrapText="1"/>
    </xf>
    <xf numFmtId="3" fontId="86" fillId="0" borderId="0" xfId="0" applyNumberFormat="1" applyFont="1" applyAlignment="1">
      <alignment horizontal="left" vertical="top"/>
    </xf>
    <xf numFmtId="0" fontId="12" fillId="38" borderId="0" xfId="0" applyFont="1" applyFill="1" applyAlignment="1">
      <alignment horizontal="left" vertical="center" wrapText="1"/>
    </xf>
    <xf numFmtId="0" fontId="86" fillId="38" borderId="1" xfId="0" applyFont="1" applyFill="1" applyBorder="1" applyAlignment="1">
      <alignment horizontal="center" vertical="center" wrapText="1"/>
    </xf>
    <xf numFmtId="0" fontId="12" fillId="38" borderId="1" xfId="0" applyFont="1" applyFill="1" applyBorder="1" applyAlignment="1">
      <alignment horizontal="center" vertical="center"/>
    </xf>
    <xf numFmtId="0" fontId="98" fillId="38" borderId="0" xfId="0" applyFont="1" applyFill="1"/>
    <xf numFmtId="2" fontId="12" fillId="38" borderId="1" xfId="0" applyNumberFormat="1" applyFont="1" applyFill="1" applyBorder="1" applyAlignment="1">
      <alignment horizontal="center" vertical="center"/>
    </xf>
    <xf numFmtId="0" fontId="12" fillId="38" borderId="2" xfId="0" applyFont="1" applyFill="1" applyBorder="1" applyAlignment="1">
      <alignment horizontal="center" vertical="center" wrapText="1"/>
    </xf>
    <xf numFmtId="4" fontId="86" fillId="38" borderId="1" xfId="0" applyNumberFormat="1" applyFont="1" applyFill="1" applyBorder="1" applyAlignment="1">
      <alignment horizontal="center" vertical="center" wrapText="1"/>
    </xf>
    <xf numFmtId="0" fontId="97" fillId="6" borderId="0" xfId="0" applyFont="1" applyFill="1"/>
    <xf numFmtId="0" fontId="97" fillId="42" borderId="0" xfId="0" applyFont="1" applyFill="1"/>
    <xf numFmtId="0" fontId="97" fillId="43" borderId="0" xfId="0" applyFont="1" applyFill="1"/>
    <xf numFmtId="0" fontId="97" fillId="45" borderId="0" xfId="0" applyFont="1" applyFill="1"/>
    <xf numFmtId="0" fontId="97" fillId="46" borderId="0" xfId="0" applyFont="1" applyFill="1"/>
    <xf numFmtId="0" fontId="97" fillId="44" borderId="0" xfId="0" applyFont="1" applyFill="1"/>
    <xf numFmtId="0" fontId="97" fillId="47" borderId="0" xfId="0" applyFont="1" applyFill="1"/>
    <xf numFmtId="0" fontId="97" fillId="48" borderId="0" xfId="0" applyFont="1" applyFill="1"/>
    <xf numFmtId="0" fontId="97" fillId="49" borderId="0" xfId="0" applyFont="1" applyFill="1"/>
    <xf numFmtId="0" fontId="0" fillId="38" borderId="0" xfId="0" applyFill="1" applyAlignment="1">
      <alignment vertical="center"/>
    </xf>
    <xf numFmtId="0" fontId="51" fillId="38" borderId="0" xfId="0" applyFont="1" applyFill="1" applyAlignment="1">
      <alignment horizontal="center"/>
    </xf>
    <xf numFmtId="0" fontId="12" fillId="38" borderId="0" xfId="0" applyFont="1" applyFill="1"/>
    <xf numFmtId="0" fontId="11" fillId="38" borderId="0" xfId="0" applyFont="1" applyFill="1" applyAlignment="1">
      <alignment vertical="center"/>
    </xf>
    <xf numFmtId="0" fontId="12" fillId="38" borderId="0" xfId="0" applyFont="1" applyFill="1" applyAlignment="1">
      <alignment vertical="center"/>
    </xf>
    <xf numFmtId="0" fontId="12" fillId="38" borderId="0" xfId="0" applyFont="1" applyFill="1" applyAlignment="1">
      <alignment horizontal="center"/>
    </xf>
    <xf numFmtId="0" fontId="12" fillId="38" borderId="26" xfId="0" applyFont="1" applyFill="1" applyBorder="1" applyAlignment="1">
      <alignment horizontal="center" vertical="top" wrapText="1"/>
    </xf>
    <xf numFmtId="0" fontId="12" fillId="38" borderId="1" xfId="0" applyFont="1" applyFill="1" applyBorder="1" applyAlignment="1">
      <alignment horizontal="right" vertical="top" wrapText="1"/>
    </xf>
    <xf numFmtId="0" fontId="71" fillId="38" borderId="0" xfId="0" applyFont="1" applyFill="1" applyAlignment="1">
      <alignment horizontal="center" vertical="center" wrapText="1"/>
    </xf>
    <xf numFmtId="4" fontId="12" fillId="38" borderId="0" xfId="0" applyNumberFormat="1" applyFont="1" applyFill="1" applyAlignment="1">
      <alignment horizontal="center" vertical="center" wrapText="1"/>
    </xf>
    <xf numFmtId="4" fontId="71" fillId="38" borderId="0" xfId="0" applyNumberFormat="1" applyFont="1" applyFill="1" applyAlignment="1">
      <alignment horizontal="center" vertical="center" wrapText="1"/>
    </xf>
    <xf numFmtId="0" fontId="12" fillId="38" borderId="0" xfId="0" applyFont="1" applyFill="1" applyAlignment="1">
      <alignment horizontal="center" vertical="center" wrapText="1"/>
    </xf>
    <xf numFmtId="0" fontId="12" fillId="38" borderId="0" xfId="0" applyFont="1" applyFill="1" applyAlignment="1">
      <alignment horizontal="center" vertical="center"/>
    </xf>
    <xf numFmtId="0" fontId="11" fillId="38" borderId="1" xfId="0" applyFont="1" applyFill="1" applyBorder="1" applyAlignment="1">
      <alignment horizontal="center" vertical="center"/>
    </xf>
    <xf numFmtId="0" fontId="11" fillId="38" borderId="2" xfId="0" applyFont="1" applyFill="1" applyBorder="1" applyAlignment="1">
      <alignment horizontal="center" vertical="center" wrapText="1"/>
    </xf>
    <xf numFmtId="0" fontId="93" fillId="38" borderId="0" xfId="0" applyFont="1" applyFill="1" applyAlignment="1" applyProtection="1">
      <alignment horizontal="center" vertical="center" wrapText="1"/>
      <protection hidden="1"/>
    </xf>
    <xf numFmtId="1" fontId="12" fillId="38" borderId="1" xfId="0" applyNumberFormat="1" applyFont="1" applyFill="1" applyBorder="1" applyAlignment="1">
      <alignment horizontal="center" vertical="center" wrapText="1"/>
    </xf>
    <xf numFmtId="2" fontId="12" fillId="38" borderId="0" xfId="0" applyNumberFormat="1" applyFont="1" applyFill="1" applyAlignment="1">
      <alignment horizontal="center" vertical="center"/>
    </xf>
    <xf numFmtId="0" fontId="11" fillId="38" borderId="0" xfId="0" applyFont="1" applyFill="1" applyAlignment="1">
      <alignment horizontal="center" vertical="center"/>
    </xf>
    <xf numFmtId="3" fontId="12" fillId="38" borderId="1" xfId="0" applyNumberFormat="1" applyFont="1" applyFill="1" applyBorder="1" applyAlignment="1" applyProtection="1">
      <alignment horizontal="center" vertical="center" wrapText="1"/>
      <protection locked="0"/>
    </xf>
    <xf numFmtId="169" fontId="12" fillId="38" borderId="1" xfId="0" applyNumberFormat="1" applyFont="1" applyFill="1" applyBorder="1" applyAlignment="1" applyProtection="1">
      <alignment horizontal="center" vertical="center" wrapText="1"/>
      <protection locked="0"/>
    </xf>
    <xf numFmtId="4" fontId="93" fillId="38" borderId="1" xfId="0" applyNumberFormat="1" applyFont="1" applyFill="1" applyBorder="1" applyAlignment="1">
      <alignment horizontal="center" vertical="center" wrapText="1"/>
    </xf>
    <xf numFmtId="0" fontId="12" fillId="38" borderId="26" xfId="0" applyFont="1" applyFill="1" applyBorder="1" applyAlignment="1">
      <alignment horizontal="center" vertical="center" wrapText="1"/>
    </xf>
    <xf numFmtId="4" fontId="12" fillId="38" borderId="0" xfId="0" applyNumberFormat="1" applyFont="1" applyFill="1" applyAlignment="1">
      <alignment horizontal="center" vertical="center"/>
    </xf>
    <xf numFmtId="3" fontId="12" fillId="38" borderId="0" xfId="0" applyNumberFormat="1" applyFont="1" applyFill="1" applyAlignment="1">
      <alignment horizontal="center" vertical="center"/>
    </xf>
    <xf numFmtId="3" fontId="72" fillId="38" borderId="1" xfId="0" applyNumberFormat="1" applyFont="1" applyFill="1" applyBorder="1" applyAlignment="1">
      <alignment horizontal="center" vertical="center" wrapText="1"/>
    </xf>
    <xf numFmtId="49" fontId="12" fillId="38" borderId="1" xfId="0" applyNumberFormat="1" applyFont="1" applyFill="1" applyBorder="1" applyAlignment="1">
      <alignment horizontal="center" vertical="center"/>
    </xf>
    <xf numFmtId="0" fontId="11" fillId="38" borderId="0" xfId="0" applyFont="1" applyFill="1" applyAlignment="1">
      <alignment horizontal="center" vertical="center" wrapText="1"/>
    </xf>
    <xf numFmtId="0" fontId="12" fillId="38" borderId="1" xfId="0" applyFont="1" applyFill="1" applyBorder="1" applyAlignment="1">
      <alignment vertical="center"/>
    </xf>
    <xf numFmtId="169" fontId="12" fillId="38" borderId="1" xfId="0" applyNumberFormat="1" applyFont="1" applyFill="1" applyBorder="1" applyAlignment="1">
      <alignment horizontal="center" vertical="center"/>
    </xf>
    <xf numFmtId="0" fontId="12" fillId="38" borderId="0" xfId="0" applyFont="1" applyFill="1" applyAlignment="1">
      <alignment horizontal="right" vertical="top" wrapText="1"/>
    </xf>
    <xf numFmtId="0" fontId="12" fillId="38" borderId="1" xfId="0" applyFont="1" applyFill="1" applyBorder="1" applyAlignment="1">
      <alignment horizontal="left" vertical="center"/>
    </xf>
    <xf numFmtId="0" fontId="12" fillId="38" borderId="0" xfId="0" applyFont="1" applyFill="1" applyAlignment="1">
      <alignment horizontal="left" vertical="center"/>
    </xf>
    <xf numFmtId="199" fontId="12" fillId="38" borderId="0" xfId="0" applyNumberFormat="1" applyFont="1" applyFill="1" applyAlignment="1">
      <alignment horizontal="center" vertical="center"/>
    </xf>
    <xf numFmtId="3" fontId="85" fillId="0" borderId="1" xfId="0" applyNumberFormat="1" applyFont="1" applyBorder="1" applyAlignment="1">
      <alignment horizontal="center" vertical="center"/>
    </xf>
    <xf numFmtId="3" fontId="85" fillId="0" borderId="27" xfId="0" applyNumberFormat="1" applyFont="1" applyBorder="1" applyAlignment="1">
      <alignment horizontal="center" vertical="center" wrapText="1"/>
    </xf>
    <xf numFmtId="4" fontId="85" fillId="38" borderId="1" xfId="0" applyNumberFormat="1" applyFont="1" applyFill="1" applyBorder="1" applyAlignment="1">
      <alignment horizontal="center" vertical="center"/>
    </xf>
    <xf numFmtId="0" fontId="11" fillId="0" borderId="0" xfId="0" applyFont="1" applyAlignment="1">
      <alignment vertical="center"/>
    </xf>
    <xf numFmtId="0" fontId="120" fillId="0" borderId="31" xfId="0" applyFont="1" applyBorder="1" applyAlignment="1">
      <alignment horizontal="center" vertical="center"/>
    </xf>
    <xf numFmtId="3" fontId="120" fillId="0" borderId="31" xfId="0" applyNumberFormat="1" applyFont="1" applyBorder="1" applyAlignment="1">
      <alignment horizontal="center" vertical="center" wrapText="1"/>
    </xf>
    <xf numFmtId="0" fontId="120" fillId="0" borderId="31" xfId="0" applyFont="1" applyBorder="1" applyAlignment="1">
      <alignment horizontal="left" vertical="center" wrapText="1"/>
    </xf>
    <xf numFmtId="0" fontId="120" fillId="0" borderId="31" xfId="0" applyFont="1" applyBorder="1" applyAlignment="1">
      <alignment horizontal="center" vertical="center" wrapText="1"/>
    </xf>
    <xf numFmtId="49" fontId="120" fillId="0" borderId="31" xfId="0" applyNumberFormat="1" applyFont="1" applyBorder="1" applyAlignment="1">
      <alignment horizontal="center" vertical="center" wrapText="1"/>
    </xf>
    <xf numFmtId="4" fontId="120" fillId="0" borderId="31" xfId="0" applyNumberFormat="1" applyFont="1" applyBorder="1" applyAlignment="1">
      <alignment horizontal="center" vertical="center" wrapText="1"/>
    </xf>
    <xf numFmtId="3" fontId="121" fillId="51" borderId="31" xfId="0" applyNumberFormat="1" applyFont="1" applyFill="1" applyBorder="1" applyAlignment="1">
      <alignment horizontal="center" vertical="center"/>
    </xf>
    <xf numFmtId="3" fontId="121" fillId="0" borderId="31" xfId="0" applyNumberFormat="1" applyFont="1" applyBorder="1" applyAlignment="1">
      <alignment horizontal="center" vertical="center"/>
    </xf>
    <xf numFmtId="3" fontId="120" fillId="50" borderId="31" xfId="0" applyNumberFormat="1" applyFont="1" applyFill="1" applyBorder="1" applyAlignment="1">
      <alignment horizontal="center" vertical="center" wrapText="1"/>
    </xf>
    <xf numFmtId="169" fontId="120" fillId="0" borderId="31" xfId="0" applyNumberFormat="1" applyFont="1" applyBorder="1" applyAlignment="1">
      <alignment horizontal="center" vertical="center" wrapText="1"/>
    </xf>
    <xf numFmtId="3" fontId="120" fillId="0" borderId="31" xfId="0" applyNumberFormat="1" applyFont="1" applyBorder="1" applyAlignment="1">
      <alignment horizontal="left" vertical="center" wrapText="1"/>
    </xf>
    <xf numFmtId="0" fontId="121" fillId="0" borderId="31" xfId="0" applyFont="1" applyBorder="1" applyAlignment="1">
      <alignment horizontal="center" vertical="center"/>
    </xf>
    <xf numFmtId="1" fontId="120" fillId="0" borderId="31" xfId="0" applyNumberFormat="1" applyFont="1" applyBorder="1" applyAlignment="1">
      <alignment horizontal="center" vertical="center" wrapText="1"/>
    </xf>
    <xf numFmtId="3" fontId="120" fillId="51" borderId="31" xfId="0" applyNumberFormat="1" applyFont="1" applyFill="1" applyBorder="1" applyAlignment="1">
      <alignment horizontal="center" vertical="center" wrapText="1"/>
    </xf>
    <xf numFmtId="0" fontId="121" fillId="0" borderId="31" xfId="0" applyFont="1" applyBorder="1" applyAlignment="1">
      <alignment horizontal="center" vertical="center" wrapText="1"/>
    </xf>
    <xf numFmtId="0" fontId="121" fillId="0" borderId="31" xfId="0" applyFont="1" applyBorder="1" applyAlignment="1">
      <alignment horizontal="left" vertical="center" wrapText="1"/>
    </xf>
    <xf numFmtId="0" fontId="120" fillId="41" borderId="31" xfId="0" applyFont="1" applyFill="1" applyBorder="1" applyAlignment="1">
      <alignment horizontal="left" vertical="center" wrapText="1"/>
    </xf>
    <xf numFmtId="0" fontId="120" fillId="41" borderId="31" xfId="0" applyFont="1" applyFill="1" applyBorder="1" applyAlignment="1">
      <alignment horizontal="center" vertical="center" wrapText="1"/>
    </xf>
    <xf numFmtId="3" fontId="120" fillId="41" borderId="31" xfId="0" applyNumberFormat="1" applyFont="1" applyFill="1" applyBorder="1" applyAlignment="1">
      <alignment horizontal="center" vertical="center" wrapText="1"/>
    </xf>
    <xf numFmtId="49" fontId="118" fillId="41" borderId="0" xfId="0" applyNumberFormat="1" applyFont="1" applyFill="1" applyAlignment="1">
      <alignment horizontal="center" vertical="center" wrapText="1"/>
    </xf>
    <xf numFmtId="0" fontId="112" fillId="0" borderId="1" xfId="0" applyFont="1" applyBorder="1" applyAlignment="1">
      <alignment horizontal="center" vertical="center"/>
    </xf>
    <xf numFmtId="0" fontId="112" fillId="0" borderId="1" xfId="0" applyFont="1" applyBorder="1" applyAlignment="1">
      <alignment horizontal="center" vertical="center" wrapText="1"/>
    </xf>
    <xf numFmtId="4" fontId="112"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0" fontId="97" fillId="38" borderId="0" xfId="0" applyFont="1" applyFill="1" applyAlignment="1">
      <alignment horizontal="center" vertical="center"/>
    </xf>
    <xf numFmtId="0" fontId="11" fillId="38" borderId="2" xfId="0" applyFont="1" applyFill="1" applyBorder="1" applyAlignment="1">
      <alignment horizontal="center" vertical="center"/>
    </xf>
    <xf numFmtId="4" fontId="11" fillId="38" borderId="0" xfId="0" applyNumberFormat="1" applyFont="1" applyFill="1" applyAlignment="1">
      <alignment horizontal="center" vertical="center" wrapText="1"/>
    </xf>
    <xf numFmtId="0" fontId="12" fillId="38" borderId="27" xfId="0" applyFont="1" applyFill="1" applyBorder="1" applyAlignment="1">
      <alignment horizontal="center" vertical="center"/>
    </xf>
    <xf numFmtId="0" fontId="12" fillId="39" borderId="0" xfId="0" applyFont="1" applyFill="1"/>
    <xf numFmtId="4" fontId="11" fillId="39" borderId="1" xfId="0" applyNumberFormat="1" applyFont="1" applyFill="1" applyBorder="1" applyAlignment="1">
      <alignment horizontal="center" vertical="center" wrapText="1"/>
    </xf>
    <xf numFmtId="1" fontId="12" fillId="0" borderId="1" xfId="0" applyNumberFormat="1" applyFont="1" applyBorder="1" applyAlignment="1">
      <alignment horizontal="center" vertical="center" wrapText="1"/>
    </xf>
    <xf numFmtId="2" fontId="12" fillId="38" borderId="0" xfId="0" applyNumberFormat="1" applyFont="1" applyFill="1" applyAlignment="1">
      <alignment horizontal="center" vertical="center" wrapText="1"/>
    </xf>
    <xf numFmtId="0" fontId="11" fillId="39" borderId="0" xfId="0" applyFont="1" applyFill="1"/>
    <xf numFmtId="2" fontId="71" fillId="38" borderId="0" xfId="0" applyNumberFormat="1" applyFont="1" applyFill="1" applyAlignment="1">
      <alignment horizontal="center" vertical="center"/>
    </xf>
    <xf numFmtId="200" fontId="93" fillId="38" borderId="0" xfId="0" applyNumberFormat="1" applyFont="1" applyFill="1" applyAlignment="1">
      <alignment horizontal="center" vertical="center" wrapText="1"/>
    </xf>
    <xf numFmtId="1" fontId="11" fillId="38" borderId="0" xfId="0" applyNumberFormat="1" applyFont="1" applyFill="1" applyAlignment="1">
      <alignment horizontal="center" vertical="center"/>
    </xf>
    <xf numFmtId="0" fontId="0" fillId="38" borderId="0" xfId="0" applyFill="1" applyAlignment="1">
      <alignment horizontal="center" vertical="center"/>
    </xf>
    <xf numFmtId="2" fontId="11" fillId="38" borderId="2" xfId="0" applyNumberFormat="1" applyFont="1" applyFill="1" applyBorder="1" applyAlignment="1">
      <alignment horizontal="center" vertical="center" wrapText="1"/>
    </xf>
    <xf numFmtId="3" fontId="11" fillId="38" borderId="0" xfId="0" applyNumberFormat="1" applyFont="1" applyFill="1" applyAlignment="1">
      <alignment horizontal="center" vertical="center"/>
    </xf>
    <xf numFmtId="0" fontId="11" fillId="39" borderId="0" xfId="0" applyFont="1" applyFill="1" applyAlignment="1">
      <alignment horizontal="center" vertical="center" wrapText="1"/>
    </xf>
    <xf numFmtId="0" fontId="12" fillId="39" borderId="0" xfId="0" applyFont="1" applyFill="1" applyAlignment="1">
      <alignment horizontal="center" vertical="center"/>
    </xf>
    <xf numFmtId="0" fontId="0" fillId="0" borderId="0" xfId="0" applyAlignment="1">
      <alignment horizontal="center" vertical="center"/>
    </xf>
    <xf numFmtId="0" fontId="51" fillId="38" borderId="0" xfId="0" applyFont="1" applyFill="1" applyAlignment="1">
      <alignment horizontal="center" vertical="center"/>
    </xf>
    <xf numFmtId="0" fontId="101" fillId="0" borderId="0" xfId="0" applyFont="1" applyAlignment="1">
      <alignment horizontal="center" vertical="center"/>
    </xf>
    <xf numFmtId="0" fontId="99" fillId="38" borderId="0" xfId="0" applyFont="1" applyFill="1" applyAlignment="1">
      <alignment horizontal="center" vertical="center"/>
    </xf>
    <xf numFmtId="0" fontId="99" fillId="0" borderId="0" xfId="0" applyFont="1" applyAlignment="1">
      <alignment horizontal="center" vertical="center"/>
    </xf>
    <xf numFmtId="0" fontId="12" fillId="38" borderId="26" xfId="0" applyFont="1" applyFill="1" applyBorder="1" applyAlignment="1">
      <alignment horizontal="center" vertical="center"/>
    </xf>
    <xf numFmtId="0" fontId="72" fillId="38" borderId="32" xfId="0" applyFont="1" applyFill="1" applyBorder="1" applyAlignment="1">
      <alignment horizontal="center" vertical="center" wrapText="1"/>
    </xf>
    <xf numFmtId="0" fontId="11" fillId="39" borderId="0" xfId="0" applyFont="1" applyFill="1" applyAlignment="1">
      <alignment vertical="center"/>
    </xf>
    <xf numFmtId="0" fontId="84" fillId="0" borderId="0" xfId="3459" applyFont="1" applyAlignment="1">
      <alignment vertical="center"/>
    </xf>
    <xf numFmtId="0" fontId="99" fillId="0" borderId="0" xfId="0" applyFont="1" applyAlignment="1">
      <alignment vertical="center"/>
    </xf>
    <xf numFmtId="168" fontId="12" fillId="38" borderId="0" xfId="11657" applyFont="1" applyFill="1" applyBorder="1" applyAlignment="1">
      <alignment horizontal="center" vertical="center" wrapText="1"/>
    </xf>
    <xf numFmtId="3" fontId="12" fillId="39" borderId="0" xfId="0" applyNumberFormat="1" applyFont="1" applyFill="1" applyAlignment="1">
      <alignment horizontal="center" vertical="center" wrapText="1"/>
    </xf>
    <xf numFmtId="0" fontId="109" fillId="0" borderId="0" xfId="0" applyFont="1" applyAlignment="1">
      <alignment horizontal="center" vertical="center"/>
    </xf>
    <xf numFmtId="0" fontId="97" fillId="38" borderId="0" xfId="0" applyFont="1" applyFill="1" applyAlignment="1">
      <alignment horizontal="center"/>
    </xf>
    <xf numFmtId="3" fontId="102" fillId="0" borderId="3" xfId="0" applyNumberFormat="1" applyFont="1" applyBorder="1" applyAlignment="1">
      <alignment horizontal="center" vertical="center" wrapText="1"/>
    </xf>
    <xf numFmtId="0" fontId="11" fillId="39" borderId="7" xfId="0" applyFont="1" applyFill="1" applyBorder="1"/>
    <xf numFmtId="0" fontId="11" fillId="39" borderId="0" xfId="0" applyFont="1" applyFill="1" applyAlignment="1">
      <alignment horizontal="center" vertical="center"/>
    </xf>
    <xf numFmtId="4" fontId="72" fillId="39" borderId="0" xfId="0" applyNumberFormat="1" applyFont="1" applyFill="1" applyAlignment="1">
      <alignment horizontal="center" vertical="center" wrapText="1"/>
    </xf>
    <xf numFmtId="3" fontId="102" fillId="0" borderId="3" xfId="0" applyNumberFormat="1" applyFont="1" applyBorder="1" applyAlignment="1">
      <alignment horizontal="center" vertical="top" wrapText="1"/>
    </xf>
    <xf numFmtId="3" fontId="102" fillId="0" borderId="3" xfId="0" applyNumberFormat="1" applyFont="1" applyBorder="1" applyAlignment="1">
      <alignment vertical="top" wrapText="1"/>
    </xf>
    <xf numFmtId="3" fontId="12" fillId="0" borderId="0" xfId="0" applyNumberFormat="1" applyFont="1" applyAlignment="1">
      <alignment horizontal="center" vertical="center" wrapText="1"/>
    </xf>
    <xf numFmtId="3" fontId="94" fillId="38" borderId="0" xfId="3716" applyNumberFormat="1" applyFont="1" applyFill="1" applyAlignment="1">
      <alignment horizontal="center" vertical="center" wrapText="1"/>
    </xf>
    <xf numFmtId="3" fontId="94" fillId="0" borderId="0" xfId="3716" applyNumberFormat="1" applyFont="1" applyAlignment="1">
      <alignment horizontal="center" vertical="center" wrapText="1"/>
    </xf>
    <xf numFmtId="0" fontId="84" fillId="0" borderId="0" xfId="3459" applyFont="1" applyAlignment="1">
      <alignment horizontal="center" vertical="center"/>
    </xf>
    <xf numFmtId="0" fontId="86" fillId="0" borderId="0" xfId="0" applyFont="1" applyAlignment="1">
      <alignment horizontal="center" vertical="center"/>
    </xf>
    <xf numFmtId="0" fontId="71" fillId="38" borderId="0" xfId="0" applyFont="1" applyFill="1" applyAlignment="1">
      <alignment horizontal="center" vertical="center"/>
    </xf>
    <xf numFmtId="0" fontId="12" fillId="0" borderId="0" xfId="0" applyFont="1" applyAlignment="1">
      <alignment horizontal="center" vertical="center" wrapText="1"/>
    </xf>
    <xf numFmtId="3" fontId="72" fillId="38" borderId="0" xfId="0" applyNumberFormat="1" applyFont="1" applyFill="1" applyAlignment="1">
      <alignment horizontal="center" vertical="center" wrapText="1"/>
    </xf>
    <xf numFmtId="169" fontId="12" fillId="38" borderId="0" xfId="0" applyNumberFormat="1" applyFont="1" applyFill="1" applyAlignment="1">
      <alignment horizontal="center" vertical="center"/>
    </xf>
    <xf numFmtId="0" fontId="11" fillId="38" borderId="1" xfId="0" applyFont="1" applyFill="1" applyBorder="1" applyAlignment="1">
      <alignment horizontal="left" vertical="center" wrapText="1"/>
    </xf>
    <xf numFmtId="0" fontId="12" fillId="0" borderId="1" xfId="0" applyFont="1" applyBorder="1" applyAlignment="1">
      <alignment horizontal="left" vertical="center" wrapText="1"/>
    </xf>
    <xf numFmtId="1" fontId="12" fillId="0" borderId="1" xfId="0" applyNumberFormat="1" applyFont="1" applyBorder="1" applyAlignment="1">
      <alignment horizontal="center" vertical="center"/>
    </xf>
    <xf numFmtId="3" fontId="72" fillId="0" borderId="1" xfId="0" applyNumberFormat="1" applyFont="1" applyBorder="1" applyAlignment="1">
      <alignment horizontal="center" vertical="center" wrapText="1"/>
    </xf>
    <xf numFmtId="0" fontId="93" fillId="0" borderId="1" xfId="0" applyFont="1" applyBorder="1" applyAlignment="1" applyProtection="1">
      <alignment horizontal="left" vertical="center" wrapText="1"/>
      <protection hidden="1"/>
    </xf>
    <xf numFmtId="0" fontId="0" fillId="38" borderId="0" xfId="0" applyFill="1" applyAlignment="1">
      <alignment horizontal="left" vertical="center"/>
    </xf>
    <xf numFmtId="0" fontId="12" fillId="0" borderId="0" xfId="0" applyFont="1" applyAlignment="1">
      <alignment horizontal="center" vertical="center"/>
    </xf>
    <xf numFmtId="4" fontId="11" fillId="0" borderId="0" xfId="0" applyNumberFormat="1" applyFont="1" applyAlignment="1">
      <alignment vertical="center"/>
    </xf>
    <xf numFmtId="1" fontId="12" fillId="38" borderId="1" xfId="0" applyNumberFormat="1" applyFont="1" applyFill="1" applyBorder="1" applyAlignment="1">
      <alignment horizontal="center" vertical="center"/>
    </xf>
    <xf numFmtId="0" fontId="86" fillId="0" borderId="0" xfId="0" applyFont="1" applyAlignment="1">
      <alignment horizontal="center" wrapText="1"/>
    </xf>
    <xf numFmtId="3" fontId="91" fillId="38" borderId="1" xfId="0" applyNumberFormat="1" applyFont="1" applyFill="1" applyBorder="1" applyAlignment="1">
      <alignment horizontal="center" vertical="center" wrapText="1"/>
    </xf>
    <xf numFmtId="1" fontId="11" fillId="0" borderId="1" xfId="0" applyNumberFormat="1" applyFont="1" applyBorder="1" applyAlignment="1">
      <alignment horizontal="center" vertical="center"/>
    </xf>
    <xf numFmtId="3" fontId="12" fillId="0" borderId="1" xfId="0" applyNumberFormat="1" applyFont="1" applyBorder="1" applyAlignment="1">
      <alignment horizontal="center" vertical="center"/>
    </xf>
    <xf numFmtId="168" fontId="12" fillId="38" borderId="1" xfId="11657" applyFont="1" applyFill="1" applyBorder="1" applyAlignment="1">
      <alignment horizontal="center" vertical="center" wrapText="1"/>
    </xf>
    <xf numFmtId="168" fontId="11" fillId="39" borderId="3" xfId="11657" applyFont="1" applyFill="1" applyBorder="1" applyAlignment="1">
      <alignment horizontal="center" vertical="center" wrapText="1"/>
    </xf>
    <xf numFmtId="204" fontId="11" fillId="38" borderId="1" xfId="0" applyNumberFormat="1" applyFont="1" applyFill="1" applyBorder="1" applyAlignment="1">
      <alignment horizontal="center" vertical="center"/>
    </xf>
    <xf numFmtId="4" fontId="0" fillId="0" borderId="0" xfId="0" applyNumberFormat="1"/>
    <xf numFmtId="4" fontId="0" fillId="0" borderId="0" xfId="0" applyNumberFormat="1" applyAlignment="1">
      <alignment vertical="center"/>
    </xf>
    <xf numFmtId="3" fontId="87" fillId="0" borderId="0" xfId="0" applyNumberFormat="1" applyFont="1"/>
    <xf numFmtId="4" fontId="11" fillId="0" borderId="1" xfId="0" applyNumberFormat="1" applyFont="1" applyBorder="1" applyAlignment="1">
      <alignment horizontal="center" vertical="center"/>
    </xf>
    <xf numFmtId="0" fontId="11" fillId="0" borderId="0" xfId="0" applyFont="1" applyAlignment="1">
      <alignment horizontal="center" vertical="center"/>
    </xf>
    <xf numFmtId="1" fontId="11" fillId="0" borderId="0" xfId="0" applyNumberFormat="1" applyFont="1" applyAlignment="1">
      <alignment horizontal="center" vertical="center"/>
    </xf>
    <xf numFmtId="2" fontId="11" fillId="0" borderId="0" xfId="0" applyNumberFormat="1" applyFont="1" applyAlignment="1">
      <alignment horizontal="center" vertical="center"/>
    </xf>
    <xf numFmtId="0" fontId="86" fillId="0" borderId="0" xfId="0" applyFont="1" applyAlignment="1">
      <alignment vertical="center"/>
    </xf>
    <xf numFmtId="0" fontId="128" fillId="0" borderId="0" xfId="0" applyFont="1" applyAlignment="1">
      <alignment vertical="center"/>
    </xf>
    <xf numFmtId="0" fontId="87" fillId="0" borderId="0" xfId="0" applyFont="1" applyAlignment="1">
      <alignment vertical="center"/>
    </xf>
    <xf numFmtId="1" fontId="112" fillId="0" borderId="1" xfId="0" applyNumberFormat="1" applyFont="1" applyBorder="1" applyAlignment="1">
      <alignment horizontal="center" vertical="center"/>
    </xf>
    <xf numFmtId="0" fontId="86" fillId="0" borderId="26" xfId="0" applyFont="1" applyBorder="1" applyAlignment="1">
      <alignment horizontal="center" vertical="center" wrapText="1"/>
    </xf>
    <xf numFmtId="4" fontId="12" fillId="38" borderId="27" xfId="0" applyNumberFormat="1" applyFont="1" applyFill="1" applyBorder="1" applyAlignment="1">
      <alignment horizontal="center" vertical="center"/>
    </xf>
    <xf numFmtId="4" fontId="12" fillId="38" borderId="1" xfId="0" applyNumberFormat="1" applyFont="1" applyFill="1" applyBorder="1" applyAlignment="1">
      <alignment horizontal="center" vertical="center"/>
    </xf>
    <xf numFmtId="4" fontId="11" fillId="0" borderId="0" xfId="0" applyNumberFormat="1" applyFont="1"/>
    <xf numFmtId="4" fontId="109" fillId="0" borderId="1" xfId="0" applyNumberFormat="1" applyFont="1" applyBorder="1" applyAlignment="1">
      <alignment horizontal="center" vertical="center"/>
    </xf>
    <xf numFmtId="3" fontId="12" fillId="38" borderId="27" xfId="3459" applyNumberFormat="1" applyFont="1" applyFill="1" applyBorder="1" applyAlignment="1" applyProtection="1">
      <alignment horizontal="center" vertical="center" wrapText="1"/>
      <protection locked="0"/>
    </xf>
    <xf numFmtId="3" fontId="11" fillId="38" borderId="3" xfId="0" applyNumberFormat="1" applyFont="1" applyFill="1" applyBorder="1" applyAlignment="1">
      <alignment horizontal="center" vertical="center"/>
    </xf>
    <xf numFmtId="3" fontId="12" fillId="0" borderId="2" xfId="0" applyNumberFormat="1" applyFont="1" applyBorder="1" applyAlignment="1">
      <alignment horizontal="center" vertical="center" wrapText="1"/>
    </xf>
    <xf numFmtId="0" fontId="12" fillId="38" borderId="3" xfId="0" applyFont="1" applyFill="1" applyBorder="1" applyAlignment="1">
      <alignment vertical="center"/>
    </xf>
    <xf numFmtId="0" fontId="12" fillId="38" borderId="2" xfId="0" applyFont="1" applyFill="1" applyBorder="1" applyAlignment="1">
      <alignment vertical="center" wrapText="1"/>
    </xf>
    <xf numFmtId="4" fontId="93" fillId="0" borderId="1" xfId="0" applyNumberFormat="1" applyFont="1" applyBorder="1" applyAlignment="1">
      <alignment horizontal="center" vertical="center" wrapText="1"/>
    </xf>
    <xf numFmtId="0" fontId="12" fillId="38" borderId="1" xfId="0" applyFont="1" applyFill="1" applyBorder="1" applyAlignment="1" applyProtection="1">
      <alignment horizontal="center" vertical="center" wrapText="1"/>
      <protection hidden="1"/>
    </xf>
    <xf numFmtId="0" fontId="12" fillId="38" borderId="26" xfId="0" applyFont="1" applyFill="1" applyBorder="1" applyAlignment="1" applyProtection="1">
      <alignment horizontal="left" vertical="center" wrapText="1"/>
      <protection hidden="1"/>
    </xf>
    <xf numFmtId="1" fontId="72" fillId="38" borderId="32" xfId="0" applyNumberFormat="1" applyFont="1" applyFill="1" applyBorder="1" applyAlignment="1">
      <alignment horizontal="center" vertical="center" wrapText="1"/>
    </xf>
    <xf numFmtId="0" fontId="12" fillId="38" borderId="3" xfId="0" applyFont="1" applyFill="1" applyBorder="1" applyAlignment="1">
      <alignment horizontal="center" vertical="center" wrapText="1"/>
    </xf>
    <xf numFmtId="0" fontId="12" fillId="38" borderId="1" xfId="0" applyFont="1" applyFill="1" applyBorder="1"/>
    <xf numFmtId="0" fontId="86" fillId="38" borderId="0" xfId="0" applyFont="1" applyFill="1" applyAlignment="1">
      <alignment horizontal="left" vertical="center" wrapText="1"/>
    </xf>
    <xf numFmtId="0" fontId="97" fillId="0" borderId="0" xfId="0" applyFont="1" applyAlignment="1">
      <alignment horizontal="left" vertical="center"/>
    </xf>
    <xf numFmtId="0" fontId="11" fillId="38" borderId="0" xfId="0" applyFont="1" applyFill="1" applyAlignment="1">
      <alignment horizontal="left" vertical="center"/>
    </xf>
    <xf numFmtId="0" fontId="11" fillId="39" borderId="2" xfId="0" applyFont="1" applyFill="1" applyBorder="1" applyAlignment="1">
      <alignment horizontal="left" vertical="center" wrapText="1"/>
    </xf>
    <xf numFmtId="0" fontId="71" fillId="38" borderId="0" xfId="0" applyFont="1" applyFill="1" applyAlignment="1">
      <alignment horizontal="left" vertical="center" wrapText="1"/>
    </xf>
    <xf numFmtId="0" fontId="11" fillId="39" borderId="0" xfId="0" applyFont="1" applyFill="1" applyAlignment="1">
      <alignment horizontal="left" vertical="center"/>
    </xf>
    <xf numFmtId="0" fontId="97" fillId="38" borderId="0" xfId="0" applyFont="1" applyFill="1" applyAlignment="1">
      <alignment horizontal="left" vertical="center"/>
    </xf>
    <xf numFmtId="0" fontId="0" fillId="0" borderId="0" xfId="0" applyAlignment="1">
      <alignment horizontal="left" vertical="center"/>
    </xf>
    <xf numFmtId="0" fontId="99" fillId="0" borderId="0" xfId="0" applyFont="1" applyAlignment="1">
      <alignment horizontal="left" vertical="center"/>
    </xf>
    <xf numFmtId="164" fontId="11" fillId="38" borderId="16" xfId="0" applyNumberFormat="1" applyFont="1" applyFill="1" applyBorder="1" applyAlignment="1">
      <alignment horizontal="center" vertical="center"/>
    </xf>
    <xf numFmtId="9" fontId="12" fillId="38" borderId="1" xfId="0" applyNumberFormat="1" applyFont="1" applyFill="1" applyBorder="1" applyAlignment="1">
      <alignment horizontal="center" vertical="center"/>
    </xf>
    <xf numFmtId="202" fontId="12" fillId="38" borderId="1" xfId="0" applyNumberFormat="1" applyFont="1" applyFill="1" applyBorder="1" applyAlignment="1">
      <alignment horizontal="center" vertical="center"/>
    </xf>
    <xf numFmtId="202" fontId="12" fillId="38" borderId="0" xfId="0" applyNumberFormat="1" applyFont="1" applyFill="1" applyAlignment="1">
      <alignment horizontal="center" vertical="center"/>
    </xf>
    <xf numFmtId="2" fontId="11" fillId="38" borderId="1" xfId="0" applyNumberFormat="1" applyFont="1" applyFill="1" applyBorder="1" applyAlignment="1">
      <alignment horizontal="center" vertical="center"/>
    </xf>
    <xf numFmtId="2" fontId="11" fillId="38" borderId="0" xfId="0" applyNumberFormat="1" applyFont="1" applyFill="1" applyAlignment="1">
      <alignment horizontal="center" vertical="center"/>
    </xf>
    <xf numFmtId="168" fontId="11" fillId="38" borderId="1" xfId="11657" applyFont="1" applyFill="1" applyBorder="1" applyAlignment="1">
      <alignment horizontal="center" vertical="center"/>
    </xf>
    <xf numFmtId="204" fontId="11" fillId="38" borderId="0" xfId="0" applyNumberFormat="1" applyFont="1" applyFill="1" applyAlignment="1">
      <alignment horizontal="center" vertical="center"/>
    </xf>
    <xf numFmtId="203" fontId="95" fillId="38" borderId="0" xfId="0" applyNumberFormat="1" applyFont="1" applyFill="1" applyAlignment="1">
      <alignment horizontal="center" vertical="center"/>
    </xf>
    <xf numFmtId="0" fontId="11" fillId="38" borderId="16" xfId="0" applyFont="1" applyFill="1" applyBorder="1" applyAlignment="1">
      <alignment horizontal="left" vertical="center"/>
    </xf>
    <xf numFmtId="0" fontId="11" fillId="38" borderId="3" xfId="0" applyFont="1" applyFill="1" applyBorder="1" applyAlignment="1">
      <alignment horizontal="center" vertical="center"/>
    </xf>
    <xf numFmtId="0" fontId="12" fillId="39" borderId="0" xfId="0" applyFont="1" applyFill="1" applyAlignment="1">
      <alignment horizontal="center" vertical="center" wrapText="1"/>
    </xf>
    <xf numFmtId="4" fontId="11" fillId="39" borderId="1" xfId="0" applyNumberFormat="1" applyFont="1" applyFill="1" applyBorder="1" applyAlignment="1">
      <alignment horizontal="center" vertical="center"/>
    </xf>
    <xf numFmtId="0" fontId="11" fillId="39" borderId="0" xfId="0" applyFont="1" applyFill="1" applyAlignment="1">
      <alignment horizontal="left" vertical="center" wrapText="1"/>
    </xf>
    <xf numFmtId="168" fontId="11" fillId="39" borderId="1" xfId="11657" applyFont="1" applyFill="1" applyBorder="1" applyAlignment="1">
      <alignment horizontal="center" vertical="center"/>
    </xf>
    <xf numFmtId="204" fontId="12" fillId="38" borderId="1" xfId="11657" applyNumberFormat="1" applyFont="1" applyFill="1" applyBorder="1" applyAlignment="1">
      <alignment horizontal="center" vertical="center" wrapText="1"/>
    </xf>
    <xf numFmtId="0" fontId="109" fillId="0" borderId="1" xfId="0" applyFont="1" applyBorder="1" applyAlignment="1">
      <alignment horizontal="left" vertical="center"/>
    </xf>
    <xf numFmtId="0" fontId="12" fillId="38" borderId="27" xfId="0" applyFont="1" applyFill="1" applyBorder="1" applyAlignment="1" applyProtection="1">
      <alignment horizontal="center" vertical="center" wrapText="1"/>
      <protection hidden="1"/>
    </xf>
    <xf numFmtId="0" fontId="109" fillId="0" borderId="1" xfId="0" applyFont="1" applyBorder="1" applyAlignment="1">
      <alignment wrapText="1"/>
    </xf>
    <xf numFmtId="0" fontId="109" fillId="0" borderId="1" xfId="0" applyFont="1" applyBorder="1" applyAlignment="1">
      <alignment vertical="center"/>
    </xf>
    <xf numFmtId="3" fontId="11" fillId="39" borderId="1" xfId="0" applyNumberFormat="1" applyFont="1" applyFill="1" applyBorder="1" applyAlignment="1">
      <alignment horizontal="center" vertical="center" wrapText="1"/>
    </xf>
    <xf numFmtId="0" fontId="12" fillId="0" borderId="1" xfId="0" applyFont="1" applyBorder="1" applyAlignment="1" applyProtection="1">
      <alignment horizontal="center" vertical="center" wrapText="1"/>
      <protection hidden="1"/>
    </xf>
    <xf numFmtId="4" fontId="85" fillId="0" borderId="1" xfId="0" applyNumberFormat="1" applyFont="1" applyBorder="1" applyAlignment="1">
      <alignment horizontal="center" vertical="center"/>
    </xf>
    <xf numFmtId="0" fontId="100" fillId="0" borderId="0" xfId="3459" applyFont="1" applyAlignment="1">
      <alignment horizontal="left" vertical="top" wrapText="1"/>
    </xf>
    <xf numFmtId="0" fontId="85" fillId="0" borderId="1" xfId="0" applyFont="1" applyBorder="1" applyAlignment="1">
      <alignment horizontal="center" vertical="center" wrapText="1"/>
    </xf>
    <xf numFmtId="4" fontId="97" fillId="38" borderId="0" xfId="0" applyNumberFormat="1" applyFont="1" applyFill="1"/>
    <xf numFmtId="164" fontId="97" fillId="38" borderId="0" xfId="0" applyNumberFormat="1" applyFont="1" applyFill="1"/>
    <xf numFmtId="3" fontId="51" fillId="0" borderId="0" xfId="0" applyNumberFormat="1" applyFont="1"/>
    <xf numFmtId="0" fontId="12" fillId="0" borderId="26" xfId="0" applyFont="1" applyBorder="1" applyAlignment="1">
      <alignment horizontal="left" vertical="center" wrapText="1"/>
    </xf>
    <xf numFmtId="0" fontId="11" fillId="39" borderId="2" xfId="0" applyFont="1" applyFill="1" applyBorder="1" applyAlignment="1">
      <alignment horizontal="center" vertical="center" wrapText="1"/>
    </xf>
    <xf numFmtId="1" fontId="11" fillId="38" borderId="1" xfId="0" applyNumberFormat="1" applyFont="1" applyFill="1" applyBorder="1" applyAlignment="1">
      <alignment horizontal="center" vertical="center"/>
    </xf>
    <xf numFmtId="4" fontId="109" fillId="0" borderId="0" xfId="0" applyNumberFormat="1" applyFont="1" applyAlignment="1">
      <alignment horizontal="center" vertical="center"/>
    </xf>
    <xf numFmtId="4" fontId="12" fillId="0" borderId="26" xfId="0" applyNumberFormat="1" applyFont="1" applyBorder="1" applyAlignment="1">
      <alignment horizontal="center" vertical="center"/>
    </xf>
    <xf numFmtId="4" fontId="12" fillId="0" borderId="1" xfId="11656" applyNumberFormat="1" applyFont="1" applyFill="1" applyBorder="1" applyAlignment="1">
      <alignment horizontal="center" vertical="center"/>
    </xf>
    <xf numFmtId="0" fontId="72" fillId="0" borderId="1" xfId="0" applyFont="1" applyBorder="1" applyAlignment="1">
      <alignment horizontal="center" vertical="center"/>
    </xf>
    <xf numFmtId="1" fontId="72" fillId="0" borderId="1" xfId="0" applyNumberFormat="1" applyFont="1" applyBorder="1" applyAlignment="1">
      <alignment horizontal="center" vertical="center"/>
    </xf>
    <xf numFmtId="4" fontId="97" fillId="0" borderId="0" xfId="0" applyNumberFormat="1" applyFont="1"/>
    <xf numFmtId="4" fontId="86" fillId="38" borderId="0" xfId="0" applyNumberFormat="1" applyFont="1" applyFill="1" applyAlignment="1">
      <alignment horizontal="center" vertical="center" wrapText="1"/>
    </xf>
    <xf numFmtId="4" fontId="89" fillId="0" borderId="0" xfId="0" applyNumberFormat="1" applyFont="1"/>
    <xf numFmtId="4" fontId="11" fillId="0" borderId="0" xfId="0" applyNumberFormat="1" applyFont="1" applyAlignment="1">
      <alignment horizontal="center" vertical="center" wrapText="1"/>
    </xf>
    <xf numFmtId="0" fontId="11" fillId="0" borderId="0" xfId="0" applyFont="1" applyAlignment="1">
      <alignment horizontal="center" vertical="center" wrapText="1"/>
    </xf>
    <xf numFmtId="4" fontId="12" fillId="0" borderId="0" xfId="0" applyNumberFormat="1" applyFont="1" applyAlignment="1">
      <alignment horizontal="center" vertical="center"/>
    </xf>
    <xf numFmtId="3" fontId="0" fillId="0" borderId="0" xfId="0" applyNumberFormat="1"/>
    <xf numFmtId="205" fontId="12" fillId="38" borderId="51" xfId="3582" applyNumberFormat="1" applyFont="1" applyFill="1" applyBorder="1" applyAlignment="1">
      <alignment horizontal="center" vertical="center"/>
    </xf>
    <xf numFmtId="3" fontId="135" fillId="38" borderId="0" xfId="0" applyNumberFormat="1" applyFont="1" applyFill="1" applyAlignment="1">
      <alignment horizontal="center" vertical="center" wrapText="1"/>
    </xf>
    <xf numFmtId="3" fontId="97" fillId="38" borderId="0" xfId="0" applyNumberFormat="1" applyFont="1" applyFill="1"/>
    <xf numFmtId="3" fontId="135" fillId="0" borderId="0" xfId="0" applyNumberFormat="1" applyFont="1" applyAlignment="1">
      <alignment horizontal="center" vertical="center" wrapText="1"/>
    </xf>
    <xf numFmtId="3" fontId="135" fillId="0" borderId="0" xfId="0" applyNumberFormat="1" applyFont="1" applyAlignment="1">
      <alignment horizontal="center" vertical="center"/>
    </xf>
    <xf numFmtId="0" fontId="135" fillId="0" borderId="0" xfId="0" applyFont="1" applyAlignment="1">
      <alignment horizontal="center" vertical="center" wrapText="1"/>
    </xf>
    <xf numFmtId="4" fontId="12" fillId="0" borderId="27" xfId="0" applyNumberFormat="1" applyFont="1" applyBorder="1" applyAlignment="1">
      <alignment horizontal="center" vertical="center" wrapText="1"/>
    </xf>
    <xf numFmtId="4" fontId="12" fillId="38" borderId="32" xfId="0" applyNumberFormat="1" applyFont="1" applyFill="1" applyBorder="1" applyAlignment="1">
      <alignment horizontal="center" vertical="center" wrapText="1"/>
    </xf>
    <xf numFmtId="4" fontId="71" fillId="38" borderId="3" xfId="6337" applyNumberFormat="1" applyFont="1" applyFill="1" applyBorder="1" applyAlignment="1">
      <alignment horizontal="center" vertical="center" wrapText="1"/>
    </xf>
    <xf numFmtId="4" fontId="72" fillId="0" borderId="27" xfId="0" applyNumberFormat="1" applyFont="1" applyBorder="1" applyAlignment="1">
      <alignment horizontal="center" vertical="center" wrapText="1"/>
    </xf>
    <xf numFmtId="4" fontId="11" fillId="38" borderId="2" xfId="0" applyNumberFormat="1" applyFont="1" applyFill="1" applyBorder="1" applyAlignment="1">
      <alignment horizontal="center" vertical="center" wrapText="1"/>
    </xf>
    <xf numFmtId="0" fontId="12" fillId="38" borderId="51" xfId="0" applyFont="1" applyFill="1" applyBorder="1"/>
    <xf numFmtId="1" fontId="72" fillId="38" borderId="51" xfId="0" applyNumberFormat="1" applyFont="1" applyFill="1" applyBorder="1" applyAlignment="1">
      <alignment horizontal="center" vertical="center" wrapText="1"/>
    </xf>
    <xf numFmtId="4" fontId="12" fillId="0" borderId="51" xfId="0" applyNumberFormat="1" applyFont="1" applyBorder="1" applyAlignment="1">
      <alignment horizontal="center" vertical="center" wrapText="1"/>
    </xf>
    <xf numFmtId="49" fontId="84" fillId="41" borderId="0" xfId="0" applyNumberFormat="1" applyFont="1" applyFill="1" applyAlignment="1">
      <alignment horizontal="center" vertical="center" wrapText="1"/>
    </xf>
    <xf numFmtId="3" fontId="84" fillId="41" borderId="0" xfId="0" applyNumberFormat="1" applyFont="1" applyFill="1" applyAlignment="1">
      <alignment horizontal="center" vertical="center" wrapText="1"/>
    </xf>
    <xf numFmtId="3" fontId="51" fillId="38" borderId="0" xfId="0" applyNumberFormat="1" applyFont="1" applyFill="1" applyAlignment="1">
      <alignment horizontal="center" vertical="center" wrapText="1"/>
    </xf>
    <xf numFmtId="0" fontId="131" fillId="0" borderId="0" xfId="4987" applyFont="1"/>
    <xf numFmtId="3" fontId="129" fillId="41" borderId="0" xfId="4987" applyNumberFormat="1" applyFont="1" applyFill="1" applyAlignment="1">
      <alignment vertical="center" wrapText="1"/>
    </xf>
    <xf numFmtId="0" fontId="103" fillId="0" borderId="31" xfId="4987" applyFont="1" applyBorder="1" applyAlignment="1">
      <alignment horizontal="left" vertical="center" wrapText="1"/>
    </xf>
    <xf numFmtId="0" fontId="103" fillId="0" borderId="31" xfId="4987" applyFont="1" applyBorder="1" applyAlignment="1">
      <alignment horizontal="left" vertical="center"/>
    </xf>
    <xf numFmtId="0" fontId="127" fillId="0" borderId="31" xfId="4987" applyFont="1" applyBorder="1" applyAlignment="1">
      <alignment horizontal="left" vertical="center" wrapText="1"/>
    </xf>
    <xf numFmtId="0" fontId="127" fillId="41" borderId="31" xfId="4987" applyFont="1" applyFill="1" applyBorder="1" applyAlignment="1">
      <alignment horizontal="left" vertical="center" wrapText="1"/>
    </xf>
    <xf numFmtId="0" fontId="88" fillId="0" borderId="0" xfId="4987" applyFont="1" applyAlignment="1">
      <alignment horizontal="left" vertical="center"/>
    </xf>
    <xf numFmtId="0" fontId="113" fillId="41" borderId="0" xfId="11673" applyFont="1" applyFill="1" applyAlignment="1">
      <alignment vertical="center"/>
    </xf>
    <xf numFmtId="0" fontId="113" fillId="41" borderId="0" xfId="11673" applyFont="1" applyFill="1" applyAlignment="1">
      <alignment vertical="center" wrapText="1"/>
    </xf>
    <xf numFmtId="49" fontId="113" fillId="41" borderId="0" xfId="11673" applyNumberFormat="1" applyFont="1" applyFill="1" applyAlignment="1">
      <alignment vertical="center"/>
    </xf>
    <xf numFmtId="0" fontId="113" fillId="41" borderId="0" xfId="11673" applyFont="1" applyFill="1" applyAlignment="1">
      <alignment horizontal="center" vertical="center"/>
    </xf>
    <xf numFmtId="0" fontId="114" fillId="41" borderId="0" xfId="11673" applyFont="1" applyFill="1"/>
    <xf numFmtId="199" fontId="114" fillId="41" borderId="0" xfId="11673" applyNumberFormat="1" applyFont="1" applyFill="1"/>
    <xf numFmtId="0" fontId="10" fillId="0" borderId="0" xfId="11673"/>
    <xf numFmtId="3" fontId="113" fillId="41" borderId="0" xfId="11673" applyNumberFormat="1" applyFont="1" applyFill="1" applyAlignment="1">
      <alignment horizontal="center" vertical="center" wrapText="1"/>
    </xf>
    <xf numFmtId="3" fontId="113" fillId="41" borderId="0" xfId="11673" applyNumberFormat="1" applyFont="1" applyFill="1" applyAlignment="1">
      <alignment horizontal="left" vertical="center" wrapText="1"/>
    </xf>
    <xf numFmtId="3" fontId="115" fillId="41" borderId="0" xfId="11673" applyNumberFormat="1" applyFont="1" applyFill="1" applyAlignment="1">
      <alignment horizontal="center" vertical="center" wrapText="1"/>
    </xf>
    <xf numFmtId="3" fontId="115" fillId="41" borderId="0" xfId="11673" applyNumberFormat="1" applyFont="1" applyFill="1" applyAlignment="1">
      <alignment vertical="center" wrapText="1"/>
    </xf>
    <xf numFmtId="49" fontId="113" fillId="41" borderId="0" xfId="11673" applyNumberFormat="1" applyFont="1" applyFill="1" applyAlignment="1">
      <alignment vertical="center" wrapText="1"/>
    </xf>
    <xf numFmtId="3" fontId="113" fillId="41" borderId="0" xfId="11673" applyNumberFormat="1" applyFont="1" applyFill="1" applyAlignment="1">
      <alignment vertical="center" wrapText="1"/>
    </xf>
    <xf numFmtId="14" fontId="113" fillId="41" borderId="0" xfId="11673" applyNumberFormat="1" applyFont="1" applyFill="1" applyAlignment="1">
      <alignment vertical="center" wrapText="1"/>
    </xf>
    <xf numFmtId="0" fontId="138" fillId="53" borderId="0" xfId="11673" applyFont="1" applyFill="1" applyAlignment="1">
      <alignment vertical="center" wrapText="1"/>
    </xf>
    <xf numFmtId="3" fontId="139" fillId="41" borderId="0" xfId="11673" applyNumberFormat="1" applyFont="1" applyFill="1" applyAlignment="1">
      <alignment vertical="center" wrapText="1"/>
    </xf>
    <xf numFmtId="0" fontId="140" fillId="0" borderId="0" xfId="11673" applyFont="1"/>
    <xf numFmtId="0" fontId="131" fillId="0" borderId="0" xfId="11673" applyFont="1"/>
    <xf numFmtId="14" fontId="113" fillId="41" borderId="0" xfId="11673" applyNumberFormat="1" applyFont="1" applyFill="1" applyAlignment="1">
      <alignment horizontal="center" vertical="center" wrapText="1"/>
    </xf>
    <xf numFmtId="3" fontId="117" fillId="41" borderId="0" xfId="11673" applyNumberFormat="1" applyFont="1" applyFill="1" applyAlignment="1">
      <alignment horizontal="center" vertical="center"/>
    </xf>
    <xf numFmtId="3" fontId="117" fillId="41" borderId="0" xfId="11673" applyNumberFormat="1" applyFont="1" applyFill="1" applyAlignment="1">
      <alignment horizontal="left" vertical="center" wrapText="1"/>
    </xf>
    <xf numFmtId="3" fontId="117" fillId="41" borderId="0" xfId="11673" applyNumberFormat="1" applyFont="1" applyFill="1" applyAlignment="1">
      <alignment vertical="center"/>
    </xf>
    <xf numFmtId="49" fontId="117" fillId="41" borderId="0" xfId="11673" applyNumberFormat="1" applyFont="1" applyFill="1" applyAlignment="1">
      <alignment vertical="center"/>
    </xf>
    <xf numFmtId="14" fontId="117" fillId="41" borderId="0" xfId="11673" applyNumberFormat="1" applyFont="1" applyFill="1" applyAlignment="1">
      <alignment horizontal="left" vertical="center"/>
    </xf>
    <xf numFmtId="0" fontId="122" fillId="41" borderId="0" xfId="11673" applyFont="1" applyFill="1"/>
    <xf numFmtId="0" fontId="119" fillId="41" borderId="0" xfId="11673" applyFont="1" applyFill="1" applyAlignment="1">
      <alignment horizontal="center" vertical="center"/>
    </xf>
    <xf numFmtId="0" fontId="119" fillId="0" borderId="0" xfId="11673" applyFont="1" applyAlignment="1">
      <alignment horizontal="center" vertical="center"/>
    </xf>
    <xf numFmtId="3" fontId="118" fillId="0" borderId="31" xfId="11673" applyNumberFormat="1" applyFont="1" applyBorder="1" applyAlignment="1">
      <alignment horizontal="center" vertical="center" wrapText="1"/>
    </xf>
    <xf numFmtId="199" fontId="119" fillId="0" borderId="31" xfId="11673" applyNumberFormat="1" applyFont="1" applyBorder="1" applyAlignment="1">
      <alignment horizontal="center" vertical="center" wrapText="1"/>
    </xf>
    <xf numFmtId="4" fontId="119" fillId="0" borderId="31" xfId="11673" applyNumberFormat="1" applyFont="1" applyBorder="1" applyAlignment="1">
      <alignment horizontal="center" vertical="center" wrapText="1"/>
    </xf>
    <xf numFmtId="3" fontId="119" fillId="0" borderId="31" xfId="11673" applyNumberFormat="1" applyFont="1" applyBorder="1" applyAlignment="1">
      <alignment horizontal="center" vertical="center" wrapText="1"/>
    </xf>
    <xf numFmtId="0" fontId="120" fillId="0" borderId="51" xfId="11673" applyFont="1" applyBorder="1" applyAlignment="1">
      <alignment horizontal="center" vertical="center"/>
    </xf>
    <xf numFmtId="3" fontId="120" fillId="0" borderId="51" xfId="11673" applyNumberFormat="1" applyFont="1" applyBorder="1" applyAlignment="1">
      <alignment horizontal="center" vertical="center" wrapText="1"/>
    </xf>
    <xf numFmtId="3" fontId="110" fillId="0" borderId="51" xfId="11673" applyNumberFormat="1" applyFont="1" applyBorder="1" applyAlignment="1">
      <alignment horizontal="left" vertical="center" wrapText="1"/>
    </xf>
    <xf numFmtId="0" fontId="123" fillId="41" borderId="51" xfId="11673" applyFont="1" applyFill="1" applyBorder="1" applyAlignment="1">
      <alignment horizontal="center" vertical="center" wrapText="1"/>
    </xf>
    <xf numFmtId="49" fontId="120" fillId="0" borderId="33" xfId="11673" applyNumberFormat="1" applyFont="1" applyBorder="1" applyAlignment="1">
      <alignment horizontal="center" vertical="center" wrapText="1"/>
    </xf>
    <xf numFmtId="3" fontId="120" fillId="0" borderId="31" xfId="11673" applyNumberFormat="1" applyFont="1" applyBorder="1" applyAlignment="1">
      <alignment horizontal="center" vertical="center" wrapText="1"/>
    </xf>
    <xf numFmtId="4" fontId="120" fillId="0" borderId="31" xfId="11673" applyNumberFormat="1" applyFont="1" applyBorder="1" applyAlignment="1">
      <alignment horizontal="center" vertical="center" wrapText="1"/>
    </xf>
    <xf numFmtId="3" fontId="121" fillId="51" borderId="31" xfId="11673" applyNumberFormat="1" applyFont="1" applyFill="1" applyBorder="1" applyAlignment="1">
      <alignment horizontal="center" vertical="center"/>
    </xf>
    <xf numFmtId="3" fontId="121" fillId="0" borderId="31" xfId="11673" applyNumberFormat="1" applyFont="1" applyBorder="1" applyAlignment="1">
      <alignment horizontal="center" vertical="center"/>
    </xf>
    <xf numFmtId="3" fontId="120" fillId="50" borderId="31" xfId="11673" applyNumberFormat="1" applyFont="1" applyFill="1" applyBorder="1" applyAlignment="1">
      <alignment horizontal="center" vertical="center" wrapText="1"/>
    </xf>
    <xf numFmtId="49" fontId="120" fillId="0" borderId="31" xfId="11673" applyNumberFormat="1" applyFont="1" applyBorder="1" applyAlignment="1">
      <alignment horizontal="center" vertical="center" wrapText="1"/>
    </xf>
    <xf numFmtId="169" fontId="120" fillId="0" borderId="31" xfId="11673" applyNumberFormat="1" applyFont="1" applyBorder="1" applyAlignment="1">
      <alignment horizontal="center" vertical="center" wrapText="1"/>
    </xf>
    <xf numFmtId="4" fontId="121" fillId="0" borderId="31" xfId="11673" applyNumberFormat="1" applyFont="1" applyBorder="1" applyAlignment="1">
      <alignment horizontal="center" vertical="center"/>
    </xf>
    <xf numFmtId="4" fontId="120" fillId="0" borderId="31" xfId="11673" applyNumberFormat="1" applyFont="1" applyBorder="1" applyAlignment="1">
      <alignment horizontal="center" vertical="center"/>
    </xf>
    <xf numFmtId="199" fontId="121" fillId="0" borderId="31" xfId="11673" applyNumberFormat="1" applyFont="1" applyBorder="1" applyAlignment="1">
      <alignment horizontal="center" vertical="center"/>
    </xf>
    <xf numFmtId="4" fontId="121" fillId="41" borderId="0" xfId="11673" applyNumberFormat="1" applyFont="1" applyFill="1" applyAlignment="1">
      <alignment horizontal="center" vertical="center"/>
    </xf>
    <xf numFmtId="0" fontId="121" fillId="41" borderId="0" xfId="11673" applyFont="1" applyFill="1" applyAlignment="1">
      <alignment horizontal="center" vertical="center"/>
    </xf>
    <xf numFmtId="0" fontId="120" fillId="0" borderId="51" xfId="11673" applyFont="1" applyBorder="1" applyAlignment="1">
      <alignment horizontal="left" vertical="center" wrapText="1"/>
    </xf>
    <xf numFmtId="0" fontId="103" fillId="41" borderId="51" xfId="11673" applyFont="1" applyFill="1" applyBorder="1" applyAlignment="1">
      <alignment horizontal="center" vertical="center" wrapText="1"/>
    </xf>
    <xf numFmtId="1" fontId="120" fillId="0" borderId="31" xfId="11673" applyNumberFormat="1" applyFont="1" applyBorder="1" applyAlignment="1">
      <alignment horizontal="center" vertical="center" wrapText="1"/>
    </xf>
    <xf numFmtId="3" fontId="120" fillId="51" borderId="31" xfId="11673" applyNumberFormat="1" applyFont="1" applyFill="1" applyBorder="1" applyAlignment="1">
      <alignment horizontal="center" vertical="center" wrapText="1"/>
    </xf>
    <xf numFmtId="0" fontId="103" fillId="41" borderId="51" xfId="11673" applyFont="1" applyFill="1" applyBorder="1" applyAlignment="1">
      <alignment horizontal="center" vertical="top" wrapText="1"/>
    </xf>
    <xf numFmtId="0" fontId="121" fillId="0" borderId="51" xfId="11673" applyFont="1" applyBorder="1" applyAlignment="1">
      <alignment horizontal="center" vertical="center"/>
    </xf>
    <xf numFmtId="0" fontId="121" fillId="0" borderId="51" xfId="11673" applyFont="1" applyBorder="1" applyAlignment="1">
      <alignment horizontal="left" vertical="center" wrapText="1"/>
    </xf>
    <xf numFmtId="2" fontId="121" fillId="0" borderId="31" xfId="11673" applyNumberFormat="1" applyFont="1" applyBorder="1" applyAlignment="1">
      <alignment horizontal="center" vertical="center"/>
    </xf>
    <xf numFmtId="0" fontId="110" fillId="0" borderId="51" xfId="11673" applyFont="1" applyBorder="1" applyAlignment="1">
      <alignment horizontal="left" vertical="center" wrapText="1"/>
    </xf>
    <xf numFmtId="0" fontId="51" fillId="0" borderId="51" xfId="11673" applyFont="1" applyBorder="1" applyAlignment="1">
      <alignment vertical="center"/>
    </xf>
    <xf numFmtId="0" fontId="110" fillId="41" borderId="3" xfId="11673" applyFont="1" applyFill="1" applyBorder="1" applyAlignment="1">
      <alignment horizontal="center" vertical="top" wrapText="1"/>
    </xf>
    <xf numFmtId="3" fontId="120" fillId="0" borderId="39" xfId="11673" applyNumberFormat="1" applyFont="1" applyBorder="1" applyAlignment="1">
      <alignment horizontal="center" vertical="center" wrapText="1"/>
    </xf>
    <xf numFmtId="3" fontId="120" fillId="0" borderId="40" xfId="11673" applyNumberFormat="1" applyFont="1" applyBorder="1" applyAlignment="1">
      <alignment horizontal="center" vertical="center" wrapText="1"/>
    </xf>
    <xf numFmtId="0" fontId="110" fillId="41" borderId="51" xfId="11673" applyFont="1" applyFill="1" applyBorder="1" applyAlignment="1">
      <alignment horizontal="left" vertical="center" wrapText="1"/>
    </xf>
    <xf numFmtId="3" fontId="120" fillId="0" borderId="33" xfId="11673" applyNumberFormat="1" applyFont="1" applyBorder="1" applyAlignment="1">
      <alignment horizontal="center" vertical="center" wrapText="1"/>
    </xf>
    <xf numFmtId="3" fontId="120" fillId="41" borderId="31" xfId="11673" applyNumberFormat="1" applyFont="1" applyFill="1" applyBorder="1" applyAlignment="1">
      <alignment horizontal="center" vertical="center" wrapText="1"/>
    </xf>
    <xf numFmtId="3" fontId="120" fillId="0" borderId="37" xfId="11673" applyNumberFormat="1" applyFont="1" applyBorder="1" applyAlignment="1">
      <alignment horizontal="center" vertical="center" wrapText="1"/>
    </xf>
    <xf numFmtId="49" fontId="120" fillId="0" borderId="37" xfId="11673" applyNumberFormat="1" applyFont="1" applyBorder="1" applyAlignment="1">
      <alignment horizontal="center" vertical="center" wrapText="1"/>
    </xf>
    <xf numFmtId="3" fontId="120" fillId="0" borderId="42" xfId="11673" applyNumberFormat="1" applyFont="1" applyBorder="1" applyAlignment="1">
      <alignment horizontal="center" vertical="center" wrapText="1"/>
    </xf>
    <xf numFmtId="49" fontId="120" fillId="0" borderId="51" xfId="11673" applyNumberFormat="1" applyFont="1" applyBorder="1" applyAlignment="1">
      <alignment horizontal="center" vertical="center" wrapText="1"/>
    </xf>
    <xf numFmtId="4" fontId="120" fillId="0" borderId="33" xfId="11673" applyNumberFormat="1" applyFont="1" applyBorder="1" applyAlignment="1">
      <alignment horizontal="center" vertical="center" wrapText="1"/>
    </xf>
    <xf numFmtId="4" fontId="120" fillId="0" borderId="36" xfId="11673" applyNumberFormat="1" applyFont="1" applyBorder="1" applyAlignment="1">
      <alignment horizontal="center" vertical="center" wrapText="1"/>
    </xf>
    <xf numFmtId="4" fontId="120" fillId="0" borderId="51" xfId="11673" applyNumberFormat="1" applyFont="1" applyBorder="1" applyAlignment="1">
      <alignment horizontal="center" vertical="center" wrapText="1"/>
    </xf>
    <xf numFmtId="1" fontId="120" fillId="0" borderId="33" xfId="11673" applyNumberFormat="1" applyFont="1" applyBorder="1" applyAlignment="1">
      <alignment horizontal="center" vertical="center" wrapText="1"/>
    </xf>
    <xf numFmtId="49" fontId="120" fillId="0" borderId="40" xfId="11673" applyNumberFormat="1" applyFont="1" applyBorder="1" applyAlignment="1">
      <alignment horizontal="center" vertical="center" wrapText="1"/>
    </xf>
    <xf numFmtId="4" fontId="120" fillId="0" borderId="40" xfId="11673" applyNumberFormat="1" applyFont="1" applyBorder="1" applyAlignment="1">
      <alignment horizontal="center" vertical="center" wrapText="1"/>
    </xf>
    <xf numFmtId="3" fontId="120" fillId="0" borderId="36" xfId="11673" applyNumberFormat="1" applyFont="1" applyBorder="1" applyAlignment="1">
      <alignment horizontal="center" vertical="center" wrapText="1"/>
    </xf>
    <xf numFmtId="0" fontId="51" fillId="38" borderId="51" xfId="11673" applyFont="1" applyFill="1" applyBorder="1" applyAlignment="1">
      <alignment vertical="center"/>
    </xf>
    <xf numFmtId="0" fontId="51" fillId="0" borderId="51" xfId="11673" applyFont="1" applyBorder="1" applyAlignment="1">
      <alignment horizontal="center" vertical="center" wrapText="1"/>
    </xf>
    <xf numFmtId="169" fontId="118" fillId="50" borderId="31" xfId="11673" applyNumberFormat="1" applyFont="1" applyFill="1" applyBorder="1" applyAlignment="1">
      <alignment horizontal="center" vertical="center" wrapText="1"/>
    </xf>
    <xf numFmtId="169" fontId="119" fillId="41" borderId="0" xfId="11673" applyNumberFormat="1" applyFont="1" applyFill="1" applyAlignment="1">
      <alignment horizontal="center" vertical="center"/>
    </xf>
    <xf numFmtId="0" fontId="120" fillId="0" borderId="31" xfId="11673" applyFont="1" applyBorder="1" applyAlignment="1">
      <alignment horizontal="left" vertical="center" wrapText="1"/>
    </xf>
    <xf numFmtId="0" fontId="103" fillId="41" borderId="39" xfId="11673" applyFont="1" applyFill="1" applyBorder="1" applyAlignment="1">
      <alignment horizontal="center" vertical="top" wrapText="1"/>
    </xf>
    <xf numFmtId="1" fontId="121" fillId="0" borderId="31" xfId="11673" applyNumberFormat="1" applyFont="1" applyBorder="1" applyAlignment="1">
      <alignment horizontal="center" vertical="center"/>
    </xf>
    <xf numFmtId="0" fontId="103" fillId="41" borderId="39" xfId="11673" applyFont="1" applyFill="1" applyBorder="1" applyAlignment="1">
      <alignment horizontal="center" vertical="center" wrapText="1"/>
    </xf>
    <xf numFmtId="0" fontId="120" fillId="0" borderId="37" xfId="11673" applyFont="1" applyBorder="1" applyAlignment="1">
      <alignment horizontal="left" vertical="center" wrapText="1"/>
    </xf>
    <xf numFmtId="0" fontId="103" fillId="41" borderId="53" xfId="11673" applyFont="1" applyFill="1" applyBorder="1" applyAlignment="1">
      <alignment horizontal="center" vertical="center" wrapText="1"/>
    </xf>
    <xf numFmtId="0" fontId="141" fillId="0" borderId="51" xfId="11673" applyFont="1" applyBorder="1" applyAlignment="1">
      <alignment vertical="center"/>
    </xf>
    <xf numFmtId="0" fontId="121" fillId="0" borderId="31" xfId="11673" applyFont="1" applyBorder="1" applyAlignment="1">
      <alignment horizontal="center" vertical="center"/>
    </xf>
    <xf numFmtId="0" fontId="123" fillId="0" borderId="51" xfId="11673" applyFont="1" applyBorder="1" applyAlignment="1">
      <alignment vertical="center" wrapText="1"/>
    </xf>
    <xf numFmtId="0" fontId="120" fillId="0" borderId="40" xfId="11673" applyFont="1" applyBorder="1" applyAlignment="1">
      <alignment horizontal="left" vertical="center" wrapText="1"/>
    </xf>
    <xf numFmtId="0" fontId="127" fillId="0" borderId="31" xfId="11673" applyFont="1" applyBorder="1" applyAlignment="1">
      <alignment horizontal="center" vertical="center" wrapText="1"/>
    </xf>
    <xf numFmtId="0" fontId="120" fillId="0" borderId="31" xfId="11673" applyFont="1" applyBorder="1" applyAlignment="1">
      <alignment horizontal="center" vertical="center" wrapText="1"/>
    </xf>
    <xf numFmtId="0" fontId="103" fillId="0" borderId="39" xfId="11673" applyFont="1" applyBorder="1" applyAlignment="1">
      <alignment horizontal="center" vertical="center" wrapText="1"/>
    </xf>
    <xf numFmtId="4" fontId="118" fillId="50" borderId="31" xfId="11673" applyNumberFormat="1" applyFont="1" applyFill="1" applyBorder="1" applyAlignment="1">
      <alignment horizontal="center" vertical="center" wrapText="1"/>
    </xf>
    <xf numFmtId="4" fontId="118" fillId="50" borderId="37" xfId="11673" applyNumberFormat="1" applyFont="1" applyFill="1" applyBorder="1" applyAlignment="1">
      <alignment horizontal="center" vertical="center" wrapText="1"/>
    </xf>
    <xf numFmtId="3" fontId="120" fillId="50" borderId="41" xfId="11673" applyNumberFormat="1" applyFont="1" applyFill="1" applyBorder="1" applyAlignment="1">
      <alignment horizontal="center" vertical="center" wrapText="1"/>
    </xf>
    <xf numFmtId="0" fontId="120" fillId="0" borderId="35" xfId="11673" applyFont="1" applyBorder="1" applyAlignment="1">
      <alignment horizontal="left" vertical="center" wrapText="1"/>
    </xf>
    <xf numFmtId="1" fontId="121" fillId="0" borderId="31" xfId="11673" applyNumberFormat="1" applyFont="1" applyBorder="1" applyAlignment="1">
      <alignment horizontal="center" vertical="center" wrapText="1"/>
    </xf>
    <xf numFmtId="4" fontId="120" fillId="0" borderId="37" xfId="11673" applyNumberFormat="1" applyFont="1" applyBorder="1" applyAlignment="1">
      <alignment horizontal="center" vertical="center" wrapText="1"/>
    </xf>
    <xf numFmtId="0" fontId="121" fillId="0" borderId="41" xfId="11673" applyFont="1" applyBorder="1" applyAlignment="1">
      <alignment horizontal="center" vertical="center"/>
    </xf>
    <xf numFmtId="0" fontId="103" fillId="0" borderId="51" xfId="11673" applyFont="1" applyBorder="1" applyAlignment="1">
      <alignment horizontal="center" vertical="center" wrapText="1"/>
    </xf>
    <xf numFmtId="1" fontId="120" fillId="41" borderId="31" xfId="11673" applyNumberFormat="1" applyFont="1" applyFill="1" applyBorder="1" applyAlignment="1">
      <alignment horizontal="center" vertical="center" wrapText="1"/>
    </xf>
    <xf numFmtId="0" fontId="120" fillId="60" borderId="51" xfId="11673" applyFont="1" applyFill="1" applyBorder="1" applyAlignment="1">
      <alignment vertical="center" wrapText="1"/>
    </xf>
    <xf numFmtId="0" fontId="120" fillId="0" borderId="3" xfId="11673" applyFont="1" applyBorder="1" applyAlignment="1">
      <alignment horizontal="left" vertical="center" wrapText="1"/>
    </xf>
    <xf numFmtId="0" fontId="87" fillId="53" borderId="48" xfId="11673" applyFont="1" applyFill="1" applyBorder="1" applyAlignment="1">
      <alignment horizontal="center" vertical="center" wrapText="1"/>
    </xf>
    <xf numFmtId="4" fontId="120" fillId="52" borderId="40" xfId="11673" applyNumberFormat="1" applyFont="1" applyFill="1" applyBorder="1" applyAlignment="1">
      <alignment horizontal="center" vertical="center" wrapText="1"/>
    </xf>
    <xf numFmtId="4" fontId="120" fillId="38" borderId="31" xfId="11673" applyNumberFormat="1" applyFont="1" applyFill="1" applyBorder="1" applyAlignment="1">
      <alignment horizontal="center" vertical="center" wrapText="1"/>
    </xf>
    <xf numFmtId="0" fontId="142" fillId="0" borderId="51" xfId="11673" applyFont="1" applyBorder="1" applyAlignment="1">
      <alignment horizontal="left" vertical="center" wrapText="1"/>
    </xf>
    <xf numFmtId="3" fontId="142" fillId="0" borderId="31" xfId="11673" applyNumberFormat="1" applyFont="1" applyBorder="1" applyAlignment="1">
      <alignment horizontal="center" vertical="center" wrapText="1"/>
    </xf>
    <xf numFmtId="49" fontId="142" fillId="0" borderId="31" xfId="11673" applyNumberFormat="1" applyFont="1" applyBorder="1" applyAlignment="1">
      <alignment horizontal="center" vertical="center" wrapText="1"/>
    </xf>
    <xf numFmtId="4" fontId="142" fillId="52" borderId="31" xfId="11673" applyNumberFormat="1" applyFont="1" applyFill="1" applyBorder="1" applyAlignment="1">
      <alignment horizontal="center" vertical="center" wrapText="1"/>
    </xf>
    <xf numFmtId="4" fontId="142" fillId="0" borderId="37" xfId="11673" applyNumberFormat="1" applyFont="1" applyBorder="1" applyAlignment="1">
      <alignment horizontal="center" vertical="center" wrapText="1"/>
    </xf>
    <xf numFmtId="1" fontId="142" fillId="0" borderId="37" xfId="11673" applyNumberFormat="1" applyFont="1" applyBorder="1" applyAlignment="1">
      <alignment horizontal="center" vertical="center" wrapText="1"/>
    </xf>
    <xf numFmtId="1" fontId="142" fillId="0" borderId="31" xfId="11673" applyNumberFormat="1" applyFont="1" applyBorder="1" applyAlignment="1">
      <alignment horizontal="center" vertical="center" wrapText="1"/>
    </xf>
    <xf numFmtId="3" fontId="142" fillId="51" borderId="31" xfId="11673" applyNumberFormat="1" applyFont="1" applyFill="1" applyBorder="1" applyAlignment="1">
      <alignment horizontal="center" vertical="center"/>
    </xf>
    <xf numFmtId="3" fontId="142" fillId="51" borderId="31" xfId="11673" applyNumberFormat="1" applyFont="1" applyFill="1" applyBorder="1" applyAlignment="1">
      <alignment horizontal="center" vertical="center" wrapText="1"/>
    </xf>
    <xf numFmtId="3" fontId="142" fillId="50" borderId="41" xfId="11673" applyNumberFormat="1" applyFont="1" applyFill="1" applyBorder="1" applyAlignment="1">
      <alignment horizontal="center" vertical="center" wrapText="1"/>
    </xf>
    <xf numFmtId="4" fontId="142" fillId="0" borderId="51" xfId="11673" applyNumberFormat="1" applyFont="1" applyBorder="1" applyAlignment="1">
      <alignment horizontal="center" vertical="center" wrapText="1"/>
    </xf>
    <xf numFmtId="4" fontId="142" fillId="0" borderId="31" xfId="11673" applyNumberFormat="1" applyFont="1" applyBorder="1" applyAlignment="1">
      <alignment horizontal="center" vertical="center" wrapText="1"/>
    </xf>
    <xf numFmtId="199" fontId="142" fillId="0" borderId="31" xfId="11673" applyNumberFormat="1" applyFont="1" applyBorder="1" applyAlignment="1">
      <alignment horizontal="center" vertical="center"/>
    </xf>
    <xf numFmtId="0" fontId="142" fillId="41" borderId="0" xfId="11673" applyFont="1" applyFill="1" applyAlignment="1">
      <alignment horizontal="center" vertical="center"/>
    </xf>
    <xf numFmtId="0" fontId="142" fillId="0" borderId="0" xfId="11673" applyFont="1" applyAlignment="1">
      <alignment horizontal="center" vertical="center"/>
    </xf>
    <xf numFmtId="0" fontId="103" fillId="55" borderId="53" xfId="11673" applyFont="1" applyFill="1" applyBorder="1" applyAlignment="1">
      <alignment horizontal="center" vertical="center" wrapText="1"/>
    </xf>
    <xf numFmtId="3" fontId="120" fillId="6" borderId="37" xfId="11673" applyNumberFormat="1" applyFont="1" applyFill="1" applyBorder="1" applyAlignment="1">
      <alignment horizontal="center" vertical="center" wrapText="1"/>
    </xf>
    <xf numFmtId="4" fontId="120" fillId="6" borderId="51" xfId="11673" applyNumberFormat="1" applyFont="1" applyFill="1" applyBorder="1" applyAlignment="1">
      <alignment horizontal="center" vertical="center" wrapText="1"/>
    </xf>
    <xf numFmtId="1" fontId="120" fillId="6" borderId="51" xfId="11673" applyNumberFormat="1" applyFont="1" applyFill="1" applyBorder="1" applyAlignment="1">
      <alignment horizontal="center" vertical="center" wrapText="1"/>
    </xf>
    <xf numFmtId="1" fontId="120" fillId="6" borderId="33" xfId="11673" applyNumberFormat="1" applyFont="1" applyFill="1" applyBorder="1" applyAlignment="1">
      <alignment horizontal="center" vertical="center" wrapText="1"/>
    </xf>
    <xf numFmtId="1" fontId="120" fillId="6" borderId="31" xfId="11673" applyNumberFormat="1" applyFont="1" applyFill="1" applyBorder="1" applyAlignment="1">
      <alignment horizontal="center" vertical="center" wrapText="1"/>
    </xf>
    <xf numFmtId="3" fontId="121" fillId="6" borderId="31" xfId="11673" applyNumberFormat="1" applyFont="1" applyFill="1" applyBorder="1" applyAlignment="1">
      <alignment horizontal="center" vertical="center"/>
    </xf>
    <xf numFmtId="3" fontId="120" fillId="6" borderId="31" xfId="11673" applyNumberFormat="1" applyFont="1" applyFill="1" applyBorder="1" applyAlignment="1">
      <alignment horizontal="center" vertical="center" wrapText="1"/>
    </xf>
    <xf numFmtId="4" fontId="120" fillId="6" borderId="40" xfId="11673" applyNumberFormat="1" applyFont="1" applyFill="1" applyBorder="1" applyAlignment="1">
      <alignment horizontal="center" vertical="center" wrapText="1"/>
    </xf>
    <xf numFmtId="4" fontId="120" fillId="6" borderId="31" xfId="11673" applyNumberFormat="1" applyFont="1" applyFill="1" applyBorder="1" applyAlignment="1">
      <alignment horizontal="center" vertical="center" wrapText="1"/>
    </xf>
    <xf numFmtId="49" fontId="120" fillId="6" borderId="31" xfId="11673" applyNumberFormat="1" applyFont="1" applyFill="1" applyBorder="1" applyAlignment="1">
      <alignment horizontal="center" vertical="center" wrapText="1"/>
    </xf>
    <xf numFmtId="169" fontId="120" fillId="6" borderId="31" xfId="11673" applyNumberFormat="1" applyFont="1" applyFill="1" applyBorder="1" applyAlignment="1">
      <alignment horizontal="center" vertical="center" wrapText="1"/>
    </xf>
    <xf numFmtId="4" fontId="121" fillId="6" borderId="31" xfId="11673" applyNumberFormat="1" applyFont="1" applyFill="1" applyBorder="1" applyAlignment="1">
      <alignment horizontal="center" vertical="center"/>
    </xf>
    <xf numFmtId="4" fontId="120" fillId="6" borderId="31" xfId="11673" applyNumberFormat="1" applyFont="1" applyFill="1" applyBorder="1" applyAlignment="1">
      <alignment horizontal="center" vertical="center"/>
    </xf>
    <xf numFmtId="199" fontId="121" fillId="6" borderId="31" xfId="11673" applyNumberFormat="1" applyFont="1" applyFill="1" applyBorder="1" applyAlignment="1">
      <alignment horizontal="center" vertical="center"/>
    </xf>
    <xf numFmtId="0" fontId="121" fillId="0" borderId="0" xfId="11673" applyFont="1" applyAlignment="1">
      <alignment horizontal="center" vertical="center"/>
    </xf>
    <xf numFmtId="0" fontId="103" fillId="55" borderId="51" xfId="11673" applyFont="1" applyFill="1" applyBorder="1" applyAlignment="1">
      <alignment horizontal="center" vertical="center" wrapText="1"/>
    </xf>
    <xf numFmtId="4" fontId="118" fillId="50" borderId="39" xfId="11673" applyNumberFormat="1" applyFont="1" applyFill="1" applyBorder="1" applyAlignment="1">
      <alignment horizontal="center" vertical="center" wrapText="1"/>
    </xf>
    <xf numFmtId="3" fontId="121" fillId="0" borderId="40" xfId="11673" applyNumberFormat="1" applyFont="1" applyBorder="1" applyAlignment="1">
      <alignment horizontal="center" vertical="center"/>
    </xf>
    <xf numFmtId="0" fontId="121" fillId="0" borderId="40" xfId="11673" applyFont="1" applyBorder="1" applyAlignment="1">
      <alignment horizontal="center" vertical="center"/>
    </xf>
    <xf numFmtId="0" fontId="103" fillId="41" borderId="40" xfId="11673" applyFont="1" applyFill="1" applyBorder="1" applyAlignment="1">
      <alignment horizontal="center" vertical="center" wrapText="1"/>
    </xf>
    <xf numFmtId="3" fontId="142" fillId="0" borderId="40" xfId="11673" applyNumberFormat="1" applyFont="1" applyBorder="1" applyAlignment="1">
      <alignment horizontal="center" vertical="center" wrapText="1"/>
    </xf>
    <xf numFmtId="0" fontId="120" fillId="41" borderId="31" xfId="11673" applyFont="1" applyFill="1" applyBorder="1" applyAlignment="1">
      <alignment horizontal="left" vertical="center" wrapText="1"/>
    </xf>
    <xf numFmtId="0" fontId="127" fillId="41" borderId="31" xfId="11673" applyFont="1" applyFill="1" applyBorder="1" applyAlignment="1">
      <alignment horizontal="center" wrapText="1"/>
    </xf>
    <xf numFmtId="0" fontId="127" fillId="41" borderId="31" xfId="11673" applyFont="1" applyFill="1" applyBorder="1" applyAlignment="1">
      <alignment horizontal="center" vertical="center" wrapText="1"/>
    </xf>
    <xf numFmtId="0" fontId="103" fillId="41" borderId="31" xfId="11673" applyFont="1" applyFill="1" applyBorder="1" applyAlignment="1">
      <alignment horizontal="center" vertical="top" wrapText="1"/>
    </xf>
    <xf numFmtId="0" fontId="121" fillId="0" borderId="31" xfId="11673" applyFont="1" applyBorder="1" applyAlignment="1">
      <alignment horizontal="left" vertical="center" wrapText="1"/>
    </xf>
    <xf numFmtId="49" fontId="120" fillId="41" borderId="31" xfId="11673" applyNumberFormat="1" applyFont="1" applyFill="1" applyBorder="1" applyAlignment="1">
      <alignment horizontal="center" vertical="center" wrapText="1"/>
    </xf>
    <xf numFmtId="4" fontId="120" fillId="41" borderId="31" xfId="11673" applyNumberFormat="1" applyFont="1" applyFill="1" applyBorder="1" applyAlignment="1">
      <alignment horizontal="center" vertical="center" wrapText="1"/>
    </xf>
    <xf numFmtId="199" fontId="120" fillId="41" borderId="31" xfId="11673" applyNumberFormat="1" applyFont="1" applyFill="1" applyBorder="1" applyAlignment="1">
      <alignment horizontal="center" vertical="center"/>
    </xf>
    <xf numFmtId="0" fontId="120" fillId="41" borderId="0" xfId="11673" applyFont="1" applyFill="1" applyAlignment="1">
      <alignment horizontal="center" vertical="center"/>
    </xf>
    <xf numFmtId="2" fontId="120" fillId="41" borderId="31" xfId="11673" applyNumberFormat="1" applyFont="1" applyFill="1" applyBorder="1" applyAlignment="1">
      <alignment horizontal="center" vertical="center"/>
    </xf>
    <xf numFmtId="199" fontId="120" fillId="0" borderId="31" xfId="11673" applyNumberFormat="1" applyFont="1" applyBorder="1" applyAlignment="1">
      <alignment horizontal="center" vertical="center"/>
    </xf>
    <xf numFmtId="0" fontId="120" fillId="0" borderId="0" xfId="11673" applyFont="1" applyAlignment="1">
      <alignment horizontal="center" vertical="center"/>
    </xf>
    <xf numFmtId="0" fontId="127" fillId="55" borderId="31" xfId="11673" applyFont="1" applyFill="1" applyBorder="1" applyAlignment="1">
      <alignment horizontal="center" vertical="center" wrapText="1"/>
    </xf>
    <xf numFmtId="3" fontId="121" fillId="61" borderId="31" xfId="11673" applyNumberFormat="1" applyFont="1" applyFill="1" applyBorder="1" applyAlignment="1">
      <alignment horizontal="center" vertical="center"/>
    </xf>
    <xf numFmtId="3" fontId="120" fillId="61" borderId="31" xfId="11673" applyNumberFormat="1" applyFont="1" applyFill="1" applyBorder="1" applyAlignment="1">
      <alignment horizontal="center" vertical="center" wrapText="1"/>
    </xf>
    <xf numFmtId="3" fontId="120" fillId="55" borderId="31" xfId="11673" applyNumberFormat="1" applyFont="1" applyFill="1" applyBorder="1" applyAlignment="1">
      <alignment horizontal="center" vertical="center" wrapText="1"/>
    </xf>
    <xf numFmtId="0" fontId="119" fillId="50" borderId="31" xfId="11673" applyFont="1" applyFill="1" applyBorder="1" applyAlignment="1">
      <alignment vertical="center"/>
    </xf>
    <xf numFmtId="0" fontId="118" fillId="50" borderId="31" xfId="11673" applyFont="1" applyFill="1" applyBorder="1" applyAlignment="1">
      <alignment vertical="center" wrapText="1"/>
    </xf>
    <xf numFmtId="49" fontId="118" fillId="50" borderId="31" xfId="11673" applyNumberFormat="1" applyFont="1" applyFill="1" applyBorder="1" applyAlignment="1">
      <alignment vertical="center" wrapText="1"/>
    </xf>
    <xf numFmtId="0" fontId="119" fillId="62" borderId="31" xfId="11673" applyFont="1" applyFill="1" applyBorder="1" applyAlignment="1">
      <alignment vertical="center"/>
    </xf>
    <xf numFmtId="0" fontId="118" fillId="62" borderId="31" xfId="11673" applyFont="1" applyFill="1" applyBorder="1" applyAlignment="1">
      <alignment vertical="center" wrapText="1"/>
    </xf>
    <xf numFmtId="49" fontId="118" fillId="62" borderId="31" xfId="11673" applyNumberFormat="1" applyFont="1" applyFill="1" applyBorder="1" applyAlignment="1">
      <alignment vertical="center" wrapText="1"/>
    </xf>
    <xf numFmtId="169" fontId="118" fillId="62" borderId="31" xfId="11673" applyNumberFormat="1" applyFont="1" applyFill="1" applyBorder="1" applyAlignment="1">
      <alignment horizontal="center" vertical="center" wrapText="1"/>
    </xf>
    <xf numFmtId="1" fontId="120" fillId="0" borderId="31" xfId="11673" applyNumberFormat="1" applyFont="1" applyBorder="1" applyAlignment="1">
      <alignment horizontal="center" vertical="center"/>
    </xf>
    <xf numFmtId="3" fontId="120" fillId="0" borderId="31" xfId="11673" applyNumberFormat="1" applyFont="1" applyBorder="1" applyAlignment="1">
      <alignment horizontal="center" vertical="center"/>
    </xf>
    <xf numFmtId="169" fontId="120" fillId="0" borderId="31" xfId="11673" applyNumberFormat="1" applyFont="1" applyBorder="1" applyAlignment="1">
      <alignment horizontal="center" vertical="center"/>
    </xf>
    <xf numFmtId="49" fontId="120" fillId="0" borderId="31" xfId="11673" applyNumberFormat="1" applyFont="1" applyBorder="1" applyAlignment="1">
      <alignment horizontal="center" vertical="center"/>
    </xf>
    <xf numFmtId="3" fontId="143" fillId="0" borderId="31" xfId="11673" applyNumberFormat="1" applyFont="1" applyBorder="1" applyAlignment="1">
      <alignment horizontal="center" vertical="center" wrapText="1"/>
    </xf>
    <xf numFmtId="3" fontId="120" fillId="41" borderId="31" xfId="11673" applyNumberFormat="1" applyFont="1" applyFill="1" applyBorder="1" applyAlignment="1">
      <alignment horizontal="center" vertical="center"/>
    </xf>
    <xf numFmtId="0" fontId="103" fillId="41" borderId="31" xfId="11673" applyFont="1" applyFill="1" applyBorder="1" applyAlignment="1">
      <alignment horizontal="center" vertical="center" wrapText="1"/>
    </xf>
    <xf numFmtId="0" fontId="123" fillId="0" borderId="0" xfId="11673" applyFont="1" applyAlignment="1">
      <alignment vertical="center"/>
    </xf>
    <xf numFmtId="49" fontId="123" fillId="0" borderId="0" xfId="11673" applyNumberFormat="1" applyFont="1" applyAlignment="1">
      <alignment horizontal="center" vertical="center"/>
    </xf>
    <xf numFmtId="3" fontId="118" fillId="50" borderId="31" xfId="11673" applyNumberFormat="1" applyFont="1" applyFill="1" applyBorder="1" applyAlignment="1">
      <alignment horizontal="center" vertical="center" wrapText="1"/>
    </xf>
    <xf numFmtId="49" fontId="118" fillId="50" borderId="31" xfId="11673" applyNumberFormat="1" applyFont="1" applyFill="1" applyBorder="1" applyAlignment="1">
      <alignment horizontal="center" vertical="center" wrapText="1"/>
    </xf>
    <xf numFmtId="49" fontId="120" fillId="52" borderId="31" xfId="11673" applyNumberFormat="1" applyFont="1" applyFill="1" applyBorder="1" applyAlignment="1">
      <alignment horizontal="center" vertical="center" wrapText="1"/>
    </xf>
    <xf numFmtId="3" fontId="120" fillId="38" borderId="31" xfId="11673" applyNumberFormat="1" applyFont="1" applyFill="1" applyBorder="1" applyAlignment="1">
      <alignment horizontal="center" vertical="center" wrapText="1"/>
    </xf>
    <xf numFmtId="4" fontId="120" fillId="52" borderId="31" xfId="11673" applyNumberFormat="1" applyFont="1" applyFill="1" applyBorder="1" applyAlignment="1">
      <alignment horizontal="center" vertical="center" wrapText="1"/>
    </xf>
    <xf numFmtId="0" fontId="103" fillId="55" borderId="31" xfId="11673" applyFont="1" applyFill="1" applyBorder="1" applyAlignment="1">
      <alignment horizontal="center" vertical="center" wrapText="1"/>
    </xf>
    <xf numFmtId="4" fontId="119" fillId="41" borderId="0" xfId="11673" applyNumberFormat="1" applyFont="1" applyFill="1" applyAlignment="1">
      <alignment horizontal="center" vertical="center"/>
    </xf>
    <xf numFmtId="3" fontId="120" fillId="0" borderId="31" xfId="11673" applyNumberFormat="1" applyFont="1" applyBorder="1" applyAlignment="1">
      <alignment horizontal="left" vertical="center" wrapText="1"/>
    </xf>
    <xf numFmtId="0" fontId="120" fillId="0" borderId="41" xfId="11673" applyFont="1" applyBorder="1" applyAlignment="1">
      <alignment horizontal="left" vertical="center" wrapText="1"/>
    </xf>
    <xf numFmtId="0" fontId="87" fillId="0" borderId="51" xfId="11673" applyFont="1" applyBorder="1" applyAlignment="1">
      <alignment horizontal="center" vertical="center" wrapText="1"/>
    </xf>
    <xf numFmtId="0" fontId="87" fillId="6" borderId="51" xfId="11673" applyFont="1" applyFill="1" applyBorder="1" applyAlignment="1">
      <alignment horizontal="center" vertical="center" wrapText="1"/>
    </xf>
    <xf numFmtId="0" fontId="118" fillId="50" borderId="37" xfId="11673" applyFont="1" applyFill="1" applyBorder="1" applyAlignment="1">
      <alignment vertical="center" wrapText="1"/>
    </xf>
    <xf numFmtId="0" fontId="118" fillId="50" borderId="47" xfId="11673" applyFont="1" applyFill="1" applyBorder="1" applyAlignment="1">
      <alignment vertical="center" wrapText="1"/>
    </xf>
    <xf numFmtId="0" fontId="120" fillId="0" borderId="47" xfId="11673" applyFont="1" applyBorder="1" applyAlignment="1">
      <alignment horizontal="left" vertical="center" wrapText="1"/>
    </xf>
    <xf numFmtId="0" fontId="103" fillId="41" borderId="53" xfId="11673" applyFont="1" applyFill="1" applyBorder="1" applyAlignment="1">
      <alignment horizontal="center" vertical="top" wrapText="1"/>
    </xf>
    <xf numFmtId="169" fontId="120" fillId="0" borderId="41" xfId="11673" applyNumberFormat="1" applyFont="1" applyBorder="1" applyAlignment="1">
      <alignment horizontal="center" vertical="center" wrapText="1"/>
    </xf>
    <xf numFmtId="0" fontId="10" fillId="0" borderId="51" xfId="11673" applyBorder="1"/>
    <xf numFmtId="0" fontId="87" fillId="53" borderId="51" xfId="11673" applyFont="1" applyFill="1" applyBorder="1" applyAlignment="1">
      <alignment horizontal="center" vertical="center" wrapText="1"/>
    </xf>
    <xf numFmtId="169" fontId="120" fillId="6" borderId="41" xfId="11673" applyNumberFormat="1" applyFont="1" applyFill="1" applyBorder="1" applyAlignment="1">
      <alignment horizontal="center" vertical="center" wrapText="1"/>
    </xf>
    <xf numFmtId="0" fontId="118" fillId="50" borderId="40" xfId="11673" applyFont="1" applyFill="1" applyBorder="1" applyAlignment="1">
      <alignment vertical="center" wrapText="1"/>
    </xf>
    <xf numFmtId="0" fontId="120" fillId="0" borderId="31" xfId="11673" applyFont="1" applyBorder="1" applyAlignment="1">
      <alignment vertical="center" wrapText="1"/>
    </xf>
    <xf numFmtId="3" fontId="123" fillId="0" borderId="37" xfId="11673" applyNumberFormat="1" applyFont="1" applyBorder="1" applyAlignment="1">
      <alignment horizontal="center" vertical="center"/>
    </xf>
    <xf numFmtId="0" fontId="123" fillId="0" borderId="35" xfId="11673" applyFont="1" applyBorder="1" applyAlignment="1">
      <alignment horizontal="center" vertical="center"/>
    </xf>
    <xf numFmtId="0" fontId="118" fillId="0" borderId="33" xfId="11673" applyFont="1" applyBorder="1" applyAlignment="1">
      <alignment vertical="center" wrapText="1"/>
    </xf>
    <xf numFmtId="0" fontId="118" fillId="0" borderId="31" xfId="11673" applyFont="1" applyBorder="1" applyAlignment="1">
      <alignment vertical="center" wrapText="1"/>
    </xf>
    <xf numFmtId="49" fontId="110" fillId="0" borderId="31" xfId="11673" applyNumberFormat="1" applyFont="1" applyBorder="1" applyAlignment="1">
      <alignment horizontal="center" vertical="center" wrapText="1"/>
    </xf>
    <xf numFmtId="0" fontId="110" fillId="0" borderId="31" xfId="11673" applyFont="1" applyBorder="1" applyAlignment="1">
      <alignment horizontal="center" vertical="center" wrapText="1"/>
    </xf>
    <xf numFmtId="199" fontId="110" fillId="0" borderId="31" xfId="11673" applyNumberFormat="1" applyFont="1" applyBorder="1" applyAlignment="1">
      <alignment horizontal="center" vertical="center" wrapText="1"/>
    </xf>
    <xf numFmtId="0" fontId="87" fillId="0" borderId="51" xfId="11673" applyFont="1" applyBorder="1" applyAlignment="1">
      <alignment horizontal="left" vertical="center" wrapText="1"/>
    </xf>
    <xf numFmtId="199" fontId="118" fillId="0" borderId="31" xfId="11673" applyNumberFormat="1" applyFont="1" applyBorder="1" applyAlignment="1">
      <alignment horizontal="center" vertical="center" wrapText="1"/>
    </xf>
    <xf numFmtId="3" fontId="123" fillId="50" borderId="37" xfId="11673" applyNumberFormat="1" applyFont="1" applyFill="1" applyBorder="1" applyAlignment="1">
      <alignment horizontal="center" vertical="center"/>
    </xf>
    <xf numFmtId="0" fontId="123" fillId="50" borderId="35" xfId="11673" applyFont="1" applyFill="1" applyBorder="1" applyAlignment="1">
      <alignment horizontal="center" vertical="center"/>
    </xf>
    <xf numFmtId="0" fontId="123" fillId="6" borderId="51" xfId="11673" applyFont="1" applyFill="1" applyBorder="1" applyAlignment="1">
      <alignment horizontal="left" vertical="center" wrapText="1"/>
    </xf>
    <xf numFmtId="0" fontId="110" fillId="50" borderId="51" xfId="11673" applyFont="1" applyFill="1" applyBorder="1" applyAlignment="1">
      <alignment vertical="center" wrapText="1"/>
    </xf>
    <xf numFmtId="0" fontId="110" fillId="50" borderId="31" xfId="11673" applyFont="1" applyFill="1" applyBorder="1" applyAlignment="1">
      <alignment horizontal="center" vertical="center" wrapText="1"/>
    </xf>
    <xf numFmtId="49" fontId="110" fillId="50" borderId="31" xfId="11673" applyNumberFormat="1" applyFont="1" applyFill="1" applyBorder="1" applyAlignment="1">
      <alignment horizontal="center" vertical="center" wrapText="1"/>
    </xf>
    <xf numFmtId="4" fontId="120" fillId="55" borderId="31" xfId="11673" applyNumberFormat="1" applyFont="1" applyFill="1" applyBorder="1" applyAlignment="1">
      <alignment horizontal="center" vertical="center" wrapText="1"/>
    </xf>
    <xf numFmtId="199" fontId="118" fillId="50" borderId="31" xfId="11673" applyNumberFormat="1" applyFont="1" applyFill="1" applyBorder="1" applyAlignment="1">
      <alignment horizontal="center" vertical="center" wrapText="1"/>
    </xf>
    <xf numFmtId="0" fontId="119" fillId="50" borderId="37" xfId="11673" applyFont="1" applyFill="1" applyBorder="1" applyAlignment="1">
      <alignment vertical="center"/>
    </xf>
    <xf numFmtId="0" fontId="119" fillId="50" borderId="35" xfId="11673" applyFont="1" applyFill="1" applyBorder="1" applyAlignment="1">
      <alignment vertical="center"/>
    </xf>
    <xf numFmtId="3" fontId="121" fillId="0" borderId="37" xfId="11673" applyNumberFormat="1" applyFont="1" applyBorder="1" applyAlignment="1">
      <alignment horizontal="center" vertical="center"/>
    </xf>
    <xf numFmtId="0" fontId="121" fillId="0" borderId="37" xfId="11673" applyFont="1" applyBorder="1" applyAlignment="1">
      <alignment horizontal="center" vertical="center"/>
    </xf>
    <xf numFmtId="3" fontId="121" fillId="0" borderId="51" xfId="11673" applyNumberFormat="1" applyFont="1" applyBorder="1" applyAlignment="1">
      <alignment horizontal="center" vertical="center"/>
    </xf>
    <xf numFmtId="0" fontId="120" fillId="41" borderId="51" xfId="11673" applyFont="1" applyFill="1" applyBorder="1" applyAlignment="1">
      <alignment horizontal="left" vertical="center" wrapText="1"/>
    </xf>
    <xf numFmtId="3" fontId="120" fillId="41" borderId="51" xfId="11673" applyNumberFormat="1" applyFont="1" applyFill="1" applyBorder="1" applyAlignment="1">
      <alignment horizontal="center" vertical="center" wrapText="1"/>
    </xf>
    <xf numFmtId="49" fontId="120" fillId="41" borderId="33" xfId="11673" applyNumberFormat="1" applyFont="1" applyFill="1" applyBorder="1" applyAlignment="1">
      <alignment horizontal="center" vertical="center" wrapText="1"/>
    </xf>
    <xf numFmtId="199" fontId="120" fillId="41" borderId="31" xfId="11673" applyNumberFormat="1" applyFont="1" applyFill="1" applyBorder="1" applyAlignment="1">
      <alignment horizontal="center" vertical="center" wrapText="1"/>
    </xf>
    <xf numFmtId="169" fontId="120" fillId="41" borderId="31" xfId="11673" applyNumberFormat="1" applyFont="1" applyFill="1" applyBorder="1" applyAlignment="1">
      <alignment horizontal="center" vertical="center" wrapText="1"/>
    </xf>
    <xf numFmtId="4" fontId="120" fillId="41" borderId="31" xfId="11673" applyNumberFormat="1" applyFont="1" applyFill="1" applyBorder="1" applyAlignment="1">
      <alignment horizontal="center" vertical="center"/>
    </xf>
    <xf numFmtId="49" fontId="120" fillId="41" borderId="31" xfId="11673" applyNumberFormat="1" applyFont="1" applyFill="1" applyBorder="1" applyAlignment="1">
      <alignment horizontal="center" vertical="center"/>
    </xf>
    <xf numFmtId="199" fontId="121" fillId="41" borderId="31" xfId="11673" applyNumberFormat="1" applyFont="1" applyFill="1" applyBorder="1" applyAlignment="1">
      <alignment horizontal="center" vertical="center"/>
    </xf>
    <xf numFmtId="0" fontId="120" fillId="41" borderId="51" xfId="11673" applyFont="1" applyFill="1" applyBorder="1" applyAlignment="1">
      <alignment horizontal="center" vertical="center" wrapText="1"/>
    </xf>
    <xf numFmtId="3" fontId="120" fillId="63" borderId="51" xfId="11673" applyNumberFormat="1" applyFont="1" applyFill="1" applyBorder="1" applyAlignment="1">
      <alignment horizontal="center" vertical="center" wrapText="1"/>
    </xf>
    <xf numFmtId="0" fontId="123" fillId="41" borderId="51" xfId="11673" applyFont="1" applyFill="1" applyBorder="1" applyAlignment="1">
      <alignment horizontal="center" vertical="top" wrapText="1"/>
    </xf>
    <xf numFmtId="0" fontId="51" fillId="0" borderId="51" xfId="11673" applyFont="1" applyBorder="1" applyAlignment="1">
      <alignment vertical="center" wrapText="1"/>
    </xf>
    <xf numFmtId="0" fontId="141" fillId="0" borderId="51" xfId="11673" applyFont="1" applyBorder="1" applyAlignment="1">
      <alignment vertical="center" wrapText="1"/>
    </xf>
    <xf numFmtId="0" fontId="51" fillId="0" borderId="51" xfId="11673" applyFont="1" applyBorder="1" applyAlignment="1">
      <alignment wrapText="1"/>
    </xf>
    <xf numFmtId="0" fontId="51" fillId="53" borderId="51" xfId="11673" applyFont="1" applyFill="1" applyBorder="1" applyAlignment="1">
      <alignment vertical="center" wrapText="1"/>
    </xf>
    <xf numFmtId="0" fontId="127" fillId="41" borderId="51" xfId="11673" applyFont="1" applyFill="1" applyBorder="1" applyAlignment="1">
      <alignment vertical="top" wrapText="1"/>
    </xf>
    <xf numFmtId="3" fontId="123" fillId="51" borderId="31" xfId="11673" applyNumberFormat="1" applyFont="1" applyFill="1" applyBorder="1" applyAlignment="1">
      <alignment horizontal="center" vertical="center"/>
    </xf>
    <xf numFmtId="0" fontId="120" fillId="41" borderId="31" xfId="11673" applyFont="1" applyFill="1" applyBorder="1" applyAlignment="1">
      <alignment horizontal="center" vertical="center" wrapText="1"/>
    </xf>
    <xf numFmtId="0" fontId="119" fillId="50" borderId="41" xfId="11673" applyFont="1" applyFill="1" applyBorder="1" applyAlignment="1">
      <alignment vertical="center"/>
    </xf>
    <xf numFmtId="0" fontId="119" fillId="50" borderId="33" xfId="11673" applyFont="1" applyFill="1" applyBorder="1" applyAlignment="1">
      <alignment vertical="center"/>
    </xf>
    <xf numFmtId="0" fontId="118" fillId="50" borderId="38" xfId="11673" applyFont="1" applyFill="1" applyBorder="1" applyAlignment="1">
      <alignment horizontal="left" vertical="center" wrapText="1"/>
    </xf>
    <xf numFmtId="0" fontId="118" fillId="50" borderId="34" xfId="11673" applyFont="1" applyFill="1" applyBorder="1" applyAlignment="1">
      <alignment vertical="center" wrapText="1"/>
    </xf>
    <xf numFmtId="3" fontId="118" fillId="62" borderId="31" xfId="11673" applyNumberFormat="1" applyFont="1" applyFill="1" applyBorder="1" applyAlignment="1">
      <alignment vertical="center" wrapText="1"/>
    </xf>
    <xf numFmtId="4" fontId="118" fillId="62" borderId="31" xfId="11673" applyNumberFormat="1" applyFont="1" applyFill="1" applyBorder="1" applyAlignment="1">
      <alignment horizontal="center" vertical="center" wrapText="1"/>
    </xf>
    <xf numFmtId="0" fontId="121" fillId="41" borderId="0" xfId="11673" applyFont="1" applyFill="1" applyAlignment="1">
      <alignment horizontal="left" vertical="center"/>
    </xf>
    <xf numFmtId="49" fontId="121" fillId="41" borderId="0" xfId="11673" applyNumberFormat="1" applyFont="1" applyFill="1" applyAlignment="1">
      <alignment horizontal="center" vertical="center"/>
    </xf>
    <xf numFmtId="3" fontId="121" fillId="41" borderId="0" xfId="11673" applyNumberFormat="1" applyFont="1" applyFill="1" applyAlignment="1">
      <alignment horizontal="center" vertical="center"/>
    </xf>
    <xf numFmtId="49" fontId="121" fillId="41" borderId="0" xfId="11673" applyNumberFormat="1" applyFont="1" applyFill="1" applyAlignment="1">
      <alignment horizontal="center" vertical="center" wrapText="1"/>
    </xf>
    <xf numFmtId="199" fontId="121" fillId="41" borderId="0" xfId="11673" applyNumberFormat="1" applyFont="1" applyFill="1" applyAlignment="1">
      <alignment horizontal="center" vertical="center"/>
    </xf>
    <xf numFmtId="4" fontId="10" fillId="0" borderId="0" xfId="11673" applyNumberFormat="1"/>
    <xf numFmtId="199" fontId="10" fillId="0" borderId="0" xfId="11673" applyNumberFormat="1"/>
    <xf numFmtId="4" fontId="11" fillId="0" borderId="0" xfId="11673" applyNumberFormat="1" applyFont="1"/>
    <xf numFmtId="4" fontId="11" fillId="38" borderId="0" xfId="11673" applyNumberFormat="1" applyFont="1" applyFill="1"/>
    <xf numFmtId="2" fontId="121" fillId="41" borderId="0" xfId="11673" applyNumberFormat="1" applyFont="1" applyFill="1" applyAlignment="1">
      <alignment horizontal="center" vertical="center"/>
    </xf>
    <xf numFmtId="3" fontId="118" fillId="41" borderId="0" xfId="11673" applyNumberFormat="1" applyFont="1" applyFill="1" applyAlignment="1">
      <alignment horizontal="center" vertical="center" wrapText="1"/>
    </xf>
    <xf numFmtId="4" fontId="118" fillId="0" borderId="0" xfId="11673" applyNumberFormat="1" applyFont="1" applyAlignment="1">
      <alignment horizontal="center" vertical="center" wrapText="1"/>
    </xf>
    <xf numFmtId="0" fontId="119" fillId="41" borderId="0" xfId="11673" applyFont="1" applyFill="1" applyAlignment="1">
      <alignment horizontal="left" vertical="center"/>
    </xf>
    <xf numFmtId="49" fontId="118" fillId="41" borderId="0" xfId="11673" applyNumberFormat="1" applyFont="1" applyFill="1" applyAlignment="1">
      <alignment horizontal="left" vertical="center" wrapText="1"/>
    </xf>
    <xf numFmtId="4" fontId="84" fillId="41" borderId="0" xfId="11673" applyNumberFormat="1" applyFont="1" applyFill="1" applyAlignment="1">
      <alignment horizontal="center" vertical="center"/>
    </xf>
    <xf numFmtId="4" fontId="121" fillId="0" borderId="0" xfId="11673" applyNumberFormat="1" applyFont="1" applyAlignment="1">
      <alignment horizontal="center" vertical="center"/>
    </xf>
    <xf numFmtId="4" fontId="95" fillId="0" borderId="0" xfId="11673" applyNumberFormat="1" applyFont="1"/>
    <xf numFmtId="169" fontId="90" fillId="0" borderId="0" xfId="11673" applyNumberFormat="1" applyFont="1" applyAlignment="1">
      <alignment horizontal="center" vertical="center"/>
    </xf>
    <xf numFmtId="4" fontId="108" fillId="0" borderId="0" xfId="11673" applyNumberFormat="1" applyFont="1" applyAlignment="1">
      <alignment horizontal="center" vertical="center"/>
    </xf>
    <xf numFmtId="49" fontId="119" fillId="41" borderId="0" xfId="11673" applyNumberFormat="1" applyFont="1" applyFill="1" applyAlignment="1">
      <alignment horizontal="center" vertical="center"/>
    </xf>
    <xf numFmtId="199" fontId="121" fillId="0" borderId="0" xfId="11673" applyNumberFormat="1" applyFont="1" applyAlignment="1">
      <alignment horizontal="center" vertical="center"/>
    </xf>
    <xf numFmtId="169" fontId="84" fillId="0" borderId="0" xfId="11673" applyNumberFormat="1" applyFont="1" applyAlignment="1">
      <alignment horizontal="center" vertical="center"/>
    </xf>
    <xf numFmtId="0" fontId="10" fillId="0" borderId="0" xfId="11673" applyAlignment="1">
      <alignment vertical="center"/>
    </xf>
    <xf numFmtId="49" fontId="10" fillId="0" borderId="0" xfId="11673" applyNumberFormat="1"/>
    <xf numFmtId="0" fontId="12" fillId="0" borderId="51" xfId="0" applyFont="1" applyBorder="1" applyAlignment="1">
      <alignment horizontal="center" vertical="center" wrapText="1"/>
    </xf>
    <xf numFmtId="4" fontId="71" fillId="0" borderId="0" xfId="0" applyNumberFormat="1" applyFont="1" applyAlignment="1">
      <alignment horizontal="center" vertical="center" wrapText="1"/>
    </xf>
    <xf numFmtId="0" fontId="12" fillId="38" borderId="16" xfId="0" applyFont="1" applyFill="1" applyBorder="1" applyAlignment="1">
      <alignment horizontal="center" vertical="center" wrapText="1"/>
    </xf>
    <xf numFmtId="0" fontId="72" fillId="38" borderId="51" xfId="0" applyFont="1" applyFill="1" applyBorder="1" applyAlignment="1">
      <alignment horizontal="center" vertical="center" wrapText="1"/>
    </xf>
    <xf numFmtId="4" fontId="12" fillId="38" borderId="51" xfId="0" applyNumberFormat="1" applyFont="1" applyFill="1" applyBorder="1" applyAlignment="1">
      <alignment horizontal="center" vertical="center" wrapText="1"/>
    </xf>
    <xf numFmtId="4" fontId="11" fillId="38" borderId="51" xfId="0" applyNumberFormat="1" applyFont="1" applyFill="1" applyBorder="1" applyAlignment="1">
      <alignment horizontal="center" vertical="center" wrapText="1"/>
    </xf>
    <xf numFmtId="0" fontId="12" fillId="0" borderId="51" xfId="0" applyFont="1" applyBorder="1" applyAlignment="1">
      <alignment vertical="center" wrapText="1"/>
    </xf>
    <xf numFmtId="0" fontId="12" fillId="0" borderId="51" xfId="0" applyFont="1" applyBorder="1" applyAlignment="1">
      <alignment horizontal="left" wrapText="1"/>
    </xf>
    <xf numFmtId="0" fontId="12" fillId="0" borderId="51" xfId="0" applyFont="1" applyBorder="1" applyAlignment="1">
      <alignment horizontal="left" vertical="center" wrapText="1"/>
    </xf>
    <xf numFmtId="0" fontId="12" fillId="0" borderId="51" xfId="0" applyFont="1" applyBorder="1" applyAlignment="1">
      <alignment horizontal="left"/>
    </xf>
    <xf numFmtId="0" fontId="12" fillId="38" borderId="51" xfId="0" applyFont="1" applyFill="1" applyBorder="1" applyAlignment="1">
      <alignment horizontal="center" vertical="center" wrapText="1"/>
    </xf>
    <xf numFmtId="0" fontId="12" fillId="38" borderId="51" xfId="3833" applyFont="1" applyFill="1" applyBorder="1" applyAlignment="1">
      <alignment horizontal="left" vertical="center" wrapText="1"/>
    </xf>
    <xf numFmtId="0" fontId="12" fillId="38" borderId="51" xfId="3833" applyFont="1" applyFill="1" applyBorder="1" applyAlignment="1">
      <alignment horizontal="center" vertical="center" wrapText="1"/>
    </xf>
    <xf numFmtId="0" fontId="12" fillId="38" borderId="51" xfId="3833" applyFont="1" applyFill="1" applyBorder="1" applyAlignment="1">
      <alignment vertical="center" wrapText="1"/>
    </xf>
    <xf numFmtId="0" fontId="12" fillId="38" borderId="51" xfId="0" applyFont="1" applyFill="1" applyBorder="1" applyAlignment="1">
      <alignment vertical="center" wrapText="1"/>
    </xf>
    <xf numFmtId="0" fontId="12" fillId="38" borderId="51" xfId="3833" applyFont="1" applyFill="1" applyBorder="1" applyAlignment="1">
      <alignment horizontal="center" vertical="center"/>
    </xf>
    <xf numFmtId="0" fontId="12" fillId="38" borderId="51" xfId="0" applyFont="1" applyFill="1" applyBorder="1" applyAlignment="1">
      <alignment vertical="top" wrapText="1"/>
    </xf>
    <xf numFmtId="0" fontId="12" fillId="38" borderId="51" xfId="0" applyFont="1" applyFill="1" applyBorder="1" applyAlignment="1">
      <alignment horizontal="left" vertical="center" wrapText="1"/>
    </xf>
    <xf numFmtId="0" fontId="12" fillId="38" borderId="0" xfId="11665" applyFont="1" applyFill="1" applyAlignment="1">
      <alignment vertical="center" wrapText="1"/>
    </xf>
    <xf numFmtId="0" fontId="109" fillId="38" borderId="51" xfId="0" applyFont="1" applyFill="1" applyBorder="1" applyAlignment="1">
      <alignment vertical="center" wrapText="1"/>
    </xf>
    <xf numFmtId="0" fontId="12" fillId="38" borderId="54" xfId="0" applyFont="1" applyFill="1" applyBorder="1" applyAlignment="1">
      <alignment horizontal="center" vertical="center" wrapText="1"/>
    </xf>
    <xf numFmtId="0" fontId="11" fillId="39" borderId="1" xfId="0" applyFont="1" applyFill="1" applyBorder="1" applyAlignment="1">
      <alignment horizontal="center" vertical="center" wrapText="1"/>
    </xf>
    <xf numFmtId="3" fontId="11" fillId="39" borderId="2" xfId="0" applyNumberFormat="1" applyFont="1" applyFill="1" applyBorder="1" applyAlignment="1">
      <alignment horizontal="center" vertical="center" wrapText="1"/>
    </xf>
    <xf numFmtId="0" fontId="12" fillId="38" borderId="51" xfId="0" applyFont="1" applyFill="1" applyBorder="1" applyAlignment="1">
      <alignment horizontal="center" vertical="center"/>
    </xf>
    <xf numFmtId="3" fontId="12" fillId="0" borderId="56" xfId="0" applyNumberFormat="1" applyFont="1" applyBorder="1" applyAlignment="1">
      <alignment horizontal="center" vertical="center" wrapText="1"/>
    </xf>
    <xf numFmtId="4" fontId="12" fillId="39" borderId="51" xfId="0" applyNumberFormat="1" applyFont="1" applyFill="1" applyBorder="1" applyAlignment="1">
      <alignment horizontal="center" vertical="center" wrapText="1"/>
    </xf>
    <xf numFmtId="0" fontId="12" fillId="38" borderId="56" xfId="3833" applyFont="1" applyFill="1" applyBorder="1" applyAlignment="1">
      <alignment horizontal="center" vertical="center" wrapText="1"/>
    </xf>
    <xf numFmtId="0" fontId="12" fillId="39" borderId="51" xfId="0" applyFont="1" applyFill="1" applyBorder="1" applyAlignment="1">
      <alignment horizontal="center" vertical="center"/>
    </xf>
    <xf numFmtId="3" fontId="71" fillId="39" borderId="51" xfId="0" applyNumberFormat="1" applyFont="1" applyFill="1" applyBorder="1" applyAlignment="1">
      <alignment horizontal="center" vertical="center" wrapText="1"/>
    </xf>
    <xf numFmtId="0" fontId="11" fillId="38" borderId="51" xfId="0" applyFont="1" applyFill="1" applyBorder="1" applyAlignment="1">
      <alignment horizontal="center" vertical="center" wrapText="1"/>
    </xf>
    <xf numFmtId="0" fontId="11" fillId="38" borderId="51" xfId="0" applyFont="1" applyFill="1" applyBorder="1" applyAlignment="1">
      <alignment horizontal="left" vertical="center" wrapText="1"/>
    </xf>
    <xf numFmtId="0" fontId="11" fillId="39" borderId="51" xfId="0" applyFont="1" applyFill="1" applyBorder="1" applyAlignment="1">
      <alignment vertical="center"/>
    </xf>
    <xf numFmtId="0" fontId="12" fillId="39" borderId="51" xfId="0" applyFont="1" applyFill="1" applyBorder="1" applyAlignment="1">
      <alignment vertical="center"/>
    </xf>
    <xf numFmtId="0" fontId="11" fillId="39" borderId="51" xfId="0" applyFont="1" applyFill="1" applyBorder="1" applyAlignment="1">
      <alignment horizontal="center" vertical="center" wrapText="1"/>
    </xf>
    <xf numFmtId="2" fontId="11" fillId="39" borderId="51" xfId="0" applyNumberFormat="1" applyFont="1" applyFill="1" applyBorder="1" applyAlignment="1">
      <alignment horizontal="center" vertical="center" wrapText="1"/>
    </xf>
    <xf numFmtId="4" fontId="11" fillId="39" borderId="51" xfId="0" applyNumberFormat="1" applyFont="1" applyFill="1" applyBorder="1" applyAlignment="1">
      <alignment horizontal="center" vertical="center" wrapText="1"/>
    </xf>
    <xf numFmtId="201" fontId="11" fillId="39" borderId="51" xfId="0" applyNumberFormat="1" applyFont="1" applyFill="1" applyBorder="1" applyAlignment="1">
      <alignment horizontal="left" vertical="center" wrapText="1"/>
    </xf>
    <xf numFmtId="201" fontId="12" fillId="39" borderId="51" xfId="0" applyNumberFormat="1" applyFont="1" applyFill="1" applyBorder="1" applyAlignment="1">
      <alignment horizontal="center" vertical="center" wrapText="1"/>
    </xf>
    <xf numFmtId="169" fontId="11" fillId="39" borderId="51" xfId="0" applyNumberFormat="1" applyFont="1" applyFill="1" applyBorder="1" applyAlignment="1">
      <alignment horizontal="center" vertical="center" wrapText="1"/>
    </xf>
    <xf numFmtId="3" fontId="12" fillId="39" borderId="51" xfId="0" applyNumberFormat="1" applyFont="1" applyFill="1" applyBorder="1" applyAlignment="1">
      <alignment horizontal="center" vertical="center" wrapText="1"/>
    </xf>
    <xf numFmtId="3" fontId="11" fillId="39" borderId="51" xfId="0" applyNumberFormat="1" applyFont="1" applyFill="1" applyBorder="1" applyAlignment="1">
      <alignment horizontal="center" vertical="center" wrapText="1"/>
    </xf>
    <xf numFmtId="0" fontId="12" fillId="0" borderId="51" xfId="3833" applyFont="1" applyBorder="1" applyAlignment="1">
      <alignment horizontal="center" vertical="center" wrapText="1"/>
    </xf>
    <xf numFmtId="0" fontId="12" fillId="0" borderId="51" xfId="3833" applyFont="1" applyBorder="1" applyAlignment="1">
      <alignment vertical="center" wrapText="1"/>
    </xf>
    <xf numFmtId="0" fontId="12" fillId="0" borderId="51" xfId="0" applyFont="1" applyBorder="1" applyAlignment="1">
      <alignment horizontal="center" vertical="center"/>
    </xf>
    <xf numFmtId="0" fontId="12" fillId="38" borderId="51" xfId="0" applyFont="1" applyFill="1" applyBorder="1" applyAlignment="1">
      <alignment horizontal="left" vertical="center"/>
    </xf>
    <xf numFmtId="0" fontId="12" fillId="41" borderId="51" xfId="0" applyFont="1" applyFill="1" applyBorder="1" applyAlignment="1">
      <alignment horizontal="left" vertical="center" wrapText="1"/>
    </xf>
    <xf numFmtId="0" fontId="12" fillId="0" borderId="51" xfId="0" applyFont="1" applyBorder="1"/>
    <xf numFmtId="3" fontId="12" fillId="0" borderId="51" xfId="0" applyNumberFormat="1" applyFont="1" applyBorder="1" applyAlignment="1">
      <alignment horizontal="center" vertical="center" wrapText="1"/>
    </xf>
    <xf numFmtId="0" fontId="12" fillId="0" borderId="51" xfId="0" applyFont="1" applyBorder="1" applyAlignment="1">
      <alignment horizontal="center" vertical="top" wrapText="1"/>
    </xf>
    <xf numFmtId="0" fontId="12" fillId="0" borderId="51" xfId="0" applyFont="1" applyBorder="1" applyAlignment="1">
      <alignment horizontal="left" vertical="center"/>
    </xf>
    <xf numFmtId="3" fontId="12" fillId="38" borderId="51" xfId="3833" applyNumberFormat="1" applyFont="1" applyFill="1" applyBorder="1" applyAlignment="1">
      <alignment horizontal="center" vertical="center" wrapText="1"/>
    </xf>
    <xf numFmtId="3" fontId="12" fillId="38" borderId="51" xfId="3833" applyNumberFormat="1" applyFont="1" applyFill="1" applyBorder="1" applyAlignment="1">
      <alignment horizontal="center" vertical="center"/>
    </xf>
    <xf numFmtId="3" fontId="109" fillId="38" borderId="51" xfId="3833" applyNumberFormat="1" applyFont="1" applyFill="1" applyBorder="1" applyAlignment="1">
      <alignment horizontal="center" vertical="center" wrapText="1"/>
    </xf>
    <xf numFmtId="3" fontId="12" fillId="38" borderId="56" xfId="3833" applyNumberFormat="1" applyFont="1" applyFill="1" applyBorder="1" applyAlignment="1">
      <alignment horizontal="center" vertical="center" wrapText="1"/>
    </xf>
    <xf numFmtId="3" fontId="12" fillId="38" borderId="56" xfId="3833" applyNumberFormat="1" applyFont="1" applyFill="1" applyBorder="1" applyAlignment="1">
      <alignment horizontal="center" vertical="center"/>
    </xf>
    <xf numFmtId="3" fontId="12" fillId="0" borderId="51" xfId="3833" applyNumberFormat="1" applyFont="1" applyBorder="1" applyAlignment="1">
      <alignment horizontal="center" vertical="center" wrapText="1"/>
    </xf>
    <xf numFmtId="4" fontId="72" fillId="0" borderId="51" xfId="0" applyNumberFormat="1" applyFont="1" applyBorder="1" applyAlignment="1">
      <alignment horizontal="center" vertical="center" wrapText="1"/>
    </xf>
    <xf numFmtId="4" fontId="72" fillId="38" borderId="51" xfId="0" applyNumberFormat="1" applyFont="1" applyFill="1" applyBorder="1" applyAlignment="1">
      <alignment horizontal="center" vertical="center" wrapText="1"/>
    </xf>
    <xf numFmtId="4" fontId="72" fillId="0" borderId="56" xfId="0" applyNumberFormat="1" applyFont="1" applyBorder="1" applyAlignment="1">
      <alignment horizontal="center" vertical="center" wrapText="1"/>
    </xf>
    <xf numFmtId="3" fontId="12" fillId="0" borderId="51" xfId="3833" applyNumberFormat="1" applyFont="1" applyBorder="1" applyAlignment="1">
      <alignment horizontal="center" vertical="center"/>
    </xf>
    <xf numFmtId="0" fontId="11" fillId="38" borderId="54" xfId="0" applyFont="1" applyFill="1" applyBorder="1" applyAlignment="1">
      <alignment horizontal="left" vertical="center" wrapText="1"/>
    </xf>
    <xf numFmtId="0" fontId="145" fillId="0" borderId="51" xfId="0" applyFont="1" applyBorder="1" applyAlignment="1">
      <alignment wrapText="1"/>
    </xf>
    <xf numFmtId="0" fontId="12" fillId="0" borderId="54" xfId="0" applyFont="1" applyBorder="1" applyAlignment="1">
      <alignment vertical="center" wrapText="1"/>
    </xf>
    <xf numFmtId="3" fontId="11" fillId="38" borderId="7" xfId="0" applyNumberFormat="1" applyFont="1" applyFill="1" applyBorder="1" applyAlignment="1">
      <alignment vertical="center"/>
    </xf>
    <xf numFmtId="3" fontId="11" fillId="38" borderId="0" xfId="0" applyNumberFormat="1" applyFont="1" applyFill="1" applyAlignment="1">
      <alignment vertical="center"/>
    </xf>
    <xf numFmtId="4" fontId="11" fillId="38" borderId="51" xfId="0" applyNumberFormat="1" applyFont="1" applyFill="1" applyBorder="1" applyAlignment="1">
      <alignment horizontal="center" vertical="center"/>
    </xf>
    <xf numFmtId="0" fontId="12" fillId="39" borderId="51" xfId="0" applyFont="1" applyFill="1" applyBorder="1" applyAlignment="1">
      <alignment vertical="top" wrapText="1"/>
    </xf>
    <xf numFmtId="4" fontId="11" fillId="39" borderId="56" xfId="0" applyNumberFormat="1" applyFont="1" applyFill="1" applyBorder="1" applyAlignment="1">
      <alignment horizontal="center" vertical="center" wrapText="1"/>
    </xf>
    <xf numFmtId="0" fontId="12" fillId="0" borderId="3" xfId="0" applyFont="1" applyBorder="1" applyAlignment="1">
      <alignment horizontal="center" vertical="center" wrapText="1"/>
    </xf>
    <xf numFmtId="3" fontId="11" fillId="0" borderId="1" xfId="0" applyNumberFormat="1" applyFont="1" applyFill="1" applyBorder="1" applyAlignment="1">
      <alignment horizontal="center" vertical="center"/>
    </xf>
    <xf numFmtId="4" fontId="12" fillId="0" borderId="51" xfId="0" applyNumberFormat="1" applyFont="1" applyBorder="1" applyAlignment="1">
      <alignment horizontal="center" vertical="center"/>
    </xf>
    <xf numFmtId="0" fontId="12" fillId="0" borderId="51" xfId="0" applyFont="1" applyFill="1" applyBorder="1" applyAlignment="1">
      <alignment horizontal="center" vertical="center"/>
    </xf>
    <xf numFmtId="0" fontId="12" fillId="38" borderId="0" xfId="0" applyFont="1" applyFill="1" applyBorder="1" applyAlignment="1">
      <alignment horizontal="center" vertical="center"/>
    </xf>
    <xf numFmtId="0" fontId="72" fillId="0" borderId="51" xfId="0" applyFont="1" applyBorder="1" applyAlignment="1">
      <alignment horizontal="center" vertical="center" wrapText="1"/>
    </xf>
    <xf numFmtId="0" fontId="12" fillId="38" borderId="58" xfId="0" applyFont="1" applyFill="1" applyBorder="1" applyAlignment="1" applyProtection="1">
      <alignment horizontal="center" vertical="center" wrapText="1"/>
      <protection hidden="1"/>
    </xf>
    <xf numFmtId="0" fontId="72" fillId="0" borderId="56" xfId="0" applyFont="1" applyBorder="1" applyAlignment="1">
      <alignment horizontal="center" vertical="center" wrapText="1"/>
    </xf>
    <xf numFmtId="0" fontId="12" fillId="38" borderId="51" xfId="0" applyFont="1" applyFill="1" applyBorder="1" applyAlignment="1" applyProtection="1">
      <alignment horizontal="center" vertical="center" wrapText="1"/>
      <protection hidden="1"/>
    </xf>
    <xf numFmtId="0" fontId="51" fillId="0" borderId="51" xfId="0" applyFont="1" applyBorder="1" applyAlignment="1">
      <alignment vertical="center" wrapText="1"/>
    </xf>
    <xf numFmtId="3" fontId="93" fillId="38" borderId="56" xfId="0" applyNumberFormat="1" applyFont="1" applyFill="1" applyBorder="1" applyAlignment="1">
      <alignment horizontal="center" vertical="center" wrapText="1"/>
    </xf>
    <xf numFmtId="1" fontId="93" fillId="38" borderId="51" xfId="0" applyNumberFormat="1" applyFont="1" applyFill="1" applyBorder="1" applyAlignment="1">
      <alignment horizontal="center" vertical="center" wrapText="1"/>
    </xf>
    <xf numFmtId="3" fontId="93" fillId="0" borderId="3" xfId="11674" applyNumberFormat="1" applyFont="1" applyBorder="1" applyAlignment="1">
      <alignment horizontal="center" vertical="center" wrapText="1"/>
    </xf>
    <xf numFmtId="0" fontId="51" fillId="0" borderId="3" xfId="0" applyFont="1" applyBorder="1" applyAlignment="1">
      <alignment horizontal="center" vertical="center" wrapText="1"/>
    </xf>
    <xf numFmtId="3" fontId="93" fillId="38" borderId="51" xfId="0" applyNumberFormat="1" applyFont="1" applyFill="1" applyBorder="1" applyAlignment="1">
      <alignment horizontal="center" vertical="center" wrapText="1"/>
    </xf>
    <xf numFmtId="0" fontId="51" fillId="0" borderId="16" xfId="0" applyFont="1" applyBorder="1" applyAlignment="1">
      <alignment vertical="center" wrapText="1"/>
    </xf>
    <xf numFmtId="0" fontId="51" fillId="38" borderId="54" xfId="0" applyFont="1" applyFill="1" applyBorder="1" applyAlignment="1">
      <alignment vertical="center" wrapText="1"/>
    </xf>
    <xf numFmtId="0" fontId="51" fillId="38" borderId="51" xfId="0" applyFont="1" applyFill="1" applyBorder="1" applyAlignment="1">
      <alignment vertical="center" wrapText="1"/>
    </xf>
    <xf numFmtId="3" fontId="93" fillId="38" borderId="51" xfId="11674" applyNumberFormat="1" applyFont="1" applyFill="1" applyBorder="1" applyAlignment="1">
      <alignment horizontal="center" vertical="center" wrapText="1"/>
    </xf>
    <xf numFmtId="0" fontId="51" fillId="38" borderId="51" xfId="0" applyFont="1" applyFill="1" applyBorder="1" applyAlignment="1">
      <alignment horizontal="center" vertical="center" wrapText="1"/>
    </xf>
    <xf numFmtId="4" fontId="12" fillId="0" borderId="1" xfId="0" applyNumberFormat="1" applyFont="1" applyFill="1" applyBorder="1" applyAlignment="1">
      <alignment horizontal="center" vertical="center"/>
    </xf>
    <xf numFmtId="2" fontId="12" fillId="0" borderId="1" xfId="0" applyNumberFormat="1" applyFont="1" applyFill="1" applyBorder="1" applyAlignment="1">
      <alignment horizontal="center" vertical="center"/>
    </xf>
    <xf numFmtId="0" fontId="11" fillId="38" borderId="0" xfId="0" applyFont="1" applyFill="1" applyBorder="1" applyAlignment="1">
      <alignment vertical="center"/>
    </xf>
    <xf numFmtId="0" fontId="12" fillId="0" borderId="59" xfId="0" applyFont="1" applyBorder="1" applyAlignment="1">
      <alignment horizontal="center" vertical="center" wrapText="1"/>
    </xf>
    <xf numFmtId="0" fontId="12" fillId="0" borderId="54" xfId="0" applyFont="1" applyBorder="1" applyAlignment="1">
      <alignment horizontal="center" vertical="center" wrapText="1"/>
    </xf>
    <xf numFmtId="49" fontId="120" fillId="0" borderId="55" xfId="11673" applyNumberFormat="1" applyFont="1" applyBorder="1" applyAlignment="1">
      <alignment horizontal="center" vertical="center" wrapText="1"/>
    </xf>
    <xf numFmtId="3" fontId="120" fillId="0" borderId="59" xfId="11673" applyNumberFormat="1" applyFont="1" applyBorder="1" applyAlignment="1">
      <alignment horizontal="center" vertical="center" wrapText="1"/>
    </xf>
    <xf numFmtId="3" fontId="120" fillId="0" borderId="56" xfId="11673" applyNumberFormat="1" applyFont="1" applyBorder="1" applyAlignment="1">
      <alignment horizontal="center" vertical="center" wrapText="1"/>
    </xf>
    <xf numFmtId="49" fontId="120" fillId="0" borderId="58" xfId="11673" applyNumberFormat="1" applyFont="1" applyBorder="1" applyAlignment="1">
      <alignment horizontal="center" vertical="center" wrapText="1"/>
    </xf>
    <xf numFmtId="4" fontId="120" fillId="0" borderId="56" xfId="11673" applyNumberFormat="1" applyFont="1" applyBorder="1" applyAlignment="1">
      <alignment horizontal="center" vertical="center" wrapText="1"/>
    </xf>
    <xf numFmtId="3" fontId="120" fillId="0" borderId="55" xfId="11673" applyNumberFormat="1" applyFont="1" applyBorder="1" applyAlignment="1">
      <alignment horizontal="center" vertical="center" wrapText="1"/>
    </xf>
    <xf numFmtId="0" fontId="51" fillId="0" borderId="56" xfId="11673" applyFont="1" applyBorder="1" applyAlignment="1">
      <alignment horizontal="center" vertical="center" wrapText="1"/>
    </xf>
    <xf numFmtId="0" fontId="87" fillId="53" borderId="55" xfId="11673" applyFont="1" applyFill="1" applyBorder="1" applyAlignment="1">
      <alignment horizontal="center" vertical="center" wrapText="1"/>
    </xf>
    <xf numFmtId="0" fontId="123" fillId="6" borderId="56" xfId="11673" applyFont="1" applyFill="1" applyBorder="1" applyAlignment="1">
      <alignment horizontal="left" vertical="center" wrapText="1"/>
    </xf>
    <xf numFmtId="3" fontId="120" fillId="6" borderId="56" xfId="11673" applyNumberFormat="1" applyFont="1" applyFill="1" applyBorder="1" applyAlignment="1">
      <alignment horizontal="center" vertical="center" wrapText="1"/>
    </xf>
    <xf numFmtId="49" fontId="120" fillId="6" borderId="56" xfId="11673" applyNumberFormat="1" applyFont="1" applyFill="1" applyBorder="1" applyAlignment="1">
      <alignment horizontal="center" vertical="center" wrapText="1"/>
    </xf>
    <xf numFmtId="4" fontId="120" fillId="6" borderId="56" xfId="11673" applyNumberFormat="1" applyFont="1" applyFill="1" applyBorder="1" applyAlignment="1">
      <alignment horizontal="center" vertical="center" wrapText="1"/>
    </xf>
    <xf numFmtId="0" fontId="123" fillId="6" borderId="59" xfId="11673" applyFont="1" applyFill="1" applyBorder="1" applyAlignment="1">
      <alignment horizontal="left" vertical="center" wrapText="1"/>
    </xf>
    <xf numFmtId="0" fontId="51" fillId="0" borderId="54" xfId="11673" applyFont="1" applyBorder="1" applyAlignment="1">
      <alignment vertical="center"/>
    </xf>
    <xf numFmtId="0" fontId="110" fillId="0" borderId="55" xfId="11673" applyFont="1" applyBorder="1" applyAlignment="1">
      <alignment horizontal="center" vertical="center" wrapText="1"/>
    </xf>
    <xf numFmtId="0" fontId="103" fillId="0" borderId="51" xfId="11673" applyFont="1" applyBorder="1" applyAlignment="1">
      <alignment horizontal="center" vertical="top" wrapText="1"/>
    </xf>
    <xf numFmtId="0" fontId="110" fillId="6" borderId="55" xfId="11673" applyFont="1" applyFill="1" applyBorder="1" applyAlignment="1">
      <alignment horizontal="center" vertical="center" wrapText="1"/>
    </xf>
    <xf numFmtId="0" fontId="100" fillId="0" borderId="0" xfId="3459" applyFont="1" applyAlignment="1">
      <alignment horizontal="left" vertical="top" wrapText="1"/>
    </xf>
    <xf numFmtId="0" fontId="86" fillId="38" borderId="0" xfId="0" applyFont="1" applyFill="1" applyAlignment="1">
      <alignment horizontal="center" vertical="center" wrapText="1"/>
    </xf>
    <xf numFmtId="4" fontId="12" fillId="38" borderId="55" xfId="0" applyNumberFormat="1" applyFont="1" applyFill="1" applyBorder="1" applyAlignment="1">
      <alignment horizontal="center" vertical="center" wrapText="1"/>
    </xf>
    <xf numFmtId="0" fontId="11" fillId="38" borderId="0" xfId="0" applyFont="1" applyFill="1" applyAlignment="1">
      <alignment horizontal="left" vertical="center" wrapText="1"/>
    </xf>
    <xf numFmtId="0" fontId="12" fillId="38" borderId="0" xfId="0" applyFont="1" applyFill="1" applyAlignment="1">
      <alignment horizontal="left"/>
    </xf>
    <xf numFmtId="0" fontId="11" fillId="38" borderId="0" xfId="0" applyFont="1" applyFill="1" applyAlignment="1">
      <alignment horizontal="left" wrapText="1"/>
    </xf>
    <xf numFmtId="0" fontId="11" fillId="39" borderId="56" xfId="0" applyFont="1" applyFill="1" applyBorder="1" applyAlignment="1">
      <alignment horizontal="left" vertical="center" wrapText="1"/>
    </xf>
    <xf numFmtId="0" fontId="11" fillId="39" borderId="51" xfId="0" applyFont="1" applyFill="1" applyBorder="1" applyAlignment="1">
      <alignment horizontal="left" vertical="center" wrapText="1"/>
    </xf>
    <xf numFmtId="199" fontId="119" fillId="0" borderId="40" xfId="11673" applyNumberFormat="1" applyFont="1" applyBorder="1" applyAlignment="1">
      <alignment horizontal="center" vertical="center" wrapText="1"/>
    </xf>
    <xf numFmtId="0" fontId="111" fillId="0" borderId="40" xfId="11673" applyFont="1" applyBorder="1" applyAlignment="1">
      <alignment vertical="center"/>
    </xf>
    <xf numFmtId="3" fontId="118" fillId="41" borderId="0" xfId="11673" applyNumberFormat="1" applyFont="1" applyFill="1" applyAlignment="1">
      <alignment horizontal="left" vertical="center" wrapText="1"/>
    </xf>
    <xf numFmtId="0" fontId="116" fillId="0" borderId="0" xfId="11673" applyFont="1"/>
    <xf numFmtId="3" fontId="118" fillId="41" borderId="0" xfId="0" applyNumberFormat="1" applyFont="1" applyFill="1" applyAlignment="1">
      <alignment horizontal="center" vertical="center" wrapText="1"/>
    </xf>
    <xf numFmtId="0" fontId="12" fillId="38" borderId="51" xfId="0" applyFont="1" applyFill="1" applyBorder="1" applyAlignment="1">
      <alignment horizontal="center"/>
    </xf>
    <xf numFmtId="0" fontId="11" fillId="38" borderId="51" xfId="0" applyFont="1" applyFill="1" applyBorder="1" applyAlignment="1">
      <alignment horizontal="center" vertical="center"/>
    </xf>
    <xf numFmtId="204" fontId="12" fillId="38" borderId="51" xfId="11657" applyNumberFormat="1" applyFont="1" applyFill="1" applyBorder="1" applyAlignment="1">
      <alignment horizontal="center" vertical="center" wrapText="1"/>
    </xf>
    <xf numFmtId="204" fontId="97" fillId="38" borderId="0" xfId="0" applyNumberFormat="1" applyFont="1" applyFill="1"/>
    <xf numFmtId="9" fontId="12" fillId="38" borderId="51" xfId="0" applyNumberFormat="1" applyFont="1" applyFill="1" applyBorder="1" applyAlignment="1">
      <alignment horizontal="center" vertical="center"/>
    </xf>
    <xf numFmtId="202" fontId="12" fillId="38" borderId="51" xfId="0" applyNumberFormat="1" applyFont="1" applyFill="1" applyBorder="1" applyAlignment="1">
      <alignment horizontal="center" vertical="center"/>
    </xf>
    <xf numFmtId="0" fontId="91" fillId="38" borderId="51" xfId="0" applyFont="1" applyFill="1" applyBorder="1" applyAlignment="1">
      <alignment horizontal="center" vertical="center" wrapText="1"/>
    </xf>
    <xf numFmtId="3" fontId="11" fillId="38" borderId="51" xfId="0" applyNumberFormat="1" applyFont="1" applyFill="1" applyBorder="1" applyAlignment="1">
      <alignment horizontal="center" vertical="center" wrapText="1"/>
    </xf>
    <xf numFmtId="1" fontId="12" fillId="0" borderId="51" xfId="0" applyNumberFormat="1" applyFont="1" applyBorder="1" applyAlignment="1">
      <alignment horizontal="center" vertical="center" wrapText="1"/>
    </xf>
    <xf numFmtId="2" fontId="12" fillId="0" borderId="51" xfId="0" applyNumberFormat="1" applyFont="1" applyBorder="1" applyAlignment="1">
      <alignment horizontal="center" vertical="center"/>
    </xf>
    <xf numFmtId="0" fontId="11" fillId="38" borderId="54" xfId="0" applyFont="1" applyFill="1" applyBorder="1" applyAlignment="1">
      <alignment horizontal="center" vertical="center" wrapText="1"/>
    </xf>
    <xf numFmtId="169" fontId="12" fillId="38" borderId="51" xfId="0" applyNumberFormat="1" applyFont="1" applyFill="1" applyBorder="1" applyAlignment="1" applyProtection="1">
      <alignment horizontal="center" vertical="center" wrapText="1"/>
      <protection locked="0"/>
    </xf>
    <xf numFmtId="169" fontId="12" fillId="38" borderId="51" xfId="0" applyNumberFormat="1" applyFont="1" applyFill="1" applyBorder="1" applyAlignment="1">
      <alignment horizontal="center" vertical="center" wrapText="1"/>
    </xf>
    <xf numFmtId="4" fontId="93" fillId="38" borderId="51" xfId="0" applyNumberFormat="1" applyFont="1" applyFill="1" applyBorder="1" applyAlignment="1">
      <alignment horizontal="center" vertical="center" wrapText="1"/>
    </xf>
    <xf numFmtId="3" fontId="12" fillId="38" borderId="51" xfId="0" applyNumberFormat="1" applyFont="1" applyFill="1" applyBorder="1" applyAlignment="1" applyProtection="1">
      <alignment horizontal="center" vertical="center" wrapText="1"/>
      <protection locked="0"/>
    </xf>
    <xf numFmtId="0" fontId="11" fillId="38" borderId="56" xfId="0" applyFont="1" applyFill="1" applyBorder="1" applyAlignment="1">
      <alignment horizontal="left" vertical="center" wrapText="1"/>
    </xf>
    <xf numFmtId="0" fontId="11" fillId="38" borderId="56" xfId="0" applyFont="1" applyFill="1" applyBorder="1" applyAlignment="1">
      <alignment horizontal="center" vertical="center"/>
    </xf>
    <xf numFmtId="0" fontId="11" fillId="38" borderId="56" xfId="0" applyFont="1" applyFill="1" applyBorder="1" applyAlignment="1">
      <alignment horizontal="center" vertical="center" wrapText="1"/>
    </xf>
    <xf numFmtId="0" fontId="12" fillId="6" borderId="51" xfId="0" applyFont="1" applyFill="1" applyBorder="1" applyAlignment="1">
      <alignment horizontal="center" vertical="center" wrapText="1"/>
    </xf>
    <xf numFmtId="2" fontId="12" fillId="0" borderId="51" xfId="0" applyNumberFormat="1" applyFont="1" applyBorder="1" applyAlignment="1">
      <alignment horizontal="center" vertical="center" wrapText="1"/>
    </xf>
    <xf numFmtId="0" fontId="11" fillId="0" borderId="0" xfId="0" applyFont="1" applyAlignment="1">
      <alignment horizontal="left" vertical="center"/>
    </xf>
    <xf numFmtId="2" fontId="12" fillId="0" borderId="0" xfId="0" applyNumberFormat="1" applyFont="1" applyAlignment="1">
      <alignment horizontal="center" vertical="center" wrapText="1"/>
    </xf>
    <xf numFmtId="2" fontId="11" fillId="0" borderId="57" xfId="0" applyNumberFormat="1" applyFont="1" applyBorder="1" applyAlignment="1">
      <alignment horizontal="center" vertical="center" wrapText="1"/>
    </xf>
    <xf numFmtId="2" fontId="11" fillId="0" borderId="55" xfId="0" applyNumberFormat="1" applyFont="1" applyBorder="1" applyAlignment="1">
      <alignment horizontal="center" vertical="center" wrapText="1"/>
    </xf>
    <xf numFmtId="3" fontId="12" fillId="38" borderId="51" xfId="3459" applyNumberFormat="1" applyFont="1" applyFill="1" applyBorder="1" applyAlignment="1" applyProtection="1">
      <alignment horizontal="center" vertical="center" wrapText="1"/>
      <protection locked="0"/>
    </xf>
    <xf numFmtId="0" fontId="146" fillId="53" borderId="51" xfId="0" applyFont="1" applyFill="1" applyBorder="1" applyAlignment="1">
      <alignment horizontal="center" vertical="center" wrapText="1"/>
    </xf>
    <xf numFmtId="0" fontId="11" fillId="38" borderId="51" xfId="0" applyFont="1" applyFill="1" applyBorder="1" applyAlignment="1">
      <alignment horizontal="center"/>
    </xf>
    <xf numFmtId="0" fontId="11" fillId="38" borderId="51" xfId="0" applyFont="1" applyFill="1" applyBorder="1" applyAlignment="1">
      <alignment horizontal="left" vertical="center"/>
    </xf>
    <xf numFmtId="0" fontId="12" fillId="38" borderId="51" xfId="0" applyFont="1" applyFill="1" applyBorder="1" applyAlignment="1">
      <alignment vertical="center"/>
    </xf>
    <xf numFmtId="3" fontId="11" fillId="0" borderId="51" xfId="0" applyNumberFormat="1" applyFont="1" applyBorder="1" applyAlignment="1">
      <alignment horizontal="center" vertical="center" wrapText="1"/>
    </xf>
    <xf numFmtId="0" fontId="11" fillId="38" borderId="59" xfId="0" applyFont="1" applyFill="1" applyBorder="1" applyAlignment="1">
      <alignment horizontal="left" vertical="center" wrapText="1"/>
    </xf>
    <xf numFmtId="0" fontId="12" fillId="38" borderId="54" xfId="0" applyFont="1" applyFill="1" applyBorder="1" applyAlignment="1">
      <alignment horizontal="center"/>
    </xf>
    <xf numFmtId="3" fontId="12" fillId="38" borderId="51" xfId="0" applyNumberFormat="1" applyFont="1" applyFill="1" applyBorder="1" applyAlignment="1">
      <alignment horizontal="center" vertical="center" wrapText="1"/>
    </xf>
    <xf numFmtId="3" fontId="12" fillId="38" borderId="55" xfId="3459" applyNumberFormat="1" applyFont="1" applyFill="1" applyBorder="1" applyAlignment="1" applyProtection="1">
      <alignment horizontal="center" vertical="center" wrapText="1"/>
      <protection locked="0"/>
    </xf>
    <xf numFmtId="2" fontId="12" fillId="38" borderId="51" xfId="0" applyNumberFormat="1" applyFont="1" applyFill="1" applyBorder="1" applyAlignment="1">
      <alignment horizontal="center" vertical="center"/>
    </xf>
    <xf numFmtId="0" fontId="146" fillId="0" borderId="51" xfId="0" applyFont="1" applyBorder="1" applyAlignment="1">
      <alignment horizontal="center" vertical="center" wrapText="1"/>
    </xf>
    <xf numFmtId="0" fontId="12" fillId="0" borderId="16" xfId="0" applyFont="1" applyBorder="1" applyAlignment="1">
      <alignment horizontal="left" vertical="center" wrapText="1"/>
    </xf>
    <xf numFmtId="0" fontId="146" fillId="0" borderId="3" xfId="0" applyFont="1" applyBorder="1" applyAlignment="1">
      <alignment horizontal="center" vertical="center" wrapText="1"/>
    </xf>
    <xf numFmtId="3" fontId="12" fillId="38" borderId="3" xfId="0" applyNumberFormat="1" applyFont="1" applyFill="1" applyBorder="1" applyAlignment="1">
      <alignment horizontal="center" vertical="center" wrapText="1"/>
    </xf>
    <xf numFmtId="3" fontId="11" fillId="38" borderId="51" xfId="0" applyNumberFormat="1" applyFont="1" applyFill="1" applyBorder="1" applyAlignment="1">
      <alignment horizontal="center" vertical="center"/>
    </xf>
    <xf numFmtId="2" fontId="11" fillId="38" borderId="51" xfId="0" applyNumberFormat="1" applyFont="1" applyFill="1" applyBorder="1" applyAlignment="1">
      <alignment horizontal="center" vertical="center"/>
    </xf>
    <xf numFmtId="0" fontId="12" fillId="38" borderId="56" xfId="0" applyFont="1" applyFill="1" applyBorder="1" applyAlignment="1">
      <alignment horizontal="center" vertical="center" wrapText="1"/>
    </xf>
    <xf numFmtId="3" fontId="11" fillId="38" borderId="56" xfId="0" applyNumberFormat="1" applyFont="1" applyFill="1" applyBorder="1" applyAlignment="1">
      <alignment horizontal="center" vertical="center" wrapText="1"/>
    </xf>
    <xf numFmtId="3" fontId="72" fillId="0" borderId="51" xfId="0" applyNumberFormat="1" applyFont="1" applyBorder="1" applyAlignment="1">
      <alignment horizontal="center" vertical="center" wrapText="1"/>
    </xf>
    <xf numFmtId="3" fontId="12" fillId="0" borderId="51" xfId="0" applyNumberFormat="1" applyFont="1" applyBorder="1" applyAlignment="1">
      <alignment horizontal="center" vertical="center"/>
    </xf>
    <xf numFmtId="3" fontId="12" fillId="6" borderId="51" xfId="0" applyNumberFormat="1" applyFont="1" applyFill="1" applyBorder="1" applyAlignment="1">
      <alignment horizontal="center" vertical="center" wrapText="1"/>
    </xf>
    <xf numFmtId="0" fontId="12" fillId="0" borderId="51" xfId="0" applyFont="1" applyBorder="1" applyAlignment="1">
      <alignment horizontal="center" wrapText="1"/>
    </xf>
    <xf numFmtId="3" fontId="12" fillId="6" borderId="51" xfId="0" applyNumberFormat="1" applyFont="1" applyFill="1" applyBorder="1" applyAlignment="1">
      <alignment horizontal="center" vertical="center"/>
    </xf>
    <xf numFmtId="3" fontId="12" fillId="38" borderId="51" xfId="0" applyNumberFormat="1" applyFont="1" applyFill="1" applyBorder="1" applyAlignment="1">
      <alignment horizontal="center" vertical="center"/>
    </xf>
    <xf numFmtId="3" fontId="72" fillId="38" borderId="51" xfId="0" applyNumberFormat="1" applyFont="1" applyFill="1" applyBorder="1" applyAlignment="1">
      <alignment horizontal="center" vertical="center" wrapText="1"/>
    </xf>
    <xf numFmtId="0" fontId="12" fillId="0" borderId="51" xfId="11665" applyFont="1" applyFill="1" applyBorder="1" applyAlignment="1">
      <alignment horizontal="center" wrapText="1"/>
    </xf>
    <xf numFmtId="0" fontId="12" fillId="0" borderId="51" xfId="11665" applyFont="1" applyFill="1" applyBorder="1" applyAlignment="1">
      <alignment horizontal="left" vertical="center" wrapText="1"/>
    </xf>
    <xf numFmtId="0" fontId="12" fillId="0" borderId="51" xfId="11665" applyFont="1" applyFill="1" applyBorder="1" applyAlignment="1">
      <alignment horizontal="left" vertical="center"/>
    </xf>
    <xf numFmtId="0" fontId="135" fillId="0" borderId="0" xfId="0" applyFont="1" applyAlignment="1">
      <alignment horizontal="center" vertical="center"/>
    </xf>
    <xf numFmtId="201" fontId="71" fillId="39" borderId="56" xfId="0" applyNumberFormat="1" applyFont="1" applyFill="1" applyBorder="1" applyAlignment="1">
      <alignment horizontal="left" vertical="center" wrapText="1"/>
    </xf>
    <xf numFmtId="201" fontId="72" fillId="39" borderId="56" xfId="0" applyNumberFormat="1" applyFont="1" applyFill="1" applyBorder="1" applyAlignment="1">
      <alignment horizontal="center" vertical="center" wrapText="1"/>
    </xf>
    <xf numFmtId="201" fontId="72" fillId="39" borderId="32" xfId="0" applyNumberFormat="1" applyFont="1" applyFill="1" applyBorder="1" applyAlignment="1">
      <alignment horizontal="center" vertical="center" wrapText="1"/>
    </xf>
    <xf numFmtId="4" fontId="72" fillId="39" borderId="32" xfId="0" applyNumberFormat="1" applyFont="1" applyFill="1" applyBorder="1" applyAlignment="1">
      <alignment horizontal="center" vertical="center" wrapText="1"/>
    </xf>
    <xf numFmtId="169" fontId="71" fillId="39" borderId="32" xfId="0" applyNumberFormat="1" applyFont="1" applyFill="1" applyBorder="1" applyAlignment="1">
      <alignment horizontal="center" vertical="center" wrapText="1"/>
    </xf>
    <xf numFmtId="0" fontId="12" fillId="38" borderId="54" xfId="0" applyFont="1" applyFill="1" applyBorder="1" applyAlignment="1">
      <alignment horizontal="center" vertical="center"/>
    </xf>
    <xf numFmtId="0" fontId="72" fillId="38" borderId="51" xfId="0" applyFont="1" applyFill="1" applyBorder="1" applyAlignment="1">
      <alignment vertical="center" wrapText="1"/>
    </xf>
    <xf numFmtId="3" fontId="72" fillId="6" borderId="51" xfId="0" applyNumberFormat="1" applyFont="1" applyFill="1" applyBorder="1" applyAlignment="1">
      <alignment horizontal="center" vertical="center" wrapText="1"/>
    </xf>
    <xf numFmtId="0" fontId="72" fillId="38" borderId="51" xfId="0" applyFont="1" applyFill="1" applyBorder="1" applyAlignment="1">
      <alignment wrapText="1"/>
    </xf>
    <xf numFmtId="0" fontId="72" fillId="38" borderId="51" xfId="0" applyFont="1" applyFill="1" applyBorder="1" applyAlignment="1">
      <alignment horizontal="center" vertical="center"/>
    </xf>
    <xf numFmtId="201" fontId="71" fillId="39" borderId="32" xfId="0" applyNumberFormat="1" applyFont="1" applyFill="1" applyBorder="1" applyAlignment="1">
      <alignment horizontal="left" vertical="center" wrapText="1"/>
    </xf>
    <xf numFmtId="3" fontId="72" fillId="39" borderId="51" xfId="0" applyNumberFormat="1" applyFont="1" applyFill="1" applyBorder="1" applyAlignment="1">
      <alignment horizontal="center" vertical="center" wrapText="1"/>
    </xf>
    <xf numFmtId="3" fontId="71" fillId="39" borderId="32" xfId="0" applyNumberFormat="1" applyFont="1" applyFill="1" applyBorder="1" applyAlignment="1">
      <alignment horizontal="center" vertical="center" wrapText="1"/>
    </xf>
    <xf numFmtId="0" fontId="147" fillId="38" borderId="51" xfId="0" applyFont="1" applyFill="1" applyBorder="1" applyAlignment="1">
      <alignment vertical="center" wrapText="1"/>
    </xf>
    <xf numFmtId="0" fontId="147" fillId="38" borderId="51" xfId="0" applyFont="1" applyFill="1" applyBorder="1" applyAlignment="1">
      <alignment wrapText="1"/>
    </xf>
    <xf numFmtId="0" fontId="109" fillId="38" borderId="51" xfId="0" applyFont="1" applyFill="1" applyBorder="1" applyAlignment="1">
      <alignment wrapText="1"/>
    </xf>
    <xf numFmtId="0" fontId="12" fillId="0" borderId="57" xfId="0" applyFont="1" applyBorder="1" applyAlignment="1">
      <alignment horizontal="center" vertical="center" wrapText="1"/>
    </xf>
    <xf numFmtId="3" fontId="12" fillId="0" borderId="55" xfId="0" applyNumberFormat="1" applyFont="1" applyBorder="1" applyAlignment="1">
      <alignment horizontal="center" vertical="center" wrapText="1"/>
    </xf>
    <xf numFmtId="0" fontId="12" fillId="39" borderId="56" xfId="0" applyFont="1" applyFill="1" applyBorder="1" applyAlignment="1">
      <alignment vertical="center"/>
    </xf>
    <xf numFmtId="0" fontId="11" fillId="39" borderId="56" xfId="0" applyFont="1" applyFill="1" applyBorder="1" applyAlignment="1">
      <alignment horizontal="center" vertical="center" wrapText="1"/>
    </xf>
    <xf numFmtId="2" fontId="11" fillId="39" borderId="56" xfId="0" applyNumberFormat="1" applyFont="1" applyFill="1" applyBorder="1" applyAlignment="1">
      <alignment horizontal="center" vertical="center" wrapText="1"/>
    </xf>
    <xf numFmtId="2" fontId="71" fillId="39" borderId="56" xfId="0" applyNumberFormat="1" applyFont="1" applyFill="1" applyBorder="1" applyAlignment="1">
      <alignment horizontal="center" vertical="center" wrapText="1"/>
    </xf>
    <xf numFmtId="3" fontId="12" fillId="38" borderId="55" xfId="0" applyNumberFormat="1" applyFont="1" applyFill="1" applyBorder="1" applyAlignment="1">
      <alignment horizontal="center" vertical="center" wrapText="1"/>
    </xf>
    <xf numFmtId="0" fontId="71" fillId="38" borderId="16" xfId="0" applyFont="1" applyFill="1" applyBorder="1" applyAlignment="1">
      <alignment horizontal="left" vertical="center" wrapText="1"/>
    </xf>
    <xf numFmtId="200" fontId="93" fillId="38" borderId="3" xfId="0" applyNumberFormat="1" applyFont="1" applyFill="1" applyBorder="1" applyAlignment="1">
      <alignment horizontal="center" vertical="center" wrapText="1"/>
    </xf>
    <xf numFmtId="2" fontId="12" fillId="38" borderId="3" xfId="0" applyNumberFormat="1" applyFont="1" applyFill="1" applyBorder="1" applyAlignment="1">
      <alignment horizontal="center" vertical="center"/>
    </xf>
    <xf numFmtId="4" fontId="12" fillId="38" borderId="3" xfId="0" applyNumberFormat="1" applyFont="1" applyFill="1" applyBorder="1" applyAlignment="1">
      <alignment horizontal="center" vertical="center" wrapText="1"/>
    </xf>
    <xf numFmtId="3" fontId="71" fillId="0" borderId="3" xfId="0" applyNumberFormat="1" applyFont="1" applyBorder="1" applyAlignment="1">
      <alignment horizontal="center" vertical="center" wrapText="1"/>
    </xf>
    <xf numFmtId="3" fontId="11" fillId="39" borderId="7" xfId="0" applyNumberFormat="1" applyFont="1" applyFill="1" applyBorder="1" applyAlignment="1">
      <alignment vertical="center"/>
    </xf>
    <xf numFmtId="3" fontId="11" fillId="39" borderId="0" xfId="0" applyNumberFormat="1" applyFont="1" applyFill="1" applyAlignment="1">
      <alignment vertical="center"/>
    </xf>
    <xf numFmtId="3" fontId="11" fillId="39" borderId="0" xfId="0" applyNumberFormat="1" applyFont="1" applyFill="1" applyAlignment="1">
      <alignment horizontal="center" vertical="center"/>
    </xf>
    <xf numFmtId="0" fontId="12" fillId="38" borderId="51" xfId="0" applyFont="1" applyFill="1" applyBorder="1" applyAlignment="1">
      <alignment horizontal="right" vertical="top" wrapText="1"/>
    </xf>
    <xf numFmtId="0" fontId="12" fillId="38" borderId="54" xfId="0" applyFont="1" applyFill="1" applyBorder="1" applyAlignment="1">
      <alignment horizontal="left" vertical="center" wrapText="1"/>
    </xf>
    <xf numFmtId="0" fontId="12" fillId="38" borderId="56" xfId="0" applyFont="1" applyFill="1" applyBorder="1" applyAlignment="1">
      <alignment vertical="center" wrapText="1"/>
    </xf>
    <xf numFmtId="2" fontId="11" fillId="38" borderId="56" xfId="0" applyNumberFormat="1" applyFont="1" applyFill="1" applyBorder="1" applyAlignment="1">
      <alignment horizontal="center" vertical="center" wrapText="1"/>
    </xf>
    <xf numFmtId="4" fontId="11" fillId="38" borderId="56" xfId="0" applyNumberFormat="1" applyFont="1" applyFill="1" applyBorder="1" applyAlignment="1">
      <alignment horizontal="center" vertical="center" wrapText="1"/>
    </xf>
    <xf numFmtId="0" fontId="12" fillId="38" borderId="54" xfId="0" applyFont="1" applyFill="1" applyBorder="1" applyAlignment="1">
      <alignment horizontal="center" vertical="top" wrapText="1"/>
    </xf>
    <xf numFmtId="4" fontId="12" fillId="0" borderId="55" xfId="0" applyNumberFormat="1" applyFont="1" applyBorder="1" applyAlignment="1">
      <alignment horizontal="center" vertical="center" wrapText="1"/>
    </xf>
    <xf numFmtId="0" fontId="11" fillId="0" borderId="32" xfId="0" applyFont="1" applyBorder="1" applyAlignment="1">
      <alignment horizontal="left" vertical="center" wrapText="1"/>
    </xf>
    <xf numFmtId="4" fontId="72" fillId="0" borderId="55" xfId="0" applyNumberFormat="1" applyFont="1" applyBorder="1" applyAlignment="1">
      <alignment horizontal="center" vertical="center" wrapText="1"/>
    </xf>
    <xf numFmtId="4" fontId="72" fillId="6" borderId="55" xfId="0" applyNumberFormat="1" applyFont="1" applyFill="1" applyBorder="1" applyAlignment="1">
      <alignment horizontal="center" vertical="center" wrapText="1"/>
    </xf>
    <xf numFmtId="0" fontId="71" fillId="38" borderId="32" xfId="0" applyFont="1" applyFill="1" applyBorder="1" applyAlignment="1">
      <alignment horizontal="left" vertical="center" wrapText="1"/>
    </xf>
    <xf numFmtId="0" fontId="72" fillId="38" borderId="3" xfId="0" applyFont="1" applyFill="1" applyBorder="1" applyAlignment="1">
      <alignment horizontal="center" vertical="center" wrapText="1"/>
    </xf>
    <xf numFmtId="4" fontId="11" fillId="38" borderId="3" xfId="0" applyNumberFormat="1" applyFont="1" applyFill="1" applyBorder="1" applyAlignment="1">
      <alignment horizontal="center" vertical="center" wrapText="1"/>
    </xf>
    <xf numFmtId="0" fontId="72" fillId="38" borderId="57" xfId="0" applyFont="1" applyFill="1" applyBorder="1" applyAlignment="1">
      <alignment horizontal="center" vertical="center" wrapText="1"/>
    </xf>
    <xf numFmtId="0" fontId="51" fillId="0" borderId="54" xfId="0" applyFont="1" applyBorder="1" applyAlignment="1">
      <alignment horizontal="center" vertical="center" wrapText="1"/>
    </xf>
    <xf numFmtId="0" fontId="71" fillId="38" borderId="3" xfId="0" applyFont="1" applyFill="1" applyBorder="1" applyAlignment="1">
      <alignment horizontal="left" vertical="center" wrapText="1"/>
    </xf>
    <xf numFmtId="0" fontId="71" fillId="38" borderId="3" xfId="0" applyFont="1" applyFill="1" applyBorder="1" applyAlignment="1">
      <alignment horizontal="center" vertical="center" wrapText="1"/>
    </xf>
    <xf numFmtId="200" fontId="93" fillId="38" borderId="51" xfId="0" applyNumberFormat="1" applyFont="1" applyFill="1" applyBorder="1" applyAlignment="1">
      <alignment horizontal="center" vertical="center" wrapText="1"/>
    </xf>
    <xf numFmtId="4" fontId="71" fillId="0" borderId="3" xfId="0" applyNumberFormat="1" applyFont="1" applyBorder="1" applyAlignment="1">
      <alignment horizontal="center" vertical="center" wrapText="1"/>
    </xf>
    <xf numFmtId="4" fontId="11" fillId="39" borderId="51" xfId="0" applyNumberFormat="1" applyFont="1" applyFill="1" applyBorder="1" applyAlignment="1">
      <alignment horizontal="center" vertical="center"/>
    </xf>
    <xf numFmtId="168" fontId="11" fillId="38" borderId="51" xfId="11657" applyFont="1" applyFill="1" applyBorder="1" applyAlignment="1">
      <alignment horizontal="center" vertical="center"/>
    </xf>
    <xf numFmtId="4" fontId="12" fillId="38" borderId="54" xfId="0" applyNumberFormat="1" applyFont="1" applyFill="1" applyBorder="1" applyAlignment="1">
      <alignment horizontal="center" vertical="center"/>
    </xf>
    <xf numFmtId="4" fontId="12" fillId="38" borderId="55" xfId="0" applyNumberFormat="1" applyFont="1" applyFill="1" applyBorder="1" applyAlignment="1">
      <alignment horizontal="center" vertical="center"/>
    </xf>
    <xf numFmtId="4" fontId="12" fillId="0" borderId="54" xfId="0" applyNumberFormat="1" applyFont="1" applyBorder="1" applyAlignment="1">
      <alignment horizontal="center" vertical="center"/>
    </xf>
    <xf numFmtId="4" fontId="12" fillId="0" borderId="51" xfId="11656" applyNumberFormat="1" applyFont="1" applyFill="1" applyBorder="1" applyAlignment="1">
      <alignment horizontal="center" vertical="center"/>
    </xf>
    <xf numFmtId="2" fontId="12" fillId="38" borderId="51" xfId="0" applyNumberFormat="1" applyFont="1" applyFill="1" applyBorder="1" applyAlignment="1">
      <alignment horizontal="center" vertical="center" wrapText="1"/>
    </xf>
    <xf numFmtId="4" fontId="11" fillId="0" borderId="51" xfId="0" applyNumberFormat="1" applyFont="1" applyBorder="1" applyAlignment="1">
      <alignment horizontal="center" vertical="center"/>
    </xf>
    <xf numFmtId="0" fontId="11" fillId="0" borderId="51" xfId="0" applyFont="1" applyBorder="1" applyAlignment="1">
      <alignment horizontal="center" vertical="center" wrapText="1"/>
    </xf>
    <xf numFmtId="49" fontId="12" fillId="38" borderId="51" xfId="0" applyNumberFormat="1" applyFont="1" applyFill="1" applyBorder="1" applyAlignment="1">
      <alignment horizontal="center" vertical="center"/>
    </xf>
    <xf numFmtId="3" fontId="12" fillId="38" borderId="54" xfId="0" applyNumberFormat="1" applyFont="1" applyFill="1" applyBorder="1" applyAlignment="1">
      <alignment horizontal="center" vertical="center"/>
    </xf>
    <xf numFmtId="2" fontId="109" fillId="0" borderId="51" xfId="0" applyNumberFormat="1" applyFont="1" applyBorder="1" applyAlignment="1">
      <alignment horizontal="center" vertical="center"/>
    </xf>
    <xf numFmtId="4" fontId="12" fillId="38" borderId="51" xfId="0" applyNumberFormat="1" applyFont="1" applyFill="1" applyBorder="1" applyAlignment="1">
      <alignment horizontal="center" vertical="center"/>
    </xf>
    <xf numFmtId="0" fontId="12" fillId="38" borderId="56" xfId="0" applyFont="1" applyFill="1" applyBorder="1" applyAlignment="1">
      <alignment horizontal="left" vertical="center"/>
    </xf>
    <xf numFmtId="4" fontId="12" fillId="0" borderId="56" xfId="0" applyNumberFormat="1" applyFont="1" applyBorder="1" applyAlignment="1">
      <alignment horizontal="center" vertical="center"/>
    </xf>
    <xf numFmtId="4" fontId="109" fillId="0" borderId="51" xfId="0" applyNumberFormat="1" applyFont="1" applyBorder="1" applyAlignment="1">
      <alignment horizontal="center" vertical="center"/>
    </xf>
    <xf numFmtId="0" fontId="109" fillId="0" borderId="51" xfId="0" applyFont="1" applyBorder="1" applyAlignment="1">
      <alignment horizontal="center" vertical="center"/>
    </xf>
    <xf numFmtId="168" fontId="11" fillId="39" borderId="51" xfId="11657" applyFont="1" applyFill="1" applyBorder="1" applyAlignment="1">
      <alignment horizontal="center" vertical="center"/>
    </xf>
    <xf numFmtId="0" fontId="11" fillId="38" borderId="56" xfId="0" applyFont="1" applyFill="1" applyBorder="1" applyAlignment="1">
      <alignment horizontal="left" vertical="center"/>
    </xf>
    <xf numFmtId="0" fontId="12" fillId="38" borderId="55" xfId="0" applyFont="1" applyFill="1" applyBorder="1" applyAlignment="1">
      <alignment horizontal="center" vertical="center"/>
    </xf>
    <xf numFmtId="3" fontId="11" fillId="39" borderId="51" xfId="0" applyNumberFormat="1" applyFont="1" applyFill="1" applyBorder="1" applyAlignment="1">
      <alignment horizontal="center" vertical="center"/>
    </xf>
    <xf numFmtId="0" fontId="91" fillId="38" borderId="54" xfId="0" applyFont="1" applyFill="1" applyBorder="1" applyAlignment="1">
      <alignment horizontal="left" vertical="center" wrapText="1"/>
    </xf>
    <xf numFmtId="0" fontId="109" fillId="0" borderId="51" xfId="0" applyFont="1" applyBorder="1" applyAlignment="1">
      <alignment horizontal="left" vertical="center"/>
    </xf>
    <xf numFmtId="0" fontId="12" fillId="38" borderId="54" xfId="0" applyFont="1" applyFill="1" applyBorder="1" applyAlignment="1" applyProtection="1">
      <alignment horizontal="left" vertical="center" wrapText="1"/>
      <protection hidden="1"/>
    </xf>
    <xf numFmtId="0" fontId="109" fillId="0" borderId="51" xfId="0" applyFont="1" applyBorder="1" applyAlignment="1">
      <alignment wrapText="1"/>
    </xf>
    <xf numFmtId="0" fontId="109" fillId="0" borderId="51" xfId="0" applyFont="1" applyBorder="1" applyAlignment="1">
      <alignment vertical="center"/>
    </xf>
    <xf numFmtId="0" fontId="12" fillId="0" borderId="51" xfId="0" applyFont="1" applyBorder="1" applyAlignment="1">
      <alignment wrapText="1"/>
    </xf>
    <xf numFmtId="0" fontId="97" fillId="65" borderId="0" xfId="0" applyFont="1" applyFill="1"/>
    <xf numFmtId="0" fontId="12" fillId="0" borderId="51" xfId="0" applyFont="1" applyBorder="1" applyAlignment="1" applyProtection="1">
      <alignment horizontal="center" vertical="center" wrapText="1"/>
      <protection hidden="1"/>
    </xf>
    <xf numFmtId="0" fontId="12" fillId="0" borderId="55" xfId="0" applyFont="1" applyBorder="1" applyAlignment="1" applyProtection="1">
      <alignment horizontal="center" vertical="center" wrapText="1"/>
      <protection hidden="1"/>
    </xf>
    <xf numFmtId="0" fontId="12" fillId="38" borderId="55" xfId="0" applyFont="1" applyFill="1" applyBorder="1" applyAlignment="1" applyProtection="1">
      <alignment horizontal="center" vertical="center" wrapText="1"/>
      <protection hidden="1"/>
    </xf>
    <xf numFmtId="0" fontId="11" fillId="38" borderId="58" xfId="0" applyFont="1" applyFill="1" applyBorder="1" applyAlignment="1">
      <alignment horizontal="left" vertical="center" wrapText="1"/>
    </xf>
    <xf numFmtId="0" fontId="12" fillId="0" borderId="54" xfId="0" applyFont="1" applyBorder="1" applyAlignment="1">
      <alignment horizontal="left" vertical="center" wrapText="1"/>
    </xf>
    <xf numFmtId="2" fontId="93" fillId="0" borderId="51" xfId="0" applyNumberFormat="1" applyFont="1" applyBorder="1" applyAlignment="1">
      <alignment horizontal="center" vertical="center" wrapText="1"/>
    </xf>
    <xf numFmtId="1" fontId="12" fillId="38" borderId="51" xfId="0" applyNumberFormat="1" applyFont="1" applyFill="1" applyBorder="1" applyAlignment="1">
      <alignment horizontal="center" vertical="center" wrapText="1"/>
    </xf>
    <xf numFmtId="1" fontId="12" fillId="0" borderId="51" xfId="0" applyNumberFormat="1" applyFont="1" applyBorder="1" applyAlignment="1">
      <alignment horizontal="center" vertical="center"/>
    </xf>
    <xf numFmtId="169" fontId="11" fillId="38" borderId="51" xfId="0" applyNumberFormat="1" applyFont="1" applyFill="1" applyBorder="1" applyAlignment="1">
      <alignment horizontal="center" vertical="center" wrapText="1"/>
    </xf>
    <xf numFmtId="0" fontId="72" fillId="0" borderId="51" xfId="0" applyFont="1" applyBorder="1" applyAlignment="1">
      <alignment horizontal="center" vertical="center"/>
    </xf>
    <xf numFmtId="1" fontId="72" fillId="0" borderId="51" xfId="0" applyNumberFormat="1" applyFont="1" applyBorder="1" applyAlignment="1">
      <alignment horizontal="center" vertical="center"/>
    </xf>
    <xf numFmtId="1" fontId="11" fillId="38" borderId="51" xfId="0" applyNumberFormat="1" applyFont="1" applyFill="1" applyBorder="1" applyAlignment="1">
      <alignment horizontal="center" vertical="center"/>
    </xf>
    <xf numFmtId="1" fontId="12" fillId="38" borderId="51" xfId="0" applyNumberFormat="1" applyFont="1" applyFill="1" applyBorder="1" applyAlignment="1">
      <alignment horizontal="center" vertical="center"/>
    </xf>
    <xf numFmtId="0" fontId="11" fillId="0" borderId="51" xfId="0" applyFont="1" applyBorder="1" applyAlignment="1">
      <alignment horizontal="left" vertical="center" wrapText="1"/>
    </xf>
    <xf numFmtId="0" fontId="93" fillId="38" borderId="51" xfId="0" applyFont="1" applyFill="1" applyBorder="1" applyAlignment="1" applyProtection="1">
      <alignment horizontal="center" vertical="center" wrapText="1"/>
      <protection hidden="1"/>
    </xf>
    <xf numFmtId="169" fontId="12" fillId="38" borderId="51" xfId="0" applyNumberFormat="1" applyFont="1" applyFill="1" applyBorder="1" applyAlignment="1">
      <alignment horizontal="center" vertical="center"/>
    </xf>
    <xf numFmtId="0" fontId="93" fillId="0" borderId="51" xfId="0" applyFont="1" applyBorder="1" applyAlignment="1" applyProtection="1">
      <alignment horizontal="left" vertical="center" wrapText="1"/>
      <protection hidden="1"/>
    </xf>
    <xf numFmtId="204" fontId="11" fillId="38" borderId="51" xfId="0" applyNumberFormat="1" applyFont="1" applyFill="1" applyBorder="1" applyAlignment="1">
      <alignment horizontal="center" vertical="center"/>
    </xf>
    <xf numFmtId="0" fontId="130" fillId="38" borderId="0" xfId="4987" applyFont="1" applyFill="1" applyAlignment="1">
      <alignment horizontal="left" vertical="center" wrapText="1"/>
    </xf>
    <xf numFmtId="0" fontId="127" fillId="38" borderId="0" xfId="4987" applyFont="1" applyFill="1"/>
    <xf numFmtId="0" fontId="130" fillId="38" borderId="0" xfId="4987" applyFont="1" applyFill="1" applyAlignment="1">
      <alignment vertical="center" wrapText="1"/>
    </xf>
    <xf numFmtId="0" fontId="110" fillId="38" borderId="0" xfId="4987" applyFont="1" applyFill="1" applyAlignment="1">
      <alignment horizontal="center" vertical="center"/>
    </xf>
    <xf numFmtId="0" fontId="110" fillId="38" borderId="0" xfId="4987" applyFont="1" applyFill="1" applyAlignment="1">
      <alignment horizontal="left" vertical="center"/>
    </xf>
    <xf numFmtId="0" fontId="84" fillId="38" borderId="0" xfId="4987" applyFont="1" applyFill="1" applyAlignment="1">
      <alignment horizontal="right" vertical="center"/>
    </xf>
    <xf numFmtId="0" fontId="84" fillId="38" borderId="0" xfId="4987" applyFont="1" applyFill="1" applyAlignment="1">
      <alignment horizontal="center" vertical="center" wrapText="1"/>
    </xf>
    <xf numFmtId="0" fontId="127" fillId="38" borderId="0" xfId="4987" applyFont="1" applyFill="1" applyAlignment="1">
      <alignment vertical="center"/>
    </xf>
    <xf numFmtId="0" fontId="110" fillId="38" borderId="0" xfId="4987" applyFont="1" applyFill="1" applyAlignment="1">
      <alignment horizontal="center" vertical="center" wrapText="1"/>
    </xf>
    <xf numFmtId="0" fontId="130" fillId="38" borderId="0" xfId="4987" applyFont="1" applyFill="1"/>
    <xf numFmtId="0" fontId="84" fillId="38" borderId="0" xfId="4987" applyFont="1" applyFill="1" applyAlignment="1">
      <alignment horizontal="center"/>
    </xf>
    <xf numFmtId="0" fontId="84" fillId="38" borderId="0" xfId="4987" applyFont="1" applyFill="1" applyAlignment="1">
      <alignment horizontal="center" vertical="center"/>
    </xf>
    <xf numFmtId="0" fontId="110" fillId="38" borderId="0" xfId="4987" applyFont="1" applyFill="1" applyAlignment="1">
      <alignment vertical="center"/>
    </xf>
    <xf numFmtId="0" fontId="88" fillId="38" borderId="0" xfId="4987" applyFont="1" applyFill="1" applyAlignment="1">
      <alignment horizontal="center" vertical="center"/>
    </xf>
    <xf numFmtId="0" fontId="88" fillId="38" borderId="17" xfId="4987" applyFont="1" applyFill="1" applyBorder="1" applyAlignment="1">
      <alignment vertical="center" wrapText="1"/>
    </xf>
    <xf numFmtId="0" fontId="88" fillId="38" borderId="48" xfId="4987" applyFont="1" applyFill="1" applyBorder="1" applyAlignment="1">
      <alignment vertical="center" wrapText="1"/>
    </xf>
    <xf numFmtId="0" fontId="127" fillId="38" borderId="51" xfId="4987" applyFont="1" applyFill="1" applyBorder="1" applyAlignment="1">
      <alignment horizontal="center" vertical="center" wrapText="1"/>
    </xf>
    <xf numFmtId="0" fontId="127" fillId="38" borderId="55" xfId="4987" applyFont="1" applyFill="1" applyBorder="1" applyAlignment="1">
      <alignment horizontal="left" vertical="center" wrapText="1"/>
    </xf>
    <xf numFmtId="0" fontId="127" fillId="38" borderId="51" xfId="4987" applyFont="1" applyFill="1" applyBorder="1" applyAlignment="1">
      <alignment vertical="center"/>
    </xf>
    <xf numFmtId="14" fontId="87" fillId="38" borderId="51" xfId="4987" applyNumberFormat="1" applyFont="1" applyFill="1" applyBorder="1" applyAlignment="1">
      <alignment horizontal="center" vertical="center" wrapText="1"/>
    </xf>
    <xf numFmtId="1" fontId="87" fillId="38" borderId="51" xfId="4987" applyNumberFormat="1" applyFont="1" applyFill="1" applyBorder="1" applyAlignment="1">
      <alignment horizontal="center" vertical="center" wrapText="1"/>
    </xf>
    <xf numFmtId="4" fontId="87" fillId="38" borderId="51" xfId="4987" applyNumberFormat="1" applyFont="1" applyFill="1" applyBorder="1" applyAlignment="1">
      <alignment horizontal="center" vertical="center" wrapText="1"/>
    </xf>
    <xf numFmtId="4" fontId="127" fillId="38" borderId="51" xfId="4987" applyNumberFormat="1" applyFont="1" applyFill="1" applyBorder="1"/>
    <xf numFmtId="4" fontId="127" fillId="38" borderId="51" xfId="4987" applyNumberFormat="1" applyFont="1" applyFill="1" applyBorder="1" applyAlignment="1">
      <alignment horizontal="center" vertical="center"/>
    </xf>
    <xf numFmtId="3" fontId="127" fillId="41" borderId="31" xfId="11675" applyNumberFormat="1" applyFont="1" applyFill="1" applyBorder="1" applyAlignment="1">
      <alignment horizontal="left" vertical="center" wrapText="1"/>
    </xf>
    <xf numFmtId="3" fontId="127" fillId="41" borderId="41" xfId="11675" applyNumberFormat="1" applyFont="1" applyFill="1" applyBorder="1" applyAlignment="1">
      <alignment horizontal="left" vertical="center" wrapText="1"/>
    </xf>
    <xf numFmtId="3" fontId="127" fillId="41" borderId="31" xfId="11675" applyNumberFormat="1" applyFont="1" applyFill="1" applyBorder="1" applyAlignment="1">
      <alignment horizontal="center" vertical="center" wrapText="1"/>
    </xf>
    <xf numFmtId="3" fontId="127" fillId="38" borderId="31" xfId="11675" applyNumberFormat="1" applyFont="1" applyFill="1" applyBorder="1" applyAlignment="1">
      <alignment horizontal="left" vertical="center" wrapText="1"/>
    </xf>
    <xf numFmtId="0" fontId="103" fillId="38" borderId="0" xfId="11675" applyFont="1" applyFill="1" applyAlignment="1">
      <alignment vertical="center"/>
    </xf>
    <xf numFmtId="3" fontId="127" fillId="38" borderId="31" xfId="11675" applyNumberFormat="1" applyFont="1" applyFill="1" applyBorder="1" applyAlignment="1">
      <alignment horizontal="center" vertical="center" wrapText="1"/>
    </xf>
    <xf numFmtId="3" fontId="127" fillId="41" borderId="31" xfId="11675" applyNumberFormat="1" applyFont="1" applyFill="1" applyBorder="1" applyAlignment="1">
      <alignment vertical="center" wrapText="1"/>
    </xf>
    <xf numFmtId="0" fontId="134" fillId="38" borderId="0" xfId="4987" applyFont="1" applyFill="1" applyAlignment="1">
      <alignment vertical="center"/>
    </xf>
    <xf numFmtId="14" fontId="127" fillId="38" borderId="51" xfId="4987" applyNumberFormat="1" applyFont="1" applyFill="1" applyBorder="1" applyAlignment="1">
      <alignment horizontal="center" vertical="center"/>
    </xf>
    <xf numFmtId="0" fontId="127" fillId="38" borderId="56" xfId="4987" applyFont="1" applyFill="1" applyBorder="1" applyAlignment="1">
      <alignment horizontal="center" vertical="center" wrapText="1"/>
    </xf>
    <xf numFmtId="3" fontId="127" fillId="41" borderId="37" xfId="11675" applyNumberFormat="1" applyFont="1" applyFill="1" applyBorder="1" applyAlignment="1">
      <alignment horizontal="left" vertical="center" wrapText="1"/>
    </xf>
    <xf numFmtId="0" fontId="127" fillId="41" borderId="37" xfId="11675" applyFont="1" applyFill="1" applyBorder="1" applyAlignment="1">
      <alignment horizontal="left" vertical="center" wrapText="1"/>
    </xf>
    <xf numFmtId="3" fontId="127" fillId="41" borderId="37" xfId="11675" applyNumberFormat="1" applyFont="1" applyFill="1" applyBorder="1" applyAlignment="1">
      <alignment horizontal="center" vertical="center" wrapText="1"/>
    </xf>
    <xf numFmtId="4" fontId="87" fillId="38" borderId="56" xfId="4987" applyNumberFormat="1" applyFont="1" applyFill="1" applyBorder="1" applyAlignment="1">
      <alignment horizontal="center" vertical="center" wrapText="1"/>
    </xf>
    <xf numFmtId="4" fontId="127" fillId="38" borderId="56" xfId="4987" applyNumberFormat="1" applyFont="1" applyFill="1" applyBorder="1"/>
    <xf numFmtId="4" fontId="127" fillId="38" borderId="56" xfId="4987" applyNumberFormat="1" applyFont="1" applyFill="1" applyBorder="1" applyAlignment="1">
      <alignment horizontal="center" vertical="center"/>
    </xf>
    <xf numFmtId="3" fontId="127" fillId="41" borderId="51" xfId="11675" applyNumberFormat="1" applyFont="1" applyFill="1" applyBorder="1" applyAlignment="1">
      <alignment horizontal="left" vertical="center" wrapText="1"/>
    </xf>
    <xf numFmtId="14" fontId="87" fillId="38" borderId="3" xfId="4987" applyNumberFormat="1" applyFont="1" applyFill="1" applyBorder="1" applyAlignment="1">
      <alignment horizontal="center" vertical="center" wrapText="1"/>
    </xf>
    <xf numFmtId="3" fontId="127" fillId="41" borderId="51" xfId="11675" applyNumberFormat="1" applyFont="1" applyFill="1" applyBorder="1" applyAlignment="1">
      <alignment horizontal="center" vertical="center" wrapText="1"/>
    </xf>
    <xf numFmtId="0" fontId="127" fillId="38" borderId="51" xfId="11675" applyFont="1" applyFill="1" applyBorder="1" applyAlignment="1">
      <alignment horizontal="left" vertical="center" wrapText="1"/>
    </xf>
    <xf numFmtId="3" fontId="127" fillId="38" borderId="51" xfId="11675" applyNumberFormat="1" applyFont="1" applyFill="1" applyBorder="1" applyAlignment="1">
      <alignment horizontal="center" vertical="center" wrapText="1"/>
    </xf>
    <xf numFmtId="0" fontId="103" fillId="38" borderId="51" xfId="11675" applyFont="1" applyFill="1" applyBorder="1"/>
    <xf numFmtId="3" fontId="127" fillId="38" borderId="51" xfId="11675" applyNumberFormat="1" applyFont="1" applyFill="1" applyBorder="1" applyAlignment="1">
      <alignment horizontal="left" vertical="center" wrapText="1"/>
    </xf>
    <xf numFmtId="0" fontId="134" fillId="38" borderId="51" xfId="4987" applyFont="1" applyFill="1" applyBorder="1" applyAlignment="1">
      <alignment wrapText="1"/>
    </xf>
    <xf numFmtId="14" fontId="103" fillId="38" borderId="51" xfId="4987" applyNumberFormat="1" applyFont="1" applyFill="1" applyBorder="1" applyAlignment="1">
      <alignment horizontal="center" vertical="center"/>
    </xf>
    <xf numFmtId="0" fontId="127" fillId="38" borderId="51" xfId="4987" applyFont="1" applyFill="1" applyBorder="1" applyAlignment="1">
      <alignment horizontal="center" vertical="center"/>
    </xf>
    <xf numFmtId="0" fontId="88" fillId="38" borderId="51" xfId="4987" applyFont="1" applyFill="1" applyBorder="1" applyAlignment="1">
      <alignment horizontal="left" vertical="center"/>
    </xf>
    <xf numFmtId="0" fontId="127" fillId="38" borderId="51" xfId="4987" applyFont="1" applyFill="1" applyBorder="1" applyAlignment="1">
      <alignment horizontal="left" vertical="center"/>
    </xf>
    <xf numFmtId="0" fontId="88" fillId="38" borderId="51" xfId="4987" applyFont="1" applyFill="1" applyBorder="1" applyAlignment="1">
      <alignment horizontal="center" vertical="center"/>
    </xf>
    <xf numFmtId="4" fontId="88" fillId="38" borderId="51" xfId="4987" applyNumberFormat="1" applyFont="1" applyFill="1" applyBorder="1" applyAlignment="1">
      <alignment vertical="center"/>
    </xf>
    <xf numFmtId="0" fontId="127" fillId="38" borderId="51" xfId="4987" applyFont="1" applyFill="1" applyBorder="1"/>
    <xf numFmtId="4" fontId="88" fillId="38" borderId="51" xfId="4987" applyNumberFormat="1" applyFont="1" applyFill="1" applyBorder="1" applyAlignment="1">
      <alignment horizontal="center" vertical="center"/>
    </xf>
    <xf numFmtId="0" fontId="103" fillId="38" borderId="51" xfId="11675" applyFont="1" applyFill="1" applyBorder="1" applyAlignment="1">
      <alignment vertical="center" wrapText="1"/>
    </xf>
    <xf numFmtId="0" fontId="127" fillId="41" borderId="51" xfId="11675" applyFont="1" applyFill="1" applyBorder="1" applyAlignment="1">
      <alignment vertical="center" wrapText="1"/>
    </xf>
    <xf numFmtId="3" fontId="127" fillId="41" borderId="51" xfId="11675" applyNumberFormat="1" applyFont="1" applyFill="1" applyBorder="1" applyAlignment="1">
      <alignment vertical="center" wrapText="1"/>
    </xf>
    <xf numFmtId="0" fontId="103" fillId="38" borderId="51" xfId="11676" applyFont="1" applyFill="1" applyBorder="1" applyAlignment="1">
      <alignment wrapText="1"/>
    </xf>
    <xf numFmtId="0" fontId="103" fillId="38" borderId="51" xfId="11675" applyFont="1" applyFill="1" applyBorder="1" applyAlignment="1">
      <alignment wrapText="1"/>
    </xf>
    <xf numFmtId="0" fontId="103" fillId="38" borderId="51" xfId="4987" applyFont="1" applyFill="1" applyBorder="1" applyAlignment="1">
      <alignment vertical="center" wrapText="1"/>
    </xf>
    <xf numFmtId="0" fontId="103" fillId="38" borderId="51" xfId="4987" applyFont="1" applyFill="1" applyBorder="1" applyAlignment="1">
      <alignment wrapText="1"/>
    </xf>
    <xf numFmtId="3" fontId="127" fillId="52" borderId="51" xfId="11675" applyNumberFormat="1" applyFont="1" applyFill="1" applyBorder="1" applyAlignment="1">
      <alignment horizontal="left" vertical="center" wrapText="1"/>
    </xf>
    <xf numFmtId="0" fontId="103" fillId="38" borderId="51" xfId="11676" applyFont="1" applyFill="1" applyBorder="1" applyAlignment="1">
      <alignment vertical="center" wrapText="1"/>
    </xf>
    <xf numFmtId="169" fontId="127" fillId="41" borderId="31" xfId="11675" applyNumberFormat="1" applyFont="1" applyFill="1" applyBorder="1" applyAlignment="1">
      <alignment horizontal="center" vertical="center" wrapText="1"/>
    </xf>
    <xf numFmtId="3" fontId="127" fillId="66" borderId="51" xfId="11675" applyNumberFormat="1" applyFont="1" applyFill="1" applyBorder="1" applyAlignment="1">
      <alignment horizontal="left" vertical="center" wrapText="1"/>
    </xf>
    <xf numFmtId="0" fontId="127" fillId="41" borderId="51" xfId="11675" applyFont="1" applyFill="1" applyBorder="1" applyAlignment="1">
      <alignment horizontal="left" vertical="center"/>
    </xf>
    <xf numFmtId="3" fontId="127" fillId="41" borderId="51" xfId="11675" applyNumberFormat="1" applyFont="1" applyFill="1" applyBorder="1" applyAlignment="1">
      <alignment horizontal="left" vertical="center"/>
    </xf>
    <xf numFmtId="0" fontId="103" fillId="38" borderId="51" xfId="11675" applyFont="1" applyFill="1" applyBorder="1" applyAlignment="1">
      <alignment horizontal="left" vertical="center" wrapText="1"/>
    </xf>
    <xf numFmtId="4" fontId="127" fillId="41" borderId="31" xfId="11675" applyNumberFormat="1" applyFont="1" applyFill="1" applyBorder="1" applyAlignment="1">
      <alignment horizontal="center" vertical="center" wrapText="1"/>
    </xf>
    <xf numFmtId="0" fontId="127" fillId="38" borderId="51" xfId="4987" applyFont="1" applyFill="1" applyBorder="1" applyAlignment="1">
      <alignment vertical="center" wrapText="1"/>
    </xf>
    <xf numFmtId="4" fontId="127" fillId="38" borderId="36" xfId="11675" applyNumberFormat="1" applyFont="1" applyFill="1" applyBorder="1" applyAlignment="1">
      <alignment horizontal="center" vertical="center" wrapText="1"/>
    </xf>
    <xf numFmtId="169" fontId="127" fillId="38" borderId="36" xfId="11675" applyNumberFormat="1" applyFont="1" applyFill="1" applyBorder="1" applyAlignment="1">
      <alignment horizontal="center" vertical="center" wrapText="1"/>
    </xf>
    <xf numFmtId="3" fontId="127" fillId="0" borderId="51" xfId="11677" applyNumberFormat="1" applyFont="1" applyBorder="1" applyAlignment="1">
      <alignment horizontal="left" vertical="center" wrapText="1"/>
    </xf>
    <xf numFmtId="0" fontId="127" fillId="0" borderId="51" xfId="11678" applyFont="1" applyBorder="1" applyAlignment="1">
      <alignment horizontal="center" vertical="center"/>
    </xf>
    <xf numFmtId="14" fontId="87" fillId="0" borderId="51" xfId="11678" applyNumberFormat="1" applyFont="1" applyBorder="1" applyAlignment="1">
      <alignment horizontal="center" vertical="center" wrapText="1"/>
    </xf>
    <xf numFmtId="3" fontId="127" fillId="0" borderId="51" xfId="11677" applyNumberFormat="1" applyFont="1" applyBorder="1" applyAlignment="1">
      <alignment horizontal="center" vertical="center" wrapText="1"/>
    </xf>
    <xf numFmtId="4" fontId="127" fillId="0" borderId="51" xfId="11678" applyNumberFormat="1" applyFont="1" applyBorder="1" applyAlignment="1">
      <alignment horizontal="center" vertical="center"/>
    </xf>
    <xf numFmtId="0" fontId="127" fillId="0" borderId="51" xfId="11678" applyFont="1" applyBorder="1" applyAlignment="1">
      <alignment vertical="center"/>
    </xf>
    <xf numFmtId="0" fontId="127" fillId="0" borderId="51" xfId="11678" applyFont="1" applyBorder="1"/>
    <xf numFmtId="0" fontId="134" fillId="0" borderId="51" xfId="11678" applyFont="1" applyBorder="1" applyAlignment="1">
      <alignment vertical="center"/>
    </xf>
    <xf numFmtId="14" fontId="127" fillId="0" borderId="51" xfId="11678" applyNumberFormat="1" applyFont="1" applyBorder="1" applyAlignment="1">
      <alignment horizontal="center" vertical="center"/>
    </xf>
    <xf numFmtId="3" fontId="127" fillId="38" borderId="51" xfId="11677" applyNumberFormat="1" applyFont="1" applyFill="1" applyBorder="1" applyAlignment="1">
      <alignment horizontal="left" vertical="center" wrapText="1"/>
    </xf>
    <xf numFmtId="4" fontId="127" fillId="38" borderId="51" xfId="11678" applyNumberFormat="1" applyFont="1" applyFill="1" applyBorder="1" applyAlignment="1">
      <alignment horizontal="center" vertical="center"/>
    </xf>
    <xf numFmtId="0" fontId="127" fillId="38" borderId="51" xfId="11678" applyFont="1" applyFill="1" applyBorder="1" applyAlignment="1">
      <alignment vertical="center"/>
    </xf>
    <xf numFmtId="0" fontId="127" fillId="38" borderId="51" xfId="11678" applyFont="1" applyFill="1" applyBorder="1"/>
    <xf numFmtId="0" fontId="127" fillId="0" borderId="51" xfId="11677" applyFont="1" applyBorder="1" applyAlignment="1">
      <alignment horizontal="left" vertical="center" wrapText="1"/>
    </xf>
    <xf numFmtId="3" fontId="127" fillId="41" borderId="51" xfId="11677" applyNumberFormat="1" applyFont="1" applyFill="1" applyBorder="1" applyAlignment="1">
      <alignment horizontal="left" vertical="center" wrapText="1"/>
    </xf>
    <xf numFmtId="0" fontId="136" fillId="0" borderId="51" xfId="11678" applyFont="1" applyBorder="1" applyAlignment="1">
      <alignment vertical="center" wrapText="1"/>
    </xf>
    <xf numFmtId="0" fontId="136" fillId="0" borderId="51" xfId="11679" applyFont="1" applyBorder="1" applyAlignment="1">
      <alignment vertical="center" wrapText="1"/>
    </xf>
    <xf numFmtId="4" fontId="127" fillId="0" borderId="51" xfId="11677" applyNumberFormat="1" applyFont="1" applyBorder="1" applyAlignment="1">
      <alignment horizontal="center" vertical="center" wrapText="1"/>
    </xf>
    <xf numFmtId="3" fontId="127" fillId="41" borderId="33" xfId="11675" applyNumberFormat="1" applyFont="1" applyFill="1" applyBorder="1" applyAlignment="1">
      <alignment horizontal="left" vertical="center" wrapText="1"/>
    </xf>
    <xf numFmtId="3" fontId="127" fillId="41" borderId="41" xfId="11675" applyNumberFormat="1" applyFont="1" applyFill="1" applyBorder="1" applyAlignment="1">
      <alignment horizontal="left" vertical="center"/>
    </xf>
    <xf numFmtId="0" fontId="127" fillId="41" borderId="33" xfId="11675" applyFont="1" applyFill="1" applyBorder="1" applyAlignment="1">
      <alignment horizontal="left" vertical="center" wrapText="1"/>
    </xf>
    <xf numFmtId="0" fontId="127" fillId="41" borderId="41" xfId="11675" applyFont="1" applyFill="1" applyBorder="1" applyAlignment="1">
      <alignment horizontal="left" vertical="center"/>
    </xf>
    <xf numFmtId="0" fontId="127" fillId="38" borderId="54" xfId="4987" applyFont="1" applyFill="1" applyBorder="1" applyAlignment="1">
      <alignment horizontal="left" vertical="center"/>
    </xf>
    <xf numFmtId="0" fontId="103" fillId="38" borderId="51" xfId="11675" applyFont="1" applyFill="1" applyBorder="1" applyAlignment="1">
      <alignment vertical="center"/>
    </xf>
    <xf numFmtId="169" fontId="127" fillId="38" borderId="31" xfId="11675" applyNumberFormat="1" applyFont="1" applyFill="1" applyBorder="1" applyAlignment="1">
      <alignment horizontal="center" vertical="center" wrapText="1"/>
    </xf>
    <xf numFmtId="3" fontId="127" fillId="38" borderId="51" xfId="11675" applyNumberFormat="1" applyFont="1" applyFill="1" applyBorder="1" applyAlignment="1">
      <alignment horizontal="left" vertical="center"/>
    </xf>
    <xf numFmtId="4" fontId="127" fillId="38" borderId="51" xfId="4987" applyNumberFormat="1" applyFont="1" applyFill="1" applyBorder="1" applyAlignment="1">
      <alignment horizontal="center"/>
    </xf>
    <xf numFmtId="0" fontId="127" fillId="41" borderId="51" xfId="11675" applyFont="1" applyFill="1" applyBorder="1" applyAlignment="1">
      <alignment horizontal="left" vertical="center" wrapText="1"/>
    </xf>
    <xf numFmtId="169" fontId="127" fillId="38" borderId="33" xfId="11675" applyNumberFormat="1" applyFont="1" applyFill="1" applyBorder="1" applyAlignment="1">
      <alignment horizontal="center" vertical="center" wrapText="1"/>
    </xf>
    <xf numFmtId="0" fontId="103" fillId="38" borderId="51" xfId="4987" applyFont="1" applyFill="1" applyBorder="1" applyAlignment="1">
      <alignment vertical="center"/>
    </xf>
    <xf numFmtId="0" fontId="127" fillId="38" borderId="51" xfId="4987" applyFont="1" applyFill="1" applyBorder="1" applyAlignment="1">
      <alignment horizontal="center"/>
    </xf>
    <xf numFmtId="0" fontId="127" fillId="38" borderId="0" xfId="4987" applyFont="1" applyFill="1" applyAlignment="1">
      <alignment horizontal="center" vertical="center"/>
    </xf>
    <xf numFmtId="4" fontId="127" fillId="38" borderId="31" xfId="11675" applyNumberFormat="1" applyFont="1" applyFill="1" applyBorder="1" applyAlignment="1">
      <alignment horizontal="center" vertical="center" wrapText="1"/>
    </xf>
    <xf numFmtId="0" fontId="136" fillId="0" borderId="51" xfId="11677" applyFont="1" applyBorder="1"/>
    <xf numFmtId="3" fontId="127" fillId="41" borderId="51" xfId="11677" applyNumberFormat="1" applyFont="1" applyFill="1" applyBorder="1" applyAlignment="1">
      <alignment horizontal="center" vertical="center" wrapText="1"/>
    </xf>
    <xf numFmtId="4" fontId="88" fillId="0" borderId="51" xfId="11678" applyNumberFormat="1" applyFont="1" applyBorder="1" applyAlignment="1">
      <alignment horizontal="center" vertical="center"/>
    </xf>
    <xf numFmtId="4" fontId="127" fillId="41" borderId="51" xfId="11677" applyNumberFormat="1" applyFont="1" applyFill="1" applyBorder="1" applyAlignment="1">
      <alignment horizontal="center" vertical="center" wrapText="1"/>
    </xf>
    <xf numFmtId="0" fontId="136" fillId="0" borderId="51" xfId="11679" applyFont="1" applyBorder="1" applyAlignment="1">
      <alignment wrapText="1"/>
    </xf>
    <xf numFmtId="3" fontId="127" fillId="41" borderId="51" xfId="11677" applyNumberFormat="1" applyFont="1" applyFill="1" applyBorder="1" applyAlignment="1">
      <alignment horizontal="left" vertical="center"/>
    </xf>
    <xf numFmtId="3" fontId="127" fillId="59" borderId="51" xfId="11677" applyNumberFormat="1" applyFont="1" applyFill="1" applyBorder="1" applyAlignment="1">
      <alignment horizontal="left" vertical="center" wrapText="1"/>
    </xf>
    <xf numFmtId="3" fontId="127" fillId="52" borderId="41" xfId="11675" applyNumberFormat="1" applyFont="1" applyFill="1" applyBorder="1" applyAlignment="1">
      <alignment horizontal="left" vertical="center" wrapText="1"/>
    </xf>
    <xf numFmtId="169" fontId="127" fillId="41" borderId="51" xfId="11675" applyNumberFormat="1" applyFont="1" applyFill="1" applyBorder="1" applyAlignment="1">
      <alignment horizontal="center" vertical="center" wrapText="1"/>
    </xf>
    <xf numFmtId="0" fontId="88" fillId="38" borderId="51" xfId="4987" applyFont="1" applyFill="1" applyBorder="1" applyAlignment="1">
      <alignment horizontal="center" vertical="center" wrapText="1"/>
    </xf>
    <xf numFmtId="169" fontId="127" fillId="52" borderId="51" xfId="11675" applyNumberFormat="1" applyFont="1" applyFill="1" applyBorder="1" applyAlignment="1">
      <alignment horizontal="center" vertical="center" wrapText="1"/>
    </xf>
    <xf numFmtId="3" fontId="127" fillId="52" borderId="51" xfId="11675" applyNumberFormat="1" applyFont="1" applyFill="1" applyBorder="1" applyAlignment="1">
      <alignment horizontal="center" vertical="center" wrapText="1"/>
    </xf>
    <xf numFmtId="169" fontId="127" fillId="38" borderId="51" xfId="11675" applyNumberFormat="1" applyFont="1" applyFill="1" applyBorder="1" applyAlignment="1">
      <alignment horizontal="center" vertical="center" wrapText="1"/>
    </xf>
    <xf numFmtId="0" fontId="103" fillId="38" borderId="51" xfId="4987" applyFont="1" applyFill="1" applyBorder="1"/>
    <xf numFmtId="0" fontId="127" fillId="38" borderId="51" xfId="11675" applyFont="1" applyFill="1" applyBorder="1" applyAlignment="1">
      <alignment wrapText="1"/>
    </xf>
    <xf numFmtId="0" fontId="84" fillId="38" borderId="0" xfId="4987" applyFont="1" applyFill="1" applyAlignment="1">
      <alignment horizontal="left" vertical="center"/>
    </xf>
    <xf numFmtId="4" fontId="84" fillId="38" borderId="0" xfId="4987" applyNumberFormat="1" applyFont="1" applyFill="1" applyAlignment="1">
      <alignment horizontal="center" vertical="center"/>
    </xf>
    <xf numFmtId="4" fontId="127" fillId="38" borderId="0" xfId="4987" applyNumberFormat="1" applyFont="1" applyFill="1"/>
    <xf numFmtId="0" fontId="88" fillId="38" borderId="0" xfId="4987" applyFont="1" applyFill="1" applyAlignment="1">
      <alignment horizontal="left" vertical="center"/>
    </xf>
    <xf numFmtId="0" fontId="127" fillId="38" borderId="0" xfId="4987" applyFont="1" applyFill="1" applyAlignment="1">
      <alignment horizontal="left" vertical="center"/>
    </xf>
    <xf numFmtId="0" fontId="123" fillId="0" borderId="0" xfId="0" applyFont="1" applyAlignment="1">
      <alignment vertical="center"/>
    </xf>
    <xf numFmtId="0" fontId="123" fillId="0" borderId="39" xfId="0" applyFont="1" applyBorder="1" applyAlignment="1">
      <alignment horizontal="center" vertical="center" wrapText="1"/>
    </xf>
    <xf numFmtId="0" fontId="120" fillId="0" borderId="65" xfId="0" applyFont="1" applyBorder="1" applyAlignment="1">
      <alignment horizontal="left" vertical="center" wrapText="1"/>
    </xf>
    <xf numFmtId="0" fontId="120" fillId="0" borderId="39" xfId="0" applyFont="1" applyBorder="1" applyAlignment="1">
      <alignment horizontal="center" vertical="center" wrapText="1"/>
    </xf>
    <xf numFmtId="0" fontId="103" fillId="0" borderId="53" xfId="11673" applyFont="1" applyBorder="1" applyAlignment="1">
      <alignment horizontal="center" vertical="center" wrapText="1"/>
    </xf>
    <xf numFmtId="49" fontId="120" fillId="0" borderId="56" xfId="11673" applyNumberFormat="1" applyFont="1" applyBorder="1" applyAlignment="1">
      <alignment horizontal="center" vertical="center" wrapText="1"/>
    </xf>
    <xf numFmtId="1" fontId="120" fillId="0" borderId="51" xfId="11673" applyNumberFormat="1" applyFont="1" applyBorder="1" applyAlignment="1">
      <alignment horizontal="center" vertical="center" wrapText="1"/>
    </xf>
    <xf numFmtId="0" fontId="110" fillId="0" borderId="51" xfId="11673" applyFont="1" applyBorder="1" applyAlignment="1">
      <alignment vertical="center" wrapText="1"/>
    </xf>
    <xf numFmtId="3" fontId="123" fillId="0" borderId="31" xfId="11673" applyNumberFormat="1" applyFont="1" applyBorder="1" applyAlignment="1">
      <alignment horizontal="center" vertical="center" wrapText="1"/>
    </xf>
    <xf numFmtId="4" fontId="123" fillId="0" borderId="31" xfId="11673" applyNumberFormat="1" applyFont="1" applyBorder="1" applyAlignment="1">
      <alignment horizontal="center" vertical="center" wrapText="1"/>
    </xf>
    <xf numFmtId="3" fontId="110" fillId="0" borderId="40" xfId="11673" applyNumberFormat="1" applyFont="1" applyBorder="1" applyAlignment="1">
      <alignment horizontal="center" vertical="center" wrapText="1"/>
    </xf>
    <xf numFmtId="199" fontId="123" fillId="0" borderId="31" xfId="11673" applyNumberFormat="1" applyFont="1" applyBorder="1" applyAlignment="1">
      <alignment horizontal="center" vertical="center" wrapText="1"/>
    </xf>
    <xf numFmtId="4" fontId="110" fillId="0" borderId="40" xfId="11673" applyNumberFormat="1" applyFont="1" applyBorder="1" applyAlignment="1">
      <alignment horizontal="center" vertical="center" wrapText="1"/>
    </xf>
    <xf numFmtId="4" fontId="110" fillId="0" borderId="38" xfId="11673" applyNumberFormat="1" applyFont="1" applyBorder="1" applyAlignment="1">
      <alignment horizontal="center" vertical="center" wrapText="1"/>
    </xf>
    <xf numFmtId="4" fontId="110" fillId="0" borderId="34" xfId="11673" applyNumberFormat="1" applyFont="1" applyBorder="1" applyAlignment="1">
      <alignment horizontal="center" vertical="center" wrapText="1"/>
    </xf>
    <xf numFmtId="4" fontId="123" fillId="0" borderId="39" xfId="11673" applyNumberFormat="1" applyFont="1" applyBorder="1" applyAlignment="1">
      <alignment horizontal="center" vertical="center" wrapText="1"/>
    </xf>
    <xf numFmtId="0" fontId="103" fillId="0" borderId="31" xfId="11673" applyFont="1" applyBorder="1" applyAlignment="1">
      <alignment horizontal="center" vertical="center" wrapText="1"/>
    </xf>
    <xf numFmtId="3" fontId="94" fillId="0" borderId="0" xfId="11680" applyNumberFormat="1" applyFont="1" applyAlignment="1">
      <alignment vertical="top" wrapText="1"/>
    </xf>
    <xf numFmtId="3" fontId="94" fillId="0" borderId="0" xfId="11680" applyNumberFormat="1" applyFont="1" applyAlignment="1">
      <alignment horizontal="center" vertical="top" wrapText="1"/>
    </xf>
    <xf numFmtId="3" fontId="94" fillId="0" borderId="0" xfId="11680" applyNumberFormat="1" applyFont="1" applyAlignment="1">
      <alignment horizontal="center" vertical="center" wrapText="1"/>
    </xf>
    <xf numFmtId="3" fontId="94" fillId="38" borderId="0" xfId="11680" applyNumberFormat="1" applyFont="1" applyFill="1" applyAlignment="1">
      <alignment horizontal="center" vertical="center" wrapText="1"/>
    </xf>
    <xf numFmtId="3" fontId="102" fillId="0" borderId="56" xfId="0" applyNumberFormat="1" applyFont="1" applyBorder="1" applyAlignment="1">
      <alignment horizontal="center" vertical="center" wrapText="1"/>
    </xf>
    <xf numFmtId="3" fontId="102" fillId="38" borderId="56" xfId="0" applyNumberFormat="1" applyFont="1" applyFill="1" applyBorder="1" applyAlignment="1">
      <alignment horizontal="center" vertical="center" wrapText="1"/>
    </xf>
    <xf numFmtId="3" fontId="93" fillId="0" borderId="51" xfId="0" applyNumberFormat="1" applyFont="1" applyBorder="1" applyAlignment="1">
      <alignment horizontal="center" vertical="center" wrapText="1"/>
    </xf>
    <xf numFmtId="0" fontId="51" fillId="0" borderId="54" xfId="0" applyFont="1" applyBorder="1" applyAlignment="1">
      <alignment vertical="center" wrapText="1"/>
    </xf>
    <xf numFmtId="1" fontId="93" fillId="0" borderId="51" xfId="0" applyNumberFormat="1" applyFont="1" applyBorder="1" applyAlignment="1">
      <alignment horizontal="center" vertical="center" wrapText="1"/>
    </xf>
    <xf numFmtId="1" fontId="93" fillId="0" borderId="51" xfId="11680" applyNumberFormat="1" applyFont="1" applyBorder="1" applyAlignment="1">
      <alignment horizontal="center" vertical="center" wrapText="1"/>
    </xf>
    <xf numFmtId="1" fontId="51" fillId="0" borderId="51" xfId="0" applyNumberFormat="1" applyFont="1" applyBorder="1" applyAlignment="1">
      <alignment horizontal="center" vertical="center" wrapText="1"/>
    </xf>
    <xf numFmtId="4" fontId="93" fillId="0" borderId="51" xfId="0" applyNumberFormat="1" applyFont="1" applyBorder="1" applyAlignment="1">
      <alignment horizontal="center" vertical="center" wrapText="1"/>
    </xf>
    <xf numFmtId="4" fontId="148" fillId="0" borderId="51" xfId="0" applyNumberFormat="1" applyFont="1" applyBorder="1" applyAlignment="1">
      <alignment horizontal="center" vertical="center" wrapText="1"/>
    </xf>
    <xf numFmtId="4" fontId="51" fillId="0" borderId="51" xfId="0" applyNumberFormat="1" applyFont="1" applyBorder="1" applyAlignment="1">
      <alignment horizontal="center" vertical="center" wrapText="1"/>
    </xf>
    <xf numFmtId="3" fontId="93" fillId="0" borderId="51" xfId="11680" applyNumberFormat="1" applyFont="1" applyBorder="1" applyAlignment="1">
      <alignment horizontal="center" vertical="center" wrapText="1"/>
    </xf>
    <xf numFmtId="0" fontId="51" fillId="0" borderId="51" xfId="0" applyFont="1" applyBorder="1" applyAlignment="1">
      <alignment horizontal="center" vertical="center" wrapText="1"/>
    </xf>
    <xf numFmtId="0" fontId="12" fillId="0" borderId="51" xfId="0" applyFont="1" applyFill="1" applyBorder="1" applyAlignment="1">
      <alignment horizontal="left" vertical="center"/>
    </xf>
    <xf numFmtId="0" fontId="11" fillId="38" borderId="51" xfId="0" applyFont="1" applyFill="1" applyBorder="1" applyAlignment="1">
      <alignment horizontal="center" vertical="center" wrapText="1"/>
    </xf>
    <xf numFmtId="0" fontId="12" fillId="0" borderId="51" xfId="3833" applyFont="1" applyFill="1" applyBorder="1" applyAlignment="1">
      <alignment vertical="center" wrapText="1"/>
    </xf>
    <xf numFmtId="0" fontId="12" fillId="0" borderId="51" xfId="0" applyFont="1" applyFill="1" applyBorder="1" applyAlignment="1">
      <alignment horizontal="left" vertical="center" wrapText="1"/>
    </xf>
    <xf numFmtId="0" fontId="12" fillId="0" borderId="51" xfId="0" applyFont="1" applyFill="1" applyBorder="1" applyAlignment="1">
      <alignment horizontal="center" vertical="center" wrapText="1"/>
    </xf>
    <xf numFmtId="4" fontId="12" fillId="0" borderId="51" xfId="0" applyNumberFormat="1" applyFont="1" applyFill="1" applyBorder="1" applyAlignment="1">
      <alignment horizontal="center" vertical="center" wrapText="1"/>
    </xf>
    <xf numFmtId="3" fontId="12" fillId="0" borderId="51" xfId="0" applyNumberFormat="1" applyFont="1" applyFill="1" applyBorder="1" applyAlignment="1">
      <alignment horizontal="center" vertical="center" wrapText="1"/>
    </xf>
    <xf numFmtId="0" fontId="12" fillId="0" borderId="51" xfId="0" applyFont="1" applyFill="1" applyBorder="1" applyAlignment="1">
      <alignment vertical="center" wrapText="1"/>
    </xf>
    <xf numFmtId="0" fontId="11" fillId="38" borderId="0" xfId="0" applyFont="1" applyFill="1" applyBorder="1" applyAlignment="1">
      <alignment horizontal="center"/>
    </xf>
    <xf numFmtId="0" fontId="11" fillId="38" borderId="0" xfId="0" applyFont="1" applyFill="1" applyBorder="1" applyAlignment="1">
      <alignment horizontal="left" vertical="center"/>
    </xf>
    <xf numFmtId="0" fontId="12" fillId="38" borderId="0" xfId="0" applyFont="1" applyFill="1" applyBorder="1" applyAlignment="1">
      <alignment vertical="center"/>
    </xf>
    <xf numFmtId="0" fontId="11" fillId="38" borderId="0" xfId="0" applyFont="1" applyFill="1" applyBorder="1" applyAlignment="1">
      <alignment horizontal="center" vertical="center"/>
    </xf>
    <xf numFmtId="3" fontId="11" fillId="38" borderId="0" xfId="0" applyNumberFormat="1" applyFont="1" applyFill="1" applyBorder="1" applyAlignment="1">
      <alignment horizontal="center" vertical="center"/>
    </xf>
    <xf numFmtId="3" fontId="11" fillId="0" borderId="0" xfId="0" applyNumberFormat="1" applyFont="1" applyFill="1" applyBorder="1" applyAlignment="1">
      <alignment horizontal="center" vertical="center"/>
    </xf>
    <xf numFmtId="2" fontId="11" fillId="38" borderId="0" xfId="0" applyNumberFormat="1" applyFont="1" applyFill="1" applyBorder="1" applyAlignment="1">
      <alignment horizontal="center" vertical="center"/>
    </xf>
    <xf numFmtId="0" fontId="87" fillId="0" borderId="0" xfId="0" applyFont="1" applyBorder="1" applyAlignment="1">
      <alignment horizontal="left" vertical="center" wrapText="1"/>
    </xf>
    <xf numFmtId="0" fontId="12" fillId="39" borderId="0" xfId="0" applyFont="1" applyFill="1" applyAlignment="1">
      <alignment vertical="center"/>
    </xf>
    <xf numFmtId="0" fontId="11" fillId="38" borderId="28" xfId="0" applyFont="1" applyFill="1" applyBorder="1" applyAlignment="1">
      <alignment horizontal="center" vertical="center" wrapText="1"/>
    </xf>
    <xf numFmtId="3" fontId="12" fillId="0" borderId="51" xfId="3833" applyNumberFormat="1" applyFont="1" applyFill="1" applyBorder="1" applyAlignment="1">
      <alignment horizontal="center" vertical="center" wrapText="1"/>
    </xf>
    <xf numFmtId="0" fontId="12" fillId="0" borderId="56" xfId="3833" applyFont="1" applyFill="1" applyBorder="1" applyAlignment="1">
      <alignment vertical="center" wrapText="1"/>
    </xf>
    <xf numFmtId="0" fontId="12" fillId="38" borderId="0" xfId="0" applyFont="1" applyFill="1" applyBorder="1"/>
    <xf numFmtId="3" fontId="12" fillId="0" borderId="51" xfId="3833" applyNumberFormat="1" applyFont="1" applyFill="1" applyBorder="1" applyAlignment="1">
      <alignment horizontal="center" vertical="center"/>
    </xf>
    <xf numFmtId="0" fontId="12" fillId="0" borderId="51" xfId="3833" applyFont="1" applyFill="1" applyBorder="1" applyAlignment="1">
      <alignment horizontal="center" vertical="center" wrapText="1"/>
    </xf>
    <xf numFmtId="0" fontId="11" fillId="0" borderId="0" xfId="0" applyFont="1" applyAlignment="1">
      <alignment horizontal="center" vertical="center"/>
    </xf>
    <xf numFmtId="0" fontId="12" fillId="38" borderId="1" xfId="0" applyFont="1" applyFill="1" applyBorder="1" applyAlignment="1">
      <alignment horizontal="left" vertical="center" wrapText="1"/>
    </xf>
    <xf numFmtId="0" fontId="11" fillId="39" borderId="0" xfId="0" applyFont="1" applyFill="1" applyAlignment="1">
      <alignment horizontal="left" vertical="center"/>
    </xf>
    <xf numFmtId="0" fontId="11" fillId="38" borderId="1" xfId="0" applyFont="1" applyFill="1" applyBorder="1" applyAlignment="1">
      <alignment horizontal="center" vertical="center" wrapText="1"/>
    </xf>
    <xf numFmtId="4" fontId="12" fillId="38" borderId="1" xfId="0" applyNumberFormat="1" applyFont="1" applyFill="1" applyBorder="1" applyAlignment="1">
      <alignment horizontal="center" vertical="center" wrapText="1"/>
    </xf>
    <xf numFmtId="0" fontId="11" fillId="38" borderId="26" xfId="0" applyFont="1" applyFill="1" applyBorder="1" applyAlignment="1">
      <alignment horizontal="center" vertical="center" wrapText="1"/>
    </xf>
    <xf numFmtId="0" fontId="11" fillId="38" borderId="0" xfId="0" applyFont="1" applyFill="1" applyAlignment="1">
      <alignment horizontal="left" vertical="center" wrapText="1"/>
    </xf>
    <xf numFmtId="0" fontId="11" fillId="38" borderId="0" xfId="0" applyFont="1" applyFill="1" applyAlignment="1">
      <alignment horizontal="left" wrapText="1"/>
    </xf>
    <xf numFmtId="0" fontId="11" fillId="39" borderId="51" xfId="0" applyFont="1" applyFill="1" applyBorder="1" applyAlignment="1">
      <alignment horizontal="left" vertical="center" wrapText="1"/>
    </xf>
    <xf numFmtId="0" fontId="11" fillId="38" borderId="0" xfId="0" applyFont="1" applyFill="1" applyAlignment="1">
      <alignment vertical="center"/>
    </xf>
    <xf numFmtId="0" fontId="11" fillId="38" borderId="51" xfId="0" applyFont="1" applyFill="1" applyBorder="1" applyAlignment="1">
      <alignment horizontal="center" vertical="center" wrapText="1"/>
    </xf>
    <xf numFmtId="3" fontId="12" fillId="0" borderId="51" xfId="0" applyNumberFormat="1" applyFont="1" applyBorder="1" applyAlignment="1">
      <alignment horizontal="center" vertical="center" wrapText="1"/>
    </xf>
    <xf numFmtId="0" fontId="12" fillId="38" borderId="51" xfId="0" applyFont="1" applyFill="1" applyBorder="1" applyAlignment="1">
      <alignment horizontal="left" vertical="center" wrapText="1"/>
    </xf>
    <xf numFmtId="3" fontId="12" fillId="0" borderId="0" xfId="0" applyNumberFormat="1" applyFont="1" applyAlignment="1">
      <alignment horizontal="center" vertical="center"/>
    </xf>
    <xf numFmtId="3" fontId="12" fillId="0" borderId="0" xfId="0" applyNumberFormat="1" applyFont="1" applyFill="1" applyAlignment="1">
      <alignment horizontal="center" vertical="center" wrapText="1"/>
    </xf>
    <xf numFmtId="203" fontId="11" fillId="38" borderId="0" xfId="0" applyNumberFormat="1" applyFont="1" applyFill="1" applyAlignment="1">
      <alignment horizontal="center" vertical="center"/>
    </xf>
    <xf numFmtId="164" fontId="11" fillId="38" borderId="0" xfId="0" applyNumberFormat="1" applyFont="1" applyFill="1"/>
    <xf numFmtId="3" fontId="12" fillId="38" borderId="0" xfId="0" applyNumberFormat="1" applyFont="1" applyFill="1"/>
    <xf numFmtId="0" fontId="12" fillId="0" borderId="0" xfId="0" applyFont="1" applyFill="1"/>
    <xf numFmtId="0" fontId="11" fillId="0" borderId="55" xfId="0" applyFont="1" applyBorder="1" applyAlignment="1">
      <alignment horizontal="center" vertical="center" wrapText="1"/>
    </xf>
    <xf numFmtId="4" fontId="12" fillId="0" borderId="0" xfId="0" applyNumberFormat="1" applyFont="1"/>
    <xf numFmtId="164" fontId="12" fillId="0" borderId="0" xfId="0" applyNumberFormat="1" applyFont="1"/>
    <xf numFmtId="4" fontId="12" fillId="38" borderId="0" xfId="0" applyNumberFormat="1" applyFont="1" applyFill="1"/>
    <xf numFmtId="0" fontId="71" fillId="0" borderId="0" xfId="3459" applyFont="1" applyAlignment="1">
      <alignment vertical="top"/>
    </xf>
    <xf numFmtId="0" fontId="11" fillId="0" borderId="0" xfId="0" applyFont="1"/>
    <xf numFmtId="0" fontId="71" fillId="0" borderId="0" xfId="3459" applyFont="1" applyAlignment="1">
      <alignment vertical="top" wrapText="1"/>
    </xf>
    <xf numFmtId="0" fontId="71" fillId="0" borderId="0" xfId="3459" applyFont="1" applyAlignment="1">
      <alignment horizontal="left" vertical="top" wrapText="1"/>
    </xf>
    <xf numFmtId="0" fontId="71" fillId="0" borderId="0" xfId="0" applyFont="1" applyAlignment="1">
      <alignment horizontal="left" vertical="center"/>
    </xf>
    <xf numFmtId="0" fontId="51" fillId="38" borderId="0" xfId="0" applyFont="1" applyFill="1" applyAlignment="1">
      <alignment horizontal="left" vertical="center"/>
    </xf>
    <xf numFmtId="0" fontId="51" fillId="38" borderId="0" xfId="0" applyFont="1" applyFill="1" applyAlignment="1">
      <alignment vertical="center"/>
    </xf>
    <xf numFmtId="0" fontId="12" fillId="38" borderId="0" xfId="0" applyFont="1" applyFill="1" applyAlignment="1">
      <alignment vertical="center" wrapText="1"/>
    </xf>
    <xf numFmtId="0" fontId="12" fillId="38" borderId="55" xfId="3833" applyFont="1" applyFill="1" applyBorder="1" applyAlignment="1">
      <alignment vertical="center" wrapText="1"/>
    </xf>
    <xf numFmtId="0" fontId="12" fillId="0" borderId="0" xfId="0" applyFont="1" applyFill="1" applyAlignment="1">
      <alignment vertical="center" wrapText="1"/>
    </xf>
    <xf numFmtId="0" fontId="109" fillId="38" borderId="0" xfId="0" applyFont="1" applyFill="1" applyAlignment="1">
      <alignment vertical="center" wrapText="1"/>
    </xf>
    <xf numFmtId="0" fontId="12" fillId="38" borderId="56" xfId="3833" applyFont="1" applyFill="1" applyBorder="1" applyAlignment="1">
      <alignment vertical="center" wrapText="1"/>
    </xf>
    <xf numFmtId="0" fontId="12" fillId="38" borderId="51" xfId="0" applyFont="1" applyFill="1" applyBorder="1" applyAlignment="1">
      <alignment horizontal="justify" vertical="center" wrapText="1"/>
    </xf>
    <xf numFmtId="0" fontId="12" fillId="38" borderId="51" xfId="11665" applyFont="1" applyFill="1" applyBorder="1" applyAlignment="1">
      <alignment vertical="center" wrapText="1"/>
    </xf>
    <xf numFmtId="0" fontId="145" fillId="0" borderId="51" xfId="0" applyFont="1" applyBorder="1" applyAlignment="1">
      <alignment vertical="center" wrapText="1"/>
    </xf>
    <xf numFmtId="0" fontId="12" fillId="0" borderId="51" xfId="0" applyFont="1" applyFill="1" applyBorder="1" applyAlignment="1">
      <alignment vertical="center"/>
    </xf>
    <xf numFmtId="0" fontId="12" fillId="0" borderId="0" xfId="0" applyFont="1" applyAlignment="1">
      <alignment vertical="center"/>
    </xf>
    <xf numFmtId="0" fontId="71" fillId="0" borderId="0" xfId="3459" applyFont="1" applyAlignment="1">
      <alignment horizontal="left" vertical="center" wrapText="1"/>
    </xf>
    <xf numFmtId="0" fontId="71" fillId="0" borderId="0" xfId="3459" applyFont="1" applyAlignment="1">
      <alignment vertical="center"/>
    </xf>
    <xf numFmtId="0" fontId="11" fillId="0" borderId="51" xfId="0" applyFont="1" applyBorder="1" applyAlignment="1">
      <alignment horizontal="center" vertical="center"/>
    </xf>
    <xf numFmtId="0" fontId="11" fillId="38" borderId="29" xfId="0" applyFont="1" applyFill="1" applyBorder="1" applyAlignment="1">
      <alignment horizontal="center" vertical="center" wrapText="1"/>
    </xf>
    <xf numFmtId="4" fontId="112" fillId="0" borderId="51" xfId="0" applyNumberFormat="1" applyFont="1" applyBorder="1" applyAlignment="1">
      <alignment horizontal="center" vertical="center"/>
    </xf>
    <xf numFmtId="3" fontId="102" fillId="0" borderId="51" xfId="0" applyNumberFormat="1" applyFont="1" applyBorder="1" applyAlignment="1">
      <alignment horizontal="center" vertical="center" wrapText="1"/>
    </xf>
    <xf numFmtId="3" fontId="102" fillId="38" borderId="51" xfId="0" applyNumberFormat="1" applyFont="1" applyFill="1" applyBorder="1" applyAlignment="1">
      <alignment horizontal="center" vertical="center" wrapText="1"/>
    </xf>
    <xf numFmtId="0" fontId="51" fillId="0" borderId="51" xfId="0" applyFont="1" applyFill="1" applyBorder="1" applyAlignment="1">
      <alignment vertical="center" wrapText="1"/>
    </xf>
    <xf numFmtId="3" fontId="93" fillId="0" borderId="51" xfId="11674" applyNumberFormat="1" applyFont="1" applyBorder="1" applyAlignment="1">
      <alignment horizontal="center" vertical="center" wrapText="1"/>
    </xf>
    <xf numFmtId="4" fontId="102" fillId="0" borderId="3" xfId="0" applyNumberFormat="1" applyFont="1" applyBorder="1" applyAlignment="1">
      <alignment horizontal="center" vertical="center" wrapText="1"/>
    </xf>
    <xf numFmtId="4" fontId="87" fillId="0" borderId="1" xfId="0" applyNumberFormat="1" applyFont="1" applyBorder="1" applyAlignment="1">
      <alignment horizontal="center" vertical="center" wrapText="1"/>
    </xf>
    <xf numFmtId="4" fontId="87" fillId="0" borderId="51" xfId="0" applyNumberFormat="1" applyFont="1" applyBorder="1" applyAlignment="1">
      <alignment horizontal="center" vertical="center" wrapText="1"/>
    </xf>
    <xf numFmtId="4" fontId="86" fillId="0" borderId="1" xfId="0" applyNumberFormat="1" applyFont="1" applyBorder="1" applyAlignment="1">
      <alignment horizontal="center" vertical="center" wrapText="1"/>
    </xf>
    <xf numFmtId="3" fontId="129" fillId="41" borderId="0" xfId="4987" applyNumberFormat="1" applyFont="1" applyFill="1" applyAlignment="1">
      <alignment horizontal="right" vertical="center" wrapText="1"/>
    </xf>
    <xf numFmtId="3" fontId="118" fillId="41" borderId="0" xfId="11673" applyNumberFormat="1" applyFont="1" applyFill="1" applyAlignment="1">
      <alignment horizontal="left" vertical="center" wrapText="1"/>
    </xf>
    <xf numFmtId="0" fontId="116" fillId="0" borderId="0" xfId="11673" applyFont="1"/>
    <xf numFmtId="4" fontId="12" fillId="0" borderId="1" xfId="0" applyNumberFormat="1" applyFont="1" applyFill="1" applyBorder="1" applyAlignment="1">
      <alignment horizontal="center" vertical="center" wrapText="1"/>
    </xf>
    <xf numFmtId="0" fontId="130" fillId="0" borderId="0" xfId="11681" applyFont="1" applyAlignment="1">
      <alignment vertical="center" wrapText="1"/>
    </xf>
    <xf numFmtId="0" fontId="130" fillId="0" borderId="0" xfId="11681" applyFont="1" applyAlignment="1">
      <alignment horizontal="left" vertical="center" wrapText="1"/>
    </xf>
    <xf numFmtId="0" fontId="127" fillId="0" borderId="0" xfId="11681" applyFont="1"/>
    <xf numFmtId="0" fontId="110" fillId="0" borderId="0" xfId="11681" applyFont="1" applyAlignment="1">
      <alignment horizontal="center" vertical="center"/>
    </xf>
    <xf numFmtId="0" fontId="110" fillId="0" borderId="0" xfId="11681" applyFont="1" applyAlignment="1">
      <alignment horizontal="left" vertical="center"/>
    </xf>
    <xf numFmtId="0" fontId="110" fillId="41" borderId="0" xfId="11681" applyFont="1" applyFill="1" applyAlignment="1">
      <alignment horizontal="left" vertical="center"/>
    </xf>
    <xf numFmtId="0" fontId="84" fillId="41" borderId="0" xfId="11681" applyFont="1" applyFill="1" applyAlignment="1">
      <alignment horizontal="right" vertical="center"/>
    </xf>
    <xf numFmtId="0" fontId="84" fillId="0" borderId="0" xfId="11681" applyFont="1" applyAlignment="1">
      <alignment horizontal="center" vertical="center" wrapText="1"/>
    </xf>
    <xf numFmtId="0" fontId="110" fillId="0" borderId="0" xfId="11681" applyFont="1" applyAlignment="1">
      <alignment horizontal="center" vertical="center" wrapText="1"/>
    </xf>
    <xf numFmtId="0" fontId="127" fillId="0" borderId="0" xfId="11681" applyFont="1" applyAlignment="1">
      <alignment vertical="center"/>
    </xf>
    <xf numFmtId="0" fontId="130" fillId="0" borderId="0" xfId="11681" applyFont="1"/>
    <xf numFmtId="0" fontId="84" fillId="0" borderId="0" xfId="11681" applyFont="1" applyAlignment="1">
      <alignment horizontal="center"/>
    </xf>
    <xf numFmtId="0" fontId="84" fillId="0" borderId="0" xfId="11681" applyFont="1" applyAlignment="1">
      <alignment horizontal="center" vertical="center"/>
    </xf>
    <xf numFmtId="0" fontId="110" fillId="0" borderId="0" xfId="11681" applyFont="1" applyAlignment="1">
      <alignment vertical="center"/>
    </xf>
    <xf numFmtId="0" fontId="88" fillId="0" borderId="0" xfId="11681" applyFont="1" applyAlignment="1">
      <alignment horizontal="center" vertical="center"/>
    </xf>
    <xf numFmtId="0" fontId="88" fillId="0" borderId="17" xfId="11681" applyFont="1" applyBorder="1" applyAlignment="1">
      <alignment vertical="center" wrapText="1"/>
    </xf>
    <xf numFmtId="0" fontId="88" fillId="0" borderId="48" xfId="11681" applyFont="1" applyBorder="1" applyAlignment="1">
      <alignment vertical="center" wrapText="1"/>
    </xf>
    <xf numFmtId="0" fontId="127" fillId="0" borderId="51" xfId="11681" applyFont="1" applyBorder="1" applyAlignment="1">
      <alignment horizontal="center" vertical="center" wrapText="1"/>
    </xf>
    <xf numFmtId="0" fontId="127" fillId="0" borderId="55" xfId="11681" applyFont="1" applyBorder="1" applyAlignment="1">
      <alignment horizontal="left" vertical="center" wrapText="1"/>
    </xf>
    <xf numFmtId="0" fontId="127" fillId="0" borderId="51" xfId="11681" applyFont="1" applyBorder="1" applyAlignment="1">
      <alignment vertical="center"/>
    </xf>
    <xf numFmtId="14" fontId="87" fillId="0" borderId="51" xfId="11681" applyNumberFormat="1" applyFont="1" applyBorder="1" applyAlignment="1">
      <alignment horizontal="center" vertical="center" wrapText="1"/>
    </xf>
    <xf numFmtId="1" fontId="87" fillId="0" borderId="51" xfId="11681" applyNumberFormat="1" applyFont="1" applyBorder="1" applyAlignment="1">
      <alignment horizontal="center" vertical="center" wrapText="1"/>
    </xf>
    <xf numFmtId="4" fontId="87" fillId="0" borderId="51" xfId="11681" applyNumberFormat="1" applyFont="1" applyBorder="1" applyAlignment="1">
      <alignment horizontal="center" vertical="center" wrapText="1"/>
    </xf>
    <xf numFmtId="4" fontId="127" fillId="0" borderId="51" xfId="11681" applyNumberFormat="1" applyFont="1" applyBorder="1"/>
    <xf numFmtId="4" fontId="127" fillId="0" borderId="51" xfId="11681" applyNumberFormat="1" applyFont="1" applyBorder="1" applyAlignment="1">
      <alignment horizontal="center" vertical="center"/>
    </xf>
    <xf numFmtId="3" fontId="127" fillId="41" borderId="51" xfId="11682" applyNumberFormat="1" applyFont="1" applyFill="1" applyBorder="1" applyAlignment="1">
      <alignment horizontal="left" vertical="center" wrapText="1"/>
    </xf>
    <xf numFmtId="3" fontId="127" fillId="41" borderId="54" xfId="11682" applyNumberFormat="1" applyFont="1" applyFill="1" applyBorder="1" applyAlignment="1">
      <alignment horizontal="left" vertical="center" wrapText="1"/>
    </xf>
    <xf numFmtId="3" fontId="127" fillId="41" borderId="51" xfId="11682" applyNumberFormat="1" applyFont="1" applyFill="1" applyBorder="1" applyAlignment="1">
      <alignment horizontal="center" vertical="center" wrapText="1"/>
    </xf>
    <xf numFmtId="3" fontId="127" fillId="0" borderId="51" xfId="11682" applyNumberFormat="1" applyFont="1" applyBorder="1" applyAlignment="1">
      <alignment horizontal="left" vertical="center" wrapText="1"/>
    </xf>
    <xf numFmtId="0" fontId="136" fillId="0" borderId="0" xfId="11682" applyFont="1" applyAlignment="1">
      <alignment vertical="center"/>
    </xf>
    <xf numFmtId="3" fontId="127" fillId="0" borderId="51" xfId="11682" applyNumberFormat="1" applyFont="1" applyBorder="1" applyAlignment="1">
      <alignment horizontal="center" vertical="center" wrapText="1"/>
    </xf>
    <xf numFmtId="3" fontId="127" fillId="41" borderId="51" xfId="11682" applyNumberFormat="1" applyFont="1" applyFill="1" applyBorder="1" applyAlignment="1">
      <alignment vertical="center" wrapText="1"/>
    </xf>
    <xf numFmtId="0" fontId="127" fillId="37" borderId="51" xfId="11681" applyFont="1" applyFill="1" applyBorder="1" applyAlignment="1">
      <alignment horizontal="center" vertical="center" wrapText="1"/>
    </xf>
    <xf numFmtId="3" fontId="88" fillId="67" borderId="51" xfId="11682" applyNumberFormat="1" applyFont="1" applyFill="1" applyBorder="1" applyAlignment="1">
      <alignment horizontal="left" vertical="center" wrapText="1"/>
    </xf>
    <xf numFmtId="3" fontId="127" fillId="67" borderId="51" xfId="11682" applyNumberFormat="1" applyFont="1" applyFill="1" applyBorder="1" applyAlignment="1">
      <alignment vertical="center" wrapText="1"/>
    </xf>
    <xf numFmtId="0" fontId="88" fillId="37" borderId="56" xfId="11681" applyFont="1" applyFill="1" applyBorder="1" applyAlignment="1">
      <alignment horizontal="center" vertical="center" wrapText="1"/>
    </xf>
    <xf numFmtId="1" fontId="88" fillId="37" borderId="56" xfId="11681" applyNumberFormat="1" applyFont="1" applyFill="1" applyBorder="1" applyAlignment="1">
      <alignment horizontal="center" vertical="center" wrapText="1"/>
    </xf>
    <xf numFmtId="2" fontId="88" fillId="37" borderId="56" xfId="11681" applyNumberFormat="1" applyFont="1" applyFill="1" applyBorder="1" applyAlignment="1">
      <alignment horizontal="center" vertical="center" wrapText="1"/>
    </xf>
    <xf numFmtId="4" fontId="88" fillId="37" borderId="56" xfId="11681" applyNumberFormat="1" applyFont="1" applyFill="1" applyBorder="1" applyAlignment="1">
      <alignment horizontal="center" vertical="center" wrapText="1"/>
    </xf>
    <xf numFmtId="14" fontId="127" fillId="0" borderId="51" xfId="11681" applyNumberFormat="1" applyFont="1" applyBorder="1" applyAlignment="1">
      <alignment horizontal="center" vertical="center"/>
    </xf>
    <xf numFmtId="3" fontId="127" fillId="41" borderId="56" xfId="11682" applyNumberFormat="1" applyFont="1" applyFill="1" applyBorder="1" applyAlignment="1">
      <alignment horizontal="left" vertical="center" wrapText="1"/>
    </xf>
    <xf numFmtId="0" fontId="127" fillId="41" borderId="56" xfId="11682" applyFont="1" applyFill="1" applyBorder="1" applyAlignment="1">
      <alignment horizontal="left" vertical="center" wrapText="1"/>
    </xf>
    <xf numFmtId="0" fontId="127" fillId="0" borderId="56" xfId="11681" applyFont="1" applyBorder="1" applyAlignment="1">
      <alignment horizontal="center" vertical="center" wrapText="1"/>
    </xf>
    <xf numFmtId="3" fontId="127" fillId="41" borderId="56" xfId="11682" applyNumberFormat="1" applyFont="1" applyFill="1" applyBorder="1" applyAlignment="1">
      <alignment horizontal="center" vertical="center" wrapText="1"/>
    </xf>
    <xf numFmtId="4" fontId="87" fillId="0" borderId="56" xfId="11681" applyNumberFormat="1" applyFont="1" applyBorder="1" applyAlignment="1">
      <alignment horizontal="center" vertical="center" wrapText="1"/>
    </xf>
    <xf numFmtId="4" fontId="127" fillId="0" borderId="56" xfId="11681" applyNumberFormat="1" applyFont="1" applyBorder="1"/>
    <xf numFmtId="14" fontId="87" fillId="0" borderId="3" xfId="11681" applyNumberFormat="1" applyFont="1" applyBorder="1" applyAlignment="1">
      <alignment horizontal="center" vertical="center" wrapText="1"/>
    </xf>
    <xf numFmtId="0" fontId="127" fillId="0" borderId="51" xfId="11682" applyFont="1" applyBorder="1" applyAlignment="1">
      <alignment horizontal="left" vertical="center" wrapText="1"/>
    </xf>
    <xf numFmtId="0" fontId="136" fillId="0" borderId="51" xfId="11682" applyFont="1" applyBorder="1"/>
    <xf numFmtId="0" fontId="87" fillId="0" borderId="51" xfId="11681" applyFont="1" applyBorder="1" applyAlignment="1">
      <alignment vertical="center" wrapText="1"/>
    </xf>
    <xf numFmtId="0" fontId="127" fillId="0" borderId="51" xfId="11682" applyFont="1" applyBorder="1" applyAlignment="1">
      <alignment vertical="center" wrapText="1"/>
    </xf>
    <xf numFmtId="0" fontId="127" fillId="0" borderId="3" xfId="11681" applyFont="1" applyBorder="1" applyAlignment="1">
      <alignment horizontal="center" vertical="center" wrapText="1"/>
    </xf>
    <xf numFmtId="14" fontId="136" fillId="0" borderId="51" xfId="11681" applyNumberFormat="1" applyFont="1" applyBorder="1" applyAlignment="1">
      <alignment horizontal="center" vertical="center"/>
    </xf>
    <xf numFmtId="0" fontId="88" fillId="37" borderId="51" xfId="11681" applyFont="1" applyFill="1" applyBorder="1" applyAlignment="1">
      <alignment horizontal="left" vertical="center"/>
    </xf>
    <xf numFmtId="0" fontId="127" fillId="37" borderId="51" xfId="11681" applyFont="1" applyFill="1" applyBorder="1" applyAlignment="1">
      <alignment horizontal="left" vertical="center"/>
    </xf>
    <xf numFmtId="0" fontId="88" fillId="37" borderId="51" xfId="11681" applyFont="1" applyFill="1" applyBorder="1" applyAlignment="1">
      <alignment horizontal="center" vertical="center"/>
    </xf>
    <xf numFmtId="0" fontId="127" fillId="37" borderId="51" xfId="11681" applyFont="1" applyFill="1" applyBorder="1" applyAlignment="1">
      <alignment vertical="center"/>
    </xf>
    <xf numFmtId="4" fontId="88" fillId="37" borderId="51" xfId="11681" applyNumberFormat="1" applyFont="1" applyFill="1" applyBorder="1" applyAlignment="1">
      <alignment horizontal="center" vertical="center"/>
    </xf>
    <xf numFmtId="4" fontId="127" fillId="37" borderId="51" xfId="11681" applyNumberFormat="1" applyFont="1" applyFill="1" applyBorder="1" applyAlignment="1">
      <alignment horizontal="center" vertical="center"/>
    </xf>
    <xf numFmtId="0" fontId="127" fillId="39" borderId="51" xfId="11681" applyFont="1" applyFill="1" applyBorder="1" applyAlignment="1">
      <alignment horizontal="center" vertical="center"/>
    </xf>
    <xf numFmtId="0" fontId="88" fillId="39" borderId="51" xfId="11681" applyFont="1" applyFill="1" applyBorder="1" applyAlignment="1">
      <alignment horizontal="left" vertical="center"/>
    </xf>
    <xf numFmtId="0" fontId="127" fillId="39" borderId="51" xfId="11681" applyFont="1" applyFill="1" applyBorder="1" applyAlignment="1">
      <alignment horizontal="left" vertical="center"/>
    </xf>
    <xf numFmtId="0" fontId="88" fillId="39" borderId="51" xfId="11681" applyFont="1" applyFill="1" applyBorder="1" applyAlignment="1">
      <alignment horizontal="center" vertical="center"/>
    </xf>
    <xf numFmtId="0" fontId="127" fillId="39" borderId="51" xfId="11681" applyFont="1" applyFill="1" applyBorder="1" applyAlignment="1">
      <alignment vertical="center"/>
    </xf>
    <xf numFmtId="4" fontId="88" fillId="39" borderId="51" xfId="11681" applyNumberFormat="1" applyFont="1" applyFill="1" applyBorder="1" applyAlignment="1">
      <alignment horizontal="center" vertical="center"/>
    </xf>
    <xf numFmtId="0" fontId="127" fillId="39" borderId="51" xfId="11681" applyFont="1" applyFill="1" applyBorder="1"/>
    <xf numFmtId="0" fontId="127" fillId="0" borderId="51" xfId="11681" applyFont="1" applyBorder="1" applyAlignment="1">
      <alignment horizontal="center" vertical="center"/>
    </xf>
    <xf numFmtId="3" fontId="127" fillId="38" borderId="41" xfId="11673" applyNumberFormat="1" applyFont="1" applyFill="1" applyBorder="1" applyAlignment="1">
      <alignment horizontal="center" vertical="center" wrapText="1"/>
    </xf>
    <xf numFmtId="0" fontId="127" fillId="0" borderId="51" xfId="11681" applyFont="1" applyBorder="1"/>
    <xf numFmtId="4" fontId="127" fillId="0" borderId="54" xfId="11681" applyNumberFormat="1" applyFont="1" applyBorder="1" applyAlignment="1">
      <alignment horizontal="center" vertical="center"/>
    </xf>
    <xf numFmtId="0" fontId="127" fillId="6" borderId="51" xfId="11681" applyFont="1" applyFill="1" applyBorder="1" applyAlignment="1">
      <alignment horizontal="center" vertical="center"/>
    </xf>
    <xf numFmtId="3" fontId="127" fillId="6" borderId="51" xfId="11682" applyNumberFormat="1" applyFont="1" applyFill="1" applyBorder="1" applyAlignment="1">
      <alignment horizontal="left" vertical="center" wrapText="1"/>
    </xf>
    <xf numFmtId="0" fontId="149" fillId="6" borderId="51" xfId="11681" applyFont="1" applyFill="1" applyBorder="1" applyAlignment="1">
      <alignment vertical="center"/>
    </xf>
    <xf numFmtId="3" fontId="127" fillId="6" borderId="41" xfId="11673" applyNumberFormat="1" applyFont="1" applyFill="1" applyBorder="1" applyAlignment="1">
      <alignment horizontal="center" vertical="center" wrapText="1"/>
    </xf>
    <xf numFmtId="14" fontId="127" fillId="6" borderId="51" xfId="11681" applyNumberFormat="1" applyFont="1" applyFill="1" applyBorder="1" applyAlignment="1">
      <alignment horizontal="center" vertical="center"/>
    </xf>
    <xf numFmtId="3" fontId="127" fillId="6" borderId="51" xfId="11682" applyNumberFormat="1" applyFont="1" applyFill="1" applyBorder="1" applyAlignment="1">
      <alignment horizontal="center" vertical="center" wrapText="1"/>
    </xf>
    <xf numFmtId="4" fontId="127" fillId="6" borderId="51" xfId="11681" applyNumberFormat="1" applyFont="1" applyFill="1" applyBorder="1" applyAlignment="1">
      <alignment horizontal="center" vertical="center"/>
    </xf>
    <xf numFmtId="0" fontId="127" fillId="6" borderId="51" xfId="11681" applyFont="1" applyFill="1" applyBorder="1" applyAlignment="1">
      <alignment vertical="center"/>
    </xf>
    <xf numFmtId="0" fontId="127" fillId="6" borderId="51" xfId="11681" applyFont="1" applyFill="1" applyBorder="1"/>
    <xf numFmtId="4" fontId="127" fillId="6" borderId="54" xfId="11681" applyNumberFormat="1" applyFont="1" applyFill="1" applyBorder="1" applyAlignment="1">
      <alignment horizontal="center" vertical="center"/>
    </xf>
    <xf numFmtId="0" fontId="127" fillId="6" borderId="0" xfId="11681" applyFont="1" applyFill="1"/>
    <xf numFmtId="0" fontId="127" fillId="38" borderId="0" xfId="11681" applyFont="1" applyFill="1"/>
    <xf numFmtId="3" fontId="127" fillId="38" borderId="51" xfId="11682" applyNumberFormat="1" applyFont="1" applyFill="1" applyBorder="1" applyAlignment="1">
      <alignment horizontal="left" vertical="center" wrapText="1"/>
    </xf>
    <xf numFmtId="4" fontId="127" fillId="38" borderId="51" xfId="11681" applyNumberFormat="1" applyFont="1" applyFill="1" applyBorder="1" applyAlignment="1">
      <alignment horizontal="center" vertical="center"/>
    </xf>
    <xf numFmtId="0" fontId="127" fillId="38" borderId="51" xfId="11681" applyFont="1" applyFill="1" applyBorder="1" applyAlignment="1">
      <alignment vertical="center"/>
    </xf>
    <xf numFmtId="0" fontId="127" fillId="38" borderId="51" xfId="11681" applyFont="1" applyFill="1" applyBorder="1"/>
    <xf numFmtId="0" fontId="127" fillId="41" borderId="51" xfId="11682" applyFont="1" applyFill="1" applyBorder="1" applyAlignment="1">
      <alignment vertical="center" wrapText="1"/>
    </xf>
    <xf numFmtId="0" fontId="127" fillId="38" borderId="51" xfId="11681" applyFont="1" applyFill="1" applyBorder="1" applyAlignment="1">
      <alignment horizontal="center" vertical="center"/>
    </xf>
    <xf numFmtId="14" fontId="127" fillId="38" borderId="51" xfId="11681" applyNumberFormat="1" applyFont="1" applyFill="1" applyBorder="1" applyAlignment="1">
      <alignment horizontal="center" vertical="center"/>
    </xf>
    <xf numFmtId="14" fontId="87" fillId="38" borderId="51" xfId="11681" applyNumberFormat="1" applyFont="1" applyFill="1" applyBorder="1" applyAlignment="1">
      <alignment horizontal="center" vertical="center" wrapText="1"/>
    </xf>
    <xf numFmtId="3" fontId="127" fillId="55" borderId="51" xfId="11682" applyNumberFormat="1" applyFont="1" applyFill="1" applyBorder="1" applyAlignment="1">
      <alignment horizontal="left" vertical="center" wrapText="1"/>
    </xf>
    <xf numFmtId="3" fontId="88" fillId="55" borderId="51" xfId="11682" applyNumberFormat="1" applyFont="1" applyFill="1" applyBorder="1" applyAlignment="1">
      <alignment horizontal="left" vertical="center" wrapText="1"/>
    </xf>
    <xf numFmtId="14" fontId="87" fillId="6" borderId="51" xfId="11681" applyNumberFormat="1" applyFont="1" applyFill="1" applyBorder="1" applyAlignment="1">
      <alignment horizontal="center" vertical="center" wrapText="1"/>
    </xf>
    <xf numFmtId="0" fontId="88" fillId="6" borderId="51" xfId="11681" applyFont="1" applyFill="1" applyBorder="1" applyAlignment="1">
      <alignment horizontal="center" vertical="center"/>
    </xf>
    <xf numFmtId="4" fontId="88" fillId="6" borderId="51" xfId="11681" applyNumberFormat="1" applyFont="1" applyFill="1" applyBorder="1" applyAlignment="1">
      <alignment horizontal="center" vertical="center"/>
    </xf>
    <xf numFmtId="0" fontId="88" fillId="6" borderId="51" xfId="11681" applyFont="1" applyFill="1" applyBorder="1" applyAlignment="1">
      <alignment vertical="center"/>
    </xf>
    <xf numFmtId="0" fontId="88" fillId="6" borderId="51" xfId="11681" applyFont="1" applyFill="1" applyBorder="1"/>
    <xf numFmtId="0" fontId="127" fillId="38" borderId="51" xfId="11682" applyFont="1" applyFill="1" applyBorder="1" applyAlignment="1">
      <alignment horizontal="left" vertical="center" wrapText="1"/>
    </xf>
    <xf numFmtId="0" fontId="136" fillId="38" borderId="51" xfId="11681" applyFont="1" applyFill="1" applyBorder="1" applyAlignment="1">
      <alignment vertical="center" wrapText="1"/>
    </xf>
    <xf numFmtId="3" fontId="88" fillId="58" borderId="51" xfId="11682" applyNumberFormat="1" applyFont="1" applyFill="1" applyBorder="1" applyAlignment="1">
      <alignment horizontal="left" vertical="center" wrapText="1"/>
    </xf>
    <xf numFmtId="0" fontId="127" fillId="58" borderId="51" xfId="11681" applyFont="1" applyFill="1" applyBorder="1" applyAlignment="1">
      <alignment horizontal="center" vertical="center"/>
    </xf>
    <xf numFmtId="0" fontId="88" fillId="58" borderId="51" xfId="11681" applyFont="1" applyFill="1" applyBorder="1" applyAlignment="1">
      <alignment horizontal="center" vertical="center"/>
    </xf>
    <xf numFmtId="4" fontId="88" fillId="58" borderId="51" xfId="11681" applyNumberFormat="1" applyFont="1" applyFill="1" applyBorder="1" applyAlignment="1">
      <alignment horizontal="center" vertical="center"/>
    </xf>
    <xf numFmtId="0" fontId="88" fillId="58" borderId="51" xfId="11681" applyFont="1" applyFill="1" applyBorder="1" applyAlignment="1">
      <alignment vertical="center"/>
    </xf>
    <xf numFmtId="0" fontId="88" fillId="58" borderId="51" xfId="11681" applyFont="1" applyFill="1" applyBorder="1"/>
    <xf numFmtId="0" fontId="136" fillId="38" borderId="51" xfId="11683" applyFont="1" applyFill="1" applyBorder="1" applyAlignment="1">
      <alignment vertical="center" wrapText="1"/>
    </xf>
    <xf numFmtId="4" fontId="127" fillId="41" borderId="51" xfId="11682" applyNumberFormat="1" applyFont="1" applyFill="1" applyBorder="1" applyAlignment="1">
      <alignment horizontal="center" vertical="center" wrapText="1"/>
    </xf>
    <xf numFmtId="3" fontId="127" fillId="68" borderId="51" xfId="11682" applyNumberFormat="1" applyFont="1" applyFill="1" applyBorder="1" applyAlignment="1">
      <alignment horizontal="left" vertical="center" wrapText="1"/>
    </xf>
    <xf numFmtId="0" fontId="137" fillId="6" borderId="51" xfId="11683" applyFont="1" applyFill="1" applyBorder="1" applyAlignment="1">
      <alignment vertical="center" wrapText="1"/>
    </xf>
    <xf numFmtId="0" fontId="127" fillId="0" borderId="56" xfId="11681" applyFont="1" applyBorder="1" applyAlignment="1">
      <alignment horizontal="center" vertical="center"/>
    </xf>
    <xf numFmtId="0" fontId="136" fillId="0" borderId="51" xfId="11682" applyFont="1" applyBorder="1" applyAlignment="1">
      <alignment vertical="center" wrapText="1"/>
    </xf>
    <xf numFmtId="0" fontId="127" fillId="0" borderId="51" xfId="11682" applyFont="1" applyBorder="1" applyAlignment="1">
      <alignment horizontal="left" vertical="center"/>
    </xf>
    <xf numFmtId="3" fontId="127" fillId="41" borderId="51" xfId="11682" applyNumberFormat="1" applyFont="1" applyFill="1" applyBorder="1" applyAlignment="1">
      <alignment horizontal="left" vertical="center"/>
    </xf>
    <xf numFmtId="0" fontId="137" fillId="58" borderId="51" xfId="11683" applyFont="1" applyFill="1" applyBorder="1" applyAlignment="1">
      <alignment vertical="center" wrapText="1"/>
    </xf>
    <xf numFmtId="0" fontId="136" fillId="38" borderId="51" xfId="11682" applyFont="1" applyFill="1" applyBorder="1" applyAlignment="1">
      <alignment horizontal="left" vertical="center" wrapText="1"/>
    </xf>
    <xf numFmtId="3" fontId="127" fillId="38" borderId="51" xfId="11682" applyNumberFormat="1" applyFont="1" applyFill="1" applyBorder="1" applyAlignment="1">
      <alignment horizontal="center" vertical="center" wrapText="1"/>
    </xf>
    <xf numFmtId="3" fontId="88" fillId="55" borderId="51" xfId="11682" applyNumberFormat="1" applyFont="1" applyFill="1" applyBorder="1" applyAlignment="1">
      <alignment horizontal="center" vertical="center" wrapText="1"/>
    </xf>
    <xf numFmtId="1" fontId="127" fillId="41" borderId="51" xfId="11682" applyNumberFormat="1" applyFont="1" applyFill="1" applyBorder="1" applyAlignment="1">
      <alignment horizontal="center" vertical="center" wrapText="1"/>
    </xf>
    <xf numFmtId="2" fontId="127" fillId="38" borderId="51" xfId="11682" applyNumberFormat="1" applyFont="1" applyFill="1" applyBorder="1" applyAlignment="1">
      <alignment horizontal="center" vertical="center" wrapText="1"/>
    </xf>
    <xf numFmtId="199" fontId="127" fillId="41" borderId="51" xfId="11682" applyNumberFormat="1" applyFont="1" applyFill="1" applyBorder="1" applyAlignment="1">
      <alignment horizontal="center" vertical="center" wrapText="1"/>
    </xf>
    <xf numFmtId="0" fontId="127" fillId="41" borderId="51" xfId="11682" applyFont="1" applyFill="1" applyBorder="1" applyAlignment="1">
      <alignment horizontal="left" vertical="center"/>
    </xf>
    <xf numFmtId="0" fontId="127" fillId="41" borderId="51" xfId="11682" applyFont="1" applyFill="1" applyBorder="1" applyAlignment="1">
      <alignment horizontal="left" vertical="center" wrapText="1"/>
    </xf>
    <xf numFmtId="206" fontId="127" fillId="38" borderId="31" xfId="4987" applyNumberFormat="1" applyFont="1" applyFill="1" applyBorder="1" applyAlignment="1">
      <alignment horizontal="center" vertical="center" wrapText="1"/>
    </xf>
    <xf numFmtId="1" fontId="127" fillId="38" borderId="51" xfId="11682" applyNumberFormat="1" applyFont="1" applyFill="1" applyBorder="1" applyAlignment="1">
      <alignment horizontal="center" vertical="center" wrapText="1"/>
    </xf>
    <xf numFmtId="199" fontId="127" fillId="38" borderId="51" xfId="11682" applyNumberFormat="1" applyFont="1" applyFill="1" applyBorder="1" applyAlignment="1">
      <alignment horizontal="center" vertical="center" wrapText="1"/>
    </xf>
    <xf numFmtId="3" fontId="127" fillId="58" borderId="51" xfId="11682" applyNumberFormat="1" applyFont="1" applyFill="1" applyBorder="1" applyAlignment="1">
      <alignment horizontal="left" vertical="center" wrapText="1"/>
    </xf>
    <xf numFmtId="0" fontId="137" fillId="58" borderId="51" xfId="11681" applyFont="1" applyFill="1" applyBorder="1" applyAlignment="1">
      <alignment wrapText="1"/>
    </xf>
    <xf numFmtId="14" fontId="87" fillId="58" borderId="51" xfId="11681" applyNumberFormat="1" applyFont="1" applyFill="1" applyBorder="1" applyAlignment="1">
      <alignment horizontal="center" vertical="center" wrapText="1"/>
    </xf>
    <xf numFmtId="2" fontId="88" fillId="39" borderId="51" xfId="11681" applyNumberFormat="1" applyFont="1" applyFill="1" applyBorder="1" applyAlignment="1">
      <alignment horizontal="center" vertical="center"/>
    </xf>
    <xf numFmtId="3" fontId="127" fillId="41" borderId="55" xfId="11682" applyNumberFormat="1" applyFont="1" applyFill="1" applyBorder="1" applyAlignment="1">
      <alignment horizontal="left" vertical="center" wrapText="1"/>
    </xf>
    <xf numFmtId="3" fontId="127" fillId="41" borderId="54" xfId="11682" applyNumberFormat="1" applyFont="1" applyFill="1" applyBorder="1" applyAlignment="1">
      <alignment horizontal="left" vertical="center"/>
    </xf>
    <xf numFmtId="3" fontId="127" fillId="6" borderId="55" xfId="11682" applyNumberFormat="1" applyFont="1" applyFill="1" applyBorder="1" applyAlignment="1">
      <alignment horizontal="left" vertical="center" wrapText="1"/>
    </xf>
    <xf numFmtId="0" fontId="127" fillId="41" borderId="55" xfId="11682" applyFont="1" applyFill="1" applyBorder="1" applyAlignment="1">
      <alignment horizontal="left" vertical="center" wrapText="1"/>
    </xf>
    <xf numFmtId="0" fontId="127" fillId="41" borderId="54" xfId="11682" applyFont="1" applyFill="1" applyBorder="1" applyAlignment="1">
      <alignment horizontal="left" vertical="center"/>
    </xf>
    <xf numFmtId="0" fontId="127" fillId="39" borderId="54" xfId="11681" applyFont="1" applyFill="1" applyBorder="1" applyAlignment="1">
      <alignment horizontal="left" vertical="center"/>
    </xf>
    <xf numFmtId="0" fontId="136" fillId="0" borderId="51" xfId="11682" applyFont="1" applyBorder="1" applyAlignment="1">
      <alignment vertical="center"/>
    </xf>
    <xf numFmtId="0" fontId="127" fillId="6" borderId="51" xfId="11682" applyFont="1" applyFill="1" applyBorder="1" applyAlignment="1">
      <alignment horizontal="left" vertical="center" wrapText="1"/>
    </xf>
    <xf numFmtId="3" fontId="127" fillId="55" borderId="51" xfId="11682" applyNumberFormat="1" applyFont="1" applyFill="1" applyBorder="1" applyAlignment="1">
      <alignment horizontal="center" vertical="center" wrapText="1"/>
    </xf>
    <xf numFmtId="4" fontId="127" fillId="0" borderId="51" xfId="11681" applyNumberFormat="1" applyFont="1" applyBorder="1" applyAlignment="1">
      <alignment horizontal="center"/>
    </xf>
    <xf numFmtId="3" fontId="127" fillId="57" borderId="51" xfId="11682" applyNumberFormat="1" applyFont="1" applyFill="1" applyBorder="1" applyAlignment="1">
      <alignment horizontal="left" vertical="center" wrapText="1"/>
    </xf>
    <xf numFmtId="3" fontId="88" fillId="57" borderId="51" xfId="11682" applyNumberFormat="1" applyFont="1" applyFill="1" applyBorder="1" applyAlignment="1">
      <alignment horizontal="left" vertical="center" wrapText="1"/>
    </xf>
    <xf numFmtId="3" fontId="127" fillId="57" borderId="55" xfId="11682" applyNumberFormat="1" applyFont="1" applyFill="1" applyBorder="1" applyAlignment="1">
      <alignment horizontal="center" vertical="center" wrapText="1"/>
    </xf>
    <xf numFmtId="0" fontId="127" fillId="57" borderId="51" xfId="11681" applyFont="1" applyFill="1" applyBorder="1" applyAlignment="1">
      <alignment vertical="center"/>
    </xf>
    <xf numFmtId="3" fontId="127" fillId="57" borderId="51" xfId="11682" applyNumberFormat="1" applyFont="1" applyFill="1" applyBorder="1" applyAlignment="1">
      <alignment horizontal="center" vertical="center" wrapText="1"/>
    </xf>
    <xf numFmtId="4" fontId="127" fillId="57" borderId="51" xfId="11681" applyNumberFormat="1" applyFont="1" applyFill="1" applyBorder="1" applyAlignment="1">
      <alignment horizontal="center" vertical="center"/>
    </xf>
    <xf numFmtId="4" fontId="127" fillId="57" borderId="51" xfId="11681" applyNumberFormat="1" applyFont="1" applyFill="1" applyBorder="1" applyAlignment="1">
      <alignment horizontal="center"/>
    </xf>
    <xf numFmtId="169" fontId="127" fillId="0" borderId="55" xfId="11682" applyNumberFormat="1" applyFont="1" applyBorder="1" applyAlignment="1">
      <alignment horizontal="center" vertical="center" wrapText="1"/>
    </xf>
    <xf numFmtId="169" fontId="127" fillId="6" borderId="51" xfId="11682" applyNumberFormat="1" applyFont="1" applyFill="1" applyBorder="1" applyAlignment="1">
      <alignment horizontal="center" vertical="center" wrapText="1"/>
    </xf>
    <xf numFmtId="4" fontId="127" fillId="6" borderId="51" xfId="11681" applyNumberFormat="1" applyFont="1" applyFill="1" applyBorder="1" applyAlignment="1">
      <alignment horizontal="center"/>
    </xf>
    <xf numFmtId="0" fontId="136" fillId="0" borderId="51" xfId="11681" applyFont="1" applyBorder="1" applyAlignment="1">
      <alignment vertical="center"/>
    </xf>
    <xf numFmtId="3" fontId="127" fillId="56" borderId="51" xfId="11682" applyNumberFormat="1" applyFont="1" applyFill="1" applyBorder="1" applyAlignment="1">
      <alignment horizontal="left" vertical="center" wrapText="1"/>
    </xf>
    <xf numFmtId="3" fontId="88" fillId="56" borderId="51" xfId="11682" applyNumberFormat="1" applyFont="1" applyFill="1" applyBorder="1" applyAlignment="1">
      <alignment horizontal="left" vertical="center" wrapText="1"/>
    </xf>
    <xf numFmtId="169" fontId="127" fillId="56" borderId="51" xfId="11682" applyNumberFormat="1" applyFont="1" applyFill="1" applyBorder="1" applyAlignment="1">
      <alignment horizontal="center" vertical="center" wrapText="1"/>
    </xf>
    <xf numFmtId="3" fontId="127" fillId="56" borderId="51" xfId="11682" applyNumberFormat="1" applyFont="1" applyFill="1" applyBorder="1" applyAlignment="1">
      <alignment horizontal="center" vertical="center" wrapText="1"/>
    </xf>
    <xf numFmtId="0" fontId="127" fillId="57" borderId="51" xfId="11681" applyFont="1" applyFill="1" applyBorder="1"/>
    <xf numFmtId="0" fontId="127" fillId="0" borderId="0" xfId="11681" applyFont="1" applyAlignment="1">
      <alignment horizontal="center" vertical="center"/>
    </xf>
    <xf numFmtId="4" fontId="88" fillId="0" borderId="51" xfId="11681" applyNumberFormat="1" applyFont="1" applyBorder="1" applyAlignment="1">
      <alignment horizontal="center" vertical="center"/>
    </xf>
    <xf numFmtId="0" fontId="136" fillId="0" borderId="51" xfId="11683" applyFont="1" applyBorder="1" applyAlignment="1">
      <alignment wrapText="1"/>
    </xf>
    <xf numFmtId="4" fontId="127" fillId="0" borderId="51" xfId="11682" applyNumberFormat="1" applyFont="1" applyBorder="1" applyAlignment="1">
      <alignment horizontal="center" vertical="center" wrapText="1"/>
    </xf>
    <xf numFmtId="3" fontId="127" fillId="59" borderId="51" xfId="11682" applyNumberFormat="1" applyFont="1" applyFill="1" applyBorder="1" applyAlignment="1">
      <alignment horizontal="left" vertical="center" wrapText="1"/>
    </xf>
    <xf numFmtId="3" fontId="127" fillId="0" borderId="54" xfId="11682" applyNumberFormat="1" applyFont="1" applyBorder="1" applyAlignment="1">
      <alignment horizontal="left" vertical="center"/>
    </xf>
    <xf numFmtId="0" fontId="88" fillId="0" borderId="51" xfId="11681" applyFont="1" applyBorder="1" applyAlignment="1">
      <alignment horizontal="center" vertical="center" wrapText="1"/>
    </xf>
    <xf numFmtId="0" fontId="127" fillId="6" borderId="56" xfId="11681" applyFont="1" applyFill="1" applyBorder="1" applyAlignment="1">
      <alignment horizontal="center" vertical="center" wrapText="1"/>
    </xf>
    <xf numFmtId="0" fontId="88" fillId="57" borderId="51" xfId="11681" applyFont="1" applyFill="1" applyBorder="1" applyAlignment="1">
      <alignment horizontal="center" vertical="center" wrapText="1"/>
    </xf>
    <xf numFmtId="0" fontId="127" fillId="6" borderId="3" xfId="11681" applyFont="1" applyFill="1" applyBorder="1" applyAlignment="1">
      <alignment horizontal="center" vertical="center" wrapText="1"/>
    </xf>
    <xf numFmtId="0" fontId="88" fillId="6" borderId="51" xfId="11681" applyFont="1" applyFill="1" applyBorder="1" applyAlignment="1">
      <alignment horizontal="center" vertical="center" wrapText="1"/>
    </xf>
    <xf numFmtId="14" fontId="127" fillId="6" borderId="51" xfId="11681" applyNumberFormat="1" applyFont="1" applyFill="1" applyBorder="1" applyAlignment="1">
      <alignment horizontal="center" vertical="center" wrapText="1"/>
    </xf>
    <xf numFmtId="0" fontId="136" fillId="0" borderId="51" xfId="11681" applyFont="1" applyBorder="1"/>
    <xf numFmtId="0" fontId="127" fillId="0" borderId="51" xfId="11682" applyFont="1" applyBorder="1" applyAlignment="1">
      <alignment wrapText="1"/>
    </xf>
    <xf numFmtId="0" fontId="127" fillId="6" borderId="51" xfId="11681" applyFont="1" applyFill="1" applyBorder="1" applyAlignment="1">
      <alignment horizontal="center" vertical="center" wrapText="1"/>
    </xf>
    <xf numFmtId="169" fontId="127" fillId="55" borderId="51" xfId="11682" applyNumberFormat="1" applyFont="1" applyFill="1" applyBorder="1" applyAlignment="1">
      <alignment horizontal="center" vertical="center" wrapText="1"/>
    </xf>
    <xf numFmtId="4" fontId="127" fillId="55" borderId="51" xfId="11682" applyNumberFormat="1" applyFont="1" applyFill="1" applyBorder="1" applyAlignment="1">
      <alignment horizontal="center" vertical="center" wrapText="1"/>
    </xf>
    <xf numFmtId="0" fontId="150" fillId="0" borderId="51" xfId="11681" applyFont="1" applyBorder="1" applyAlignment="1">
      <alignment horizontal="center" vertical="center"/>
    </xf>
    <xf numFmtId="0" fontId="151" fillId="0" borderId="51" xfId="11681" applyFont="1" applyBorder="1" applyAlignment="1">
      <alignment horizontal="left" vertical="center"/>
    </xf>
    <xf numFmtId="0" fontId="150" fillId="0" borderId="51" xfId="11681" applyFont="1" applyBorder="1" applyAlignment="1">
      <alignment horizontal="left" vertical="center"/>
    </xf>
    <xf numFmtId="0" fontId="151" fillId="0" borderId="51" xfId="11681" applyFont="1" applyBorder="1" applyAlignment="1">
      <alignment horizontal="center" vertical="center"/>
    </xf>
    <xf numFmtId="3" fontId="151" fillId="0" borderId="51" xfId="11681" applyNumberFormat="1" applyFont="1" applyBorder="1" applyAlignment="1">
      <alignment horizontal="center" vertical="center"/>
    </xf>
    <xf numFmtId="4" fontId="151" fillId="0" borderId="51" xfId="11681" applyNumberFormat="1" applyFont="1" applyBorder="1" applyAlignment="1">
      <alignment horizontal="center" vertical="center"/>
    </xf>
    <xf numFmtId="0" fontId="88" fillId="0" borderId="51" xfId="11681" applyFont="1" applyBorder="1" applyAlignment="1">
      <alignment horizontal="center" vertical="center"/>
    </xf>
    <xf numFmtId="4" fontId="127" fillId="0" borderId="0" xfId="11681" applyNumberFormat="1" applyFont="1"/>
    <xf numFmtId="1" fontId="151" fillId="0" borderId="51" xfId="11681" applyNumberFormat="1" applyFont="1" applyBorder="1" applyAlignment="1">
      <alignment horizontal="center" vertical="center"/>
    </xf>
    <xf numFmtId="2" fontId="151" fillId="0" borderId="51" xfId="11681" applyNumberFormat="1" applyFont="1" applyBorder="1" applyAlignment="1">
      <alignment horizontal="center" vertical="center"/>
    </xf>
    <xf numFmtId="0" fontId="84" fillId="0" borderId="0" xfId="11681" applyFont="1" applyAlignment="1">
      <alignment horizontal="left" vertical="center"/>
    </xf>
    <xf numFmtId="4" fontId="84" fillId="0" borderId="0" xfId="11681" applyNumberFormat="1" applyFont="1" applyAlignment="1">
      <alignment horizontal="center" vertical="center"/>
    </xf>
    <xf numFmtId="4" fontId="110" fillId="0" borderId="0" xfId="11681" applyNumberFormat="1" applyFont="1" applyAlignment="1">
      <alignment vertical="center"/>
    </xf>
    <xf numFmtId="4" fontId="86" fillId="38" borderId="0" xfId="11681" applyNumberFormat="1" applyFont="1" applyFill="1" applyAlignment="1">
      <alignment vertical="center"/>
    </xf>
    <xf numFmtId="0" fontId="127" fillId="0" borderId="0" xfId="11681" applyFont="1" applyAlignment="1">
      <alignment horizontal="left" vertical="center"/>
    </xf>
    <xf numFmtId="0" fontId="88" fillId="0" borderId="0" xfId="11681" applyFont="1" applyAlignment="1">
      <alignment horizontal="left" vertical="center"/>
    </xf>
    <xf numFmtId="4" fontId="127" fillId="0" borderId="0" xfId="11681" applyNumberFormat="1" applyFont="1" applyAlignment="1">
      <alignment horizontal="center" vertical="center"/>
    </xf>
    <xf numFmtId="3" fontId="120" fillId="38" borderId="51" xfId="11673" applyNumberFormat="1" applyFont="1" applyFill="1" applyBorder="1" applyAlignment="1">
      <alignment horizontal="center" vertical="center" wrapText="1"/>
    </xf>
    <xf numFmtId="3" fontId="120" fillId="69" borderId="51" xfId="11673" applyNumberFormat="1" applyFont="1" applyFill="1" applyBorder="1" applyAlignment="1">
      <alignment horizontal="center" vertical="center" wrapText="1"/>
    </xf>
    <xf numFmtId="0" fontId="120" fillId="70" borderId="51" xfId="11673" applyFont="1" applyFill="1" applyBorder="1" applyAlignment="1">
      <alignment horizontal="center" vertical="center"/>
    </xf>
    <xf numFmtId="3" fontId="120" fillId="70" borderId="51" xfId="11673" applyNumberFormat="1" applyFont="1" applyFill="1" applyBorder="1" applyAlignment="1">
      <alignment horizontal="center" vertical="center" wrapText="1"/>
    </xf>
    <xf numFmtId="0" fontId="120" fillId="70" borderId="51" xfId="11673" applyFont="1" applyFill="1" applyBorder="1" applyAlignment="1">
      <alignment horizontal="left" vertical="center" wrapText="1"/>
    </xf>
    <xf numFmtId="0" fontId="103" fillId="71" borderId="51" xfId="11673" applyFont="1" applyFill="1" applyBorder="1" applyAlignment="1">
      <alignment horizontal="center" vertical="center" wrapText="1"/>
    </xf>
    <xf numFmtId="49" fontId="120" fillId="70" borderId="33" xfId="11673" applyNumberFormat="1" applyFont="1" applyFill="1" applyBorder="1" applyAlignment="1">
      <alignment horizontal="center" vertical="center" wrapText="1"/>
    </xf>
    <xf numFmtId="3" fontId="120" fillId="70" borderId="31" xfId="11673" applyNumberFormat="1" applyFont="1" applyFill="1" applyBorder="1" applyAlignment="1">
      <alignment horizontal="center" vertical="center" wrapText="1"/>
    </xf>
    <xf numFmtId="4" fontId="120" fillId="70" borderId="31" xfId="11673" applyNumberFormat="1" applyFont="1" applyFill="1" applyBorder="1" applyAlignment="1">
      <alignment horizontal="center" vertical="center" wrapText="1"/>
    </xf>
    <xf numFmtId="1" fontId="120" fillId="70" borderId="31" xfId="11673" applyNumberFormat="1" applyFont="1" applyFill="1" applyBorder="1" applyAlignment="1">
      <alignment horizontal="center" vertical="center" wrapText="1"/>
    </xf>
    <xf numFmtId="3" fontId="121" fillId="72" borderId="31" xfId="11673" applyNumberFormat="1" applyFont="1" applyFill="1" applyBorder="1" applyAlignment="1">
      <alignment horizontal="center" vertical="center"/>
    </xf>
    <xf numFmtId="3" fontId="120" fillId="72" borderId="31" xfId="11673" applyNumberFormat="1" applyFont="1" applyFill="1" applyBorder="1" applyAlignment="1">
      <alignment horizontal="center" vertical="center" wrapText="1"/>
    </xf>
    <xf numFmtId="3" fontId="120" fillId="73" borderId="31" xfId="11673" applyNumberFormat="1" applyFont="1" applyFill="1" applyBorder="1" applyAlignment="1">
      <alignment horizontal="center" vertical="center" wrapText="1"/>
    </xf>
    <xf numFmtId="49" fontId="120" fillId="70" borderId="31" xfId="11673" applyNumberFormat="1" applyFont="1" applyFill="1" applyBorder="1" applyAlignment="1">
      <alignment horizontal="center" vertical="center" wrapText="1"/>
    </xf>
    <xf numFmtId="169" fontId="120" fillId="70" borderId="31" xfId="11673" applyNumberFormat="1" applyFont="1" applyFill="1" applyBorder="1" applyAlignment="1">
      <alignment horizontal="center" vertical="center" wrapText="1"/>
    </xf>
    <xf numFmtId="4" fontId="121" fillId="70" borderId="31" xfId="11673" applyNumberFormat="1" applyFont="1" applyFill="1" applyBorder="1" applyAlignment="1">
      <alignment horizontal="center" vertical="center"/>
    </xf>
    <xf numFmtId="3" fontId="120" fillId="69" borderId="31" xfId="11673" applyNumberFormat="1" applyFont="1" applyFill="1" applyBorder="1" applyAlignment="1">
      <alignment horizontal="center" vertical="center" wrapText="1"/>
    </xf>
    <xf numFmtId="3" fontId="120" fillId="38" borderId="37" xfId="11673" applyNumberFormat="1" applyFont="1" applyFill="1" applyBorder="1" applyAlignment="1">
      <alignment horizontal="center" vertical="center" wrapText="1"/>
    </xf>
    <xf numFmtId="3" fontId="120" fillId="38" borderId="59" xfId="11673" applyNumberFormat="1" applyFont="1" applyFill="1" applyBorder="1" applyAlignment="1">
      <alignment horizontal="center" vertical="center" wrapText="1"/>
    </xf>
    <xf numFmtId="3" fontId="120" fillId="38" borderId="40" xfId="11673" applyNumberFormat="1" applyFont="1" applyFill="1" applyBorder="1" applyAlignment="1">
      <alignment horizontal="center" vertical="center" wrapText="1"/>
    </xf>
    <xf numFmtId="4" fontId="108" fillId="6" borderId="31" xfId="11673" applyNumberFormat="1" applyFont="1" applyFill="1" applyBorder="1" applyAlignment="1">
      <alignment horizontal="center" vertical="center"/>
    </xf>
    <xf numFmtId="0" fontId="120" fillId="39" borderId="40" xfId="11673" applyFont="1" applyFill="1" applyBorder="1" applyAlignment="1">
      <alignment horizontal="left" vertical="center" wrapText="1"/>
    </xf>
    <xf numFmtId="3" fontId="142" fillId="38" borderId="31" xfId="11673" applyNumberFormat="1" applyFont="1" applyFill="1" applyBorder="1" applyAlignment="1">
      <alignment horizontal="center" vertical="center" wrapText="1"/>
    </xf>
    <xf numFmtId="0" fontId="121" fillId="6" borderId="31" xfId="11673" applyFont="1" applyFill="1" applyBorder="1" applyAlignment="1">
      <alignment horizontal="center" vertical="center"/>
    </xf>
    <xf numFmtId="3" fontId="142" fillId="38" borderId="40" xfId="11673" applyNumberFormat="1" applyFont="1" applyFill="1" applyBorder="1" applyAlignment="1">
      <alignment horizontal="center" vertical="center" wrapText="1"/>
    </xf>
    <xf numFmtId="0" fontId="109" fillId="41" borderId="0" xfId="11673" applyFont="1" applyFill="1" applyAlignment="1">
      <alignment horizontal="center" vertical="center"/>
    </xf>
    <xf numFmtId="0" fontId="12" fillId="0" borderId="0" xfId="11673" applyFont="1"/>
    <xf numFmtId="3" fontId="109" fillId="41" borderId="0" xfId="11673" applyNumberFormat="1" applyFont="1" applyFill="1" applyAlignment="1">
      <alignment horizontal="center" vertical="center"/>
    </xf>
    <xf numFmtId="0" fontId="12" fillId="0" borderId="0" xfId="11673" applyFont="1" applyAlignment="1">
      <alignment horizontal="center"/>
    </xf>
    <xf numFmtId="3" fontId="152" fillId="41" borderId="0" xfId="11673" applyNumberFormat="1" applyFont="1" applyFill="1" applyAlignment="1">
      <alignment horizontal="center" vertical="center"/>
    </xf>
    <xf numFmtId="0" fontId="20" fillId="0" borderId="0" xfId="11673" applyFont="1"/>
    <xf numFmtId="0" fontId="20" fillId="0" borderId="0" xfId="11673" applyFont="1" applyAlignment="1">
      <alignment horizontal="center"/>
    </xf>
    <xf numFmtId="3" fontId="95" fillId="0" borderId="0" xfId="11673" applyNumberFormat="1" applyFont="1" applyAlignment="1">
      <alignment horizontal="center"/>
    </xf>
    <xf numFmtId="0" fontId="11" fillId="0" borderId="0" xfId="11673" applyFont="1"/>
    <xf numFmtId="3" fontId="11" fillId="0" borderId="0" xfId="11673" applyNumberFormat="1" applyFont="1" applyAlignment="1">
      <alignment horizontal="center"/>
    </xf>
    <xf numFmtId="0" fontId="11" fillId="38" borderId="0" xfId="0" applyFont="1" applyFill="1" applyAlignment="1">
      <alignment horizontal="left" wrapText="1"/>
    </xf>
    <xf numFmtId="0" fontId="11" fillId="38" borderId="0" xfId="0" applyFont="1" applyFill="1" applyAlignment="1">
      <alignment vertical="center"/>
    </xf>
    <xf numFmtId="0" fontId="12" fillId="0" borderId="51" xfId="3833" applyFont="1" applyFill="1" applyBorder="1" applyAlignment="1">
      <alignment horizontal="center" vertical="center"/>
    </xf>
    <xf numFmtId="3" fontId="109" fillId="0" borderId="51" xfId="3833" applyNumberFormat="1" applyFont="1" applyFill="1" applyBorder="1" applyAlignment="1">
      <alignment horizontal="center" vertical="center"/>
    </xf>
    <xf numFmtId="0" fontId="12" fillId="0" borderId="51" xfId="0" applyFont="1" applyFill="1" applyBorder="1" applyAlignment="1">
      <alignment horizontal="left" wrapText="1"/>
    </xf>
    <xf numFmtId="0" fontId="12" fillId="0" borderId="1" xfId="0" applyFont="1" applyFill="1" applyBorder="1" applyAlignment="1">
      <alignment horizontal="center" vertical="center" wrapText="1"/>
    </xf>
    <xf numFmtId="0" fontId="12" fillId="0" borderId="1" xfId="0" applyFont="1" applyFill="1" applyBorder="1" applyAlignment="1">
      <alignment horizontal="left" vertical="center"/>
    </xf>
    <xf numFmtId="3" fontId="12" fillId="0" borderId="26" xfId="0" applyNumberFormat="1" applyFont="1" applyFill="1" applyBorder="1" applyAlignment="1">
      <alignment horizontal="center" vertical="center"/>
    </xf>
    <xf numFmtId="2" fontId="12" fillId="0" borderId="1" xfId="0" applyNumberFormat="1" applyFont="1" applyFill="1" applyBorder="1" applyAlignment="1">
      <alignment horizontal="center" vertical="center" wrapText="1"/>
    </xf>
    <xf numFmtId="0" fontId="11" fillId="0" borderId="0" xfId="0" applyFont="1" applyFill="1" applyAlignment="1">
      <alignment horizontal="center" vertical="center" wrapText="1"/>
    </xf>
    <xf numFmtId="0" fontId="11"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2" fontId="109" fillId="0" borderId="1" xfId="0" applyNumberFormat="1" applyFont="1" applyFill="1" applyBorder="1" applyAlignment="1">
      <alignment horizontal="center" vertical="center"/>
    </xf>
    <xf numFmtId="0" fontId="11" fillId="0" borderId="1" xfId="0" applyFont="1" applyFill="1" applyBorder="1" applyAlignment="1">
      <alignment horizontal="left" vertical="center"/>
    </xf>
    <xf numFmtId="0" fontId="12" fillId="0" borderId="2" xfId="0" applyFont="1" applyFill="1" applyBorder="1" applyAlignment="1">
      <alignment horizontal="left" vertical="center"/>
    </xf>
    <xf numFmtId="4" fontId="12" fillId="0" borderId="2" xfId="0" applyNumberFormat="1" applyFont="1" applyFill="1" applyBorder="1" applyAlignment="1">
      <alignment horizontal="center" vertical="center"/>
    </xf>
    <xf numFmtId="4" fontId="109" fillId="0" borderId="1" xfId="0" applyNumberFormat="1" applyFont="1" applyFill="1" applyBorder="1" applyAlignment="1">
      <alignment horizontal="center" vertical="center"/>
    </xf>
    <xf numFmtId="0" fontId="109" fillId="0" borderId="1" xfId="0" applyFont="1" applyFill="1" applyBorder="1" applyAlignment="1">
      <alignment horizontal="center" vertical="center"/>
    </xf>
    <xf numFmtId="0" fontId="85" fillId="0" borderId="0" xfId="0" applyFont="1" applyAlignment="1">
      <alignment vertical="center"/>
    </xf>
    <xf numFmtId="0" fontId="153" fillId="0" borderId="0" xfId="0" applyFont="1" applyAlignment="1">
      <alignment vertical="center"/>
    </xf>
    <xf numFmtId="0" fontId="97" fillId="0" borderId="0" xfId="0" applyFont="1" applyAlignment="1">
      <alignment vertical="center"/>
    </xf>
    <xf numFmtId="204" fontId="11" fillId="38" borderId="0" xfId="0" applyNumberFormat="1" applyFont="1" applyFill="1" applyBorder="1" applyAlignment="1">
      <alignment horizontal="center" vertical="center"/>
    </xf>
    <xf numFmtId="0" fontId="51" fillId="0" borderId="27" xfId="0" applyFont="1" applyBorder="1" applyAlignment="1">
      <alignment vertical="center" wrapText="1"/>
    </xf>
    <xf numFmtId="0" fontId="51" fillId="0" borderId="1" xfId="0" applyFont="1" applyBorder="1" applyAlignment="1">
      <alignment vertical="center" wrapText="1"/>
    </xf>
    <xf numFmtId="4" fontId="12" fillId="6" borderId="0" xfId="0" applyNumberFormat="1" applyFont="1" applyFill="1"/>
    <xf numFmtId="0" fontId="84" fillId="0" borderId="0" xfId="3459" applyFont="1" applyAlignment="1">
      <alignment horizontal="left" vertical="top" wrapText="1"/>
    </xf>
    <xf numFmtId="0" fontId="100" fillId="0" borderId="0" xfId="3459" applyFont="1" applyAlignment="1">
      <alignment horizontal="left" vertical="top" wrapText="1"/>
    </xf>
    <xf numFmtId="0" fontId="92" fillId="0" borderId="0" xfId="0" applyFont="1" applyAlignment="1">
      <alignment horizontal="right"/>
    </xf>
    <xf numFmtId="0" fontId="91" fillId="0" borderId="0" xfId="0" applyFont="1" applyAlignment="1">
      <alignment horizontal="center"/>
    </xf>
    <xf numFmtId="0" fontId="104" fillId="0" borderId="0" xfId="0" applyFont="1" applyAlignment="1">
      <alignment horizontal="left" wrapText="1"/>
    </xf>
    <xf numFmtId="0" fontId="104" fillId="0" borderId="30" xfId="0" applyFont="1" applyBorder="1" applyAlignment="1">
      <alignment horizontal="left" wrapText="1"/>
    </xf>
    <xf numFmtId="0" fontId="92" fillId="0" borderId="1" xfId="0" applyFont="1" applyBorder="1" applyAlignment="1">
      <alignment horizontal="center" vertical="center" wrapText="1"/>
    </xf>
    <xf numFmtId="0" fontId="92" fillId="0" borderId="26" xfId="0" applyFont="1" applyBorder="1" applyAlignment="1">
      <alignment horizontal="center" vertical="center"/>
    </xf>
    <xf numFmtId="0" fontId="92" fillId="0" borderId="27" xfId="0" applyFont="1" applyBorder="1" applyAlignment="1">
      <alignment horizontal="center" vertical="center"/>
    </xf>
    <xf numFmtId="0" fontId="92" fillId="0" borderId="2" xfId="0" applyFont="1" applyBorder="1" applyAlignment="1">
      <alignment horizontal="center" vertical="center" wrapText="1"/>
    </xf>
    <xf numFmtId="0" fontId="92" fillId="0" borderId="3" xfId="0" applyFont="1" applyBorder="1" applyAlignment="1">
      <alignment horizontal="center" vertical="center" wrapText="1"/>
    </xf>
    <xf numFmtId="0" fontId="92" fillId="0" borderId="11" xfId="0" applyFont="1" applyBorder="1" applyAlignment="1">
      <alignment horizontal="center" vertical="center"/>
    </xf>
    <xf numFmtId="0" fontId="92" fillId="0" borderId="1" xfId="0" applyFont="1" applyBorder="1" applyAlignment="1">
      <alignment horizontal="center" vertical="center"/>
    </xf>
    <xf numFmtId="3" fontId="85" fillId="0" borderId="0" xfId="0" applyNumberFormat="1" applyFont="1" applyAlignment="1">
      <alignment horizontal="left" vertical="center" wrapText="1"/>
    </xf>
    <xf numFmtId="0" fontId="86" fillId="0" borderId="0" xfId="0" applyFont="1" applyAlignment="1">
      <alignment horizontal="center" wrapText="1"/>
    </xf>
    <xf numFmtId="0" fontId="86" fillId="0" borderId="0" xfId="0" applyFont="1" applyAlignment="1">
      <alignment horizontal="center"/>
    </xf>
    <xf numFmtId="0" fontId="105" fillId="0" borderId="0" xfId="0" applyFont="1" applyAlignment="1">
      <alignment horizontal="center" wrapText="1"/>
    </xf>
    <xf numFmtId="0" fontId="105" fillId="0" borderId="0" xfId="0" applyFont="1" applyAlignment="1">
      <alignment horizontal="center" vertical="center" wrapText="1"/>
    </xf>
    <xf numFmtId="0" fontId="87" fillId="0" borderId="0" xfId="0" applyFont="1" applyAlignment="1">
      <alignment horizontal="right" vertical="center" wrapText="1"/>
    </xf>
    <xf numFmtId="0" fontId="11" fillId="0" borderId="0" xfId="0" applyFont="1" applyAlignment="1">
      <alignment horizontal="center" vertical="center"/>
    </xf>
    <xf numFmtId="0" fontId="85" fillId="0" borderId="0" xfId="0" applyFont="1" applyAlignment="1">
      <alignment horizontal="center" vertical="center"/>
    </xf>
    <xf numFmtId="0" fontId="11" fillId="38" borderId="54" xfId="0" applyFont="1" applyFill="1" applyBorder="1" applyAlignment="1">
      <alignment horizontal="left" vertical="center"/>
    </xf>
    <xf numFmtId="0" fontId="11" fillId="38" borderId="57" xfId="0" applyFont="1" applyFill="1" applyBorder="1" applyAlignment="1">
      <alignment horizontal="left" vertical="center"/>
    </xf>
    <xf numFmtId="0" fontId="11" fillId="38" borderId="55" xfId="0" applyFont="1" applyFill="1" applyBorder="1" applyAlignment="1">
      <alignment horizontal="left" vertical="center"/>
    </xf>
    <xf numFmtId="0" fontId="11" fillId="39" borderId="56" xfId="0" applyFont="1" applyFill="1" applyBorder="1" applyAlignment="1">
      <alignment horizontal="left" vertical="center" wrapText="1"/>
    </xf>
    <xf numFmtId="0" fontId="11" fillId="39" borderId="51" xfId="0" applyFont="1" applyFill="1" applyBorder="1" applyAlignment="1">
      <alignment horizontal="left" vertical="center" wrapText="1"/>
    </xf>
    <xf numFmtId="0" fontId="11" fillId="38" borderId="0" xfId="0" applyFont="1" applyFill="1" applyAlignment="1">
      <alignment horizontal="center"/>
    </xf>
    <xf numFmtId="0" fontId="11" fillId="39" borderId="57" xfId="0" applyFont="1" applyFill="1" applyBorder="1" applyAlignment="1">
      <alignment horizontal="left" vertical="center" wrapText="1"/>
    </xf>
    <xf numFmtId="0" fontId="11" fillId="39" borderId="55" xfId="0" applyFont="1" applyFill="1" applyBorder="1" applyAlignment="1">
      <alignment horizontal="left" vertical="center" wrapText="1"/>
    </xf>
    <xf numFmtId="0" fontId="71" fillId="0" borderId="0" xfId="3459" applyFont="1" applyAlignment="1">
      <alignment horizontal="left" vertical="top" wrapText="1"/>
    </xf>
    <xf numFmtId="0" fontId="12" fillId="38" borderId="0" xfId="0" applyFont="1" applyFill="1" applyAlignment="1">
      <alignment horizontal="left" wrapText="1"/>
    </xf>
    <xf numFmtId="0" fontId="12" fillId="38" borderId="0" xfId="0" applyFont="1" applyFill="1" applyAlignment="1">
      <alignment horizontal="left"/>
    </xf>
    <xf numFmtId="0" fontId="11" fillId="38" borderId="0" xfId="0" applyFont="1" applyFill="1" applyAlignment="1">
      <alignment horizontal="left"/>
    </xf>
    <xf numFmtId="0" fontId="11" fillId="38" borderId="0" xfId="0" applyFont="1" applyFill="1" applyAlignment="1">
      <alignment horizontal="left" wrapText="1"/>
    </xf>
    <xf numFmtId="0" fontId="11" fillId="39" borderId="17" xfId="0" applyFont="1" applyFill="1" applyBorder="1" applyAlignment="1">
      <alignment horizontal="left" vertical="center" wrapText="1"/>
    </xf>
    <xf numFmtId="0" fontId="11" fillId="39" borderId="1" xfId="0" applyFont="1" applyFill="1" applyBorder="1" applyAlignment="1">
      <alignment horizontal="left" vertical="center"/>
    </xf>
    <xf numFmtId="0" fontId="11" fillId="38" borderId="51" xfId="0" applyFont="1" applyFill="1" applyBorder="1" applyAlignment="1">
      <alignment vertical="center"/>
    </xf>
    <xf numFmtId="0" fontId="11" fillId="39" borderId="0" xfId="0" applyFont="1" applyFill="1" applyAlignment="1">
      <alignment horizontal="left" vertical="center" wrapText="1"/>
    </xf>
    <xf numFmtId="49" fontId="11" fillId="38" borderId="17" xfId="0" applyNumberFormat="1" applyFont="1" applyFill="1" applyBorder="1" applyAlignment="1">
      <alignment horizontal="left" vertical="center" wrapText="1"/>
    </xf>
    <xf numFmtId="0" fontId="11" fillId="0" borderId="17" xfId="0" applyFont="1" applyFill="1" applyBorder="1" applyAlignment="1">
      <alignment horizontal="left" vertical="center" wrapText="1"/>
    </xf>
    <xf numFmtId="0" fontId="11" fillId="38" borderId="26" xfId="0" applyFont="1" applyFill="1" applyBorder="1" applyAlignment="1">
      <alignment horizontal="center" vertical="center" wrapText="1"/>
    </xf>
    <xf numFmtId="0" fontId="11" fillId="38" borderId="27" xfId="0" applyFont="1" applyFill="1" applyBorder="1" applyAlignment="1">
      <alignment horizontal="center" vertical="center" wrapText="1"/>
    </xf>
    <xf numFmtId="4" fontId="12" fillId="0" borderId="26" xfId="0" applyNumberFormat="1" applyFont="1" applyFill="1" applyBorder="1" applyAlignment="1">
      <alignment horizontal="center" vertical="center"/>
    </xf>
    <xf numFmtId="4" fontId="12" fillId="0" borderId="27" xfId="0" applyNumberFormat="1" applyFont="1" applyFill="1" applyBorder="1" applyAlignment="1">
      <alignment horizontal="center" vertical="center"/>
    </xf>
    <xf numFmtId="0" fontId="11" fillId="38" borderId="0" xfId="0" applyFont="1" applyFill="1" applyAlignment="1">
      <alignment horizontal="left" vertical="center" wrapText="1"/>
    </xf>
    <xf numFmtId="4" fontId="12" fillId="0" borderId="1" xfId="0" applyNumberFormat="1" applyFont="1" applyFill="1" applyBorder="1" applyAlignment="1">
      <alignment horizontal="center" vertical="center" wrapText="1"/>
    </xf>
    <xf numFmtId="4" fontId="12" fillId="38" borderId="54" xfId="0" applyNumberFormat="1" applyFont="1" applyFill="1" applyBorder="1" applyAlignment="1">
      <alignment horizontal="center" vertical="center" wrapText="1"/>
    </xf>
    <xf numFmtId="4" fontId="12" fillId="38" borderId="55" xfId="0" applyNumberFormat="1" applyFont="1" applyFill="1" applyBorder="1" applyAlignment="1">
      <alignment horizontal="center" vertical="center" wrapText="1"/>
    </xf>
    <xf numFmtId="0" fontId="11" fillId="38" borderId="1" xfId="0" applyFont="1" applyFill="1" applyBorder="1" applyAlignment="1">
      <alignment horizontal="center" vertical="center" wrapText="1"/>
    </xf>
    <xf numFmtId="4" fontId="11" fillId="0" borderId="1" xfId="0" applyNumberFormat="1" applyFont="1" applyBorder="1" applyAlignment="1">
      <alignment horizontal="center" vertical="center" wrapText="1"/>
    </xf>
    <xf numFmtId="0" fontId="11" fillId="39" borderId="0" xfId="0" applyFont="1" applyFill="1" applyAlignment="1">
      <alignment horizontal="left" wrapText="1"/>
    </xf>
    <xf numFmtId="4" fontId="12" fillId="38" borderId="26" xfId="0" applyNumberFormat="1" applyFont="1" applyFill="1" applyBorder="1" applyAlignment="1">
      <alignment horizontal="center" vertical="center" wrapText="1"/>
    </xf>
    <xf numFmtId="4" fontId="12" fillId="38" borderId="27" xfId="0" applyNumberFormat="1" applyFont="1" applyFill="1" applyBorder="1" applyAlignment="1">
      <alignment horizontal="center" vertical="center" wrapText="1"/>
    </xf>
    <xf numFmtId="0" fontId="11" fillId="39" borderId="0" xfId="0" applyFont="1" applyFill="1" applyAlignment="1">
      <alignment horizontal="left" vertical="center"/>
    </xf>
    <xf numFmtId="0" fontId="71" fillId="38" borderId="0" xfId="0" applyFont="1" applyFill="1" applyAlignment="1">
      <alignment vertical="center"/>
    </xf>
    <xf numFmtId="4" fontId="12" fillId="38" borderId="1" xfId="0" applyNumberFormat="1" applyFont="1" applyFill="1" applyBorder="1" applyAlignment="1">
      <alignment horizontal="center" vertical="center" wrapText="1"/>
    </xf>
    <xf numFmtId="0" fontId="12" fillId="38" borderId="26" xfId="0" applyFont="1" applyFill="1" applyBorder="1" applyAlignment="1">
      <alignment horizontal="left" vertical="center"/>
    </xf>
    <xf numFmtId="0" fontId="12" fillId="38" borderId="11" xfId="0" applyFont="1" applyFill="1" applyBorder="1" applyAlignment="1">
      <alignment horizontal="left" vertical="center"/>
    </xf>
    <xf numFmtId="0" fontId="12" fillId="38" borderId="27" xfId="0" applyFont="1" applyFill="1" applyBorder="1" applyAlignment="1">
      <alignment horizontal="left" vertical="center"/>
    </xf>
    <xf numFmtId="0" fontId="85" fillId="38" borderId="0" xfId="0" applyFont="1" applyFill="1" applyAlignment="1">
      <alignment horizontal="center"/>
    </xf>
    <xf numFmtId="0" fontId="85" fillId="38" borderId="0" xfId="0" applyFont="1" applyFill="1" applyAlignment="1">
      <alignment horizontal="center" vertical="center" wrapText="1"/>
    </xf>
    <xf numFmtId="0" fontId="108" fillId="38" borderId="0" xfId="0" applyFont="1" applyFill="1" applyAlignment="1">
      <alignment horizontal="center" vertical="center" wrapText="1"/>
    </xf>
    <xf numFmtId="0" fontId="11" fillId="38" borderId="26" xfId="0" applyFont="1" applyFill="1" applyBorder="1" applyAlignment="1">
      <alignment horizontal="center" vertical="center"/>
    </xf>
    <xf numFmtId="0" fontId="11" fillId="38" borderId="11" xfId="0" applyFont="1" applyFill="1" applyBorder="1" applyAlignment="1">
      <alignment horizontal="center" vertical="center"/>
    </xf>
    <xf numFmtId="0" fontId="11" fillId="38" borderId="27" xfId="0" applyFont="1" applyFill="1" applyBorder="1" applyAlignment="1">
      <alignment horizontal="center" vertical="center"/>
    </xf>
    <xf numFmtId="0" fontId="12" fillId="38" borderId="1" xfId="0" applyFont="1" applyFill="1" applyBorder="1" applyAlignment="1">
      <alignment horizontal="left" vertical="center" wrapText="1"/>
    </xf>
    <xf numFmtId="0" fontId="11" fillId="39" borderId="17" xfId="0" applyFont="1" applyFill="1" applyBorder="1" applyAlignment="1">
      <alignment horizontal="left" wrapText="1"/>
    </xf>
    <xf numFmtId="0" fontId="11" fillId="38" borderId="54" xfId="0" applyFont="1" applyFill="1" applyBorder="1" applyAlignment="1">
      <alignment horizontal="center" vertical="center" wrapText="1"/>
    </xf>
    <xf numFmtId="0" fontId="11" fillId="38" borderId="55" xfId="0" applyFont="1" applyFill="1" applyBorder="1" applyAlignment="1">
      <alignment horizontal="center" vertical="center" wrapText="1"/>
    </xf>
    <xf numFmtId="0" fontId="12" fillId="38" borderId="54" xfId="0" applyFont="1" applyFill="1" applyBorder="1" applyAlignment="1">
      <alignment horizontal="left"/>
    </xf>
    <xf numFmtId="0" fontId="12" fillId="38" borderId="57" xfId="0" applyFont="1" applyFill="1" applyBorder="1" applyAlignment="1">
      <alignment horizontal="left"/>
    </xf>
    <xf numFmtId="0" fontId="12" fillId="38" borderId="55" xfId="0" applyFont="1" applyFill="1" applyBorder="1" applyAlignment="1">
      <alignment horizontal="left"/>
    </xf>
    <xf numFmtId="0" fontId="86" fillId="38" borderId="0" xfId="0" applyFont="1" applyFill="1" applyAlignment="1">
      <alignment horizontal="center"/>
    </xf>
    <xf numFmtId="0" fontId="86" fillId="38" borderId="0" xfId="0" applyFont="1" applyFill="1" applyAlignment="1">
      <alignment horizontal="center" vertical="center" wrapText="1"/>
    </xf>
    <xf numFmtId="0" fontId="105" fillId="38" borderId="0" xfId="0" applyFont="1" applyFill="1" applyAlignment="1">
      <alignment horizontal="center" vertical="center" wrapText="1"/>
    </xf>
    <xf numFmtId="0" fontId="11" fillId="39" borderId="0" xfId="0" applyFont="1" applyFill="1" applyAlignment="1">
      <alignment horizontal="left"/>
    </xf>
    <xf numFmtId="0" fontId="11" fillId="38" borderId="54" xfId="0" applyFont="1" applyFill="1" applyBorder="1" applyAlignment="1">
      <alignment horizontal="center" vertical="center"/>
    </xf>
    <xf numFmtId="0" fontId="11" fillId="38" borderId="57" xfId="0" applyFont="1" applyFill="1" applyBorder="1" applyAlignment="1">
      <alignment horizontal="center" vertical="center"/>
    </xf>
    <xf numFmtId="0" fontId="11" fillId="38" borderId="55" xfId="0" applyFont="1" applyFill="1" applyBorder="1" applyAlignment="1">
      <alignment horizontal="center" vertical="center"/>
    </xf>
    <xf numFmtId="0" fontId="11" fillId="39" borderId="17" xfId="0" applyFont="1" applyFill="1" applyBorder="1" applyAlignment="1">
      <alignment horizontal="left" vertical="center"/>
    </xf>
    <xf numFmtId="0" fontId="11" fillId="39" borderId="48" xfId="0" applyFont="1" applyFill="1" applyBorder="1" applyAlignment="1">
      <alignment horizontal="left" vertical="center"/>
    </xf>
    <xf numFmtId="0" fontId="12" fillId="38" borderId="51" xfId="0" applyFont="1" applyFill="1" applyBorder="1" applyAlignment="1">
      <alignment horizontal="left" vertical="center" wrapText="1"/>
    </xf>
    <xf numFmtId="0" fontId="71" fillId="38" borderId="17" xfId="0" applyFont="1" applyFill="1" applyBorder="1"/>
    <xf numFmtId="0" fontId="11" fillId="39" borderId="48" xfId="0" applyFont="1" applyFill="1" applyBorder="1" applyAlignment="1">
      <alignment horizontal="left" vertical="center" wrapText="1"/>
    </xf>
    <xf numFmtId="4" fontId="11" fillId="0" borderId="54" xfId="0" applyNumberFormat="1" applyFont="1" applyBorder="1" applyAlignment="1">
      <alignment horizontal="center" vertical="center" wrapText="1"/>
    </xf>
    <xf numFmtId="4" fontId="11" fillId="0" borderId="55" xfId="0" applyNumberFormat="1" applyFont="1" applyBorder="1" applyAlignment="1">
      <alignment horizontal="center" vertical="center" wrapText="1"/>
    </xf>
    <xf numFmtId="0" fontId="11" fillId="38" borderId="51" xfId="0" applyFont="1" applyFill="1" applyBorder="1" applyAlignment="1">
      <alignment horizontal="center" vertical="center" wrapText="1"/>
    </xf>
    <xf numFmtId="3" fontId="12" fillId="38" borderId="51" xfId="0" applyNumberFormat="1" applyFont="1" applyFill="1" applyBorder="1" applyAlignment="1">
      <alignment horizontal="center" vertical="center" wrapText="1"/>
    </xf>
    <xf numFmtId="3" fontId="12" fillId="38" borderId="54" xfId="0" applyNumberFormat="1" applyFont="1" applyFill="1" applyBorder="1" applyAlignment="1">
      <alignment horizontal="center" vertical="center" wrapText="1"/>
    </xf>
    <xf numFmtId="3" fontId="12" fillId="38" borderId="55" xfId="0" applyNumberFormat="1" applyFont="1" applyFill="1" applyBorder="1" applyAlignment="1">
      <alignment horizontal="center" vertical="center" wrapText="1"/>
    </xf>
    <xf numFmtId="3" fontId="12" fillId="0" borderId="51" xfId="0" applyNumberFormat="1" applyFont="1" applyBorder="1" applyAlignment="1">
      <alignment horizontal="center" vertical="center" wrapText="1"/>
    </xf>
    <xf numFmtId="0" fontId="11" fillId="38" borderId="0" xfId="0" applyFont="1" applyFill="1" applyAlignment="1">
      <alignment vertical="center"/>
    </xf>
    <xf numFmtId="49" fontId="11" fillId="38" borderId="17" xfId="0" applyNumberFormat="1" applyFont="1" applyFill="1" applyBorder="1" applyAlignment="1">
      <alignment horizontal="left" wrapText="1"/>
    </xf>
    <xf numFmtId="0" fontId="11" fillId="38" borderId="17" xfId="0" applyFont="1" applyFill="1" applyBorder="1" applyAlignment="1">
      <alignment horizontal="left" wrapText="1"/>
    </xf>
    <xf numFmtId="4" fontId="12" fillId="38" borderId="54" xfId="0" applyNumberFormat="1" applyFont="1" applyFill="1" applyBorder="1" applyAlignment="1">
      <alignment horizontal="center" vertical="center"/>
    </xf>
    <xf numFmtId="4" fontId="12" fillId="38" borderId="55" xfId="0" applyNumberFormat="1" applyFont="1" applyFill="1" applyBorder="1" applyAlignment="1">
      <alignment horizontal="center" vertical="center"/>
    </xf>
    <xf numFmtId="0" fontId="11" fillId="39" borderId="51" xfId="0" applyFont="1" applyFill="1" applyBorder="1" applyAlignment="1">
      <alignment horizontal="left"/>
    </xf>
    <xf numFmtId="0" fontId="11" fillId="39" borderId="30" xfId="0" applyFont="1" applyFill="1" applyBorder="1" applyAlignment="1">
      <alignment horizontal="left" vertical="center"/>
    </xf>
    <xf numFmtId="4" fontId="11" fillId="0" borderId="51" xfId="0" applyNumberFormat="1" applyFont="1" applyBorder="1" applyAlignment="1">
      <alignment horizontal="center" vertical="center" wrapText="1"/>
    </xf>
    <xf numFmtId="0" fontId="129" fillId="0" borderId="0" xfId="11681" applyFont="1" applyAlignment="1">
      <alignment horizontal="center"/>
    </xf>
    <xf numFmtId="3" fontId="129" fillId="41" borderId="0" xfId="4987" applyNumberFormat="1" applyFont="1" applyFill="1" applyAlignment="1">
      <alignment horizontal="right" vertical="center"/>
    </xf>
    <xf numFmtId="3" fontId="129" fillId="41" borderId="0" xfId="4987" applyNumberFormat="1" applyFont="1" applyFill="1" applyAlignment="1">
      <alignment horizontal="right" vertical="center" wrapText="1"/>
    </xf>
    <xf numFmtId="0" fontId="88" fillId="0" borderId="51" xfId="11681" applyFont="1" applyBorder="1" applyAlignment="1">
      <alignment horizontal="center" vertical="center" wrapText="1"/>
    </xf>
    <xf numFmtId="0" fontId="130" fillId="0" borderId="17" xfId="11681" applyFont="1" applyBorder="1" applyAlignment="1">
      <alignment horizontal="right" vertical="center"/>
    </xf>
    <xf numFmtId="0" fontId="88" fillId="0" borderId="17" xfId="11681" applyFont="1" applyBorder="1" applyAlignment="1">
      <alignment horizontal="center" vertical="center" wrapText="1"/>
    </xf>
    <xf numFmtId="0" fontId="88" fillId="0" borderId="55" xfId="11681" applyFont="1" applyBorder="1" applyAlignment="1">
      <alignment horizontal="center" vertical="center" wrapText="1"/>
    </xf>
    <xf numFmtId="0" fontId="88" fillId="0" borderId="56" xfId="11681" applyFont="1" applyBorder="1" applyAlignment="1">
      <alignment horizontal="center" vertical="center" wrapText="1"/>
    </xf>
    <xf numFmtId="0" fontId="88" fillId="0" borderId="3" xfId="11681" applyFont="1" applyBorder="1" applyAlignment="1">
      <alignment horizontal="center" vertical="center" wrapText="1"/>
    </xf>
    <xf numFmtId="0" fontId="88" fillId="54" borderId="56" xfId="11681" applyFont="1" applyFill="1" applyBorder="1" applyAlignment="1">
      <alignment horizontal="center" vertical="center" wrapText="1"/>
    </xf>
    <xf numFmtId="0" fontId="88" fillId="54" borderId="3" xfId="11681" applyFont="1" applyFill="1" applyBorder="1" applyAlignment="1">
      <alignment horizontal="center" vertical="center" wrapText="1"/>
    </xf>
    <xf numFmtId="0" fontId="127" fillId="0" borderId="51" xfId="11681" applyFont="1" applyBorder="1" applyAlignment="1">
      <alignment horizontal="center" vertical="center"/>
    </xf>
    <xf numFmtId="0" fontId="88" fillId="54" borderId="51" xfId="11681" applyFont="1" applyFill="1" applyBorder="1" applyAlignment="1">
      <alignment horizontal="center" vertical="center" wrapText="1"/>
    </xf>
    <xf numFmtId="0" fontId="88" fillId="0" borderId="54" xfId="11681" applyFont="1" applyBorder="1" applyAlignment="1">
      <alignment horizontal="center" vertical="center" wrapText="1"/>
    </xf>
    <xf numFmtId="0" fontId="88" fillId="0" borderId="57" xfId="11681" applyFont="1" applyBorder="1" applyAlignment="1">
      <alignment horizontal="center" vertical="center" wrapText="1"/>
    </xf>
    <xf numFmtId="0" fontId="127" fillId="0" borderId="56" xfId="11681" applyFont="1" applyBorder="1" applyAlignment="1">
      <alignment horizontal="center" vertical="center" wrapText="1"/>
    </xf>
    <xf numFmtId="0" fontId="127" fillId="0" borderId="3" xfId="11681" applyFont="1" applyBorder="1" applyAlignment="1">
      <alignment horizontal="center" vertical="center" wrapText="1"/>
    </xf>
    <xf numFmtId="0" fontId="127" fillId="0" borderId="51" xfId="11681" applyFont="1" applyBorder="1" applyAlignment="1">
      <alignment horizontal="center" vertical="center" wrapText="1"/>
    </xf>
    <xf numFmtId="0" fontId="88" fillId="0" borderId="51" xfId="11681" applyFont="1" applyBorder="1" applyAlignment="1">
      <alignment horizontal="left" vertical="center" wrapText="1"/>
    </xf>
    <xf numFmtId="0" fontId="88" fillId="0" borderId="54" xfId="11681" applyFont="1" applyBorder="1" applyAlignment="1">
      <alignment horizontal="left" vertical="center" wrapText="1"/>
    </xf>
    <xf numFmtId="0" fontId="127" fillId="0" borderId="56" xfId="11681" applyFont="1" applyBorder="1" applyAlignment="1">
      <alignment horizontal="center" vertical="center"/>
    </xf>
    <xf numFmtId="0" fontId="127" fillId="0" borderId="32" xfId="11681" applyFont="1" applyBorder="1" applyAlignment="1">
      <alignment horizontal="center" vertical="center"/>
    </xf>
    <xf numFmtId="0" fontId="127" fillId="0" borderId="3" xfId="11681" applyFont="1" applyBorder="1" applyAlignment="1">
      <alignment horizontal="center" vertical="center"/>
    </xf>
    <xf numFmtId="0" fontId="127" fillId="38" borderId="51" xfId="11681" applyFont="1" applyFill="1" applyBorder="1" applyAlignment="1">
      <alignment horizontal="center" vertical="center"/>
    </xf>
    <xf numFmtId="0" fontId="127" fillId="38" borderId="56" xfId="11681" applyFont="1" applyFill="1" applyBorder="1" applyAlignment="1">
      <alignment horizontal="center" vertical="center"/>
    </xf>
    <xf numFmtId="0" fontId="127" fillId="38" borderId="32" xfId="11681" applyFont="1" applyFill="1" applyBorder="1" applyAlignment="1">
      <alignment horizontal="center" vertical="center"/>
    </xf>
    <xf numFmtId="0" fontId="127" fillId="38" borderId="3" xfId="11681" applyFont="1" applyFill="1" applyBorder="1" applyAlignment="1">
      <alignment horizontal="center" vertical="center"/>
    </xf>
    <xf numFmtId="0" fontId="130" fillId="0" borderId="51" xfId="11681" applyFont="1" applyBorder="1" applyAlignment="1">
      <alignment horizontal="left" vertical="center" wrapText="1"/>
    </xf>
    <xf numFmtId="0" fontId="88" fillId="0" borderId="57" xfId="11681" applyFont="1" applyBorder="1" applyAlignment="1">
      <alignment horizontal="left" vertical="center" wrapText="1"/>
    </xf>
    <xf numFmtId="0" fontId="127" fillId="0" borderId="32" xfId="11681" applyFont="1" applyBorder="1" applyAlignment="1">
      <alignment horizontal="center" vertical="center" wrapText="1"/>
    </xf>
    <xf numFmtId="3" fontId="139" fillId="41" borderId="0" xfId="11673" applyNumberFormat="1" applyFont="1" applyFill="1" applyAlignment="1">
      <alignment horizontal="center" vertical="center" wrapText="1"/>
    </xf>
    <xf numFmtId="0" fontId="138" fillId="53" borderId="0" xfId="11673" applyFont="1" applyFill="1" applyAlignment="1">
      <alignment horizontal="left" vertical="center"/>
    </xf>
    <xf numFmtId="3" fontId="139" fillId="41" borderId="0" xfId="11673" applyNumberFormat="1" applyFont="1" applyFill="1" applyAlignment="1">
      <alignment horizontal="right" vertical="center" wrapText="1"/>
    </xf>
    <xf numFmtId="0" fontId="140" fillId="0" borderId="0" xfId="11673" applyFont="1" applyAlignment="1">
      <alignment horizontal="right"/>
    </xf>
    <xf numFmtId="0" fontId="138" fillId="53" borderId="0" xfId="11673" applyFont="1" applyFill="1" applyAlignment="1">
      <alignment horizontal="left" vertical="center" wrapText="1"/>
    </xf>
    <xf numFmtId="3" fontId="139" fillId="41" borderId="0" xfId="11673" applyNumberFormat="1" applyFont="1" applyFill="1" applyAlignment="1">
      <alignment horizontal="left" vertical="center" wrapText="1"/>
    </xf>
    <xf numFmtId="3" fontId="118" fillId="51" borderId="37" xfId="11673" applyNumberFormat="1" applyFont="1" applyFill="1" applyBorder="1" applyAlignment="1">
      <alignment horizontal="center" vertical="center" wrapText="1"/>
    </xf>
    <xf numFmtId="3" fontId="118" fillId="51" borderId="40" xfId="11673" applyNumberFormat="1" applyFont="1" applyFill="1" applyBorder="1" applyAlignment="1">
      <alignment horizontal="center" vertical="center" wrapText="1"/>
    </xf>
    <xf numFmtId="3" fontId="118" fillId="0" borderId="35" xfId="11673" applyNumberFormat="1" applyFont="1" applyBorder="1" applyAlignment="1">
      <alignment horizontal="center" vertical="center" wrapText="1"/>
    </xf>
    <xf numFmtId="3" fontId="118" fillId="0" borderId="36" xfId="11673" applyNumberFormat="1" applyFont="1" applyBorder="1" applyAlignment="1">
      <alignment horizontal="center" vertical="center" wrapText="1"/>
    </xf>
    <xf numFmtId="3" fontId="118" fillId="0" borderId="52" xfId="11673" applyNumberFormat="1" applyFont="1" applyBorder="1" applyAlignment="1">
      <alignment horizontal="center" vertical="center" wrapText="1"/>
    </xf>
    <xf numFmtId="3" fontId="118" fillId="0" borderId="53" xfId="11673" applyNumberFormat="1" applyFont="1" applyBorder="1" applyAlignment="1">
      <alignment horizontal="center" vertical="center" wrapText="1"/>
    </xf>
    <xf numFmtId="3" fontId="118" fillId="0" borderId="37" xfId="11673" applyNumberFormat="1" applyFont="1" applyBorder="1" applyAlignment="1">
      <alignment horizontal="center" vertical="center" wrapText="1"/>
    </xf>
    <xf numFmtId="3" fontId="118" fillId="0" borderId="47" xfId="11673" applyNumberFormat="1" applyFont="1" applyBorder="1" applyAlignment="1">
      <alignment horizontal="center" vertical="center" wrapText="1"/>
    </xf>
    <xf numFmtId="49" fontId="118" fillId="0" borderId="37" xfId="11673" applyNumberFormat="1" applyFont="1" applyBorder="1" applyAlignment="1">
      <alignment horizontal="center" vertical="center" wrapText="1"/>
    </xf>
    <xf numFmtId="49" fontId="118" fillId="0" borderId="40" xfId="11673" applyNumberFormat="1" applyFont="1" applyBorder="1" applyAlignment="1">
      <alignment horizontal="center" vertical="center" wrapText="1"/>
    </xf>
    <xf numFmtId="3" fontId="118" fillId="0" borderId="40" xfId="11673" applyNumberFormat="1" applyFont="1" applyBorder="1" applyAlignment="1">
      <alignment horizontal="center" vertical="center" wrapText="1"/>
    </xf>
    <xf numFmtId="4" fontId="118" fillId="0" borderId="37" xfId="11673" applyNumberFormat="1" applyFont="1" applyBorder="1" applyAlignment="1">
      <alignment horizontal="center" vertical="center" wrapText="1"/>
    </xf>
    <xf numFmtId="4" fontId="118" fillId="0" borderId="40" xfId="11673" applyNumberFormat="1" applyFont="1" applyBorder="1" applyAlignment="1">
      <alignment horizontal="center" vertical="center" wrapText="1"/>
    </xf>
    <xf numFmtId="0" fontId="118" fillId="0" borderId="41" xfId="11673" applyFont="1" applyBorder="1" applyAlignment="1">
      <alignment horizontal="center" vertical="center" wrapText="1"/>
    </xf>
    <xf numFmtId="0" fontId="116" fillId="0" borderId="42" xfId="11673" applyFont="1" applyBorder="1"/>
    <xf numFmtId="0" fontId="116" fillId="0" borderId="33" xfId="11673" applyFont="1" applyBorder="1"/>
    <xf numFmtId="199" fontId="119" fillId="0" borderId="41" xfId="11673" applyNumberFormat="1" applyFont="1" applyBorder="1" applyAlignment="1">
      <alignment horizontal="center" vertical="center" wrapText="1"/>
    </xf>
    <xf numFmtId="3" fontId="118" fillId="50" borderId="37" xfId="11673" applyNumberFormat="1" applyFont="1" applyFill="1" applyBorder="1" applyAlignment="1">
      <alignment horizontal="center" vertical="center" wrapText="1"/>
    </xf>
    <xf numFmtId="3" fontId="118" fillId="50" borderId="40" xfId="11673" applyNumberFormat="1" applyFont="1" applyFill="1" applyBorder="1" applyAlignment="1">
      <alignment horizontal="center" vertical="center" wrapText="1"/>
    </xf>
    <xf numFmtId="0" fontId="116" fillId="0" borderId="42" xfId="11673" applyFont="1" applyBorder="1" applyAlignment="1">
      <alignment wrapText="1"/>
    </xf>
    <xf numFmtId="0" fontId="116" fillId="0" borderId="33" xfId="11673" applyFont="1" applyBorder="1" applyAlignment="1">
      <alignment wrapText="1"/>
    </xf>
    <xf numFmtId="199" fontId="119" fillId="0" borderId="33" xfId="11673" applyNumberFormat="1" applyFont="1" applyBorder="1" applyAlignment="1">
      <alignment horizontal="center" vertical="center" wrapText="1"/>
    </xf>
    <xf numFmtId="0" fontId="119" fillId="50" borderId="41" xfId="11673" applyFont="1" applyFill="1" applyBorder="1" applyAlignment="1">
      <alignment horizontal="center" vertical="center"/>
    </xf>
    <xf numFmtId="4" fontId="119" fillId="0" borderId="45" xfId="11673" applyNumberFormat="1" applyFont="1" applyBorder="1" applyAlignment="1">
      <alignment horizontal="center" vertical="center" wrapText="1"/>
    </xf>
    <xf numFmtId="4" fontId="119" fillId="0" borderId="46" xfId="11673" applyNumberFormat="1" applyFont="1" applyBorder="1" applyAlignment="1">
      <alignment horizontal="center" vertical="center" wrapText="1"/>
    </xf>
    <xf numFmtId="199" fontId="119" fillId="0" borderId="37" xfId="11673" applyNumberFormat="1" applyFont="1" applyBorder="1" applyAlignment="1">
      <alignment horizontal="center" vertical="center" wrapText="1"/>
    </xf>
    <xf numFmtId="199" fontId="119" fillId="0" borderId="40" xfId="11673" applyNumberFormat="1" applyFont="1" applyBorder="1" applyAlignment="1">
      <alignment horizontal="center" vertical="center" wrapText="1"/>
    </xf>
    <xf numFmtId="3" fontId="118" fillId="50" borderId="38" xfId="11673" applyNumberFormat="1" applyFont="1" applyFill="1" applyBorder="1" applyAlignment="1">
      <alignment horizontal="center" vertical="center" wrapText="1"/>
    </xf>
    <xf numFmtId="0" fontId="116" fillId="0" borderId="39" xfId="11673" applyFont="1" applyBorder="1"/>
    <xf numFmtId="0" fontId="116" fillId="0" borderId="34" xfId="11673" applyFont="1" applyBorder="1"/>
    <xf numFmtId="3" fontId="84" fillId="41" borderId="37" xfId="11673" applyNumberFormat="1" applyFont="1" applyFill="1" applyBorder="1" applyAlignment="1">
      <alignment horizontal="center" vertical="center" wrapText="1"/>
    </xf>
    <xf numFmtId="0" fontId="111" fillId="0" borderId="40" xfId="11673" applyFont="1" applyBorder="1" applyAlignment="1">
      <alignment vertical="center"/>
    </xf>
    <xf numFmtId="4" fontId="118" fillId="0" borderId="49" xfId="11673" applyNumberFormat="1" applyFont="1" applyBorder="1" applyAlignment="1">
      <alignment horizontal="center" vertical="center" wrapText="1"/>
    </xf>
    <xf numFmtId="4" fontId="118" fillId="0" borderId="50" xfId="11673" applyNumberFormat="1" applyFont="1" applyBorder="1" applyAlignment="1">
      <alignment horizontal="center" vertical="center" wrapText="1"/>
    </xf>
    <xf numFmtId="4" fontId="118" fillId="0" borderId="43" xfId="11673" applyNumberFormat="1" applyFont="1" applyBorder="1" applyAlignment="1">
      <alignment horizontal="center" vertical="center" wrapText="1"/>
    </xf>
    <xf numFmtId="4" fontId="118" fillId="0" borderId="44" xfId="11673" applyNumberFormat="1" applyFont="1" applyBorder="1" applyAlignment="1">
      <alignment horizontal="center" vertical="center" wrapText="1"/>
    </xf>
    <xf numFmtId="0" fontId="119" fillId="50" borderId="38" xfId="11673" applyFont="1" applyFill="1" applyBorder="1" applyAlignment="1">
      <alignment horizontal="center" vertical="center"/>
    </xf>
    <xf numFmtId="0" fontId="119" fillId="50" borderId="51" xfId="11673" applyFont="1" applyFill="1" applyBorder="1" applyAlignment="1">
      <alignment horizontal="center" vertical="center"/>
    </xf>
    <xf numFmtId="0" fontId="116" fillId="0" borderId="51" xfId="11673" applyFont="1" applyBorder="1"/>
    <xf numFmtId="0" fontId="118" fillId="50" borderId="51" xfId="11673" applyFont="1" applyFill="1" applyBorder="1" applyAlignment="1">
      <alignment horizontal="center" vertical="center" wrapText="1"/>
    </xf>
    <xf numFmtId="3" fontId="118" fillId="41" borderId="0" xfId="11673" applyNumberFormat="1" applyFont="1" applyFill="1" applyAlignment="1">
      <alignment horizontal="left" vertical="center" wrapText="1"/>
    </xf>
    <xf numFmtId="0" fontId="116" fillId="0" borderId="0" xfId="11673" applyFont="1"/>
    <xf numFmtId="0" fontId="109" fillId="41" borderId="0" xfId="11673" applyFont="1" applyFill="1" applyAlignment="1">
      <alignment horizontal="right" vertical="center"/>
    </xf>
    <xf numFmtId="3" fontId="118" fillId="62" borderId="41" xfId="11673" applyNumberFormat="1" applyFont="1" applyFill="1" applyBorder="1" applyAlignment="1">
      <alignment horizontal="center" vertical="center" wrapText="1"/>
    </xf>
    <xf numFmtId="0" fontId="116" fillId="64" borderId="33" xfId="11673" applyFont="1" applyFill="1" applyBorder="1"/>
    <xf numFmtId="0" fontId="129" fillId="38" borderId="0" xfId="4987" applyFont="1" applyFill="1" applyAlignment="1">
      <alignment horizontal="center"/>
    </xf>
    <xf numFmtId="0" fontId="130" fillId="38" borderId="0" xfId="4987" applyFont="1" applyFill="1" applyAlignment="1">
      <alignment horizontal="left" vertical="center" wrapText="1"/>
    </xf>
    <xf numFmtId="0" fontId="127" fillId="38" borderId="0" xfId="4987" applyFont="1" applyFill="1" applyAlignment="1">
      <alignment horizontal="center"/>
    </xf>
    <xf numFmtId="0" fontId="130" fillId="38" borderId="0" xfId="4987" applyFont="1" applyFill="1" applyAlignment="1">
      <alignment horizontal="right" vertical="center" wrapText="1"/>
    </xf>
    <xf numFmtId="0" fontId="130" fillId="38" borderId="17" xfId="4987" applyFont="1" applyFill="1" applyBorder="1" applyAlignment="1">
      <alignment horizontal="right" vertical="center"/>
    </xf>
    <xf numFmtId="0" fontId="88" fillId="38" borderId="17" xfId="4987" applyFont="1" applyFill="1" applyBorder="1" applyAlignment="1">
      <alignment horizontal="center" vertical="center" wrapText="1"/>
    </xf>
    <xf numFmtId="0" fontId="88" fillId="38" borderId="51" xfId="4987" applyFont="1" applyFill="1" applyBorder="1" applyAlignment="1">
      <alignment horizontal="center" vertical="center" wrapText="1"/>
    </xf>
    <xf numFmtId="0" fontId="88" fillId="38" borderId="55" xfId="4987" applyFont="1" applyFill="1" applyBorder="1" applyAlignment="1">
      <alignment horizontal="center" vertical="center" wrapText="1"/>
    </xf>
    <xf numFmtId="0" fontId="88" fillId="38" borderId="56" xfId="4987" applyFont="1" applyFill="1" applyBorder="1" applyAlignment="1">
      <alignment horizontal="center" vertical="center" wrapText="1"/>
    </xf>
    <xf numFmtId="0" fontId="88" fillId="38" borderId="3" xfId="4987" applyFont="1" applyFill="1" applyBorder="1" applyAlignment="1">
      <alignment horizontal="center" vertical="center" wrapText="1"/>
    </xf>
    <xf numFmtId="0" fontId="127" fillId="38" borderId="51" xfId="4987" applyFont="1" applyFill="1" applyBorder="1" applyAlignment="1">
      <alignment horizontal="center" vertical="center" wrapText="1"/>
    </xf>
    <xf numFmtId="0" fontId="88" fillId="38" borderId="54" xfId="4987" applyFont="1" applyFill="1" applyBorder="1" applyAlignment="1">
      <alignment horizontal="center" vertical="center" wrapText="1"/>
    </xf>
    <xf numFmtId="0" fontId="88" fillId="38" borderId="57" xfId="4987" applyFont="1" applyFill="1" applyBorder="1" applyAlignment="1">
      <alignment horizontal="center" vertical="center" wrapText="1"/>
    </xf>
    <xf numFmtId="0" fontId="127" fillId="38" borderId="56" xfId="4987" applyFont="1" applyFill="1" applyBorder="1" applyAlignment="1">
      <alignment horizontal="center" vertical="center" wrapText="1"/>
    </xf>
    <xf numFmtId="0" fontId="127" fillId="38" borderId="3" xfId="4987" applyFont="1" applyFill="1" applyBorder="1" applyAlignment="1">
      <alignment horizontal="center" vertical="center" wrapText="1"/>
    </xf>
    <xf numFmtId="0" fontId="127" fillId="38" borderId="60" xfId="4987" applyFont="1" applyFill="1" applyBorder="1" applyAlignment="1">
      <alignment horizontal="center" vertical="center" wrapText="1"/>
    </xf>
    <xf numFmtId="0" fontId="127" fillId="38" borderId="61" xfId="4987" applyFont="1" applyFill="1" applyBorder="1" applyAlignment="1">
      <alignment horizontal="center" vertical="center" wrapText="1"/>
    </xf>
    <xf numFmtId="0" fontId="127" fillId="0" borderId="32" xfId="11678" applyFont="1" applyBorder="1" applyAlignment="1">
      <alignment horizontal="center" vertical="center"/>
    </xf>
    <xf numFmtId="0" fontId="127" fillId="38" borderId="51" xfId="4987" applyFont="1" applyFill="1" applyBorder="1" applyAlignment="1">
      <alignment horizontal="center" vertical="center"/>
    </xf>
    <xf numFmtId="0" fontId="127" fillId="0" borderId="56" xfId="11678" applyFont="1" applyBorder="1" applyAlignment="1">
      <alignment horizontal="center" vertical="center"/>
    </xf>
    <xf numFmtId="0" fontId="127" fillId="0" borderId="3" xfId="11678" applyFont="1" applyBorder="1" applyAlignment="1">
      <alignment horizontal="center" vertical="center"/>
    </xf>
    <xf numFmtId="0" fontId="127" fillId="38" borderId="56" xfId="4987" applyFont="1" applyFill="1" applyBorder="1" applyAlignment="1">
      <alignment horizontal="center" vertical="center"/>
    </xf>
    <xf numFmtId="0" fontId="127" fillId="38" borderId="32" xfId="4987" applyFont="1" applyFill="1" applyBorder="1" applyAlignment="1">
      <alignment horizontal="center" vertical="center"/>
    </xf>
    <xf numFmtId="0" fontId="127" fillId="38" borderId="3" xfId="4987" applyFont="1" applyFill="1" applyBorder="1" applyAlignment="1">
      <alignment horizontal="center" vertical="center"/>
    </xf>
    <xf numFmtId="0" fontId="127" fillId="38" borderId="62" xfId="4987" applyFont="1" applyFill="1" applyBorder="1" applyAlignment="1">
      <alignment horizontal="center" vertical="center"/>
    </xf>
    <xf numFmtId="0" fontId="127" fillId="38" borderId="63" xfId="4987" applyFont="1" applyFill="1" applyBorder="1" applyAlignment="1">
      <alignment horizontal="center" vertical="center"/>
    </xf>
    <xf numFmtId="0" fontId="127" fillId="38" borderId="64" xfId="4987" applyFont="1" applyFill="1" applyBorder="1" applyAlignment="1">
      <alignment horizontal="center" vertical="center"/>
    </xf>
    <xf numFmtId="0" fontId="130" fillId="38" borderId="51" xfId="4987" applyFont="1" applyFill="1" applyBorder="1" applyAlignment="1">
      <alignment horizontal="center" vertical="center" wrapText="1"/>
    </xf>
    <xf numFmtId="0" fontId="127" fillId="38" borderId="32" xfId="4987" applyFont="1" applyFill="1" applyBorder="1" applyAlignment="1">
      <alignment horizontal="center" vertical="center" wrapText="1"/>
    </xf>
    <xf numFmtId="0" fontId="86" fillId="0" borderId="0" xfId="0" applyFont="1" applyAlignment="1">
      <alignment horizontal="center" vertical="center" wrapText="1"/>
    </xf>
    <xf numFmtId="3" fontId="115" fillId="41" borderId="0" xfId="0" applyNumberFormat="1" applyFont="1" applyFill="1" applyAlignment="1">
      <alignment horizontal="right" vertical="center" wrapText="1"/>
    </xf>
    <xf numFmtId="0" fontId="124" fillId="0" borderId="0" xfId="0" applyFont="1" applyAlignment="1">
      <alignment horizontal="right" vertical="center"/>
    </xf>
    <xf numFmtId="3" fontId="107" fillId="0" borderId="0" xfId="0" applyNumberFormat="1" applyFont="1" applyAlignment="1">
      <alignment horizontal="center"/>
    </xf>
    <xf numFmtId="3" fontId="102" fillId="0" borderId="1" xfId="0" applyNumberFormat="1" applyFont="1" applyBorder="1" applyAlignment="1">
      <alignment horizontal="center" vertical="center" wrapText="1"/>
    </xf>
    <xf numFmtId="3" fontId="102" fillId="0" borderId="2" xfId="0" applyNumberFormat="1" applyFont="1" applyBorder="1" applyAlignment="1">
      <alignment horizontal="center" vertical="center" wrapText="1"/>
    </xf>
    <xf numFmtId="3" fontId="102" fillId="0" borderId="51" xfId="3716" applyNumberFormat="1" applyFont="1" applyBorder="1" applyAlignment="1">
      <alignment horizontal="center" vertical="center" wrapText="1"/>
    </xf>
    <xf numFmtId="3" fontId="102" fillId="0" borderId="51" xfId="0" applyNumberFormat="1" applyFont="1" applyBorder="1" applyAlignment="1">
      <alignment horizontal="center" vertical="center" wrapText="1"/>
    </xf>
    <xf numFmtId="0" fontId="93" fillId="0" borderId="51" xfId="0" applyFont="1" applyBorder="1" applyAlignment="1">
      <alignment horizontal="center" vertical="center" wrapText="1"/>
    </xf>
    <xf numFmtId="3" fontId="102" fillId="0" borderId="32" xfId="0" applyNumberFormat="1" applyFont="1" applyBorder="1" applyAlignment="1">
      <alignment horizontal="center" vertical="center" wrapText="1"/>
    </xf>
    <xf numFmtId="3" fontId="85" fillId="0" borderId="0" xfId="0" applyNumberFormat="1" applyFont="1" applyAlignment="1">
      <alignment vertical="center" wrapText="1"/>
    </xf>
    <xf numFmtId="3" fontId="102" fillId="38" borderId="51" xfId="3716" applyNumberFormat="1" applyFont="1" applyFill="1" applyBorder="1" applyAlignment="1">
      <alignment horizontal="center" vertical="center" wrapText="1"/>
    </xf>
    <xf numFmtId="3" fontId="84" fillId="41" borderId="0" xfId="0" applyNumberFormat="1" applyFont="1" applyFill="1" applyAlignment="1">
      <alignment horizontal="left" vertical="center" wrapText="1"/>
    </xf>
    <xf numFmtId="0" fontId="111" fillId="0" borderId="0" xfId="0" applyFont="1"/>
    <xf numFmtId="3" fontId="84" fillId="41" borderId="0" xfId="0" applyNumberFormat="1" applyFont="1" applyFill="1" applyAlignment="1">
      <alignment horizontal="center" vertical="center" wrapText="1"/>
    </xf>
    <xf numFmtId="0" fontId="111" fillId="0" borderId="0" xfId="0" applyFont="1" applyAlignment="1">
      <alignment horizontal="center" vertical="center"/>
    </xf>
    <xf numFmtId="3" fontId="102" fillId="0" borderId="56" xfId="0" applyNumberFormat="1" applyFont="1" applyBorder="1" applyAlignment="1">
      <alignment horizontal="center" vertical="center" wrapText="1"/>
    </xf>
    <xf numFmtId="3" fontId="102" fillId="0" borderId="51" xfId="11680" applyNumberFormat="1" applyFont="1" applyBorder="1" applyAlignment="1">
      <alignment horizontal="center" vertical="center" wrapText="1"/>
    </xf>
    <xf numFmtId="3" fontId="102" fillId="0" borderId="56" xfId="11680" applyNumberFormat="1" applyFont="1" applyBorder="1" applyAlignment="1">
      <alignment horizontal="center" vertical="center" wrapText="1"/>
    </xf>
    <xf numFmtId="3" fontId="102" fillId="0" borderId="54" xfId="0" applyNumberFormat="1" applyFont="1" applyBorder="1" applyAlignment="1">
      <alignment horizontal="center" vertical="center" wrapText="1"/>
    </xf>
    <xf numFmtId="0" fontId="93" fillId="0" borderId="57" xfId="0" applyFont="1" applyBorder="1" applyAlignment="1">
      <alignment horizontal="center" vertical="center" wrapText="1"/>
    </xf>
    <xf numFmtId="3" fontId="102" fillId="0" borderId="32" xfId="11680" applyNumberFormat="1" applyFont="1" applyBorder="1" applyAlignment="1">
      <alignment horizontal="center" vertical="center" wrapText="1"/>
    </xf>
    <xf numFmtId="3" fontId="86" fillId="0" borderId="0" xfId="0" applyNumberFormat="1" applyFont="1" applyAlignment="1">
      <alignment vertical="center" wrapText="1"/>
    </xf>
    <xf numFmtId="3" fontId="102" fillId="38" borderId="51" xfId="11680" applyNumberFormat="1" applyFont="1" applyFill="1" applyBorder="1" applyAlignment="1">
      <alignment horizontal="center" vertical="center" wrapText="1"/>
    </xf>
    <xf numFmtId="3" fontId="102" fillId="38" borderId="56" xfId="11680" applyNumberFormat="1" applyFont="1" applyFill="1" applyBorder="1" applyAlignment="1">
      <alignment horizontal="center" vertical="center" wrapText="1"/>
    </xf>
    <xf numFmtId="3" fontId="102" fillId="0" borderId="55" xfId="0" applyNumberFormat="1" applyFont="1" applyBorder="1" applyAlignment="1">
      <alignment horizontal="center" vertical="center" wrapText="1"/>
    </xf>
    <xf numFmtId="3" fontId="118" fillId="41" borderId="0" xfId="0" applyNumberFormat="1" applyFont="1" applyFill="1" applyAlignment="1">
      <alignment horizontal="left" vertical="center" wrapText="1"/>
    </xf>
    <xf numFmtId="0" fontId="116" fillId="0" borderId="0" xfId="0" applyFont="1"/>
    <xf numFmtId="3" fontId="118" fillId="41" borderId="0" xfId="0" applyNumberFormat="1" applyFont="1" applyFill="1" applyAlignment="1">
      <alignment horizontal="center" vertical="center" wrapText="1"/>
    </xf>
    <xf numFmtId="0" fontId="116" fillId="0" borderId="0" xfId="0" applyFont="1" applyAlignment="1">
      <alignment horizontal="center" vertical="center"/>
    </xf>
  </cellXfs>
  <cellStyles count="11684">
    <cellStyle name="_x000d__x000a_JournalTemplate=C:\COMFO\CTALK\JOURSTD.TPL_x000d__x000a_LbStateAddress=3 3 0 251 1 89 2 311_x000d__x000a_LbStateJou" xfId="1" xr:uid="{00000000-0005-0000-0000-000000000000}"/>
    <cellStyle name="_PRICE_1C" xfId="2" xr:uid="{00000000-0005-0000-0000-000001000000}"/>
    <cellStyle name="_Баланс  по МСФОс за 1 полугодие" xfId="3" xr:uid="{00000000-0005-0000-0000-000002000000}"/>
    <cellStyle name="_Баланс  по МСФОс за 10 месяцев" xfId="4" xr:uid="{00000000-0005-0000-0000-000003000000}"/>
    <cellStyle name="_Баланс  по МСФОс за 11 месяцев 2006 года фактический" xfId="5" xr:uid="{00000000-0005-0000-0000-000004000000}"/>
    <cellStyle name="_Баланс  по МСФОс за 7 месяцев" xfId="6" xr:uid="{00000000-0005-0000-0000-000005000000}"/>
    <cellStyle name="_Баланс  по МСФОс за 7 месяцев 2006" xfId="7" xr:uid="{00000000-0005-0000-0000-000006000000}"/>
    <cellStyle name="_Баланс  по МСФОс за 8  месяцев" xfId="8" xr:uid="{00000000-0005-0000-0000-000007000000}"/>
    <cellStyle name="_Баланс  по МСФОс за 9 месяцев" xfId="9" xr:uid="{00000000-0005-0000-0000-000008000000}"/>
    <cellStyle name="_Баланс  по МСФОс за 9 месяцев 2006 года" xfId="10" xr:uid="{00000000-0005-0000-0000-000009000000}"/>
    <cellStyle name="_Бюдж.формы ЗАО АГ" xfId="11" xr:uid="{00000000-0005-0000-0000-00000A000000}"/>
    <cellStyle name="_Бюдж.формы ЗАО АГ_ТУП" xfId="12" xr:uid="{00000000-0005-0000-0000-00000B000000}"/>
    <cellStyle name="_Бюджет АМАНГЕЛЬДЫ ГАЗ на 2006 год (Заке 190705)" xfId="13" xr:uid="{00000000-0005-0000-0000-00000C000000}"/>
    <cellStyle name="_Бюджет на 2006г 07.07.05(утв.)" xfId="14" xr:uid="{00000000-0005-0000-0000-00000D000000}"/>
    <cellStyle name="_Бюджет на 2007 pto" xfId="15" xr:uid="{00000000-0005-0000-0000-00000E000000}"/>
    <cellStyle name="_Бюджет на 2007 г (проект)" xfId="16" xr:uid="{00000000-0005-0000-0000-00000F000000}"/>
    <cellStyle name="_Бюджетная заявка СИТ  на 2008" xfId="17" xr:uid="{00000000-0005-0000-0000-000010000000}"/>
    <cellStyle name="_Бюджетная заявка СИТ  на 2008_ТУП" xfId="18" xr:uid="{00000000-0005-0000-0000-000011000000}"/>
    <cellStyle name="_Исп КВЛ 1 кварт 07 (02.05.07)" xfId="19" xr:uid="{00000000-0005-0000-0000-000012000000}"/>
    <cellStyle name="_Исп КВЛ 1 кварт 07 (02.05.07)_ТУП" xfId="20" xr:uid="{00000000-0005-0000-0000-000013000000}"/>
    <cellStyle name="_КВЛ 2007-2011ДОГМ" xfId="21" xr:uid="{00000000-0005-0000-0000-000014000000}"/>
    <cellStyle name="_КВЛ 2007-2011ДОГМ_Инфор. услуги бюджет2009v3 (1)" xfId="22" xr:uid="{00000000-0005-0000-0000-000015000000}"/>
    <cellStyle name="_КВЛ 2007-2011ДОГМ_Инфор. услуги бюджет2009v3 (2)" xfId="23" xr:uid="{00000000-0005-0000-0000-000016000000}"/>
    <cellStyle name="_КВЛ 2007-2011ДОГМ_Услуги связи бюджет 2009 (2) (1)" xfId="24" xr:uid="{00000000-0005-0000-0000-000017000000}"/>
    <cellStyle name="_КВЛ ТЗ-07-11" xfId="25" xr:uid="{00000000-0005-0000-0000-000018000000}"/>
    <cellStyle name="_КВЛ ТЗ-07-11_Инфор. услуги бюджет2009v3 (1)" xfId="26" xr:uid="{00000000-0005-0000-0000-000019000000}"/>
    <cellStyle name="_КВЛ ТЗ-07-11_Инфор. услуги бюджет2009v3 (2)" xfId="27" xr:uid="{00000000-0005-0000-0000-00001A000000}"/>
    <cellStyle name="_КВЛ ТЗ-07-11_Услуги связи бюджет 2009 (2) (1)" xfId="28" xr:uid="{00000000-0005-0000-0000-00001B000000}"/>
    <cellStyle name="_Книга1" xfId="29" xr:uid="{00000000-0005-0000-0000-00001C000000}"/>
    <cellStyle name="_Книга1 2" xfId="30" xr:uid="{00000000-0005-0000-0000-00001D000000}"/>
    <cellStyle name="_Книга1 3" xfId="31" xr:uid="{00000000-0005-0000-0000-00001E000000}"/>
    <cellStyle name="_Книга1 4" xfId="32" xr:uid="{00000000-0005-0000-0000-00001F000000}"/>
    <cellStyle name="_ОТЧЕТ для ДКФ    06 04 05  (6)" xfId="33" xr:uid="{00000000-0005-0000-0000-000020000000}"/>
    <cellStyle name="_План развития ПТС на 2005-2010 (связи станционной части)" xfId="34" xr:uid="{00000000-0005-0000-0000-000021000000}"/>
    <cellStyle name="_Проект Бюджета АХО на 2007 г.10.05.06" xfId="35" xr:uid="{00000000-0005-0000-0000-000022000000}"/>
    <cellStyle name="_Проект Бюджета на 2006 г-c исправлениями" xfId="36" xr:uid="{00000000-0005-0000-0000-000023000000}"/>
    <cellStyle name="_Расчет на тех.обслуж. спецтранспорта" xfId="37" xr:uid="{00000000-0005-0000-0000-000024000000}"/>
    <cellStyle name="_Расчет себестоимости Аманегльдинского газа" xfId="38" xr:uid="{00000000-0005-0000-0000-000025000000}"/>
    <cellStyle name="_Расчет ФОТ 2007год новый" xfId="39" xr:uid="{00000000-0005-0000-0000-000026000000}"/>
    <cellStyle name="_Регистрация договоров 2003" xfId="40" xr:uid="{00000000-0005-0000-0000-000027000000}"/>
    <cellStyle name="_Регистрация договоров 2003_ТУП" xfId="41" xr:uid="{00000000-0005-0000-0000-000028000000}"/>
    <cellStyle name="_Себестоимость" xfId="42" xr:uid="{00000000-0005-0000-0000-000029000000}"/>
    <cellStyle name="_Себестоимость_ТУП" xfId="43" xr:uid="{00000000-0005-0000-0000-00002A000000}"/>
    <cellStyle name="_Топливо по спецтрансп" xfId="44" xr:uid="{00000000-0005-0000-0000-00002B000000}"/>
    <cellStyle name="_Фактический  Баланс  по МСФО с последними корректировками аудиторов за 2006 год" xfId="45" xr:uid="{00000000-0005-0000-0000-00002C000000}"/>
    <cellStyle name="_Фактический  Баланс  по МСФОс за 2006 год" xfId="46" xr:uid="{00000000-0005-0000-0000-00002D000000}"/>
    <cellStyle name="_Форма дуль 2" xfId="47" xr:uid="{00000000-0005-0000-0000-00002E000000}"/>
    <cellStyle name="_Форма дуль 2_ТУП" xfId="48" xr:uid="{00000000-0005-0000-0000-00002F000000}"/>
    <cellStyle name="_Формы МСФОс для ДЧП(проект)  1 квартал 2006 (1)" xfId="49" xr:uid="{00000000-0005-0000-0000-000030000000}"/>
    <cellStyle name="_ЮКУГХ Баланс 1 кв. 2007г. конс" xfId="50" xr:uid="{00000000-0005-0000-0000-000031000000}"/>
    <cellStyle name="_ЮКУГХ Баланс 4 кв. 2006г. конс" xfId="51" xr:uid="{00000000-0005-0000-0000-000032000000}"/>
    <cellStyle name="_январь-май 2007" xfId="52" xr:uid="{00000000-0005-0000-0000-000033000000}"/>
    <cellStyle name="_январь-май 2007_ТУП" xfId="53" xr:uid="{00000000-0005-0000-0000-000034000000}"/>
    <cellStyle name="”€ќђќ‘ћ‚›‰" xfId="54" xr:uid="{00000000-0005-0000-0000-000035000000}"/>
    <cellStyle name="”€љ‘€ђћ‚ђќќ›‰" xfId="55" xr:uid="{00000000-0005-0000-0000-000036000000}"/>
    <cellStyle name="”ќђќ‘ћ‚›‰" xfId="56" xr:uid="{00000000-0005-0000-0000-000037000000}"/>
    <cellStyle name="”љ‘ђћ‚ђќќ›‰" xfId="57" xr:uid="{00000000-0005-0000-0000-000038000000}"/>
    <cellStyle name="„…ќ…†ќ›‰" xfId="58" xr:uid="{00000000-0005-0000-0000-000039000000}"/>
    <cellStyle name="€’ћѓћ‚›‰" xfId="59" xr:uid="{00000000-0005-0000-0000-00003A000000}"/>
    <cellStyle name="‡ђѓћ‹ћ‚ћљ1" xfId="60" xr:uid="{00000000-0005-0000-0000-00003B000000}"/>
    <cellStyle name="‡ђѓћ‹ћ‚ћљ2" xfId="61" xr:uid="{00000000-0005-0000-0000-00003C000000}"/>
    <cellStyle name="’ћѓћ‚›‰" xfId="62" xr:uid="{00000000-0005-0000-0000-00003D000000}"/>
    <cellStyle name="0,0_x000d__x000a_NA_x000d__x000a_" xfId="63" xr:uid="{00000000-0005-0000-0000-00003E000000}"/>
    <cellStyle name="20% - Accent1" xfId="64" xr:uid="{00000000-0005-0000-0000-00003F000000}"/>
    <cellStyle name="20% - Accent2" xfId="65" xr:uid="{00000000-0005-0000-0000-000040000000}"/>
    <cellStyle name="20% - Accent3" xfId="66" xr:uid="{00000000-0005-0000-0000-000041000000}"/>
    <cellStyle name="20% - Accent4" xfId="67" xr:uid="{00000000-0005-0000-0000-000042000000}"/>
    <cellStyle name="20% - Accent5" xfId="68" xr:uid="{00000000-0005-0000-0000-000043000000}"/>
    <cellStyle name="20% - Accent6" xfId="69" xr:uid="{00000000-0005-0000-0000-000044000000}"/>
    <cellStyle name="20% - Акцент1 10" xfId="70" xr:uid="{00000000-0005-0000-0000-000045000000}"/>
    <cellStyle name="20% - Акцент1 10 2" xfId="71" xr:uid="{00000000-0005-0000-0000-000046000000}"/>
    <cellStyle name="20% - Акцент1 10_Свод гостин" xfId="72" xr:uid="{00000000-0005-0000-0000-000047000000}"/>
    <cellStyle name="20% - Акцент1 11" xfId="73" xr:uid="{00000000-0005-0000-0000-000048000000}"/>
    <cellStyle name="20% - Акцент1 11 2" xfId="74" xr:uid="{00000000-0005-0000-0000-000049000000}"/>
    <cellStyle name="20% - Акцент1 11_Свод гостин" xfId="75" xr:uid="{00000000-0005-0000-0000-00004A000000}"/>
    <cellStyle name="20% - Акцент1 12" xfId="76" xr:uid="{00000000-0005-0000-0000-00004B000000}"/>
    <cellStyle name="20% - Акцент1 12 2" xfId="77" xr:uid="{00000000-0005-0000-0000-00004C000000}"/>
    <cellStyle name="20% - Акцент1 12_Свод гостин" xfId="78" xr:uid="{00000000-0005-0000-0000-00004D000000}"/>
    <cellStyle name="20% - Акцент1 13" xfId="79" xr:uid="{00000000-0005-0000-0000-00004E000000}"/>
    <cellStyle name="20% - Акцент1 13 2" xfId="80" xr:uid="{00000000-0005-0000-0000-00004F000000}"/>
    <cellStyle name="20% - Акцент1 13_Свод гостин" xfId="81" xr:uid="{00000000-0005-0000-0000-000050000000}"/>
    <cellStyle name="20% - Акцент1 14" xfId="82" xr:uid="{00000000-0005-0000-0000-000051000000}"/>
    <cellStyle name="20% - Акцент1 14 2" xfId="83" xr:uid="{00000000-0005-0000-0000-000052000000}"/>
    <cellStyle name="20% - Акцент1 14_Свод гостин" xfId="84" xr:uid="{00000000-0005-0000-0000-000053000000}"/>
    <cellStyle name="20% - Акцент1 15" xfId="85" xr:uid="{00000000-0005-0000-0000-000054000000}"/>
    <cellStyle name="20% - Акцент1 15 2" xfId="86" xr:uid="{00000000-0005-0000-0000-000055000000}"/>
    <cellStyle name="20% - Акцент1 15_Свод гостин" xfId="87" xr:uid="{00000000-0005-0000-0000-000056000000}"/>
    <cellStyle name="20% - Акцент1 16" xfId="88" xr:uid="{00000000-0005-0000-0000-000057000000}"/>
    <cellStyle name="20% - Акцент1 16 2" xfId="89" xr:uid="{00000000-0005-0000-0000-000058000000}"/>
    <cellStyle name="20% - Акцент1 16_Свод гостин" xfId="90" xr:uid="{00000000-0005-0000-0000-000059000000}"/>
    <cellStyle name="20% - Акцент1 17" xfId="91" xr:uid="{00000000-0005-0000-0000-00005A000000}"/>
    <cellStyle name="20% - Акцент1 17 2" xfId="92" xr:uid="{00000000-0005-0000-0000-00005B000000}"/>
    <cellStyle name="20% - Акцент1 17_Свод гостин" xfId="93" xr:uid="{00000000-0005-0000-0000-00005C000000}"/>
    <cellStyle name="20% - Акцент1 18" xfId="94" xr:uid="{00000000-0005-0000-0000-00005D000000}"/>
    <cellStyle name="20% - Акцент1 18 2" xfId="95" xr:uid="{00000000-0005-0000-0000-00005E000000}"/>
    <cellStyle name="20% - Акцент1 18_Свод гостин" xfId="96" xr:uid="{00000000-0005-0000-0000-00005F000000}"/>
    <cellStyle name="20% - Акцент1 19" xfId="97" xr:uid="{00000000-0005-0000-0000-000060000000}"/>
    <cellStyle name="20% - Акцент1 19 2" xfId="98" xr:uid="{00000000-0005-0000-0000-000061000000}"/>
    <cellStyle name="20% - Акцент1 19_Свод гостин" xfId="99" xr:uid="{00000000-0005-0000-0000-000062000000}"/>
    <cellStyle name="20% - Акцент1 2" xfId="100" xr:uid="{00000000-0005-0000-0000-000063000000}"/>
    <cellStyle name="20% - Акцент1 2 2" xfId="101" xr:uid="{00000000-0005-0000-0000-000064000000}"/>
    <cellStyle name="20% - Акцент1 2_Свод гостин" xfId="102" xr:uid="{00000000-0005-0000-0000-000065000000}"/>
    <cellStyle name="20% - Акцент1 20" xfId="103" xr:uid="{00000000-0005-0000-0000-000066000000}"/>
    <cellStyle name="20% - Акцент1 20 2" xfId="104" xr:uid="{00000000-0005-0000-0000-000067000000}"/>
    <cellStyle name="20% - Акцент1 20_Свод гостин" xfId="105" xr:uid="{00000000-0005-0000-0000-000068000000}"/>
    <cellStyle name="20% - Акцент1 21" xfId="106" xr:uid="{00000000-0005-0000-0000-000069000000}"/>
    <cellStyle name="20% - Акцент1 21 2" xfId="107" xr:uid="{00000000-0005-0000-0000-00006A000000}"/>
    <cellStyle name="20% - Акцент1 21_Свод гостин" xfId="108" xr:uid="{00000000-0005-0000-0000-00006B000000}"/>
    <cellStyle name="20% - Акцент1 22" xfId="109" xr:uid="{00000000-0005-0000-0000-00006C000000}"/>
    <cellStyle name="20% - Акцент1 22 2" xfId="110" xr:uid="{00000000-0005-0000-0000-00006D000000}"/>
    <cellStyle name="20% - Акцент1 22_Свод гостин" xfId="111" xr:uid="{00000000-0005-0000-0000-00006E000000}"/>
    <cellStyle name="20% - Акцент1 23" xfId="112" xr:uid="{00000000-0005-0000-0000-00006F000000}"/>
    <cellStyle name="20% - Акцент1 23 2" xfId="113" xr:uid="{00000000-0005-0000-0000-000070000000}"/>
    <cellStyle name="20% - Акцент1 23_Свод гостин" xfId="114" xr:uid="{00000000-0005-0000-0000-000071000000}"/>
    <cellStyle name="20% - Акцент1 24" xfId="115" xr:uid="{00000000-0005-0000-0000-000072000000}"/>
    <cellStyle name="20% - Акцент1 24 2" xfId="116" xr:uid="{00000000-0005-0000-0000-000073000000}"/>
    <cellStyle name="20% - Акцент1 24_Свод гостин" xfId="117" xr:uid="{00000000-0005-0000-0000-000074000000}"/>
    <cellStyle name="20% - Акцент1 25" xfId="118" xr:uid="{00000000-0005-0000-0000-000075000000}"/>
    <cellStyle name="20% - Акцент1 25 2" xfId="119" xr:uid="{00000000-0005-0000-0000-000076000000}"/>
    <cellStyle name="20% - Акцент1 25_Свод гостин" xfId="120" xr:uid="{00000000-0005-0000-0000-000077000000}"/>
    <cellStyle name="20% - Акцент1 26" xfId="121" xr:uid="{00000000-0005-0000-0000-000078000000}"/>
    <cellStyle name="20% - Акцент1 26 2" xfId="122" xr:uid="{00000000-0005-0000-0000-000079000000}"/>
    <cellStyle name="20% - Акцент1 26_Свод гостин" xfId="123" xr:uid="{00000000-0005-0000-0000-00007A000000}"/>
    <cellStyle name="20% - Акцент1 27" xfId="124" xr:uid="{00000000-0005-0000-0000-00007B000000}"/>
    <cellStyle name="20% - Акцент1 27 2" xfId="125" xr:uid="{00000000-0005-0000-0000-00007C000000}"/>
    <cellStyle name="20% - Акцент1 27_Свод гостин" xfId="126" xr:uid="{00000000-0005-0000-0000-00007D000000}"/>
    <cellStyle name="20% - Акцент1 28" xfId="127" xr:uid="{00000000-0005-0000-0000-00007E000000}"/>
    <cellStyle name="20% - Акцент1 28 2" xfId="128" xr:uid="{00000000-0005-0000-0000-00007F000000}"/>
    <cellStyle name="20% - Акцент1 28_Свод гостин" xfId="129" xr:uid="{00000000-0005-0000-0000-000080000000}"/>
    <cellStyle name="20% - Акцент1 29" xfId="130" xr:uid="{00000000-0005-0000-0000-000081000000}"/>
    <cellStyle name="20% - Акцент1 29 2" xfId="131" xr:uid="{00000000-0005-0000-0000-000082000000}"/>
    <cellStyle name="20% - Акцент1 29_Свод гостин" xfId="132" xr:uid="{00000000-0005-0000-0000-000083000000}"/>
    <cellStyle name="20% - Акцент1 3" xfId="133" xr:uid="{00000000-0005-0000-0000-000084000000}"/>
    <cellStyle name="20% - Акцент1 3 2" xfId="134" xr:uid="{00000000-0005-0000-0000-000085000000}"/>
    <cellStyle name="20% - Акцент1 3_Свод гостин" xfId="135" xr:uid="{00000000-0005-0000-0000-000086000000}"/>
    <cellStyle name="20% - Акцент1 30" xfId="136" xr:uid="{00000000-0005-0000-0000-000087000000}"/>
    <cellStyle name="20% - Акцент1 30 2" xfId="137" xr:uid="{00000000-0005-0000-0000-000088000000}"/>
    <cellStyle name="20% - Акцент1 30_Свод гостин" xfId="138" xr:uid="{00000000-0005-0000-0000-000089000000}"/>
    <cellStyle name="20% - Акцент1 31" xfId="139" xr:uid="{00000000-0005-0000-0000-00008A000000}"/>
    <cellStyle name="20% - Акцент1 31 2" xfId="140" xr:uid="{00000000-0005-0000-0000-00008B000000}"/>
    <cellStyle name="20% - Акцент1 31_Свод гостин" xfId="141" xr:uid="{00000000-0005-0000-0000-00008C000000}"/>
    <cellStyle name="20% - Акцент1 32" xfId="142" xr:uid="{00000000-0005-0000-0000-00008D000000}"/>
    <cellStyle name="20% - Акцент1 32 2" xfId="143" xr:uid="{00000000-0005-0000-0000-00008E000000}"/>
    <cellStyle name="20% - Акцент1 32_Свод гостин" xfId="144" xr:uid="{00000000-0005-0000-0000-00008F000000}"/>
    <cellStyle name="20% - Акцент1 33" xfId="145" xr:uid="{00000000-0005-0000-0000-000090000000}"/>
    <cellStyle name="20% - Акцент1 33 2" xfId="146" xr:uid="{00000000-0005-0000-0000-000091000000}"/>
    <cellStyle name="20% - Акцент1 33_Свод гостин" xfId="147" xr:uid="{00000000-0005-0000-0000-000092000000}"/>
    <cellStyle name="20% - Акцент1 34" xfId="148" xr:uid="{00000000-0005-0000-0000-000093000000}"/>
    <cellStyle name="20% - Акцент1 34 2" xfId="149" xr:uid="{00000000-0005-0000-0000-000094000000}"/>
    <cellStyle name="20% - Акцент1 34_Свод гостин" xfId="150" xr:uid="{00000000-0005-0000-0000-000095000000}"/>
    <cellStyle name="20% - Акцент1 35" xfId="151" xr:uid="{00000000-0005-0000-0000-000096000000}"/>
    <cellStyle name="20% - Акцент1 35 2" xfId="152" xr:uid="{00000000-0005-0000-0000-000097000000}"/>
    <cellStyle name="20% - Акцент1 35_Свод гостин" xfId="153" xr:uid="{00000000-0005-0000-0000-000098000000}"/>
    <cellStyle name="20% - Акцент1 36" xfId="154" xr:uid="{00000000-0005-0000-0000-000099000000}"/>
    <cellStyle name="20% - Акцент1 36 2" xfId="155" xr:uid="{00000000-0005-0000-0000-00009A000000}"/>
    <cellStyle name="20% - Акцент1 36_Свод гостин" xfId="156" xr:uid="{00000000-0005-0000-0000-00009B000000}"/>
    <cellStyle name="20% - Акцент1 37" xfId="157" xr:uid="{00000000-0005-0000-0000-00009C000000}"/>
    <cellStyle name="20% - Акцент1 37 2" xfId="158" xr:uid="{00000000-0005-0000-0000-00009D000000}"/>
    <cellStyle name="20% - Акцент1 37_Свод гостин" xfId="159" xr:uid="{00000000-0005-0000-0000-00009E000000}"/>
    <cellStyle name="20% - Акцент1 38" xfId="160" xr:uid="{00000000-0005-0000-0000-00009F000000}"/>
    <cellStyle name="20% - Акцент1 38 2" xfId="161" xr:uid="{00000000-0005-0000-0000-0000A0000000}"/>
    <cellStyle name="20% - Акцент1 38_Свод гостин" xfId="162" xr:uid="{00000000-0005-0000-0000-0000A1000000}"/>
    <cellStyle name="20% - Акцент1 39" xfId="163" xr:uid="{00000000-0005-0000-0000-0000A2000000}"/>
    <cellStyle name="20% - Акцент1 39 2" xfId="164" xr:uid="{00000000-0005-0000-0000-0000A3000000}"/>
    <cellStyle name="20% - Акцент1 39_Свод гостин" xfId="165" xr:uid="{00000000-0005-0000-0000-0000A4000000}"/>
    <cellStyle name="20% - Акцент1 4" xfId="166" xr:uid="{00000000-0005-0000-0000-0000A5000000}"/>
    <cellStyle name="20% - Акцент1 4 2" xfId="167" xr:uid="{00000000-0005-0000-0000-0000A6000000}"/>
    <cellStyle name="20% - Акцент1 4_Свод гостин" xfId="168" xr:uid="{00000000-0005-0000-0000-0000A7000000}"/>
    <cellStyle name="20% - Акцент1 40" xfId="169" xr:uid="{00000000-0005-0000-0000-0000A8000000}"/>
    <cellStyle name="20% - Акцент1 40 2" xfId="170" xr:uid="{00000000-0005-0000-0000-0000A9000000}"/>
    <cellStyle name="20% - Акцент1 40_Свод гостин" xfId="171" xr:uid="{00000000-0005-0000-0000-0000AA000000}"/>
    <cellStyle name="20% - Акцент1 41" xfId="172" xr:uid="{00000000-0005-0000-0000-0000AB000000}"/>
    <cellStyle name="20% - Акцент1 41 2" xfId="173" xr:uid="{00000000-0005-0000-0000-0000AC000000}"/>
    <cellStyle name="20% - Акцент1 41_Свод гостин" xfId="174" xr:uid="{00000000-0005-0000-0000-0000AD000000}"/>
    <cellStyle name="20% - Акцент1 42" xfId="175" xr:uid="{00000000-0005-0000-0000-0000AE000000}"/>
    <cellStyle name="20% - Акцент1 42 2" xfId="176" xr:uid="{00000000-0005-0000-0000-0000AF000000}"/>
    <cellStyle name="20% - Акцент1 42_Свод гостин" xfId="177" xr:uid="{00000000-0005-0000-0000-0000B0000000}"/>
    <cellStyle name="20% - Акцент1 43" xfId="178" xr:uid="{00000000-0005-0000-0000-0000B1000000}"/>
    <cellStyle name="20% - Акцент1 43 2" xfId="179" xr:uid="{00000000-0005-0000-0000-0000B2000000}"/>
    <cellStyle name="20% - Акцент1 43_Свод гостин" xfId="180" xr:uid="{00000000-0005-0000-0000-0000B3000000}"/>
    <cellStyle name="20% - Акцент1 44" xfId="181" xr:uid="{00000000-0005-0000-0000-0000B4000000}"/>
    <cellStyle name="20% - Акцент1 44 2" xfId="182" xr:uid="{00000000-0005-0000-0000-0000B5000000}"/>
    <cellStyle name="20% - Акцент1 44_Свод гостин" xfId="183" xr:uid="{00000000-0005-0000-0000-0000B6000000}"/>
    <cellStyle name="20% - Акцент1 45" xfId="184" xr:uid="{00000000-0005-0000-0000-0000B7000000}"/>
    <cellStyle name="20% - Акцент1 45 2" xfId="185" xr:uid="{00000000-0005-0000-0000-0000B8000000}"/>
    <cellStyle name="20% - Акцент1 45_Свод гостин" xfId="186" xr:uid="{00000000-0005-0000-0000-0000B9000000}"/>
    <cellStyle name="20% - Акцент1 46" xfId="187" xr:uid="{00000000-0005-0000-0000-0000BA000000}"/>
    <cellStyle name="20% - Акцент1 46 2" xfId="188" xr:uid="{00000000-0005-0000-0000-0000BB000000}"/>
    <cellStyle name="20% - Акцент1 46_Свод гостин" xfId="189" xr:uid="{00000000-0005-0000-0000-0000BC000000}"/>
    <cellStyle name="20% - Акцент1 47" xfId="190" xr:uid="{00000000-0005-0000-0000-0000BD000000}"/>
    <cellStyle name="20% - Акцент1 47 2" xfId="191" xr:uid="{00000000-0005-0000-0000-0000BE000000}"/>
    <cellStyle name="20% - Акцент1 47_Свод гостин" xfId="192" xr:uid="{00000000-0005-0000-0000-0000BF000000}"/>
    <cellStyle name="20% - Акцент1 48" xfId="193" xr:uid="{00000000-0005-0000-0000-0000C0000000}"/>
    <cellStyle name="20% - Акцент1 48 2" xfId="194" xr:uid="{00000000-0005-0000-0000-0000C1000000}"/>
    <cellStyle name="20% - Акцент1 48_Свод гостин" xfId="195" xr:uid="{00000000-0005-0000-0000-0000C2000000}"/>
    <cellStyle name="20% - Акцент1 49" xfId="196" xr:uid="{00000000-0005-0000-0000-0000C3000000}"/>
    <cellStyle name="20% - Акцент1 49 2" xfId="197" xr:uid="{00000000-0005-0000-0000-0000C4000000}"/>
    <cellStyle name="20% - Акцент1 49_Свод гостин" xfId="198" xr:uid="{00000000-0005-0000-0000-0000C5000000}"/>
    <cellStyle name="20% - Акцент1 5" xfId="199" xr:uid="{00000000-0005-0000-0000-0000C6000000}"/>
    <cellStyle name="20% - Акцент1 5 2" xfId="200" xr:uid="{00000000-0005-0000-0000-0000C7000000}"/>
    <cellStyle name="20% - Акцент1 5_Свод гостин" xfId="201" xr:uid="{00000000-0005-0000-0000-0000C8000000}"/>
    <cellStyle name="20% - Акцент1 50" xfId="202" xr:uid="{00000000-0005-0000-0000-0000C9000000}"/>
    <cellStyle name="20% - Акцент1 50 2" xfId="203" xr:uid="{00000000-0005-0000-0000-0000CA000000}"/>
    <cellStyle name="20% - Акцент1 50_Свод гостин" xfId="204" xr:uid="{00000000-0005-0000-0000-0000CB000000}"/>
    <cellStyle name="20% - Акцент1 51" xfId="205" xr:uid="{00000000-0005-0000-0000-0000CC000000}"/>
    <cellStyle name="20% - Акцент1 51 2" xfId="206" xr:uid="{00000000-0005-0000-0000-0000CD000000}"/>
    <cellStyle name="20% - Акцент1 51_Свод гостин" xfId="207" xr:uid="{00000000-0005-0000-0000-0000CE000000}"/>
    <cellStyle name="20% - Акцент1 52" xfId="208" xr:uid="{00000000-0005-0000-0000-0000CF000000}"/>
    <cellStyle name="20% - Акцент1 52 2" xfId="209" xr:uid="{00000000-0005-0000-0000-0000D0000000}"/>
    <cellStyle name="20% - Акцент1 52_Свод гостин" xfId="210" xr:uid="{00000000-0005-0000-0000-0000D1000000}"/>
    <cellStyle name="20% - Акцент1 53" xfId="211" xr:uid="{00000000-0005-0000-0000-0000D2000000}"/>
    <cellStyle name="20% - Акцент1 53 2" xfId="212" xr:uid="{00000000-0005-0000-0000-0000D3000000}"/>
    <cellStyle name="20% - Акцент1 53_Свод гостин" xfId="213" xr:uid="{00000000-0005-0000-0000-0000D4000000}"/>
    <cellStyle name="20% - Акцент1 54" xfId="214" xr:uid="{00000000-0005-0000-0000-0000D5000000}"/>
    <cellStyle name="20% - Акцент1 54 2" xfId="215" xr:uid="{00000000-0005-0000-0000-0000D6000000}"/>
    <cellStyle name="20% - Акцент1 54_Свод гостин" xfId="216" xr:uid="{00000000-0005-0000-0000-0000D7000000}"/>
    <cellStyle name="20% - Акцент1 55" xfId="217" xr:uid="{00000000-0005-0000-0000-0000D8000000}"/>
    <cellStyle name="20% - Акцент1 55 2" xfId="218" xr:uid="{00000000-0005-0000-0000-0000D9000000}"/>
    <cellStyle name="20% - Акцент1 55_Свод гостин" xfId="219" xr:uid="{00000000-0005-0000-0000-0000DA000000}"/>
    <cellStyle name="20% - Акцент1 56" xfId="220" xr:uid="{00000000-0005-0000-0000-0000DB000000}"/>
    <cellStyle name="20% - Акцент1 56 2" xfId="221" xr:uid="{00000000-0005-0000-0000-0000DC000000}"/>
    <cellStyle name="20% - Акцент1 56_Свод гостин" xfId="222" xr:uid="{00000000-0005-0000-0000-0000DD000000}"/>
    <cellStyle name="20% - Акцент1 57" xfId="223" xr:uid="{00000000-0005-0000-0000-0000DE000000}"/>
    <cellStyle name="20% - Акцент1 57 2" xfId="224" xr:uid="{00000000-0005-0000-0000-0000DF000000}"/>
    <cellStyle name="20% - Акцент1 57_Свод гостин" xfId="225" xr:uid="{00000000-0005-0000-0000-0000E0000000}"/>
    <cellStyle name="20% - Акцент1 58" xfId="226" xr:uid="{00000000-0005-0000-0000-0000E1000000}"/>
    <cellStyle name="20% - Акцент1 58 2" xfId="227" xr:uid="{00000000-0005-0000-0000-0000E2000000}"/>
    <cellStyle name="20% - Акцент1 58_Свод гостин" xfId="228" xr:uid="{00000000-0005-0000-0000-0000E3000000}"/>
    <cellStyle name="20% - Акцент1 59" xfId="229" xr:uid="{00000000-0005-0000-0000-0000E4000000}"/>
    <cellStyle name="20% - Акцент1 59 2" xfId="230" xr:uid="{00000000-0005-0000-0000-0000E5000000}"/>
    <cellStyle name="20% - Акцент1 59_Свод гостин" xfId="231" xr:uid="{00000000-0005-0000-0000-0000E6000000}"/>
    <cellStyle name="20% - Акцент1 6" xfId="232" xr:uid="{00000000-0005-0000-0000-0000E7000000}"/>
    <cellStyle name="20% - Акцент1 6 2" xfId="233" xr:uid="{00000000-0005-0000-0000-0000E8000000}"/>
    <cellStyle name="20% - Акцент1 6_Свод гостин" xfId="234" xr:uid="{00000000-0005-0000-0000-0000E9000000}"/>
    <cellStyle name="20% - Акцент1 60" xfId="235" xr:uid="{00000000-0005-0000-0000-0000EA000000}"/>
    <cellStyle name="20% - Акцент1 60 2" xfId="236" xr:uid="{00000000-0005-0000-0000-0000EB000000}"/>
    <cellStyle name="20% - Акцент1 60_Свод гостин" xfId="237" xr:uid="{00000000-0005-0000-0000-0000EC000000}"/>
    <cellStyle name="20% - Акцент1 61" xfId="238" xr:uid="{00000000-0005-0000-0000-0000ED000000}"/>
    <cellStyle name="20% - Акцент1 61 2" xfId="239" xr:uid="{00000000-0005-0000-0000-0000EE000000}"/>
    <cellStyle name="20% - Акцент1 61_Свод гостин" xfId="240" xr:uid="{00000000-0005-0000-0000-0000EF000000}"/>
    <cellStyle name="20% - Акцент1 62" xfId="241" xr:uid="{00000000-0005-0000-0000-0000F0000000}"/>
    <cellStyle name="20% - Акцент1 62 2" xfId="242" xr:uid="{00000000-0005-0000-0000-0000F1000000}"/>
    <cellStyle name="20% - Акцент1 62_Свод гостин" xfId="243" xr:uid="{00000000-0005-0000-0000-0000F2000000}"/>
    <cellStyle name="20% - Акцент1 63" xfId="244" xr:uid="{00000000-0005-0000-0000-0000F3000000}"/>
    <cellStyle name="20% - Акцент1 63 2" xfId="245" xr:uid="{00000000-0005-0000-0000-0000F4000000}"/>
    <cellStyle name="20% - Акцент1 63_Свод гостин" xfId="246" xr:uid="{00000000-0005-0000-0000-0000F5000000}"/>
    <cellStyle name="20% - Акцент1 64" xfId="247" xr:uid="{00000000-0005-0000-0000-0000F6000000}"/>
    <cellStyle name="20% - Акцент1 64 2" xfId="248" xr:uid="{00000000-0005-0000-0000-0000F7000000}"/>
    <cellStyle name="20% - Акцент1 64_Свод гостин" xfId="249" xr:uid="{00000000-0005-0000-0000-0000F8000000}"/>
    <cellStyle name="20% - Акцент1 65" xfId="250" xr:uid="{00000000-0005-0000-0000-0000F9000000}"/>
    <cellStyle name="20% - Акцент1 65 2" xfId="251" xr:uid="{00000000-0005-0000-0000-0000FA000000}"/>
    <cellStyle name="20% - Акцент1 65_Свод гостин" xfId="252" xr:uid="{00000000-0005-0000-0000-0000FB000000}"/>
    <cellStyle name="20% - Акцент1 66" xfId="253" xr:uid="{00000000-0005-0000-0000-0000FC000000}"/>
    <cellStyle name="20% - Акцент1 66 2" xfId="254" xr:uid="{00000000-0005-0000-0000-0000FD000000}"/>
    <cellStyle name="20% - Акцент1 66_Свод гостин" xfId="255" xr:uid="{00000000-0005-0000-0000-0000FE000000}"/>
    <cellStyle name="20% - Акцент1 67" xfId="256" xr:uid="{00000000-0005-0000-0000-0000FF000000}"/>
    <cellStyle name="20% - Акцент1 67 2" xfId="257" xr:uid="{00000000-0005-0000-0000-000000010000}"/>
    <cellStyle name="20% - Акцент1 67_Свод гостин" xfId="258" xr:uid="{00000000-0005-0000-0000-000001010000}"/>
    <cellStyle name="20% - Акцент1 68" xfId="259" xr:uid="{00000000-0005-0000-0000-000002010000}"/>
    <cellStyle name="20% - Акцент1 68 2" xfId="260" xr:uid="{00000000-0005-0000-0000-000003010000}"/>
    <cellStyle name="20% - Акцент1 68_Свод гостин" xfId="261" xr:uid="{00000000-0005-0000-0000-000004010000}"/>
    <cellStyle name="20% - Акцент1 69" xfId="262" xr:uid="{00000000-0005-0000-0000-000005010000}"/>
    <cellStyle name="20% - Акцент1 69 2" xfId="263" xr:uid="{00000000-0005-0000-0000-000006010000}"/>
    <cellStyle name="20% - Акцент1 69_Свод гостин" xfId="264" xr:uid="{00000000-0005-0000-0000-000007010000}"/>
    <cellStyle name="20% - Акцент1 7" xfId="265" xr:uid="{00000000-0005-0000-0000-000008010000}"/>
    <cellStyle name="20% - Акцент1 7 2" xfId="266" xr:uid="{00000000-0005-0000-0000-000009010000}"/>
    <cellStyle name="20% - Акцент1 7_Свод гостин" xfId="267" xr:uid="{00000000-0005-0000-0000-00000A010000}"/>
    <cellStyle name="20% - Акцент1 70" xfId="268" xr:uid="{00000000-0005-0000-0000-00000B010000}"/>
    <cellStyle name="20% - Акцент1 70 2" xfId="269" xr:uid="{00000000-0005-0000-0000-00000C010000}"/>
    <cellStyle name="20% - Акцент1 70_Свод гостин" xfId="270" xr:uid="{00000000-0005-0000-0000-00000D010000}"/>
    <cellStyle name="20% - Акцент1 71" xfId="271" xr:uid="{00000000-0005-0000-0000-00000E010000}"/>
    <cellStyle name="20% - Акцент1 71 2" xfId="272" xr:uid="{00000000-0005-0000-0000-00000F010000}"/>
    <cellStyle name="20% - Акцент1 71_Свод гостин" xfId="273" xr:uid="{00000000-0005-0000-0000-000010010000}"/>
    <cellStyle name="20% - Акцент1 72" xfId="274" xr:uid="{00000000-0005-0000-0000-000011010000}"/>
    <cellStyle name="20% - Акцент1 72 2" xfId="275" xr:uid="{00000000-0005-0000-0000-000012010000}"/>
    <cellStyle name="20% - Акцент1 72_Свод гостин" xfId="276" xr:uid="{00000000-0005-0000-0000-000013010000}"/>
    <cellStyle name="20% - Акцент1 73" xfId="277" xr:uid="{00000000-0005-0000-0000-000014010000}"/>
    <cellStyle name="20% - Акцент1 73 2" xfId="278" xr:uid="{00000000-0005-0000-0000-000015010000}"/>
    <cellStyle name="20% - Акцент1 73_Свод гостин" xfId="279" xr:uid="{00000000-0005-0000-0000-000016010000}"/>
    <cellStyle name="20% - Акцент1 74" xfId="280" xr:uid="{00000000-0005-0000-0000-000017010000}"/>
    <cellStyle name="20% - Акцент1 74 2" xfId="281" xr:uid="{00000000-0005-0000-0000-000018010000}"/>
    <cellStyle name="20% - Акцент1 74_Свод гостин" xfId="282" xr:uid="{00000000-0005-0000-0000-000019010000}"/>
    <cellStyle name="20% - Акцент1 75" xfId="283" xr:uid="{00000000-0005-0000-0000-00001A010000}"/>
    <cellStyle name="20% - Акцент1 75 2" xfId="284" xr:uid="{00000000-0005-0000-0000-00001B010000}"/>
    <cellStyle name="20% - Акцент1 75_Свод гостин" xfId="285" xr:uid="{00000000-0005-0000-0000-00001C010000}"/>
    <cellStyle name="20% - Акцент1 76" xfId="286" xr:uid="{00000000-0005-0000-0000-00001D010000}"/>
    <cellStyle name="20% - Акцент1 76 2" xfId="287" xr:uid="{00000000-0005-0000-0000-00001E010000}"/>
    <cellStyle name="20% - Акцент1 76_Свод гостин" xfId="288" xr:uid="{00000000-0005-0000-0000-00001F010000}"/>
    <cellStyle name="20% - Акцент1 77" xfId="289" xr:uid="{00000000-0005-0000-0000-000020010000}"/>
    <cellStyle name="20% - Акцент1 77 2" xfId="290" xr:uid="{00000000-0005-0000-0000-000021010000}"/>
    <cellStyle name="20% - Акцент1 77_Свод гостин" xfId="291" xr:uid="{00000000-0005-0000-0000-000022010000}"/>
    <cellStyle name="20% - Акцент1 78" xfId="292" xr:uid="{00000000-0005-0000-0000-000023010000}"/>
    <cellStyle name="20% - Акцент1 78 2" xfId="293" xr:uid="{00000000-0005-0000-0000-000024010000}"/>
    <cellStyle name="20% - Акцент1 78_Свод гостин" xfId="294" xr:uid="{00000000-0005-0000-0000-000025010000}"/>
    <cellStyle name="20% - Акцент1 79" xfId="295" xr:uid="{00000000-0005-0000-0000-000026010000}"/>
    <cellStyle name="20% - Акцент1 79 2" xfId="296" xr:uid="{00000000-0005-0000-0000-000027010000}"/>
    <cellStyle name="20% - Акцент1 79_Свод гостин" xfId="297" xr:uid="{00000000-0005-0000-0000-000028010000}"/>
    <cellStyle name="20% - Акцент1 8" xfId="298" xr:uid="{00000000-0005-0000-0000-000029010000}"/>
    <cellStyle name="20% - Акцент1 8 2" xfId="299" xr:uid="{00000000-0005-0000-0000-00002A010000}"/>
    <cellStyle name="20% - Акцент1 8_Свод гостин" xfId="300" xr:uid="{00000000-0005-0000-0000-00002B010000}"/>
    <cellStyle name="20% - Акцент1 80" xfId="301" xr:uid="{00000000-0005-0000-0000-00002C010000}"/>
    <cellStyle name="20% - Акцент1 80 2" xfId="302" xr:uid="{00000000-0005-0000-0000-00002D010000}"/>
    <cellStyle name="20% - Акцент1 80_Свод гостин" xfId="303" xr:uid="{00000000-0005-0000-0000-00002E010000}"/>
    <cellStyle name="20% - Акцент1 81" xfId="304" xr:uid="{00000000-0005-0000-0000-00002F010000}"/>
    <cellStyle name="20% - Акцент1 81 2" xfId="305" xr:uid="{00000000-0005-0000-0000-000030010000}"/>
    <cellStyle name="20% - Акцент1 81_Свод гостин" xfId="306" xr:uid="{00000000-0005-0000-0000-000031010000}"/>
    <cellStyle name="20% - Акцент1 82" xfId="307" xr:uid="{00000000-0005-0000-0000-000032010000}"/>
    <cellStyle name="20% - Акцент1 82 2" xfId="308" xr:uid="{00000000-0005-0000-0000-000033010000}"/>
    <cellStyle name="20% - Акцент1 82_Свод гостин" xfId="309" xr:uid="{00000000-0005-0000-0000-000034010000}"/>
    <cellStyle name="20% - Акцент1 83" xfId="310" xr:uid="{00000000-0005-0000-0000-000035010000}"/>
    <cellStyle name="20% - Акцент1 83 2" xfId="311" xr:uid="{00000000-0005-0000-0000-000036010000}"/>
    <cellStyle name="20% - Акцент1 83_Свод гостин" xfId="312" xr:uid="{00000000-0005-0000-0000-000037010000}"/>
    <cellStyle name="20% - Акцент1 9" xfId="313" xr:uid="{00000000-0005-0000-0000-000038010000}"/>
    <cellStyle name="20% - Акцент1 9 2" xfId="314" xr:uid="{00000000-0005-0000-0000-000039010000}"/>
    <cellStyle name="20% - Акцент1 9_Свод гостин" xfId="315" xr:uid="{00000000-0005-0000-0000-00003A010000}"/>
    <cellStyle name="20% - Акцент2 10" xfId="316" xr:uid="{00000000-0005-0000-0000-00003B010000}"/>
    <cellStyle name="20% - Акцент2 10 2" xfId="317" xr:uid="{00000000-0005-0000-0000-00003C010000}"/>
    <cellStyle name="20% - Акцент2 10_Свод гостин" xfId="318" xr:uid="{00000000-0005-0000-0000-00003D010000}"/>
    <cellStyle name="20% - Акцент2 11" xfId="319" xr:uid="{00000000-0005-0000-0000-00003E010000}"/>
    <cellStyle name="20% - Акцент2 11 2" xfId="320" xr:uid="{00000000-0005-0000-0000-00003F010000}"/>
    <cellStyle name="20% - Акцент2 11_Свод гостин" xfId="321" xr:uid="{00000000-0005-0000-0000-000040010000}"/>
    <cellStyle name="20% - Акцент2 12" xfId="322" xr:uid="{00000000-0005-0000-0000-000041010000}"/>
    <cellStyle name="20% - Акцент2 12 2" xfId="323" xr:uid="{00000000-0005-0000-0000-000042010000}"/>
    <cellStyle name="20% - Акцент2 12_Свод гостин" xfId="324" xr:uid="{00000000-0005-0000-0000-000043010000}"/>
    <cellStyle name="20% - Акцент2 13" xfId="325" xr:uid="{00000000-0005-0000-0000-000044010000}"/>
    <cellStyle name="20% - Акцент2 13 2" xfId="326" xr:uid="{00000000-0005-0000-0000-000045010000}"/>
    <cellStyle name="20% - Акцент2 13_Свод гостин" xfId="327" xr:uid="{00000000-0005-0000-0000-000046010000}"/>
    <cellStyle name="20% - Акцент2 14" xfId="328" xr:uid="{00000000-0005-0000-0000-000047010000}"/>
    <cellStyle name="20% - Акцент2 14 2" xfId="329" xr:uid="{00000000-0005-0000-0000-000048010000}"/>
    <cellStyle name="20% - Акцент2 14_Свод гостин" xfId="330" xr:uid="{00000000-0005-0000-0000-000049010000}"/>
    <cellStyle name="20% - Акцент2 15" xfId="331" xr:uid="{00000000-0005-0000-0000-00004A010000}"/>
    <cellStyle name="20% - Акцент2 15 2" xfId="332" xr:uid="{00000000-0005-0000-0000-00004B010000}"/>
    <cellStyle name="20% - Акцент2 15_Свод гостин" xfId="333" xr:uid="{00000000-0005-0000-0000-00004C010000}"/>
    <cellStyle name="20% - Акцент2 16" xfId="334" xr:uid="{00000000-0005-0000-0000-00004D010000}"/>
    <cellStyle name="20% - Акцент2 16 2" xfId="335" xr:uid="{00000000-0005-0000-0000-00004E010000}"/>
    <cellStyle name="20% - Акцент2 16_Свод гостин" xfId="336" xr:uid="{00000000-0005-0000-0000-00004F010000}"/>
    <cellStyle name="20% - Акцент2 17" xfId="337" xr:uid="{00000000-0005-0000-0000-000050010000}"/>
    <cellStyle name="20% - Акцент2 17 2" xfId="338" xr:uid="{00000000-0005-0000-0000-000051010000}"/>
    <cellStyle name="20% - Акцент2 17_Свод гостин" xfId="339" xr:uid="{00000000-0005-0000-0000-000052010000}"/>
    <cellStyle name="20% - Акцент2 18" xfId="340" xr:uid="{00000000-0005-0000-0000-000053010000}"/>
    <cellStyle name="20% - Акцент2 18 2" xfId="341" xr:uid="{00000000-0005-0000-0000-000054010000}"/>
    <cellStyle name="20% - Акцент2 18_Свод гостин" xfId="342" xr:uid="{00000000-0005-0000-0000-000055010000}"/>
    <cellStyle name="20% - Акцент2 19" xfId="343" xr:uid="{00000000-0005-0000-0000-000056010000}"/>
    <cellStyle name="20% - Акцент2 19 2" xfId="344" xr:uid="{00000000-0005-0000-0000-000057010000}"/>
    <cellStyle name="20% - Акцент2 19_Свод гостин" xfId="345" xr:uid="{00000000-0005-0000-0000-000058010000}"/>
    <cellStyle name="20% - Акцент2 2" xfId="346" xr:uid="{00000000-0005-0000-0000-000059010000}"/>
    <cellStyle name="20% - Акцент2 2 2" xfId="347" xr:uid="{00000000-0005-0000-0000-00005A010000}"/>
    <cellStyle name="20% - Акцент2 2_Свод гостин" xfId="348" xr:uid="{00000000-0005-0000-0000-00005B010000}"/>
    <cellStyle name="20% - Акцент2 20" xfId="349" xr:uid="{00000000-0005-0000-0000-00005C010000}"/>
    <cellStyle name="20% - Акцент2 20 2" xfId="350" xr:uid="{00000000-0005-0000-0000-00005D010000}"/>
    <cellStyle name="20% - Акцент2 20_Свод гостин" xfId="351" xr:uid="{00000000-0005-0000-0000-00005E010000}"/>
    <cellStyle name="20% - Акцент2 21" xfId="352" xr:uid="{00000000-0005-0000-0000-00005F010000}"/>
    <cellStyle name="20% - Акцент2 21 2" xfId="353" xr:uid="{00000000-0005-0000-0000-000060010000}"/>
    <cellStyle name="20% - Акцент2 21_Свод гостин" xfId="354" xr:uid="{00000000-0005-0000-0000-000061010000}"/>
    <cellStyle name="20% - Акцент2 22" xfId="355" xr:uid="{00000000-0005-0000-0000-000062010000}"/>
    <cellStyle name="20% - Акцент2 22 2" xfId="356" xr:uid="{00000000-0005-0000-0000-000063010000}"/>
    <cellStyle name="20% - Акцент2 22_Свод гостин" xfId="357" xr:uid="{00000000-0005-0000-0000-000064010000}"/>
    <cellStyle name="20% - Акцент2 23" xfId="358" xr:uid="{00000000-0005-0000-0000-000065010000}"/>
    <cellStyle name="20% - Акцент2 23 2" xfId="359" xr:uid="{00000000-0005-0000-0000-000066010000}"/>
    <cellStyle name="20% - Акцент2 23_Свод гостин" xfId="360" xr:uid="{00000000-0005-0000-0000-000067010000}"/>
    <cellStyle name="20% - Акцент2 24" xfId="361" xr:uid="{00000000-0005-0000-0000-000068010000}"/>
    <cellStyle name="20% - Акцент2 24 2" xfId="362" xr:uid="{00000000-0005-0000-0000-000069010000}"/>
    <cellStyle name="20% - Акцент2 24_Свод гостин" xfId="363" xr:uid="{00000000-0005-0000-0000-00006A010000}"/>
    <cellStyle name="20% - Акцент2 25" xfId="364" xr:uid="{00000000-0005-0000-0000-00006B010000}"/>
    <cellStyle name="20% - Акцент2 25 2" xfId="365" xr:uid="{00000000-0005-0000-0000-00006C010000}"/>
    <cellStyle name="20% - Акцент2 25_Свод гостин" xfId="366" xr:uid="{00000000-0005-0000-0000-00006D010000}"/>
    <cellStyle name="20% - Акцент2 26" xfId="367" xr:uid="{00000000-0005-0000-0000-00006E010000}"/>
    <cellStyle name="20% - Акцент2 26 2" xfId="368" xr:uid="{00000000-0005-0000-0000-00006F010000}"/>
    <cellStyle name="20% - Акцент2 26_Свод гостин" xfId="369" xr:uid="{00000000-0005-0000-0000-000070010000}"/>
    <cellStyle name="20% - Акцент2 27" xfId="370" xr:uid="{00000000-0005-0000-0000-000071010000}"/>
    <cellStyle name="20% - Акцент2 27 2" xfId="371" xr:uid="{00000000-0005-0000-0000-000072010000}"/>
    <cellStyle name="20% - Акцент2 27_Свод гостин" xfId="372" xr:uid="{00000000-0005-0000-0000-000073010000}"/>
    <cellStyle name="20% - Акцент2 28" xfId="373" xr:uid="{00000000-0005-0000-0000-000074010000}"/>
    <cellStyle name="20% - Акцент2 28 2" xfId="374" xr:uid="{00000000-0005-0000-0000-000075010000}"/>
    <cellStyle name="20% - Акцент2 28_Свод гостин" xfId="375" xr:uid="{00000000-0005-0000-0000-000076010000}"/>
    <cellStyle name="20% - Акцент2 29" xfId="376" xr:uid="{00000000-0005-0000-0000-000077010000}"/>
    <cellStyle name="20% - Акцент2 29 2" xfId="377" xr:uid="{00000000-0005-0000-0000-000078010000}"/>
    <cellStyle name="20% - Акцент2 29_Свод гостин" xfId="378" xr:uid="{00000000-0005-0000-0000-000079010000}"/>
    <cellStyle name="20% - Акцент2 3" xfId="379" xr:uid="{00000000-0005-0000-0000-00007A010000}"/>
    <cellStyle name="20% - Акцент2 3 2" xfId="380" xr:uid="{00000000-0005-0000-0000-00007B010000}"/>
    <cellStyle name="20% - Акцент2 3_Свод гостин" xfId="381" xr:uid="{00000000-0005-0000-0000-00007C010000}"/>
    <cellStyle name="20% - Акцент2 30" xfId="382" xr:uid="{00000000-0005-0000-0000-00007D010000}"/>
    <cellStyle name="20% - Акцент2 30 2" xfId="383" xr:uid="{00000000-0005-0000-0000-00007E010000}"/>
    <cellStyle name="20% - Акцент2 30_Свод гостин" xfId="384" xr:uid="{00000000-0005-0000-0000-00007F010000}"/>
    <cellStyle name="20% - Акцент2 31" xfId="385" xr:uid="{00000000-0005-0000-0000-000080010000}"/>
    <cellStyle name="20% - Акцент2 31 2" xfId="386" xr:uid="{00000000-0005-0000-0000-000081010000}"/>
    <cellStyle name="20% - Акцент2 31_Свод гостин" xfId="387" xr:uid="{00000000-0005-0000-0000-000082010000}"/>
    <cellStyle name="20% - Акцент2 32" xfId="388" xr:uid="{00000000-0005-0000-0000-000083010000}"/>
    <cellStyle name="20% - Акцент2 32 2" xfId="389" xr:uid="{00000000-0005-0000-0000-000084010000}"/>
    <cellStyle name="20% - Акцент2 32_Свод гостин" xfId="390" xr:uid="{00000000-0005-0000-0000-000085010000}"/>
    <cellStyle name="20% - Акцент2 33" xfId="391" xr:uid="{00000000-0005-0000-0000-000086010000}"/>
    <cellStyle name="20% - Акцент2 33 2" xfId="392" xr:uid="{00000000-0005-0000-0000-000087010000}"/>
    <cellStyle name="20% - Акцент2 33_Свод гостин" xfId="393" xr:uid="{00000000-0005-0000-0000-000088010000}"/>
    <cellStyle name="20% - Акцент2 34" xfId="394" xr:uid="{00000000-0005-0000-0000-000089010000}"/>
    <cellStyle name="20% - Акцент2 34 2" xfId="395" xr:uid="{00000000-0005-0000-0000-00008A010000}"/>
    <cellStyle name="20% - Акцент2 34_Свод гостин" xfId="396" xr:uid="{00000000-0005-0000-0000-00008B010000}"/>
    <cellStyle name="20% - Акцент2 35" xfId="397" xr:uid="{00000000-0005-0000-0000-00008C010000}"/>
    <cellStyle name="20% - Акцент2 35 2" xfId="398" xr:uid="{00000000-0005-0000-0000-00008D010000}"/>
    <cellStyle name="20% - Акцент2 35_Свод гостин" xfId="399" xr:uid="{00000000-0005-0000-0000-00008E010000}"/>
    <cellStyle name="20% - Акцент2 36" xfId="400" xr:uid="{00000000-0005-0000-0000-00008F010000}"/>
    <cellStyle name="20% - Акцент2 36 2" xfId="401" xr:uid="{00000000-0005-0000-0000-000090010000}"/>
    <cellStyle name="20% - Акцент2 36_Свод гостин" xfId="402" xr:uid="{00000000-0005-0000-0000-000091010000}"/>
    <cellStyle name="20% - Акцент2 37" xfId="403" xr:uid="{00000000-0005-0000-0000-000092010000}"/>
    <cellStyle name="20% - Акцент2 37 2" xfId="404" xr:uid="{00000000-0005-0000-0000-000093010000}"/>
    <cellStyle name="20% - Акцент2 37_Свод гостин" xfId="405" xr:uid="{00000000-0005-0000-0000-000094010000}"/>
    <cellStyle name="20% - Акцент2 38" xfId="406" xr:uid="{00000000-0005-0000-0000-000095010000}"/>
    <cellStyle name="20% - Акцент2 38 2" xfId="407" xr:uid="{00000000-0005-0000-0000-000096010000}"/>
    <cellStyle name="20% - Акцент2 38_Свод гостин" xfId="408" xr:uid="{00000000-0005-0000-0000-000097010000}"/>
    <cellStyle name="20% - Акцент2 39" xfId="409" xr:uid="{00000000-0005-0000-0000-000098010000}"/>
    <cellStyle name="20% - Акцент2 39 2" xfId="410" xr:uid="{00000000-0005-0000-0000-000099010000}"/>
    <cellStyle name="20% - Акцент2 39_Свод гостин" xfId="411" xr:uid="{00000000-0005-0000-0000-00009A010000}"/>
    <cellStyle name="20% - Акцент2 4" xfId="412" xr:uid="{00000000-0005-0000-0000-00009B010000}"/>
    <cellStyle name="20% - Акцент2 4 2" xfId="413" xr:uid="{00000000-0005-0000-0000-00009C010000}"/>
    <cellStyle name="20% - Акцент2 4_Свод гостин" xfId="414" xr:uid="{00000000-0005-0000-0000-00009D010000}"/>
    <cellStyle name="20% - Акцент2 40" xfId="415" xr:uid="{00000000-0005-0000-0000-00009E010000}"/>
    <cellStyle name="20% - Акцент2 40 2" xfId="416" xr:uid="{00000000-0005-0000-0000-00009F010000}"/>
    <cellStyle name="20% - Акцент2 40_Свод гостин" xfId="417" xr:uid="{00000000-0005-0000-0000-0000A0010000}"/>
    <cellStyle name="20% - Акцент2 41" xfId="418" xr:uid="{00000000-0005-0000-0000-0000A1010000}"/>
    <cellStyle name="20% - Акцент2 41 2" xfId="419" xr:uid="{00000000-0005-0000-0000-0000A2010000}"/>
    <cellStyle name="20% - Акцент2 41_Свод гостин" xfId="420" xr:uid="{00000000-0005-0000-0000-0000A3010000}"/>
    <cellStyle name="20% - Акцент2 42" xfId="421" xr:uid="{00000000-0005-0000-0000-0000A4010000}"/>
    <cellStyle name="20% - Акцент2 42 2" xfId="422" xr:uid="{00000000-0005-0000-0000-0000A5010000}"/>
    <cellStyle name="20% - Акцент2 42_Свод гостин" xfId="423" xr:uid="{00000000-0005-0000-0000-0000A6010000}"/>
    <cellStyle name="20% - Акцент2 43" xfId="424" xr:uid="{00000000-0005-0000-0000-0000A7010000}"/>
    <cellStyle name="20% - Акцент2 43 2" xfId="425" xr:uid="{00000000-0005-0000-0000-0000A8010000}"/>
    <cellStyle name="20% - Акцент2 43_Свод гостин" xfId="426" xr:uid="{00000000-0005-0000-0000-0000A9010000}"/>
    <cellStyle name="20% - Акцент2 44" xfId="427" xr:uid="{00000000-0005-0000-0000-0000AA010000}"/>
    <cellStyle name="20% - Акцент2 44 2" xfId="428" xr:uid="{00000000-0005-0000-0000-0000AB010000}"/>
    <cellStyle name="20% - Акцент2 44_Свод гостин" xfId="429" xr:uid="{00000000-0005-0000-0000-0000AC010000}"/>
    <cellStyle name="20% - Акцент2 45" xfId="430" xr:uid="{00000000-0005-0000-0000-0000AD010000}"/>
    <cellStyle name="20% - Акцент2 45 2" xfId="431" xr:uid="{00000000-0005-0000-0000-0000AE010000}"/>
    <cellStyle name="20% - Акцент2 45_Свод гостин" xfId="432" xr:uid="{00000000-0005-0000-0000-0000AF010000}"/>
    <cellStyle name="20% - Акцент2 46" xfId="433" xr:uid="{00000000-0005-0000-0000-0000B0010000}"/>
    <cellStyle name="20% - Акцент2 46 2" xfId="434" xr:uid="{00000000-0005-0000-0000-0000B1010000}"/>
    <cellStyle name="20% - Акцент2 46_Свод гостин" xfId="435" xr:uid="{00000000-0005-0000-0000-0000B2010000}"/>
    <cellStyle name="20% - Акцент2 47" xfId="436" xr:uid="{00000000-0005-0000-0000-0000B3010000}"/>
    <cellStyle name="20% - Акцент2 47 2" xfId="437" xr:uid="{00000000-0005-0000-0000-0000B4010000}"/>
    <cellStyle name="20% - Акцент2 47_Свод гостин" xfId="438" xr:uid="{00000000-0005-0000-0000-0000B5010000}"/>
    <cellStyle name="20% - Акцент2 48" xfId="439" xr:uid="{00000000-0005-0000-0000-0000B6010000}"/>
    <cellStyle name="20% - Акцент2 48 2" xfId="440" xr:uid="{00000000-0005-0000-0000-0000B7010000}"/>
    <cellStyle name="20% - Акцент2 48_Свод гостин" xfId="441" xr:uid="{00000000-0005-0000-0000-0000B8010000}"/>
    <cellStyle name="20% - Акцент2 49" xfId="442" xr:uid="{00000000-0005-0000-0000-0000B9010000}"/>
    <cellStyle name="20% - Акцент2 49 2" xfId="443" xr:uid="{00000000-0005-0000-0000-0000BA010000}"/>
    <cellStyle name="20% - Акцент2 49_Свод гостин" xfId="444" xr:uid="{00000000-0005-0000-0000-0000BB010000}"/>
    <cellStyle name="20% - Акцент2 5" xfId="445" xr:uid="{00000000-0005-0000-0000-0000BC010000}"/>
    <cellStyle name="20% - Акцент2 5 2" xfId="446" xr:uid="{00000000-0005-0000-0000-0000BD010000}"/>
    <cellStyle name="20% - Акцент2 5_Свод гостин" xfId="447" xr:uid="{00000000-0005-0000-0000-0000BE010000}"/>
    <cellStyle name="20% - Акцент2 50" xfId="448" xr:uid="{00000000-0005-0000-0000-0000BF010000}"/>
    <cellStyle name="20% - Акцент2 50 2" xfId="449" xr:uid="{00000000-0005-0000-0000-0000C0010000}"/>
    <cellStyle name="20% - Акцент2 50_Свод гостин" xfId="450" xr:uid="{00000000-0005-0000-0000-0000C1010000}"/>
    <cellStyle name="20% - Акцент2 51" xfId="451" xr:uid="{00000000-0005-0000-0000-0000C2010000}"/>
    <cellStyle name="20% - Акцент2 51 2" xfId="452" xr:uid="{00000000-0005-0000-0000-0000C3010000}"/>
    <cellStyle name="20% - Акцент2 51_Свод гостин" xfId="453" xr:uid="{00000000-0005-0000-0000-0000C4010000}"/>
    <cellStyle name="20% - Акцент2 52" xfId="454" xr:uid="{00000000-0005-0000-0000-0000C5010000}"/>
    <cellStyle name="20% - Акцент2 52 2" xfId="455" xr:uid="{00000000-0005-0000-0000-0000C6010000}"/>
    <cellStyle name="20% - Акцент2 52_Свод гостин" xfId="456" xr:uid="{00000000-0005-0000-0000-0000C7010000}"/>
    <cellStyle name="20% - Акцент2 53" xfId="457" xr:uid="{00000000-0005-0000-0000-0000C8010000}"/>
    <cellStyle name="20% - Акцент2 53 2" xfId="458" xr:uid="{00000000-0005-0000-0000-0000C9010000}"/>
    <cellStyle name="20% - Акцент2 53_Свод гостин" xfId="459" xr:uid="{00000000-0005-0000-0000-0000CA010000}"/>
    <cellStyle name="20% - Акцент2 54" xfId="460" xr:uid="{00000000-0005-0000-0000-0000CB010000}"/>
    <cellStyle name="20% - Акцент2 54 2" xfId="461" xr:uid="{00000000-0005-0000-0000-0000CC010000}"/>
    <cellStyle name="20% - Акцент2 54_Свод гостин" xfId="462" xr:uid="{00000000-0005-0000-0000-0000CD010000}"/>
    <cellStyle name="20% - Акцент2 55" xfId="463" xr:uid="{00000000-0005-0000-0000-0000CE010000}"/>
    <cellStyle name="20% - Акцент2 55 2" xfId="464" xr:uid="{00000000-0005-0000-0000-0000CF010000}"/>
    <cellStyle name="20% - Акцент2 55_Свод гостин" xfId="465" xr:uid="{00000000-0005-0000-0000-0000D0010000}"/>
    <cellStyle name="20% - Акцент2 56" xfId="466" xr:uid="{00000000-0005-0000-0000-0000D1010000}"/>
    <cellStyle name="20% - Акцент2 56 2" xfId="467" xr:uid="{00000000-0005-0000-0000-0000D2010000}"/>
    <cellStyle name="20% - Акцент2 56_Свод гостин" xfId="468" xr:uid="{00000000-0005-0000-0000-0000D3010000}"/>
    <cellStyle name="20% - Акцент2 57" xfId="469" xr:uid="{00000000-0005-0000-0000-0000D4010000}"/>
    <cellStyle name="20% - Акцент2 57 2" xfId="470" xr:uid="{00000000-0005-0000-0000-0000D5010000}"/>
    <cellStyle name="20% - Акцент2 57_Свод гостин" xfId="471" xr:uid="{00000000-0005-0000-0000-0000D6010000}"/>
    <cellStyle name="20% - Акцент2 58" xfId="472" xr:uid="{00000000-0005-0000-0000-0000D7010000}"/>
    <cellStyle name="20% - Акцент2 58 2" xfId="473" xr:uid="{00000000-0005-0000-0000-0000D8010000}"/>
    <cellStyle name="20% - Акцент2 58_Свод гостин" xfId="474" xr:uid="{00000000-0005-0000-0000-0000D9010000}"/>
    <cellStyle name="20% - Акцент2 59" xfId="475" xr:uid="{00000000-0005-0000-0000-0000DA010000}"/>
    <cellStyle name="20% - Акцент2 59 2" xfId="476" xr:uid="{00000000-0005-0000-0000-0000DB010000}"/>
    <cellStyle name="20% - Акцент2 59_Свод гостин" xfId="477" xr:uid="{00000000-0005-0000-0000-0000DC010000}"/>
    <cellStyle name="20% - Акцент2 6" xfId="478" xr:uid="{00000000-0005-0000-0000-0000DD010000}"/>
    <cellStyle name="20% - Акцент2 6 2" xfId="479" xr:uid="{00000000-0005-0000-0000-0000DE010000}"/>
    <cellStyle name="20% - Акцент2 6_Свод гостин" xfId="480" xr:uid="{00000000-0005-0000-0000-0000DF010000}"/>
    <cellStyle name="20% - Акцент2 60" xfId="481" xr:uid="{00000000-0005-0000-0000-0000E0010000}"/>
    <cellStyle name="20% - Акцент2 60 2" xfId="482" xr:uid="{00000000-0005-0000-0000-0000E1010000}"/>
    <cellStyle name="20% - Акцент2 60_Свод гостин" xfId="483" xr:uid="{00000000-0005-0000-0000-0000E2010000}"/>
    <cellStyle name="20% - Акцент2 61" xfId="484" xr:uid="{00000000-0005-0000-0000-0000E3010000}"/>
    <cellStyle name="20% - Акцент2 61 2" xfId="485" xr:uid="{00000000-0005-0000-0000-0000E4010000}"/>
    <cellStyle name="20% - Акцент2 61_Свод гостин" xfId="486" xr:uid="{00000000-0005-0000-0000-0000E5010000}"/>
    <cellStyle name="20% - Акцент2 62" xfId="487" xr:uid="{00000000-0005-0000-0000-0000E6010000}"/>
    <cellStyle name="20% - Акцент2 62 2" xfId="488" xr:uid="{00000000-0005-0000-0000-0000E7010000}"/>
    <cellStyle name="20% - Акцент2 62_Свод гостин" xfId="489" xr:uid="{00000000-0005-0000-0000-0000E8010000}"/>
    <cellStyle name="20% - Акцент2 63" xfId="490" xr:uid="{00000000-0005-0000-0000-0000E9010000}"/>
    <cellStyle name="20% - Акцент2 63 2" xfId="491" xr:uid="{00000000-0005-0000-0000-0000EA010000}"/>
    <cellStyle name="20% - Акцент2 63_Свод гостин" xfId="492" xr:uid="{00000000-0005-0000-0000-0000EB010000}"/>
    <cellStyle name="20% - Акцент2 64" xfId="493" xr:uid="{00000000-0005-0000-0000-0000EC010000}"/>
    <cellStyle name="20% - Акцент2 64 2" xfId="494" xr:uid="{00000000-0005-0000-0000-0000ED010000}"/>
    <cellStyle name="20% - Акцент2 64_Свод гостин" xfId="495" xr:uid="{00000000-0005-0000-0000-0000EE010000}"/>
    <cellStyle name="20% - Акцент2 65" xfId="496" xr:uid="{00000000-0005-0000-0000-0000EF010000}"/>
    <cellStyle name="20% - Акцент2 65 2" xfId="497" xr:uid="{00000000-0005-0000-0000-0000F0010000}"/>
    <cellStyle name="20% - Акцент2 65_Свод гостин" xfId="498" xr:uid="{00000000-0005-0000-0000-0000F1010000}"/>
    <cellStyle name="20% - Акцент2 66" xfId="499" xr:uid="{00000000-0005-0000-0000-0000F2010000}"/>
    <cellStyle name="20% - Акцент2 66 2" xfId="500" xr:uid="{00000000-0005-0000-0000-0000F3010000}"/>
    <cellStyle name="20% - Акцент2 66_Свод гостин" xfId="501" xr:uid="{00000000-0005-0000-0000-0000F4010000}"/>
    <cellStyle name="20% - Акцент2 67" xfId="502" xr:uid="{00000000-0005-0000-0000-0000F5010000}"/>
    <cellStyle name="20% - Акцент2 67 2" xfId="503" xr:uid="{00000000-0005-0000-0000-0000F6010000}"/>
    <cellStyle name="20% - Акцент2 67_Свод гостин" xfId="504" xr:uid="{00000000-0005-0000-0000-0000F7010000}"/>
    <cellStyle name="20% - Акцент2 68" xfId="505" xr:uid="{00000000-0005-0000-0000-0000F8010000}"/>
    <cellStyle name="20% - Акцент2 68 2" xfId="506" xr:uid="{00000000-0005-0000-0000-0000F9010000}"/>
    <cellStyle name="20% - Акцент2 68_Свод гостин" xfId="507" xr:uid="{00000000-0005-0000-0000-0000FA010000}"/>
    <cellStyle name="20% - Акцент2 69" xfId="508" xr:uid="{00000000-0005-0000-0000-0000FB010000}"/>
    <cellStyle name="20% - Акцент2 69 2" xfId="509" xr:uid="{00000000-0005-0000-0000-0000FC010000}"/>
    <cellStyle name="20% - Акцент2 69_Свод гостин" xfId="510" xr:uid="{00000000-0005-0000-0000-0000FD010000}"/>
    <cellStyle name="20% - Акцент2 7" xfId="511" xr:uid="{00000000-0005-0000-0000-0000FE010000}"/>
    <cellStyle name="20% - Акцент2 7 2" xfId="512" xr:uid="{00000000-0005-0000-0000-0000FF010000}"/>
    <cellStyle name="20% - Акцент2 7_Свод гостин" xfId="513" xr:uid="{00000000-0005-0000-0000-000000020000}"/>
    <cellStyle name="20% - Акцент2 70" xfId="514" xr:uid="{00000000-0005-0000-0000-000001020000}"/>
    <cellStyle name="20% - Акцент2 70 2" xfId="515" xr:uid="{00000000-0005-0000-0000-000002020000}"/>
    <cellStyle name="20% - Акцент2 70_Свод гостин" xfId="516" xr:uid="{00000000-0005-0000-0000-000003020000}"/>
    <cellStyle name="20% - Акцент2 71" xfId="517" xr:uid="{00000000-0005-0000-0000-000004020000}"/>
    <cellStyle name="20% - Акцент2 71 2" xfId="518" xr:uid="{00000000-0005-0000-0000-000005020000}"/>
    <cellStyle name="20% - Акцент2 71_Свод гостин" xfId="519" xr:uid="{00000000-0005-0000-0000-000006020000}"/>
    <cellStyle name="20% - Акцент2 72" xfId="520" xr:uid="{00000000-0005-0000-0000-000007020000}"/>
    <cellStyle name="20% - Акцент2 72 2" xfId="521" xr:uid="{00000000-0005-0000-0000-000008020000}"/>
    <cellStyle name="20% - Акцент2 72_Свод гостин" xfId="522" xr:uid="{00000000-0005-0000-0000-000009020000}"/>
    <cellStyle name="20% - Акцент2 73" xfId="523" xr:uid="{00000000-0005-0000-0000-00000A020000}"/>
    <cellStyle name="20% - Акцент2 73 2" xfId="524" xr:uid="{00000000-0005-0000-0000-00000B020000}"/>
    <cellStyle name="20% - Акцент2 73_Свод гостин" xfId="525" xr:uid="{00000000-0005-0000-0000-00000C020000}"/>
    <cellStyle name="20% - Акцент2 74" xfId="526" xr:uid="{00000000-0005-0000-0000-00000D020000}"/>
    <cellStyle name="20% - Акцент2 74 2" xfId="527" xr:uid="{00000000-0005-0000-0000-00000E020000}"/>
    <cellStyle name="20% - Акцент2 74_Свод гостин" xfId="528" xr:uid="{00000000-0005-0000-0000-00000F020000}"/>
    <cellStyle name="20% - Акцент2 75" xfId="529" xr:uid="{00000000-0005-0000-0000-000010020000}"/>
    <cellStyle name="20% - Акцент2 75 2" xfId="530" xr:uid="{00000000-0005-0000-0000-000011020000}"/>
    <cellStyle name="20% - Акцент2 75_Свод гостин" xfId="531" xr:uid="{00000000-0005-0000-0000-000012020000}"/>
    <cellStyle name="20% - Акцент2 76" xfId="532" xr:uid="{00000000-0005-0000-0000-000013020000}"/>
    <cellStyle name="20% - Акцент2 76 2" xfId="533" xr:uid="{00000000-0005-0000-0000-000014020000}"/>
    <cellStyle name="20% - Акцент2 76_Свод гостин" xfId="534" xr:uid="{00000000-0005-0000-0000-000015020000}"/>
    <cellStyle name="20% - Акцент2 77" xfId="535" xr:uid="{00000000-0005-0000-0000-000016020000}"/>
    <cellStyle name="20% - Акцент2 77 2" xfId="536" xr:uid="{00000000-0005-0000-0000-000017020000}"/>
    <cellStyle name="20% - Акцент2 77_Свод гостин" xfId="537" xr:uid="{00000000-0005-0000-0000-000018020000}"/>
    <cellStyle name="20% - Акцент2 78" xfId="538" xr:uid="{00000000-0005-0000-0000-000019020000}"/>
    <cellStyle name="20% - Акцент2 78 2" xfId="539" xr:uid="{00000000-0005-0000-0000-00001A020000}"/>
    <cellStyle name="20% - Акцент2 78_Свод гостин" xfId="540" xr:uid="{00000000-0005-0000-0000-00001B020000}"/>
    <cellStyle name="20% - Акцент2 79" xfId="541" xr:uid="{00000000-0005-0000-0000-00001C020000}"/>
    <cellStyle name="20% - Акцент2 79 2" xfId="542" xr:uid="{00000000-0005-0000-0000-00001D020000}"/>
    <cellStyle name="20% - Акцент2 79_Свод гостин" xfId="543" xr:uid="{00000000-0005-0000-0000-00001E020000}"/>
    <cellStyle name="20% - Акцент2 8" xfId="544" xr:uid="{00000000-0005-0000-0000-00001F020000}"/>
    <cellStyle name="20% - Акцент2 8 2" xfId="545" xr:uid="{00000000-0005-0000-0000-000020020000}"/>
    <cellStyle name="20% - Акцент2 8_Свод гостин" xfId="546" xr:uid="{00000000-0005-0000-0000-000021020000}"/>
    <cellStyle name="20% - Акцент2 80" xfId="547" xr:uid="{00000000-0005-0000-0000-000022020000}"/>
    <cellStyle name="20% - Акцент2 80 2" xfId="548" xr:uid="{00000000-0005-0000-0000-000023020000}"/>
    <cellStyle name="20% - Акцент2 80_Свод гостин" xfId="549" xr:uid="{00000000-0005-0000-0000-000024020000}"/>
    <cellStyle name="20% - Акцент2 81" xfId="550" xr:uid="{00000000-0005-0000-0000-000025020000}"/>
    <cellStyle name="20% - Акцент2 81 2" xfId="551" xr:uid="{00000000-0005-0000-0000-000026020000}"/>
    <cellStyle name="20% - Акцент2 81_Свод гостин" xfId="552" xr:uid="{00000000-0005-0000-0000-000027020000}"/>
    <cellStyle name="20% - Акцент2 82" xfId="553" xr:uid="{00000000-0005-0000-0000-000028020000}"/>
    <cellStyle name="20% - Акцент2 82 2" xfId="554" xr:uid="{00000000-0005-0000-0000-000029020000}"/>
    <cellStyle name="20% - Акцент2 82_Свод гостин" xfId="555" xr:uid="{00000000-0005-0000-0000-00002A020000}"/>
    <cellStyle name="20% - Акцент2 83" xfId="556" xr:uid="{00000000-0005-0000-0000-00002B020000}"/>
    <cellStyle name="20% - Акцент2 83 2" xfId="557" xr:uid="{00000000-0005-0000-0000-00002C020000}"/>
    <cellStyle name="20% - Акцент2 83_Свод гостин" xfId="558" xr:uid="{00000000-0005-0000-0000-00002D020000}"/>
    <cellStyle name="20% - Акцент2 9" xfId="559" xr:uid="{00000000-0005-0000-0000-00002E020000}"/>
    <cellStyle name="20% - Акцент2 9 2" xfId="560" xr:uid="{00000000-0005-0000-0000-00002F020000}"/>
    <cellStyle name="20% - Акцент2 9_Свод гостин" xfId="561" xr:uid="{00000000-0005-0000-0000-000030020000}"/>
    <cellStyle name="20% - Акцент3 10" xfId="562" xr:uid="{00000000-0005-0000-0000-000031020000}"/>
    <cellStyle name="20% - Акцент3 10 2" xfId="563" xr:uid="{00000000-0005-0000-0000-000032020000}"/>
    <cellStyle name="20% - Акцент3 10_Свод гостин" xfId="564" xr:uid="{00000000-0005-0000-0000-000033020000}"/>
    <cellStyle name="20% - Акцент3 11" xfId="565" xr:uid="{00000000-0005-0000-0000-000034020000}"/>
    <cellStyle name="20% - Акцент3 11 2" xfId="566" xr:uid="{00000000-0005-0000-0000-000035020000}"/>
    <cellStyle name="20% - Акцент3 11_Свод гостин" xfId="567" xr:uid="{00000000-0005-0000-0000-000036020000}"/>
    <cellStyle name="20% - Акцент3 12" xfId="568" xr:uid="{00000000-0005-0000-0000-000037020000}"/>
    <cellStyle name="20% - Акцент3 12 2" xfId="569" xr:uid="{00000000-0005-0000-0000-000038020000}"/>
    <cellStyle name="20% - Акцент3 12_Свод гостин" xfId="570" xr:uid="{00000000-0005-0000-0000-000039020000}"/>
    <cellStyle name="20% - Акцент3 13" xfId="571" xr:uid="{00000000-0005-0000-0000-00003A020000}"/>
    <cellStyle name="20% - Акцент3 13 2" xfId="572" xr:uid="{00000000-0005-0000-0000-00003B020000}"/>
    <cellStyle name="20% - Акцент3 13_Свод гостин" xfId="573" xr:uid="{00000000-0005-0000-0000-00003C020000}"/>
    <cellStyle name="20% - Акцент3 14" xfId="574" xr:uid="{00000000-0005-0000-0000-00003D020000}"/>
    <cellStyle name="20% - Акцент3 14 2" xfId="575" xr:uid="{00000000-0005-0000-0000-00003E020000}"/>
    <cellStyle name="20% - Акцент3 14_Свод гостин" xfId="576" xr:uid="{00000000-0005-0000-0000-00003F020000}"/>
    <cellStyle name="20% - Акцент3 15" xfId="577" xr:uid="{00000000-0005-0000-0000-000040020000}"/>
    <cellStyle name="20% - Акцент3 15 2" xfId="578" xr:uid="{00000000-0005-0000-0000-000041020000}"/>
    <cellStyle name="20% - Акцент3 15_Свод гостин" xfId="579" xr:uid="{00000000-0005-0000-0000-000042020000}"/>
    <cellStyle name="20% - Акцент3 16" xfId="580" xr:uid="{00000000-0005-0000-0000-000043020000}"/>
    <cellStyle name="20% - Акцент3 16 2" xfId="581" xr:uid="{00000000-0005-0000-0000-000044020000}"/>
    <cellStyle name="20% - Акцент3 16_Свод гостин" xfId="582" xr:uid="{00000000-0005-0000-0000-000045020000}"/>
    <cellStyle name="20% - Акцент3 17" xfId="583" xr:uid="{00000000-0005-0000-0000-000046020000}"/>
    <cellStyle name="20% - Акцент3 17 2" xfId="584" xr:uid="{00000000-0005-0000-0000-000047020000}"/>
    <cellStyle name="20% - Акцент3 17_Свод гостин" xfId="585" xr:uid="{00000000-0005-0000-0000-000048020000}"/>
    <cellStyle name="20% - Акцент3 18" xfId="586" xr:uid="{00000000-0005-0000-0000-000049020000}"/>
    <cellStyle name="20% - Акцент3 18 2" xfId="587" xr:uid="{00000000-0005-0000-0000-00004A020000}"/>
    <cellStyle name="20% - Акцент3 18_Свод гостин" xfId="588" xr:uid="{00000000-0005-0000-0000-00004B020000}"/>
    <cellStyle name="20% - Акцент3 19" xfId="589" xr:uid="{00000000-0005-0000-0000-00004C020000}"/>
    <cellStyle name="20% - Акцент3 19 2" xfId="590" xr:uid="{00000000-0005-0000-0000-00004D020000}"/>
    <cellStyle name="20% - Акцент3 19_Свод гостин" xfId="591" xr:uid="{00000000-0005-0000-0000-00004E020000}"/>
    <cellStyle name="20% - Акцент3 2" xfId="592" xr:uid="{00000000-0005-0000-0000-00004F020000}"/>
    <cellStyle name="20% - Акцент3 2 2" xfId="593" xr:uid="{00000000-0005-0000-0000-000050020000}"/>
    <cellStyle name="20% - Акцент3 2_Свод гостин" xfId="594" xr:uid="{00000000-0005-0000-0000-000051020000}"/>
    <cellStyle name="20% - Акцент3 20" xfId="595" xr:uid="{00000000-0005-0000-0000-000052020000}"/>
    <cellStyle name="20% - Акцент3 20 2" xfId="596" xr:uid="{00000000-0005-0000-0000-000053020000}"/>
    <cellStyle name="20% - Акцент3 20_Свод гостин" xfId="597" xr:uid="{00000000-0005-0000-0000-000054020000}"/>
    <cellStyle name="20% - Акцент3 21" xfId="598" xr:uid="{00000000-0005-0000-0000-000055020000}"/>
    <cellStyle name="20% - Акцент3 21 2" xfId="599" xr:uid="{00000000-0005-0000-0000-000056020000}"/>
    <cellStyle name="20% - Акцент3 21_Свод гостин" xfId="600" xr:uid="{00000000-0005-0000-0000-000057020000}"/>
    <cellStyle name="20% - Акцент3 22" xfId="601" xr:uid="{00000000-0005-0000-0000-000058020000}"/>
    <cellStyle name="20% - Акцент3 22 2" xfId="602" xr:uid="{00000000-0005-0000-0000-000059020000}"/>
    <cellStyle name="20% - Акцент3 22_Свод гостин" xfId="603" xr:uid="{00000000-0005-0000-0000-00005A020000}"/>
    <cellStyle name="20% - Акцент3 23" xfId="604" xr:uid="{00000000-0005-0000-0000-00005B020000}"/>
    <cellStyle name="20% - Акцент3 23 2" xfId="605" xr:uid="{00000000-0005-0000-0000-00005C020000}"/>
    <cellStyle name="20% - Акцент3 23_Свод гостин" xfId="606" xr:uid="{00000000-0005-0000-0000-00005D020000}"/>
    <cellStyle name="20% - Акцент3 24" xfId="607" xr:uid="{00000000-0005-0000-0000-00005E020000}"/>
    <cellStyle name="20% - Акцент3 24 2" xfId="608" xr:uid="{00000000-0005-0000-0000-00005F020000}"/>
    <cellStyle name="20% - Акцент3 24_Свод гостин" xfId="609" xr:uid="{00000000-0005-0000-0000-000060020000}"/>
    <cellStyle name="20% - Акцент3 25" xfId="610" xr:uid="{00000000-0005-0000-0000-000061020000}"/>
    <cellStyle name="20% - Акцент3 25 2" xfId="611" xr:uid="{00000000-0005-0000-0000-000062020000}"/>
    <cellStyle name="20% - Акцент3 25_Свод гостин" xfId="612" xr:uid="{00000000-0005-0000-0000-000063020000}"/>
    <cellStyle name="20% - Акцент3 26" xfId="613" xr:uid="{00000000-0005-0000-0000-000064020000}"/>
    <cellStyle name="20% - Акцент3 26 2" xfId="614" xr:uid="{00000000-0005-0000-0000-000065020000}"/>
    <cellStyle name="20% - Акцент3 26_Свод гостин" xfId="615" xr:uid="{00000000-0005-0000-0000-000066020000}"/>
    <cellStyle name="20% - Акцент3 27" xfId="616" xr:uid="{00000000-0005-0000-0000-000067020000}"/>
    <cellStyle name="20% - Акцент3 27 2" xfId="617" xr:uid="{00000000-0005-0000-0000-000068020000}"/>
    <cellStyle name="20% - Акцент3 27_Свод гостин" xfId="618" xr:uid="{00000000-0005-0000-0000-000069020000}"/>
    <cellStyle name="20% - Акцент3 28" xfId="619" xr:uid="{00000000-0005-0000-0000-00006A020000}"/>
    <cellStyle name="20% - Акцент3 28 2" xfId="620" xr:uid="{00000000-0005-0000-0000-00006B020000}"/>
    <cellStyle name="20% - Акцент3 28_Свод гостин" xfId="621" xr:uid="{00000000-0005-0000-0000-00006C020000}"/>
    <cellStyle name="20% - Акцент3 29" xfId="622" xr:uid="{00000000-0005-0000-0000-00006D020000}"/>
    <cellStyle name="20% - Акцент3 29 2" xfId="623" xr:uid="{00000000-0005-0000-0000-00006E020000}"/>
    <cellStyle name="20% - Акцент3 29_Свод гостин" xfId="624" xr:uid="{00000000-0005-0000-0000-00006F020000}"/>
    <cellStyle name="20% - Акцент3 3" xfId="625" xr:uid="{00000000-0005-0000-0000-000070020000}"/>
    <cellStyle name="20% - Акцент3 3 2" xfId="626" xr:uid="{00000000-0005-0000-0000-000071020000}"/>
    <cellStyle name="20% - Акцент3 3_Свод гостин" xfId="627" xr:uid="{00000000-0005-0000-0000-000072020000}"/>
    <cellStyle name="20% - Акцент3 30" xfId="628" xr:uid="{00000000-0005-0000-0000-000073020000}"/>
    <cellStyle name="20% - Акцент3 30 2" xfId="629" xr:uid="{00000000-0005-0000-0000-000074020000}"/>
    <cellStyle name="20% - Акцент3 30_Свод гостин" xfId="630" xr:uid="{00000000-0005-0000-0000-000075020000}"/>
    <cellStyle name="20% - Акцент3 31" xfId="631" xr:uid="{00000000-0005-0000-0000-000076020000}"/>
    <cellStyle name="20% - Акцент3 31 2" xfId="632" xr:uid="{00000000-0005-0000-0000-000077020000}"/>
    <cellStyle name="20% - Акцент3 31_Свод гостин" xfId="633" xr:uid="{00000000-0005-0000-0000-000078020000}"/>
    <cellStyle name="20% - Акцент3 32" xfId="634" xr:uid="{00000000-0005-0000-0000-000079020000}"/>
    <cellStyle name="20% - Акцент3 32 2" xfId="635" xr:uid="{00000000-0005-0000-0000-00007A020000}"/>
    <cellStyle name="20% - Акцент3 32_Свод гостин" xfId="636" xr:uid="{00000000-0005-0000-0000-00007B020000}"/>
    <cellStyle name="20% - Акцент3 33" xfId="637" xr:uid="{00000000-0005-0000-0000-00007C020000}"/>
    <cellStyle name="20% - Акцент3 33 2" xfId="638" xr:uid="{00000000-0005-0000-0000-00007D020000}"/>
    <cellStyle name="20% - Акцент3 33_Свод гостин" xfId="639" xr:uid="{00000000-0005-0000-0000-00007E020000}"/>
    <cellStyle name="20% - Акцент3 34" xfId="640" xr:uid="{00000000-0005-0000-0000-00007F020000}"/>
    <cellStyle name="20% - Акцент3 34 2" xfId="641" xr:uid="{00000000-0005-0000-0000-000080020000}"/>
    <cellStyle name="20% - Акцент3 34_Свод гостин" xfId="642" xr:uid="{00000000-0005-0000-0000-000081020000}"/>
    <cellStyle name="20% - Акцент3 35" xfId="643" xr:uid="{00000000-0005-0000-0000-000082020000}"/>
    <cellStyle name="20% - Акцент3 35 2" xfId="644" xr:uid="{00000000-0005-0000-0000-000083020000}"/>
    <cellStyle name="20% - Акцент3 35_Свод гостин" xfId="645" xr:uid="{00000000-0005-0000-0000-000084020000}"/>
    <cellStyle name="20% - Акцент3 36" xfId="646" xr:uid="{00000000-0005-0000-0000-000085020000}"/>
    <cellStyle name="20% - Акцент3 36 2" xfId="647" xr:uid="{00000000-0005-0000-0000-000086020000}"/>
    <cellStyle name="20% - Акцент3 36_Свод гостин" xfId="648" xr:uid="{00000000-0005-0000-0000-000087020000}"/>
    <cellStyle name="20% - Акцент3 37" xfId="649" xr:uid="{00000000-0005-0000-0000-000088020000}"/>
    <cellStyle name="20% - Акцент3 37 2" xfId="650" xr:uid="{00000000-0005-0000-0000-000089020000}"/>
    <cellStyle name="20% - Акцент3 37_Свод гостин" xfId="651" xr:uid="{00000000-0005-0000-0000-00008A020000}"/>
    <cellStyle name="20% - Акцент3 38" xfId="652" xr:uid="{00000000-0005-0000-0000-00008B020000}"/>
    <cellStyle name="20% - Акцент3 38 2" xfId="653" xr:uid="{00000000-0005-0000-0000-00008C020000}"/>
    <cellStyle name="20% - Акцент3 38_Свод гостин" xfId="654" xr:uid="{00000000-0005-0000-0000-00008D020000}"/>
    <cellStyle name="20% - Акцент3 39" xfId="655" xr:uid="{00000000-0005-0000-0000-00008E020000}"/>
    <cellStyle name="20% - Акцент3 39 2" xfId="656" xr:uid="{00000000-0005-0000-0000-00008F020000}"/>
    <cellStyle name="20% - Акцент3 39_Свод гостин" xfId="657" xr:uid="{00000000-0005-0000-0000-000090020000}"/>
    <cellStyle name="20% - Акцент3 4" xfId="658" xr:uid="{00000000-0005-0000-0000-000091020000}"/>
    <cellStyle name="20% - Акцент3 4 2" xfId="659" xr:uid="{00000000-0005-0000-0000-000092020000}"/>
    <cellStyle name="20% - Акцент3 4_Свод гостин" xfId="660" xr:uid="{00000000-0005-0000-0000-000093020000}"/>
    <cellStyle name="20% - Акцент3 40" xfId="661" xr:uid="{00000000-0005-0000-0000-000094020000}"/>
    <cellStyle name="20% - Акцент3 40 2" xfId="662" xr:uid="{00000000-0005-0000-0000-000095020000}"/>
    <cellStyle name="20% - Акцент3 40_Свод гостин" xfId="663" xr:uid="{00000000-0005-0000-0000-000096020000}"/>
    <cellStyle name="20% - Акцент3 41" xfId="664" xr:uid="{00000000-0005-0000-0000-000097020000}"/>
    <cellStyle name="20% - Акцент3 41 2" xfId="665" xr:uid="{00000000-0005-0000-0000-000098020000}"/>
    <cellStyle name="20% - Акцент3 41_Свод гостин" xfId="666" xr:uid="{00000000-0005-0000-0000-000099020000}"/>
    <cellStyle name="20% - Акцент3 42" xfId="667" xr:uid="{00000000-0005-0000-0000-00009A020000}"/>
    <cellStyle name="20% - Акцент3 42 2" xfId="668" xr:uid="{00000000-0005-0000-0000-00009B020000}"/>
    <cellStyle name="20% - Акцент3 42_Свод гостин" xfId="669" xr:uid="{00000000-0005-0000-0000-00009C020000}"/>
    <cellStyle name="20% - Акцент3 43" xfId="670" xr:uid="{00000000-0005-0000-0000-00009D020000}"/>
    <cellStyle name="20% - Акцент3 43 2" xfId="671" xr:uid="{00000000-0005-0000-0000-00009E020000}"/>
    <cellStyle name="20% - Акцент3 43_Свод гостин" xfId="672" xr:uid="{00000000-0005-0000-0000-00009F020000}"/>
    <cellStyle name="20% - Акцент3 44" xfId="673" xr:uid="{00000000-0005-0000-0000-0000A0020000}"/>
    <cellStyle name="20% - Акцент3 44 2" xfId="674" xr:uid="{00000000-0005-0000-0000-0000A1020000}"/>
    <cellStyle name="20% - Акцент3 44_Свод гостин" xfId="675" xr:uid="{00000000-0005-0000-0000-0000A2020000}"/>
    <cellStyle name="20% - Акцент3 45" xfId="676" xr:uid="{00000000-0005-0000-0000-0000A3020000}"/>
    <cellStyle name="20% - Акцент3 45 2" xfId="677" xr:uid="{00000000-0005-0000-0000-0000A4020000}"/>
    <cellStyle name="20% - Акцент3 45_Свод гостин" xfId="678" xr:uid="{00000000-0005-0000-0000-0000A5020000}"/>
    <cellStyle name="20% - Акцент3 46" xfId="679" xr:uid="{00000000-0005-0000-0000-0000A6020000}"/>
    <cellStyle name="20% - Акцент3 46 2" xfId="680" xr:uid="{00000000-0005-0000-0000-0000A7020000}"/>
    <cellStyle name="20% - Акцент3 46_Свод гостин" xfId="681" xr:uid="{00000000-0005-0000-0000-0000A8020000}"/>
    <cellStyle name="20% - Акцент3 47" xfId="682" xr:uid="{00000000-0005-0000-0000-0000A9020000}"/>
    <cellStyle name="20% - Акцент3 47 2" xfId="683" xr:uid="{00000000-0005-0000-0000-0000AA020000}"/>
    <cellStyle name="20% - Акцент3 47_Свод гостин" xfId="684" xr:uid="{00000000-0005-0000-0000-0000AB020000}"/>
    <cellStyle name="20% - Акцент3 48" xfId="685" xr:uid="{00000000-0005-0000-0000-0000AC020000}"/>
    <cellStyle name="20% - Акцент3 48 2" xfId="686" xr:uid="{00000000-0005-0000-0000-0000AD020000}"/>
    <cellStyle name="20% - Акцент3 48_Свод гостин" xfId="687" xr:uid="{00000000-0005-0000-0000-0000AE020000}"/>
    <cellStyle name="20% - Акцент3 49" xfId="688" xr:uid="{00000000-0005-0000-0000-0000AF020000}"/>
    <cellStyle name="20% - Акцент3 49 2" xfId="689" xr:uid="{00000000-0005-0000-0000-0000B0020000}"/>
    <cellStyle name="20% - Акцент3 49_Свод гостин" xfId="690" xr:uid="{00000000-0005-0000-0000-0000B1020000}"/>
    <cellStyle name="20% - Акцент3 5" xfId="691" xr:uid="{00000000-0005-0000-0000-0000B2020000}"/>
    <cellStyle name="20% - Акцент3 5 2" xfId="692" xr:uid="{00000000-0005-0000-0000-0000B3020000}"/>
    <cellStyle name="20% - Акцент3 5_Свод гостин" xfId="693" xr:uid="{00000000-0005-0000-0000-0000B4020000}"/>
    <cellStyle name="20% - Акцент3 50" xfId="694" xr:uid="{00000000-0005-0000-0000-0000B5020000}"/>
    <cellStyle name="20% - Акцент3 50 2" xfId="695" xr:uid="{00000000-0005-0000-0000-0000B6020000}"/>
    <cellStyle name="20% - Акцент3 50_Свод гостин" xfId="696" xr:uid="{00000000-0005-0000-0000-0000B7020000}"/>
    <cellStyle name="20% - Акцент3 51" xfId="697" xr:uid="{00000000-0005-0000-0000-0000B8020000}"/>
    <cellStyle name="20% - Акцент3 51 2" xfId="698" xr:uid="{00000000-0005-0000-0000-0000B9020000}"/>
    <cellStyle name="20% - Акцент3 51_Свод гостин" xfId="699" xr:uid="{00000000-0005-0000-0000-0000BA020000}"/>
    <cellStyle name="20% - Акцент3 52" xfId="700" xr:uid="{00000000-0005-0000-0000-0000BB020000}"/>
    <cellStyle name="20% - Акцент3 52 2" xfId="701" xr:uid="{00000000-0005-0000-0000-0000BC020000}"/>
    <cellStyle name="20% - Акцент3 52_Свод гостин" xfId="702" xr:uid="{00000000-0005-0000-0000-0000BD020000}"/>
    <cellStyle name="20% - Акцент3 53" xfId="703" xr:uid="{00000000-0005-0000-0000-0000BE020000}"/>
    <cellStyle name="20% - Акцент3 53 2" xfId="704" xr:uid="{00000000-0005-0000-0000-0000BF020000}"/>
    <cellStyle name="20% - Акцент3 53_Свод гостин" xfId="705" xr:uid="{00000000-0005-0000-0000-0000C0020000}"/>
    <cellStyle name="20% - Акцент3 54" xfId="706" xr:uid="{00000000-0005-0000-0000-0000C1020000}"/>
    <cellStyle name="20% - Акцент3 54 2" xfId="707" xr:uid="{00000000-0005-0000-0000-0000C2020000}"/>
    <cellStyle name="20% - Акцент3 54_Свод гостин" xfId="708" xr:uid="{00000000-0005-0000-0000-0000C3020000}"/>
    <cellStyle name="20% - Акцент3 55" xfId="709" xr:uid="{00000000-0005-0000-0000-0000C4020000}"/>
    <cellStyle name="20% - Акцент3 55 2" xfId="710" xr:uid="{00000000-0005-0000-0000-0000C5020000}"/>
    <cellStyle name="20% - Акцент3 55_Свод гостин" xfId="711" xr:uid="{00000000-0005-0000-0000-0000C6020000}"/>
    <cellStyle name="20% - Акцент3 56" xfId="712" xr:uid="{00000000-0005-0000-0000-0000C7020000}"/>
    <cellStyle name="20% - Акцент3 56 2" xfId="713" xr:uid="{00000000-0005-0000-0000-0000C8020000}"/>
    <cellStyle name="20% - Акцент3 56_Свод гостин" xfId="714" xr:uid="{00000000-0005-0000-0000-0000C9020000}"/>
    <cellStyle name="20% - Акцент3 57" xfId="715" xr:uid="{00000000-0005-0000-0000-0000CA020000}"/>
    <cellStyle name="20% - Акцент3 57 2" xfId="716" xr:uid="{00000000-0005-0000-0000-0000CB020000}"/>
    <cellStyle name="20% - Акцент3 57_Свод гостин" xfId="717" xr:uid="{00000000-0005-0000-0000-0000CC020000}"/>
    <cellStyle name="20% - Акцент3 58" xfId="718" xr:uid="{00000000-0005-0000-0000-0000CD020000}"/>
    <cellStyle name="20% - Акцент3 58 2" xfId="719" xr:uid="{00000000-0005-0000-0000-0000CE020000}"/>
    <cellStyle name="20% - Акцент3 58_Свод гостин" xfId="720" xr:uid="{00000000-0005-0000-0000-0000CF020000}"/>
    <cellStyle name="20% - Акцент3 59" xfId="721" xr:uid="{00000000-0005-0000-0000-0000D0020000}"/>
    <cellStyle name="20% - Акцент3 59 2" xfId="722" xr:uid="{00000000-0005-0000-0000-0000D1020000}"/>
    <cellStyle name="20% - Акцент3 59_Свод гостин" xfId="723" xr:uid="{00000000-0005-0000-0000-0000D2020000}"/>
    <cellStyle name="20% - Акцент3 6" xfId="724" xr:uid="{00000000-0005-0000-0000-0000D3020000}"/>
    <cellStyle name="20% - Акцент3 6 2" xfId="725" xr:uid="{00000000-0005-0000-0000-0000D4020000}"/>
    <cellStyle name="20% - Акцент3 6_Свод гостин" xfId="726" xr:uid="{00000000-0005-0000-0000-0000D5020000}"/>
    <cellStyle name="20% - Акцент3 60" xfId="727" xr:uid="{00000000-0005-0000-0000-0000D6020000}"/>
    <cellStyle name="20% - Акцент3 60 2" xfId="728" xr:uid="{00000000-0005-0000-0000-0000D7020000}"/>
    <cellStyle name="20% - Акцент3 60_Свод гостин" xfId="729" xr:uid="{00000000-0005-0000-0000-0000D8020000}"/>
    <cellStyle name="20% - Акцент3 61" xfId="730" xr:uid="{00000000-0005-0000-0000-0000D9020000}"/>
    <cellStyle name="20% - Акцент3 61 2" xfId="731" xr:uid="{00000000-0005-0000-0000-0000DA020000}"/>
    <cellStyle name="20% - Акцент3 61_Свод гостин" xfId="732" xr:uid="{00000000-0005-0000-0000-0000DB020000}"/>
    <cellStyle name="20% - Акцент3 62" xfId="733" xr:uid="{00000000-0005-0000-0000-0000DC020000}"/>
    <cellStyle name="20% - Акцент3 62 2" xfId="734" xr:uid="{00000000-0005-0000-0000-0000DD020000}"/>
    <cellStyle name="20% - Акцент3 62_Свод гостин" xfId="735" xr:uid="{00000000-0005-0000-0000-0000DE020000}"/>
    <cellStyle name="20% - Акцент3 63" xfId="736" xr:uid="{00000000-0005-0000-0000-0000DF020000}"/>
    <cellStyle name="20% - Акцент3 63 2" xfId="737" xr:uid="{00000000-0005-0000-0000-0000E0020000}"/>
    <cellStyle name="20% - Акцент3 63_Свод гостин" xfId="738" xr:uid="{00000000-0005-0000-0000-0000E1020000}"/>
    <cellStyle name="20% - Акцент3 64" xfId="739" xr:uid="{00000000-0005-0000-0000-0000E2020000}"/>
    <cellStyle name="20% - Акцент3 64 2" xfId="740" xr:uid="{00000000-0005-0000-0000-0000E3020000}"/>
    <cellStyle name="20% - Акцент3 64_Свод гостин" xfId="741" xr:uid="{00000000-0005-0000-0000-0000E4020000}"/>
    <cellStyle name="20% - Акцент3 65" xfId="742" xr:uid="{00000000-0005-0000-0000-0000E5020000}"/>
    <cellStyle name="20% - Акцент3 65 2" xfId="743" xr:uid="{00000000-0005-0000-0000-0000E6020000}"/>
    <cellStyle name="20% - Акцент3 65_Свод гостин" xfId="744" xr:uid="{00000000-0005-0000-0000-0000E7020000}"/>
    <cellStyle name="20% - Акцент3 66" xfId="745" xr:uid="{00000000-0005-0000-0000-0000E8020000}"/>
    <cellStyle name="20% - Акцент3 66 2" xfId="746" xr:uid="{00000000-0005-0000-0000-0000E9020000}"/>
    <cellStyle name="20% - Акцент3 66_Свод гостин" xfId="747" xr:uid="{00000000-0005-0000-0000-0000EA020000}"/>
    <cellStyle name="20% - Акцент3 67" xfId="748" xr:uid="{00000000-0005-0000-0000-0000EB020000}"/>
    <cellStyle name="20% - Акцент3 67 2" xfId="749" xr:uid="{00000000-0005-0000-0000-0000EC020000}"/>
    <cellStyle name="20% - Акцент3 67_Свод гостин" xfId="750" xr:uid="{00000000-0005-0000-0000-0000ED020000}"/>
    <cellStyle name="20% - Акцент3 68" xfId="751" xr:uid="{00000000-0005-0000-0000-0000EE020000}"/>
    <cellStyle name="20% - Акцент3 68 2" xfId="752" xr:uid="{00000000-0005-0000-0000-0000EF020000}"/>
    <cellStyle name="20% - Акцент3 68_Свод гостин" xfId="753" xr:uid="{00000000-0005-0000-0000-0000F0020000}"/>
    <cellStyle name="20% - Акцент3 69" xfId="754" xr:uid="{00000000-0005-0000-0000-0000F1020000}"/>
    <cellStyle name="20% - Акцент3 69 2" xfId="755" xr:uid="{00000000-0005-0000-0000-0000F2020000}"/>
    <cellStyle name="20% - Акцент3 69_Свод гостин" xfId="756" xr:uid="{00000000-0005-0000-0000-0000F3020000}"/>
    <cellStyle name="20% - Акцент3 7" xfId="757" xr:uid="{00000000-0005-0000-0000-0000F4020000}"/>
    <cellStyle name="20% - Акцент3 7 2" xfId="758" xr:uid="{00000000-0005-0000-0000-0000F5020000}"/>
    <cellStyle name="20% - Акцент3 7_Свод гостин" xfId="759" xr:uid="{00000000-0005-0000-0000-0000F6020000}"/>
    <cellStyle name="20% - Акцент3 70" xfId="760" xr:uid="{00000000-0005-0000-0000-0000F7020000}"/>
    <cellStyle name="20% - Акцент3 70 2" xfId="761" xr:uid="{00000000-0005-0000-0000-0000F8020000}"/>
    <cellStyle name="20% - Акцент3 70_Свод гостин" xfId="762" xr:uid="{00000000-0005-0000-0000-0000F9020000}"/>
    <cellStyle name="20% - Акцент3 71" xfId="763" xr:uid="{00000000-0005-0000-0000-0000FA020000}"/>
    <cellStyle name="20% - Акцент3 71 2" xfId="764" xr:uid="{00000000-0005-0000-0000-0000FB020000}"/>
    <cellStyle name="20% - Акцент3 71_Свод гостин" xfId="765" xr:uid="{00000000-0005-0000-0000-0000FC020000}"/>
    <cellStyle name="20% - Акцент3 72" xfId="766" xr:uid="{00000000-0005-0000-0000-0000FD020000}"/>
    <cellStyle name="20% - Акцент3 72 2" xfId="767" xr:uid="{00000000-0005-0000-0000-0000FE020000}"/>
    <cellStyle name="20% - Акцент3 72_Свод гостин" xfId="768" xr:uid="{00000000-0005-0000-0000-0000FF020000}"/>
    <cellStyle name="20% - Акцент3 73" xfId="769" xr:uid="{00000000-0005-0000-0000-000000030000}"/>
    <cellStyle name="20% - Акцент3 73 2" xfId="770" xr:uid="{00000000-0005-0000-0000-000001030000}"/>
    <cellStyle name="20% - Акцент3 73_Свод гостин" xfId="771" xr:uid="{00000000-0005-0000-0000-000002030000}"/>
    <cellStyle name="20% - Акцент3 74" xfId="772" xr:uid="{00000000-0005-0000-0000-000003030000}"/>
    <cellStyle name="20% - Акцент3 74 2" xfId="773" xr:uid="{00000000-0005-0000-0000-000004030000}"/>
    <cellStyle name="20% - Акцент3 74_Свод гостин" xfId="774" xr:uid="{00000000-0005-0000-0000-000005030000}"/>
    <cellStyle name="20% - Акцент3 75" xfId="775" xr:uid="{00000000-0005-0000-0000-000006030000}"/>
    <cellStyle name="20% - Акцент3 75 2" xfId="776" xr:uid="{00000000-0005-0000-0000-000007030000}"/>
    <cellStyle name="20% - Акцент3 75_Свод гостин" xfId="777" xr:uid="{00000000-0005-0000-0000-000008030000}"/>
    <cellStyle name="20% - Акцент3 76" xfId="778" xr:uid="{00000000-0005-0000-0000-000009030000}"/>
    <cellStyle name="20% - Акцент3 76 2" xfId="779" xr:uid="{00000000-0005-0000-0000-00000A030000}"/>
    <cellStyle name="20% - Акцент3 76_Свод гостин" xfId="780" xr:uid="{00000000-0005-0000-0000-00000B030000}"/>
    <cellStyle name="20% - Акцент3 77" xfId="781" xr:uid="{00000000-0005-0000-0000-00000C030000}"/>
    <cellStyle name="20% - Акцент3 77 2" xfId="782" xr:uid="{00000000-0005-0000-0000-00000D030000}"/>
    <cellStyle name="20% - Акцент3 77_Свод гостин" xfId="783" xr:uid="{00000000-0005-0000-0000-00000E030000}"/>
    <cellStyle name="20% - Акцент3 78" xfId="784" xr:uid="{00000000-0005-0000-0000-00000F030000}"/>
    <cellStyle name="20% - Акцент3 78 2" xfId="785" xr:uid="{00000000-0005-0000-0000-000010030000}"/>
    <cellStyle name="20% - Акцент3 78_Свод гостин" xfId="786" xr:uid="{00000000-0005-0000-0000-000011030000}"/>
    <cellStyle name="20% - Акцент3 79" xfId="787" xr:uid="{00000000-0005-0000-0000-000012030000}"/>
    <cellStyle name="20% - Акцент3 79 2" xfId="788" xr:uid="{00000000-0005-0000-0000-000013030000}"/>
    <cellStyle name="20% - Акцент3 79_Свод гостин" xfId="789" xr:uid="{00000000-0005-0000-0000-000014030000}"/>
    <cellStyle name="20% - Акцент3 8" xfId="790" xr:uid="{00000000-0005-0000-0000-000015030000}"/>
    <cellStyle name="20% - Акцент3 8 2" xfId="791" xr:uid="{00000000-0005-0000-0000-000016030000}"/>
    <cellStyle name="20% - Акцент3 8_Свод гостин" xfId="792" xr:uid="{00000000-0005-0000-0000-000017030000}"/>
    <cellStyle name="20% - Акцент3 80" xfId="793" xr:uid="{00000000-0005-0000-0000-000018030000}"/>
    <cellStyle name="20% - Акцент3 80 2" xfId="794" xr:uid="{00000000-0005-0000-0000-000019030000}"/>
    <cellStyle name="20% - Акцент3 80_Свод гостин" xfId="795" xr:uid="{00000000-0005-0000-0000-00001A030000}"/>
    <cellStyle name="20% - Акцент3 81" xfId="796" xr:uid="{00000000-0005-0000-0000-00001B030000}"/>
    <cellStyle name="20% - Акцент3 81 2" xfId="797" xr:uid="{00000000-0005-0000-0000-00001C030000}"/>
    <cellStyle name="20% - Акцент3 81_Свод гостин" xfId="798" xr:uid="{00000000-0005-0000-0000-00001D030000}"/>
    <cellStyle name="20% - Акцент3 82" xfId="799" xr:uid="{00000000-0005-0000-0000-00001E030000}"/>
    <cellStyle name="20% - Акцент3 82 2" xfId="800" xr:uid="{00000000-0005-0000-0000-00001F030000}"/>
    <cellStyle name="20% - Акцент3 82_Свод гостин" xfId="801" xr:uid="{00000000-0005-0000-0000-000020030000}"/>
    <cellStyle name="20% - Акцент3 83" xfId="802" xr:uid="{00000000-0005-0000-0000-000021030000}"/>
    <cellStyle name="20% - Акцент3 83 2" xfId="803" xr:uid="{00000000-0005-0000-0000-000022030000}"/>
    <cellStyle name="20% - Акцент3 83_Свод гостин" xfId="804" xr:uid="{00000000-0005-0000-0000-000023030000}"/>
    <cellStyle name="20% - Акцент3 9" xfId="805" xr:uid="{00000000-0005-0000-0000-000024030000}"/>
    <cellStyle name="20% - Акцент3 9 2" xfId="806" xr:uid="{00000000-0005-0000-0000-000025030000}"/>
    <cellStyle name="20% - Акцент3 9_Свод гостин" xfId="807" xr:uid="{00000000-0005-0000-0000-000026030000}"/>
    <cellStyle name="20% - Акцент4 10" xfId="808" xr:uid="{00000000-0005-0000-0000-000027030000}"/>
    <cellStyle name="20% - Акцент4 10 2" xfId="809" xr:uid="{00000000-0005-0000-0000-000028030000}"/>
    <cellStyle name="20% - Акцент4 10_Свод гостин" xfId="810" xr:uid="{00000000-0005-0000-0000-000029030000}"/>
    <cellStyle name="20% - Акцент4 11" xfId="811" xr:uid="{00000000-0005-0000-0000-00002A030000}"/>
    <cellStyle name="20% - Акцент4 11 2" xfId="812" xr:uid="{00000000-0005-0000-0000-00002B030000}"/>
    <cellStyle name="20% - Акцент4 11_Свод гостин" xfId="813" xr:uid="{00000000-0005-0000-0000-00002C030000}"/>
    <cellStyle name="20% - Акцент4 12" xfId="814" xr:uid="{00000000-0005-0000-0000-00002D030000}"/>
    <cellStyle name="20% - Акцент4 12 2" xfId="815" xr:uid="{00000000-0005-0000-0000-00002E030000}"/>
    <cellStyle name="20% - Акцент4 12_Свод гостин" xfId="816" xr:uid="{00000000-0005-0000-0000-00002F030000}"/>
    <cellStyle name="20% - Акцент4 13" xfId="817" xr:uid="{00000000-0005-0000-0000-000030030000}"/>
    <cellStyle name="20% - Акцент4 13 2" xfId="818" xr:uid="{00000000-0005-0000-0000-000031030000}"/>
    <cellStyle name="20% - Акцент4 13_Свод гостин" xfId="819" xr:uid="{00000000-0005-0000-0000-000032030000}"/>
    <cellStyle name="20% - Акцент4 14" xfId="820" xr:uid="{00000000-0005-0000-0000-000033030000}"/>
    <cellStyle name="20% - Акцент4 14 2" xfId="821" xr:uid="{00000000-0005-0000-0000-000034030000}"/>
    <cellStyle name="20% - Акцент4 14_Свод гостин" xfId="822" xr:uid="{00000000-0005-0000-0000-000035030000}"/>
    <cellStyle name="20% - Акцент4 15" xfId="823" xr:uid="{00000000-0005-0000-0000-000036030000}"/>
    <cellStyle name="20% - Акцент4 15 2" xfId="824" xr:uid="{00000000-0005-0000-0000-000037030000}"/>
    <cellStyle name="20% - Акцент4 15_Свод гостин" xfId="825" xr:uid="{00000000-0005-0000-0000-000038030000}"/>
    <cellStyle name="20% - Акцент4 16" xfId="826" xr:uid="{00000000-0005-0000-0000-000039030000}"/>
    <cellStyle name="20% - Акцент4 16 2" xfId="827" xr:uid="{00000000-0005-0000-0000-00003A030000}"/>
    <cellStyle name="20% - Акцент4 16_Свод гостин" xfId="828" xr:uid="{00000000-0005-0000-0000-00003B030000}"/>
    <cellStyle name="20% - Акцент4 17" xfId="829" xr:uid="{00000000-0005-0000-0000-00003C030000}"/>
    <cellStyle name="20% - Акцент4 17 2" xfId="830" xr:uid="{00000000-0005-0000-0000-00003D030000}"/>
    <cellStyle name="20% - Акцент4 17_Свод гостин" xfId="831" xr:uid="{00000000-0005-0000-0000-00003E030000}"/>
    <cellStyle name="20% - Акцент4 18" xfId="832" xr:uid="{00000000-0005-0000-0000-00003F030000}"/>
    <cellStyle name="20% - Акцент4 18 2" xfId="833" xr:uid="{00000000-0005-0000-0000-000040030000}"/>
    <cellStyle name="20% - Акцент4 18_Свод гостин" xfId="834" xr:uid="{00000000-0005-0000-0000-000041030000}"/>
    <cellStyle name="20% - Акцент4 19" xfId="835" xr:uid="{00000000-0005-0000-0000-000042030000}"/>
    <cellStyle name="20% - Акцент4 19 2" xfId="836" xr:uid="{00000000-0005-0000-0000-000043030000}"/>
    <cellStyle name="20% - Акцент4 19_Свод гостин" xfId="837" xr:uid="{00000000-0005-0000-0000-000044030000}"/>
    <cellStyle name="20% - Акцент4 2" xfId="838" xr:uid="{00000000-0005-0000-0000-000045030000}"/>
    <cellStyle name="20% - Акцент4 2 2" xfId="839" xr:uid="{00000000-0005-0000-0000-000046030000}"/>
    <cellStyle name="20% - Акцент4 2_Свод гостин" xfId="840" xr:uid="{00000000-0005-0000-0000-000047030000}"/>
    <cellStyle name="20% - Акцент4 20" xfId="841" xr:uid="{00000000-0005-0000-0000-000048030000}"/>
    <cellStyle name="20% - Акцент4 20 2" xfId="842" xr:uid="{00000000-0005-0000-0000-000049030000}"/>
    <cellStyle name="20% - Акцент4 20_Свод гостин" xfId="843" xr:uid="{00000000-0005-0000-0000-00004A030000}"/>
    <cellStyle name="20% - Акцент4 21" xfId="844" xr:uid="{00000000-0005-0000-0000-00004B030000}"/>
    <cellStyle name="20% - Акцент4 21 2" xfId="845" xr:uid="{00000000-0005-0000-0000-00004C030000}"/>
    <cellStyle name="20% - Акцент4 21_Свод гостин" xfId="846" xr:uid="{00000000-0005-0000-0000-00004D030000}"/>
    <cellStyle name="20% - Акцент4 22" xfId="847" xr:uid="{00000000-0005-0000-0000-00004E030000}"/>
    <cellStyle name="20% - Акцент4 22 2" xfId="848" xr:uid="{00000000-0005-0000-0000-00004F030000}"/>
    <cellStyle name="20% - Акцент4 22_Свод гостин" xfId="849" xr:uid="{00000000-0005-0000-0000-000050030000}"/>
    <cellStyle name="20% - Акцент4 23" xfId="850" xr:uid="{00000000-0005-0000-0000-000051030000}"/>
    <cellStyle name="20% - Акцент4 23 2" xfId="851" xr:uid="{00000000-0005-0000-0000-000052030000}"/>
    <cellStyle name="20% - Акцент4 23_Свод гостин" xfId="852" xr:uid="{00000000-0005-0000-0000-000053030000}"/>
    <cellStyle name="20% - Акцент4 24" xfId="853" xr:uid="{00000000-0005-0000-0000-000054030000}"/>
    <cellStyle name="20% - Акцент4 24 2" xfId="854" xr:uid="{00000000-0005-0000-0000-000055030000}"/>
    <cellStyle name="20% - Акцент4 24_Свод гостин" xfId="855" xr:uid="{00000000-0005-0000-0000-000056030000}"/>
    <cellStyle name="20% - Акцент4 25" xfId="856" xr:uid="{00000000-0005-0000-0000-000057030000}"/>
    <cellStyle name="20% - Акцент4 25 2" xfId="857" xr:uid="{00000000-0005-0000-0000-000058030000}"/>
    <cellStyle name="20% - Акцент4 25_Свод гостин" xfId="858" xr:uid="{00000000-0005-0000-0000-000059030000}"/>
    <cellStyle name="20% - Акцент4 26" xfId="859" xr:uid="{00000000-0005-0000-0000-00005A030000}"/>
    <cellStyle name="20% - Акцент4 26 2" xfId="860" xr:uid="{00000000-0005-0000-0000-00005B030000}"/>
    <cellStyle name="20% - Акцент4 26_Свод гостин" xfId="861" xr:uid="{00000000-0005-0000-0000-00005C030000}"/>
    <cellStyle name="20% - Акцент4 27" xfId="862" xr:uid="{00000000-0005-0000-0000-00005D030000}"/>
    <cellStyle name="20% - Акцент4 27 2" xfId="863" xr:uid="{00000000-0005-0000-0000-00005E030000}"/>
    <cellStyle name="20% - Акцент4 27_Свод гостин" xfId="864" xr:uid="{00000000-0005-0000-0000-00005F030000}"/>
    <cellStyle name="20% - Акцент4 28" xfId="865" xr:uid="{00000000-0005-0000-0000-000060030000}"/>
    <cellStyle name="20% - Акцент4 28 2" xfId="866" xr:uid="{00000000-0005-0000-0000-000061030000}"/>
    <cellStyle name="20% - Акцент4 28_Свод гостин" xfId="867" xr:uid="{00000000-0005-0000-0000-000062030000}"/>
    <cellStyle name="20% - Акцент4 29" xfId="868" xr:uid="{00000000-0005-0000-0000-000063030000}"/>
    <cellStyle name="20% - Акцент4 29 2" xfId="869" xr:uid="{00000000-0005-0000-0000-000064030000}"/>
    <cellStyle name="20% - Акцент4 29_Свод гостин" xfId="870" xr:uid="{00000000-0005-0000-0000-000065030000}"/>
    <cellStyle name="20% - Акцент4 3" xfId="871" xr:uid="{00000000-0005-0000-0000-000066030000}"/>
    <cellStyle name="20% - Акцент4 3 2" xfId="872" xr:uid="{00000000-0005-0000-0000-000067030000}"/>
    <cellStyle name="20% - Акцент4 3_Свод гостин" xfId="873" xr:uid="{00000000-0005-0000-0000-000068030000}"/>
    <cellStyle name="20% - Акцент4 30" xfId="874" xr:uid="{00000000-0005-0000-0000-000069030000}"/>
    <cellStyle name="20% - Акцент4 30 2" xfId="875" xr:uid="{00000000-0005-0000-0000-00006A030000}"/>
    <cellStyle name="20% - Акцент4 30_Свод гостин" xfId="876" xr:uid="{00000000-0005-0000-0000-00006B030000}"/>
    <cellStyle name="20% - Акцент4 31" xfId="877" xr:uid="{00000000-0005-0000-0000-00006C030000}"/>
    <cellStyle name="20% - Акцент4 31 2" xfId="878" xr:uid="{00000000-0005-0000-0000-00006D030000}"/>
    <cellStyle name="20% - Акцент4 31_Свод гостин" xfId="879" xr:uid="{00000000-0005-0000-0000-00006E030000}"/>
    <cellStyle name="20% - Акцент4 32" xfId="880" xr:uid="{00000000-0005-0000-0000-00006F030000}"/>
    <cellStyle name="20% - Акцент4 32 2" xfId="881" xr:uid="{00000000-0005-0000-0000-000070030000}"/>
    <cellStyle name="20% - Акцент4 32_Свод гостин" xfId="882" xr:uid="{00000000-0005-0000-0000-000071030000}"/>
    <cellStyle name="20% - Акцент4 33" xfId="883" xr:uid="{00000000-0005-0000-0000-000072030000}"/>
    <cellStyle name="20% - Акцент4 33 2" xfId="884" xr:uid="{00000000-0005-0000-0000-000073030000}"/>
    <cellStyle name="20% - Акцент4 33_Свод гостин" xfId="885" xr:uid="{00000000-0005-0000-0000-000074030000}"/>
    <cellStyle name="20% - Акцент4 34" xfId="886" xr:uid="{00000000-0005-0000-0000-000075030000}"/>
    <cellStyle name="20% - Акцент4 34 2" xfId="887" xr:uid="{00000000-0005-0000-0000-000076030000}"/>
    <cellStyle name="20% - Акцент4 34_Свод гостин" xfId="888" xr:uid="{00000000-0005-0000-0000-000077030000}"/>
    <cellStyle name="20% - Акцент4 35" xfId="889" xr:uid="{00000000-0005-0000-0000-000078030000}"/>
    <cellStyle name="20% - Акцент4 35 2" xfId="890" xr:uid="{00000000-0005-0000-0000-000079030000}"/>
    <cellStyle name="20% - Акцент4 35_Свод гостин" xfId="891" xr:uid="{00000000-0005-0000-0000-00007A030000}"/>
    <cellStyle name="20% - Акцент4 36" xfId="892" xr:uid="{00000000-0005-0000-0000-00007B030000}"/>
    <cellStyle name="20% - Акцент4 36 2" xfId="893" xr:uid="{00000000-0005-0000-0000-00007C030000}"/>
    <cellStyle name="20% - Акцент4 36_Свод гостин" xfId="894" xr:uid="{00000000-0005-0000-0000-00007D030000}"/>
    <cellStyle name="20% - Акцент4 37" xfId="895" xr:uid="{00000000-0005-0000-0000-00007E030000}"/>
    <cellStyle name="20% - Акцент4 37 2" xfId="896" xr:uid="{00000000-0005-0000-0000-00007F030000}"/>
    <cellStyle name="20% - Акцент4 37_Свод гостин" xfId="897" xr:uid="{00000000-0005-0000-0000-000080030000}"/>
    <cellStyle name="20% - Акцент4 38" xfId="898" xr:uid="{00000000-0005-0000-0000-000081030000}"/>
    <cellStyle name="20% - Акцент4 38 2" xfId="899" xr:uid="{00000000-0005-0000-0000-000082030000}"/>
    <cellStyle name="20% - Акцент4 38_Свод гостин" xfId="900" xr:uid="{00000000-0005-0000-0000-000083030000}"/>
    <cellStyle name="20% - Акцент4 39" xfId="901" xr:uid="{00000000-0005-0000-0000-000084030000}"/>
    <cellStyle name="20% - Акцент4 39 2" xfId="902" xr:uid="{00000000-0005-0000-0000-000085030000}"/>
    <cellStyle name="20% - Акцент4 39_Свод гостин" xfId="903" xr:uid="{00000000-0005-0000-0000-000086030000}"/>
    <cellStyle name="20% - Акцент4 4" xfId="904" xr:uid="{00000000-0005-0000-0000-000087030000}"/>
    <cellStyle name="20% - Акцент4 4 2" xfId="905" xr:uid="{00000000-0005-0000-0000-000088030000}"/>
    <cellStyle name="20% - Акцент4 4_Свод гостин" xfId="906" xr:uid="{00000000-0005-0000-0000-000089030000}"/>
    <cellStyle name="20% - Акцент4 40" xfId="907" xr:uid="{00000000-0005-0000-0000-00008A030000}"/>
    <cellStyle name="20% - Акцент4 40 2" xfId="908" xr:uid="{00000000-0005-0000-0000-00008B030000}"/>
    <cellStyle name="20% - Акцент4 40_Свод гостин" xfId="909" xr:uid="{00000000-0005-0000-0000-00008C030000}"/>
    <cellStyle name="20% - Акцент4 41" xfId="910" xr:uid="{00000000-0005-0000-0000-00008D030000}"/>
    <cellStyle name="20% - Акцент4 41 2" xfId="911" xr:uid="{00000000-0005-0000-0000-00008E030000}"/>
    <cellStyle name="20% - Акцент4 41_Свод гостин" xfId="912" xr:uid="{00000000-0005-0000-0000-00008F030000}"/>
    <cellStyle name="20% - Акцент4 42" xfId="913" xr:uid="{00000000-0005-0000-0000-000090030000}"/>
    <cellStyle name="20% - Акцент4 42 2" xfId="914" xr:uid="{00000000-0005-0000-0000-000091030000}"/>
    <cellStyle name="20% - Акцент4 42_Свод гостин" xfId="915" xr:uid="{00000000-0005-0000-0000-000092030000}"/>
    <cellStyle name="20% - Акцент4 43" xfId="916" xr:uid="{00000000-0005-0000-0000-000093030000}"/>
    <cellStyle name="20% - Акцент4 43 2" xfId="917" xr:uid="{00000000-0005-0000-0000-000094030000}"/>
    <cellStyle name="20% - Акцент4 43_Свод гостин" xfId="918" xr:uid="{00000000-0005-0000-0000-000095030000}"/>
    <cellStyle name="20% - Акцент4 44" xfId="919" xr:uid="{00000000-0005-0000-0000-000096030000}"/>
    <cellStyle name="20% - Акцент4 44 2" xfId="920" xr:uid="{00000000-0005-0000-0000-000097030000}"/>
    <cellStyle name="20% - Акцент4 44_Свод гостин" xfId="921" xr:uid="{00000000-0005-0000-0000-000098030000}"/>
    <cellStyle name="20% - Акцент4 45" xfId="922" xr:uid="{00000000-0005-0000-0000-000099030000}"/>
    <cellStyle name="20% - Акцент4 45 2" xfId="923" xr:uid="{00000000-0005-0000-0000-00009A030000}"/>
    <cellStyle name="20% - Акцент4 45_Свод гостин" xfId="924" xr:uid="{00000000-0005-0000-0000-00009B030000}"/>
    <cellStyle name="20% - Акцент4 46" xfId="925" xr:uid="{00000000-0005-0000-0000-00009C030000}"/>
    <cellStyle name="20% - Акцент4 46 2" xfId="926" xr:uid="{00000000-0005-0000-0000-00009D030000}"/>
    <cellStyle name="20% - Акцент4 46_Свод гостин" xfId="927" xr:uid="{00000000-0005-0000-0000-00009E030000}"/>
    <cellStyle name="20% - Акцент4 47" xfId="928" xr:uid="{00000000-0005-0000-0000-00009F030000}"/>
    <cellStyle name="20% - Акцент4 47 2" xfId="929" xr:uid="{00000000-0005-0000-0000-0000A0030000}"/>
    <cellStyle name="20% - Акцент4 47_Свод гостин" xfId="930" xr:uid="{00000000-0005-0000-0000-0000A1030000}"/>
    <cellStyle name="20% - Акцент4 48" xfId="931" xr:uid="{00000000-0005-0000-0000-0000A2030000}"/>
    <cellStyle name="20% - Акцент4 48 2" xfId="932" xr:uid="{00000000-0005-0000-0000-0000A3030000}"/>
    <cellStyle name="20% - Акцент4 48_Свод гостин" xfId="933" xr:uid="{00000000-0005-0000-0000-0000A4030000}"/>
    <cellStyle name="20% - Акцент4 49" xfId="934" xr:uid="{00000000-0005-0000-0000-0000A5030000}"/>
    <cellStyle name="20% - Акцент4 49 2" xfId="935" xr:uid="{00000000-0005-0000-0000-0000A6030000}"/>
    <cellStyle name="20% - Акцент4 49_Свод гостин" xfId="936" xr:uid="{00000000-0005-0000-0000-0000A7030000}"/>
    <cellStyle name="20% - Акцент4 5" xfId="937" xr:uid="{00000000-0005-0000-0000-0000A8030000}"/>
    <cellStyle name="20% - Акцент4 5 2" xfId="938" xr:uid="{00000000-0005-0000-0000-0000A9030000}"/>
    <cellStyle name="20% - Акцент4 5_Свод гостин" xfId="939" xr:uid="{00000000-0005-0000-0000-0000AA030000}"/>
    <cellStyle name="20% - Акцент4 50" xfId="940" xr:uid="{00000000-0005-0000-0000-0000AB030000}"/>
    <cellStyle name="20% - Акцент4 50 2" xfId="941" xr:uid="{00000000-0005-0000-0000-0000AC030000}"/>
    <cellStyle name="20% - Акцент4 50_Свод гостин" xfId="942" xr:uid="{00000000-0005-0000-0000-0000AD030000}"/>
    <cellStyle name="20% - Акцент4 51" xfId="943" xr:uid="{00000000-0005-0000-0000-0000AE030000}"/>
    <cellStyle name="20% - Акцент4 51 2" xfId="944" xr:uid="{00000000-0005-0000-0000-0000AF030000}"/>
    <cellStyle name="20% - Акцент4 51_Свод гостин" xfId="945" xr:uid="{00000000-0005-0000-0000-0000B0030000}"/>
    <cellStyle name="20% - Акцент4 52" xfId="946" xr:uid="{00000000-0005-0000-0000-0000B1030000}"/>
    <cellStyle name="20% - Акцент4 52 2" xfId="947" xr:uid="{00000000-0005-0000-0000-0000B2030000}"/>
    <cellStyle name="20% - Акцент4 52_Свод гостин" xfId="948" xr:uid="{00000000-0005-0000-0000-0000B3030000}"/>
    <cellStyle name="20% - Акцент4 53" xfId="949" xr:uid="{00000000-0005-0000-0000-0000B4030000}"/>
    <cellStyle name="20% - Акцент4 53 2" xfId="950" xr:uid="{00000000-0005-0000-0000-0000B5030000}"/>
    <cellStyle name="20% - Акцент4 53_Свод гостин" xfId="951" xr:uid="{00000000-0005-0000-0000-0000B6030000}"/>
    <cellStyle name="20% - Акцент4 54" xfId="952" xr:uid="{00000000-0005-0000-0000-0000B7030000}"/>
    <cellStyle name="20% - Акцент4 54 2" xfId="953" xr:uid="{00000000-0005-0000-0000-0000B8030000}"/>
    <cellStyle name="20% - Акцент4 54_Свод гостин" xfId="954" xr:uid="{00000000-0005-0000-0000-0000B9030000}"/>
    <cellStyle name="20% - Акцент4 55" xfId="955" xr:uid="{00000000-0005-0000-0000-0000BA030000}"/>
    <cellStyle name="20% - Акцент4 55 2" xfId="956" xr:uid="{00000000-0005-0000-0000-0000BB030000}"/>
    <cellStyle name="20% - Акцент4 55_Свод гостин" xfId="957" xr:uid="{00000000-0005-0000-0000-0000BC030000}"/>
    <cellStyle name="20% - Акцент4 56" xfId="958" xr:uid="{00000000-0005-0000-0000-0000BD030000}"/>
    <cellStyle name="20% - Акцент4 56 2" xfId="959" xr:uid="{00000000-0005-0000-0000-0000BE030000}"/>
    <cellStyle name="20% - Акцент4 56_Свод гостин" xfId="960" xr:uid="{00000000-0005-0000-0000-0000BF030000}"/>
    <cellStyle name="20% - Акцент4 57" xfId="961" xr:uid="{00000000-0005-0000-0000-0000C0030000}"/>
    <cellStyle name="20% - Акцент4 57 2" xfId="962" xr:uid="{00000000-0005-0000-0000-0000C1030000}"/>
    <cellStyle name="20% - Акцент4 57_Свод гостин" xfId="963" xr:uid="{00000000-0005-0000-0000-0000C2030000}"/>
    <cellStyle name="20% - Акцент4 58" xfId="964" xr:uid="{00000000-0005-0000-0000-0000C3030000}"/>
    <cellStyle name="20% - Акцент4 58 2" xfId="965" xr:uid="{00000000-0005-0000-0000-0000C4030000}"/>
    <cellStyle name="20% - Акцент4 58_Свод гостин" xfId="966" xr:uid="{00000000-0005-0000-0000-0000C5030000}"/>
    <cellStyle name="20% - Акцент4 59" xfId="967" xr:uid="{00000000-0005-0000-0000-0000C6030000}"/>
    <cellStyle name="20% - Акцент4 59 2" xfId="968" xr:uid="{00000000-0005-0000-0000-0000C7030000}"/>
    <cellStyle name="20% - Акцент4 59_Свод гостин" xfId="969" xr:uid="{00000000-0005-0000-0000-0000C8030000}"/>
    <cellStyle name="20% - Акцент4 6" xfId="970" xr:uid="{00000000-0005-0000-0000-0000C9030000}"/>
    <cellStyle name="20% - Акцент4 6 2" xfId="971" xr:uid="{00000000-0005-0000-0000-0000CA030000}"/>
    <cellStyle name="20% - Акцент4 6_Свод гостин" xfId="972" xr:uid="{00000000-0005-0000-0000-0000CB030000}"/>
    <cellStyle name="20% - Акцент4 60" xfId="973" xr:uid="{00000000-0005-0000-0000-0000CC030000}"/>
    <cellStyle name="20% - Акцент4 60 2" xfId="974" xr:uid="{00000000-0005-0000-0000-0000CD030000}"/>
    <cellStyle name="20% - Акцент4 60_Свод гостин" xfId="975" xr:uid="{00000000-0005-0000-0000-0000CE030000}"/>
    <cellStyle name="20% - Акцент4 61" xfId="976" xr:uid="{00000000-0005-0000-0000-0000CF030000}"/>
    <cellStyle name="20% - Акцент4 61 2" xfId="977" xr:uid="{00000000-0005-0000-0000-0000D0030000}"/>
    <cellStyle name="20% - Акцент4 61_Свод гостин" xfId="978" xr:uid="{00000000-0005-0000-0000-0000D1030000}"/>
    <cellStyle name="20% - Акцент4 62" xfId="979" xr:uid="{00000000-0005-0000-0000-0000D2030000}"/>
    <cellStyle name="20% - Акцент4 62 2" xfId="980" xr:uid="{00000000-0005-0000-0000-0000D3030000}"/>
    <cellStyle name="20% - Акцент4 62_Свод гостин" xfId="981" xr:uid="{00000000-0005-0000-0000-0000D4030000}"/>
    <cellStyle name="20% - Акцент4 63" xfId="982" xr:uid="{00000000-0005-0000-0000-0000D5030000}"/>
    <cellStyle name="20% - Акцент4 63 2" xfId="983" xr:uid="{00000000-0005-0000-0000-0000D6030000}"/>
    <cellStyle name="20% - Акцент4 63_Свод гостин" xfId="984" xr:uid="{00000000-0005-0000-0000-0000D7030000}"/>
    <cellStyle name="20% - Акцент4 64" xfId="985" xr:uid="{00000000-0005-0000-0000-0000D8030000}"/>
    <cellStyle name="20% - Акцент4 64 2" xfId="986" xr:uid="{00000000-0005-0000-0000-0000D9030000}"/>
    <cellStyle name="20% - Акцент4 64_Свод гостин" xfId="987" xr:uid="{00000000-0005-0000-0000-0000DA030000}"/>
    <cellStyle name="20% - Акцент4 65" xfId="988" xr:uid="{00000000-0005-0000-0000-0000DB030000}"/>
    <cellStyle name="20% - Акцент4 65 2" xfId="989" xr:uid="{00000000-0005-0000-0000-0000DC030000}"/>
    <cellStyle name="20% - Акцент4 65_Свод гостин" xfId="990" xr:uid="{00000000-0005-0000-0000-0000DD030000}"/>
    <cellStyle name="20% - Акцент4 66" xfId="991" xr:uid="{00000000-0005-0000-0000-0000DE030000}"/>
    <cellStyle name="20% - Акцент4 66 2" xfId="992" xr:uid="{00000000-0005-0000-0000-0000DF030000}"/>
    <cellStyle name="20% - Акцент4 66_Свод гостин" xfId="993" xr:uid="{00000000-0005-0000-0000-0000E0030000}"/>
    <cellStyle name="20% - Акцент4 67" xfId="994" xr:uid="{00000000-0005-0000-0000-0000E1030000}"/>
    <cellStyle name="20% - Акцент4 67 2" xfId="995" xr:uid="{00000000-0005-0000-0000-0000E2030000}"/>
    <cellStyle name="20% - Акцент4 67_Свод гостин" xfId="996" xr:uid="{00000000-0005-0000-0000-0000E3030000}"/>
    <cellStyle name="20% - Акцент4 68" xfId="997" xr:uid="{00000000-0005-0000-0000-0000E4030000}"/>
    <cellStyle name="20% - Акцент4 68 2" xfId="998" xr:uid="{00000000-0005-0000-0000-0000E5030000}"/>
    <cellStyle name="20% - Акцент4 68_Свод гостин" xfId="999" xr:uid="{00000000-0005-0000-0000-0000E6030000}"/>
    <cellStyle name="20% - Акцент4 69" xfId="1000" xr:uid="{00000000-0005-0000-0000-0000E7030000}"/>
    <cellStyle name="20% - Акцент4 69 2" xfId="1001" xr:uid="{00000000-0005-0000-0000-0000E8030000}"/>
    <cellStyle name="20% - Акцент4 69_Свод гостин" xfId="1002" xr:uid="{00000000-0005-0000-0000-0000E9030000}"/>
    <cellStyle name="20% - Акцент4 7" xfId="1003" xr:uid="{00000000-0005-0000-0000-0000EA030000}"/>
    <cellStyle name="20% - Акцент4 7 2" xfId="1004" xr:uid="{00000000-0005-0000-0000-0000EB030000}"/>
    <cellStyle name="20% - Акцент4 7_Свод гостин" xfId="1005" xr:uid="{00000000-0005-0000-0000-0000EC030000}"/>
    <cellStyle name="20% - Акцент4 70" xfId="1006" xr:uid="{00000000-0005-0000-0000-0000ED030000}"/>
    <cellStyle name="20% - Акцент4 70 2" xfId="1007" xr:uid="{00000000-0005-0000-0000-0000EE030000}"/>
    <cellStyle name="20% - Акцент4 70_Свод гостин" xfId="1008" xr:uid="{00000000-0005-0000-0000-0000EF030000}"/>
    <cellStyle name="20% - Акцент4 71" xfId="1009" xr:uid="{00000000-0005-0000-0000-0000F0030000}"/>
    <cellStyle name="20% - Акцент4 71 2" xfId="1010" xr:uid="{00000000-0005-0000-0000-0000F1030000}"/>
    <cellStyle name="20% - Акцент4 71_Свод гостин" xfId="1011" xr:uid="{00000000-0005-0000-0000-0000F2030000}"/>
    <cellStyle name="20% - Акцент4 72" xfId="1012" xr:uid="{00000000-0005-0000-0000-0000F3030000}"/>
    <cellStyle name="20% - Акцент4 72 2" xfId="1013" xr:uid="{00000000-0005-0000-0000-0000F4030000}"/>
    <cellStyle name="20% - Акцент4 72_Свод гостин" xfId="1014" xr:uid="{00000000-0005-0000-0000-0000F5030000}"/>
    <cellStyle name="20% - Акцент4 73" xfId="1015" xr:uid="{00000000-0005-0000-0000-0000F6030000}"/>
    <cellStyle name="20% - Акцент4 73 2" xfId="1016" xr:uid="{00000000-0005-0000-0000-0000F7030000}"/>
    <cellStyle name="20% - Акцент4 73_Свод гостин" xfId="1017" xr:uid="{00000000-0005-0000-0000-0000F8030000}"/>
    <cellStyle name="20% - Акцент4 74" xfId="1018" xr:uid="{00000000-0005-0000-0000-0000F9030000}"/>
    <cellStyle name="20% - Акцент4 74 2" xfId="1019" xr:uid="{00000000-0005-0000-0000-0000FA030000}"/>
    <cellStyle name="20% - Акцент4 74_Свод гостин" xfId="1020" xr:uid="{00000000-0005-0000-0000-0000FB030000}"/>
    <cellStyle name="20% - Акцент4 75" xfId="1021" xr:uid="{00000000-0005-0000-0000-0000FC030000}"/>
    <cellStyle name="20% - Акцент4 75 2" xfId="1022" xr:uid="{00000000-0005-0000-0000-0000FD030000}"/>
    <cellStyle name="20% - Акцент4 75_Свод гостин" xfId="1023" xr:uid="{00000000-0005-0000-0000-0000FE030000}"/>
    <cellStyle name="20% - Акцент4 76" xfId="1024" xr:uid="{00000000-0005-0000-0000-0000FF030000}"/>
    <cellStyle name="20% - Акцент4 76 2" xfId="1025" xr:uid="{00000000-0005-0000-0000-000000040000}"/>
    <cellStyle name="20% - Акцент4 76_Свод гостин" xfId="1026" xr:uid="{00000000-0005-0000-0000-000001040000}"/>
    <cellStyle name="20% - Акцент4 77" xfId="1027" xr:uid="{00000000-0005-0000-0000-000002040000}"/>
    <cellStyle name="20% - Акцент4 77 2" xfId="1028" xr:uid="{00000000-0005-0000-0000-000003040000}"/>
    <cellStyle name="20% - Акцент4 77_Свод гостин" xfId="1029" xr:uid="{00000000-0005-0000-0000-000004040000}"/>
    <cellStyle name="20% - Акцент4 78" xfId="1030" xr:uid="{00000000-0005-0000-0000-000005040000}"/>
    <cellStyle name="20% - Акцент4 78 2" xfId="1031" xr:uid="{00000000-0005-0000-0000-000006040000}"/>
    <cellStyle name="20% - Акцент4 78_Свод гостин" xfId="1032" xr:uid="{00000000-0005-0000-0000-000007040000}"/>
    <cellStyle name="20% - Акцент4 79" xfId="1033" xr:uid="{00000000-0005-0000-0000-000008040000}"/>
    <cellStyle name="20% - Акцент4 79 2" xfId="1034" xr:uid="{00000000-0005-0000-0000-000009040000}"/>
    <cellStyle name="20% - Акцент4 79_Свод гостин" xfId="1035" xr:uid="{00000000-0005-0000-0000-00000A040000}"/>
    <cellStyle name="20% - Акцент4 8" xfId="1036" xr:uid="{00000000-0005-0000-0000-00000B040000}"/>
    <cellStyle name="20% - Акцент4 8 2" xfId="1037" xr:uid="{00000000-0005-0000-0000-00000C040000}"/>
    <cellStyle name="20% - Акцент4 8_Свод гостин" xfId="1038" xr:uid="{00000000-0005-0000-0000-00000D040000}"/>
    <cellStyle name="20% - Акцент4 80" xfId="1039" xr:uid="{00000000-0005-0000-0000-00000E040000}"/>
    <cellStyle name="20% - Акцент4 80 2" xfId="1040" xr:uid="{00000000-0005-0000-0000-00000F040000}"/>
    <cellStyle name="20% - Акцент4 80_Свод гостин" xfId="1041" xr:uid="{00000000-0005-0000-0000-000010040000}"/>
    <cellStyle name="20% - Акцент4 81" xfId="1042" xr:uid="{00000000-0005-0000-0000-000011040000}"/>
    <cellStyle name="20% - Акцент4 81 2" xfId="1043" xr:uid="{00000000-0005-0000-0000-000012040000}"/>
    <cellStyle name="20% - Акцент4 81_Свод гостин" xfId="1044" xr:uid="{00000000-0005-0000-0000-000013040000}"/>
    <cellStyle name="20% - Акцент4 82" xfId="1045" xr:uid="{00000000-0005-0000-0000-000014040000}"/>
    <cellStyle name="20% - Акцент4 82 2" xfId="1046" xr:uid="{00000000-0005-0000-0000-000015040000}"/>
    <cellStyle name="20% - Акцент4 82_Свод гостин" xfId="1047" xr:uid="{00000000-0005-0000-0000-000016040000}"/>
    <cellStyle name="20% - Акцент4 83" xfId="1048" xr:uid="{00000000-0005-0000-0000-000017040000}"/>
    <cellStyle name="20% - Акцент4 83 2" xfId="1049" xr:uid="{00000000-0005-0000-0000-000018040000}"/>
    <cellStyle name="20% - Акцент4 83_Свод гостин" xfId="1050" xr:uid="{00000000-0005-0000-0000-000019040000}"/>
    <cellStyle name="20% - Акцент4 9" xfId="1051" xr:uid="{00000000-0005-0000-0000-00001A040000}"/>
    <cellStyle name="20% - Акцент4 9 2" xfId="1052" xr:uid="{00000000-0005-0000-0000-00001B040000}"/>
    <cellStyle name="20% - Акцент4 9_Свод гостин" xfId="1053" xr:uid="{00000000-0005-0000-0000-00001C040000}"/>
    <cellStyle name="20% - Акцент5 10" xfId="1054" xr:uid="{00000000-0005-0000-0000-00001D040000}"/>
    <cellStyle name="20% - Акцент5 10 2" xfId="1055" xr:uid="{00000000-0005-0000-0000-00001E040000}"/>
    <cellStyle name="20% - Акцент5 10_Свод гостин" xfId="1056" xr:uid="{00000000-0005-0000-0000-00001F040000}"/>
    <cellStyle name="20% - Акцент5 11" xfId="1057" xr:uid="{00000000-0005-0000-0000-000020040000}"/>
    <cellStyle name="20% - Акцент5 11 2" xfId="1058" xr:uid="{00000000-0005-0000-0000-000021040000}"/>
    <cellStyle name="20% - Акцент5 11_Свод гостин" xfId="1059" xr:uid="{00000000-0005-0000-0000-000022040000}"/>
    <cellStyle name="20% - Акцент5 12" xfId="1060" xr:uid="{00000000-0005-0000-0000-000023040000}"/>
    <cellStyle name="20% - Акцент5 12 2" xfId="1061" xr:uid="{00000000-0005-0000-0000-000024040000}"/>
    <cellStyle name="20% - Акцент5 12_Свод гостин" xfId="1062" xr:uid="{00000000-0005-0000-0000-000025040000}"/>
    <cellStyle name="20% - Акцент5 13" xfId="1063" xr:uid="{00000000-0005-0000-0000-000026040000}"/>
    <cellStyle name="20% - Акцент5 13 2" xfId="1064" xr:uid="{00000000-0005-0000-0000-000027040000}"/>
    <cellStyle name="20% - Акцент5 13_Свод гостин" xfId="1065" xr:uid="{00000000-0005-0000-0000-000028040000}"/>
    <cellStyle name="20% - Акцент5 14" xfId="1066" xr:uid="{00000000-0005-0000-0000-000029040000}"/>
    <cellStyle name="20% - Акцент5 14 2" xfId="1067" xr:uid="{00000000-0005-0000-0000-00002A040000}"/>
    <cellStyle name="20% - Акцент5 14_Свод гостин" xfId="1068" xr:uid="{00000000-0005-0000-0000-00002B040000}"/>
    <cellStyle name="20% - Акцент5 15" xfId="1069" xr:uid="{00000000-0005-0000-0000-00002C040000}"/>
    <cellStyle name="20% - Акцент5 15 2" xfId="1070" xr:uid="{00000000-0005-0000-0000-00002D040000}"/>
    <cellStyle name="20% - Акцент5 15_Свод гостин" xfId="1071" xr:uid="{00000000-0005-0000-0000-00002E040000}"/>
    <cellStyle name="20% - Акцент5 16" xfId="1072" xr:uid="{00000000-0005-0000-0000-00002F040000}"/>
    <cellStyle name="20% - Акцент5 16 2" xfId="1073" xr:uid="{00000000-0005-0000-0000-000030040000}"/>
    <cellStyle name="20% - Акцент5 16_Свод гостин" xfId="1074" xr:uid="{00000000-0005-0000-0000-000031040000}"/>
    <cellStyle name="20% - Акцент5 17" xfId="1075" xr:uid="{00000000-0005-0000-0000-000032040000}"/>
    <cellStyle name="20% - Акцент5 17 2" xfId="1076" xr:uid="{00000000-0005-0000-0000-000033040000}"/>
    <cellStyle name="20% - Акцент5 17_Свод гостин" xfId="1077" xr:uid="{00000000-0005-0000-0000-000034040000}"/>
    <cellStyle name="20% - Акцент5 18" xfId="1078" xr:uid="{00000000-0005-0000-0000-000035040000}"/>
    <cellStyle name="20% - Акцент5 18 2" xfId="1079" xr:uid="{00000000-0005-0000-0000-000036040000}"/>
    <cellStyle name="20% - Акцент5 18_Свод гостин" xfId="1080" xr:uid="{00000000-0005-0000-0000-000037040000}"/>
    <cellStyle name="20% - Акцент5 19" xfId="1081" xr:uid="{00000000-0005-0000-0000-000038040000}"/>
    <cellStyle name="20% - Акцент5 19 2" xfId="1082" xr:uid="{00000000-0005-0000-0000-000039040000}"/>
    <cellStyle name="20% - Акцент5 19_Свод гостин" xfId="1083" xr:uid="{00000000-0005-0000-0000-00003A040000}"/>
    <cellStyle name="20% - Акцент5 2" xfId="1084" xr:uid="{00000000-0005-0000-0000-00003B040000}"/>
    <cellStyle name="20% - Акцент5 2 2" xfId="1085" xr:uid="{00000000-0005-0000-0000-00003C040000}"/>
    <cellStyle name="20% - Акцент5 2_Свод гостин" xfId="1086" xr:uid="{00000000-0005-0000-0000-00003D040000}"/>
    <cellStyle name="20% - Акцент5 20" xfId="1087" xr:uid="{00000000-0005-0000-0000-00003E040000}"/>
    <cellStyle name="20% - Акцент5 20 2" xfId="1088" xr:uid="{00000000-0005-0000-0000-00003F040000}"/>
    <cellStyle name="20% - Акцент5 20_Свод гостин" xfId="1089" xr:uid="{00000000-0005-0000-0000-000040040000}"/>
    <cellStyle name="20% - Акцент5 21" xfId="1090" xr:uid="{00000000-0005-0000-0000-000041040000}"/>
    <cellStyle name="20% - Акцент5 21 2" xfId="1091" xr:uid="{00000000-0005-0000-0000-000042040000}"/>
    <cellStyle name="20% - Акцент5 21_Свод гостин" xfId="1092" xr:uid="{00000000-0005-0000-0000-000043040000}"/>
    <cellStyle name="20% - Акцент5 22" xfId="1093" xr:uid="{00000000-0005-0000-0000-000044040000}"/>
    <cellStyle name="20% - Акцент5 22 2" xfId="1094" xr:uid="{00000000-0005-0000-0000-000045040000}"/>
    <cellStyle name="20% - Акцент5 22_Свод гостин" xfId="1095" xr:uid="{00000000-0005-0000-0000-000046040000}"/>
    <cellStyle name="20% - Акцент5 23" xfId="1096" xr:uid="{00000000-0005-0000-0000-000047040000}"/>
    <cellStyle name="20% - Акцент5 23 2" xfId="1097" xr:uid="{00000000-0005-0000-0000-000048040000}"/>
    <cellStyle name="20% - Акцент5 23_Свод гостин" xfId="1098" xr:uid="{00000000-0005-0000-0000-000049040000}"/>
    <cellStyle name="20% - Акцент5 24" xfId="1099" xr:uid="{00000000-0005-0000-0000-00004A040000}"/>
    <cellStyle name="20% - Акцент5 24 2" xfId="1100" xr:uid="{00000000-0005-0000-0000-00004B040000}"/>
    <cellStyle name="20% - Акцент5 24_Свод гостин" xfId="1101" xr:uid="{00000000-0005-0000-0000-00004C040000}"/>
    <cellStyle name="20% - Акцент5 25" xfId="1102" xr:uid="{00000000-0005-0000-0000-00004D040000}"/>
    <cellStyle name="20% - Акцент5 25 2" xfId="1103" xr:uid="{00000000-0005-0000-0000-00004E040000}"/>
    <cellStyle name="20% - Акцент5 25_Свод гостин" xfId="1104" xr:uid="{00000000-0005-0000-0000-00004F040000}"/>
    <cellStyle name="20% - Акцент5 26" xfId="1105" xr:uid="{00000000-0005-0000-0000-000050040000}"/>
    <cellStyle name="20% - Акцент5 26 2" xfId="1106" xr:uid="{00000000-0005-0000-0000-000051040000}"/>
    <cellStyle name="20% - Акцент5 26_Свод гостин" xfId="1107" xr:uid="{00000000-0005-0000-0000-000052040000}"/>
    <cellStyle name="20% - Акцент5 27" xfId="1108" xr:uid="{00000000-0005-0000-0000-000053040000}"/>
    <cellStyle name="20% - Акцент5 27 2" xfId="1109" xr:uid="{00000000-0005-0000-0000-000054040000}"/>
    <cellStyle name="20% - Акцент5 27_Свод гостин" xfId="1110" xr:uid="{00000000-0005-0000-0000-000055040000}"/>
    <cellStyle name="20% - Акцент5 28" xfId="1111" xr:uid="{00000000-0005-0000-0000-000056040000}"/>
    <cellStyle name="20% - Акцент5 28 2" xfId="1112" xr:uid="{00000000-0005-0000-0000-000057040000}"/>
    <cellStyle name="20% - Акцент5 28_Свод гостин" xfId="1113" xr:uid="{00000000-0005-0000-0000-000058040000}"/>
    <cellStyle name="20% - Акцент5 29" xfId="1114" xr:uid="{00000000-0005-0000-0000-000059040000}"/>
    <cellStyle name="20% - Акцент5 29 2" xfId="1115" xr:uid="{00000000-0005-0000-0000-00005A040000}"/>
    <cellStyle name="20% - Акцент5 29_Свод гостин" xfId="1116" xr:uid="{00000000-0005-0000-0000-00005B040000}"/>
    <cellStyle name="20% - Акцент5 3" xfId="1117" xr:uid="{00000000-0005-0000-0000-00005C040000}"/>
    <cellStyle name="20% - Акцент5 3 2" xfId="1118" xr:uid="{00000000-0005-0000-0000-00005D040000}"/>
    <cellStyle name="20% - Акцент5 3_Свод гостин" xfId="1119" xr:uid="{00000000-0005-0000-0000-00005E040000}"/>
    <cellStyle name="20% - Акцент5 30" xfId="1120" xr:uid="{00000000-0005-0000-0000-00005F040000}"/>
    <cellStyle name="20% - Акцент5 30 2" xfId="1121" xr:uid="{00000000-0005-0000-0000-000060040000}"/>
    <cellStyle name="20% - Акцент5 30_Свод гостин" xfId="1122" xr:uid="{00000000-0005-0000-0000-000061040000}"/>
    <cellStyle name="20% - Акцент5 31" xfId="1123" xr:uid="{00000000-0005-0000-0000-000062040000}"/>
    <cellStyle name="20% - Акцент5 31 2" xfId="1124" xr:uid="{00000000-0005-0000-0000-000063040000}"/>
    <cellStyle name="20% - Акцент5 31_Свод гостин" xfId="1125" xr:uid="{00000000-0005-0000-0000-000064040000}"/>
    <cellStyle name="20% - Акцент5 32" xfId="1126" xr:uid="{00000000-0005-0000-0000-000065040000}"/>
    <cellStyle name="20% - Акцент5 32 2" xfId="1127" xr:uid="{00000000-0005-0000-0000-000066040000}"/>
    <cellStyle name="20% - Акцент5 32_Свод гостин" xfId="1128" xr:uid="{00000000-0005-0000-0000-000067040000}"/>
    <cellStyle name="20% - Акцент5 33" xfId="1129" xr:uid="{00000000-0005-0000-0000-000068040000}"/>
    <cellStyle name="20% - Акцент5 33 2" xfId="1130" xr:uid="{00000000-0005-0000-0000-000069040000}"/>
    <cellStyle name="20% - Акцент5 33_Свод гостин" xfId="1131" xr:uid="{00000000-0005-0000-0000-00006A040000}"/>
    <cellStyle name="20% - Акцент5 34" xfId="1132" xr:uid="{00000000-0005-0000-0000-00006B040000}"/>
    <cellStyle name="20% - Акцент5 34 2" xfId="1133" xr:uid="{00000000-0005-0000-0000-00006C040000}"/>
    <cellStyle name="20% - Акцент5 34_Свод гостин" xfId="1134" xr:uid="{00000000-0005-0000-0000-00006D040000}"/>
    <cellStyle name="20% - Акцент5 35" xfId="1135" xr:uid="{00000000-0005-0000-0000-00006E040000}"/>
    <cellStyle name="20% - Акцент5 35 2" xfId="1136" xr:uid="{00000000-0005-0000-0000-00006F040000}"/>
    <cellStyle name="20% - Акцент5 35_Свод гостин" xfId="1137" xr:uid="{00000000-0005-0000-0000-000070040000}"/>
    <cellStyle name="20% - Акцент5 36" xfId="1138" xr:uid="{00000000-0005-0000-0000-000071040000}"/>
    <cellStyle name="20% - Акцент5 36 2" xfId="1139" xr:uid="{00000000-0005-0000-0000-000072040000}"/>
    <cellStyle name="20% - Акцент5 36_Свод гостин" xfId="1140" xr:uid="{00000000-0005-0000-0000-000073040000}"/>
    <cellStyle name="20% - Акцент5 37" xfId="1141" xr:uid="{00000000-0005-0000-0000-000074040000}"/>
    <cellStyle name="20% - Акцент5 37 2" xfId="1142" xr:uid="{00000000-0005-0000-0000-000075040000}"/>
    <cellStyle name="20% - Акцент5 37_Свод гостин" xfId="1143" xr:uid="{00000000-0005-0000-0000-000076040000}"/>
    <cellStyle name="20% - Акцент5 38" xfId="1144" xr:uid="{00000000-0005-0000-0000-000077040000}"/>
    <cellStyle name="20% - Акцент5 38 2" xfId="1145" xr:uid="{00000000-0005-0000-0000-000078040000}"/>
    <cellStyle name="20% - Акцент5 38_Свод гостин" xfId="1146" xr:uid="{00000000-0005-0000-0000-000079040000}"/>
    <cellStyle name="20% - Акцент5 39" xfId="1147" xr:uid="{00000000-0005-0000-0000-00007A040000}"/>
    <cellStyle name="20% - Акцент5 39 2" xfId="1148" xr:uid="{00000000-0005-0000-0000-00007B040000}"/>
    <cellStyle name="20% - Акцент5 39_Свод гостин" xfId="1149" xr:uid="{00000000-0005-0000-0000-00007C040000}"/>
    <cellStyle name="20% - Акцент5 4" xfId="1150" xr:uid="{00000000-0005-0000-0000-00007D040000}"/>
    <cellStyle name="20% - Акцент5 4 2" xfId="1151" xr:uid="{00000000-0005-0000-0000-00007E040000}"/>
    <cellStyle name="20% - Акцент5 4_Свод гостин" xfId="1152" xr:uid="{00000000-0005-0000-0000-00007F040000}"/>
    <cellStyle name="20% - Акцент5 40" xfId="1153" xr:uid="{00000000-0005-0000-0000-000080040000}"/>
    <cellStyle name="20% - Акцент5 40 2" xfId="1154" xr:uid="{00000000-0005-0000-0000-000081040000}"/>
    <cellStyle name="20% - Акцент5 40_Свод гостин" xfId="1155" xr:uid="{00000000-0005-0000-0000-000082040000}"/>
    <cellStyle name="20% - Акцент5 41" xfId="1156" xr:uid="{00000000-0005-0000-0000-000083040000}"/>
    <cellStyle name="20% - Акцент5 41 2" xfId="1157" xr:uid="{00000000-0005-0000-0000-000084040000}"/>
    <cellStyle name="20% - Акцент5 41_Свод гостин" xfId="1158" xr:uid="{00000000-0005-0000-0000-000085040000}"/>
    <cellStyle name="20% - Акцент5 42" xfId="1159" xr:uid="{00000000-0005-0000-0000-000086040000}"/>
    <cellStyle name="20% - Акцент5 42 2" xfId="1160" xr:uid="{00000000-0005-0000-0000-000087040000}"/>
    <cellStyle name="20% - Акцент5 42_Свод гостин" xfId="1161" xr:uid="{00000000-0005-0000-0000-000088040000}"/>
    <cellStyle name="20% - Акцент5 43" xfId="1162" xr:uid="{00000000-0005-0000-0000-000089040000}"/>
    <cellStyle name="20% - Акцент5 43 2" xfId="1163" xr:uid="{00000000-0005-0000-0000-00008A040000}"/>
    <cellStyle name="20% - Акцент5 43_Свод гостин" xfId="1164" xr:uid="{00000000-0005-0000-0000-00008B040000}"/>
    <cellStyle name="20% - Акцент5 44" xfId="1165" xr:uid="{00000000-0005-0000-0000-00008C040000}"/>
    <cellStyle name="20% - Акцент5 44 2" xfId="1166" xr:uid="{00000000-0005-0000-0000-00008D040000}"/>
    <cellStyle name="20% - Акцент5 44_Свод гостин" xfId="1167" xr:uid="{00000000-0005-0000-0000-00008E040000}"/>
    <cellStyle name="20% - Акцент5 45" xfId="1168" xr:uid="{00000000-0005-0000-0000-00008F040000}"/>
    <cellStyle name="20% - Акцент5 45 2" xfId="1169" xr:uid="{00000000-0005-0000-0000-000090040000}"/>
    <cellStyle name="20% - Акцент5 45_Свод гостин" xfId="1170" xr:uid="{00000000-0005-0000-0000-000091040000}"/>
    <cellStyle name="20% - Акцент5 46" xfId="1171" xr:uid="{00000000-0005-0000-0000-000092040000}"/>
    <cellStyle name="20% - Акцент5 46 2" xfId="1172" xr:uid="{00000000-0005-0000-0000-000093040000}"/>
    <cellStyle name="20% - Акцент5 46_Свод гостин" xfId="1173" xr:uid="{00000000-0005-0000-0000-000094040000}"/>
    <cellStyle name="20% - Акцент5 47" xfId="1174" xr:uid="{00000000-0005-0000-0000-000095040000}"/>
    <cellStyle name="20% - Акцент5 47 2" xfId="1175" xr:uid="{00000000-0005-0000-0000-000096040000}"/>
    <cellStyle name="20% - Акцент5 47_Свод гостин" xfId="1176" xr:uid="{00000000-0005-0000-0000-000097040000}"/>
    <cellStyle name="20% - Акцент5 48" xfId="1177" xr:uid="{00000000-0005-0000-0000-000098040000}"/>
    <cellStyle name="20% - Акцент5 48 2" xfId="1178" xr:uid="{00000000-0005-0000-0000-000099040000}"/>
    <cellStyle name="20% - Акцент5 48_Свод гостин" xfId="1179" xr:uid="{00000000-0005-0000-0000-00009A040000}"/>
    <cellStyle name="20% - Акцент5 49" xfId="1180" xr:uid="{00000000-0005-0000-0000-00009B040000}"/>
    <cellStyle name="20% - Акцент5 49 2" xfId="1181" xr:uid="{00000000-0005-0000-0000-00009C040000}"/>
    <cellStyle name="20% - Акцент5 49_Свод гостин" xfId="1182" xr:uid="{00000000-0005-0000-0000-00009D040000}"/>
    <cellStyle name="20% - Акцент5 5" xfId="1183" xr:uid="{00000000-0005-0000-0000-00009E040000}"/>
    <cellStyle name="20% - Акцент5 5 2" xfId="1184" xr:uid="{00000000-0005-0000-0000-00009F040000}"/>
    <cellStyle name="20% - Акцент5 5_Свод гостин" xfId="1185" xr:uid="{00000000-0005-0000-0000-0000A0040000}"/>
    <cellStyle name="20% - Акцент5 50" xfId="1186" xr:uid="{00000000-0005-0000-0000-0000A1040000}"/>
    <cellStyle name="20% - Акцент5 50 2" xfId="1187" xr:uid="{00000000-0005-0000-0000-0000A2040000}"/>
    <cellStyle name="20% - Акцент5 50_Свод гостин" xfId="1188" xr:uid="{00000000-0005-0000-0000-0000A3040000}"/>
    <cellStyle name="20% - Акцент5 51" xfId="1189" xr:uid="{00000000-0005-0000-0000-0000A4040000}"/>
    <cellStyle name="20% - Акцент5 51 2" xfId="1190" xr:uid="{00000000-0005-0000-0000-0000A5040000}"/>
    <cellStyle name="20% - Акцент5 51_Свод гостин" xfId="1191" xr:uid="{00000000-0005-0000-0000-0000A6040000}"/>
    <cellStyle name="20% - Акцент5 52" xfId="1192" xr:uid="{00000000-0005-0000-0000-0000A7040000}"/>
    <cellStyle name="20% - Акцент5 52 2" xfId="1193" xr:uid="{00000000-0005-0000-0000-0000A8040000}"/>
    <cellStyle name="20% - Акцент5 52_Свод гостин" xfId="1194" xr:uid="{00000000-0005-0000-0000-0000A9040000}"/>
    <cellStyle name="20% - Акцент5 53" xfId="1195" xr:uid="{00000000-0005-0000-0000-0000AA040000}"/>
    <cellStyle name="20% - Акцент5 53 2" xfId="1196" xr:uid="{00000000-0005-0000-0000-0000AB040000}"/>
    <cellStyle name="20% - Акцент5 53_Свод гостин" xfId="1197" xr:uid="{00000000-0005-0000-0000-0000AC040000}"/>
    <cellStyle name="20% - Акцент5 54" xfId="1198" xr:uid="{00000000-0005-0000-0000-0000AD040000}"/>
    <cellStyle name="20% - Акцент5 54 2" xfId="1199" xr:uid="{00000000-0005-0000-0000-0000AE040000}"/>
    <cellStyle name="20% - Акцент5 54_Свод гостин" xfId="1200" xr:uid="{00000000-0005-0000-0000-0000AF040000}"/>
    <cellStyle name="20% - Акцент5 55" xfId="1201" xr:uid="{00000000-0005-0000-0000-0000B0040000}"/>
    <cellStyle name="20% - Акцент5 55 2" xfId="1202" xr:uid="{00000000-0005-0000-0000-0000B1040000}"/>
    <cellStyle name="20% - Акцент5 55_Свод гостин" xfId="1203" xr:uid="{00000000-0005-0000-0000-0000B2040000}"/>
    <cellStyle name="20% - Акцент5 56" xfId="1204" xr:uid="{00000000-0005-0000-0000-0000B3040000}"/>
    <cellStyle name="20% - Акцент5 56 2" xfId="1205" xr:uid="{00000000-0005-0000-0000-0000B4040000}"/>
    <cellStyle name="20% - Акцент5 56_Свод гостин" xfId="1206" xr:uid="{00000000-0005-0000-0000-0000B5040000}"/>
    <cellStyle name="20% - Акцент5 57" xfId="1207" xr:uid="{00000000-0005-0000-0000-0000B6040000}"/>
    <cellStyle name="20% - Акцент5 57 2" xfId="1208" xr:uid="{00000000-0005-0000-0000-0000B7040000}"/>
    <cellStyle name="20% - Акцент5 57_Свод гостин" xfId="1209" xr:uid="{00000000-0005-0000-0000-0000B8040000}"/>
    <cellStyle name="20% - Акцент5 58" xfId="1210" xr:uid="{00000000-0005-0000-0000-0000B9040000}"/>
    <cellStyle name="20% - Акцент5 58 2" xfId="1211" xr:uid="{00000000-0005-0000-0000-0000BA040000}"/>
    <cellStyle name="20% - Акцент5 58_Свод гостин" xfId="1212" xr:uid="{00000000-0005-0000-0000-0000BB040000}"/>
    <cellStyle name="20% - Акцент5 59" xfId="1213" xr:uid="{00000000-0005-0000-0000-0000BC040000}"/>
    <cellStyle name="20% - Акцент5 59 2" xfId="1214" xr:uid="{00000000-0005-0000-0000-0000BD040000}"/>
    <cellStyle name="20% - Акцент5 59_Свод гостин" xfId="1215" xr:uid="{00000000-0005-0000-0000-0000BE040000}"/>
    <cellStyle name="20% - Акцент5 6" xfId="1216" xr:uid="{00000000-0005-0000-0000-0000BF040000}"/>
    <cellStyle name="20% - Акцент5 6 2" xfId="1217" xr:uid="{00000000-0005-0000-0000-0000C0040000}"/>
    <cellStyle name="20% - Акцент5 6_Свод гостин" xfId="1218" xr:uid="{00000000-0005-0000-0000-0000C1040000}"/>
    <cellStyle name="20% - Акцент5 60" xfId="1219" xr:uid="{00000000-0005-0000-0000-0000C2040000}"/>
    <cellStyle name="20% - Акцент5 60 2" xfId="1220" xr:uid="{00000000-0005-0000-0000-0000C3040000}"/>
    <cellStyle name="20% - Акцент5 60_Свод гостин" xfId="1221" xr:uid="{00000000-0005-0000-0000-0000C4040000}"/>
    <cellStyle name="20% - Акцент5 61" xfId="1222" xr:uid="{00000000-0005-0000-0000-0000C5040000}"/>
    <cellStyle name="20% - Акцент5 61 2" xfId="1223" xr:uid="{00000000-0005-0000-0000-0000C6040000}"/>
    <cellStyle name="20% - Акцент5 61_Свод гостин" xfId="1224" xr:uid="{00000000-0005-0000-0000-0000C7040000}"/>
    <cellStyle name="20% - Акцент5 62" xfId="1225" xr:uid="{00000000-0005-0000-0000-0000C8040000}"/>
    <cellStyle name="20% - Акцент5 62 2" xfId="1226" xr:uid="{00000000-0005-0000-0000-0000C9040000}"/>
    <cellStyle name="20% - Акцент5 62_Свод гостин" xfId="1227" xr:uid="{00000000-0005-0000-0000-0000CA040000}"/>
    <cellStyle name="20% - Акцент5 63" xfId="1228" xr:uid="{00000000-0005-0000-0000-0000CB040000}"/>
    <cellStyle name="20% - Акцент5 63 2" xfId="1229" xr:uid="{00000000-0005-0000-0000-0000CC040000}"/>
    <cellStyle name="20% - Акцент5 63_Свод гостин" xfId="1230" xr:uid="{00000000-0005-0000-0000-0000CD040000}"/>
    <cellStyle name="20% - Акцент5 64" xfId="1231" xr:uid="{00000000-0005-0000-0000-0000CE040000}"/>
    <cellStyle name="20% - Акцент5 64 2" xfId="1232" xr:uid="{00000000-0005-0000-0000-0000CF040000}"/>
    <cellStyle name="20% - Акцент5 64_Свод гостин" xfId="1233" xr:uid="{00000000-0005-0000-0000-0000D0040000}"/>
    <cellStyle name="20% - Акцент5 65" xfId="1234" xr:uid="{00000000-0005-0000-0000-0000D1040000}"/>
    <cellStyle name="20% - Акцент5 65 2" xfId="1235" xr:uid="{00000000-0005-0000-0000-0000D2040000}"/>
    <cellStyle name="20% - Акцент5 65_Свод гостин" xfId="1236" xr:uid="{00000000-0005-0000-0000-0000D3040000}"/>
    <cellStyle name="20% - Акцент5 66" xfId="1237" xr:uid="{00000000-0005-0000-0000-0000D4040000}"/>
    <cellStyle name="20% - Акцент5 66 2" xfId="1238" xr:uid="{00000000-0005-0000-0000-0000D5040000}"/>
    <cellStyle name="20% - Акцент5 66_Свод гостин" xfId="1239" xr:uid="{00000000-0005-0000-0000-0000D6040000}"/>
    <cellStyle name="20% - Акцент5 67" xfId="1240" xr:uid="{00000000-0005-0000-0000-0000D7040000}"/>
    <cellStyle name="20% - Акцент5 67 2" xfId="1241" xr:uid="{00000000-0005-0000-0000-0000D8040000}"/>
    <cellStyle name="20% - Акцент5 67_Свод гостин" xfId="1242" xr:uid="{00000000-0005-0000-0000-0000D9040000}"/>
    <cellStyle name="20% - Акцент5 68" xfId="1243" xr:uid="{00000000-0005-0000-0000-0000DA040000}"/>
    <cellStyle name="20% - Акцент5 68 2" xfId="1244" xr:uid="{00000000-0005-0000-0000-0000DB040000}"/>
    <cellStyle name="20% - Акцент5 68_Свод гостин" xfId="1245" xr:uid="{00000000-0005-0000-0000-0000DC040000}"/>
    <cellStyle name="20% - Акцент5 69" xfId="1246" xr:uid="{00000000-0005-0000-0000-0000DD040000}"/>
    <cellStyle name="20% - Акцент5 69 2" xfId="1247" xr:uid="{00000000-0005-0000-0000-0000DE040000}"/>
    <cellStyle name="20% - Акцент5 69_Свод гостин" xfId="1248" xr:uid="{00000000-0005-0000-0000-0000DF040000}"/>
    <cellStyle name="20% - Акцент5 7" xfId="1249" xr:uid="{00000000-0005-0000-0000-0000E0040000}"/>
    <cellStyle name="20% - Акцент5 7 2" xfId="1250" xr:uid="{00000000-0005-0000-0000-0000E1040000}"/>
    <cellStyle name="20% - Акцент5 7_Свод гостин" xfId="1251" xr:uid="{00000000-0005-0000-0000-0000E2040000}"/>
    <cellStyle name="20% - Акцент5 70" xfId="1252" xr:uid="{00000000-0005-0000-0000-0000E3040000}"/>
    <cellStyle name="20% - Акцент5 70 2" xfId="1253" xr:uid="{00000000-0005-0000-0000-0000E4040000}"/>
    <cellStyle name="20% - Акцент5 70_Свод гостин" xfId="1254" xr:uid="{00000000-0005-0000-0000-0000E5040000}"/>
    <cellStyle name="20% - Акцент5 71" xfId="1255" xr:uid="{00000000-0005-0000-0000-0000E6040000}"/>
    <cellStyle name="20% - Акцент5 71 2" xfId="1256" xr:uid="{00000000-0005-0000-0000-0000E7040000}"/>
    <cellStyle name="20% - Акцент5 71_Свод гостин" xfId="1257" xr:uid="{00000000-0005-0000-0000-0000E8040000}"/>
    <cellStyle name="20% - Акцент5 72" xfId="1258" xr:uid="{00000000-0005-0000-0000-0000E9040000}"/>
    <cellStyle name="20% - Акцент5 72 2" xfId="1259" xr:uid="{00000000-0005-0000-0000-0000EA040000}"/>
    <cellStyle name="20% - Акцент5 72_Свод гостин" xfId="1260" xr:uid="{00000000-0005-0000-0000-0000EB040000}"/>
    <cellStyle name="20% - Акцент5 73" xfId="1261" xr:uid="{00000000-0005-0000-0000-0000EC040000}"/>
    <cellStyle name="20% - Акцент5 73 2" xfId="1262" xr:uid="{00000000-0005-0000-0000-0000ED040000}"/>
    <cellStyle name="20% - Акцент5 73_Свод гостин" xfId="1263" xr:uid="{00000000-0005-0000-0000-0000EE040000}"/>
    <cellStyle name="20% - Акцент5 74" xfId="1264" xr:uid="{00000000-0005-0000-0000-0000EF040000}"/>
    <cellStyle name="20% - Акцент5 74 2" xfId="1265" xr:uid="{00000000-0005-0000-0000-0000F0040000}"/>
    <cellStyle name="20% - Акцент5 74_Свод гостин" xfId="1266" xr:uid="{00000000-0005-0000-0000-0000F1040000}"/>
    <cellStyle name="20% - Акцент5 75" xfId="1267" xr:uid="{00000000-0005-0000-0000-0000F2040000}"/>
    <cellStyle name="20% - Акцент5 75 2" xfId="1268" xr:uid="{00000000-0005-0000-0000-0000F3040000}"/>
    <cellStyle name="20% - Акцент5 75_Свод гостин" xfId="1269" xr:uid="{00000000-0005-0000-0000-0000F4040000}"/>
    <cellStyle name="20% - Акцент5 76" xfId="1270" xr:uid="{00000000-0005-0000-0000-0000F5040000}"/>
    <cellStyle name="20% - Акцент5 76 2" xfId="1271" xr:uid="{00000000-0005-0000-0000-0000F6040000}"/>
    <cellStyle name="20% - Акцент5 76_Свод гостин" xfId="1272" xr:uid="{00000000-0005-0000-0000-0000F7040000}"/>
    <cellStyle name="20% - Акцент5 77" xfId="1273" xr:uid="{00000000-0005-0000-0000-0000F8040000}"/>
    <cellStyle name="20% - Акцент5 77 2" xfId="1274" xr:uid="{00000000-0005-0000-0000-0000F9040000}"/>
    <cellStyle name="20% - Акцент5 77_Свод гостин" xfId="1275" xr:uid="{00000000-0005-0000-0000-0000FA040000}"/>
    <cellStyle name="20% - Акцент5 78" xfId="1276" xr:uid="{00000000-0005-0000-0000-0000FB040000}"/>
    <cellStyle name="20% - Акцент5 78 2" xfId="1277" xr:uid="{00000000-0005-0000-0000-0000FC040000}"/>
    <cellStyle name="20% - Акцент5 78_Свод гостин" xfId="1278" xr:uid="{00000000-0005-0000-0000-0000FD040000}"/>
    <cellStyle name="20% - Акцент5 79" xfId="1279" xr:uid="{00000000-0005-0000-0000-0000FE040000}"/>
    <cellStyle name="20% - Акцент5 79 2" xfId="1280" xr:uid="{00000000-0005-0000-0000-0000FF040000}"/>
    <cellStyle name="20% - Акцент5 79_Свод гостин" xfId="1281" xr:uid="{00000000-0005-0000-0000-000000050000}"/>
    <cellStyle name="20% - Акцент5 8" xfId="1282" xr:uid="{00000000-0005-0000-0000-000001050000}"/>
    <cellStyle name="20% - Акцент5 8 2" xfId="1283" xr:uid="{00000000-0005-0000-0000-000002050000}"/>
    <cellStyle name="20% - Акцент5 8_Свод гостин" xfId="1284" xr:uid="{00000000-0005-0000-0000-000003050000}"/>
    <cellStyle name="20% - Акцент5 80" xfId="1285" xr:uid="{00000000-0005-0000-0000-000004050000}"/>
    <cellStyle name="20% - Акцент5 80 2" xfId="1286" xr:uid="{00000000-0005-0000-0000-000005050000}"/>
    <cellStyle name="20% - Акцент5 80_Свод гостин" xfId="1287" xr:uid="{00000000-0005-0000-0000-000006050000}"/>
    <cellStyle name="20% - Акцент5 81" xfId="1288" xr:uid="{00000000-0005-0000-0000-000007050000}"/>
    <cellStyle name="20% - Акцент5 81 2" xfId="1289" xr:uid="{00000000-0005-0000-0000-000008050000}"/>
    <cellStyle name="20% - Акцент5 81_Свод гостин" xfId="1290" xr:uid="{00000000-0005-0000-0000-000009050000}"/>
    <cellStyle name="20% - Акцент5 82" xfId="1291" xr:uid="{00000000-0005-0000-0000-00000A050000}"/>
    <cellStyle name="20% - Акцент5 82 2" xfId="1292" xr:uid="{00000000-0005-0000-0000-00000B050000}"/>
    <cellStyle name="20% - Акцент5 82_Свод гостин" xfId="1293" xr:uid="{00000000-0005-0000-0000-00000C050000}"/>
    <cellStyle name="20% - Акцент5 83" xfId="1294" xr:uid="{00000000-0005-0000-0000-00000D050000}"/>
    <cellStyle name="20% - Акцент5 83 2" xfId="1295" xr:uid="{00000000-0005-0000-0000-00000E050000}"/>
    <cellStyle name="20% - Акцент5 83_Свод гостин" xfId="1296" xr:uid="{00000000-0005-0000-0000-00000F050000}"/>
    <cellStyle name="20% - Акцент5 9" xfId="1297" xr:uid="{00000000-0005-0000-0000-000010050000}"/>
    <cellStyle name="20% - Акцент5 9 2" xfId="1298" xr:uid="{00000000-0005-0000-0000-000011050000}"/>
    <cellStyle name="20% - Акцент5 9_Свод гостин" xfId="1299" xr:uid="{00000000-0005-0000-0000-000012050000}"/>
    <cellStyle name="20% - Акцент6 10" xfId="1300" xr:uid="{00000000-0005-0000-0000-000013050000}"/>
    <cellStyle name="20% - Акцент6 10 2" xfId="1301" xr:uid="{00000000-0005-0000-0000-000014050000}"/>
    <cellStyle name="20% - Акцент6 10_Свод гостин" xfId="1302" xr:uid="{00000000-0005-0000-0000-000015050000}"/>
    <cellStyle name="20% - Акцент6 11" xfId="1303" xr:uid="{00000000-0005-0000-0000-000016050000}"/>
    <cellStyle name="20% - Акцент6 11 2" xfId="1304" xr:uid="{00000000-0005-0000-0000-000017050000}"/>
    <cellStyle name="20% - Акцент6 11_Свод гостин" xfId="1305" xr:uid="{00000000-0005-0000-0000-000018050000}"/>
    <cellStyle name="20% - Акцент6 12" xfId="1306" xr:uid="{00000000-0005-0000-0000-000019050000}"/>
    <cellStyle name="20% - Акцент6 12 2" xfId="1307" xr:uid="{00000000-0005-0000-0000-00001A050000}"/>
    <cellStyle name="20% - Акцент6 12_Свод гостин" xfId="1308" xr:uid="{00000000-0005-0000-0000-00001B050000}"/>
    <cellStyle name="20% - Акцент6 13" xfId="1309" xr:uid="{00000000-0005-0000-0000-00001C050000}"/>
    <cellStyle name="20% - Акцент6 13 2" xfId="1310" xr:uid="{00000000-0005-0000-0000-00001D050000}"/>
    <cellStyle name="20% - Акцент6 13_Свод гостин" xfId="1311" xr:uid="{00000000-0005-0000-0000-00001E050000}"/>
    <cellStyle name="20% - Акцент6 14" xfId="1312" xr:uid="{00000000-0005-0000-0000-00001F050000}"/>
    <cellStyle name="20% - Акцент6 14 2" xfId="1313" xr:uid="{00000000-0005-0000-0000-000020050000}"/>
    <cellStyle name="20% - Акцент6 14_Свод гостин" xfId="1314" xr:uid="{00000000-0005-0000-0000-000021050000}"/>
    <cellStyle name="20% - Акцент6 15" xfId="1315" xr:uid="{00000000-0005-0000-0000-000022050000}"/>
    <cellStyle name="20% - Акцент6 15 2" xfId="1316" xr:uid="{00000000-0005-0000-0000-000023050000}"/>
    <cellStyle name="20% - Акцент6 15_Свод гостин" xfId="1317" xr:uid="{00000000-0005-0000-0000-000024050000}"/>
    <cellStyle name="20% - Акцент6 16" xfId="1318" xr:uid="{00000000-0005-0000-0000-000025050000}"/>
    <cellStyle name="20% - Акцент6 16 2" xfId="1319" xr:uid="{00000000-0005-0000-0000-000026050000}"/>
    <cellStyle name="20% - Акцент6 16_Свод гостин" xfId="1320" xr:uid="{00000000-0005-0000-0000-000027050000}"/>
    <cellStyle name="20% - Акцент6 17" xfId="1321" xr:uid="{00000000-0005-0000-0000-000028050000}"/>
    <cellStyle name="20% - Акцент6 17 2" xfId="1322" xr:uid="{00000000-0005-0000-0000-000029050000}"/>
    <cellStyle name="20% - Акцент6 17_Свод гостин" xfId="1323" xr:uid="{00000000-0005-0000-0000-00002A050000}"/>
    <cellStyle name="20% - Акцент6 18" xfId="1324" xr:uid="{00000000-0005-0000-0000-00002B050000}"/>
    <cellStyle name="20% - Акцент6 18 2" xfId="1325" xr:uid="{00000000-0005-0000-0000-00002C050000}"/>
    <cellStyle name="20% - Акцент6 18_Свод гостин" xfId="1326" xr:uid="{00000000-0005-0000-0000-00002D050000}"/>
    <cellStyle name="20% - Акцент6 19" xfId="1327" xr:uid="{00000000-0005-0000-0000-00002E050000}"/>
    <cellStyle name="20% - Акцент6 19 2" xfId="1328" xr:uid="{00000000-0005-0000-0000-00002F050000}"/>
    <cellStyle name="20% - Акцент6 19_Свод гостин" xfId="1329" xr:uid="{00000000-0005-0000-0000-000030050000}"/>
    <cellStyle name="20% - Акцент6 2" xfId="1330" xr:uid="{00000000-0005-0000-0000-000031050000}"/>
    <cellStyle name="20% - Акцент6 2 2" xfId="1331" xr:uid="{00000000-0005-0000-0000-000032050000}"/>
    <cellStyle name="20% - Акцент6 2_Свод гостин" xfId="1332" xr:uid="{00000000-0005-0000-0000-000033050000}"/>
    <cellStyle name="20% - Акцент6 20" xfId="1333" xr:uid="{00000000-0005-0000-0000-000034050000}"/>
    <cellStyle name="20% - Акцент6 20 2" xfId="1334" xr:uid="{00000000-0005-0000-0000-000035050000}"/>
    <cellStyle name="20% - Акцент6 20_Свод гостин" xfId="1335" xr:uid="{00000000-0005-0000-0000-000036050000}"/>
    <cellStyle name="20% - Акцент6 21" xfId="1336" xr:uid="{00000000-0005-0000-0000-000037050000}"/>
    <cellStyle name="20% - Акцент6 21 2" xfId="1337" xr:uid="{00000000-0005-0000-0000-000038050000}"/>
    <cellStyle name="20% - Акцент6 21_Свод гостин" xfId="1338" xr:uid="{00000000-0005-0000-0000-000039050000}"/>
    <cellStyle name="20% - Акцент6 22" xfId="1339" xr:uid="{00000000-0005-0000-0000-00003A050000}"/>
    <cellStyle name="20% - Акцент6 22 2" xfId="1340" xr:uid="{00000000-0005-0000-0000-00003B050000}"/>
    <cellStyle name="20% - Акцент6 22_Свод гостин" xfId="1341" xr:uid="{00000000-0005-0000-0000-00003C050000}"/>
    <cellStyle name="20% - Акцент6 23" xfId="1342" xr:uid="{00000000-0005-0000-0000-00003D050000}"/>
    <cellStyle name="20% - Акцент6 23 2" xfId="1343" xr:uid="{00000000-0005-0000-0000-00003E050000}"/>
    <cellStyle name="20% - Акцент6 23_Свод гостин" xfId="1344" xr:uid="{00000000-0005-0000-0000-00003F050000}"/>
    <cellStyle name="20% - Акцент6 24" xfId="1345" xr:uid="{00000000-0005-0000-0000-000040050000}"/>
    <cellStyle name="20% - Акцент6 24 2" xfId="1346" xr:uid="{00000000-0005-0000-0000-000041050000}"/>
    <cellStyle name="20% - Акцент6 24_Свод гостин" xfId="1347" xr:uid="{00000000-0005-0000-0000-000042050000}"/>
    <cellStyle name="20% - Акцент6 25" xfId="1348" xr:uid="{00000000-0005-0000-0000-000043050000}"/>
    <cellStyle name="20% - Акцент6 25 2" xfId="1349" xr:uid="{00000000-0005-0000-0000-000044050000}"/>
    <cellStyle name="20% - Акцент6 25_Свод гостин" xfId="1350" xr:uid="{00000000-0005-0000-0000-000045050000}"/>
    <cellStyle name="20% - Акцент6 26" xfId="1351" xr:uid="{00000000-0005-0000-0000-000046050000}"/>
    <cellStyle name="20% - Акцент6 26 2" xfId="1352" xr:uid="{00000000-0005-0000-0000-000047050000}"/>
    <cellStyle name="20% - Акцент6 26_Свод гостин" xfId="1353" xr:uid="{00000000-0005-0000-0000-000048050000}"/>
    <cellStyle name="20% - Акцент6 27" xfId="1354" xr:uid="{00000000-0005-0000-0000-000049050000}"/>
    <cellStyle name="20% - Акцент6 27 2" xfId="1355" xr:uid="{00000000-0005-0000-0000-00004A050000}"/>
    <cellStyle name="20% - Акцент6 27_Свод гостин" xfId="1356" xr:uid="{00000000-0005-0000-0000-00004B050000}"/>
    <cellStyle name="20% - Акцент6 28" xfId="1357" xr:uid="{00000000-0005-0000-0000-00004C050000}"/>
    <cellStyle name="20% - Акцент6 28 2" xfId="1358" xr:uid="{00000000-0005-0000-0000-00004D050000}"/>
    <cellStyle name="20% - Акцент6 28_Свод гостин" xfId="1359" xr:uid="{00000000-0005-0000-0000-00004E050000}"/>
    <cellStyle name="20% - Акцент6 29" xfId="1360" xr:uid="{00000000-0005-0000-0000-00004F050000}"/>
    <cellStyle name="20% - Акцент6 29 2" xfId="1361" xr:uid="{00000000-0005-0000-0000-000050050000}"/>
    <cellStyle name="20% - Акцент6 29_Свод гостин" xfId="1362" xr:uid="{00000000-0005-0000-0000-000051050000}"/>
    <cellStyle name="20% - Акцент6 3" xfId="1363" xr:uid="{00000000-0005-0000-0000-000052050000}"/>
    <cellStyle name="20% - Акцент6 3 2" xfId="1364" xr:uid="{00000000-0005-0000-0000-000053050000}"/>
    <cellStyle name="20% - Акцент6 3_Свод гостин" xfId="1365" xr:uid="{00000000-0005-0000-0000-000054050000}"/>
    <cellStyle name="20% - Акцент6 30" xfId="1366" xr:uid="{00000000-0005-0000-0000-000055050000}"/>
    <cellStyle name="20% - Акцент6 30 2" xfId="1367" xr:uid="{00000000-0005-0000-0000-000056050000}"/>
    <cellStyle name="20% - Акцент6 30_Свод гостин" xfId="1368" xr:uid="{00000000-0005-0000-0000-000057050000}"/>
    <cellStyle name="20% - Акцент6 31" xfId="1369" xr:uid="{00000000-0005-0000-0000-000058050000}"/>
    <cellStyle name="20% - Акцент6 31 2" xfId="1370" xr:uid="{00000000-0005-0000-0000-000059050000}"/>
    <cellStyle name="20% - Акцент6 31_Свод гостин" xfId="1371" xr:uid="{00000000-0005-0000-0000-00005A050000}"/>
    <cellStyle name="20% - Акцент6 32" xfId="1372" xr:uid="{00000000-0005-0000-0000-00005B050000}"/>
    <cellStyle name="20% - Акцент6 32 2" xfId="1373" xr:uid="{00000000-0005-0000-0000-00005C050000}"/>
    <cellStyle name="20% - Акцент6 32_Свод гостин" xfId="1374" xr:uid="{00000000-0005-0000-0000-00005D050000}"/>
    <cellStyle name="20% - Акцент6 33" xfId="1375" xr:uid="{00000000-0005-0000-0000-00005E050000}"/>
    <cellStyle name="20% - Акцент6 33 2" xfId="1376" xr:uid="{00000000-0005-0000-0000-00005F050000}"/>
    <cellStyle name="20% - Акцент6 33_Свод гостин" xfId="1377" xr:uid="{00000000-0005-0000-0000-000060050000}"/>
    <cellStyle name="20% - Акцент6 34" xfId="1378" xr:uid="{00000000-0005-0000-0000-000061050000}"/>
    <cellStyle name="20% - Акцент6 34 2" xfId="1379" xr:uid="{00000000-0005-0000-0000-000062050000}"/>
    <cellStyle name="20% - Акцент6 34_Свод гостин" xfId="1380" xr:uid="{00000000-0005-0000-0000-000063050000}"/>
    <cellStyle name="20% - Акцент6 35" xfId="1381" xr:uid="{00000000-0005-0000-0000-000064050000}"/>
    <cellStyle name="20% - Акцент6 35 2" xfId="1382" xr:uid="{00000000-0005-0000-0000-000065050000}"/>
    <cellStyle name="20% - Акцент6 35_Свод гостин" xfId="1383" xr:uid="{00000000-0005-0000-0000-000066050000}"/>
    <cellStyle name="20% - Акцент6 36" xfId="1384" xr:uid="{00000000-0005-0000-0000-000067050000}"/>
    <cellStyle name="20% - Акцент6 36 2" xfId="1385" xr:uid="{00000000-0005-0000-0000-000068050000}"/>
    <cellStyle name="20% - Акцент6 36_Свод гостин" xfId="1386" xr:uid="{00000000-0005-0000-0000-000069050000}"/>
    <cellStyle name="20% - Акцент6 37" xfId="1387" xr:uid="{00000000-0005-0000-0000-00006A050000}"/>
    <cellStyle name="20% - Акцент6 37 2" xfId="1388" xr:uid="{00000000-0005-0000-0000-00006B050000}"/>
    <cellStyle name="20% - Акцент6 37_Свод гостин" xfId="1389" xr:uid="{00000000-0005-0000-0000-00006C050000}"/>
    <cellStyle name="20% - Акцент6 38" xfId="1390" xr:uid="{00000000-0005-0000-0000-00006D050000}"/>
    <cellStyle name="20% - Акцент6 38 2" xfId="1391" xr:uid="{00000000-0005-0000-0000-00006E050000}"/>
    <cellStyle name="20% - Акцент6 38_Свод гостин" xfId="1392" xr:uid="{00000000-0005-0000-0000-00006F050000}"/>
    <cellStyle name="20% - Акцент6 39" xfId="1393" xr:uid="{00000000-0005-0000-0000-000070050000}"/>
    <cellStyle name="20% - Акцент6 39 2" xfId="1394" xr:uid="{00000000-0005-0000-0000-000071050000}"/>
    <cellStyle name="20% - Акцент6 39_Свод гостин" xfId="1395" xr:uid="{00000000-0005-0000-0000-000072050000}"/>
    <cellStyle name="20% - Акцент6 4" xfId="1396" xr:uid="{00000000-0005-0000-0000-000073050000}"/>
    <cellStyle name="20% - Акцент6 4 2" xfId="1397" xr:uid="{00000000-0005-0000-0000-000074050000}"/>
    <cellStyle name="20% - Акцент6 4_Свод гостин" xfId="1398" xr:uid="{00000000-0005-0000-0000-000075050000}"/>
    <cellStyle name="20% - Акцент6 40" xfId="1399" xr:uid="{00000000-0005-0000-0000-000076050000}"/>
    <cellStyle name="20% - Акцент6 40 2" xfId="1400" xr:uid="{00000000-0005-0000-0000-000077050000}"/>
    <cellStyle name="20% - Акцент6 40_Свод гостин" xfId="1401" xr:uid="{00000000-0005-0000-0000-000078050000}"/>
    <cellStyle name="20% - Акцент6 41" xfId="1402" xr:uid="{00000000-0005-0000-0000-000079050000}"/>
    <cellStyle name="20% - Акцент6 41 2" xfId="1403" xr:uid="{00000000-0005-0000-0000-00007A050000}"/>
    <cellStyle name="20% - Акцент6 41_Свод гостин" xfId="1404" xr:uid="{00000000-0005-0000-0000-00007B050000}"/>
    <cellStyle name="20% - Акцент6 42" xfId="1405" xr:uid="{00000000-0005-0000-0000-00007C050000}"/>
    <cellStyle name="20% - Акцент6 42 2" xfId="1406" xr:uid="{00000000-0005-0000-0000-00007D050000}"/>
    <cellStyle name="20% - Акцент6 42_Свод гостин" xfId="1407" xr:uid="{00000000-0005-0000-0000-00007E050000}"/>
    <cellStyle name="20% - Акцент6 43" xfId="1408" xr:uid="{00000000-0005-0000-0000-00007F050000}"/>
    <cellStyle name="20% - Акцент6 43 2" xfId="1409" xr:uid="{00000000-0005-0000-0000-000080050000}"/>
    <cellStyle name="20% - Акцент6 43_Свод гостин" xfId="1410" xr:uid="{00000000-0005-0000-0000-000081050000}"/>
    <cellStyle name="20% - Акцент6 44" xfId="1411" xr:uid="{00000000-0005-0000-0000-000082050000}"/>
    <cellStyle name="20% - Акцент6 44 2" xfId="1412" xr:uid="{00000000-0005-0000-0000-000083050000}"/>
    <cellStyle name="20% - Акцент6 44_Свод гостин" xfId="1413" xr:uid="{00000000-0005-0000-0000-000084050000}"/>
    <cellStyle name="20% - Акцент6 45" xfId="1414" xr:uid="{00000000-0005-0000-0000-000085050000}"/>
    <cellStyle name="20% - Акцент6 45 2" xfId="1415" xr:uid="{00000000-0005-0000-0000-000086050000}"/>
    <cellStyle name="20% - Акцент6 45_Свод гостин" xfId="1416" xr:uid="{00000000-0005-0000-0000-000087050000}"/>
    <cellStyle name="20% - Акцент6 46" xfId="1417" xr:uid="{00000000-0005-0000-0000-000088050000}"/>
    <cellStyle name="20% - Акцент6 46 2" xfId="1418" xr:uid="{00000000-0005-0000-0000-000089050000}"/>
    <cellStyle name="20% - Акцент6 46_Свод гостин" xfId="1419" xr:uid="{00000000-0005-0000-0000-00008A050000}"/>
    <cellStyle name="20% - Акцент6 47" xfId="1420" xr:uid="{00000000-0005-0000-0000-00008B050000}"/>
    <cellStyle name="20% - Акцент6 47 2" xfId="1421" xr:uid="{00000000-0005-0000-0000-00008C050000}"/>
    <cellStyle name="20% - Акцент6 47_Свод гостин" xfId="1422" xr:uid="{00000000-0005-0000-0000-00008D050000}"/>
    <cellStyle name="20% - Акцент6 48" xfId="1423" xr:uid="{00000000-0005-0000-0000-00008E050000}"/>
    <cellStyle name="20% - Акцент6 48 2" xfId="1424" xr:uid="{00000000-0005-0000-0000-00008F050000}"/>
    <cellStyle name="20% - Акцент6 48_Свод гостин" xfId="1425" xr:uid="{00000000-0005-0000-0000-000090050000}"/>
    <cellStyle name="20% - Акцент6 49" xfId="1426" xr:uid="{00000000-0005-0000-0000-000091050000}"/>
    <cellStyle name="20% - Акцент6 49 2" xfId="1427" xr:uid="{00000000-0005-0000-0000-000092050000}"/>
    <cellStyle name="20% - Акцент6 49_Свод гостин" xfId="1428" xr:uid="{00000000-0005-0000-0000-000093050000}"/>
    <cellStyle name="20% - Акцент6 5" xfId="1429" xr:uid="{00000000-0005-0000-0000-000094050000}"/>
    <cellStyle name="20% - Акцент6 5 2" xfId="1430" xr:uid="{00000000-0005-0000-0000-000095050000}"/>
    <cellStyle name="20% - Акцент6 5_Свод гостин" xfId="1431" xr:uid="{00000000-0005-0000-0000-000096050000}"/>
    <cellStyle name="20% - Акцент6 50" xfId="1432" xr:uid="{00000000-0005-0000-0000-000097050000}"/>
    <cellStyle name="20% - Акцент6 50 2" xfId="1433" xr:uid="{00000000-0005-0000-0000-000098050000}"/>
    <cellStyle name="20% - Акцент6 50_Свод гостин" xfId="1434" xr:uid="{00000000-0005-0000-0000-000099050000}"/>
    <cellStyle name="20% - Акцент6 51" xfId="1435" xr:uid="{00000000-0005-0000-0000-00009A050000}"/>
    <cellStyle name="20% - Акцент6 51 2" xfId="1436" xr:uid="{00000000-0005-0000-0000-00009B050000}"/>
    <cellStyle name="20% - Акцент6 51_Свод гостин" xfId="1437" xr:uid="{00000000-0005-0000-0000-00009C050000}"/>
    <cellStyle name="20% - Акцент6 52" xfId="1438" xr:uid="{00000000-0005-0000-0000-00009D050000}"/>
    <cellStyle name="20% - Акцент6 52 2" xfId="1439" xr:uid="{00000000-0005-0000-0000-00009E050000}"/>
    <cellStyle name="20% - Акцент6 52_Свод гостин" xfId="1440" xr:uid="{00000000-0005-0000-0000-00009F050000}"/>
    <cellStyle name="20% - Акцент6 53" xfId="1441" xr:uid="{00000000-0005-0000-0000-0000A0050000}"/>
    <cellStyle name="20% - Акцент6 53 2" xfId="1442" xr:uid="{00000000-0005-0000-0000-0000A1050000}"/>
    <cellStyle name="20% - Акцент6 53_Свод гостин" xfId="1443" xr:uid="{00000000-0005-0000-0000-0000A2050000}"/>
    <cellStyle name="20% - Акцент6 54" xfId="1444" xr:uid="{00000000-0005-0000-0000-0000A3050000}"/>
    <cellStyle name="20% - Акцент6 54 2" xfId="1445" xr:uid="{00000000-0005-0000-0000-0000A4050000}"/>
    <cellStyle name="20% - Акцент6 54_Свод гостин" xfId="1446" xr:uid="{00000000-0005-0000-0000-0000A5050000}"/>
    <cellStyle name="20% - Акцент6 55" xfId="1447" xr:uid="{00000000-0005-0000-0000-0000A6050000}"/>
    <cellStyle name="20% - Акцент6 55 2" xfId="1448" xr:uid="{00000000-0005-0000-0000-0000A7050000}"/>
    <cellStyle name="20% - Акцент6 55_Свод гостин" xfId="1449" xr:uid="{00000000-0005-0000-0000-0000A8050000}"/>
    <cellStyle name="20% - Акцент6 56" xfId="1450" xr:uid="{00000000-0005-0000-0000-0000A9050000}"/>
    <cellStyle name="20% - Акцент6 56 2" xfId="1451" xr:uid="{00000000-0005-0000-0000-0000AA050000}"/>
    <cellStyle name="20% - Акцент6 56_Свод гостин" xfId="1452" xr:uid="{00000000-0005-0000-0000-0000AB050000}"/>
    <cellStyle name="20% - Акцент6 57" xfId="1453" xr:uid="{00000000-0005-0000-0000-0000AC050000}"/>
    <cellStyle name="20% - Акцент6 57 2" xfId="1454" xr:uid="{00000000-0005-0000-0000-0000AD050000}"/>
    <cellStyle name="20% - Акцент6 57_Свод гостин" xfId="1455" xr:uid="{00000000-0005-0000-0000-0000AE050000}"/>
    <cellStyle name="20% - Акцент6 58" xfId="1456" xr:uid="{00000000-0005-0000-0000-0000AF050000}"/>
    <cellStyle name="20% - Акцент6 58 2" xfId="1457" xr:uid="{00000000-0005-0000-0000-0000B0050000}"/>
    <cellStyle name="20% - Акцент6 58_Свод гостин" xfId="1458" xr:uid="{00000000-0005-0000-0000-0000B1050000}"/>
    <cellStyle name="20% - Акцент6 59" xfId="1459" xr:uid="{00000000-0005-0000-0000-0000B2050000}"/>
    <cellStyle name="20% - Акцент6 59 2" xfId="1460" xr:uid="{00000000-0005-0000-0000-0000B3050000}"/>
    <cellStyle name="20% - Акцент6 59_Свод гостин" xfId="1461" xr:uid="{00000000-0005-0000-0000-0000B4050000}"/>
    <cellStyle name="20% - Акцент6 6" xfId="1462" xr:uid="{00000000-0005-0000-0000-0000B5050000}"/>
    <cellStyle name="20% - Акцент6 6 2" xfId="1463" xr:uid="{00000000-0005-0000-0000-0000B6050000}"/>
    <cellStyle name="20% - Акцент6 6_Свод гостин" xfId="1464" xr:uid="{00000000-0005-0000-0000-0000B7050000}"/>
    <cellStyle name="20% - Акцент6 60" xfId="1465" xr:uid="{00000000-0005-0000-0000-0000B8050000}"/>
    <cellStyle name="20% - Акцент6 60 2" xfId="1466" xr:uid="{00000000-0005-0000-0000-0000B9050000}"/>
    <cellStyle name="20% - Акцент6 60_Свод гостин" xfId="1467" xr:uid="{00000000-0005-0000-0000-0000BA050000}"/>
    <cellStyle name="20% - Акцент6 61" xfId="1468" xr:uid="{00000000-0005-0000-0000-0000BB050000}"/>
    <cellStyle name="20% - Акцент6 61 2" xfId="1469" xr:uid="{00000000-0005-0000-0000-0000BC050000}"/>
    <cellStyle name="20% - Акцент6 61_Свод гостин" xfId="1470" xr:uid="{00000000-0005-0000-0000-0000BD050000}"/>
    <cellStyle name="20% - Акцент6 62" xfId="1471" xr:uid="{00000000-0005-0000-0000-0000BE050000}"/>
    <cellStyle name="20% - Акцент6 62 2" xfId="1472" xr:uid="{00000000-0005-0000-0000-0000BF050000}"/>
    <cellStyle name="20% - Акцент6 62_Свод гостин" xfId="1473" xr:uid="{00000000-0005-0000-0000-0000C0050000}"/>
    <cellStyle name="20% - Акцент6 63" xfId="1474" xr:uid="{00000000-0005-0000-0000-0000C1050000}"/>
    <cellStyle name="20% - Акцент6 63 2" xfId="1475" xr:uid="{00000000-0005-0000-0000-0000C2050000}"/>
    <cellStyle name="20% - Акцент6 63_Свод гостин" xfId="1476" xr:uid="{00000000-0005-0000-0000-0000C3050000}"/>
    <cellStyle name="20% - Акцент6 64" xfId="1477" xr:uid="{00000000-0005-0000-0000-0000C4050000}"/>
    <cellStyle name="20% - Акцент6 64 2" xfId="1478" xr:uid="{00000000-0005-0000-0000-0000C5050000}"/>
    <cellStyle name="20% - Акцент6 64_Свод гостин" xfId="1479" xr:uid="{00000000-0005-0000-0000-0000C6050000}"/>
    <cellStyle name="20% - Акцент6 65" xfId="1480" xr:uid="{00000000-0005-0000-0000-0000C7050000}"/>
    <cellStyle name="20% - Акцент6 65 2" xfId="1481" xr:uid="{00000000-0005-0000-0000-0000C8050000}"/>
    <cellStyle name="20% - Акцент6 65_Свод гостин" xfId="1482" xr:uid="{00000000-0005-0000-0000-0000C9050000}"/>
    <cellStyle name="20% - Акцент6 66" xfId="1483" xr:uid="{00000000-0005-0000-0000-0000CA050000}"/>
    <cellStyle name="20% - Акцент6 66 2" xfId="1484" xr:uid="{00000000-0005-0000-0000-0000CB050000}"/>
    <cellStyle name="20% - Акцент6 66_Свод гостин" xfId="1485" xr:uid="{00000000-0005-0000-0000-0000CC050000}"/>
    <cellStyle name="20% - Акцент6 67" xfId="1486" xr:uid="{00000000-0005-0000-0000-0000CD050000}"/>
    <cellStyle name="20% - Акцент6 67 2" xfId="1487" xr:uid="{00000000-0005-0000-0000-0000CE050000}"/>
    <cellStyle name="20% - Акцент6 67_Свод гостин" xfId="1488" xr:uid="{00000000-0005-0000-0000-0000CF050000}"/>
    <cellStyle name="20% - Акцент6 68" xfId="1489" xr:uid="{00000000-0005-0000-0000-0000D0050000}"/>
    <cellStyle name="20% - Акцент6 68 2" xfId="1490" xr:uid="{00000000-0005-0000-0000-0000D1050000}"/>
    <cellStyle name="20% - Акцент6 68_Свод гостин" xfId="1491" xr:uid="{00000000-0005-0000-0000-0000D2050000}"/>
    <cellStyle name="20% - Акцент6 69" xfId="1492" xr:uid="{00000000-0005-0000-0000-0000D3050000}"/>
    <cellStyle name="20% - Акцент6 69 2" xfId="1493" xr:uid="{00000000-0005-0000-0000-0000D4050000}"/>
    <cellStyle name="20% - Акцент6 69_Свод гостин" xfId="1494" xr:uid="{00000000-0005-0000-0000-0000D5050000}"/>
    <cellStyle name="20% - Акцент6 7" xfId="1495" xr:uid="{00000000-0005-0000-0000-0000D6050000}"/>
    <cellStyle name="20% - Акцент6 7 2" xfId="1496" xr:uid="{00000000-0005-0000-0000-0000D7050000}"/>
    <cellStyle name="20% - Акцент6 7_Свод гостин" xfId="1497" xr:uid="{00000000-0005-0000-0000-0000D8050000}"/>
    <cellStyle name="20% - Акцент6 70" xfId="1498" xr:uid="{00000000-0005-0000-0000-0000D9050000}"/>
    <cellStyle name="20% - Акцент6 70 2" xfId="1499" xr:uid="{00000000-0005-0000-0000-0000DA050000}"/>
    <cellStyle name="20% - Акцент6 70_Свод гостин" xfId="1500" xr:uid="{00000000-0005-0000-0000-0000DB050000}"/>
    <cellStyle name="20% - Акцент6 71" xfId="1501" xr:uid="{00000000-0005-0000-0000-0000DC050000}"/>
    <cellStyle name="20% - Акцент6 71 2" xfId="1502" xr:uid="{00000000-0005-0000-0000-0000DD050000}"/>
    <cellStyle name="20% - Акцент6 71_Свод гостин" xfId="1503" xr:uid="{00000000-0005-0000-0000-0000DE050000}"/>
    <cellStyle name="20% - Акцент6 72" xfId="1504" xr:uid="{00000000-0005-0000-0000-0000DF050000}"/>
    <cellStyle name="20% - Акцент6 72 2" xfId="1505" xr:uid="{00000000-0005-0000-0000-0000E0050000}"/>
    <cellStyle name="20% - Акцент6 72_Свод гостин" xfId="1506" xr:uid="{00000000-0005-0000-0000-0000E1050000}"/>
    <cellStyle name="20% - Акцент6 73" xfId="1507" xr:uid="{00000000-0005-0000-0000-0000E2050000}"/>
    <cellStyle name="20% - Акцент6 73 2" xfId="1508" xr:uid="{00000000-0005-0000-0000-0000E3050000}"/>
    <cellStyle name="20% - Акцент6 73_Свод гостин" xfId="1509" xr:uid="{00000000-0005-0000-0000-0000E4050000}"/>
    <cellStyle name="20% - Акцент6 74" xfId="1510" xr:uid="{00000000-0005-0000-0000-0000E5050000}"/>
    <cellStyle name="20% - Акцент6 74 2" xfId="1511" xr:uid="{00000000-0005-0000-0000-0000E6050000}"/>
    <cellStyle name="20% - Акцент6 74_Свод гостин" xfId="1512" xr:uid="{00000000-0005-0000-0000-0000E7050000}"/>
    <cellStyle name="20% - Акцент6 75" xfId="1513" xr:uid="{00000000-0005-0000-0000-0000E8050000}"/>
    <cellStyle name="20% - Акцент6 75 2" xfId="1514" xr:uid="{00000000-0005-0000-0000-0000E9050000}"/>
    <cellStyle name="20% - Акцент6 75_Свод гостин" xfId="1515" xr:uid="{00000000-0005-0000-0000-0000EA050000}"/>
    <cellStyle name="20% - Акцент6 76" xfId="1516" xr:uid="{00000000-0005-0000-0000-0000EB050000}"/>
    <cellStyle name="20% - Акцент6 76 2" xfId="1517" xr:uid="{00000000-0005-0000-0000-0000EC050000}"/>
    <cellStyle name="20% - Акцент6 76_Свод гостин" xfId="1518" xr:uid="{00000000-0005-0000-0000-0000ED050000}"/>
    <cellStyle name="20% - Акцент6 77" xfId="1519" xr:uid="{00000000-0005-0000-0000-0000EE050000}"/>
    <cellStyle name="20% - Акцент6 77 2" xfId="1520" xr:uid="{00000000-0005-0000-0000-0000EF050000}"/>
    <cellStyle name="20% - Акцент6 77_Свод гостин" xfId="1521" xr:uid="{00000000-0005-0000-0000-0000F0050000}"/>
    <cellStyle name="20% - Акцент6 78" xfId="1522" xr:uid="{00000000-0005-0000-0000-0000F1050000}"/>
    <cellStyle name="20% - Акцент6 78 2" xfId="1523" xr:uid="{00000000-0005-0000-0000-0000F2050000}"/>
    <cellStyle name="20% - Акцент6 78_Свод гостин" xfId="1524" xr:uid="{00000000-0005-0000-0000-0000F3050000}"/>
    <cellStyle name="20% - Акцент6 79" xfId="1525" xr:uid="{00000000-0005-0000-0000-0000F4050000}"/>
    <cellStyle name="20% - Акцент6 79 2" xfId="1526" xr:uid="{00000000-0005-0000-0000-0000F5050000}"/>
    <cellStyle name="20% - Акцент6 79_Свод гостин" xfId="1527" xr:uid="{00000000-0005-0000-0000-0000F6050000}"/>
    <cellStyle name="20% - Акцент6 8" xfId="1528" xr:uid="{00000000-0005-0000-0000-0000F7050000}"/>
    <cellStyle name="20% - Акцент6 8 2" xfId="1529" xr:uid="{00000000-0005-0000-0000-0000F8050000}"/>
    <cellStyle name="20% - Акцент6 8_Свод гостин" xfId="1530" xr:uid="{00000000-0005-0000-0000-0000F9050000}"/>
    <cellStyle name="20% - Акцент6 80" xfId="1531" xr:uid="{00000000-0005-0000-0000-0000FA050000}"/>
    <cellStyle name="20% - Акцент6 80 2" xfId="1532" xr:uid="{00000000-0005-0000-0000-0000FB050000}"/>
    <cellStyle name="20% - Акцент6 80_Свод гостин" xfId="1533" xr:uid="{00000000-0005-0000-0000-0000FC050000}"/>
    <cellStyle name="20% - Акцент6 81" xfId="1534" xr:uid="{00000000-0005-0000-0000-0000FD050000}"/>
    <cellStyle name="20% - Акцент6 81 2" xfId="1535" xr:uid="{00000000-0005-0000-0000-0000FE050000}"/>
    <cellStyle name="20% - Акцент6 81_Свод гостин" xfId="1536" xr:uid="{00000000-0005-0000-0000-0000FF050000}"/>
    <cellStyle name="20% - Акцент6 82" xfId="1537" xr:uid="{00000000-0005-0000-0000-000000060000}"/>
    <cellStyle name="20% - Акцент6 82 2" xfId="1538" xr:uid="{00000000-0005-0000-0000-000001060000}"/>
    <cellStyle name="20% - Акцент6 82_Свод гостин" xfId="1539" xr:uid="{00000000-0005-0000-0000-000002060000}"/>
    <cellStyle name="20% - Акцент6 83" xfId="1540" xr:uid="{00000000-0005-0000-0000-000003060000}"/>
    <cellStyle name="20% - Акцент6 83 2" xfId="1541" xr:uid="{00000000-0005-0000-0000-000004060000}"/>
    <cellStyle name="20% - Акцент6 83_Свод гостин" xfId="1542" xr:uid="{00000000-0005-0000-0000-000005060000}"/>
    <cellStyle name="20% - Акцент6 9" xfId="1543" xr:uid="{00000000-0005-0000-0000-000006060000}"/>
    <cellStyle name="20% - Акцент6 9 2" xfId="1544" xr:uid="{00000000-0005-0000-0000-000007060000}"/>
    <cellStyle name="20% - Акцент6 9_Свод гостин" xfId="1545" xr:uid="{00000000-0005-0000-0000-000008060000}"/>
    <cellStyle name="40% - Accent1" xfId="1546" xr:uid="{00000000-0005-0000-0000-000009060000}"/>
    <cellStyle name="40% - Accent2" xfId="1547" xr:uid="{00000000-0005-0000-0000-00000A060000}"/>
    <cellStyle name="40% - Accent3" xfId="1548" xr:uid="{00000000-0005-0000-0000-00000B060000}"/>
    <cellStyle name="40% - Accent4" xfId="1549" xr:uid="{00000000-0005-0000-0000-00000C060000}"/>
    <cellStyle name="40% - Accent5" xfId="1550" xr:uid="{00000000-0005-0000-0000-00000D060000}"/>
    <cellStyle name="40% - Accent6" xfId="1551" xr:uid="{00000000-0005-0000-0000-00000E060000}"/>
    <cellStyle name="40% - Акцент1 10" xfId="1552" xr:uid="{00000000-0005-0000-0000-00000F060000}"/>
    <cellStyle name="40% - Акцент1 10 2" xfId="1553" xr:uid="{00000000-0005-0000-0000-000010060000}"/>
    <cellStyle name="40% - Акцент1 10_Свод гостин" xfId="1554" xr:uid="{00000000-0005-0000-0000-000011060000}"/>
    <cellStyle name="40% - Акцент1 11" xfId="1555" xr:uid="{00000000-0005-0000-0000-000012060000}"/>
    <cellStyle name="40% - Акцент1 11 2" xfId="1556" xr:uid="{00000000-0005-0000-0000-000013060000}"/>
    <cellStyle name="40% - Акцент1 11_Свод гостин" xfId="1557" xr:uid="{00000000-0005-0000-0000-000014060000}"/>
    <cellStyle name="40% - Акцент1 12" xfId="1558" xr:uid="{00000000-0005-0000-0000-000015060000}"/>
    <cellStyle name="40% - Акцент1 12 2" xfId="1559" xr:uid="{00000000-0005-0000-0000-000016060000}"/>
    <cellStyle name="40% - Акцент1 12_Свод гостин" xfId="1560" xr:uid="{00000000-0005-0000-0000-000017060000}"/>
    <cellStyle name="40% - Акцент1 13" xfId="1561" xr:uid="{00000000-0005-0000-0000-000018060000}"/>
    <cellStyle name="40% - Акцент1 13 2" xfId="1562" xr:uid="{00000000-0005-0000-0000-000019060000}"/>
    <cellStyle name="40% - Акцент1 13_Свод гостин" xfId="1563" xr:uid="{00000000-0005-0000-0000-00001A060000}"/>
    <cellStyle name="40% - Акцент1 14" xfId="1564" xr:uid="{00000000-0005-0000-0000-00001B060000}"/>
    <cellStyle name="40% - Акцент1 14 2" xfId="1565" xr:uid="{00000000-0005-0000-0000-00001C060000}"/>
    <cellStyle name="40% - Акцент1 14_Свод гостин" xfId="1566" xr:uid="{00000000-0005-0000-0000-00001D060000}"/>
    <cellStyle name="40% - Акцент1 15" xfId="1567" xr:uid="{00000000-0005-0000-0000-00001E060000}"/>
    <cellStyle name="40% - Акцент1 15 2" xfId="1568" xr:uid="{00000000-0005-0000-0000-00001F060000}"/>
    <cellStyle name="40% - Акцент1 15_Свод гостин" xfId="1569" xr:uid="{00000000-0005-0000-0000-000020060000}"/>
    <cellStyle name="40% - Акцент1 16" xfId="1570" xr:uid="{00000000-0005-0000-0000-000021060000}"/>
    <cellStyle name="40% - Акцент1 16 2" xfId="1571" xr:uid="{00000000-0005-0000-0000-000022060000}"/>
    <cellStyle name="40% - Акцент1 16_Свод гостин" xfId="1572" xr:uid="{00000000-0005-0000-0000-000023060000}"/>
    <cellStyle name="40% - Акцент1 17" xfId="1573" xr:uid="{00000000-0005-0000-0000-000024060000}"/>
    <cellStyle name="40% - Акцент1 17 2" xfId="1574" xr:uid="{00000000-0005-0000-0000-000025060000}"/>
    <cellStyle name="40% - Акцент1 17_Свод гостин" xfId="1575" xr:uid="{00000000-0005-0000-0000-000026060000}"/>
    <cellStyle name="40% - Акцент1 18" xfId="1576" xr:uid="{00000000-0005-0000-0000-000027060000}"/>
    <cellStyle name="40% - Акцент1 18 2" xfId="1577" xr:uid="{00000000-0005-0000-0000-000028060000}"/>
    <cellStyle name="40% - Акцент1 18_Свод гостин" xfId="1578" xr:uid="{00000000-0005-0000-0000-000029060000}"/>
    <cellStyle name="40% - Акцент1 19" xfId="1579" xr:uid="{00000000-0005-0000-0000-00002A060000}"/>
    <cellStyle name="40% - Акцент1 19 2" xfId="1580" xr:uid="{00000000-0005-0000-0000-00002B060000}"/>
    <cellStyle name="40% - Акцент1 19_Свод гостин" xfId="1581" xr:uid="{00000000-0005-0000-0000-00002C060000}"/>
    <cellStyle name="40% - Акцент1 2" xfId="1582" xr:uid="{00000000-0005-0000-0000-00002D060000}"/>
    <cellStyle name="40% - Акцент1 2 2" xfId="1583" xr:uid="{00000000-0005-0000-0000-00002E060000}"/>
    <cellStyle name="40% - Акцент1 2_Свод гостин" xfId="1584" xr:uid="{00000000-0005-0000-0000-00002F060000}"/>
    <cellStyle name="40% - Акцент1 20" xfId="1585" xr:uid="{00000000-0005-0000-0000-000030060000}"/>
    <cellStyle name="40% - Акцент1 20 2" xfId="1586" xr:uid="{00000000-0005-0000-0000-000031060000}"/>
    <cellStyle name="40% - Акцент1 20_Свод гостин" xfId="1587" xr:uid="{00000000-0005-0000-0000-000032060000}"/>
    <cellStyle name="40% - Акцент1 21" xfId="1588" xr:uid="{00000000-0005-0000-0000-000033060000}"/>
    <cellStyle name="40% - Акцент1 21 2" xfId="1589" xr:uid="{00000000-0005-0000-0000-000034060000}"/>
    <cellStyle name="40% - Акцент1 21_Свод гостин" xfId="1590" xr:uid="{00000000-0005-0000-0000-000035060000}"/>
    <cellStyle name="40% - Акцент1 22" xfId="1591" xr:uid="{00000000-0005-0000-0000-000036060000}"/>
    <cellStyle name="40% - Акцент1 22 2" xfId="1592" xr:uid="{00000000-0005-0000-0000-000037060000}"/>
    <cellStyle name="40% - Акцент1 22_Свод гостин" xfId="1593" xr:uid="{00000000-0005-0000-0000-000038060000}"/>
    <cellStyle name="40% - Акцент1 23" xfId="1594" xr:uid="{00000000-0005-0000-0000-000039060000}"/>
    <cellStyle name="40% - Акцент1 23 2" xfId="1595" xr:uid="{00000000-0005-0000-0000-00003A060000}"/>
    <cellStyle name="40% - Акцент1 23_Свод гостин" xfId="1596" xr:uid="{00000000-0005-0000-0000-00003B060000}"/>
    <cellStyle name="40% - Акцент1 24" xfId="1597" xr:uid="{00000000-0005-0000-0000-00003C060000}"/>
    <cellStyle name="40% - Акцент1 24 2" xfId="1598" xr:uid="{00000000-0005-0000-0000-00003D060000}"/>
    <cellStyle name="40% - Акцент1 24_Свод гостин" xfId="1599" xr:uid="{00000000-0005-0000-0000-00003E060000}"/>
    <cellStyle name="40% - Акцент1 25" xfId="1600" xr:uid="{00000000-0005-0000-0000-00003F060000}"/>
    <cellStyle name="40% - Акцент1 25 2" xfId="1601" xr:uid="{00000000-0005-0000-0000-000040060000}"/>
    <cellStyle name="40% - Акцент1 25_Свод гостин" xfId="1602" xr:uid="{00000000-0005-0000-0000-000041060000}"/>
    <cellStyle name="40% - Акцент1 26" xfId="1603" xr:uid="{00000000-0005-0000-0000-000042060000}"/>
    <cellStyle name="40% - Акцент1 26 2" xfId="1604" xr:uid="{00000000-0005-0000-0000-000043060000}"/>
    <cellStyle name="40% - Акцент1 26_Свод гостин" xfId="1605" xr:uid="{00000000-0005-0000-0000-000044060000}"/>
    <cellStyle name="40% - Акцент1 27" xfId="1606" xr:uid="{00000000-0005-0000-0000-000045060000}"/>
    <cellStyle name="40% - Акцент1 27 2" xfId="1607" xr:uid="{00000000-0005-0000-0000-000046060000}"/>
    <cellStyle name="40% - Акцент1 27_Свод гостин" xfId="1608" xr:uid="{00000000-0005-0000-0000-000047060000}"/>
    <cellStyle name="40% - Акцент1 28" xfId="1609" xr:uid="{00000000-0005-0000-0000-000048060000}"/>
    <cellStyle name="40% - Акцент1 28 2" xfId="1610" xr:uid="{00000000-0005-0000-0000-000049060000}"/>
    <cellStyle name="40% - Акцент1 28_Свод гостин" xfId="1611" xr:uid="{00000000-0005-0000-0000-00004A060000}"/>
    <cellStyle name="40% - Акцент1 29" xfId="1612" xr:uid="{00000000-0005-0000-0000-00004B060000}"/>
    <cellStyle name="40% - Акцент1 29 2" xfId="1613" xr:uid="{00000000-0005-0000-0000-00004C060000}"/>
    <cellStyle name="40% - Акцент1 29_Свод гостин" xfId="1614" xr:uid="{00000000-0005-0000-0000-00004D060000}"/>
    <cellStyle name="40% - Акцент1 3" xfId="1615" xr:uid="{00000000-0005-0000-0000-00004E060000}"/>
    <cellStyle name="40% - Акцент1 3 2" xfId="1616" xr:uid="{00000000-0005-0000-0000-00004F060000}"/>
    <cellStyle name="40% - Акцент1 3_Свод гостин" xfId="1617" xr:uid="{00000000-0005-0000-0000-000050060000}"/>
    <cellStyle name="40% - Акцент1 30" xfId="1618" xr:uid="{00000000-0005-0000-0000-000051060000}"/>
    <cellStyle name="40% - Акцент1 30 2" xfId="1619" xr:uid="{00000000-0005-0000-0000-000052060000}"/>
    <cellStyle name="40% - Акцент1 30_Свод гостин" xfId="1620" xr:uid="{00000000-0005-0000-0000-000053060000}"/>
    <cellStyle name="40% - Акцент1 31" xfId="1621" xr:uid="{00000000-0005-0000-0000-000054060000}"/>
    <cellStyle name="40% - Акцент1 31 2" xfId="1622" xr:uid="{00000000-0005-0000-0000-000055060000}"/>
    <cellStyle name="40% - Акцент1 31_Свод гостин" xfId="1623" xr:uid="{00000000-0005-0000-0000-000056060000}"/>
    <cellStyle name="40% - Акцент1 32" xfId="1624" xr:uid="{00000000-0005-0000-0000-000057060000}"/>
    <cellStyle name="40% - Акцент1 32 2" xfId="1625" xr:uid="{00000000-0005-0000-0000-000058060000}"/>
    <cellStyle name="40% - Акцент1 32_Свод гостин" xfId="1626" xr:uid="{00000000-0005-0000-0000-000059060000}"/>
    <cellStyle name="40% - Акцент1 33" xfId="1627" xr:uid="{00000000-0005-0000-0000-00005A060000}"/>
    <cellStyle name="40% - Акцент1 33 2" xfId="1628" xr:uid="{00000000-0005-0000-0000-00005B060000}"/>
    <cellStyle name="40% - Акцент1 33_Свод гостин" xfId="1629" xr:uid="{00000000-0005-0000-0000-00005C060000}"/>
    <cellStyle name="40% - Акцент1 34" xfId="1630" xr:uid="{00000000-0005-0000-0000-00005D060000}"/>
    <cellStyle name="40% - Акцент1 34 2" xfId="1631" xr:uid="{00000000-0005-0000-0000-00005E060000}"/>
    <cellStyle name="40% - Акцент1 34_Свод гостин" xfId="1632" xr:uid="{00000000-0005-0000-0000-00005F060000}"/>
    <cellStyle name="40% - Акцент1 35" xfId="1633" xr:uid="{00000000-0005-0000-0000-000060060000}"/>
    <cellStyle name="40% - Акцент1 35 2" xfId="1634" xr:uid="{00000000-0005-0000-0000-000061060000}"/>
    <cellStyle name="40% - Акцент1 35_Свод гостин" xfId="1635" xr:uid="{00000000-0005-0000-0000-000062060000}"/>
    <cellStyle name="40% - Акцент1 36" xfId="1636" xr:uid="{00000000-0005-0000-0000-000063060000}"/>
    <cellStyle name="40% - Акцент1 36 2" xfId="1637" xr:uid="{00000000-0005-0000-0000-000064060000}"/>
    <cellStyle name="40% - Акцент1 36_Свод гостин" xfId="1638" xr:uid="{00000000-0005-0000-0000-000065060000}"/>
    <cellStyle name="40% - Акцент1 37" xfId="1639" xr:uid="{00000000-0005-0000-0000-000066060000}"/>
    <cellStyle name="40% - Акцент1 37 2" xfId="1640" xr:uid="{00000000-0005-0000-0000-000067060000}"/>
    <cellStyle name="40% - Акцент1 37_Свод гостин" xfId="1641" xr:uid="{00000000-0005-0000-0000-000068060000}"/>
    <cellStyle name="40% - Акцент1 38" xfId="1642" xr:uid="{00000000-0005-0000-0000-000069060000}"/>
    <cellStyle name="40% - Акцент1 38 2" xfId="1643" xr:uid="{00000000-0005-0000-0000-00006A060000}"/>
    <cellStyle name="40% - Акцент1 38_Свод гостин" xfId="1644" xr:uid="{00000000-0005-0000-0000-00006B060000}"/>
    <cellStyle name="40% - Акцент1 39" xfId="1645" xr:uid="{00000000-0005-0000-0000-00006C060000}"/>
    <cellStyle name="40% - Акцент1 39 2" xfId="1646" xr:uid="{00000000-0005-0000-0000-00006D060000}"/>
    <cellStyle name="40% - Акцент1 39_Свод гостин" xfId="1647" xr:uid="{00000000-0005-0000-0000-00006E060000}"/>
    <cellStyle name="40% - Акцент1 4" xfId="1648" xr:uid="{00000000-0005-0000-0000-00006F060000}"/>
    <cellStyle name="40% - Акцент1 4 2" xfId="1649" xr:uid="{00000000-0005-0000-0000-000070060000}"/>
    <cellStyle name="40% - Акцент1 4_Свод гостин" xfId="1650" xr:uid="{00000000-0005-0000-0000-000071060000}"/>
    <cellStyle name="40% - Акцент1 40" xfId="1651" xr:uid="{00000000-0005-0000-0000-000072060000}"/>
    <cellStyle name="40% - Акцент1 40 2" xfId="1652" xr:uid="{00000000-0005-0000-0000-000073060000}"/>
    <cellStyle name="40% - Акцент1 40_Свод гостин" xfId="1653" xr:uid="{00000000-0005-0000-0000-000074060000}"/>
    <cellStyle name="40% - Акцент1 41" xfId="1654" xr:uid="{00000000-0005-0000-0000-000075060000}"/>
    <cellStyle name="40% - Акцент1 41 2" xfId="1655" xr:uid="{00000000-0005-0000-0000-000076060000}"/>
    <cellStyle name="40% - Акцент1 41_Свод гостин" xfId="1656" xr:uid="{00000000-0005-0000-0000-000077060000}"/>
    <cellStyle name="40% - Акцент1 42" xfId="1657" xr:uid="{00000000-0005-0000-0000-000078060000}"/>
    <cellStyle name="40% - Акцент1 42 2" xfId="1658" xr:uid="{00000000-0005-0000-0000-000079060000}"/>
    <cellStyle name="40% - Акцент1 42_Свод гостин" xfId="1659" xr:uid="{00000000-0005-0000-0000-00007A060000}"/>
    <cellStyle name="40% - Акцент1 43" xfId="1660" xr:uid="{00000000-0005-0000-0000-00007B060000}"/>
    <cellStyle name="40% - Акцент1 43 2" xfId="1661" xr:uid="{00000000-0005-0000-0000-00007C060000}"/>
    <cellStyle name="40% - Акцент1 43_Свод гостин" xfId="1662" xr:uid="{00000000-0005-0000-0000-00007D060000}"/>
    <cellStyle name="40% - Акцент1 44" xfId="1663" xr:uid="{00000000-0005-0000-0000-00007E060000}"/>
    <cellStyle name="40% - Акцент1 44 2" xfId="1664" xr:uid="{00000000-0005-0000-0000-00007F060000}"/>
    <cellStyle name="40% - Акцент1 44_Свод гостин" xfId="1665" xr:uid="{00000000-0005-0000-0000-000080060000}"/>
    <cellStyle name="40% - Акцент1 45" xfId="1666" xr:uid="{00000000-0005-0000-0000-000081060000}"/>
    <cellStyle name="40% - Акцент1 45 2" xfId="1667" xr:uid="{00000000-0005-0000-0000-000082060000}"/>
    <cellStyle name="40% - Акцент1 45_Свод гостин" xfId="1668" xr:uid="{00000000-0005-0000-0000-000083060000}"/>
    <cellStyle name="40% - Акцент1 46" xfId="1669" xr:uid="{00000000-0005-0000-0000-000084060000}"/>
    <cellStyle name="40% - Акцент1 46 2" xfId="1670" xr:uid="{00000000-0005-0000-0000-000085060000}"/>
    <cellStyle name="40% - Акцент1 46_Свод гостин" xfId="1671" xr:uid="{00000000-0005-0000-0000-000086060000}"/>
    <cellStyle name="40% - Акцент1 47" xfId="1672" xr:uid="{00000000-0005-0000-0000-000087060000}"/>
    <cellStyle name="40% - Акцент1 47 2" xfId="1673" xr:uid="{00000000-0005-0000-0000-000088060000}"/>
    <cellStyle name="40% - Акцент1 47_Свод гостин" xfId="1674" xr:uid="{00000000-0005-0000-0000-000089060000}"/>
    <cellStyle name="40% - Акцент1 48" xfId="1675" xr:uid="{00000000-0005-0000-0000-00008A060000}"/>
    <cellStyle name="40% - Акцент1 48 2" xfId="1676" xr:uid="{00000000-0005-0000-0000-00008B060000}"/>
    <cellStyle name="40% - Акцент1 48_Свод гостин" xfId="1677" xr:uid="{00000000-0005-0000-0000-00008C060000}"/>
    <cellStyle name="40% - Акцент1 49" xfId="1678" xr:uid="{00000000-0005-0000-0000-00008D060000}"/>
    <cellStyle name="40% - Акцент1 49 2" xfId="1679" xr:uid="{00000000-0005-0000-0000-00008E060000}"/>
    <cellStyle name="40% - Акцент1 49_Свод гостин" xfId="1680" xr:uid="{00000000-0005-0000-0000-00008F060000}"/>
    <cellStyle name="40% - Акцент1 5" xfId="1681" xr:uid="{00000000-0005-0000-0000-000090060000}"/>
    <cellStyle name="40% - Акцент1 5 2" xfId="1682" xr:uid="{00000000-0005-0000-0000-000091060000}"/>
    <cellStyle name="40% - Акцент1 5_Свод гостин" xfId="1683" xr:uid="{00000000-0005-0000-0000-000092060000}"/>
    <cellStyle name="40% - Акцент1 50" xfId="1684" xr:uid="{00000000-0005-0000-0000-000093060000}"/>
    <cellStyle name="40% - Акцент1 50 2" xfId="1685" xr:uid="{00000000-0005-0000-0000-000094060000}"/>
    <cellStyle name="40% - Акцент1 50_Свод гостин" xfId="1686" xr:uid="{00000000-0005-0000-0000-000095060000}"/>
    <cellStyle name="40% - Акцент1 51" xfId="1687" xr:uid="{00000000-0005-0000-0000-000096060000}"/>
    <cellStyle name="40% - Акцент1 51 2" xfId="1688" xr:uid="{00000000-0005-0000-0000-000097060000}"/>
    <cellStyle name="40% - Акцент1 51_Свод гостин" xfId="1689" xr:uid="{00000000-0005-0000-0000-000098060000}"/>
    <cellStyle name="40% - Акцент1 52" xfId="1690" xr:uid="{00000000-0005-0000-0000-000099060000}"/>
    <cellStyle name="40% - Акцент1 52 2" xfId="1691" xr:uid="{00000000-0005-0000-0000-00009A060000}"/>
    <cellStyle name="40% - Акцент1 52_Свод гостин" xfId="1692" xr:uid="{00000000-0005-0000-0000-00009B060000}"/>
    <cellStyle name="40% - Акцент1 53" xfId="1693" xr:uid="{00000000-0005-0000-0000-00009C060000}"/>
    <cellStyle name="40% - Акцент1 53 2" xfId="1694" xr:uid="{00000000-0005-0000-0000-00009D060000}"/>
    <cellStyle name="40% - Акцент1 53_Свод гостин" xfId="1695" xr:uid="{00000000-0005-0000-0000-00009E060000}"/>
    <cellStyle name="40% - Акцент1 54" xfId="1696" xr:uid="{00000000-0005-0000-0000-00009F060000}"/>
    <cellStyle name="40% - Акцент1 54 2" xfId="1697" xr:uid="{00000000-0005-0000-0000-0000A0060000}"/>
    <cellStyle name="40% - Акцент1 54_Свод гостин" xfId="1698" xr:uid="{00000000-0005-0000-0000-0000A1060000}"/>
    <cellStyle name="40% - Акцент1 55" xfId="1699" xr:uid="{00000000-0005-0000-0000-0000A2060000}"/>
    <cellStyle name="40% - Акцент1 55 2" xfId="1700" xr:uid="{00000000-0005-0000-0000-0000A3060000}"/>
    <cellStyle name="40% - Акцент1 55_Свод гостин" xfId="1701" xr:uid="{00000000-0005-0000-0000-0000A4060000}"/>
    <cellStyle name="40% - Акцент1 56" xfId="1702" xr:uid="{00000000-0005-0000-0000-0000A5060000}"/>
    <cellStyle name="40% - Акцент1 56 2" xfId="1703" xr:uid="{00000000-0005-0000-0000-0000A6060000}"/>
    <cellStyle name="40% - Акцент1 56_Свод гостин" xfId="1704" xr:uid="{00000000-0005-0000-0000-0000A7060000}"/>
    <cellStyle name="40% - Акцент1 57" xfId="1705" xr:uid="{00000000-0005-0000-0000-0000A8060000}"/>
    <cellStyle name="40% - Акцент1 57 2" xfId="1706" xr:uid="{00000000-0005-0000-0000-0000A9060000}"/>
    <cellStyle name="40% - Акцент1 57_Свод гостин" xfId="1707" xr:uid="{00000000-0005-0000-0000-0000AA060000}"/>
    <cellStyle name="40% - Акцент1 58" xfId="1708" xr:uid="{00000000-0005-0000-0000-0000AB060000}"/>
    <cellStyle name="40% - Акцент1 58 2" xfId="1709" xr:uid="{00000000-0005-0000-0000-0000AC060000}"/>
    <cellStyle name="40% - Акцент1 58_Свод гостин" xfId="1710" xr:uid="{00000000-0005-0000-0000-0000AD060000}"/>
    <cellStyle name="40% - Акцент1 59" xfId="1711" xr:uid="{00000000-0005-0000-0000-0000AE060000}"/>
    <cellStyle name="40% - Акцент1 59 2" xfId="1712" xr:uid="{00000000-0005-0000-0000-0000AF060000}"/>
    <cellStyle name="40% - Акцент1 59_Свод гостин" xfId="1713" xr:uid="{00000000-0005-0000-0000-0000B0060000}"/>
    <cellStyle name="40% - Акцент1 6" xfId="1714" xr:uid="{00000000-0005-0000-0000-0000B1060000}"/>
    <cellStyle name="40% - Акцент1 6 2" xfId="1715" xr:uid="{00000000-0005-0000-0000-0000B2060000}"/>
    <cellStyle name="40% - Акцент1 6_Свод гостин" xfId="1716" xr:uid="{00000000-0005-0000-0000-0000B3060000}"/>
    <cellStyle name="40% - Акцент1 60" xfId="1717" xr:uid="{00000000-0005-0000-0000-0000B4060000}"/>
    <cellStyle name="40% - Акцент1 60 2" xfId="1718" xr:uid="{00000000-0005-0000-0000-0000B5060000}"/>
    <cellStyle name="40% - Акцент1 60_Свод гостин" xfId="1719" xr:uid="{00000000-0005-0000-0000-0000B6060000}"/>
    <cellStyle name="40% - Акцент1 61" xfId="1720" xr:uid="{00000000-0005-0000-0000-0000B7060000}"/>
    <cellStyle name="40% - Акцент1 61 2" xfId="1721" xr:uid="{00000000-0005-0000-0000-0000B8060000}"/>
    <cellStyle name="40% - Акцент1 61_Свод гостин" xfId="1722" xr:uid="{00000000-0005-0000-0000-0000B9060000}"/>
    <cellStyle name="40% - Акцент1 62" xfId="1723" xr:uid="{00000000-0005-0000-0000-0000BA060000}"/>
    <cellStyle name="40% - Акцент1 62 2" xfId="1724" xr:uid="{00000000-0005-0000-0000-0000BB060000}"/>
    <cellStyle name="40% - Акцент1 62_Свод гостин" xfId="1725" xr:uid="{00000000-0005-0000-0000-0000BC060000}"/>
    <cellStyle name="40% - Акцент1 63" xfId="1726" xr:uid="{00000000-0005-0000-0000-0000BD060000}"/>
    <cellStyle name="40% - Акцент1 63 2" xfId="1727" xr:uid="{00000000-0005-0000-0000-0000BE060000}"/>
    <cellStyle name="40% - Акцент1 63_Свод гостин" xfId="1728" xr:uid="{00000000-0005-0000-0000-0000BF060000}"/>
    <cellStyle name="40% - Акцент1 64" xfId="1729" xr:uid="{00000000-0005-0000-0000-0000C0060000}"/>
    <cellStyle name="40% - Акцент1 64 2" xfId="1730" xr:uid="{00000000-0005-0000-0000-0000C1060000}"/>
    <cellStyle name="40% - Акцент1 64_Свод гостин" xfId="1731" xr:uid="{00000000-0005-0000-0000-0000C2060000}"/>
    <cellStyle name="40% - Акцент1 65" xfId="1732" xr:uid="{00000000-0005-0000-0000-0000C3060000}"/>
    <cellStyle name="40% - Акцент1 65 2" xfId="1733" xr:uid="{00000000-0005-0000-0000-0000C4060000}"/>
    <cellStyle name="40% - Акцент1 65_Свод гостин" xfId="1734" xr:uid="{00000000-0005-0000-0000-0000C5060000}"/>
    <cellStyle name="40% - Акцент1 66" xfId="1735" xr:uid="{00000000-0005-0000-0000-0000C6060000}"/>
    <cellStyle name="40% - Акцент1 66 2" xfId="1736" xr:uid="{00000000-0005-0000-0000-0000C7060000}"/>
    <cellStyle name="40% - Акцент1 66_Свод гостин" xfId="1737" xr:uid="{00000000-0005-0000-0000-0000C8060000}"/>
    <cellStyle name="40% - Акцент1 67" xfId="1738" xr:uid="{00000000-0005-0000-0000-0000C9060000}"/>
    <cellStyle name="40% - Акцент1 67 2" xfId="1739" xr:uid="{00000000-0005-0000-0000-0000CA060000}"/>
    <cellStyle name="40% - Акцент1 67_Свод гостин" xfId="1740" xr:uid="{00000000-0005-0000-0000-0000CB060000}"/>
    <cellStyle name="40% - Акцент1 68" xfId="1741" xr:uid="{00000000-0005-0000-0000-0000CC060000}"/>
    <cellStyle name="40% - Акцент1 68 2" xfId="1742" xr:uid="{00000000-0005-0000-0000-0000CD060000}"/>
    <cellStyle name="40% - Акцент1 68_Свод гостин" xfId="1743" xr:uid="{00000000-0005-0000-0000-0000CE060000}"/>
    <cellStyle name="40% - Акцент1 69" xfId="1744" xr:uid="{00000000-0005-0000-0000-0000CF060000}"/>
    <cellStyle name="40% - Акцент1 69 2" xfId="1745" xr:uid="{00000000-0005-0000-0000-0000D0060000}"/>
    <cellStyle name="40% - Акцент1 69_Свод гостин" xfId="1746" xr:uid="{00000000-0005-0000-0000-0000D1060000}"/>
    <cellStyle name="40% - Акцент1 7" xfId="1747" xr:uid="{00000000-0005-0000-0000-0000D2060000}"/>
    <cellStyle name="40% - Акцент1 7 2" xfId="1748" xr:uid="{00000000-0005-0000-0000-0000D3060000}"/>
    <cellStyle name="40% - Акцент1 7_Свод гостин" xfId="1749" xr:uid="{00000000-0005-0000-0000-0000D4060000}"/>
    <cellStyle name="40% - Акцент1 70" xfId="1750" xr:uid="{00000000-0005-0000-0000-0000D5060000}"/>
    <cellStyle name="40% - Акцент1 70 2" xfId="1751" xr:uid="{00000000-0005-0000-0000-0000D6060000}"/>
    <cellStyle name="40% - Акцент1 70_Свод гостин" xfId="1752" xr:uid="{00000000-0005-0000-0000-0000D7060000}"/>
    <cellStyle name="40% - Акцент1 71" xfId="1753" xr:uid="{00000000-0005-0000-0000-0000D8060000}"/>
    <cellStyle name="40% - Акцент1 71 2" xfId="1754" xr:uid="{00000000-0005-0000-0000-0000D9060000}"/>
    <cellStyle name="40% - Акцент1 71_Свод гостин" xfId="1755" xr:uid="{00000000-0005-0000-0000-0000DA060000}"/>
    <cellStyle name="40% - Акцент1 72" xfId="1756" xr:uid="{00000000-0005-0000-0000-0000DB060000}"/>
    <cellStyle name="40% - Акцент1 72 2" xfId="1757" xr:uid="{00000000-0005-0000-0000-0000DC060000}"/>
    <cellStyle name="40% - Акцент1 72_Свод гостин" xfId="1758" xr:uid="{00000000-0005-0000-0000-0000DD060000}"/>
    <cellStyle name="40% - Акцент1 73" xfId="1759" xr:uid="{00000000-0005-0000-0000-0000DE060000}"/>
    <cellStyle name="40% - Акцент1 73 2" xfId="1760" xr:uid="{00000000-0005-0000-0000-0000DF060000}"/>
    <cellStyle name="40% - Акцент1 73_Свод гостин" xfId="1761" xr:uid="{00000000-0005-0000-0000-0000E0060000}"/>
    <cellStyle name="40% - Акцент1 74" xfId="1762" xr:uid="{00000000-0005-0000-0000-0000E1060000}"/>
    <cellStyle name="40% - Акцент1 74 2" xfId="1763" xr:uid="{00000000-0005-0000-0000-0000E2060000}"/>
    <cellStyle name="40% - Акцент1 74_Свод гостин" xfId="1764" xr:uid="{00000000-0005-0000-0000-0000E3060000}"/>
    <cellStyle name="40% - Акцент1 75" xfId="1765" xr:uid="{00000000-0005-0000-0000-0000E4060000}"/>
    <cellStyle name="40% - Акцент1 75 2" xfId="1766" xr:uid="{00000000-0005-0000-0000-0000E5060000}"/>
    <cellStyle name="40% - Акцент1 75_Свод гостин" xfId="1767" xr:uid="{00000000-0005-0000-0000-0000E6060000}"/>
    <cellStyle name="40% - Акцент1 76" xfId="1768" xr:uid="{00000000-0005-0000-0000-0000E7060000}"/>
    <cellStyle name="40% - Акцент1 76 2" xfId="1769" xr:uid="{00000000-0005-0000-0000-0000E8060000}"/>
    <cellStyle name="40% - Акцент1 76_Свод гостин" xfId="1770" xr:uid="{00000000-0005-0000-0000-0000E9060000}"/>
    <cellStyle name="40% - Акцент1 77" xfId="1771" xr:uid="{00000000-0005-0000-0000-0000EA060000}"/>
    <cellStyle name="40% - Акцент1 77 2" xfId="1772" xr:uid="{00000000-0005-0000-0000-0000EB060000}"/>
    <cellStyle name="40% - Акцент1 77_Свод гостин" xfId="1773" xr:uid="{00000000-0005-0000-0000-0000EC060000}"/>
    <cellStyle name="40% - Акцент1 78" xfId="1774" xr:uid="{00000000-0005-0000-0000-0000ED060000}"/>
    <cellStyle name="40% - Акцент1 78 2" xfId="1775" xr:uid="{00000000-0005-0000-0000-0000EE060000}"/>
    <cellStyle name="40% - Акцент1 78_Свод гостин" xfId="1776" xr:uid="{00000000-0005-0000-0000-0000EF060000}"/>
    <cellStyle name="40% - Акцент1 79" xfId="1777" xr:uid="{00000000-0005-0000-0000-0000F0060000}"/>
    <cellStyle name="40% - Акцент1 79 2" xfId="1778" xr:uid="{00000000-0005-0000-0000-0000F1060000}"/>
    <cellStyle name="40% - Акцент1 79_Свод гостин" xfId="1779" xr:uid="{00000000-0005-0000-0000-0000F2060000}"/>
    <cellStyle name="40% - Акцент1 8" xfId="1780" xr:uid="{00000000-0005-0000-0000-0000F3060000}"/>
    <cellStyle name="40% - Акцент1 8 2" xfId="1781" xr:uid="{00000000-0005-0000-0000-0000F4060000}"/>
    <cellStyle name="40% - Акцент1 8_Свод гостин" xfId="1782" xr:uid="{00000000-0005-0000-0000-0000F5060000}"/>
    <cellStyle name="40% - Акцент1 80" xfId="1783" xr:uid="{00000000-0005-0000-0000-0000F6060000}"/>
    <cellStyle name="40% - Акцент1 80 2" xfId="1784" xr:uid="{00000000-0005-0000-0000-0000F7060000}"/>
    <cellStyle name="40% - Акцент1 80_Свод гостин" xfId="1785" xr:uid="{00000000-0005-0000-0000-0000F8060000}"/>
    <cellStyle name="40% - Акцент1 81" xfId="1786" xr:uid="{00000000-0005-0000-0000-0000F9060000}"/>
    <cellStyle name="40% - Акцент1 81 2" xfId="1787" xr:uid="{00000000-0005-0000-0000-0000FA060000}"/>
    <cellStyle name="40% - Акцент1 81_Свод гостин" xfId="1788" xr:uid="{00000000-0005-0000-0000-0000FB060000}"/>
    <cellStyle name="40% - Акцент1 82" xfId="1789" xr:uid="{00000000-0005-0000-0000-0000FC060000}"/>
    <cellStyle name="40% - Акцент1 82 2" xfId="1790" xr:uid="{00000000-0005-0000-0000-0000FD060000}"/>
    <cellStyle name="40% - Акцент1 82_Свод гостин" xfId="1791" xr:uid="{00000000-0005-0000-0000-0000FE060000}"/>
    <cellStyle name="40% - Акцент1 83" xfId="1792" xr:uid="{00000000-0005-0000-0000-0000FF060000}"/>
    <cellStyle name="40% - Акцент1 83 2" xfId="1793" xr:uid="{00000000-0005-0000-0000-000000070000}"/>
    <cellStyle name="40% - Акцент1 83_Свод гостин" xfId="1794" xr:uid="{00000000-0005-0000-0000-000001070000}"/>
    <cellStyle name="40% - Акцент1 9" xfId="1795" xr:uid="{00000000-0005-0000-0000-000002070000}"/>
    <cellStyle name="40% - Акцент1 9 2" xfId="1796" xr:uid="{00000000-0005-0000-0000-000003070000}"/>
    <cellStyle name="40% - Акцент1 9_Свод гостин" xfId="1797" xr:uid="{00000000-0005-0000-0000-000004070000}"/>
    <cellStyle name="40% - Акцент2 10" xfId="1798" xr:uid="{00000000-0005-0000-0000-000005070000}"/>
    <cellStyle name="40% - Акцент2 10 2" xfId="1799" xr:uid="{00000000-0005-0000-0000-000006070000}"/>
    <cellStyle name="40% - Акцент2 10_Свод гостин" xfId="1800" xr:uid="{00000000-0005-0000-0000-000007070000}"/>
    <cellStyle name="40% - Акцент2 11" xfId="1801" xr:uid="{00000000-0005-0000-0000-000008070000}"/>
    <cellStyle name="40% - Акцент2 11 2" xfId="1802" xr:uid="{00000000-0005-0000-0000-000009070000}"/>
    <cellStyle name="40% - Акцент2 11_Свод гостин" xfId="1803" xr:uid="{00000000-0005-0000-0000-00000A070000}"/>
    <cellStyle name="40% - Акцент2 12" xfId="1804" xr:uid="{00000000-0005-0000-0000-00000B070000}"/>
    <cellStyle name="40% - Акцент2 12 2" xfId="1805" xr:uid="{00000000-0005-0000-0000-00000C070000}"/>
    <cellStyle name="40% - Акцент2 12_Свод гостин" xfId="1806" xr:uid="{00000000-0005-0000-0000-00000D070000}"/>
    <cellStyle name="40% - Акцент2 13" xfId="1807" xr:uid="{00000000-0005-0000-0000-00000E070000}"/>
    <cellStyle name="40% - Акцент2 13 2" xfId="1808" xr:uid="{00000000-0005-0000-0000-00000F070000}"/>
    <cellStyle name="40% - Акцент2 13_Свод гостин" xfId="1809" xr:uid="{00000000-0005-0000-0000-000010070000}"/>
    <cellStyle name="40% - Акцент2 14" xfId="1810" xr:uid="{00000000-0005-0000-0000-000011070000}"/>
    <cellStyle name="40% - Акцент2 14 2" xfId="1811" xr:uid="{00000000-0005-0000-0000-000012070000}"/>
    <cellStyle name="40% - Акцент2 14_Свод гостин" xfId="1812" xr:uid="{00000000-0005-0000-0000-000013070000}"/>
    <cellStyle name="40% - Акцент2 15" xfId="1813" xr:uid="{00000000-0005-0000-0000-000014070000}"/>
    <cellStyle name="40% - Акцент2 15 2" xfId="1814" xr:uid="{00000000-0005-0000-0000-000015070000}"/>
    <cellStyle name="40% - Акцент2 15_Свод гостин" xfId="1815" xr:uid="{00000000-0005-0000-0000-000016070000}"/>
    <cellStyle name="40% - Акцент2 16" xfId="1816" xr:uid="{00000000-0005-0000-0000-000017070000}"/>
    <cellStyle name="40% - Акцент2 16 2" xfId="1817" xr:uid="{00000000-0005-0000-0000-000018070000}"/>
    <cellStyle name="40% - Акцент2 16_Свод гостин" xfId="1818" xr:uid="{00000000-0005-0000-0000-000019070000}"/>
    <cellStyle name="40% - Акцент2 17" xfId="1819" xr:uid="{00000000-0005-0000-0000-00001A070000}"/>
    <cellStyle name="40% - Акцент2 17 2" xfId="1820" xr:uid="{00000000-0005-0000-0000-00001B070000}"/>
    <cellStyle name="40% - Акцент2 17_Свод гостин" xfId="1821" xr:uid="{00000000-0005-0000-0000-00001C070000}"/>
    <cellStyle name="40% - Акцент2 18" xfId="1822" xr:uid="{00000000-0005-0000-0000-00001D070000}"/>
    <cellStyle name="40% - Акцент2 18 2" xfId="1823" xr:uid="{00000000-0005-0000-0000-00001E070000}"/>
    <cellStyle name="40% - Акцент2 18_Свод гостин" xfId="1824" xr:uid="{00000000-0005-0000-0000-00001F070000}"/>
    <cellStyle name="40% - Акцент2 19" xfId="1825" xr:uid="{00000000-0005-0000-0000-000020070000}"/>
    <cellStyle name="40% - Акцент2 19 2" xfId="1826" xr:uid="{00000000-0005-0000-0000-000021070000}"/>
    <cellStyle name="40% - Акцент2 19_Свод гостин" xfId="1827" xr:uid="{00000000-0005-0000-0000-000022070000}"/>
    <cellStyle name="40% - Акцент2 2" xfId="1828" xr:uid="{00000000-0005-0000-0000-000023070000}"/>
    <cellStyle name="40% - Акцент2 2 2" xfId="1829" xr:uid="{00000000-0005-0000-0000-000024070000}"/>
    <cellStyle name="40% - Акцент2 2_Свод гостин" xfId="1830" xr:uid="{00000000-0005-0000-0000-000025070000}"/>
    <cellStyle name="40% - Акцент2 20" xfId="1831" xr:uid="{00000000-0005-0000-0000-000026070000}"/>
    <cellStyle name="40% - Акцент2 20 2" xfId="1832" xr:uid="{00000000-0005-0000-0000-000027070000}"/>
    <cellStyle name="40% - Акцент2 20_Свод гостин" xfId="1833" xr:uid="{00000000-0005-0000-0000-000028070000}"/>
    <cellStyle name="40% - Акцент2 21" xfId="1834" xr:uid="{00000000-0005-0000-0000-000029070000}"/>
    <cellStyle name="40% - Акцент2 21 2" xfId="1835" xr:uid="{00000000-0005-0000-0000-00002A070000}"/>
    <cellStyle name="40% - Акцент2 21_Свод гостин" xfId="1836" xr:uid="{00000000-0005-0000-0000-00002B070000}"/>
    <cellStyle name="40% - Акцент2 22" xfId="1837" xr:uid="{00000000-0005-0000-0000-00002C070000}"/>
    <cellStyle name="40% - Акцент2 22 2" xfId="1838" xr:uid="{00000000-0005-0000-0000-00002D070000}"/>
    <cellStyle name="40% - Акцент2 22_Свод гостин" xfId="1839" xr:uid="{00000000-0005-0000-0000-00002E070000}"/>
    <cellStyle name="40% - Акцент2 23" xfId="1840" xr:uid="{00000000-0005-0000-0000-00002F070000}"/>
    <cellStyle name="40% - Акцент2 23 2" xfId="1841" xr:uid="{00000000-0005-0000-0000-000030070000}"/>
    <cellStyle name="40% - Акцент2 23_Свод гостин" xfId="1842" xr:uid="{00000000-0005-0000-0000-000031070000}"/>
    <cellStyle name="40% - Акцент2 24" xfId="1843" xr:uid="{00000000-0005-0000-0000-000032070000}"/>
    <cellStyle name="40% - Акцент2 24 2" xfId="1844" xr:uid="{00000000-0005-0000-0000-000033070000}"/>
    <cellStyle name="40% - Акцент2 24_Свод гостин" xfId="1845" xr:uid="{00000000-0005-0000-0000-000034070000}"/>
    <cellStyle name="40% - Акцент2 25" xfId="1846" xr:uid="{00000000-0005-0000-0000-000035070000}"/>
    <cellStyle name="40% - Акцент2 25 2" xfId="1847" xr:uid="{00000000-0005-0000-0000-000036070000}"/>
    <cellStyle name="40% - Акцент2 25_Свод гостин" xfId="1848" xr:uid="{00000000-0005-0000-0000-000037070000}"/>
    <cellStyle name="40% - Акцент2 26" xfId="1849" xr:uid="{00000000-0005-0000-0000-000038070000}"/>
    <cellStyle name="40% - Акцент2 26 2" xfId="1850" xr:uid="{00000000-0005-0000-0000-000039070000}"/>
    <cellStyle name="40% - Акцент2 26_Свод гостин" xfId="1851" xr:uid="{00000000-0005-0000-0000-00003A070000}"/>
    <cellStyle name="40% - Акцент2 27" xfId="1852" xr:uid="{00000000-0005-0000-0000-00003B070000}"/>
    <cellStyle name="40% - Акцент2 27 2" xfId="1853" xr:uid="{00000000-0005-0000-0000-00003C070000}"/>
    <cellStyle name="40% - Акцент2 27_Свод гостин" xfId="1854" xr:uid="{00000000-0005-0000-0000-00003D070000}"/>
    <cellStyle name="40% - Акцент2 28" xfId="1855" xr:uid="{00000000-0005-0000-0000-00003E070000}"/>
    <cellStyle name="40% - Акцент2 28 2" xfId="1856" xr:uid="{00000000-0005-0000-0000-00003F070000}"/>
    <cellStyle name="40% - Акцент2 28_Свод гостин" xfId="1857" xr:uid="{00000000-0005-0000-0000-000040070000}"/>
    <cellStyle name="40% - Акцент2 29" xfId="1858" xr:uid="{00000000-0005-0000-0000-000041070000}"/>
    <cellStyle name="40% - Акцент2 29 2" xfId="1859" xr:uid="{00000000-0005-0000-0000-000042070000}"/>
    <cellStyle name="40% - Акцент2 29_Свод гостин" xfId="1860" xr:uid="{00000000-0005-0000-0000-000043070000}"/>
    <cellStyle name="40% - Акцент2 3" xfId="1861" xr:uid="{00000000-0005-0000-0000-000044070000}"/>
    <cellStyle name="40% - Акцент2 3 2" xfId="1862" xr:uid="{00000000-0005-0000-0000-000045070000}"/>
    <cellStyle name="40% - Акцент2 3_Свод гостин" xfId="1863" xr:uid="{00000000-0005-0000-0000-000046070000}"/>
    <cellStyle name="40% - Акцент2 30" xfId="1864" xr:uid="{00000000-0005-0000-0000-000047070000}"/>
    <cellStyle name="40% - Акцент2 30 2" xfId="1865" xr:uid="{00000000-0005-0000-0000-000048070000}"/>
    <cellStyle name="40% - Акцент2 30_Свод гостин" xfId="1866" xr:uid="{00000000-0005-0000-0000-000049070000}"/>
    <cellStyle name="40% - Акцент2 31" xfId="1867" xr:uid="{00000000-0005-0000-0000-00004A070000}"/>
    <cellStyle name="40% - Акцент2 31 2" xfId="1868" xr:uid="{00000000-0005-0000-0000-00004B070000}"/>
    <cellStyle name="40% - Акцент2 31_Свод гостин" xfId="1869" xr:uid="{00000000-0005-0000-0000-00004C070000}"/>
    <cellStyle name="40% - Акцент2 32" xfId="1870" xr:uid="{00000000-0005-0000-0000-00004D070000}"/>
    <cellStyle name="40% - Акцент2 32 2" xfId="1871" xr:uid="{00000000-0005-0000-0000-00004E070000}"/>
    <cellStyle name="40% - Акцент2 32_Свод гостин" xfId="1872" xr:uid="{00000000-0005-0000-0000-00004F070000}"/>
    <cellStyle name="40% - Акцент2 33" xfId="1873" xr:uid="{00000000-0005-0000-0000-000050070000}"/>
    <cellStyle name="40% - Акцент2 33 2" xfId="1874" xr:uid="{00000000-0005-0000-0000-000051070000}"/>
    <cellStyle name="40% - Акцент2 33_Свод гостин" xfId="1875" xr:uid="{00000000-0005-0000-0000-000052070000}"/>
    <cellStyle name="40% - Акцент2 34" xfId="1876" xr:uid="{00000000-0005-0000-0000-000053070000}"/>
    <cellStyle name="40% - Акцент2 34 2" xfId="1877" xr:uid="{00000000-0005-0000-0000-000054070000}"/>
    <cellStyle name="40% - Акцент2 34_Свод гостин" xfId="1878" xr:uid="{00000000-0005-0000-0000-000055070000}"/>
    <cellStyle name="40% - Акцент2 35" xfId="1879" xr:uid="{00000000-0005-0000-0000-000056070000}"/>
    <cellStyle name="40% - Акцент2 35 2" xfId="1880" xr:uid="{00000000-0005-0000-0000-000057070000}"/>
    <cellStyle name="40% - Акцент2 35_Свод гостин" xfId="1881" xr:uid="{00000000-0005-0000-0000-000058070000}"/>
    <cellStyle name="40% - Акцент2 36" xfId="1882" xr:uid="{00000000-0005-0000-0000-000059070000}"/>
    <cellStyle name="40% - Акцент2 36 2" xfId="1883" xr:uid="{00000000-0005-0000-0000-00005A070000}"/>
    <cellStyle name="40% - Акцент2 36_Свод гостин" xfId="1884" xr:uid="{00000000-0005-0000-0000-00005B070000}"/>
    <cellStyle name="40% - Акцент2 37" xfId="1885" xr:uid="{00000000-0005-0000-0000-00005C070000}"/>
    <cellStyle name="40% - Акцент2 37 2" xfId="1886" xr:uid="{00000000-0005-0000-0000-00005D070000}"/>
    <cellStyle name="40% - Акцент2 37_Свод гостин" xfId="1887" xr:uid="{00000000-0005-0000-0000-00005E070000}"/>
    <cellStyle name="40% - Акцент2 38" xfId="1888" xr:uid="{00000000-0005-0000-0000-00005F070000}"/>
    <cellStyle name="40% - Акцент2 38 2" xfId="1889" xr:uid="{00000000-0005-0000-0000-000060070000}"/>
    <cellStyle name="40% - Акцент2 38_Свод гостин" xfId="1890" xr:uid="{00000000-0005-0000-0000-000061070000}"/>
    <cellStyle name="40% - Акцент2 39" xfId="1891" xr:uid="{00000000-0005-0000-0000-000062070000}"/>
    <cellStyle name="40% - Акцент2 39 2" xfId="1892" xr:uid="{00000000-0005-0000-0000-000063070000}"/>
    <cellStyle name="40% - Акцент2 39_Свод гостин" xfId="1893" xr:uid="{00000000-0005-0000-0000-000064070000}"/>
    <cellStyle name="40% - Акцент2 4" xfId="1894" xr:uid="{00000000-0005-0000-0000-000065070000}"/>
    <cellStyle name="40% - Акцент2 4 2" xfId="1895" xr:uid="{00000000-0005-0000-0000-000066070000}"/>
    <cellStyle name="40% - Акцент2 4_Свод гостин" xfId="1896" xr:uid="{00000000-0005-0000-0000-000067070000}"/>
    <cellStyle name="40% - Акцент2 40" xfId="1897" xr:uid="{00000000-0005-0000-0000-000068070000}"/>
    <cellStyle name="40% - Акцент2 40 2" xfId="1898" xr:uid="{00000000-0005-0000-0000-000069070000}"/>
    <cellStyle name="40% - Акцент2 40_Свод гостин" xfId="1899" xr:uid="{00000000-0005-0000-0000-00006A070000}"/>
    <cellStyle name="40% - Акцент2 41" xfId="1900" xr:uid="{00000000-0005-0000-0000-00006B070000}"/>
    <cellStyle name="40% - Акцент2 41 2" xfId="1901" xr:uid="{00000000-0005-0000-0000-00006C070000}"/>
    <cellStyle name="40% - Акцент2 41_Свод гостин" xfId="1902" xr:uid="{00000000-0005-0000-0000-00006D070000}"/>
    <cellStyle name="40% - Акцент2 42" xfId="1903" xr:uid="{00000000-0005-0000-0000-00006E070000}"/>
    <cellStyle name="40% - Акцент2 42 2" xfId="1904" xr:uid="{00000000-0005-0000-0000-00006F070000}"/>
    <cellStyle name="40% - Акцент2 42_Свод гостин" xfId="1905" xr:uid="{00000000-0005-0000-0000-000070070000}"/>
    <cellStyle name="40% - Акцент2 43" xfId="1906" xr:uid="{00000000-0005-0000-0000-000071070000}"/>
    <cellStyle name="40% - Акцент2 43 2" xfId="1907" xr:uid="{00000000-0005-0000-0000-000072070000}"/>
    <cellStyle name="40% - Акцент2 43_Свод гостин" xfId="1908" xr:uid="{00000000-0005-0000-0000-000073070000}"/>
    <cellStyle name="40% - Акцент2 44" xfId="1909" xr:uid="{00000000-0005-0000-0000-000074070000}"/>
    <cellStyle name="40% - Акцент2 44 2" xfId="1910" xr:uid="{00000000-0005-0000-0000-000075070000}"/>
    <cellStyle name="40% - Акцент2 44_Свод гостин" xfId="1911" xr:uid="{00000000-0005-0000-0000-000076070000}"/>
    <cellStyle name="40% - Акцент2 45" xfId="1912" xr:uid="{00000000-0005-0000-0000-000077070000}"/>
    <cellStyle name="40% - Акцент2 45 2" xfId="1913" xr:uid="{00000000-0005-0000-0000-000078070000}"/>
    <cellStyle name="40% - Акцент2 45_Свод гостин" xfId="1914" xr:uid="{00000000-0005-0000-0000-000079070000}"/>
    <cellStyle name="40% - Акцент2 46" xfId="1915" xr:uid="{00000000-0005-0000-0000-00007A070000}"/>
    <cellStyle name="40% - Акцент2 46 2" xfId="1916" xr:uid="{00000000-0005-0000-0000-00007B070000}"/>
    <cellStyle name="40% - Акцент2 46_Свод гостин" xfId="1917" xr:uid="{00000000-0005-0000-0000-00007C070000}"/>
    <cellStyle name="40% - Акцент2 47" xfId="1918" xr:uid="{00000000-0005-0000-0000-00007D070000}"/>
    <cellStyle name="40% - Акцент2 47 2" xfId="1919" xr:uid="{00000000-0005-0000-0000-00007E070000}"/>
    <cellStyle name="40% - Акцент2 47_Свод гостин" xfId="1920" xr:uid="{00000000-0005-0000-0000-00007F070000}"/>
    <cellStyle name="40% - Акцент2 48" xfId="1921" xr:uid="{00000000-0005-0000-0000-000080070000}"/>
    <cellStyle name="40% - Акцент2 48 2" xfId="1922" xr:uid="{00000000-0005-0000-0000-000081070000}"/>
    <cellStyle name="40% - Акцент2 48_Свод гостин" xfId="1923" xr:uid="{00000000-0005-0000-0000-000082070000}"/>
    <cellStyle name="40% - Акцент2 49" xfId="1924" xr:uid="{00000000-0005-0000-0000-000083070000}"/>
    <cellStyle name="40% - Акцент2 49 2" xfId="1925" xr:uid="{00000000-0005-0000-0000-000084070000}"/>
    <cellStyle name="40% - Акцент2 49_Свод гостин" xfId="1926" xr:uid="{00000000-0005-0000-0000-000085070000}"/>
    <cellStyle name="40% - Акцент2 5" xfId="1927" xr:uid="{00000000-0005-0000-0000-000086070000}"/>
    <cellStyle name="40% - Акцент2 5 2" xfId="1928" xr:uid="{00000000-0005-0000-0000-000087070000}"/>
    <cellStyle name="40% - Акцент2 5_Свод гостин" xfId="1929" xr:uid="{00000000-0005-0000-0000-000088070000}"/>
    <cellStyle name="40% - Акцент2 50" xfId="1930" xr:uid="{00000000-0005-0000-0000-000089070000}"/>
    <cellStyle name="40% - Акцент2 50 2" xfId="1931" xr:uid="{00000000-0005-0000-0000-00008A070000}"/>
    <cellStyle name="40% - Акцент2 50_Свод гостин" xfId="1932" xr:uid="{00000000-0005-0000-0000-00008B070000}"/>
    <cellStyle name="40% - Акцент2 51" xfId="1933" xr:uid="{00000000-0005-0000-0000-00008C070000}"/>
    <cellStyle name="40% - Акцент2 51 2" xfId="1934" xr:uid="{00000000-0005-0000-0000-00008D070000}"/>
    <cellStyle name="40% - Акцент2 51_Свод гостин" xfId="1935" xr:uid="{00000000-0005-0000-0000-00008E070000}"/>
    <cellStyle name="40% - Акцент2 52" xfId="1936" xr:uid="{00000000-0005-0000-0000-00008F070000}"/>
    <cellStyle name="40% - Акцент2 52 2" xfId="1937" xr:uid="{00000000-0005-0000-0000-000090070000}"/>
    <cellStyle name="40% - Акцент2 52_Свод гостин" xfId="1938" xr:uid="{00000000-0005-0000-0000-000091070000}"/>
    <cellStyle name="40% - Акцент2 53" xfId="1939" xr:uid="{00000000-0005-0000-0000-000092070000}"/>
    <cellStyle name="40% - Акцент2 53 2" xfId="1940" xr:uid="{00000000-0005-0000-0000-000093070000}"/>
    <cellStyle name="40% - Акцент2 53_Свод гостин" xfId="1941" xr:uid="{00000000-0005-0000-0000-000094070000}"/>
    <cellStyle name="40% - Акцент2 54" xfId="1942" xr:uid="{00000000-0005-0000-0000-000095070000}"/>
    <cellStyle name="40% - Акцент2 54 2" xfId="1943" xr:uid="{00000000-0005-0000-0000-000096070000}"/>
    <cellStyle name="40% - Акцент2 54_Свод гостин" xfId="1944" xr:uid="{00000000-0005-0000-0000-000097070000}"/>
    <cellStyle name="40% - Акцент2 55" xfId="1945" xr:uid="{00000000-0005-0000-0000-000098070000}"/>
    <cellStyle name="40% - Акцент2 55 2" xfId="1946" xr:uid="{00000000-0005-0000-0000-000099070000}"/>
    <cellStyle name="40% - Акцент2 55_Свод гостин" xfId="1947" xr:uid="{00000000-0005-0000-0000-00009A070000}"/>
    <cellStyle name="40% - Акцент2 56" xfId="1948" xr:uid="{00000000-0005-0000-0000-00009B070000}"/>
    <cellStyle name="40% - Акцент2 56 2" xfId="1949" xr:uid="{00000000-0005-0000-0000-00009C070000}"/>
    <cellStyle name="40% - Акцент2 56_Свод гостин" xfId="1950" xr:uid="{00000000-0005-0000-0000-00009D070000}"/>
    <cellStyle name="40% - Акцент2 57" xfId="1951" xr:uid="{00000000-0005-0000-0000-00009E070000}"/>
    <cellStyle name="40% - Акцент2 57 2" xfId="1952" xr:uid="{00000000-0005-0000-0000-00009F070000}"/>
    <cellStyle name="40% - Акцент2 57_Свод гостин" xfId="1953" xr:uid="{00000000-0005-0000-0000-0000A0070000}"/>
    <cellStyle name="40% - Акцент2 58" xfId="1954" xr:uid="{00000000-0005-0000-0000-0000A1070000}"/>
    <cellStyle name="40% - Акцент2 58 2" xfId="1955" xr:uid="{00000000-0005-0000-0000-0000A2070000}"/>
    <cellStyle name="40% - Акцент2 58_Свод гостин" xfId="1956" xr:uid="{00000000-0005-0000-0000-0000A3070000}"/>
    <cellStyle name="40% - Акцент2 59" xfId="1957" xr:uid="{00000000-0005-0000-0000-0000A4070000}"/>
    <cellStyle name="40% - Акцент2 59 2" xfId="1958" xr:uid="{00000000-0005-0000-0000-0000A5070000}"/>
    <cellStyle name="40% - Акцент2 59_Свод гостин" xfId="1959" xr:uid="{00000000-0005-0000-0000-0000A6070000}"/>
    <cellStyle name="40% - Акцент2 6" xfId="1960" xr:uid="{00000000-0005-0000-0000-0000A7070000}"/>
    <cellStyle name="40% - Акцент2 6 2" xfId="1961" xr:uid="{00000000-0005-0000-0000-0000A8070000}"/>
    <cellStyle name="40% - Акцент2 6_Свод гостин" xfId="1962" xr:uid="{00000000-0005-0000-0000-0000A9070000}"/>
    <cellStyle name="40% - Акцент2 60" xfId="1963" xr:uid="{00000000-0005-0000-0000-0000AA070000}"/>
    <cellStyle name="40% - Акцент2 60 2" xfId="1964" xr:uid="{00000000-0005-0000-0000-0000AB070000}"/>
    <cellStyle name="40% - Акцент2 60_Свод гостин" xfId="1965" xr:uid="{00000000-0005-0000-0000-0000AC070000}"/>
    <cellStyle name="40% - Акцент2 61" xfId="1966" xr:uid="{00000000-0005-0000-0000-0000AD070000}"/>
    <cellStyle name="40% - Акцент2 61 2" xfId="1967" xr:uid="{00000000-0005-0000-0000-0000AE070000}"/>
    <cellStyle name="40% - Акцент2 61_Свод гостин" xfId="1968" xr:uid="{00000000-0005-0000-0000-0000AF070000}"/>
    <cellStyle name="40% - Акцент2 62" xfId="1969" xr:uid="{00000000-0005-0000-0000-0000B0070000}"/>
    <cellStyle name="40% - Акцент2 62 2" xfId="1970" xr:uid="{00000000-0005-0000-0000-0000B1070000}"/>
    <cellStyle name="40% - Акцент2 62_Свод гостин" xfId="1971" xr:uid="{00000000-0005-0000-0000-0000B2070000}"/>
    <cellStyle name="40% - Акцент2 63" xfId="1972" xr:uid="{00000000-0005-0000-0000-0000B3070000}"/>
    <cellStyle name="40% - Акцент2 63 2" xfId="1973" xr:uid="{00000000-0005-0000-0000-0000B4070000}"/>
    <cellStyle name="40% - Акцент2 63_Свод гостин" xfId="1974" xr:uid="{00000000-0005-0000-0000-0000B5070000}"/>
    <cellStyle name="40% - Акцент2 64" xfId="1975" xr:uid="{00000000-0005-0000-0000-0000B6070000}"/>
    <cellStyle name="40% - Акцент2 64 2" xfId="1976" xr:uid="{00000000-0005-0000-0000-0000B7070000}"/>
    <cellStyle name="40% - Акцент2 64_Свод гостин" xfId="1977" xr:uid="{00000000-0005-0000-0000-0000B8070000}"/>
    <cellStyle name="40% - Акцент2 65" xfId="1978" xr:uid="{00000000-0005-0000-0000-0000B9070000}"/>
    <cellStyle name="40% - Акцент2 65 2" xfId="1979" xr:uid="{00000000-0005-0000-0000-0000BA070000}"/>
    <cellStyle name="40% - Акцент2 65_Свод гостин" xfId="1980" xr:uid="{00000000-0005-0000-0000-0000BB070000}"/>
    <cellStyle name="40% - Акцент2 66" xfId="1981" xr:uid="{00000000-0005-0000-0000-0000BC070000}"/>
    <cellStyle name="40% - Акцент2 66 2" xfId="1982" xr:uid="{00000000-0005-0000-0000-0000BD070000}"/>
    <cellStyle name="40% - Акцент2 66_Свод гостин" xfId="1983" xr:uid="{00000000-0005-0000-0000-0000BE070000}"/>
    <cellStyle name="40% - Акцент2 67" xfId="1984" xr:uid="{00000000-0005-0000-0000-0000BF070000}"/>
    <cellStyle name="40% - Акцент2 67 2" xfId="1985" xr:uid="{00000000-0005-0000-0000-0000C0070000}"/>
    <cellStyle name="40% - Акцент2 67_Свод гостин" xfId="1986" xr:uid="{00000000-0005-0000-0000-0000C1070000}"/>
    <cellStyle name="40% - Акцент2 68" xfId="1987" xr:uid="{00000000-0005-0000-0000-0000C2070000}"/>
    <cellStyle name="40% - Акцент2 68 2" xfId="1988" xr:uid="{00000000-0005-0000-0000-0000C3070000}"/>
    <cellStyle name="40% - Акцент2 68_Свод гостин" xfId="1989" xr:uid="{00000000-0005-0000-0000-0000C4070000}"/>
    <cellStyle name="40% - Акцент2 69" xfId="1990" xr:uid="{00000000-0005-0000-0000-0000C5070000}"/>
    <cellStyle name="40% - Акцент2 69 2" xfId="1991" xr:uid="{00000000-0005-0000-0000-0000C6070000}"/>
    <cellStyle name="40% - Акцент2 69_Свод гостин" xfId="1992" xr:uid="{00000000-0005-0000-0000-0000C7070000}"/>
    <cellStyle name="40% - Акцент2 7" xfId="1993" xr:uid="{00000000-0005-0000-0000-0000C8070000}"/>
    <cellStyle name="40% - Акцент2 7 2" xfId="1994" xr:uid="{00000000-0005-0000-0000-0000C9070000}"/>
    <cellStyle name="40% - Акцент2 7_Свод гостин" xfId="1995" xr:uid="{00000000-0005-0000-0000-0000CA070000}"/>
    <cellStyle name="40% - Акцент2 70" xfId="1996" xr:uid="{00000000-0005-0000-0000-0000CB070000}"/>
    <cellStyle name="40% - Акцент2 70 2" xfId="1997" xr:uid="{00000000-0005-0000-0000-0000CC070000}"/>
    <cellStyle name="40% - Акцент2 70_Свод гостин" xfId="1998" xr:uid="{00000000-0005-0000-0000-0000CD070000}"/>
    <cellStyle name="40% - Акцент2 71" xfId="1999" xr:uid="{00000000-0005-0000-0000-0000CE070000}"/>
    <cellStyle name="40% - Акцент2 71 2" xfId="2000" xr:uid="{00000000-0005-0000-0000-0000CF070000}"/>
    <cellStyle name="40% - Акцент2 71_Свод гостин" xfId="2001" xr:uid="{00000000-0005-0000-0000-0000D0070000}"/>
    <cellStyle name="40% - Акцент2 72" xfId="2002" xr:uid="{00000000-0005-0000-0000-0000D1070000}"/>
    <cellStyle name="40% - Акцент2 72 2" xfId="2003" xr:uid="{00000000-0005-0000-0000-0000D2070000}"/>
    <cellStyle name="40% - Акцент2 72_Свод гостин" xfId="2004" xr:uid="{00000000-0005-0000-0000-0000D3070000}"/>
    <cellStyle name="40% - Акцент2 73" xfId="2005" xr:uid="{00000000-0005-0000-0000-0000D4070000}"/>
    <cellStyle name="40% - Акцент2 73 2" xfId="2006" xr:uid="{00000000-0005-0000-0000-0000D5070000}"/>
    <cellStyle name="40% - Акцент2 73_Свод гостин" xfId="2007" xr:uid="{00000000-0005-0000-0000-0000D6070000}"/>
    <cellStyle name="40% - Акцент2 74" xfId="2008" xr:uid="{00000000-0005-0000-0000-0000D7070000}"/>
    <cellStyle name="40% - Акцент2 74 2" xfId="2009" xr:uid="{00000000-0005-0000-0000-0000D8070000}"/>
    <cellStyle name="40% - Акцент2 74_Свод гостин" xfId="2010" xr:uid="{00000000-0005-0000-0000-0000D9070000}"/>
    <cellStyle name="40% - Акцент2 75" xfId="2011" xr:uid="{00000000-0005-0000-0000-0000DA070000}"/>
    <cellStyle name="40% - Акцент2 75 2" xfId="2012" xr:uid="{00000000-0005-0000-0000-0000DB070000}"/>
    <cellStyle name="40% - Акцент2 75_Свод гостин" xfId="2013" xr:uid="{00000000-0005-0000-0000-0000DC070000}"/>
    <cellStyle name="40% - Акцент2 76" xfId="2014" xr:uid="{00000000-0005-0000-0000-0000DD070000}"/>
    <cellStyle name="40% - Акцент2 76 2" xfId="2015" xr:uid="{00000000-0005-0000-0000-0000DE070000}"/>
    <cellStyle name="40% - Акцент2 76_Свод гостин" xfId="2016" xr:uid="{00000000-0005-0000-0000-0000DF070000}"/>
    <cellStyle name="40% - Акцент2 77" xfId="2017" xr:uid="{00000000-0005-0000-0000-0000E0070000}"/>
    <cellStyle name="40% - Акцент2 77 2" xfId="2018" xr:uid="{00000000-0005-0000-0000-0000E1070000}"/>
    <cellStyle name="40% - Акцент2 77_Свод гостин" xfId="2019" xr:uid="{00000000-0005-0000-0000-0000E2070000}"/>
    <cellStyle name="40% - Акцент2 78" xfId="2020" xr:uid="{00000000-0005-0000-0000-0000E3070000}"/>
    <cellStyle name="40% - Акцент2 78 2" xfId="2021" xr:uid="{00000000-0005-0000-0000-0000E4070000}"/>
    <cellStyle name="40% - Акцент2 78_Свод гостин" xfId="2022" xr:uid="{00000000-0005-0000-0000-0000E5070000}"/>
    <cellStyle name="40% - Акцент2 79" xfId="2023" xr:uid="{00000000-0005-0000-0000-0000E6070000}"/>
    <cellStyle name="40% - Акцент2 79 2" xfId="2024" xr:uid="{00000000-0005-0000-0000-0000E7070000}"/>
    <cellStyle name="40% - Акцент2 79_Свод гостин" xfId="2025" xr:uid="{00000000-0005-0000-0000-0000E8070000}"/>
    <cellStyle name="40% - Акцент2 8" xfId="2026" xr:uid="{00000000-0005-0000-0000-0000E9070000}"/>
    <cellStyle name="40% - Акцент2 8 2" xfId="2027" xr:uid="{00000000-0005-0000-0000-0000EA070000}"/>
    <cellStyle name="40% - Акцент2 8_Свод гостин" xfId="2028" xr:uid="{00000000-0005-0000-0000-0000EB070000}"/>
    <cellStyle name="40% - Акцент2 80" xfId="2029" xr:uid="{00000000-0005-0000-0000-0000EC070000}"/>
    <cellStyle name="40% - Акцент2 80 2" xfId="2030" xr:uid="{00000000-0005-0000-0000-0000ED070000}"/>
    <cellStyle name="40% - Акцент2 80_Свод гостин" xfId="2031" xr:uid="{00000000-0005-0000-0000-0000EE070000}"/>
    <cellStyle name="40% - Акцент2 81" xfId="2032" xr:uid="{00000000-0005-0000-0000-0000EF070000}"/>
    <cellStyle name="40% - Акцент2 81 2" xfId="2033" xr:uid="{00000000-0005-0000-0000-0000F0070000}"/>
    <cellStyle name="40% - Акцент2 81_Свод гостин" xfId="2034" xr:uid="{00000000-0005-0000-0000-0000F1070000}"/>
    <cellStyle name="40% - Акцент2 82" xfId="2035" xr:uid="{00000000-0005-0000-0000-0000F2070000}"/>
    <cellStyle name="40% - Акцент2 82 2" xfId="2036" xr:uid="{00000000-0005-0000-0000-0000F3070000}"/>
    <cellStyle name="40% - Акцент2 82_Свод гостин" xfId="2037" xr:uid="{00000000-0005-0000-0000-0000F4070000}"/>
    <cellStyle name="40% - Акцент2 83" xfId="2038" xr:uid="{00000000-0005-0000-0000-0000F5070000}"/>
    <cellStyle name="40% - Акцент2 83 2" xfId="2039" xr:uid="{00000000-0005-0000-0000-0000F6070000}"/>
    <cellStyle name="40% - Акцент2 83_Свод гостин" xfId="2040" xr:uid="{00000000-0005-0000-0000-0000F7070000}"/>
    <cellStyle name="40% - Акцент2 9" xfId="2041" xr:uid="{00000000-0005-0000-0000-0000F8070000}"/>
    <cellStyle name="40% - Акцент2 9 2" xfId="2042" xr:uid="{00000000-0005-0000-0000-0000F9070000}"/>
    <cellStyle name="40% - Акцент2 9_Свод гостин" xfId="2043" xr:uid="{00000000-0005-0000-0000-0000FA070000}"/>
    <cellStyle name="40% - Акцент3 10" xfId="2044" xr:uid="{00000000-0005-0000-0000-0000FB070000}"/>
    <cellStyle name="40% - Акцент3 10 2" xfId="2045" xr:uid="{00000000-0005-0000-0000-0000FC070000}"/>
    <cellStyle name="40% - Акцент3 10_Свод гостин" xfId="2046" xr:uid="{00000000-0005-0000-0000-0000FD070000}"/>
    <cellStyle name="40% - Акцент3 11" xfId="2047" xr:uid="{00000000-0005-0000-0000-0000FE070000}"/>
    <cellStyle name="40% - Акцент3 11 2" xfId="2048" xr:uid="{00000000-0005-0000-0000-0000FF070000}"/>
    <cellStyle name="40% - Акцент3 11_Свод гостин" xfId="2049" xr:uid="{00000000-0005-0000-0000-000000080000}"/>
    <cellStyle name="40% - Акцент3 12" xfId="2050" xr:uid="{00000000-0005-0000-0000-000001080000}"/>
    <cellStyle name="40% - Акцент3 12 2" xfId="2051" xr:uid="{00000000-0005-0000-0000-000002080000}"/>
    <cellStyle name="40% - Акцент3 12_Свод гостин" xfId="2052" xr:uid="{00000000-0005-0000-0000-000003080000}"/>
    <cellStyle name="40% - Акцент3 13" xfId="2053" xr:uid="{00000000-0005-0000-0000-000004080000}"/>
    <cellStyle name="40% - Акцент3 13 2" xfId="2054" xr:uid="{00000000-0005-0000-0000-000005080000}"/>
    <cellStyle name="40% - Акцент3 13_Свод гостин" xfId="2055" xr:uid="{00000000-0005-0000-0000-000006080000}"/>
    <cellStyle name="40% - Акцент3 14" xfId="2056" xr:uid="{00000000-0005-0000-0000-000007080000}"/>
    <cellStyle name="40% - Акцент3 14 2" xfId="2057" xr:uid="{00000000-0005-0000-0000-000008080000}"/>
    <cellStyle name="40% - Акцент3 14_Свод гостин" xfId="2058" xr:uid="{00000000-0005-0000-0000-000009080000}"/>
    <cellStyle name="40% - Акцент3 15" xfId="2059" xr:uid="{00000000-0005-0000-0000-00000A080000}"/>
    <cellStyle name="40% - Акцент3 15 2" xfId="2060" xr:uid="{00000000-0005-0000-0000-00000B080000}"/>
    <cellStyle name="40% - Акцент3 15_Свод гостин" xfId="2061" xr:uid="{00000000-0005-0000-0000-00000C080000}"/>
    <cellStyle name="40% - Акцент3 16" xfId="2062" xr:uid="{00000000-0005-0000-0000-00000D080000}"/>
    <cellStyle name="40% - Акцент3 16 2" xfId="2063" xr:uid="{00000000-0005-0000-0000-00000E080000}"/>
    <cellStyle name="40% - Акцент3 16_Свод гостин" xfId="2064" xr:uid="{00000000-0005-0000-0000-00000F080000}"/>
    <cellStyle name="40% - Акцент3 17" xfId="2065" xr:uid="{00000000-0005-0000-0000-000010080000}"/>
    <cellStyle name="40% - Акцент3 17 2" xfId="2066" xr:uid="{00000000-0005-0000-0000-000011080000}"/>
    <cellStyle name="40% - Акцент3 17_Свод гостин" xfId="2067" xr:uid="{00000000-0005-0000-0000-000012080000}"/>
    <cellStyle name="40% - Акцент3 18" xfId="2068" xr:uid="{00000000-0005-0000-0000-000013080000}"/>
    <cellStyle name="40% - Акцент3 18 2" xfId="2069" xr:uid="{00000000-0005-0000-0000-000014080000}"/>
    <cellStyle name="40% - Акцент3 18_Свод гостин" xfId="2070" xr:uid="{00000000-0005-0000-0000-000015080000}"/>
    <cellStyle name="40% - Акцент3 19" xfId="2071" xr:uid="{00000000-0005-0000-0000-000016080000}"/>
    <cellStyle name="40% - Акцент3 19 2" xfId="2072" xr:uid="{00000000-0005-0000-0000-000017080000}"/>
    <cellStyle name="40% - Акцент3 19_Свод гостин" xfId="2073" xr:uid="{00000000-0005-0000-0000-000018080000}"/>
    <cellStyle name="40% - Акцент3 2" xfId="2074" xr:uid="{00000000-0005-0000-0000-000019080000}"/>
    <cellStyle name="40% - Акцент3 2 2" xfId="2075" xr:uid="{00000000-0005-0000-0000-00001A080000}"/>
    <cellStyle name="40% - Акцент3 2_Свод гостин" xfId="2076" xr:uid="{00000000-0005-0000-0000-00001B080000}"/>
    <cellStyle name="40% - Акцент3 20" xfId="2077" xr:uid="{00000000-0005-0000-0000-00001C080000}"/>
    <cellStyle name="40% - Акцент3 20 2" xfId="2078" xr:uid="{00000000-0005-0000-0000-00001D080000}"/>
    <cellStyle name="40% - Акцент3 20_Свод гостин" xfId="2079" xr:uid="{00000000-0005-0000-0000-00001E080000}"/>
    <cellStyle name="40% - Акцент3 21" xfId="2080" xr:uid="{00000000-0005-0000-0000-00001F080000}"/>
    <cellStyle name="40% - Акцент3 21 2" xfId="2081" xr:uid="{00000000-0005-0000-0000-000020080000}"/>
    <cellStyle name="40% - Акцент3 21_Свод гостин" xfId="2082" xr:uid="{00000000-0005-0000-0000-000021080000}"/>
    <cellStyle name="40% - Акцент3 22" xfId="2083" xr:uid="{00000000-0005-0000-0000-000022080000}"/>
    <cellStyle name="40% - Акцент3 22 2" xfId="2084" xr:uid="{00000000-0005-0000-0000-000023080000}"/>
    <cellStyle name="40% - Акцент3 22_Свод гостин" xfId="2085" xr:uid="{00000000-0005-0000-0000-000024080000}"/>
    <cellStyle name="40% - Акцент3 23" xfId="2086" xr:uid="{00000000-0005-0000-0000-000025080000}"/>
    <cellStyle name="40% - Акцент3 23 2" xfId="2087" xr:uid="{00000000-0005-0000-0000-000026080000}"/>
    <cellStyle name="40% - Акцент3 23_Свод гостин" xfId="2088" xr:uid="{00000000-0005-0000-0000-000027080000}"/>
    <cellStyle name="40% - Акцент3 24" xfId="2089" xr:uid="{00000000-0005-0000-0000-000028080000}"/>
    <cellStyle name="40% - Акцент3 24 2" xfId="2090" xr:uid="{00000000-0005-0000-0000-000029080000}"/>
    <cellStyle name="40% - Акцент3 24_Свод гостин" xfId="2091" xr:uid="{00000000-0005-0000-0000-00002A080000}"/>
    <cellStyle name="40% - Акцент3 25" xfId="2092" xr:uid="{00000000-0005-0000-0000-00002B080000}"/>
    <cellStyle name="40% - Акцент3 25 2" xfId="2093" xr:uid="{00000000-0005-0000-0000-00002C080000}"/>
    <cellStyle name="40% - Акцент3 25_Свод гостин" xfId="2094" xr:uid="{00000000-0005-0000-0000-00002D080000}"/>
    <cellStyle name="40% - Акцент3 26" xfId="2095" xr:uid="{00000000-0005-0000-0000-00002E080000}"/>
    <cellStyle name="40% - Акцент3 26 2" xfId="2096" xr:uid="{00000000-0005-0000-0000-00002F080000}"/>
    <cellStyle name="40% - Акцент3 26_Свод гостин" xfId="2097" xr:uid="{00000000-0005-0000-0000-000030080000}"/>
    <cellStyle name="40% - Акцент3 27" xfId="2098" xr:uid="{00000000-0005-0000-0000-000031080000}"/>
    <cellStyle name="40% - Акцент3 27 2" xfId="2099" xr:uid="{00000000-0005-0000-0000-000032080000}"/>
    <cellStyle name="40% - Акцент3 27_Свод гостин" xfId="2100" xr:uid="{00000000-0005-0000-0000-000033080000}"/>
    <cellStyle name="40% - Акцент3 28" xfId="2101" xr:uid="{00000000-0005-0000-0000-000034080000}"/>
    <cellStyle name="40% - Акцент3 28 2" xfId="2102" xr:uid="{00000000-0005-0000-0000-000035080000}"/>
    <cellStyle name="40% - Акцент3 28_Свод гостин" xfId="2103" xr:uid="{00000000-0005-0000-0000-000036080000}"/>
    <cellStyle name="40% - Акцент3 29" xfId="2104" xr:uid="{00000000-0005-0000-0000-000037080000}"/>
    <cellStyle name="40% - Акцент3 29 2" xfId="2105" xr:uid="{00000000-0005-0000-0000-000038080000}"/>
    <cellStyle name="40% - Акцент3 29_Свод гостин" xfId="2106" xr:uid="{00000000-0005-0000-0000-000039080000}"/>
    <cellStyle name="40% - Акцент3 3" xfId="2107" xr:uid="{00000000-0005-0000-0000-00003A080000}"/>
    <cellStyle name="40% - Акцент3 3 2" xfId="2108" xr:uid="{00000000-0005-0000-0000-00003B080000}"/>
    <cellStyle name="40% - Акцент3 3_Свод гостин" xfId="2109" xr:uid="{00000000-0005-0000-0000-00003C080000}"/>
    <cellStyle name="40% - Акцент3 30" xfId="2110" xr:uid="{00000000-0005-0000-0000-00003D080000}"/>
    <cellStyle name="40% - Акцент3 30 2" xfId="2111" xr:uid="{00000000-0005-0000-0000-00003E080000}"/>
    <cellStyle name="40% - Акцент3 30_Свод гостин" xfId="2112" xr:uid="{00000000-0005-0000-0000-00003F080000}"/>
    <cellStyle name="40% - Акцент3 31" xfId="2113" xr:uid="{00000000-0005-0000-0000-000040080000}"/>
    <cellStyle name="40% - Акцент3 31 2" xfId="2114" xr:uid="{00000000-0005-0000-0000-000041080000}"/>
    <cellStyle name="40% - Акцент3 31_Свод гостин" xfId="2115" xr:uid="{00000000-0005-0000-0000-000042080000}"/>
    <cellStyle name="40% - Акцент3 32" xfId="2116" xr:uid="{00000000-0005-0000-0000-000043080000}"/>
    <cellStyle name="40% - Акцент3 32 2" xfId="2117" xr:uid="{00000000-0005-0000-0000-000044080000}"/>
    <cellStyle name="40% - Акцент3 32_Свод гостин" xfId="2118" xr:uid="{00000000-0005-0000-0000-000045080000}"/>
    <cellStyle name="40% - Акцент3 33" xfId="2119" xr:uid="{00000000-0005-0000-0000-000046080000}"/>
    <cellStyle name="40% - Акцент3 33 2" xfId="2120" xr:uid="{00000000-0005-0000-0000-000047080000}"/>
    <cellStyle name="40% - Акцент3 33_Свод гостин" xfId="2121" xr:uid="{00000000-0005-0000-0000-000048080000}"/>
    <cellStyle name="40% - Акцент3 34" xfId="2122" xr:uid="{00000000-0005-0000-0000-000049080000}"/>
    <cellStyle name="40% - Акцент3 34 2" xfId="2123" xr:uid="{00000000-0005-0000-0000-00004A080000}"/>
    <cellStyle name="40% - Акцент3 34_Свод гостин" xfId="2124" xr:uid="{00000000-0005-0000-0000-00004B080000}"/>
    <cellStyle name="40% - Акцент3 35" xfId="2125" xr:uid="{00000000-0005-0000-0000-00004C080000}"/>
    <cellStyle name="40% - Акцент3 35 2" xfId="2126" xr:uid="{00000000-0005-0000-0000-00004D080000}"/>
    <cellStyle name="40% - Акцент3 35_Свод гостин" xfId="2127" xr:uid="{00000000-0005-0000-0000-00004E080000}"/>
    <cellStyle name="40% - Акцент3 36" xfId="2128" xr:uid="{00000000-0005-0000-0000-00004F080000}"/>
    <cellStyle name="40% - Акцент3 36 2" xfId="2129" xr:uid="{00000000-0005-0000-0000-000050080000}"/>
    <cellStyle name="40% - Акцент3 36_Свод гостин" xfId="2130" xr:uid="{00000000-0005-0000-0000-000051080000}"/>
    <cellStyle name="40% - Акцент3 37" xfId="2131" xr:uid="{00000000-0005-0000-0000-000052080000}"/>
    <cellStyle name="40% - Акцент3 37 2" xfId="2132" xr:uid="{00000000-0005-0000-0000-000053080000}"/>
    <cellStyle name="40% - Акцент3 37_Свод гостин" xfId="2133" xr:uid="{00000000-0005-0000-0000-000054080000}"/>
    <cellStyle name="40% - Акцент3 38" xfId="2134" xr:uid="{00000000-0005-0000-0000-000055080000}"/>
    <cellStyle name="40% - Акцент3 38 2" xfId="2135" xr:uid="{00000000-0005-0000-0000-000056080000}"/>
    <cellStyle name="40% - Акцент3 38_Свод гостин" xfId="2136" xr:uid="{00000000-0005-0000-0000-000057080000}"/>
    <cellStyle name="40% - Акцент3 39" xfId="2137" xr:uid="{00000000-0005-0000-0000-000058080000}"/>
    <cellStyle name="40% - Акцент3 39 2" xfId="2138" xr:uid="{00000000-0005-0000-0000-000059080000}"/>
    <cellStyle name="40% - Акцент3 39_Свод гостин" xfId="2139" xr:uid="{00000000-0005-0000-0000-00005A080000}"/>
    <cellStyle name="40% - Акцент3 4" xfId="2140" xr:uid="{00000000-0005-0000-0000-00005B080000}"/>
    <cellStyle name="40% - Акцент3 4 2" xfId="2141" xr:uid="{00000000-0005-0000-0000-00005C080000}"/>
    <cellStyle name="40% - Акцент3 4_Свод гостин" xfId="2142" xr:uid="{00000000-0005-0000-0000-00005D080000}"/>
    <cellStyle name="40% - Акцент3 40" xfId="2143" xr:uid="{00000000-0005-0000-0000-00005E080000}"/>
    <cellStyle name="40% - Акцент3 40 2" xfId="2144" xr:uid="{00000000-0005-0000-0000-00005F080000}"/>
    <cellStyle name="40% - Акцент3 40_Свод гостин" xfId="2145" xr:uid="{00000000-0005-0000-0000-000060080000}"/>
    <cellStyle name="40% - Акцент3 41" xfId="2146" xr:uid="{00000000-0005-0000-0000-000061080000}"/>
    <cellStyle name="40% - Акцент3 41 2" xfId="2147" xr:uid="{00000000-0005-0000-0000-000062080000}"/>
    <cellStyle name="40% - Акцент3 41_Свод гостин" xfId="2148" xr:uid="{00000000-0005-0000-0000-000063080000}"/>
    <cellStyle name="40% - Акцент3 42" xfId="2149" xr:uid="{00000000-0005-0000-0000-000064080000}"/>
    <cellStyle name="40% - Акцент3 42 2" xfId="2150" xr:uid="{00000000-0005-0000-0000-000065080000}"/>
    <cellStyle name="40% - Акцент3 42_Свод гостин" xfId="2151" xr:uid="{00000000-0005-0000-0000-000066080000}"/>
    <cellStyle name="40% - Акцент3 43" xfId="2152" xr:uid="{00000000-0005-0000-0000-000067080000}"/>
    <cellStyle name="40% - Акцент3 43 2" xfId="2153" xr:uid="{00000000-0005-0000-0000-000068080000}"/>
    <cellStyle name="40% - Акцент3 43_Свод гостин" xfId="2154" xr:uid="{00000000-0005-0000-0000-000069080000}"/>
    <cellStyle name="40% - Акцент3 44" xfId="2155" xr:uid="{00000000-0005-0000-0000-00006A080000}"/>
    <cellStyle name="40% - Акцент3 44 2" xfId="2156" xr:uid="{00000000-0005-0000-0000-00006B080000}"/>
    <cellStyle name="40% - Акцент3 44_Свод гостин" xfId="2157" xr:uid="{00000000-0005-0000-0000-00006C080000}"/>
    <cellStyle name="40% - Акцент3 45" xfId="2158" xr:uid="{00000000-0005-0000-0000-00006D080000}"/>
    <cellStyle name="40% - Акцент3 45 2" xfId="2159" xr:uid="{00000000-0005-0000-0000-00006E080000}"/>
    <cellStyle name="40% - Акцент3 45_Свод гостин" xfId="2160" xr:uid="{00000000-0005-0000-0000-00006F080000}"/>
    <cellStyle name="40% - Акцент3 46" xfId="2161" xr:uid="{00000000-0005-0000-0000-000070080000}"/>
    <cellStyle name="40% - Акцент3 46 2" xfId="2162" xr:uid="{00000000-0005-0000-0000-000071080000}"/>
    <cellStyle name="40% - Акцент3 46_Свод гостин" xfId="2163" xr:uid="{00000000-0005-0000-0000-000072080000}"/>
    <cellStyle name="40% - Акцент3 47" xfId="2164" xr:uid="{00000000-0005-0000-0000-000073080000}"/>
    <cellStyle name="40% - Акцент3 47 2" xfId="2165" xr:uid="{00000000-0005-0000-0000-000074080000}"/>
    <cellStyle name="40% - Акцент3 47_Свод гостин" xfId="2166" xr:uid="{00000000-0005-0000-0000-000075080000}"/>
    <cellStyle name="40% - Акцент3 48" xfId="2167" xr:uid="{00000000-0005-0000-0000-000076080000}"/>
    <cellStyle name="40% - Акцент3 48 2" xfId="2168" xr:uid="{00000000-0005-0000-0000-000077080000}"/>
    <cellStyle name="40% - Акцент3 48_Свод гостин" xfId="2169" xr:uid="{00000000-0005-0000-0000-000078080000}"/>
    <cellStyle name="40% - Акцент3 49" xfId="2170" xr:uid="{00000000-0005-0000-0000-000079080000}"/>
    <cellStyle name="40% - Акцент3 49 2" xfId="2171" xr:uid="{00000000-0005-0000-0000-00007A080000}"/>
    <cellStyle name="40% - Акцент3 49_Свод гостин" xfId="2172" xr:uid="{00000000-0005-0000-0000-00007B080000}"/>
    <cellStyle name="40% - Акцент3 5" xfId="2173" xr:uid="{00000000-0005-0000-0000-00007C080000}"/>
    <cellStyle name="40% - Акцент3 5 2" xfId="2174" xr:uid="{00000000-0005-0000-0000-00007D080000}"/>
    <cellStyle name="40% - Акцент3 5_Свод гостин" xfId="2175" xr:uid="{00000000-0005-0000-0000-00007E080000}"/>
    <cellStyle name="40% - Акцент3 50" xfId="2176" xr:uid="{00000000-0005-0000-0000-00007F080000}"/>
    <cellStyle name="40% - Акцент3 50 2" xfId="2177" xr:uid="{00000000-0005-0000-0000-000080080000}"/>
    <cellStyle name="40% - Акцент3 50_Свод гостин" xfId="2178" xr:uid="{00000000-0005-0000-0000-000081080000}"/>
    <cellStyle name="40% - Акцент3 51" xfId="2179" xr:uid="{00000000-0005-0000-0000-000082080000}"/>
    <cellStyle name="40% - Акцент3 51 2" xfId="2180" xr:uid="{00000000-0005-0000-0000-000083080000}"/>
    <cellStyle name="40% - Акцент3 51_Свод гостин" xfId="2181" xr:uid="{00000000-0005-0000-0000-000084080000}"/>
    <cellStyle name="40% - Акцент3 52" xfId="2182" xr:uid="{00000000-0005-0000-0000-000085080000}"/>
    <cellStyle name="40% - Акцент3 52 2" xfId="2183" xr:uid="{00000000-0005-0000-0000-000086080000}"/>
    <cellStyle name="40% - Акцент3 52_Свод гостин" xfId="2184" xr:uid="{00000000-0005-0000-0000-000087080000}"/>
    <cellStyle name="40% - Акцент3 53" xfId="2185" xr:uid="{00000000-0005-0000-0000-000088080000}"/>
    <cellStyle name="40% - Акцент3 53 2" xfId="2186" xr:uid="{00000000-0005-0000-0000-000089080000}"/>
    <cellStyle name="40% - Акцент3 53_Свод гостин" xfId="2187" xr:uid="{00000000-0005-0000-0000-00008A080000}"/>
    <cellStyle name="40% - Акцент3 54" xfId="2188" xr:uid="{00000000-0005-0000-0000-00008B080000}"/>
    <cellStyle name="40% - Акцент3 54 2" xfId="2189" xr:uid="{00000000-0005-0000-0000-00008C080000}"/>
    <cellStyle name="40% - Акцент3 54_Свод гостин" xfId="2190" xr:uid="{00000000-0005-0000-0000-00008D080000}"/>
    <cellStyle name="40% - Акцент3 55" xfId="2191" xr:uid="{00000000-0005-0000-0000-00008E080000}"/>
    <cellStyle name="40% - Акцент3 55 2" xfId="2192" xr:uid="{00000000-0005-0000-0000-00008F080000}"/>
    <cellStyle name="40% - Акцент3 55_Свод гостин" xfId="2193" xr:uid="{00000000-0005-0000-0000-000090080000}"/>
    <cellStyle name="40% - Акцент3 56" xfId="2194" xr:uid="{00000000-0005-0000-0000-000091080000}"/>
    <cellStyle name="40% - Акцент3 56 2" xfId="2195" xr:uid="{00000000-0005-0000-0000-000092080000}"/>
    <cellStyle name="40% - Акцент3 56_Свод гостин" xfId="2196" xr:uid="{00000000-0005-0000-0000-000093080000}"/>
    <cellStyle name="40% - Акцент3 57" xfId="2197" xr:uid="{00000000-0005-0000-0000-000094080000}"/>
    <cellStyle name="40% - Акцент3 57 2" xfId="2198" xr:uid="{00000000-0005-0000-0000-000095080000}"/>
    <cellStyle name="40% - Акцент3 57_Свод гостин" xfId="2199" xr:uid="{00000000-0005-0000-0000-000096080000}"/>
    <cellStyle name="40% - Акцент3 58" xfId="2200" xr:uid="{00000000-0005-0000-0000-000097080000}"/>
    <cellStyle name="40% - Акцент3 58 2" xfId="2201" xr:uid="{00000000-0005-0000-0000-000098080000}"/>
    <cellStyle name="40% - Акцент3 58_Свод гостин" xfId="2202" xr:uid="{00000000-0005-0000-0000-000099080000}"/>
    <cellStyle name="40% - Акцент3 59" xfId="2203" xr:uid="{00000000-0005-0000-0000-00009A080000}"/>
    <cellStyle name="40% - Акцент3 59 2" xfId="2204" xr:uid="{00000000-0005-0000-0000-00009B080000}"/>
    <cellStyle name="40% - Акцент3 59_Свод гостин" xfId="2205" xr:uid="{00000000-0005-0000-0000-00009C080000}"/>
    <cellStyle name="40% - Акцент3 6" xfId="2206" xr:uid="{00000000-0005-0000-0000-00009D080000}"/>
    <cellStyle name="40% - Акцент3 6 2" xfId="2207" xr:uid="{00000000-0005-0000-0000-00009E080000}"/>
    <cellStyle name="40% - Акцент3 6_Свод гостин" xfId="2208" xr:uid="{00000000-0005-0000-0000-00009F080000}"/>
    <cellStyle name="40% - Акцент3 60" xfId="2209" xr:uid="{00000000-0005-0000-0000-0000A0080000}"/>
    <cellStyle name="40% - Акцент3 60 2" xfId="2210" xr:uid="{00000000-0005-0000-0000-0000A1080000}"/>
    <cellStyle name="40% - Акцент3 60_Свод гостин" xfId="2211" xr:uid="{00000000-0005-0000-0000-0000A2080000}"/>
    <cellStyle name="40% - Акцент3 61" xfId="2212" xr:uid="{00000000-0005-0000-0000-0000A3080000}"/>
    <cellStyle name="40% - Акцент3 61 2" xfId="2213" xr:uid="{00000000-0005-0000-0000-0000A4080000}"/>
    <cellStyle name="40% - Акцент3 61_Свод гостин" xfId="2214" xr:uid="{00000000-0005-0000-0000-0000A5080000}"/>
    <cellStyle name="40% - Акцент3 62" xfId="2215" xr:uid="{00000000-0005-0000-0000-0000A6080000}"/>
    <cellStyle name="40% - Акцент3 62 2" xfId="2216" xr:uid="{00000000-0005-0000-0000-0000A7080000}"/>
    <cellStyle name="40% - Акцент3 62_Свод гостин" xfId="2217" xr:uid="{00000000-0005-0000-0000-0000A8080000}"/>
    <cellStyle name="40% - Акцент3 63" xfId="2218" xr:uid="{00000000-0005-0000-0000-0000A9080000}"/>
    <cellStyle name="40% - Акцент3 63 2" xfId="2219" xr:uid="{00000000-0005-0000-0000-0000AA080000}"/>
    <cellStyle name="40% - Акцент3 63_Свод гостин" xfId="2220" xr:uid="{00000000-0005-0000-0000-0000AB080000}"/>
    <cellStyle name="40% - Акцент3 64" xfId="2221" xr:uid="{00000000-0005-0000-0000-0000AC080000}"/>
    <cellStyle name="40% - Акцент3 64 2" xfId="2222" xr:uid="{00000000-0005-0000-0000-0000AD080000}"/>
    <cellStyle name="40% - Акцент3 64_Свод гостин" xfId="2223" xr:uid="{00000000-0005-0000-0000-0000AE080000}"/>
    <cellStyle name="40% - Акцент3 65" xfId="2224" xr:uid="{00000000-0005-0000-0000-0000AF080000}"/>
    <cellStyle name="40% - Акцент3 65 2" xfId="2225" xr:uid="{00000000-0005-0000-0000-0000B0080000}"/>
    <cellStyle name="40% - Акцент3 65_Свод гостин" xfId="2226" xr:uid="{00000000-0005-0000-0000-0000B1080000}"/>
    <cellStyle name="40% - Акцент3 66" xfId="2227" xr:uid="{00000000-0005-0000-0000-0000B2080000}"/>
    <cellStyle name="40% - Акцент3 66 2" xfId="2228" xr:uid="{00000000-0005-0000-0000-0000B3080000}"/>
    <cellStyle name="40% - Акцент3 66_Свод гостин" xfId="2229" xr:uid="{00000000-0005-0000-0000-0000B4080000}"/>
    <cellStyle name="40% - Акцент3 67" xfId="2230" xr:uid="{00000000-0005-0000-0000-0000B5080000}"/>
    <cellStyle name="40% - Акцент3 67 2" xfId="2231" xr:uid="{00000000-0005-0000-0000-0000B6080000}"/>
    <cellStyle name="40% - Акцент3 67_Свод гостин" xfId="2232" xr:uid="{00000000-0005-0000-0000-0000B7080000}"/>
    <cellStyle name="40% - Акцент3 68" xfId="2233" xr:uid="{00000000-0005-0000-0000-0000B8080000}"/>
    <cellStyle name="40% - Акцент3 68 2" xfId="2234" xr:uid="{00000000-0005-0000-0000-0000B9080000}"/>
    <cellStyle name="40% - Акцент3 68_Свод гостин" xfId="2235" xr:uid="{00000000-0005-0000-0000-0000BA080000}"/>
    <cellStyle name="40% - Акцент3 69" xfId="2236" xr:uid="{00000000-0005-0000-0000-0000BB080000}"/>
    <cellStyle name="40% - Акцент3 69 2" xfId="2237" xr:uid="{00000000-0005-0000-0000-0000BC080000}"/>
    <cellStyle name="40% - Акцент3 69_Свод гостин" xfId="2238" xr:uid="{00000000-0005-0000-0000-0000BD080000}"/>
    <cellStyle name="40% - Акцент3 7" xfId="2239" xr:uid="{00000000-0005-0000-0000-0000BE080000}"/>
    <cellStyle name="40% - Акцент3 7 2" xfId="2240" xr:uid="{00000000-0005-0000-0000-0000BF080000}"/>
    <cellStyle name="40% - Акцент3 7_Свод гостин" xfId="2241" xr:uid="{00000000-0005-0000-0000-0000C0080000}"/>
    <cellStyle name="40% - Акцент3 70" xfId="2242" xr:uid="{00000000-0005-0000-0000-0000C1080000}"/>
    <cellStyle name="40% - Акцент3 70 2" xfId="2243" xr:uid="{00000000-0005-0000-0000-0000C2080000}"/>
    <cellStyle name="40% - Акцент3 70_Свод гостин" xfId="2244" xr:uid="{00000000-0005-0000-0000-0000C3080000}"/>
    <cellStyle name="40% - Акцент3 71" xfId="2245" xr:uid="{00000000-0005-0000-0000-0000C4080000}"/>
    <cellStyle name="40% - Акцент3 71 2" xfId="2246" xr:uid="{00000000-0005-0000-0000-0000C5080000}"/>
    <cellStyle name="40% - Акцент3 71_Свод гостин" xfId="2247" xr:uid="{00000000-0005-0000-0000-0000C6080000}"/>
    <cellStyle name="40% - Акцент3 72" xfId="2248" xr:uid="{00000000-0005-0000-0000-0000C7080000}"/>
    <cellStyle name="40% - Акцент3 72 2" xfId="2249" xr:uid="{00000000-0005-0000-0000-0000C8080000}"/>
    <cellStyle name="40% - Акцент3 72_Свод гостин" xfId="2250" xr:uid="{00000000-0005-0000-0000-0000C9080000}"/>
    <cellStyle name="40% - Акцент3 73" xfId="2251" xr:uid="{00000000-0005-0000-0000-0000CA080000}"/>
    <cellStyle name="40% - Акцент3 73 2" xfId="2252" xr:uid="{00000000-0005-0000-0000-0000CB080000}"/>
    <cellStyle name="40% - Акцент3 73_Свод гостин" xfId="2253" xr:uid="{00000000-0005-0000-0000-0000CC080000}"/>
    <cellStyle name="40% - Акцент3 74" xfId="2254" xr:uid="{00000000-0005-0000-0000-0000CD080000}"/>
    <cellStyle name="40% - Акцент3 74 2" xfId="2255" xr:uid="{00000000-0005-0000-0000-0000CE080000}"/>
    <cellStyle name="40% - Акцент3 74_Свод гостин" xfId="2256" xr:uid="{00000000-0005-0000-0000-0000CF080000}"/>
    <cellStyle name="40% - Акцент3 75" xfId="2257" xr:uid="{00000000-0005-0000-0000-0000D0080000}"/>
    <cellStyle name="40% - Акцент3 75 2" xfId="2258" xr:uid="{00000000-0005-0000-0000-0000D1080000}"/>
    <cellStyle name="40% - Акцент3 75_Свод гостин" xfId="2259" xr:uid="{00000000-0005-0000-0000-0000D2080000}"/>
    <cellStyle name="40% - Акцент3 76" xfId="2260" xr:uid="{00000000-0005-0000-0000-0000D3080000}"/>
    <cellStyle name="40% - Акцент3 76 2" xfId="2261" xr:uid="{00000000-0005-0000-0000-0000D4080000}"/>
    <cellStyle name="40% - Акцент3 76_Свод гостин" xfId="2262" xr:uid="{00000000-0005-0000-0000-0000D5080000}"/>
    <cellStyle name="40% - Акцент3 77" xfId="2263" xr:uid="{00000000-0005-0000-0000-0000D6080000}"/>
    <cellStyle name="40% - Акцент3 77 2" xfId="2264" xr:uid="{00000000-0005-0000-0000-0000D7080000}"/>
    <cellStyle name="40% - Акцент3 77_Свод гостин" xfId="2265" xr:uid="{00000000-0005-0000-0000-0000D8080000}"/>
    <cellStyle name="40% - Акцент3 78" xfId="2266" xr:uid="{00000000-0005-0000-0000-0000D9080000}"/>
    <cellStyle name="40% - Акцент3 78 2" xfId="2267" xr:uid="{00000000-0005-0000-0000-0000DA080000}"/>
    <cellStyle name="40% - Акцент3 78_Свод гостин" xfId="2268" xr:uid="{00000000-0005-0000-0000-0000DB080000}"/>
    <cellStyle name="40% - Акцент3 79" xfId="2269" xr:uid="{00000000-0005-0000-0000-0000DC080000}"/>
    <cellStyle name="40% - Акцент3 79 2" xfId="2270" xr:uid="{00000000-0005-0000-0000-0000DD080000}"/>
    <cellStyle name="40% - Акцент3 79_Свод гостин" xfId="2271" xr:uid="{00000000-0005-0000-0000-0000DE080000}"/>
    <cellStyle name="40% - Акцент3 8" xfId="2272" xr:uid="{00000000-0005-0000-0000-0000DF080000}"/>
    <cellStyle name="40% - Акцент3 8 2" xfId="2273" xr:uid="{00000000-0005-0000-0000-0000E0080000}"/>
    <cellStyle name="40% - Акцент3 8_Свод гостин" xfId="2274" xr:uid="{00000000-0005-0000-0000-0000E1080000}"/>
    <cellStyle name="40% - Акцент3 80" xfId="2275" xr:uid="{00000000-0005-0000-0000-0000E2080000}"/>
    <cellStyle name="40% - Акцент3 80 2" xfId="2276" xr:uid="{00000000-0005-0000-0000-0000E3080000}"/>
    <cellStyle name="40% - Акцент3 80_Свод гостин" xfId="2277" xr:uid="{00000000-0005-0000-0000-0000E4080000}"/>
    <cellStyle name="40% - Акцент3 81" xfId="2278" xr:uid="{00000000-0005-0000-0000-0000E5080000}"/>
    <cellStyle name="40% - Акцент3 81 2" xfId="2279" xr:uid="{00000000-0005-0000-0000-0000E6080000}"/>
    <cellStyle name="40% - Акцент3 81_Свод гостин" xfId="2280" xr:uid="{00000000-0005-0000-0000-0000E7080000}"/>
    <cellStyle name="40% - Акцент3 82" xfId="2281" xr:uid="{00000000-0005-0000-0000-0000E8080000}"/>
    <cellStyle name="40% - Акцент3 82 2" xfId="2282" xr:uid="{00000000-0005-0000-0000-0000E9080000}"/>
    <cellStyle name="40% - Акцент3 82_Свод гостин" xfId="2283" xr:uid="{00000000-0005-0000-0000-0000EA080000}"/>
    <cellStyle name="40% - Акцент3 83" xfId="2284" xr:uid="{00000000-0005-0000-0000-0000EB080000}"/>
    <cellStyle name="40% - Акцент3 83 2" xfId="2285" xr:uid="{00000000-0005-0000-0000-0000EC080000}"/>
    <cellStyle name="40% - Акцент3 83_Свод гостин" xfId="2286" xr:uid="{00000000-0005-0000-0000-0000ED080000}"/>
    <cellStyle name="40% - Акцент3 9" xfId="2287" xr:uid="{00000000-0005-0000-0000-0000EE080000}"/>
    <cellStyle name="40% - Акцент3 9 2" xfId="2288" xr:uid="{00000000-0005-0000-0000-0000EF080000}"/>
    <cellStyle name="40% - Акцент3 9_Свод гостин" xfId="2289" xr:uid="{00000000-0005-0000-0000-0000F0080000}"/>
    <cellStyle name="40% - Акцент4 10" xfId="2290" xr:uid="{00000000-0005-0000-0000-0000F1080000}"/>
    <cellStyle name="40% - Акцент4 10 2" xfId="2291" xr:uid="{00000000-0005-0000-0000-0000F2080000}"/>
    <cellStyle name="40% - Акцент4 10_Свод гостин" xfId="2292" xr:uid="{00000000-0005-0000-0000-0000F3080000}"/>
    <cellStyle name="40% - Акцент4 11" xfId="2293" xr:uid="{00000000-0005-0000-0000-0000F4080000}"/>
    <cellStyle name="40% - Акцент4 11 2" xfId="2294" xr:uid="{00000000-0005-0000-0000-0000F5080000}"/>
    <cellStyle name="40% - Акцент4 11_Свод гостин" xfId="2295" xr:uid="{00000000-0005-0000-0000-0000F6080000}"/>
    <cellStyle name="40% - Акцент4 12" xfId="2296" xr:uid="{00000000-0005-0000-0000-0000F7080000}"/>
    <cellStyle name="40% - Акцент4 12 2" xfId="2297" xr:uid="{00000000-0005-0000-0000-0000F8080000}"/>
    <cellStyle name="40% - Акцент4 12_Свод гостин" xfId="2298" xr:uid="{00000000-0005-0000-0000-0000F9080000}"/>
    <cellStyle name="40% - Акцент4 13" xfId="2299" xr:uid="{00000000-0005-0000-0000-0000FA080000}"/>
    <cellStyle name="40% - Акцент4 13 2" xfId="2300" xr:uid="{00000000-0005-0000-0000-0000FB080000}"/>
    <cellStyle name="40% - Акцент4 13_Свод гостин" xfId="2301" xr:uid="{00000000-0005-0000-0000-0000FC080000}"/>
    <cellStyle name="40% - Акцент4 14" xfId="2302" xr:uid="{00000000-0005-0000-0000-0000FD080000}"/>
    <cellStyle name="40% - Акцент4 14 2" xfId="2303" xr:uid="{00000000-0005-0000-0000-0000FE080000}"/>
    <cellStyle name="40% - Акцент4 14_Свод гостин" xfId="2304" xr:uid="{00000000-0005-0000-0000-0000FF080000}"/>
    <cellStyle name="40% - Акцент4 15" xfId="2305" xr:uid="{00000000-0005-0000-0000-000000090000}"/>
    <cellStyle name="40% - Акцент4 15 2" xfId="2306" xr:uid="{00000000-0005-0000-0000-000001090000}"/>
    <cellStyle name="40% - Акцент4 15_Свод гостин" xfId="2307" xr:uid="{00000000-0005-0000-0000-000002090000}"/>
    <cellStyle name="40% - Акцент4 16" xfId="2308" xr:uid="{00000000-0005-0000-0000-000003090000}"/>
    <cellStyle name="40% - Акцент4 16 2" xfId="2309" xr:uid="{00000000-0005-0000-0000-000004090000}"/>
    <cellStyle name="40% - Акцент4 16_Свод гостин" xfId="2310" xr:uid="{00000000-0005-0000-0000-000005090000}"/>
    <cellStyle name="40% - Акцент4 17" xfId="2311" xr:uid="{00000000-0005-0000-0000-000006090000}"/>
    <cellStyle name="40% - Акцент4 17 2" xfId="2312" xr:uid="{00000000-0005-0000-0000-000007090000}"/>
    <cellStyle name="40% - Акцент4 17_Свод гостин" xfId="2313" xr:uid="{00000000-0005-0000-0000-000008090000}"/>
    <cellStyle name="40% - Акцент4 18" xfId="2314" xr:uid="{00000000-0005-0000-0000-000009090000}"/>
    <cellStyle name="40% - Акцент4 18 2" xfId="2315" xr:uid="{00000000-0005-0000-0000-00000A090000}"/>
    <cellStyle name="40% - Акцент4 18_Свод гостин" xfId="2316" xr:uid="{00000000-0005-0000-0000-00000B090000}"/>
    <cellStyle name="40% - Акцент4 19" xfId="2317" xr:uid="{00000000-0005-0000-0000-00000C090000}"/>
    <cellStyle name="40% - Акцент4 19 2" xfId="2318" xr:uid="{00000000-0005-0000-0000-00000D090000}"/>
    <cellStyle name="40% - Акцент4 19_Свод гостин" xfId="2319" xr:uid="{00000000-0005-0000-0000-00000E090000}"/>
    <cellStyle name="40% - Акцент4 2" xfId="2320" xr:uid="{00000000-0005-0000-0000-00000F090000}"/>
    <cellStyle name="40% - Акцент4 2 2" xfId="2321" xr:uid="{00000000-0005-0000-0000-000010090000}"/>
    <cellStyle name="40% - Акцент4 2_Свод гостин" xfId="2322" xr:uid="{00000000-0005-0000-0000-000011090000}"/>
    <cellStyle name="40% - Акцент4 20" xfId="2323" xr:uid="{00000000-0005-0000-0000-000012090000}"/>
    <cellStyle name="40% - Акцент4 20 2" xfId="2324" xr:uid="{00000000-0005-0000-0000-000013090000}"/>
    <cellStyle name="40% - Акцент4 20_Свод гостин" xfId="2325" xr:uid="{00000000-0005-0000-0000-000014090000}"/>
    <cellStyle name="40% - Акцент4 21" xfId="2326" xr:uid="{00000000-0005-0000-0000-000015090000}"/>
    <cellStyle name="40% - Акцент4 21 2" xfId="2327" xr:uid="{00000000-0005-0000-0000-000016090000}"/>
    <cellStyle name="40% - Акцент4 21_Свод гостин" xfId="2328" xr:uid="{00000000-0005-0000-0000-000017090000}"/>
    <cellStyle name="40% - Акцент4 22" xfId="2329" xr:uid="{00000000-0005-0000-0000-000018090000}"/>
    <cellStyle name="40% - Акцент4 22 2" xfId="2330" xr:uid="{00000000-0005-0000-0000-000019090000}"/>
    <cellStyle name="40% - Акцент4 22_Свод гостин" xfId="2331" xr:uid="{00000000-0005-0000-0000-00001A090000}"/>
    <cellStyle name="40% - Акцент4 23" xfId="2332" xr:uid="{00000000-0005-0000-0000-00001B090000}"/>
    <cellStyle name="40% - Акцент4 23 2" xfId="2333" xr:uid="{00000000-0005-0000-0000-00001C090000}"/>
    <cellStyle name="40% - Акцент4 23_Свод гостин" xfId="2334" xr:uid="{00000000-0005-0000-0000-00001D090000}"/>
    <cellStyle name="40% - Акцент4 24" xfId="2335" xr:uid="{00000000-0005-0000-0000-00001E090000}"/>
    <cellStyle name="40% - Акцент4 24 2" xfId="2336" xr:uid="{00000000-0005-0000-0000-00001F090000}"/>
    <cellStyle name="40% - Акцент4 24_Свод гостин" xfId="2337" xr:uid="{00000000-0005-0000-0000-000020090000}"/>
    <cellStyle name="40% - Акцент4 25" xfId="2338" xr:uid="{00000000-0005-0000-0000-000021090000}"/>
    <cellStyle name="40% - Акцент4 25 2" xfId="2339" xr:uid="{00000000-0005-0000-0000-000022090000}"/>
    <cellStyle name="40% - Акцент4 25_Свод гостин" xfId="2340" xr:uid="{00000000-0005-0000-0000-000023090000}"/>
    <cellStyle name="40% - Акцент4 26" xfId="2341" xr:uid="{00000000-0005-0000-0000-000024090000}"/>
    <cellStyle name="40% - Акцент4 26 2" xfId="2342" xr:uid="{00000000-0005-0000-0000-000025090000}"/>
    <cellStyle name="40% - Акцент4 26_Свод гостин" xfId="2343" xr:uid="{00000000-0005-0000-0000-000026090000}"/>
    <cellStyle name="40% - Акцент4 27" xfId="2344" xr:uid="{00000000-0005-0000-0000-000027090000}"/>
    <cellStyle name="40% - Акцент4 27 2" xfId="2345" xr:uid="{00000000-0005-0000-0000-000028090000}"/>
    <cellStyle name="40% - Акцент4 27_Свод гостин" xfId="2346" xr:uid="{00000000-0005-0000-0000-000029090000}"/>
    <cellStyle name="40% - Акцент4 28" xfId="2347" xr:uid="{00000000-0005-0000-0000-00002A090000}"/>
    <cellStyle name="40% - Акцент4 28 2" xfId="2348" xr:uid="{00000000-0005-0000-0000-00002B090000}"/>
    <cellStyle name="40% - Акцент4 28_Свод гостин" xfId="2349" xr:uid="{00000000-0005-0000-0000-00002C090000}"/>
    <cellStyle name="40% - Акцент4 29" xfId="2350" xr:uid="{00000000-0005-0000-0000-00002D090000}"/>
    <cellStyle name="40% - Акцент4 29 2" xfId="2351" xr:uid="{00000000-0005-0000-0000-00002E090000}"/>
    <cellStyle name="40% - Акцент4 29_Свод гостин" xfId="2352" xr:uid="{00000000-0005-0000-0000-00002F090000}"/>
    <cellStyle name="40% - Акцент4 3" xfId="2353" xr:uid="{00000000-0005-0000-0000-000030090000}"/>
    <cellStyle name="40% - Акцент4 3 2" xfId="2354" xr:uid="{00000000-0005-0000-0000-000031090000}"/>
    <cellStyle name="40% - Акцент4 3_Свод гостин" xfId="2355" xr:uid="{00000000-0005-0000-0000-000032090000}"/>
    <cellStyle name="40% - Акцент4 30" xfId="2356" xr:uid="{00000000-0005-0000-0000-000033090000}"/>
    <cellStyle name="40% - Акцент4 30 2" xfId="2357" xr:uid="{00000000-0005-0000-0000-000034090000}"/>
    <cellStyle name="40% - Акцент4 30_Свод гостин" xfId="2358" xr:uid="{00000000-0005-0000-0000-000035090000}"/>
    <cellStyle name="40% - Акцент4 31" xfId="2359" xr:uid="{00000000-0005-0000-0000-000036090000}"/>
    <cellStyle name="40% - Акцент4 31 2" xfId="2360" xr:uid="{00000000-0005-0000-0000-000037090000}"/>
    <cellStyle name="40% - Акцент4 31_Свод гостин" xfId="2361" xr:uid="{00000000-0005-0000-0000-000038090000}"/>
    <cellStyle name="40% - Акцент4 32" xfId="2362" xr:uid="{00000000-0005-0000-0000-000039090000}"/>
    <cellStyle name="40% - Акцент4 32 2" xfId="2363" xr:uid="{00000000-0005-0000-0000-00003A090000}"/>
    <cellStyle name="40% - Акцент4 32_Свод гостин" xfId="2364" xr:uid="{00000000-0005-0000-0000-00003B090000}"/>
    <cellStyle name="40% - Акцент4 33" xfId="2365" xr:uid="{00000000-0005-0000-0000-00003C090000}"/>
    <cellStyle name="40% - Акцент4 33 2" xfId="2366" xr:uid="{00000000-0005-0000-0000-00003D090000}"/>
    <cellStyle name="40% - Акцент4 33_Свод гостин" xfId="2367" xr:uid="{00000000-0005-0000-0000-00003E090000}"/>
    <cellStyle name="40% - Акцент4 34" xfId="2368" xr:uid="{00000000-0005-0000-0000-00003F090000}"/>
    <cellStyle name="40% - Акцент4 34 2" xfId="2369" xr:uid="{00000000-0005-0000-0000-000040090000}"/>
    <cellStyle name="40% - Акцент4 34_Свод гостин" xfId="2370" xr:uid="{00000000-0005-0000-0000-000041090000}"/>
    <cellStyle name="40% - Акцент4 35" xfId="2371" xr:uid="{00000000-0005-0000-0000-000042090000}"/>
    <cellStyle name="40% - Акцент4 35 2" xfId="2372" xr:uid="{00000000-0005-0000-0000-000043090000}"/>
    <cellStyle name="40% - Акцент4 35_Свод гостин" xfId="2373" xr:uid="{00000000-0005-0000-0000-000044090000}"/>
    <cellStyle name="40% - Акцент4 36" xfId="2374" xr:uid="{00000000-0005-0000-0000-000045090000}"/>
    <cellStyle name="40% - Акцент4 36 2" xfId="2375" xr:uid="{00000000-0005-0000-0000-000046090000}"/>
    <cellStyle name="40% - Акцент4 36_Свод гостин" xfId="2376" xr:uid="{00000000-0005-0000-0000-000047090000}"/>
    <cellStyle name="40% - Акцент4 37" xfId="2377" xr:uid="{00000000-0005-0000-0000-000048090000}"/>
    <cellStyle name="40% - Акцент4 37 2" xfId="2378" xr:uid="{00000000-0005-0000-0000-000049090000}"/>
    <cellStyle name="40% - Акцент4 37_Свод гостин" xfId="2379" xr:uid="{00000000-0005-0000-0000-00004A090000}"/>
    <cellStyle name="40% - Акцент4 38" xfId="2380" xr:uid="{00000000-0005-0000-0000-00004B090000}"/>
    <cellStyle name="40% - Акцент4 38 2" xfId="2381" xr:uid="{00000000-0005-0000-0000-00004C090000}"/>
    <cellStyle name="40% - Акцент4 38_Свод гостин" xfId="2382" xr:uid="{00000000-0005-0000-0000-00004D090000}"/>
    <cellStyle name="40% - Акцент4 39" xfId="2383" xr:uid="{00000000-0005-0000-0000-00004E090000}"/>
    <cellStyle name="40% - Акцент4 39 2" xfId="2384" xr:uid="{00000000-0005-0000-0000-00004F090000}"/>
    <cellStyle name="40% - Акцент4 39_Свод гостин" xfId="2385" xr:uid="{00000000-0005-0000-0000-000050090000}"/>
    <cellStyle name="40% - Акцент4 4" xfId="2386" xr:uid="{00000000-0005-0000-0000-000051090000}"/>
    <cellStyle name="40% - Акцент4 4 2" xfId="2387" xr:uid="{00000000-0005-0000-0000-000052090000}"/>
    <cellStyle name="40% - Акцент4 4_Свод гостин" xfId="2388" xr:uid="{00000000-0005-0000-0000-000053090000}"/>
    <cellStyle name="40% - Акцент4 40" xfId="2389" xr:uid="{00000000-0005-0000-0000-000054090000}"/>
    <cellStyle name="40% - Акцент4 40 2" xfId="2390" xr:uid="{00000000-0005-0000-0000-000055090000}"/>
    <cellStyle name="40% - Акцент4 40_Свод гостин" xfId="2391" xr:uid="{00000000-0005-0000-0000-000056090000}"/>
    <cellStyle name="40% - Акцент4 41" xfId="2392" xr:uid="{00000000-0005-0000-0000-000057090000}"/>
    <cellStyle name="40% - Акцент4 41 2" xfId="2393" xr:uid="{00000000-0005-0000-0000-000058090000}"/>
    <cellStyle name="40% - Акцент4 41_Свод гостин" xfId="2394" xr:uid="{00000000-0005-0000-0000-000059090000}"/>
    <cellStyle name="40% - Акцент4 42" xfId="2395" xr:uid="{00000000-0005-0000-0000-00005A090000}"/>
    <cellStyle name="40% - Акцент4 42 2" xfId="2396" xr:uid="{00000000-0005-0000-0000-00005B090000}"/>
    <cellStyle name="40% - Акцент4 42_Свод гостин" xfId="2397" xr:uid="{00000000-0005-0000-0000-00005C090000}"/>
    <cellStyle name="40% - Акцент4 43" xfId="2398" xr:uid="{00000000-0005-0000-0000-00005D090000}"/>
    <cellStyle name="40% - Акцент4 43 2" xfId="2399" xr:uid="{00000000-0005-0000-0000-00005E090000}"/>
    <cellStyle name="40% - Акцент4 43_Свод гостин" xfId="2400" xr:uid="{00000000-0005-0000-0000-00005F090000}"/>
    <cellStyle name="40% - Акцент4 44" xfId="2401" xr:uid="{00000000-0005-0000-0000-000060090000}"/>
    <cellStyle name="40% - Акцент4 44 2" xfId="2402" xr:uid="{00000000-0005-0000-0000-000061090000}"/>
    <cellStyle name="40% - Акцент4 44_Свод гостин" xfId="2403" xr:uid="{00000000-0005-0000-0000-000062090000}"/>
    <cellStyle name="40% - Акцент4 45" xfId="2404" xr:uid="{00000000-0005-0000-0000-000063090000}"/>
    <cellStyle name="40% - Акцент4 45 2" xfId="2405" xr:uid="{00000000-0005-0000-0000-000064090000}"/>
    <cellStyle name="40% - Акцент4 45_Свод гостин" xfId="2406" xr:uid="{00000000-0005-0000-0000-000065090000}"/>
    <cellStyle name="40% - Акцент4 46" xfId="2407" xr:uid="{00000000-0005-0000-0000-000066090000}"/>
    <cellStyle name="40% - Акцент4 46 2" xfId="2408" xr:uid="{00000000-0005-0000-0000-000067090000}"/>
    <cellStyle name="40% - Акцент4 46_Свод гостин" xfId="2409" xr:uid="{00000000-0005-0000-0000-000068090000}"/>
    <cellStyle name="40% - Акцент4 47" xfId="2410" xr:uid="{00000000-0005-0000-0000-000069090000}"/>
    <cellStyle name="40% - Акцент4 47 2" xfId="2411" xr:uid="{00000000-0005-0000-0000-00006A090000}"/>
    <cellStyle name="40% - Акцент4 47_Свод гостин" xfId="2412" xr:uid="{00000000-0005-0000-0000-00006B090000}"/>
    <cellStyle name="40% - Акцент4 48" xfId="2413" xr:uid="{00000000-0005-0000-0000-00006C090000}"/>
    <cellStyle name="40% - Акцент4 48 2" xfId="2414" xr:uid="{00000000-0005-0000-0000-00006D090000}"/>
    <cellStyle name="40% - Акцент4 48_Свод гостин" xfId="2415" xr:uid="{00000000-0005-0000-0000-00006E090000}"/>
    <cellStyle name="40% - Акцент4 49" xfId="2416" xr:uid="{00000000-0005-0000-0000-00006F090000}"/>
    <cellStyle name="40% - Акцент4 49 2" xfId="2417" xr:uid="{00000000-0005-0000-0000-000070090000}"/>
    <cellStyle name="40% - Акцент4 49_Свод гостин" xfId="2418" xr:uid="{00000000-0005-0000-0000-000071090000}"/>
    <cellStyle name="40% - Акцент4 5" xfId="2419" xr:uid="{00000000-0005-0000-0000-000072090000}"/>
    <cellStyle name="40% - Акцент4 5 2" xfId="2420" xr:uid="{00000000-0005-0000-0000-000073090000}"/>
    <cellStyle name="40% - Акцент4 5_Свод гостин" xfId="2421" xr:uid="{00000000-0005-0000-0000-000074090000}"/>
    <cellStyle name="40% - Акцент4 50" xfId="2422" xr:uid="{00000000-0005-0000-0000-000075090000}"/>
    <cellStyle name="40% - Акцент4 50 2" xfId="2423" xr:uid="{00000000-0005-0000-0000-000076090000}"/>
    <cellStyle name="40% - Акцент4 50_Свод гостин" xfId="2424" xr:uid="{00000000-0005-0000-0000-000077090000}"/>
    <cellStyle name="40% - Акцент4 51" xfId="2425" xr:uid="{00000000-0005-0000-0000-000078090000}"/>
    <cellStyle name="40% - Акцент4 51 2" xfId="2426" xr:uid="{00000000-0005-0000-0000-000079090000}"/>
    <cellStyle name="40% - Акцент4 51_Свод гостин" xfId="2427" xr:uid="{00000000-0005-0000-0000-00007A090000}"/>
    <cellStyle name="40% - Акцент4 52" xfId="2428" xr:uid="{00000000-0005-0000-0000-00007B090000}"/>
    <cellStyle name="40% - Акцент4 52 2" xfId="2429" xr:uid="{00000000-0005-0000-0000-00007C090000}"/>
    <cellStyle name="40% - Акцент4 52_Свод гостин" xfId="2430" xr:uid="{00000000-0005-0000-0000-00007D090000}"/>
    <cellStyle name="40% - Акцент4 53" xfId="2431" xr:uid="{00000000-0005-0000-0000-00007E090000}"/>
    <cellStyle name="40% - Акцент4 53 2" xfId="2432" xr:uid="{00000000-0005-0000-0000-00007F090000}"/>
    <cellStyle name="40% - Акцент4 53_Свод гостин" xfId="2433" xr:uid="{00000000-0005-0000-0000-000080090000}"/>
    <cellStyle name="40% - Акцент4 54" xfId="2434" xr:uid="{00000000-0005-0000-0000-000081090000}"/>
    <cellStyle name="40% - Акцент4 54 2" xfId="2435" xr:uid="{00000000-0005-0000-0000-000082090000}"/>
    <cellStyle name="40% - Акцент4 54_Свод гостин" xfId="2436" xr:uid="{00000000-0005-0000-0000-000083090000}"/>
    <cellStyle name="40% - Акцент4 55" xfId="2437" xr:uid="{00000000-0005-0000-0000-000084090000}"/>
    <cellStyle name="40% - Акцент4 55 2" xfId="2438" xr:uid="{00000000-0005-0000-0000-000085090000}"/>
    <cellStyle name="40% - Акцент4 55_Свод гостин" xfId="2439" xr:uid="{00000000-0005-0000-0000-000086090000}"/>
    <cellStyle name="40% - Акцент4 56" xfId="2440" xr:uid="{00000000-0005-0000-0000-000087090000}"/>
    <cellStyle name="40% - Акцент4 56 2" xfId="2441" xr:uid="{00000000-0005-0000-0000-000088090000}"/>
    <cellStyle name="40% - Акцент4 56_Свод гостин" xfId="2442" xr:uid="{00000000-0005-0000-0000-000089090000}"/>
    <cellStyle name="40% - Акцент4 57" xfId="2443" xr:uid="{00000000-0005-0000-0000-00008A090000}"/>
    <cellStyle name="40% - Акцент4 57 2" xfId="2444" xr:uid="{00000000-0005-0000-0000-00008B090000}"/>
    <cellStyle name="40% - Акцент4 57_Свод гостин" xfId="2445" xr:uid="{00000000-0005-0000-0000-00008C090000}"/>
    <cellStyle name="40% - Акцент4 58" xfId="2446" xr:uid="{00000000-0005-0000-0000-00008D090000}"/>
    <cellStyle name="40% - Акцент4 58 2" xfId="2447" xr:uid="{00000000-0005-0000-0000-00008E090000}"/>
    <cellStyle name="40% - Акцент4 58_Свод гостин" xfId="2448" xr:uid="{00000000-0005-0000-0000-00008F090000}"/>
    <cellStyle name="40% - Акцент4 59" xfId="2449" xr:uid="{00000000-0005-0000-0000-000090090000}"/>
    <cellStyle name="40% - Акцент4 59 2" xfId="2450" xr:uid="{00000000-0005-0000-0000-000091090000}"/>
    <cellStyle name="40% - Акцент4 59_Свод гостин" xfId="2451" xr:uid="{00000000-0005-0000-0000-000092090000}"/>
    <cellStyle name="40% - Акцент4 6" xfId="2452" xr:uid="{00000000-0005-0000-0000-000093090000}"/>
    <cellStyle name="40% - Акцент4 6 2" xfId="2453" xr:uid="{00000000-0005-0000-0000-000094090000}"/>
    <cellStyle name="40% - Акцент4 6_Свод гостин" xfId="2454" xr:uid="{00000000-0005-0000-0000-000095090000}"/>
    <cellStyle name="40% - Акцент4 60" xfId="2455" xr:uid="{00000000-0005-0000-0000-000096090000}"/>
    <cellStyle name="40% - Акцент4 60 2" xfId="2456" xr:uid="{00000000-0005-0000-0000-000097090000}"/>
    <cellStyle name="40% - Акцент4 60_Свод гостин" xfId="2457" xr:uid="{00000000-0005-0000-0000-000098090000}"/>
    <cellStyle name="40% - Акцент4 61" xfId="2458" xr:uid="{00000000-0005-0000-0000-000099090000}"/>
    <cellStyle name="40% - Акцент4 61 2" xfId="2459" xr:uid="{00000000-0005-0000-0000-00009A090000}"/>
    <cellStyle name="40% - Акцент4 61_Свод гостин" xfId="2460" xr:uid="{00000000-0005-0000-0000-00009B090000}"/>
    <cellStyle name="40% - Акцент4 62" xfId="2461" xr:uid="{00000000-0005-0000-0000-00009C090000}"/>
    <cellStyle name="40% - Акцент4 62 2" xfId="2462" xr:uid="{00000000-0005-0000-0000-00009D090000}"/>
    <cellStyle name="40% - Акцент4 62_Свод гостин" xfId="2463" xr:uid="{00000000-0005-0000-0000-00009E090000}"/>
    <cellStyle name="40% - Акцент4 63" xfId="2464" xr:uid="{00000000-0005-0000-0000-00009F090000}"/>
    <cellStyle name="40% - Акцент4 63 2" xfId="2465" xr:uid="{00000000-0005-0000-0000-0000A0090000}"/>
    <cellStyle name="40% - Акцент4 63_Свод гостин" xfId="2466" xr:uid="{00000000-0005-0000-0000-0000A1090000}"/>
    <cellStyle name="40% - Акцент4 64" xfId="2467" xr:uid="{00000000-0005-0000-0000-0000A2090000}"/>
    <cellStyle name="40% - Акцент4 64 2" xfId="2468" xr:uid="{00000000-0005-0000-0000-0000A3090000}"/>
    <cellStyle name="40% - Акцент4 64_Свод гостин" xfId="2469" xr:uid="{00000000-0005-0000-0000-0000A4090000}"/>
    <cellStyle name="40% - Акцент4 65" xfId="2470" xr:uid="{00000000-0005-0000-0000-0000A5090000}"/>
    <cellStyle name="40% - Акцент4 65 2" xfId="2471" xr:uid="{00000000-0005-0000-0000-0000A6090000}"/>
    <cellStyle name="40% - Акцент4 65_Свод гостин" xfId="2472" xr:uid="{00000000-0005-0000-0000-0000A7090000}"/>
    <cellStyle name="40% - Акцент4 66" xfId="2473" xr:uid="{00000000-0005-0000-0000-0000A8090000}"/>
    <cellStyle name="40% - Акцент4 66 2" xfId="2474" xr:uid="{00000000-0005-0000-0000-0000A9090000}"/>
    <cellStyle name="40% - Акцент4 66_Свод гостин" xfId="2475" xr:uid="{00000000-0005-0000-0000-0000AA090000}"/>
    <cellStyle name="40% - Акцент4 67" xfId="2476" xr:uid="{00000000-0005-0000-0000-0000AB090000}"/>
    <cellStyle name="40% - Акцент4 67 2" xfId="2477" xr:uid="{00000000-0005-0000-0000-0000AC090000}"/>
    <cellStyle name="40% - Акцент4 67_Свод гостин" xfId="2478" xr:uid="{00000000-0005-0000-0000-0000AD090000}"/>
    <cellStyle name="40% - Акцент4 68" xfId="2479" xr:uid="{00000000-0005-0000-0000-0000AE090000}"/>
    <cellStyle name="40% - Акцент4 68 2" xfId="2480" xr:uid="{00000000-0005-0000-0000-0000AF090000}"/>
    <cellStyle name="40% - Акцент4 68_Свод гостин" xfId="2481" xr:uid="{00000000-0005-0000-0000-0000B0090000}"/>
    <cellStyle name="40% - Акцент4 69" xfId="2482" xr:uid="{00000000-0005-0000-0000-0000B1090000}"/>
    <cellStyle name="40% - Акцент4 69 2" xfId="2483" xr:uid="{00000000-0005-0000-0000-0000B2090000}"/>
    <cellStyle name="40% - Акцент4 69_Свод гостин" xfId="2484" xr:uid="{00000000-0005-0000-0000-0000B3090000}"/>
    <cellStyle name="40% - Акцент4 7" xfId="2485" xr:uid="{00000000-0005-0000-0000-0000B4090000}"/>
    <cellStyle name="40% - Акцент4 7 2" xfId="2486" xr:uid="{00000000-0005-0000-0000-0000B5090000}"/>
    <cellStyle name="40% - Акцент4 7_Свод гостин" xfId="2487" xr:uid="{00000000-0005-0000-0000-0000B6090000}"/>
    <cellStyle name="40% - Акцент4 70" xfId="2488" xr:uid="{00000000-0005-0000-0000-0000B7090000}"/>
    <cellStyle name="40% - Акцент4 70 2" xfId="2489" xr:uid="{00000000-0005-0000-0000-0000B8090000}"/>
    <cellStyle name="40% - Акцент4 70_Свод гостин" xfId="2490" xr:uid="{00000000-0005-0000-0000-0000B9090000}"/>
    <cellStyle name="40% - Акцент4 71" xfId="2491" xr:uid="{00000000-0005-0000-0000-0000BA090000}"/>
    <cellStyle name="40% - Акцент4 71 2" xfId="2492" xr:uid="{00000000-0005-0000-0000-0000BB090000}"/>
    <cellStyle name="40% - Акцент4 71_Свод гостин" xfId="2493" xr:uid="{00000000-0005-0000-0000-0000BC090000}"/>
    <cellStyle name="40% - Акцент4 72" xfId="2494" xr:uid="{00000000-0005-0000-0000-0000BD090000}"/>
    <cellStyle name="40% - Акцент4 72 2" xfId="2495" xr:uid="{00000000-0005-0000-0000-0000BE090000}"/>
    <cellStyle name="40% - Акцент4 72_Свод гостин" xfId="2496" xr:uid="{00000000-0005-0000-0000-0000BF090000}"/>
    <cellStyle name="40% - Акцент4 73" xfId="2497" xr:uid="{00000000-0005-0000-0000-0000C0090000}"/>
    <cellStyle name="40% - Акцент4 73 2" xfId="2498" xr:uid="{00000000-0005-0000-0000-0000C1090000}"/>
    <cellStyle name="40% - Акцент4 73_Свод гостин" xfId="2499" xr:uid="{00000000-0005-0000-0000-0000C2090000}"/>
    <cellStyle name="40% - Акцент4 74" xfId="2500" xr:uid="{00000000-0005-0000-0000-0000C3090000}"/>
    <cellStyle name="40% - Акцент4 74 2" xfId="2501" xr:uid="{00000000-0005-0000-0000-0000C4090000}"/>
    <cellStyle name="40% - Акцент4 74_Свод гостин" xfId="2502" xr:uid="{00000000-0005-0000-0000-0000C5090000}"/>
    <cellStyle name="40% - Акцент4 75" xfId="2503" xr:uid="{00000000-0005-0000-0000-0000C6090000}"/>
    <cellStyle name="40% - Акцент4 75 2" xfId="2504" xr:uid="{00000000-0005-0000-0000-0000C7090000}"/>
    <cellStyle name="40% - Акцент4 75_Свод гостин" xfId="2505" xr:uid="{00000000-0005-0000-0000-0000C8090000}"/>
    <cellStyle name="40% - Акцент4 76" xfId="2506" xr:uid="{00000000-0005-0000-0000-0000C9090000}"/>
    <cellStyle name="40% - Акцент4 76 2" xfId="2507" xr:uid="{00000000-0005-0000-0000-0000CA090000}"/>
    <cellStyle name="40% - Акцент4 76_Свод гостин" xfId="2508" xr:uid="{00000000-0005-0000-0000-0000CB090000}"/>
    <cellStyle name="40% - Акцент4 77" xfId="2509" xr:uid="{00000000-0005-0000-0000-0000CC090000}"/>
    <cellStyle name="40% - Акцент4 77 2" xfId="2510" xr:uid="{00000000-0005-0000-0000-0000CD090000}"/>
    <cellStyle name="40% - Акцент4 77_Свод гостин" xfId="2511" xr:uid="{00000000-0005-0000-0000-0000CE090000}"/>
    <cellStyle name="40% - Акцент4 78" xfId="2512" xr:uid="{00000000-0005-0000-0000-0000CF090000}"/>
    <cellStyle name="40% - Акцент4 78 2" xfId="2513" xr:uid="{00000000-0005-0000-0000-0000D0090000}"/>
    <cellStyle name="40% - Акцент4 78_Свод гостин" xfId="2514" xr:uid="{00000000-0005-0000-0000-0000D1090000}"/>
    <cellStyle name="40% - Акцент4 79" xfId="2515" xr:uid="{00000000-0005-0000-0000-0000D2090000}"/>
    <cellStyle name="40% - Акцент4 79 2" xfId="2516" xr:uid="{00000000-0005-0000-0000-0000D3090000}"/>
    <cellStyle name="40% - Акцент4 79_Свод гостин" xfId="2517" xr:uid="{00000000-0005-0000-0000-0000D4090000}"/>
    <cellStyle name="40% - Акцент4 8" xfId="2518" xr:uid="{00000000-0005-0000-0000-0000D5090000}"/>
    <cellStyle name="40% - Акцент4 8 2" xfId="2519" xr:uid="{00000000-0005-0000-0000-0000D6090000}"/>
    <cellStyle name="40% - Акцент4 8_Свод гостин" xfId="2520" xr:uid="{00000000-0005-0000-0000-0000D7090000}"/>
    <cellStyle name="40% - Акцент4 80" xfId="2521" xr:uid="{00000000-0005-0000-0000-0000D8090000}"/>
    <cellStyle name="40% - Акцент4 80 2" xfId="2522" xr:uid="{00000000-0005-0000-0000-0000D9090000}"/>
    <cellStyle name="40% - Акцент4 80_Свод гостин" xfId="2523" xr:uid="{00000000-0005-0000-0000-0000DA090000}"/>
    <cellStyle name="40% - Акцент4 81" xfId="2524" xr:uid="{00000000-0005-0000-0000-0000DB090000}"/>
    <cellStyle name="40% - Акцент4 81 2" xfId="2525" xr:uid="{00000000-0005-0000-0000-0000DC090000}"/>
    <cellStyle name="40% - Акцент4 81_Свод гостин" xfId="2526" xr:uid="{00000000-0005-0000-0000-0000DD090000}"/>
    <cellStyle name="40% - Акцент4 82" xfId="2527" xr:uid="{00000000-0005-0000-0000-0000DE090000}"/>
    <cellStyle name="40% - Акцент4 82 2" xfId="2528" xr:uid="{00000000-0005-0000-0000-0000DF090000}"/>
    <cellStyle name="40% - Акцент4 82_Свод гостин" xfId="2529" xr:uid="{00000000-0005-0000-0000-0000E0090000}"/>
    <cellStyle name="40% - Акцент4 83" xfId="2530" xr:uid="{00000000-0005-0000-0000-0000E1090000}"/>
    <cellStyle name="40% - Акцент4 83 2" xfId="2531" xr:uid="{00000000-0005-0000-0000-0000E2090000}"/>
    <cellStyle name="40% - Акцент4 83_Свод гостин" xfId="2532" xr:uid="{00000000-0005-0000-0000-0000E3090000}"/>
    <cellStyle name="40% - Акцент4 9" xfId="2533" xr:uid="{00000000-0005-0000-0000-0000E4090000}"/>
    <cellStyle name="40% - Акцент4 9 2" xfId="2534" xr:uid="{00000000-0005-0000-0000-0000E5090000}"/>
    <cellStyle name="40% - Акцент4 9_Свод гостин" xfId="2535" xr:uid="{00000000-0005-0000-0000-0000E6090000}"/>
    <cellStyle name="40% - Акцент5 10" xfId="2536" xr:uid="{00000000-0005-0000-0000-0000E7090000}"/>
    <cellStyle name="40% - Акцент5 10 2" xfId="2537" xr:uid="{00000000-0005-0000-0000-0000E8090000}"/>
    <cellStyle name="40% - Акцент5 10_Свод гостин" xfId="2538" xr:uid="{00000000-0005-0000-0000-0000E9090000}"/>
    <cellStyle name="40% - Акцент5 11" xfId="2539" xr:uid="{00000000-0005-0000-0000-0000EA090000}"/>
    <cellStyle name="40% - Акцент5 11 2" xfId="2540" xr:uid="{00000000-0005-0000-0000-0000EB090000}"/>
    <cellStyle name="40% - Акцент5 11_Свод гостин" xfId="2541" xr:uid="{00000000-0005-0000-0000-0000EC090000}"/>
    <cellStyle name="40% - Акцент5 12" xfId="2542" xr:uid="{00000000-0005-0000-0000-0000ED090000}"/>
    <cellStyle name="40% - Акцент5 12 2" xfId="2543" xr:uid="{00000000-0005-0000-0000-0000EE090000}"/>
    <cellStyle name="40% - Акцент5 12_Свод гостин" xfId="2544" xr:uid="{00000000-0005-0000-0000-0000EF090000}"/>
    <cellStyle name="40% - Акцент5 13" xfId="2545" xr:uid="{00000000-0005-0000-0000-0000F0090000}"/>
    <cellStyle name="40% - Акцент5 13 2" xfId="2546" xr:uid="{00000000-0005-0000-0000-0000F1090000}"/>
    <cellStyle name="40% - Акцент5 13_Свод гостин" xfId="2547" xr:uid="{00000000-0005-0000-0000-0000F2090000}"/>
    <cellStyle name="40% - Акцент5 14" xfId="2548" xr:uid="{00000000-0005-0000-0000-0000F3090000}"/>
    <cellStyle name="40% - Акцент5 14 2" xfId="2549" xr:uid="{00000000-0005-0000-0000-0000F4090000}"/>
    <cellStyle name="40% - Акцент5 14_Свод гостин" xfId="2550" xr:uid="{00000000-0005-0000-0000-0000F5090000}"/>
    <cellStyle name="40% - Акцент5 15" xfId="2551" xr:uid="{00000000-0005-0000-0000-0000F6090000}"/>
    <cellStyle name="40% - Акцент5 15 2" xfId="2552" xr:uid="{00000000-0005-0000-0000-0000F7090000}"/>
    <cellStyle name="40% - Акцент5 15_Свод гостин" xfId="2553" xr:uid="{00000000-0005-0000-0000-0000F8090000}"/>
    <cellStyle name="40% - Акцент5 16" xfId="2554" xr:uid="{00000000-0005-0000-0000-0000F9090000}"/>
    <cellStyle name="40% - Акцент5 16 2" xfId="2555" xr:uid="{00000000-0005-0000-0000-0000FA090000}"/>
    <cellStyle name="40% - Акцент5 16_Свод гостин" xfId="2556" xr:uid="{00000000-0005-0000-0000-0000FB090000}"/>
    <cellStyle name="40% - Акцент5 17" xfId="2557" xr:uid="{00000000-0005-0000-0000-0000FC090000}"/>
    <cellStyle name="40% - Акцент5 17 2" xfId="2558" xr:uid="{00000000-0005-0000-0000-0000FD090000}"/>
    <cellStyle name="40% - Акцент5 17_Свод гостин" xfId="2559" xr:uid="{00000000-0005-0000-0000-0000FE090000}"/>
    <cellStyle name="40% - Акцент5 18" xfId="2560" xr:uid="{00000000-0005-0000-0000-0000FF090000}"/>
    <cellStyle name="40% - Акцент5 18 2" xfId="2561" xr:uid="{00000000-0005-0000-0000-0000000A0000}"/>
    <cellStyle name="40% - Акцент5 18_Свод гостин" xfId="2562" xr:uid="{00000000-0005-0000-0000-0000010A0000}"/>
    <cellStyle name="40% - Акцент5 19" xfId="2563" xr:uid="{00000000-0005-0000-0000-0000020A0000}"/>
    <cellStyle name="40% - Акцент5 19 2" xfId="2564" xr:uid="{00000000-0005-0000-0000-0000030A0000}"/>
    <cellStyle name="40% - Акцент5 19_Свод гостин" xfId="2565" xr:uid="{00000000-0005-0000-0000-0000040A0000}"/>
    <cellStyle name="40% - Акцент5 2" xfId="2566" xr:uid="{00000000-0005-0000-0000-0000050A0000}"/>
    <cellStyle name="40% - Акцент5 2 2" xfId="2567" xr:uid="{00000000-0005-0000-0000-0000060A0000}"/>
    <cellStyle name="40% - Акцент5 2_Свод гостин" xfId="2568" xr:uid="{00000000-0005-0000-0000-0000070A0000}"/>
    <cellStyle name="40% - Акцент5 20" xfId="2569" xr:uid="{00000000-0005-0000-0000-0000080A0000}"/>
    <cellStyle name="40% - Акцент5 20 2" xfId="2570" xr:uid="{00000000-0005-0000-0000-0000090A0000}"/>
    <cellStyle name="40% - Акцент5 20_Свод гостин" xfId="2571" xr:uid="{00000000-0005-0000-0000-00000A0A0000}"/>
    <cellStyle name="40% - Акцент5 21" xfId="2572" xr:uid="{00000000-0005-0000-0000-00000B0A0000}"/>
    <cellStyle name="40% - Акцент5 21 2" xfId="2573" xr:uid="{00000000-0005-0000-0000-00000C0A0000}"/>
    <cellStyle name="40% - Акцент5 21_Свод гостин" xfId="2574" xr:uid="{00000000-0005-0000-0000-00000D0A0000}"/>
    <cellStyle name="40% - Акцент5 22" xfId="2575" xr:uid="{00000000-0005-0000-0000-00000E0A0000}"/>
    <cellStyle name="40% - Акцент5 22 2" xfId="2576" xr:uid="{00000000-0005-0000-0000-00000F0A0000}"/>
    <cellStyle name="40% - Акцент5 22_Свод гостин" xfId="2577" xr:uid="{00000000-0005-0000-0000-0000100A0000}"/>
    <cellStyle name="40% - Акцент5 23" xfId="2578" xr:uid="{00000000-0005-0000-0000-0000110A0000}"/>
    <cellStyle name="40% - Акцент5 23 2" xfId="2579" xr:uid="{00000000-0005-0000-0000-0000120A0000}"/>
    <cellStyle name="40% - Акцент5 23_Свод гостин" xfId="2580" xr:uid="{00000000-0005-0000-0000-0000130A0000}"/>
    <cellStyle name="40% - Акцент5 24" xfId="2581" xr:uid="{00000000-0005-0000-0000-0000140A0000}"/>
    <cellStyle name="40% - Акцент5 24 2" xfId="2582" xr:uid="{00000000-0005-0000-0000-0000150A0000}"/>
    <cellStyle name="40% - Акцент5 24_Свод гостин" xfId="2583" xr:uid="{00000000-0005-0000-0000-0000160A0000}"/>
    <cellStyle name="40% - Акцент5 25" xfId="2584" xr:uid="{00000000-0005-0000-0000-0000170A0000}"/>
    <cellStyle name="40% - Акцент5 25 2" xfId="2585" xr:uid="{00000000-0005-0000-0000-0000180A0000}"/>
    <cellStyle name="40% - Акцент5 25_Свод гостин" xfId="2586" xr:uid="{00000000-0005-0000-0000-0000190A0000}"/>
    <cellStyle name="40% - Акцент5 26" xfId="2587" xr:uid="{00000000-0005-0000-0000-00001A0A0000}"/>
    <cellStyle name="40% - Акцент5 26 2" xfId="2588" xr:uid="{00000000-0005-0000-0000-00001B0A0000}"/>
    <cellStyle name="40% - Акцент5 26_Свод гостин" xfId="2589" xr:uid="{00000000-0005-0000-0000-00001C0A0000}"/>
    <cellStyle name="40% - Акцент5 27" xfId="2590" xr:uid="{00000000-0005-0000-0000-00001D0A0000}"/>
    <cellStyle name="40% - Акцент5 27 2" xfId="2591" xr:uid="{00000000-0005-0000-0000-00001E0A0000}"/>
    <cellStyle name="40% - Акцент5 27_Свод гостин" xfId="2592" xr:uid="{00000000-0005-0000-0000-00001F0A0000}"/>
    <cellStyle name="40% - Акцент5 28" xfId="2593" xr:uid="{00000000-0005-0000-0000-0000200A0000}"/>
    <cellStyle name="40% - Акцент5 28 2" xfId="2594" xr:uid="{00000000-0005-0000-0000-0000210A0000}"/>
    <cellStyle name="40% - Акцент5 28_Свод гостин" xfId="2595" xr:uid="{00000000-0005-0000-0000-0000220A0000}"/>
    <cellStyle name="40% - Акцент5 29" xfId="2596" xr:uid="{00000000-0005-0000-0000-0000230A0000}"/>
    <cellStyle name="40% - Акцент5 29 2" xfId="2597" xr:uid="{00000000-0005-0000-0000-0000240A0000}"/>
    <cellStyle name="40% - Акцент5 29_Свод гостин" xfId="2598" xr:uid="{00000000-0005-0000-0000-0000250A0000}"/>
    <cellStyle name="40% - Акцент5 3" xfId="2599" xr:uid="{00000000-0005-0000-0000-0000260A0000}"/>
    <cellStyle name="40% - Акцент5 3 2" xfId="2600" xr:uid="{00000000-0005-0000-0000-0000270A0000}"/>
    <cellStyle name="40% - Акцент5 3_Свод гостин" xfId="2601" xr:uid="{00000000-0005-0000-0000-0000280A0000}"/>
    <cellStyle name="40% - Акцент5 30" xfId="2602" xr:uid="{00000000-0005-0000-0000-0000290A0000}"/>
    <cellStyle name="40% - Акцент5 30 2" xfId="2603" xr:uid="{00000000-0005-0000-0000-00002A0A0000}"/>
    <cellStyle name="40% - Акцент5 30_Свод гостин" xfId="2604" xr:uid="{00000000-0005-0000-0000-00002B0A0000}"/>
    <cellStyle name="40% - Акцент5 31" xfId="2605" xr:uid="{00000000-0005-0000-0000-00002C0A0000}"/>
    <cellStyle name="40% - Акцент5 31 2" xfId="2606" xr:uid="{00000000-0005-0000-0000-00002D0A0000}"/>
    <cellStyle name="40% - Акцент5 31_Свод гостин" xfId="2607" xr:uid="{00000000-0005-0000-0000-00002E0A0000}"/>
    <cellStyle name="40% - Акцент5 32" xfId="2608" xr:uid="{00000000-0005-0000-0000-00002F0A0000}"/>
    <cellStyle name="40% - Акцент5 32 2" xfId="2609" xr:uid="{00000000-0005-0000-0000-0000300A0000}"/>
    <cellStyle name="40% - Акцент5 32_Свод гостин" xfId="2610" xr:uid="{00000000-0005-0000-0000-0000310A0000}"/>
    <cellStyle name="40% - Акцент5 33" xfId="2611" xr:uid="{00000000-0005-0000-0000-0000320A0000}"/>
    <cellStyle name="40% - Акцент5 33 2" xfId="2612" xr:uid="{00000000-0005-0000-0000-0000330A0000}"/>
    <cellStyle name="40% - Акцент5 33_Свод гостин" xfId="2613" xr:uid="{00000000-0005-0000-0000-0000340A0000}"/>
    <cellStyle name="40% - Акцент5 34" xfId="2614" xr:uid="{00000000-0005-0000-0000-0000350A0000}"/>
    <cellStyle name="40% - Акцент5 34 2" xfId="2615" xr:uid="{00000000-0005-0000-0000-0000360A0000}"/>
    <cellStyle name="40% - Акцент5 34_Свод гостин" xfId="2616" xr:uid="{00000000-0005-0000-0000-0000370A0000}"/>
    <cellStyle name="40% - Акцент5 35" xfId="2617" xr:uid="{00000000-0005-0000-0000-0000380A0000}"/>
    <cellStyle name="40% - Акцент5 35 2" xfId="2618" xr:uid="{00000000-0005-0000-0000-0000390A0000}"/>
    <cellStyle name="40% - Акцент5 35_Свод гостин" xfId="2619" xr:uid="{00000000-0005-0000-0000-00003A0A0000}"/>
    <cellStyle name="40% - Акцент5 36" xfId="2620" xr:uid="{00000000-0005-0000-0000-00003B0A0000}"/>
    <cellStyle name="40% - Акцент5 36 2" xfId="2621" xr:uid="{00000000-0005-0000-0000-00003C0A0000}"/>
    <cellStyle name="40% - Акцент5 36_Свод гостин" xfId="2622" xr:uid="{00000000-0005-0000-0000-00003D0A0000}"/>
    <cellStyle name="40% - Акцент5 37" xfId="2623" xr:uid="{00000000-0005-0000-0000-00003E0A0000}"/>
    <cellStyle name="40% - Акцент5 37 2" xfId="2624" xr:uid="{00000000-0005-0000-0000-00003F0A0000}"/>
    <cellStyle name="40% - Акцент5 37_Свод гостин" xfId="2625" xr:uid="{00000000-0005-0000-0000-0000400A0000}"/>
    <cellStyle name="40% - Акцент5 38" xfId="2626" xr:uid="{00000000-0005-0000-0000-0000410A0000}"/>
    <cellStyle name="40% - Акцент5 38 2" xfId="2627" xr:uid="{00000000-0005-0000-0000-0000420A0000}"/>
    <cellStyle name="40% - Акцент5 38_Свод гостин" xfId="2628" xr:uid="{00000000-0005-0000-0000-0000430A0000}"/>
    <cellStyle name="40% - Акцент5 39" xfId="2629" xr:uid="{00000000-0005-0000-0000-0000440A0000}"/>
    <cellStyle name="40% - Акцент5 39 2" xfId="2630" xr:uid="{00000000-0005-0000-0000-0000450A0000}"/>
    <cellStyle name="40% - Акцент5 39_Свод гостин" xfId="2631" xr:uid="{00000000-0005-0000-0000-0000460A0000}"/>
    <cellStyle name="40% - Акцент5 4" xfId="2632" xr:uid="{00000000-0005-0000-0000-0000470A0000}"/>
    <cellStyle name="40% - Акцент5 4 2" xfId="2633" xr:uid="{00000000-0005-0000-0000-0000480A0000}"/>
    <cellStyle name="40% - Акцент5 4_Свод гостин" xfId="2634" xr:uid="{00000000-0005-0000-0000-0000490A0000}"/>
    <cellStyle name="40% - Акцент5 40" xfId="2635" xr:uid="{00000000-0005-0000-0000-00004A0A0000}"/>
    <cellStyle name="40% - Акцент5 40 2" xfId="2636" xr:uid="{00000000-0005-0000-0000-00004B0A0000}"/>
    <cellStyle name="40% - Акцент5 40_Свод гостин" xfId="2637" xr:uid="{00000000-0005-0000-0000-00004C0A0000}"/>
    <cellStyle name="40% - Акцент5 41" xfId="2638" xr:uid="{00000000-0005-0000-0000-00004D0A0000}"/>
    <cellStyle name="40% - Акцент5 41 2" xfId="2639" xr:uid="{00000000-0005-0000-0000-00004E0A0000}"/>
    <cellStyle name="40% - Акцент5 41_Свод гостин" xfId="2640" xr:uid="{00000000-0005-0000-0000-00004F0A0000}"/>
    <cellStyle name="40% - Акцент5 42" xfId="2641" xr:uid="{00000000-0005-0000-0000-0000500A0000}"/>
    <cellStyle name="40% - Акцент5 42 2" xfId="2642" xr:uid="{00000000-0005-0000-0000-0000510A0000}"/>
    <cellStyle name="40% - Акцент5 42_Свод гостин" xfId="2643" xr:uid="{00000000-0005-0000-0000-0000520A0000}"/>
    <cellStyle name="40% - Акцент5 43" xfId="2644" xr:uid="{00000000-0005-0000-0000-0000530A0000}"/>
    <cellStyle name="40% - Акцент5 43 2" xfId="2645" xr:uid="{00000000-0005-0000-0000-0000540A0000}"/>
    <cellStyle name="40% - Акцент5 43_Свод гостин" xfId="2646" xr:uid="{00000000-0005-0000-0000-0000550A0000}"/>
    <cellStyle name="40% - Акцент5 44" xfId="2647" xr:uid="{00000000-0005-0000-0000-0000560A0000}"/>
    <cellStyle name="40% - Акцент5 44 2" xfId="2648" xr:uid="{00000000-0005-0000-0000-0000570A0000}"/>
    <cellStyle name="40% - Акцент5 44_Свод гостин" xfId="2649" xr:uid="{00000000-0005-0000-0000-0000580A0000}"/>
    <cellStyle name="40% - Акцент5 45" xfId="2650" xr:uid="{00000000-0005-0000-0000-0000590A0000}"/>
    <cellStyle name="40% - Акцент5 45 2" xfId="2651" xr:uid="{00000000-0005-0000-0000-00005A0A0000}"/>
    <cellStyle name="40% - Акцент5 45_Свод гостин" xfId="2652" xr:uid="{00000000-0005-0000-0000-00005B0A0000}"/>
    <cellStyle name="40% - Акцент5 46" xfId="2653" xr:uid="{00000000-0005-0000-0000-00005C0A0000}"/>
    <cellStyle name="40% - Акцент5 46 2" xfId="2654" xr:uid="{00000000-0005-0000-0000-00005D0A0000}"/>
    <cellStyle name="40% - Акцент5 46_Свод гостин" xfId="2655" xr:uid="{00000000-0005-0000-0000-00005E0A0000}"/>
    <cellStyle name="40% - Акцент5 47" xfId="2656" xr:uid="{00000000-0005-0000-0000-00005F0A0000}"/>
    <cellStyle name="40% - Акцент5 47 2" xfId="2657" xr:uid="{00000000-0005-0000-0000-0000600A0000}"/>
    <cellStyle name="40% - Акцент5 47_Свод гостин" xfId="2658" xr:uid="{00000000-0005-0000-0000-0000610A0000}"/>
    <cellStyle name="40% - Акцент5 48" xfId="2659" xr:uid="{00000000-0005-0000-0000-0000620A0000}"/>
    <cellStyle name="40% - Акцент5 48 2" xfId="2660" xr:uid="{00000000-0005-0000-0000-0000630A0000}"/>
    <cellStyle name="40% - Акцент5 48_Свод гостин" xfId="2661" xr:uid="{00000000-0005-0000-0000-0000640A0000}"/>
    <cellStyle name="40% - Акцент5 49" xfId="2662" xr:uid="{00000000-0005-0000-0000-0000650A0000}"/>
    <cellStyle name="40% - Акцент5 49 2" xfId="2663" xr:uid="{00000000-0005-0000-0000-0000660A0000}"/>
    <cellStyle name="40% - Акцент5 49_Свод гостин" xfId="2664" xr:uid="{00000000-0005-0000-0000-0000670A0000}"/>
    <cellStyle name="40% - Акцент5 5" xfId="2665" xr:uid="{00000000-0005-0000-0000-0000680A0000}"/>
    <cellStyle name="40% - Акцент5 5 2" xfId="2666" xr:uid="{00000000-0005-0000-0000-0000690A0000}"/>
    <cellStyle name="40% - Акцент5 5_Свод гостин" xfId="2667" xr:uid="{00000000-0005-0000-0000-00006A0A0000}"/>
    <cellStyle name="40% - Акцент5 50" xfId="2668" xr:uid="{00000000-0005-0000-0000-00006B0A0000}"/>
    <cellStyle name="40% - Акцент5 50 2" xfId="2669" xr:uid="{00000000-0005-0000-0000-00006C0A0000}"/>
    <cellStyle name="40% - Акцент5 50_Свод гостин" xfId="2670" xr:uid="{00000000-0005-0000-0000-00006D0A0000}"/>
    <cellStyle name="40% - Акцент5 51" xfId="2671" xr:uid="{00000000-0005-0000-0000-00006E0A0000}"/>
    <cellStyle name="40% - Акцент5 51 2" xfId="2672" xr:uid="{00000000-0005-0000-0000-00006F0A0000}"/>
    <cellStyle name="40% - Акцент5 51_Свод гостин" xfId="2673" xr:uid="{00000000-0005-0000-0000-0000700A0000}"/>
    <cellStyle name="40% - Акцент5 52" xfId="2674" xr:uid="{00000000-0005-0000-0000-0000710A0000}"/>
    <cellStyle name="40% - Акцент5 52 2" xfId="2675" xr:uid="{00000000-0005-0000-0000-0000720A0000}"/>
    <cellStyle name="40% - Акцент5 52_Свод гостин" xfId="2676" xr:uid="{00000000-0005-0000-0000-0000730A0000}"/>
    <cellStyle name="40% - Акцент5 53" xfId="2677" xr:uid="{00000000-0005-0000-0000-0000740A0000}"/>
    <cellStyle name="40% - Акцент5 53 2" xfId="2678" xr:uid="{00000000-0005-0000-0000-0000750A0000}"/>
    <cellStyle name="40% - Акцент5 53_Свод гостин" xfId="2679" xr:uid="{00000000-0005-0000-0000-0000760A0000}"/>
    <cellStyle name="40% - Акцент5 54" xfId="2680" xr:uid="{00000000-0005-0000-0000-0000770A0000}"/>
    <cellStyle name="40% - Акцент5 54 2" xfId="2681" xr:uid="{00000000-0005-0000-0000-0000780A0000}"/>
    <cellStyle name="40% - Акцент5 54_Свод гостин" xfId="2682" xr:uid="{00000000-0005-0000-0000-0000790A0000}"/>
    <cellStyle name="40% - Акцент5 55" xfId="2683" xr:uid="{00000000-0005-0000-0000-00007A0A0000}"/>
    <cellStyle name="40% - Акцент5 55 2" xfId="2684" xr:uid="{00000000-0005-0000-0000-00007B0A0000}"/>
    <cellStyle name="40% - Акцент5 55_Свод гостин" xfId="2685" xr:uid="{00000000-0005-0000-0000-00007C0A0000}"/>
    <cellStyle name="40% - Акцент5 56" xfId="2686" xr:uid="{00000000-0005-0000-0000-00007D0A0000}"/>
    <cellStyle name="40% - Акцент5 56 2" xfId="2687" xr:uid="{00000000-0005-0000-0000-00007E0A0000}"/>
    <cellStyle name="40% - Акцент5 56_Свод гостин" xfId="2688" xr:uid="{00000000-0005-0000-0000-00007F0A0000}"/>
    <cellStyle name="40% - Акцент5 57" xfId="2689" xr:uid="{00000000-0005-0000-0000-0000800A0000}"/>
    <cellStyle name="40% - Акцент5 57 2" xfId="2690" xr:uid="{00000000-0005-0000-0000-0000810A0000}"/>
    <cellStyle name="40% - Акцент5 57_Свод гостин" xfId="2691" xr:uid="{00000000-0005-0000-0000-0000820A0000}"/>
    <cellStyle name="40% - Акцент5 58" xfId="2692" xr:uid="{00000000-0005-0000-0000-0000830A0000}"/>
    <cellStyle name="40% - Акцент5 58 2" xfId="2693" xr:uid="{00000000-0005-0000-0000-0000840A0000}"/>
    <cellStyle name="40% - Акцент5 58_Свод гостин" xfId="2694" xr:uid="{00000000-0005-0000-0000-0000850A0000}"/>
    <cellStyle name="40% - Акцент5 59" xfId="2695" xr:uid="{00000000-0005-0000-0000-0000860A0000}"/>
    <cellStyle name="40% - Акцент5 59 2" xfId="2696" xr:uid="{00000000-0005-0000-0000-0000870A0000}"/>
    <cellStyle name="40% - Акцент5 59_Свод гостин" xfId="2697" xr:uid="{00000000-0005-0000-0000-0000880A0000}"/>
    <cellStyle name="40% - Акцент5 6" xfId="2698" xr:uid="{00000000-0005-0000-0000-0000890A0000}"/>
    <cellStyle name="40% - Акцент5 6 2" xfId="2699" xr:uid="{00000000-0005-0000-0000-00008A0A0000}"/>
    <cellStyle name="40% - Акцент5 6_Свод гостин" xfId="2700" xr:uid="{00000000-0005-0000-0000-00008B0A0000}"/>
    <cellStyle name="40% - Акцент5 60" xfId="2701" xr:uid="{00000000-0005-0000-0000-00008C0A0000}"/>
    <cellStyle name="40% - Акцент5 60 2" xfId="2702" xr:uid="{00000000-0005-0000-0000-00008D0A0000}"/>
    <cellStyle name="40% - Акцент5 60_Свод гостин" xfId="2703" xr:uid="{00000000-0005-0000-0000-00008E0A0000}"/>
    <cellStyle name="40% - Акцент5 61" xfId="2704" xr:uid="{00000000-0005-0000-0000-00008F0A0000}"/>
    <cellStyle name="40% - Акцент5 61 2" xfId="2705" xr:uid="{00000000-0005-0000-0000-0000900A0000}"/>
    <cellStyle name="40% - Акцент5 61_Свод гостин" xfId="2706" xr:uid="{00000000-0005-0000-0000-0000910A0000}"/>
    <cellStyle name="40% - Акцент5 62" xfId="2707" xr:uid="{00000000-0005-0000-0000-0000920A0000}"/>
    <cellStyle name="40% - Акцент5 62 2" xfId="2708" xr:uid="{00000000-0005-0000-0000-0000930A0000}"/>
    <cellStyle name="40% - Акцент5 62_Свод гостин" xfId="2709" xr:uid="{00000000-0005-0000-0000-0000940A0000}"/>
    <cellStyle name="40% - Акцент5 63" xfId="2710" xr:uid="{00000000-0005-0000-0000-0000950A0000}"/>
    <cellStyle name="40% - Акцент5 63 2" xfId="2711" xr:uid="{00000000-0005-0000-0000-0000960A0000}"/>
    <cellStyle name="40% - Акцент5 63_Свод гостин" xfId="2712" xr:uid="{00000000-0005-0000-0000-0000970A0000}"/>
    <cellStyle name="40% - Акцент5 64" xfId="2713" xr:uid="{00000000-0005-0000-0000-0000980A0000}"/>
    <cellStyle name="40% - Акцент5 64 2" xfId="2714" xr:uid="{00000000-0005-0000-0000-0000990A0000}"/>
    <cellStyle name="40% - Акцент5 64_Свод гостин" xfId="2715" xr:uid="{00000000-0005-0000-0000-00009A0A0000}"/>
    <cellStyle name="40% - Акцент5 65" xfId="2716" xr:uid="{00000000-0005-0000-0000-00009B0A0000}"/>
    <cellStyle name="40% - Акцент5 65 2" xfId="2717" xr:uid="{00000000-0005-0000-0000-00009C0A0000}"/>
    <cellStyle name="40% - Акцент5 65_Свод гостин" xfId="2718" xr:uid="{00000000-0005-0000-0000-00009D0A0000}"/>
    <cellStyle name="40% - Акцент5 66" xfId="2719" xr:uid="{00000000-0005-0000-0000-00009E0A0000}"/>
    <cellStyle name="40% - Акцент5 66 2" xfId="2720" xr:uid="{00000000-0005-0000-0000-00009F0A0000}"/>
    <cellStyle name="40% - Акцент5 66_Свод гостин" xfId="2721" xr:uid="{00000000-0005-0000-0000-0000A00A0000}"/>
    <cellStyle name="40% - Акцент5 67" xfId="2722" xr:uid="{00000000-0005-0000-0000-0000A10A0000}"/>
    <cellStyle name="40% - Акцент5 67 2" xfId="2723" xr:uid="{00000000-0005-0000-0000-0000A20A0000}"/>
    <cellStyle name="40% - Акцент5 67_Свод гостин" xfId="2724" xr:uid="{00000000-0005-0000-0000-0000A30A0000}"/>
    <cellStyle name="40% - Акцент5 68" xfId="2725" xr:uid="{00000000-0005-0000-0000-0000A40A0000}"/>
    <cellStyle name="40% - Акцент5 68 2" xfId="2726" xr:uid="{00000000-0005-0000-0000-0000A50A0000}"/>
    <cellStyle name="40% - Акцент5 68_Свод гостин" xfId="2727" xr:uid="{00000000-0005-0000-0000-0000A60A0000}"/>
    <cellStyle name="40% - Акцент5 69" xfId="2728" xr:uid="{00000000-0005-0000-0000-0000A70A0000}"/>
    <cellStyle name="40% - Акцент5 69 2" xfId="2729" xr:uid="{00000000-0005-0000-0000-0000A80A0000}"/>
    <cellStyle name="40% - Акцент5 69_Свод гостин" xfId="2730" xr:uid="{00000000-0005-0000-0000-0000A90A0000}"/>
    <cellStyle name="40% - Акцент5 7" xfId="2731" xr:uid="{00000000-0005-0000-0000-0000AA0A0000}"/>
    <cellStyle name="40% - Акцент5 7 2" xfId="2732" xr:uid="{00000000-0005-0000-0000-0000AB0A0000}"/>
    <cellStyle name="40% - Акцент5 7_Свод гостин" xfId="2733" xr:uid="{00000000-0005-0000-0000-0000AC0A0000}"/>
    <cellStyle name="40% - Акцент5 70" xfId="2734" xr:uid="{00000000-0005-0000-0000-0000AD0A0000}"/>
    <cellStyle name="40% - Акцент5 70 2" xfId="2735" xr:uid="{00000000-0005-0000-0000-0000AE0A0000}"/>
    <cellStyle name="40% - Акцент5 70_Свод гостин" xfId="2736" xr:uid="{00000000-0005-0000-0000-0000AF0A0000}"/>
    <cellStyle name="40% - Акцент5 71" xfId="2737" xr:uid="{00000000-0005-0000-0000-0000B00A0000}"/>
    <cellStyle name="40% - Акцент5 71 2" xfId="2738" xr:uid="{00000000-0005-0000-0000-0000B10A0000}"/>
    <cellStyle name="40% - Акцент5 71_Свод гостин" xfId="2739" xr:uid="{00000000-0005-0000-0000-0000B20A0000}"/>
    <cellStyle name="40% - Акцент5 72" xfId="2740" xr:uid="{00000000-0005-0000-0000-0000B30A0000}"/>
    <cellStyle name="40% - Акцент5 72 2" xfId="2741" xr:uid="{00000000-0005-0000-0000-0000B40A0000}"/>
    <cellStyle name="40% - Акцент5 72_Свод гостин" xfId="2742" xr:uid="{00000000-0005-0000-0000-0000B50A0000}"/>
    <cellStyle name="40% - Акцент5 73" xfId="2743" xr:uid="{00000000-0005-0000-0000-0000B60A0000}"/>
    <cellStyle name="40% - Акцент5 73 2" xfId="2744" xr:uid="{00000000-0005-0000-0000-0000B70A0000}"/>
    <cellStyle name="40% - Акцент5 73_Свод гостин" xfId="2745" xr:uid="{00000000-0005-0000-0000-0000B80A0000}"/>
    <cellStyle name="40% - Акцент5 74" xfId="2746" xr:uid="{00000000-0005-0000-0000-0000B90A0000}"/>
    <cellStyle name="40% - Акцент5 74 2" xfId="2747" xr:uid="{00000000-0005-0000-0000-0000BA0A0000}"/>
    <cellStyle name="40% - Акцент5 74_Свод гостин" xfId="2748" xr:uid="{00000000-0005-0000-0000-0000BB0A0000}"/>
    <cellStyle name="40% - Акцент5 75" xfId="2749" xr:uid="{00000000-0005-0000-0000-0000BC0A0000}"/>
    <cellStyle name="40% - Акцент5 75 2" xfId="2750" xr:uid="{00000000-0005-0000-0000-0000BD0A0000}"/>
    <cellStyle name="40% - Акцент5 75_Свод гостин" xfId="2751" xr:uid="{00000000-0005-0000-0000-0000BE0A0000}"/>
    <cellStyle name="40% - Акцент5 76" xfId="2752" xr:uid="{00000000-0005-0000-0000-0000BF0A0000}"/>
    <cellStyle name="40% - Акцент5 76 2" xfId="2753" xr:uid="{00000000-0005-0000-0000-0000C00A0000}"/>
    <cellStyle name="40% - Акцент5 76_Свод гостин" xfId="2754" xr:uid="{00000000-0005-0000-0000-0000C10A0000}"/>
    <cellStyle name="40% - Акцент5 77" xfId="2755" xr:uid="{00000000-0005-0000-0000-0000C20A0000}"/>
    <cellStyle name="40% - Акцент5 77 2" xfId="2756" xr:uid="{00000000-0005-0000-0000-0000C30A0000}"/>
    <cellStyle name="40% - Акцент5 77_Свод гостин" xfId="2757" xr:uid="{00000000-0005-0000-0000-0000C40A0000}"/>
    <cellStyle name="40% - Акцент5 78" xfId="2758" xr:uid="{00000000-0005-0000-0000-0000C50A0000}"/>
    <cellStyle name="40% - Акцент5 78 2" xfId="2759" xr:uid="{00000000-0005-0000-0000-0000C60A0000}"/>
    <cellStyle name="40% - Акцент5 78_Свод гостин" xfId="2760" xr:uid="{00000000-0005-0000-0000-0000C70A0000}"/>
    <cellStyle name="40% - Акцент5 79" xfId="2761" xr:uid="{00000000-0005-0000-0000-0000C80A0000}"/>
    <cellStyle name="40% - Акцент5 79 2" xfId="2762" xr:uid="{00000000-0005-0000-0000-0000C90A0000}"/>
    <cellStyle name="40% - Акцент5 79_Свод гостин" xfId="2763" xr:uid="{00000000-0005-0000-0000-0000CA0A0000}"/>
    <cellStyle name="40% - Акцент5 8" xfId="2764" xr:uid="{00000000-0005-0000-0000-0000CB0A0000}"/>
    <cellStyle name="40% - Акцент5 8 2" xfId="2765" xr:uid="{00000000-0005-0000-0000-0000CC0A0000}"/>
    <cellStyle name="40% - Акцент5 8_Свод гостин" xfId="2766" xr:uid="{00000000-0005-0000-0000-0000CD0A0000}"/>
    <cellStyle name="40% - Акцент5 80" xfId="2767" xr:uid="{00000000-0005-0000-0000-0000CE0A0000}"/>
    <cellStyle name="40% - Акцент5 80 2" xfId="2768" xr:uid="{00000000-0005-0000-0000-0000CF0A0000}"/>
    <cellStyle name="40% - Акцент5 80_Свод гостин" xfId="2769" xr:uid="{00000000-0005-0000-0000-0000D00A0000}"/>
    <cellStyle name="40% - Акцент5 81" xfId="2770" xr:uid="{00000000-0005-0000-0000-0000D10A0000}"/>
    <cellStyle name="40% - Акцент5 81 2" xfId="2771" xr:uid="{00000000-0005-0000-0000-0000D20A0000}"/>
    <cellStyle name="40% - Акцент5 81_Свод гостин" xfId="2772" xr:uid="{00000000-0005-0000-0000-0000D30A0000}"/>
    <cellStyle name="40% - Акцент5 82" xfId="2773" xr:uid="{00000000-0005-0000-0000-0000D40A0000}"/>
    <cellStyle name="40% - Акцент5 82 2" xfId="2774" xr:uid="{00000000-0005-0000-0000-0000D50A0000}"/>
    <cellStyle name="40% - Акцент5 82_Свод гостин" xfId="2775" xr:uid="{00000000-0005-0000-0000-0000D60A0000}"/>
    <cellStyle name="40% - Акцент5 83" xfId="2776" xr:uid="{00000000-0005-0000-0000-0000D70A0000}"/>
    <cellStyle name="40% - Акцент5 83 2" xfId="2777" xr:uid="{00000000-0005-0000-0000-0000D80A0000}"/>
    <cellStyle name="40% - Акцент5 83_Свод гостин" xfId="2778" xr:uid="{00000000-0005-0000-0000-0000D90A0000}"/>
    <cellStyle name="40% - Акцент5 9" xfId="2779" xr:uid="{00000000-0005-0000-0000-0000DA0A0000}"/>
    <cellStyle name="40% - Акцент5 9 2" xfId="2780" xr:uid="{00000000-0005-0000-0000-0000DB0A0000}"/>
    <cellStyle name="40% - Акцент5 9_Свод гостин" xfId="2781" xr:uid="{00000000-0005-0000-0000-0000DC0A0000}"/>
    <cellStyle name="40% - Акцент6 10" xfId="2782" xr:uid="{00000000-0005-0000-0000-0000DD0A0000}"/>
    <cellStyle name="40% - Акцент6 10 2" xfId="2783" xr:uid="{00000000-0005-0000-0000-0000DE0A0000}"/>
    <cellStyle name="40% - Акцент6 10_Свод гостин" xfId="2784" xr:uid="{00000000-0005-0000-0000-0000DF0A0000}"/>
    <cellStyle name="40% - Акцент6 11" xfId="2785" xr:uid="{00000000-0005-0000-0000-0000E00A0000}"/>
    <cellStyle name="40% - Акцент6 11 2" xfId="2786" xr:uid="{00000000-0005-0000-0000-0000E10A0000}"/>
    <cellStyle name="40% - Акцент6 11_Свод гостин" xfId="2787" xr:uid="{00000000-0005-0000-0000-0000E20A0000}"/>
    <cellStyle name="40% - Акцент6 12" xfId="2788" xr:uid="{00000000-0005-0000-0000-0000E30A0000}"/>
    <cellStyle name="40% - Акцент6 12 2" xfId="2789" xr:uid="{00000000-0005-0000-0000-0000E40A0000}"/>
    <cellStyle name="40% - Акцент6 12_Свод гостин" xfId="2790" xr:uid="{00000000-0005-0000-0000-0000E50A0000}"/>
    <cellStyle name="40% - Акцент6 13" xfId="2791" xr:uid="{00000000-0005-0000-0000-0000E60A0000}"/>
    <cellStyle name="40% - Акцент6 13 2" xfId="2792" xr:uid="{00000000-0005-0000-0000-0000E70A0000}"/>
    <cellStyle name="40% - Акцент6 13_Свод гостин" xfId="2793" xr:uid="{00000000-0005-0000-0000-0000E80A0000}"/>
    <cellStyle name="40% - Акцент6 14" xfId="2794" xr:uid="{00000000-0005-0000-0000-0000E90A0000}"/>
    <cellStyle name="40% - Акцент6 14 2" xfId="2795" xr:uid="{00000000-0005-0000-0000-0000EA0A0000}"/>
    <cellStyle name="40% - Акцент6 14_Свод гостин" xfId="2796" xr:uid="{00000000-0005-0000-0000-0000EB0A0000}"/>
    <cellStyle name="40% - Акцент6 15" xfId="2797" xr:uid="{00000000-0005-0000-0000-0000EC0A0000}"/>
    <cellStyle name="40% - Акцент6 15 2" xfId="2798" xr:uid="{00000000-0005-0000-0000-0000ED0A0000}"/>
    <cellStyle name="40% - Акцент6 15_Свод гостин" xfId="2799" xr:uid="{00000000-0005-0000-0000-0000EE0A0000}"/>
    <cellStyle name="40% - Акцент6 16" xfId="2800" xr:uid="{00000000-0005-0000-0000-0000EF0A0000}"/>
    <cellStyle name="40% - Акцент6 16 2" xfId="2801" xr:uid="{00000000-0005-0000-0000-0000F00A0000}"/>
    <cellStyle name="40% - Акцент6 16_Свод гостин" xfId="2802" xr:uid="{00000000-0005-0000-0000-0000F10A0000}"/>
    <cellStyle name="40% - Акцент6 17" xfId="2803" xr:uid="{00000000-0005-0000-0000-0000F20A0000}"/>
    <cellStyle name="40% - Акцент6 17 2" xfId="2804" xr:uid="{00000000-0005-0000-0000-0000F30A0000}"/>
    <cellStyle name="40% - Акцент6 17_Свод гостин" xfId="2805" xr:uid="{00000000-0005-0000-0000-0000F40A0000}"/>
    <cellStyle name="40% - Акцент6 18" xfId="2806" xr:uid="{00000000-0005-0000-0000-0000F50A0000}"/>
    <cellStyle name="40% - Акцент6 18 2" xfId="2807" xr:uid="{00000000-0005-0000-0000-0000F60A0000}"/>
    <cellStyle name="40% - Акцент6 18_Свод гостин" xfId="2808" xr:uid="{00000000-0005-0000-0000-0000F70A0000}"/>
    <cellStyle name="40% - Акцент6 19" xfId="2809" xr:uid="{00000000-0005-0000-0000-0000F80A0000}"/>
    <cellStyle name="40% - Акцент6 19 2" xfId="2810" xr:uid="{00000000-0005-0000-0000-0000F90A0000}"/>
    <cellStyle name="40% - Акцент6 19_Свод гостин" xfId="2811" xr:uid="{00000000-0005-0000-0000-0000FA0A0000}"/>
    <cellStyle name="40% - Акцент6 2" xfId="2812" xr:uid="{00000000-0005-0000-0000-0000FB0A0000}"/>
    <cellStyle name="40% - Акцент6 2 2" xfId="2813" xr:uid="{00000000-0005-0000-0000-0000FC0A0000}"/>
    <cellStyle name="40% - Акцент6 2_Свод гостин" xfId="2814" xr:uid="{00000000-0005-0000-0000-0000FD0A0000}"/>
    <cellStyle name="40% - Акцент6 20" xfId="2815" xr:uid="{00000000-0005-0000-0000-0000FE0A0000}"/>
    <cellStyle name="40% - Акцент6 20 2" xfId="2816" xr:uid="{00000000-0005-0000-0000-0000FF0A0000}"/>
    <cellStyle name="40% - Акцент6 20_Свод гостин" xfId="2817" xr:uid="{00000000-0005-0000-0000-0000000B0000}"/>
    <cellStyle name="40% - Акцент6 21" xfId="2818" xr:uid="{00000000-0005-0000-0000-0000010B0000}"/>
    <cellStyle name="40% - Акцент6 21 2" xfId="2819" xr:uid="{00000000-0005-0000-0000-0000020B0000}"/>
    <cellStyle name="40% - Акцент6 21_Свод гостин" xfId="2820" xr:uid="{00000000-0005-0000-0000-0000030B0000}"/>
    <cellStyle name="40% - Акцент6 22" xfId="2821" xr:uid="{00000000-0005-0000-0000-0000040B0000}"/>
    <cellStyle name="40% - Акцент6 22 2" xfId="2822" xr:uid="{00000000-0005-0000-0000-0000050B0000}"/>
    <cellStyle name="40% - Акцент6 22_Свод гостин" xfId="2823" xr:uid="{00000000-0005-0000-0000-0000060B0000}"/>
    <cellStyle name="40% - Акцент6 23" xfId="2824" xr:uid="{00000000-0005-0000-0000-0000070B0000}"/>
    <cellStyle name="40% - Акцент6 23 2" xfId="2825" xr:uid="{00000000-0005-0000-0000-0000080B0000}"/>
    <cellStyle name="40% - Акцент6 23_Свод гостин" xfId="2826" xr:uid="{00000000-0005-0000-0000-0000090B0000}"/>
    <cellStyle name="40% - Акцент6 24" xfId="2827" xr:uid="{00000000-0005-0000-0000-00000A0B0000}"/>
    <cellStyle name="40% - Акцент6 24 2" xfId="2828" xr:uid="{00000000-0005-0000-0000-00000B0B0000}"/>
    <cellStyle name="40% - Акцент6 24_Свод гостин" xfId="2829" xr:uid="{00000000-0005-0000-0000-00000C0B0000}"/>
    <cellStyle name="40% - Акцент6 25" xfId="2830" xr:uid="{00000000-0005-0000-0000-00000D0B0000}"/>
    <cellStyle name="40% - Акцент6 25 2" xfId="2831" xr:uid="{00000000-0005-0000-0000-00000E0B0000}"/>
    <cellStyle name="40% - Акцент6 25_Свод гостин" xfId="2832" xr:uid="{00000000-0005-0000-0000-00000F0B0000}"/>
    <cellStyle name="40% - Акцент6 26" xfId="2833" xr:uid="{00000000-0005-0000-0000-0000100B0000}"/>
    <cellStyle name="40% - Акцент6 26 2" xfId="2834" xr:uid="{00000000-0005-0000-0000-0000110B0000}"/>
    <cellStyle name="40% - Акцент6 26_Свод гостин" xfId="2835" xr:uid="{00000000-0005-0000-0000-0000120B0000}"/>
    <cellStyle name="40% - Акцент6 27" xfId="2836" xr:uid="{00000000-0005-0000-0000-0000130B0000}"/>
    <cellStyle name="40% - Акцент6 27 2" xfId="2837" xr:uid="{00000000-0005-0000-0000-0000140B0000}"/>
    <cellStyle name="40% - Акцент6 27_Свод гостин" xfId="2838" xr:uid="{00000000-0005-0000-0000-0000150B0000}"/>
    <cellStyle name="40% - Акцент6 28" xfId="2839" xr:uid="{00000000-0005-0000-0000-0000160B0000}"/>
    <cellStyle name="40% - Акцент6 28 2" xfId="2840" xr:uid="{00000000-0005-0000-0000-0000170B0000}"/>
    <cellStyle name="40% - Акцент6 28_Свод гостин" xfId="2841" xr:uid="{00000000-0005-0000-0000-0000180B0000}"/>
    <cellStyle name="40% - Акцент6 29" xfId="2842" xr:uid="{00000000-0005-0000-0000-0000190B0000}"/>
    <cellStyle name="40% - Акцент6 29 2" xfId="2843" xr:uid="{00000000-0005-0000-0000-00001A0B0000}"/>
    <cellStyle name="40% - Акцент6 29_Свод гостин" xfId="2844" xr:uid="{00000000-0005-0000-0000-00001B0B0000}"/>
    <cellStyle name="40% - Акцент6 3" xfId="2845" xr:uid="{00000000-0005-0000-0000-00001C0B0000}"/>
    <cellStyle name="40% - Акцент6 3 2" xfId="2846" xr:uid="{00000000-0005-0000-0000-00001D0B0000}"/>
    <cellStyle name="40% - Акцент6 3_Свод гостин" xfId="2847" xr:uid="{00000000-0005-0000-0000-00001E0B0000}"/>
    <cellStyle name="40% - Акцент6 30" xfId="2848" xr:uid="{00000000-0005-0000-0000-00001F0B0000}"/>
    <cellStyle name="40% - Акцент6 30 2" xfId="2849" xr:uid="{00000000-0005-0000-0000-0000200B0000}"/>
    <cellStyle name="40% - Акцент6 30_Свод гостин" xfId="2850" xr:uid="{00000000-0005-0000-0000-0000210B0000}"/>
    <cellStyle name="40% - Акцент6 31" xfId="2851" xr:uid="{00000000-0005-0000-0000-0000220B0000}"/>
    <cellStyle name="40% - Акцент6 31 2" xfId="2852" xr:uid="{00000000-0005-0000-0000-0000230B0000}"/>
    <cellStyle name="40% - Акцент6 31_Свод гостин" xfId="2853" xr:uid="{00000000-0005-0000-0000-0000240B0000}"/>
    <cellStyle name="40% - Акцент6 32" xfId="2854" xr:uid="{00000000-0005-0000-0000-0000250B0000}"/>
    <cellStyle name="40% - Акцент6 32 2" xfId="2855" xr:uid="{00000000-0005-0000-0000-0000260B0000}"/>
    <cellStyle name="40% - Акцент6 32_Свод гостин" xfId="2856" xr:uid="{00000000-0005-0000-0000-0000270B0000}"/>
    <cellStyle name="40% - Акцент6 33" xfId="2857" xr:uid="{00000000-0005-0000-0000-0000280B0000}"/>
    <cellStyle name="40% - Акцент6 33 2" xfId="2858" xr:uid="{00000000-0005-0000-0000-0000290B0000}"/>
    <cellStyle name="40% - Акцент6 33_Свод гостин" xfId="2859" xr:uid="{00000000-0005-0000-0000-00002A0B0000}"/>
    <cellStyle name="40% - Акцент6 34" xfId="2860" xr:uid="{00000000-0005-0000-0000-00002B0B0000}"/>
    <cellStyle name="40% - Акцент6 34 2" xfId="2861" xr:uid="{00000000-0005-0000-0000-00002C0B0000}"/>
    <cellStyle name="40% - Акцент6 34_Свод гостин" xfId="2862" xr:uid="{00000000-0005-0000-0000-00002D0B0000}"/>
    <cellStyle name="40% - Акцент6 35" xfId="2863" xr:uid="{00000000-0005-0000-0000-00002E0B0000}"/>
    <cellStyle name="40% - Акцент6 35 2" xfId="2864" xr:uid="{00000000-0005-0000-0000-00002F0B0000}"/>
    <cellStyle name="40% - Акцент6 35_Свод гостин" xfId="2865" xr:uid="{00000000-0005-0000-0000-0000300B0000}"/>
    <cellStyle name="40% - Акцент6 36" xfId="2866" xr:uid="{00000000-0005-0000-0000-0000310B0000}"/>
    <cellStyle name="40% - Акцент6 36 2" xfId="2867" xr:uid="{00000000-0005-0000-0000-0000320B0000}"/>
    <cellStyle name="40% - Акцент6 36_Свод гостин" xfId="2868" xr:uid="{00000000-0005-0000-0000-0000330B0000}"/>
    <cellStyle name="40% - Акцент6 37" xfId="2869" xr:uid="{00000000-0005-0000-0000-0000340B0000}"/>
    <cellStyle name="40% - Акцент6 37 2" xfId="2870" xr:uid="{00000000-0005-0000-0000-0000350B0000}"/>
    <cellStyle name="40% - Акцент6 37_Свод гостин" xfId="2871" xr:uid="{00000000-0005-0000-0000-0000360B0000}"/>
    <cellStyle name="40% - Акцент6 38" xfId="2872" xr:uid="{00000000-0005-0000-0000-0000370B0000}"/>
    <cellStyle name="40% - Акцент6 38 2" xfId="2873" xr:uid="{00000000-0005-0000-0000-0000380B0000}"/>
    <cellStyle name="40% - Акцент6 38_Свод гостин" xfId="2874" xr:uid="{00000000-0005-0000-0000-0000390B0000}"/>
    <cellStyle name="40% - Акцент6 39" xfId="2875" xr:uid="{00000000-0005-0000-0000-00003A0B0000}"/>
    <cellStyle name="40% - Акцент6 39 2" xfId="2876" xr:uid="{00000000-0005-0000-0000-00003B0B0000}"/>
    <cellStyle name="40% - Акцент6 39_Свод гостин" xfId="2877" xr:uid="{00000000-0005-0000-0000-00003C0B0000}"/>
    <cellStyle name="40% - Акцент6 4" xfId="2878" xr:uid="{00000000-0005-0000-0000-00003D0B0000}"/>
    <cellStyle name="40% - Акцент6 4 2" xfId="2879" xr:uid="{00000000-0005-0000-0000-00003E0B0000}"/>
    <cellStyle name="40% - Акцент6 4_Свод гостин" xfId="2880" xr:uid="{00000000-0005-0000-0000-00003F0B0000}"/>
    <cellStyle name="40% - Акцент6 40" xfId="2881" xr:uid="{00000000-0005-0000-0000-0000400B0000}"/>
    <cellStyle name="40% - Акцент6 40 2" xfId="2882" xr:uid="{00000000-0005-0000-0000-0000410B0000}"/>
    <cellStyle name="40% - Акцент6 40_Свод гостин" xfId="2883" xr:uid="{00000000-0005-0000-0000-0000420B0000}"/>
    <cellStyle name="40% - Акцент6 41" xfId="2884" xr:uid="{00000000-0005-0000-0000-0000430B0000}"/>
    <cellStyle name="40% - Акцент6 41 2" xfId="2885" xr:uid="{00000000-0005-0000-0000-0000440B0000}"/>
    <cellStyle name="40% - Акцент6 41_Свод гостин" xfId="2886" xr:uid="{00000000-0005-0000-0000-0000450B0000}"/>
    <cellStyle name="40% - Акцент6 42" xfId="2887" xr:uid="{00000000-0005-0000-0000-0000460B0000}"/>
    <cellStyle name="40% - Акцент6 42 2" xfId="2888" xr:uid="{00000000-0005-0000-0000-0000470B0000}"/>
    <cellStyle name="40% - Акцент6 42_Свод гостин" xfId="2889" xr:uid="{00000000-0005-0000-0000-0000480B0000}"/>
    <cellStyle name="40% - Акцент6 43" xfId="2890" xr:uid="{00000000-0005-0000-0000-0000490B0000}"/>
    <cellStyle name="40% - Акцент6 43 2" xfId="2891" xr:uid="{00000000-0005-0000-0000-00004A0B0000}"/>
    <cellStyle name="40% - Акцент6 43_Свод гостин" xfId="2892" xr:uid="{00000000-0005-0000-0000-00004B0B0000}"/>
    <cellStyle name="40% - Акцент6 44" xfId="2893" xr:uid="{00000000-0005-0000-0000-00004C0B0000}"/>
    <cellStyle name="40% - Акцент6 44 2" xfId="2894" xr:uid="{00000000-0005-0000-0000-00004D0B0000}"/>
    <cellStyle name="40% - Акцент6 44_Свод гостин" xfId="2895" xr:uid="{00000000-0005-0000-0000-00004E0B0000}"/>
    <cellStyle name="40% - Акцент6 45" xfId="2896" xr:uid="{00000000-0005-0000-0000-00004F0B0000}"/>
    <cellStyle name="40% - Акцент6 45 2" xfId="2897" xr:uid="{00000000-0005-0000-0000-0000500B0000}"/>
    <cellStyle name="40% - Акцент6 45_Свод гостин" xfId="2898" xr:uid="{00000000-0005-0000-0000-0000510B0000}"/>
    <cellStyle name="40% - Акцент6 46" xfId="2899" xr:uid="{00000000-0005-0000-0000-0000520B0000}"/>
    <cellStyle name="40% - Акцент6 46 2" xfId="2900" xr:uid="{00000000-0005-0000-0000-0000530B0000}"/>
    <cellStyle name="40% - Акцент6 46_Свод гостин" xfId="2901" xr:uid="{00000000-0005-0000-0000-0000540B0000}"/>
    <cellStyle name="40% - Акцент6 47" xfId="2902" xr:uid="{00000000-0005-0000-0000-0000550B0000}"/>
    <cellStyle name="40% - Акцент6 47 2" xfId="2903" xr:uid="{00000000-0005-0000-0000-0000560B0000}"/>
    <cellStyle name="40% - Акцент6 47_Свод гостин" xfId="2904" xr:uid="{00000000-0005-0000-0000-0000570B0000}"/>
    <cellStyle name="40% - Акцент6 48" xfId="2905" xr:uid="{00000000-0005-0000-0000-0000580B0000}"/>
    <cellStyle name="40% - Акцент6 48 2" xfId="2906" xr:uid="{00000000-0005-0000-0000-0000590B0000}"/>
    <cellStyle name="40% - Акцент6 48_Свод гостин" xfId="2907" xr:uid="{00000000-0005-0000-0000-00005A0B0000}"/>
    <cellStyle name="40% - Акцент6 49" xfId="2908" xr:uid="{00000000-0005-0000-0000-00005B0B0000}"/>
    <cellStyle name="40% - Акцент6 49 2" xfId="2909" xr:uid="{00000000-0005-0000-0000-00005C0B0000}"/>
    <cellStyle name="40% - Акцент6 49_Свод гостин" xfId="2910" xr:uid="{00000000-0005-0000-0000-00005D0B0000}"/>
    <cellStyle name="40% - Акцент6 5" xfId="2911" xr:uid="{00000000-0005-0000-0000-00005E0B0000}"/>
    <cellStyle name="40% - Акцент6 5 2" xfId="2912" xr:uid="{00000000-0005-0000-0000-00005F0B0000}"/>
    <cellStyle name="40% - Акцент6 5_Свод гостин" xfId="2913" xr:uid="{00000000-0005-0000-0000-0000600B0000}"/>
    <cellStyle name="40% - Акцент6 50" xfId="2914" xr:uid="{00000000-0005-0000-0000-0000610B0000}"/>
    <cellStyle name="40% - Акцент6 50 2" xfId="2915" xr:uid="{00000000-0005-0000-0000-0000620B0000}"/>
    <cellStyle name="40% - Акцент6 50_Свод гостин" xfId="2916" xr:uid="{00000000-0005-0000-0000-0000630B0000}"/>
    <cellStyle name="40% - Акцент6 51" xfId="2917" xr:uid="{00000000-0005-0000-0000-0000640B0000}"/>
    <cellStyle name="40% - Акцент6 51 2" xfId="2918" xr:uid="{00000000-0005-0000-0000-0000650B0000}"/>
    <cellStyle name="40% - Акцент6 51_Свод гостин" xfId="2919" xr:uid="{00000000-0005-0000-0000-0000660B0000}"/>
    <cellStyle name="40% - Акцент6 52" xfId="2920" xr:uid="{00000000-0005-0000-0000-0000670B0000}"/>
    <cellStyle name="40% - Акцент6 52 2" xfId="2921" xr:uid="{00000000-0005-0000-0000-0000680B0000}"/>
    <cellStyle name="40% - Акцент6 52_Свод гостин" xfId="2922" xr:uid="{00000000-0005-0000-0000-0000690B0000}"/>
    <cellStyle name="40% - Акцент6 53" xfId="2923" xr:uid="{00000000-0005-0000-0000-00006A0B0000}"/>
    <cellStyle name="40% - Акцент6 53 2" xfId="2924" xr:uid="{00000000-0005-0000-0000-00006B0B0000}"/>
    <cellStyle name="40% - Акцент6 53_Свод гостин" xfId="2925" xr:uid="{00000000-0005-0000-0000-00006C0B0000}"/>
    <cellStyle name="40% - Акцент6 54" xfId="2926" xr:uid="{00000000-0005-0000-0000-00006D0B0000}"/>
    <cellStyle name="40% - Акцент6 54 2" xfId="2927" xr:uid="{00000000-0005-0000-0000-00006E0B0000}"/>
    <cellStyle name="40% - Акцент6 54_Свод гостин" xfId="2928" xr:uid="{00000000-0005-0000-0000-00006F0B0000}"/>
    <cellStyle name="40% - Акцент6 55" xfId="2929" xr:uid="{00000000-0005-0000-0000-0000700B0000}"/>
    <cellStyle name="40% - Акцент6 55 2" xfId="2930" xr:uid="{00000000-0005-0000-0000-0000710B0000}"/>
    <cellStyle name="40% - Акцент6 55_Свод гостин" xfId="2931" xr:uid="{00000000-0005-0000-0000-0000720B0000}"/>
    <cellStyle name="40% - Акцент6 56" xfId="2932" xr:uid="{00000000-0005-0000-0000-0000730B0000}"/>
    <cellStyle name="40% - Акцент6 56 2" xfId="2933" xr:uid="{00000000-0005-0000-0000-0000740B0000}"/>
    <cellStyle name="40% - Акцент6 56_Свод гостин" xfId="2934" xr:uid="{00000000-0005-0000-0000-0000750B0000}"/>
    <cellStyle name="40% - Акцент6 57" xfId="2935" xr:uid="{00000000-0005-0000-0000-0000760B0000}"/>
    <cellStyle name="40% - Акцент6 57 2" xfId="2936" xr:uid="{00000000-0005-0000-0000-0000770B0000}"/>
    <cellStyle name="40% - Акцент6 57_Свод гостин" xfId="2937" xr:uid="{00000000-0005-0000-0000-0000780B0000}"/>
    <cellStyle name="40% - Акцент6 58" xfId="2938" xr:uid="{00000000-0005-0000-0000-0000790B0000}"/>
    <cellStyle name="40% - Акцент6 58 2" xfId="2939" xr:uid="{00000000-0005-0000-0000-00007A0B0000}"/>
    <cellStyle name="40% - Акцент6 58_Свод гостин" xfId="2940" xr:uid="{00000000-0005-0000-0000-00007B0B0000}"/>
    <cellStyle name="40% - Акцент6 59" xfId="2941" xr:uid="{00000000-0005-0000-0000-00007C0B0000}"/>
    <cellStyle name="40% - Акцент6 59 2" xfId="2942" xr:uid="{00000000-0005-0000-0000-00007D0B0000}"/>
    <cellStyle name="40% - Акцент6 59_Свод гостин" xfId="2943" xr:uid="{00000000-0005-0000-0000-00007E0B0000}"/>
    <cellStyle name="40% - Акцент6 6" xfId="2944" xr:uid="{00000000-0005-0000-0000-00007F0B0000}"/>
    <cellStyle name="40% - Акцент6 6 2" xfId="2945" xr:uid="{00000000-0005-0000-0000-0000800B0000}"/>
    <cellStyle name="40% - Акцент6 6_Свод гостин" xfId="2946" xr:uid="{00000000-0005-0000-0000-0000810B0000}"/>
    <cellStyle name="40% - Акцент6 60" xfId="2947" xr:uid="{00000000-0005-0000-0000-0000820B0000}"/>
    <cellStyle name="40% - Акцент6 60 2" xfId="2948" xr:uid="{00000000-0005-0000-0000-0000830B0000}"/>
    <cellStyle name="40% - Акцент6 60_Свод гостин" xfId="2949" xr:uid="{00000000-0005-0000-0000-0000840B0000}"/>
    <cellStyle name="40% - Акцент6 61" xfId="2950" xr:uid="{00000000-0005-0000-0000-0000850B0000}"/>
    <cellStyle name="40% - Акцент6 61 2" xfId="2951" xr:uid="{00000000-0005-0000-0000-0000860B0000}"/>
    <cellStyle name="40% - Акцент6 61_Свод гостин" xfId="2952" xr:uid="{00000000-0005-0000-0000-0000870B0000}"/>
    <cellStyle name="40% - Акцент6 62" xfId="2953" xr:uid="{00000000-0005-0000-0000-0000880B0000}"/>
    <cellStyle name="40% - Акцент6 62 2" xfId="2954" xr:uid="{00000000-0005-0000-0000-0000890B0000}"/>
    <cellStyle name="40% - Акцент6 62_Свод гостин" xfId="2955" xr:uid="{00000000-0005-0000-0000-00008A0B0000}"/>
    <cellStyle name="40% - Акцент6 63" xfId="2956" xr:uid="{00000000-0005-0000-0000-00008B0B0000}"/>
    <cellStyle name="40% - Акцент6 63 2" xfId="2957" xr:uid="{00000000-0005-0000-0000-00008C0B0000}"/>
    <cellStyle name="40% - Акцент6 63_Свод гостин" xfId="2958" xr:uid="{00000000-0005-0000-0000-00008D0B0000}"/>
    <cellStyle name="40% - Акцент6 64" xfId="2959" xr:uid="{00000000-0005-0000-0000-00008E0B0000}"/>
    <cellStyle name="40% - Акцент6 64 2" xfId="2960" xr:uid="{00000000-0005-0000-0000-00008F0B0000}"/>
    <cellStyle name="40% - Акцент6 64_Свод гостин" xfId="2961" xr:uid="{00000000-0005-0000-0000-0000900B0000}"/>
    <cellStyle name="40% - Акцент6 65" xfId="2962" xr:uid="{00000000-0005-0000-0000-0000910B0000}"/>
    <cellStyle name="40% - Акцент6 65 2" xfId="2963" xr:uid="{00000000-0005-0000-0000-0000920B0000}"/>
    <cellStyle name="40% - Акцент6 65_Свод гостин" xfId="2964" xr:uid="{00000000-0005-0000-0000-0000930B0000}"/>
    <cellStyle name="40% - Акцент6 66" xfId="2965" xr:uid="{00000000-0005-0000-0000-0000940B0000}"/>
    <cellStyle name="40% - Акцент6 66 2" xfId="2966" xr:uid="{00000000-0005-0000-0000-0000950B0000}"/>
    <cellStyle name="40% - Акцент6 66_Свод гостин" xfId="2967" xr:uid="{00000000-0005-0000-0000-0000960B0000}"/>
    <cellStyle name="40% - Акцент6 67" xfId="2968" xr:uid="{00000000-0005-0000-0000-0000970B0000}"/>
    <cellStyle name="40% - Акцент6 67 2" xfId="2969" xr:uid="{00000000-0005-0000-0000-0000980B0000}"/>
    <cellStyle name="40% - Акцент6 67_Свод гостин" xfId="2970" xr:uid="{00000000-0005-0000-0000-0000990B0000}"/>
    <cellStyle name="40% - Акцент6 68" xfId="2971" xr:uid="{00000000-0005-0000-0000-00009A0B0000}"/>
    <cellStyle name="40% - Акцент6 68 2" xfId="2972" xr:uid="{00000000-0005-0000-0000-00009B0B0000}"/>
    <cellStyle name="40% - Акцент6 68_Свод гостин" xfId="2973" xr:uid="{00000000-0005-0000-0000-00009C0B0000}"/>
    <cellStyle name="40% - Акцент6 69" xfId="2974" xr:uid="{00000000-0005-0000-0000-00009D0B0000}"/>
    <cellStyle name="40% - Акцент6 69 2" xfId="2975" xr:uid="{00000000-0005-0000-0000-00009E0B0000}"/>
    <cellStyle name="40% - Акцент6 69_Свод гостин" xfId="2976" xr:uid="{00000000-0005-0000-0000-00009F0B0000}"/>
    <cellStyle name="40% - Акцент6 7" xfId="2977" xr:uid="{00000000-0005-0000-0000-0000A00B0000}"/>
    <cellStyle name="40% - Акцент6 7 2" xfId="2978" xr:uid="{00000000-0005-0000-0000-0000A10B0000}"/>
    <cellStyle name="40% - Акцент6 7_Свод гостин" xfId="2979" xr:uid="{00000000-0005-0000-0000-0000A20B0000}"/>
    <cellStyle name="40% - Акцент6 70" xfId="2980" xr:uid="{00000000-0005-0000-0000-0000A30B0000}"/>
    <cellStyle name="40% - Акцент6 70 2" xfId="2981" xr:uid="{00000000-0005-0000-0000-0000A40B0000}"/>
    <cellStyle name="40% - Акцент6 70_Свод гостин" xfId="2982" xr:uid="{00000000-0005-0000-0000-0000A50B0000}"/>
    <cellStyle name="40% - Акцент6 71" xfId="2983" xr:uid="{00000000-0005-0000-0000-0000A60B0000}"/>
    <cellStyle name="40% - Акцент6 71 2" xfId="2984" xr:uid="{00000000-0005-0000-0000-0000A70B0000}"/>
    <cellStyle name="40% - Акцент6 71_Свод гостин" xfId="2985" xr:uid="{00000000-0005-0000-0000-0000A80B0000}"/>
    <cellStyle name="40% - Акцент6 72" xfId="2986" xr:uid="{00000000-0005-0000-0000-0000A90B0000}"/>
    <cellStyle name="40% - Акцент6 72 2" xfId="2987" xr:uid="{00000000-0005-0000-0000-0000AA0B0000}"/>
    <cellStyle name="40% - Акцент6 72_Свод гостин" xfId="2988" xr:uid="{00000000-0005-0000-0000-0000AB0B0000}"/>
    <cellStyle name="40% - Акцент6 73" xfId="2989" xr:uid="{00000000-0005-0000-0000-0000AC0B0000}"/>
    <cellStyle name="40% - Акцент6 73 2" xfId="2990" xr:uid="{00000000-0005-0000-0000-0000AD0B0000}"/>
    <cellStyle name="40% - Акцент6 73_Свод гостин" xfId="2991" xr:uid="{00000000-0005-0000-0000-0000AE0B0000}"/>
    <cellStyle name="40% - Акцент6 74" xfId="2992" xr:uid="{00000000-0005-0000-0000-0000AF0B0000}"/>
    <cellStyle name="40% - Акцент6 74 2" xfId="2993" xr:uid="{00000000-0005-0000-0000-0000B00B0000}"/>
    <cellStyle name="40% - Акцент6 74_Свод гостин" xfId="2994" xr:uid="{00000000-0005-0000-0000-0000B10B0000}"/>
    <cellStyle name="40% - Акцент6 75" xfId="2995" xr:uid="{00000000-0005-0000-0000-0000B20B0000}"/>
    <cellStyle name="40% - Акцент6 75 2" xfId="2996" xr:uid="{00000000-0005-0000-0000-0000B30B0000}"/>
    <cellStyle name="40% - Акцент6 75_Свод гостин" xfId="2997" xr:uid="{00000000-0005-0000-0000-0000B40B0000}"/>
    <cellStyle name="40% - Акцент6 76" xfId="2998" xr:uid="{00000000-0005-0000-0000-0000B50B0000}"/>
    <cellStyle name="40% - Акцент6 76 2" xfId="2999" xr:uid="{00000000-0005-0000-0000-0000B60B0000}"/>
    <cellStyle name="40% - Акцент6 76_Свод гостин" xfId="3000" xr:uid="{00000000-0005-0000-0000-0000B70B0000}"/>
    <cellStyle name="40% - Акцент6 77" xfId="3001" xr:uid="{00000000-0005-0000-0000-0000B80B0000}"/>
    <cellStyle name="40% - Акцент6 77 2" xfId="3002" xr:uid="{00000000-0005-0000-0000-0000B90B0000}"/>
    <cellStyle name="40% - Акцент6 77_Свод гостин" xfId="3003" xr:uid="{00000000-0005-0000-0000-0000BA0B0000}"/>
    <cellStyle name="40% - Акцент6 78" xfId="3004" xr:uid="{00000000-0005-0000-0000-0000BB0B0000}"/>
    <cellStyle name="40% - Акцент6 78 2" xfId="3005" xr:uid="{00000000-0005-0000-0000-0000BC0B0000}"/>
    <cellStyle name="40% - Акцент6 78_Свод гостин" xfId="3006" xr:uid="{00000000-0005-0000-0000-0000BD0B0000}"/>
    <cellStyle name="40% - Акцент6 79" xfId="3007" xr:uid="{00000000-0005-0000-0000-0000BE0B0000}"/>
    <cellStyle name="40% - Акцент6 79 2" xfId="3008" xr:uid="{00000000-0005-0000-0000-0000BF0B0000}"/>
    <cellStyle name="40% - Акцент6 79_Свод гостин" xfId="3009" xr:uid="{00000000-0005-0000-0000-0000C00B0000}"/>
    <cellStyle name="40% - Акцент6 8" xfId="3010" xr:uid="{00000000-0005-0000-0000-0000C10B0000}"/>
    <cellStyle name="40% - Акцент6 8 2" xfId="3011" xr:uid="{00000000-0005-0000-0000-0000C20B0000}"/>
    <cellStyle name="40% - Акцент6 8_Свод гостин" xfId="3012" xr:uid="{00000000-0005-0000-0000-0000C30B0000}"/>
    <cellStyle name="40% - Акцент6 80" xfId="3013" xr:uid="{00000000-0005-0000-0000-0000C40B0000}"/>
    <cellStyle name="40% - Акцент6 80 2" xfId="3014" xr:uid="{00000000-0005-0000-0000-0000C50B0000}"/>
    <cellStyle name="40% - Акцент6 80_Свод гостин" xfId="3015" xr:uid="{00000000-0005-0000-0000-0000C60B0000}"/>
    <cellStyle name="40% - Акцент6 81" xfId="3016" xr:uid="{00000000-0005-0000-0000-0000C70B0000}"/>
    <cellStyle name="40% - Акцент6 81 2" xfId="3017" xr:uid="{00000000-0005-0000-0000-0000C80B0000}"/>
    <cellStyle name="40% - Акцент6 81_Свод гостин" xfId="3018" xr:uid="{00000000-0005-0000-0000-0000C90B0000}"/>
    <cellStyle name="40% - Акцент6 82" xfId="3019" xr:uid="{00000000-0005-0000-0000-0000CA0B0000}"/>
    <cellStyle name="40% - Акцент6 82 2" xfId="3020" xr:uid="{00000000-0005-0000-0000-0000CB0B0000}"/>
    <cellStyle name="40% - Акцент6 82_Свод гостин" xfId="3021" xr:uid="{00000000-0005-0000-0000-0000CC0B0000}"/>
    <cellStyle name="40% - Акцент6 83" xfId="3022" xr:uid="{00000000-0005-0000-0000-0000CD0B0000}"/>
    <cellStyle name="40% - Акцент6 83 2" xfId="3023" xr:uid="{00000000-0005-0000-0000-0000CE0B0000}"/>
    <cellStyle name="40% - Акцент6 83_Свод гостин" xfId="3024" xr:uid="{00000000-0005-0000-0000-0000CF0B0000}"/>
    <cellStyle name="40% - Акцент6 9" xfId="3025" xr:uid="{00000000-0005-0000-0000-0000D00B0000}"/>
    <cellStyle name="40% - Акцент6 9 2" xfId="3026" xr:uid="{00000000-0005-0000-0000-0000D10B0000}"/>
    <cellStyle name="40% - Акцент6 9_Свод гостин" xfId="3027" xr:uid="{00000000-0005-0000-0000-0000D20B0000}"/>
    <cellStyle name="60% - Accent1" xfId="3028" xr:uid="{00000000-0005-0000-0000-0000D30B0000}"/>
    <cellStyle name="60% - Accent2" xfId="3029" xr:uid="{00000000-0005-0000-0000-0000D40B0000}"/>
    <cellStyle name="60% - Accent3" xfId="3030" xr:uid="{00000000-0005-0000-0000-0000D50B0000}"/>
    <cellStyle name="60% - Accent4" xfId="3031" xr:uid="{00000000-0005-0000-0000-0000D60B0000}"/>
    <cellStyle name="60% - Accent5" xfId="3032" xr:uid="{00000000-0005-0000-0000-0000D70B0000}"/>
    <cellStyle name="60% - Accent6" xfId="3033" xr:uid="{00000000-0005-0000-0000-0000D80B0000}"/>
    <cellStyle name="Accent1" xfId="3034" xr:uid="{00000000-0005-0000-0000-0000D90B0000}"/>
    <cellStyle name="Accent2" xfId="3035" xr:uid="{00000000-0005-0000-0000-0000DA0B0000}"/>
    <cellStyle name="Accent3" xfId="3036" xr:uid="{00000000-0005-0000-0000-0000DB0B0000}"/>
    <cellStyle name="Accent4" xfId="3037" xr:uid="{00000000-0005-0000-0000-0000DC0B0000}"/>
    <cellStyle name="Accent5" xfId="3038" xr:uid="{00000000-0005-0000-0000-0000DD0B0000}"/>
    <cellStyle name="Accent6" xfId="3039" xr:uid="{00000000-0005-0000-0000-0000DE0B0000}"/>
    <cellStyle name="Bad" xfId="3040" xr:uid="{00000000-0005-0000-0000-0000DF0B0000}"/>
    <cellStyle name="Calc Currency (0)" xfId="3041" xr:uid="{00000000-0005-0000-0000-0000E00B0000}"/>
    <cellStyle name="Calc Currency (2)" xfId="3042" xr:uid="{00000000-0005-0000-0000-0000E10B0000}"/>
    <cellStyle name="Calc Percent (0)" xfId="3043" xr:uid="{00000000-0005-0000-0000-0000E20B0000}"/>
    <cellStyle name="Calc Percent (1)" xfId="3044" xr:uid="{00000000-0005-0000-0000-0000E30B0000}"/>
    <cellStyle name="Calc Percent (2)" xfId="3045" xr:uid="{00000000-0005-0000-0000-0000E40B0000}"/>
    <cellStyle name="Calc Units (0)" xfId="3046" xr:uid="{00000000-0005-0000-0000-0000E50B0000}"/>
    <cellStyle name="Calc Units (1)" xfId="3047" xr:uid="{00000000-0005-0000-0000-0000E60B0000}"/>
    <cellStyle name="Calc Units (2)" xfId="3048" xr:uid="{00000000-0005-0000-0000-0000E70B0000}"/>
    <cellStyle name="Calculation" xfId="3049" xr:uid="{00000000-0005-0000-0000-0000E80B0000}"/>
    <cellStyle name="Calculation 2" xfId="3050" xr:uid="{00000000-0005-0000-0000-0000E90B0000}"/>
    <cellStyle name="Calculation 2 2" xfId="3051" xr:uid="{00000000-0005-0000-0000-0000EA0B0000}"/>
    <cellStyle name="Calculation 2 3" xfId="3052" xr:uid="{00000000-0005-0000-0000-0000EB0B0000}"/>
    <cellStyle name="Calculation 3" xfId="3053" xr:uid="{00000000-0005-0000-0000-0000EC0B0000}"/>
    <cellStyle name="Calculation 4" xfId="3054" xr:uid="{00000000-0005-0000-0000-0000ED0B0000}"/>
    <cellStyle name="Cel6" xfId="3055" xr:uid="{00000000-0005-0000-0000-0000EE0B0000}"/>
    <cellStyle name="Cel6 2" xfId="3056" xr:uid="{00000000-0005-0000-0000-0000EF0B0000}"/>
    <cellStyle name="Cel6 3" xfId="3057" xr:uid="{00000000-0005-0000-0000-0000F00B0000}"/>
    <cellStyle name="Cel6 4" xfId="3058" xr:uid="{00000000-0005-0000-0000-0000F10B0000}"/>
    <cellStyle name="Cel6_Свод гостин" xfId="3059" xr:uid="{00000000-0005-0000-0000-0000F20B0000}"/>
    <cellStyle name="Cell1" xfId="3060" xr:uid="{00000000-0005-0000-0000-0000F30B0000}"/>
    <cellStyle name="Cell2" xfId="3061" xr:uid="{00000000-0005-0000-0000-0000F40B0000}"/>
    <cellStyle name="Cell3" xfId="3062" xr:uid="{00000000-0005-0000-0000-0000F50B0000}"/>
    <cellStyle name="Cell3 2" xfId="3063" xr:uid="{00000000-0005-0000-0000-0000F60B0000}"/>
    <cellStyle name="Cell3 2 2" xfId="3064" xr:uid="{00000000-0005-0000-0000-0000F70B0000}"/>
    <cellStyle name="Cell4" xfId="3065" xr:uid="{00000000-0005-0000-0000-0000F80B0000}"/>
    <cellStyle name="Cell5" xfId="3066" xr:uid="{00000000-0005-0000-0000-0000F90B0000}"/>
    <cellStyle name="Check Cell" xfId="3067" xr:uid="{00000000-0005-0000-0000-0000FA0B0000}"/>
    <cellStyle name="Check Cell 2" xfId="3068" xr:uid="{00000000-0005-0000-0000-0000FB0B0000}"/>
    <cellStyle name="Check Cell 3" xfId="3069" xr:uid="{00000000-0005-0000-0000-0000FC0B0000}"/>
    <cellStyle name="Column1" xfId="3070" xr:uid="{00000000-0005-0000-0000-0000FD0B0000}"/>
    <cellStyle name="Column2" xfId="3071" xr:uid="{00000000-0005-0000-0000-0000FE0B0000}"/>
    <cellStyle name="Column3" xfId="3072" xr:uid="{00000000-0005-0000-0000-0000FF0B0000}"/>
    <cellStyle name="Column4" xfId="3073" xr:uid="{00000000-0005-0000-0000-0000000C0000}"/>
    <cellStyle name="Column5" xfId="3074" xr:uid="{00000000-0005-0000-0000-0000010C0000}"/>
    <cellStyle name="Column7" xfId="3075" xr:uid="{00000000-0005-0000-0000-0000020C0000}"/>
    <cellStyle name="Comma [0]_#6 Temps &amp; Contractors" xfId="3076" xr:uid="{00000000-0005-0000-0000-0000030C0000}"/>
    <cellStyle name="Comma [00]" xfId="3077" xr:uid="{00000000-0005-0000-0000-0000040C0000}"/>
    <cellStyle name="Comma 2" xfId="3078" xr:uid="{00000000-0005-0000-0000-0000050C0000}"/>
    <cellStyle name="Comma 2 2" xfId="3079" xr:uid="{00000000-0005-0000-0000-0000060C0000}"/>
    <cellStyle name="Comma_#6 Temps &amp; Contractors" xfId="3080" xr:uid="{00000000-0005-0000-0000-0000070C0000}"/>
    <cellStyle name="Currency [0]" xfId="3081" xr:uid="{00000000-0005-0000-0000-0000080C0000}"/>
    <cellStyle name="Currency [00]" xfId="3082" xr:uid="{00000000-0005-0000-0000-0000090C0000}"/>
    <cellStyle name="Currency_#6 Temps &amp; Contractors" xfId="3083" xr:uid="{00000000-0005-0000-0000-00000A0C0000}"/>
    <cellStyle name="Data" xfId="3084" xr:uid="{00000000-0005-0000-0000-00000B0C0000}"/>
    <cellStyle name="Date" xfId="3085" xr:uid="{00000000-0005-0000-0000-00000C0C0000}"/>
    <cellStyle name="Date Short" xfId="3086" xr:uid="{00000000-0005-0000-0000-00000D0C0000}"/>
    <cellStyle name="Date without year" xfId="3087" xr:uid="{00000000-0005-0000-0000-00000E0C0000}"/>
    <cellStyle name="Date_ТУП" xfId="3088" xr:uid="{00000000-0005-0000-0000-00000F0C0000}"/>
    <cellStyle name="DELTA" xfId="3089" xr:uid="{00000000-0005-0000-0000-0000100C0000}"/>
    <cellStyle name="DELTA 2" xfId="3090" xr:uid="{00000000-0005-0000-0000-0000110C0000}"/>
    <cellStyle name="DELTA 3" xfId="3091" xr:uid="{00000000-0005-0000-0000-0000120C0000}"/>
    <cellStyle name="E&amp;Y House" xfId="3092" xr:uid="{00000000-0005-0000-0000-0000130C0000}"/>
    <cellStyle name="Enter Currency (0)" xfId="3093" xr:uid="{00000000-0005-0000-0000-0000140C0000}"/>
    <cellStyle name="Enter Currency (2)" xfId="3094" xr:uid="{00000000-0005-0000-0000-0000150C0000}"/>
    <cellStyle name="Enter Units (0)" xfId="3095" xr:uid="{00000000-0005-0000-0000-0000160C0000}"/>
    <cellStyle name="Enter Units (1)" xfId="3096" xr:uid="{00000000-0005-0000-0000-0000170C0000}"/>
    <cellStyle name="Enter Units (2)" xfId="3097" xr:uid="{00000000-0005-0000-0000-0000180C0000}"/>
    <cellStyle name="Excel Built-in Normal" xfId="3098" xr:uid="{00000000-0005-0000-0000-0000190C0000}"/>
    <cellStyle name="Excel Built-in Normal 2" xfId="3099" xr:uid="{00000000-0005-0000-0000-00001A0C0000}"/>
    <cellStyle name="Excel Built-in Normal 3" xfId="3100" xr:uid="{00000000-0005-0000-0000-00001B0C0000}"/>
    <cellStyle name="Excel Built-in Normal 4" xfId="3101" xr:uid="{00000000-0005-0000-0000-00001C0C0000}"/>
    <cellStyle name="Excel Built-in Normal_Свод гостин" xfId="3102" xr:uid="{00000000-0005-0000-0000-00001D0C0000}"/>
    <cellStyle name="Excel_BuiltIn_20% - Акцент1 1" xfId="3103" xr:uid="{00000000-0005-0000-0000-00001E0C0000}"/>
    <cellStyle name="Explanatory Text" xfId="3104" xr:uid="{00000000-0005-0000-0000-00001F0C0000}"/>
    <cellStyle name="From" xfId="3105" xr:uid="{00000000-0005-0000-0000-0000200C0000}"/>
    <cellStyle name="From 2" xfId="3106" xr:uid="{00000000-0005-0000-0000-0000210C0000}"/>
    <cellStyle name="From 2 2" xfId="3107" xr:uid="{00000000-0005-0000-0000-0000220C0000}"/>
    <cellStyle name="From 3" xfId="3108" xr:uid="{00000000-0005-0000-0000-0000230C0000}"/>
    <cellStyle name="Good" xfId="3109" xr:uid="{00000000-0005-0000-0000-0000240C0000}"/>
    <cellStyle name="Grey" xfId="3110" xr:uid="{00000000-0005-0000-0000-0000250C0000}"/>
    <cellStyle name="Header1" xfId="3111" xr:uid="{00000000-0005-0000-0000-0000260C0000}"/>
    <cellStyle name="Header2" xfId="3112" xr:uid="{00000000-0005-0000-0000-0000270C0000}"/>
    <cellStyle name="Header2 2" xfId="3113" xr:uid="{00000000-0005-0000-0000-0000280C0000}"/>
    <cellStyle name="Header2 2 2" xfId="3114" xr:uid="{00000000-0005-0000-0000-0000290C0000}"/>
    <cellStyle name="Header2 3" xfId="3115" xr:uid="{00000000-0005-0000-0000-00002A0C0000}"/>
    <cellStyle name="Heading" xfId="3116" xr:uid="{00000000-0005-0000-0000-00002B0C0000}"/>
    <cellStyle name="Heading 1" xfId="3117" xr:uid="{00000000-0005-0000-0000-00002C0C0000}"/>
    <cellStyle name="Heading 2" xfId="3118" xr:uid="{00000000-0005-0000-0000-00002D0C0000}"/>
    <cellStyle name="Heading 3" xfId="3119" xr:uid="{00000000-0005-0000-0000-00002E0C0000}"/>
    <cellStyle name="Heading 4" xfId="3120" xr:uid="{00000000-0005-0000-0000-00002F0C0000}"/>
    <cellStyle name="Heading_ТУП" xfId="3121" xr:uid="{00000000-0005-0000-0000-0000300C0000}"/>
    <cellStyle name="Heading1" xfId="3122" xr:uid="{00000000-0005-0000-0000-0000310C0000}"/>
    <cellStyle name="Heading2" xfId="3123" xr:uid="{00000000-0005-0000-0000-0000320C0000}"/>
    <cellStyle name="Heading2 2" xfId="3124" xr:uid="{00000000-0005-0000-0000-0000330C0000}"/>
    <cellStyle name="Heading3" xfId="3125" xr:uid="{00000000-0005-0000-0000-0000340C0000}"/>
    <cellStyle name="Heading4" xfId="3126" xr:uid="{00000000-0005-0000-0000-0000350C0000}"/>
    <cellStyle name="Heading4 2" xfId="3127" xr:uid="{00000000-0005-0000-0000-0000360C0000}"/>
    <cellStyle name="Hyperlink" xfId="3128" xr:uid="{00000000-0005-0000-0000-0000370C0000}"/>
    <cellStyle name="Input" xfId="3129" xr:uid="{00000000-0005-0000-0000-0000380C0000}"/>
    <cellStyle name="Input [yellow]" xfId="3130" xr:uid="{00000000-0005-0000-0000-0000390C0000}"/>
    <cellStyle name="Input [yellow] 2" xfId="3131" xr:uid="{00000000-0005-0000-0000-00003A0C0000}"/>
    <cellStyle name="Input [yellow] 2 2" xfId="3132" xr:uid="{00000000-0005-0000-0000-00003B0C0000}"/>
    <cellStyle name="Input [yellow] 2 3" xfId="3133" xr:uid="{00000000-0005-0000-0000-00003C0C0000}"/>
    <cellStyle name="Input [yellow] 3" xfId="3134" xr:uid="{00000000-0005-0000-0000-00003D0C0000}"/>
    <cellStyle name="Input [yellow] 4" xfId="3135" xr:uid="{00000000-0005-0000-0000-00003E0C0000}"/>
    <cellStyle name="Input 2" xfId="3136" xr:uid="{00000000-0005-0000-0000-00003F0C0000}"/>
    <cellStyle name="Input 2 2" xfId="3137" xr:uid="{00000000-0005-0000-0000-0000400C0000}"/>
    <cellStyle name="Input 2 3" xfId="3138" xr:uid="{00000000-0005-0000-0000-0000410C0000}"/>
    <cellStyle name="Input 3" xfId="3139" xr:uid="{00000000-0005-0000-0000-0000420C0000}"/>
    <cellStyle name="Input 3 2" xfId="3140" xr:uid="{00000000-0005-0000-0000-0000430C0000}"/>
    <cellStyle name="Input 3 3" xfId="3141" xr:uid="{00000000-0005-0000-0000-0000440C0000}"/>
    <cellStyle name="Input 4" xfId="3142" xr:uid="{00000000-0005-0000-0000-0000450C0000}"/>
    <cellStyle name="Input 4 2" xfId="3143" xr:uid="{00000000-0005-0000-0000-0000460C0000}"/>
    <cellStyle name="Input 4 3" xfId="3144" xr:uid="{00000000-0005-0000-0000-0000470C0000}"/>
    <cellStyle name="Input 5" xfId="3145" xr:uid="{00000000-0005-0000-0000-0000480C0000}"/>
    <cellStyle name="Input 5 2" xfId="3146" xr:uid="{00000000-0005-0000-0000-0000490C0000}"/>
    <cellStyle name="Input 5 3" xfId="3147" xr:uid="{00000000-0005-0000-0000-00004A0C0000}"/>
    <cellStyle name="Input 6" xfId="3148" xr:uid="{00000000-0005-0000-0000-00004B0C0000}"/>
    <cellStyle name="Input 6 2" xfId="3149" xr:uid="{00000000-0005-0000-0000-00004C0C0000}"/>
    <cellStyle name="Input 6 3" xfId="3150" xr:uid="{00000000-0005-0000-0000-00004D0C0000}"/>
    <cellStyle name="Input 7" xfId="3151" xr:uid="{00000000-0005-0000-0000-00004E0C0000}"/>
    <cellStyle name="Input 7 2" xfId="3152" xr:uid="{00000000-0005-0000-0000-00004F0C0000}"/>
    <cellStyle name="Input 7 3" xfId="3153" xr:uid="{00000000-0005-0000-0000-0000500C0000}"/>
    <cellStyle name="Input 8" xfId="3154" xr:uid="{00000000-0005-0000-0000-0000510C0000}"/>
    <cellStyle name="Input 9" xfId="3155" xr:uid="{00000000-0005-0000-0000-0000520C0000}"/>
    <cellStyle name="Input_ФМ - Узень-Актау ( курс 150, дисконт 10,5% для КТГ) 04.06.09" xfId="3156" xr:uid="{00000000-0005-0000-0000-0000530C0000}"/>
    <cellStyle name="KPMG Heading 1" xfId="3157" xr:uid="{00000000-0005-0000-0000-0000540C0000}"/>
    <cellStyle name="KPMG Heading 2" xfId="3158" xr:uid="{00000000-0005-0000-0000-0000550C0000}"/>
    <cellStyle name="KPMG Heading 3" xfId="3159" xr:uid="{00000000-0005-0000-0000-0000560C0000}"/>
    <cellStyle name="KPMG Heading 4" xfId="3160" xr:uid="{00000000-0005-0000-0000-0000570C0000}"/>
    <cellStyle name="KPMG Normal" xfId="3161" xr:uid="{00000000-0005-0000-0000-0000580C0000}"/>
    <cellStyle name="KPMG Normal Text" xfId="3162" xr:uid="{00000000-0005-0000-0000-0000590C0000}"/>
    <cellStyle name="KPMG Normal_ТУП" xfId="3163" xr:uid="{00000000-0005-0000-0000-00005A0C0000}"/>
    <cellStyle name="Link Currency (0)" xfId="3164" xr:uid="{00000000-0005-0000-0000-00005B0C0000}"/>
    <cellStyle name="Link Currency (2)" xfId="3165" xr:uid="{00000000-0005-0000-0000-00005C0C0000}"/>
    <cellStyle name="Link Units (0)" xfId="3166" xr:uid="{00000000-0005-0000-0000-00005D0C0000}"/>
    <cellStyle name="Link Units (1)" xfId="3167" xr:uid="{00000000-0005-0000-0000-00005E0C0000}"/>
    <cellStyle name="Link Units (2)" xfId="3168" xr:uid="{00000000-0005-0000-0000-00005F0C0000}"/>
    <cellStyle name="Linked Cell" xfId="3169" xr:uid="{00000000-0005-0000-0000-0000600C0000}"/>
    <cellStyle name="maincontent" xfId="11660" xr:uid="{00000000-0005-0000-0000-0000610C0000}"/>
    <cellStyle name="Name1" xfId="3170" xr:uid="{00000000-0005-0000-0000-0000620C0000}"/>
    <cellStyle name="Name2" xfId="3171" xr:uid="{00000000-0005-0000-0000-0000630C0000}"/>
    <cellStyle name="Name3" xfId="3172" xr:uid="{00000000-0005-0000-0000-0000640C0000}"/>
    <cellStyle name="Name3 2" xfId="3173" xr:uid="{00000000-0005-0000-0000-0000650C0000}"/>
    <cellStyle name="Name3 2 2" xfId="3174" xr:uid="{00000000-0005-0000-0000-0000660C0000}"/>
    <cellStyle name="Name3 3" xfId="3175" xr:uid="{00000000-0005-0000-0000-0000670C0000}"/>
    <cellStyle name="Name3 4" xfId="3176" xr:uid="{00000000-0005-0000-0000-0000680C0000}"/>
    <cellStyle name="Name3_Свод гостин" xfId="3177" xr:uid="{00000000-0005-0000-0000-0000690C0000}"/>
    <cellStyle name="Name4" xfId="3178" xr:uid="{00000000-0005-0000-0000-00006A0C0000}"/>
    <cellStyle name="Name5" xfId="3179" xr:uid="{00000000-0005-0000-0000-00006B0C0000}"/>
    <cellStyle name="Neutral" xfId="3180" xr:uid="{00000000-0005-0000-0000-00006C0C0000}"/>
    <cellStyle name="Nor}al" xfId="3181" xr:uid="{00000000-0005-0000-0000-00006D0C0000}"/>
    <cellStyle name="Nor}al 2" xfId="3182" xr:uid="{00000000-0005-0000-0000-00006E0C0000}"/>
    <cellStyle name="Nor}al 3" xfId="3183" xr:uid="{00000000-0005-0000-0000-00006F0C0000}"/>
    <cellStyle name="Nor}al 4" xfId="3184" xr:uid="{00000000-0005-0000-0000-0000700C0000}"/>
    <cellStyle name="Nor}al_Свод гостин" xfId="3185" xr:uid="{00000000-0005-0000-0000-0000710C0000}"/>
    <cellStyle name="Normal" xfId="3186" xr:uid="{00000000-0005-0000-0000-0000720C0000}"/>
    <cellStyle name="Normal - Style1" xfId="3187" xr:uid="{00000000-0005-0000-0000-0000730C0000}"/>
    <cellStyle name="Normal 2" xfId="3188" xr:uid="{00000000-0005-0000-0000-0000740C0000}"/>
    <cellStyle name="Normal 2 10" xfId="3189" xr:uid="{00000000-0005-0000-0000-0000750C0000}"/>
    <cellStyle name="Normal 2 11" xfId="3190" xr:uid="{00000000-0005-0000-0000-0000760C0000}"/>
    <cellStyle name="Normal 2 2" xfId="3191" xr:uid="{00000000-0005-0000-0000-0000770C0000}"/>
    <cellStyle name="Normal 2 2 2" xfId="3192" xr:uid="{00000000-0005-0000-0000-0000780C0000}"/>
    <cellStyle name="Normal 2 2 3" xfId="3193" xr:uid="{00000000-0005-0000-0000-0000790C0000}"/>
    <cellStyle name="Normal 2 2 4" xfId="3194" xr:uid="{00000000-0005-0000-0000-00007A0C0000}"/>
    <cellStyle name="Normal 2 2_Свод гостин" xfId="3195" xr:uid="{00000000-0005-0000-0000-00007B0C0000}"/>
    <cellStyle name="Normal 2 3" xfId="3196" xr:uid="{00000000-0005-0000-0000-00007C0C0000}"/>
    <cellStyle name="Normal 2 3 2" xfId="3197" xr:uid="{00000000-0005-0000-0000-00007D0C0000}"/>
    <cellStyle name="Normal 2 3_Свод гостин" xfId="3198" xr:uid="{00000000-0005-0000-0000-00007E0C0000}"/>
    <cellStyle name="Normal 2 4" xfId="3199" xr:uid="{00000000-0005-0000-0000-00007F0C0000}"/>
    <cellStyle name="Normal 2 5" xfId="3200" xr:uid="{00000000-0005-0000-0000-0000800C0000}"/>
    <cellStyle name="Normal 2 6" xfId="3201" xr:uid="{00000000-0005-0000-0000-0000810C0000}"/>
    <cellStyle name="Normal 2 7" xfId="3202" xr:uid="{00000000-0005-0000-0000-0000820C0000}"/>
    <cellStyle name="Normal 2 8" xfId="3203" xr:uid="{00000000-0005-0000-0000-0000830C0000}"/>
    <cellStyle name="Normal 2 9" xfId="3204" xr:uid="{00000000-0005-0000-0000-0000840C0000}"/>
    <cellStyle name="Normal 2_бюджет 2013 МБ" xfId="3205" xr:uid="{00000000-0005-0000-0000-0000850C0000}"/>
    <cellStyle name="Normal 3" xfId="3206" xr:uid="{00000000-0005-0000-0000-0000860C0000}"/>
    <cellStyle name="Normal 3 2" xfId="3207" xr:uid="{00000000-0005-0000-0000-0000870C0000}"/>
    <cellStyle name="Normal 3 3" xfId="3208" xr:uid="{00000000-0005-0000-0000-0000880C0000}"/>
    <cellStyle name="Normal 3 4" xfId="3209" xr:uid="{00000000-0005-0000-0000-0000890C0000}"/>
    <cellStyle name="Normal 3_Свод гостин" xfId="3210" xr:uid="{00000000-0005-0000-0000-00008A0C0000}"/>
    <cellStyle name="Normal 4" xfId="3211" xr:uid="{00000000-0005-0000-0000-00008B0C0000}"/>
    <cellStyle name="Normal 4 2" xfId="3212" xr:uid="{00000000-0005-0000-0000-00008C0C0000}"/>
    <cellStyle name="Normal 4 3" xfId="3213" xr:uid="{00000000-0005-0000-0000-00008D0C0000}"/>
    <cellStyle name="Normal 4 4" xfId="3214" xr:uid="{00000000-0005-0000-0000-00008E0C0000}"/>
    <cellStyle name="Normal 4_Свод гостин" xfId="3215" xr:uid="{00000000-0005-0000-0000-00008F0C0000}"/>
    <cellStyle name="Normal 5" xfId="3216" xr:uid="{00000000-0005-0000-0000-0000900C0000}"/>
    <cellStyle name="Normal 5 2" xfId="3217" xr:uid="{00000000-0005-0000-0000-0000910C0000}"/>
    <cellStyle name="Normal 5 3" xfId="3218" xr:uid="{00000000-0005-0000-0000-0000920C0000}"/>
    <cellStyle name="Normal 5 4" xfId="3219" xr:uid="{00000000-0005-0000-0000-0000930C0000}"/>
    <cellStyle name="Normal 5_Свод гостин" xfId="3220" xr:uid="{00000000-0005-0000-0000-0000940C0000}"/>
    <cellStyle name="Normal 6" xfId="3221" xr:uid="{00000000-0005-0000-0000-0000950C0000}"/>
    <cellStyle name="Normal 6 2" xfId="3222" xr:uid="{00000000-0005-0000-0000-0000960C0000}"/>
    <cellStyle name="Normal 6 3" xfId="3223" xr:uid="{00000000-0005-0000-0000-0000970C0000}"/>
    <cellStyle name="Normal 6 4" xfId="3224" xr:uid="{00000000-0005-0000-0000-0000980C0000}"/>
    <cellStyle name="Normal 6_Свод гостин" xfId="3225" xr:uid="{00000000-0005-0000-0000-0000990C0000}"/>
    <cellStyle name="Normal_# 41-Market &amp;Trends" xfId="3226" xr:uid="{00000000-0005-0000-0000-00009A0C0000}"/>
    <cellStyle name="Normal1" xfId="3227" xr:uid="{00000000-0005-0000-0000-00009B0C0000}"/>
    <cellStyle name="normбlnм_laroux" xfId="3228" xr:uid="{00000000-0005-0000-0000-00009C0C0000}"/>
    <cellStyle name="Note" xfId="3229" xr:uid="{00000000-0005-0000-0000-00009D0C0000}"/>
    <cellStyle name="Note 2" xfId="3230" xr:uid="{00000000-0005-0000-0000-00009E0C0000}"/>
    <cellStyle name="Note 3" xfId="3231" xr:uid="{00000000-0005-0000-0000-00009F0C0000}"/>
    <cellStyle name="numbers" xfId="3232" xr:uid="{00000000-0005-0000-0000-0000A00C0000}"/>
    <cellStyle name="Output" xfId="3233" xr:uid="{00000000-0005-0000-0000-0000A10C0000}"/>
    <cellStyle name="Output 2" xfId="3234" xr:uid="{00000000-0005-0000-0000-0000A20C0000}"/>
    <cellStyle name="Output 3" xfId="3235" xr:uid="{00000000-0005-0000-0000-0000A30C0000}"/>
    <cellStyle name="paint" xfId="3236" xr:uid="{00000000-0005-0000-0000-0000A40C0000}"/>
    <cellStyle name="Percent (0)" xfId="3237" xr:uid="{00000000-0005-0000-0000-0000A50C0000}"/>
    <cellStyle name="Percent [0]" xfId="3238" xr:uid="{00000000-0005-0000-0000-0000A60C0000}"/>
    <cellStyle name="Percent [00]" xfId="3239" xr:uid="{00000000-0005-0000-0000-0000A70C0000}"/>
    <cellStyle name="Percent [2]" xfId="3240" xr:uid="{00000000-0005-0000-0000-0000A80C0000}"/>
    <cellStyle name="Percent_#6 Temps &amp; Contractors" xfId="3241" xr:uid="{00000000-0005-0000-0000-0000A90C0000}"/>
    <cellStyle name="piw#" xfId="3242" xr:uid="{00000000-0005-0000-0000-0000AA0C0000}"/>
    <cellStyle name="piw%" xfId="3243" xr:uid="{00000000-0005-0000-0000-0000AB0C0000}"/>
    <cellStyle name="PrePop Currency (0)" xfId="3244" xr:uid="{00000000-0005-0000-0000-0000AC0C0000}"/>
    <cellStyle name="PrePop Currency (2)" xfId="3245" xr:uid="{00000000-0005-0000-0000-0000AD0C0000}"/>
    <cellStyle name="PrePop Units (0)" xfId="3246" xr:uid="{00000000-0005-0000-0000-0000AE0C0000}"/>
    <cellStyle name="PrePop Units (1)" xfId="3247" xr:uid="{00000000-0005-0000-0000-0000AF0C0000}"/>
    <cellStyle name="PrePop Units (2)" xfId="3248" xr:uid="{00000000-0005-0000-0000-0000B00C0000}"/>
    <cellStyle name="Price_Body" xfId="3249" xr:uid="{00000000-0005-0000-0000-0000B10C0000}"/>
    <cellStyle name="Rubles" xfId="3250" xr:uid="{00000000-0005-0000-0000-0000B20C0000}"/>
    <cellStyle name="S2" xfId="11659" xr:uid="{00000000-0005-0000-0000-0000B30C0000}"/>
    <cellStyle name="S3" xfId="11658" xr:uid="{00000000-0005-0000-0000-0000B40C0000}"/>
    <cellStyle name="stand_bord" xfId="3251" xr:uid="{00000000-0005-0000-0000-0000B50C0000}"/>
    <cellStyle name="Standard_000195pi_1" xfId="3252" xr:uid="{00000000-0005-0000-0000-0000B60C0000}"/>
    <cellStyle name="TableStyleLight1" xfId="3253" xr:uid="{00000000-0005-0000-0000-0000B70C0000}"/>
    <cellStyle name="TableStyleLight1 2" xfId="3254" xr:uid="{00000000-0005-0000-0000-0000B80C0000}"/>
    <cellStyle name="TableStyleLight1 3" xfId="4974" xr:uid="{00000000-0005-0000-0000-0000B90C0000}"/>
    <cellStyle name="Text Indent A" xfId="3255" xr:uid="{00000000-0005-0000-0000-0000BA0C0000}"/>
    <cellStyle name="Text Indent B" xfId="3256" xr:uid="{00000000-0005-0000-0000-0000BB0C0000}"/>
    <cellStyle name="Text Indent C" xfId="3257" xr:uid="{00000000-0005-0000-0000-0000BC0C0000}"/>
    <cellStyle name="Tickmark" xfId="3258" xr:uid="{00000000-0005-0000-0000-0000BD0C0000}"/>
    <cellStyle name="Title" xfId="3259" xr:uid="{00000000-0005-0000-0000-0000BE0C0000}"/>
    <cellStyle name="Title1" xfId="3260" xr:uid="{00000000-0005-0000-0000-0000BF0C0000}"/>
    <cellStyle name="TitleCol1" xfId="3261" xr:uid="{00000000-0005-0000-0000-0000C00C0000}"/>
    <cellStyle name="TitleCol1 2" xfId="3262" xr:uid="{00000000-0005-0000-0000-0000C10C0000}"/>
    <cellStyle name="TitleCol1 3" xfId="3263" xr:uid="{00000000-0005-0000-0000-0000C20C0000}"/>
    <cellStyle name="TitleCol2" xfId="3264" xr:uid="{00000000-0005-0000-0000-0000C30C0000}"/>
    <cellStyle name="TitleCol2 2" xfId="3265" xr:uid="{00000000-0005-0000-0000-0000C40C0000}"/>
    <cellStyle name="TitleCol2 3" xfId="3266" xr:uid="{00000000-0005-0000-0000-0000C50C0000}"/>
    <cellStyle name="Total" xfId="3267" xr:uid="{00000000-0005-0000-0000-0000C60C0000}"/>
    <cellStyle name="Total 2" xfId="3268" xr:uid="{00000000-0005-0000-0000-0000C70C0000}"/>
    <cellStyle name="Total 3" xfId="3269" xr:uid="{00000000-0005-0000-0000-0000C80C0000}"/>
    <cellStyle name="Warning Text" xfId="3270" xr:uid="{00000000-0005-0000-0000-0000C90C0000}"/>
    <cellStyle name="White1" xfId="3271" xr:uid="{00000000-0005-0000-0000-0000CA0C0000}"/>
    <cellStyle name="White2" xfId="3272" xr:uid="{00000000-0005-0000-0000-0000CB0C0000}"/>
    <cellStyle name="White2 2" xfId="3273" xr:uid="{00000000-0005-0000-0000-0000CC0C0000}"/>
    <cellStyle name="White2 2 2" xfId="3274" xr:uid="{00000000-0005-0000-0000-0000CD0C0000}"/>
    <cellStyle name="White3" xfId="3275" xr:uid="{00000000-0005-0000-0000-0000CE0C0000}"/>
    <cellStyle name="White4" xfId="3276" xr:uid="{00000000-0005-0000-0000-0000CF0C0000}"/>
    <cellStyle name="White4 2" xfId="3277" xr:uid="{00000000-0005-0000-0000-0000D00C0000}"/>
    <cellStyle name="White4 2 2" xfId="3278" xr:uid="{00000000-0005-0000-0000-0000D10C0000}"/>
    <cellStyle name="White5" xfId="3279" xr:uid="{00000000-0005-0000-0000-0000D20C0000}"/>
    <cellStyle name="White5 2" xfId="3280" xr:uid="{00000000-0005-0000-0000-0000D30C0000}"/>
    <cellStyle name="White5 2 2" xfId="3281" xr:uid="{00000000-0005-0000-0000-0000D40C0000}"/>
    <cellStyle name="АсельИтого" xfId="3282" xr:uid="{00000000-0005-0000-0000-0000D50C0000}"/>
    <cellStyle name="АсельИтого 2" xfId="3283" xr:uid="{00000000-0005-0000-0000-0000D60C0000}"/>
    <cellStyle name="АсельИтого 2 2" xfId="3284" xr:uid="{00000000-0005-0000-0000-0000D70C0000}"/>
    <cellStyle name="АсельИтого 3" xfId="3285" xr:uid="{00000000-0005-0000-0000-0000D80C0000}"/>
    <cellStyle name="АсельТаблица" xfId="3286" xr:uid="{00000000-0005-0000-0000-0000D90C0000}"/>
    <cellStyle name="АсельТаблица 2" xfId="3287" xr:uid="{00000000-0005-0000-0000-0000DA0C0000}"/>
    <cellStyle name="АсельТаблица 2 2" xfId="3288" xr:uid="{00000000-0005-0000-0000-0000DB0C0000}"/>
    <cellStyle name="АсельТаблица 3" xfId="3289" xr:uid="{00000000-0005-0000-0000-0000DC0C0000}"/>
    <cellStyle name="АсельШапка" xfId="3290" xr:uid="{00000000-0005-0000-0000-0000DD0C0000}"/>
    <cellStyle name="АсельШапка 2" xfId="3291" xr:uid="{00000000-0005-0000-0000-0000DE0C0000}"/>
    <cellStyle name="АсельШапка 2 2" xfId="3292" xr:uid="{00000000-0005-0000-0000-0000DF0C0000}"/>
    <cellStyle name="АсельШапка 3" xfId="3293" xr:uid="{00000000-0005-0000-0000-0000E00C0000}"/>
    <cellStyle name="АсельШапка1" xfId="3294" xr:uid="{00000000-0005-0000-0000-0000E10C0000}"/>
    <cellStyle name="БАМ" xfId="3295" xr:uid="{00000000-0005-0000-0000-0000E20C0000}"/>
    <cellStyle name="БАМ 2" xfId="3296" xr:uid="{00000000-0005-0000-0000-0000E30C0000}"/>
    <cellStyle name="БАМ 3" xfId="3297" xr:uid="{00000000-0005-0000-0000-0000E40C0000}"/>
    <cellStyle name="Беззащитный" xfId="3298" xr:uid="{00000000-0005-0000-0000-0000E50C0000}"/>
    <cellStyle name="Гиперссылка" xfId="11665" builtinId="8"/>
    <cellStyle name="Гиперссылка 2" xfId="3299" xr:uid="{00000000-0005-0000-0000-0000E70C0000}"/>
    <cellStyle name="Гиперссылка 2 2" xfId="3300" xr:uid="{00000000-0005-0000-0000-0000E80C0000}"/>
    <cellStyle name="Гиперссылка 3" xfId="3301" xr:uid="{00000000-0005-0000-0000-0000E90C0000}"/>
    <cellStyle name="Гиперссылка 4" xfId="3302" xr:uid="{00000000-0005-0000-0000-0000EA0C0000}"/>
    <cellStyle name="Группа" xfId="3303" xr:uid="{00000000-0005-0000-0000-0000EB0C0000}"/>
    <cellStyle name="Дата" xfId="3304" xr:uid="{00000000-0005-0000-0000-0000EC0C0000}"/>
    <cellStyle name="Денежный 2" xfId="3305" xr:uid="{00000000-0005-0000-0000-0000ED0C0000}"/>
    <cellStyle name="Денежный 2 10" xfId="4975" xr:uid="{00000000-0005-0000-0000-0000EE0C0000}"/>
    <cellStyle name="Денежный 2 11" xfId="4976" xr:uid="{00000000-0005-0000-0000-0000EF0C0000}"/>
    <cellStyle name="Денежный 2 2" xfId="3306" xr:uid="{00000000-0005-0000-0000-0000F00C0000}"/>
    <cellStyle name="Денежный 2 2 2" xfId="3307" xr:uid="{00000000-0005-0000-0000-0000F10C0000}"/>
    <cellStyle name="Денежный 2 3" xfId="3308" xr:uid="{00000000-0005-0000-0000-0000F20C0000}"/>
    <cellStyle name="Денежный 2 3 2" xfId="3309" xr:uid="{00000000-0005-0000-0000-0000F30C0000}"/>
    <cellStyle name="Денежный 2 4" xfId="3310" xr:uid="{00000000-0005-0000-0000-0000F40C0000}"/>
    <cellStyle name="Денежный 2 4 2" xfId="4977" xr:uid="{00000000-0005-0000-0000-0000F50C0000}"/>
    <cellStyle name="Денежный 2 5" xfId="3311" xr:uid="{00000000-0005-0000-0000-0000F60C0000}"/>
    <cellStyle name="Денежный 2 5 2" xfId="4978" xr:uid="{00000000-0005-0000-0000-0000F70C0000}"/>
    <cellStyle name="Денежный 2 6" xfId="4979" xr:uid="{00000000-0005-0000-0000-0000F80C0000}"/>
    <cellStyle name="Денежный 2 6 2" xfId="4980" xr:uid="{00000000-0005-0000-0000-0000F90C0000}"/>
    <cellStyle name="Денежный 2 7" xfId="4981" xr:uid="{00000000-0005-0000-0000-0000FA0C0000}"/>
    <cellStyle name="Денежный 2 7 2" xfId="4982" xr:uid="{00000000-0005-0000-0000-0000FB0C0000}"/>
    <cellStyle name="Денежный 2 8" xfId="4983" xr:uid="{00000000-0005-0000-0000-0000FC0C0000}"/>
    <cellStyle name="Денежный 2 8 2" xfId="4984" xr:uid="{00000000-0005-0000-0000-0000FD0C0000}"/>
    <cellStyle name="Денежный 2 9" xfId="4985" xr:uid="{00000000-0005-0000-0000-0000FE0C0000}"/>
    <cellStyle name="Денежный 3" xfId="3312" xr:uid="{00000000-0005-0000-0000-0000FF0C0000}"/>
    <cellStyle name="Денежный 4" xfId="3313" xr:uid="{00000000-0005-0000-0000-0000000D0000}"/>
    <cellStyle name="Денежный 5" xfId="3314" xr:uid="{00000000-0005-0000-0000-0000010D0000}"/>
    <cellStyle name="Денежный 6" xfId="3315" xr:uid="{00000000-0005-0000-0000-0000020D0000}"/>
    <cellStyle name="Денежный 7" xfId="3316" xr:uid="{00000000-0005-0000-0000-0000030D0000}"/>
    <cellStyle name="Денежный 8" xfId="3317" xr:uid="{00000000-0005-0000-0000-0000040D0000}"/>
    <cellStyle name="Денежный 9" xfId="3318" xr:uid="{00000000-0005-0000-0000-0000050D0000}"/>
    <cellStyle name="Защитный" xfId="3319" xr:uid="{00000000-0005-0000-0000-0000060D0000}"/>
    <cellStyle name="Звезды" xfId="3320" xr:uid="{00000000-0005-0000-0000-0000070D0000}"/>
    <cellStyle name="Звезды 2" xfId="3321" xr:uid="{00000000-0005-0000-0000-0000080D0000}"/>
    <cellStyle name="Звезды 2 2" xfId="3322" xr:uid="{00000000-0005-0000-0000-0000090D0000}"/>
    <cellStyle name="Звезды 3" xfId="3323" xr:uid="{00000000-0005-0000-0000-00000A0D0000}"/>
    <cellStyle name="КАНДАГАЧ тел3-33-96" xfId="3324" xr:uid="{00000000-0005-0000-0000-00000B0D0000}"/>
    <cellStyle name="Обычный" xfId="0" builtinId="0"/>
    <cellStyle name="Обычный 10" xfId="3325" xr:uid="{00000000-0005-0000-0000-00000D0D0000}"/>
    <cellStyle name="Обычный 10 10" xfId="3326" xr:uid="{00000000-0005-0000-0000-00000E0D0000}"/>
    <cellStyle name="Обычный 10 2" xfId="3327" xr:uid="{00000000-0005-0000-0000-00000F0D0000}"/>
    <cellStyle name="Обычный 10 2 2" xfId="3328" xr:uid="{00000000-0005-0000-0000-0000100D0000}"/>
    <cellStyle name="Обычный 10 2 3" xfId="4986" xr:uid="{00000000-0005-0000-0000-0000110D0000}"/>
    <cellStyle name="Обычный 10 2_Свод гостин" xfId="3329" xr:uid="{00000000-0005-0000-0000-0000120D0000}"/>
    <cellStyle name="Обычный 10 3" xfId="3330" xr:uid="{00000000-0005-0000-0000-0000130D0000}"/>
    <cellStyle name="Обычный 10 4" xfId="3331" xr:uid="{00000000-0005-0000-0000-0000140D0000}"/>
    <cellStyle name="Обычный 10 5" xfId="3332" xr:uid="{00000000-0005-0000-0000-0000150D0000}"/>
    <cellStyle name="Обычный 10 6" xfId="3333" xr:uid="{00000000-0005-0000-0000-0000160D0000}"/>
    <cellStyle name="Обычный 10 7" xfId="3334" xr:uid="{00000000-0005-0000-0000-0000170D0000}"/>
    <cellStyle name="Обычный 10 8" xfId="3335" xr:uid="{00000000-0005-0000-0000-0000180D0000}"/>
    <cellStyle name="Обычный 10 9" xfId="3336" xr:uid="{00000000-0005-0000-0000-0000190D0000}"/>
    <cellStyle name="Обычный 10_Свод гостин" xfId="3337" xr:uid="{00000000-0005-0000-0000-00001A0D0000}"/>
    <cellStyle name="Обычный 100" xfId="3338" xr:uid="{00000000-0005-0000-0000-00001B0D0000}"/>
    <cellStyle name="Обычный 100 10" xfId="3339" xr:uid="{00000000-0005-0000-0000-00001C0D0000}"/>
    <cellStyle name="Обычный 100 11" xfId="3340" xr:uid="{00000000-0005-0000-0000-00001D0D0000}"/>
    <cellStyle name="Обычный 100 12" xfId="3341" xr:uid="{00000000-0005-0000-0000-00001E0D0000}"/>
    <cellStyle name="Обычный 100 13" xfId="3342" xr:uid="{00000000-0005-0000-0000-00001F0D0000}"/>
    <cellStyle name="Обычный 100 14" xfId="3343" xr:uid="{00000000-0005-0000-0000-0000200D0000}"/>
    <cellStyle name="Обычный 100 15" xfId="3344" xr:uid="{00000000-0005-0000-0000-0000210D0000}"/>
    <cellStyle name="Обычный 100 16" xfId="3345" xr:uid="{00000000-0005-0000-0000-0000220D0000}"/>
    <cellStyle name="Обычный 100 17" xfId="3346" xr:uid="{00000000-0005-0000-0000-0000230D0000}"/>
    <cellStyle name="Обычный 100 2" xfId="3347" xr:uid="{00000000-0005-0000-0000-0000240D0000}"/>
    <cellStyle name="Обычный 100 2 2" xfId="4987" xr:uid="{00000000-0005-0000-0000-0000250D0000}"/>
    <cellStyle name="Обычный 100 3" xfId="3348" xr:uid="{00000000-0005-0000-0000-0000260D0000}"/>
    <cellStyle name="Обычный 100 4" xfId="3349" xr:uid="{00000000-0005-0000-0000-0000270D0000}"/>
    <cellStyle name="Обычный 100 5" xfId="3350" xr:uid="{00000000-0005-0000-0000-0000280D0000}"/>
    <cellStyle name="Обычный 100 6" xfId="3351" xr:uid="{00000000-0005-0000-0000-0000290D0000}"/>
    <cellStyle name="Обычный 100 7" xfId="3352" xr:uid="{00000000-0005-0000-0000-00002A0D0000}"/>
    <cellStyle name="Обычный 100 8" xfId="3353" xr:uid="{00000000-0005-0000-0000-00002B0D0000}"/>
    <cellStyle name="Обычный 100 9" xfId="3354" xr:uid="{00000000-0005-0000-0000-00002C0D0000}"/>
    <cellStyle name="Обычный 101" xfId="3355" xr:uid="{00000000-0005-0000-0000-00002D0D0000}"/>
    <cellStyle name="Обычный 101 10" xfId="3356" xr:uid="{00000000-0005-0000-0000-00002E0D0000}"/>
    <cellStyle name="Обычный 101 11" xfId="3357" xr:uid="{00000000-0005-0000-0000-00002F0D0000}"/>
    <cellStyle name="Обычный 101 12" xfId="3358" xr:uid="{00000000-0005-0000-0000-0000300D0000}"/>
    <cellStyle name="Обычный 101 13" xfId="3359" xr:uid="{00000000-0005-0000-0000-0000310D0000}"/>
    <cellStyle name="Обычный 101 14" xfId="3360" xr:uid="{00000000-0005-0000-0000-0000320D0000}"/>
    <cellStyle name="Обычный 101 15" xfId="3361" xr:uid="{00000000-0005-0000-0000-0000330D0000}"/>
    <cellStyle name="Обычный 101 16" xfId="3362" xr:uid="{00000000-0005-0000-0000-0000340D0000}"/>
    <cellStyle name="Обычный 101 17" xfId="3363" xr:uid="{00000000-0005-0000-0000-0000350D0000}"/>
    <cellStyle name="Обычный 101 2" xfId="3364" xr:uid="{00000000-0005-0000-0000-0000360D0000}"/>
    <cellStyle name="Обычный 101 3" xfId="3365" xr:uid="{00000000-0005-0000-0000-0000370D0000}"/>
    <cellStyle name="Обычный 101 4" xfId="3366" xr:uid="{00000000-0005-0000-0000-0000380D0000}"/>
    <cellStyle name="Обычный 101 5" xfId="3367" xr:uid="{00000000-0005-0000-0000-0000390D0000}"/>
    <cellStyle name="Обычный 101 6" xfId="3368" xr:uid="{00000000-0005-0000-0000-00003A0D0000}"/>
    <cellStyle name="Обычный 101 7" xfId="3369" xr:uid="{00000000-0005-0000-0000-00003B0D0000}"/>
    <cellStyle name="Обычный 101 8" xfId="3370" xr:uid="{00000000-0005-0000-0000-00003C0D0000}"/>
    <cellStyle name="Обычный 101 9" xfId="3371" xr:uid="{00000000-0005-0000-0000-00003D0D0000}"/>
    <cellStyle name="Обычный 102" xfId="3372" xr:uid="{00000000-0005-0000-0000-00003E0D0000}"/>
    <cellStyle name="Обычный 102 10" xfId="4988" xr:uid="{00000000-0005-0000-0000-00003F0D0000}"/>
    <cellStyle name="Обычный 102 2" xfId="3373" xr:uid="{00000000-0005-0000-0000-0000400D0000}"/>
    <cellStyle name="Обычный 102 2 2" xfId="4989" xr:uid="{00000000-0005-0000-0000-0000410D0000}"/>
    <cellStyle name="Обычный 102 3" xfId="4990" xr:uid="{00000000-0005-0000-0000-0000420D0000}"/>
    <cellStyle name="Обычный 102 4" xfId="4991" xr:uid="{00000000-0005-0000-0000-0000430D0000}"/>
    <cellStyle name="Обычный 102 5" xfId="4992" xr:uid="{00000000-0005-0000-0000-0000440D0000}"/>
    <cellStyle name="Обычный 102 6" xfId="4993" xr:uid="{00000000-0005-0000-0000-0000450D0000}"/>
    <cellStyle name="Обычный 102 7" xfId="4994" xr:uid="{00000000-0005-0000-0000-0000460D0000}"/>
    <cellStyle name="Обычный 102 8" xfId="4995" xr:uid="{00000000-0005-0000-0000-0000470D0000}"/>
    <cellStyle name="Обычный 102 9" xfId="4996" xr:uid="{00000000-0005-0000-0000-0000480D0000}"/>
    <cellStyle name="Обычный 103" xfId="3374" xr:uid="{00000000-0005-0000-0000-0000490D0000}"/>
    <cellStyle name="Обычный 103 2" xfId="3375" xr:uid="{00000000-0005-0000-0000-00004A0D0000}"/>
    <cellStyle name="Обычный 104" xfId="3376" xr:uid="{00000000-0005-0000-0000-00004B0D0000}"/>
    <cellStyle name="Обычный 104 2" xfId="3377" xr:uid="{00000000-0005-0000-0000-00004C0D0000}"/>
    <cellStyle name="Обычный 105" xfId="3378" xr:uid="{00000000-0005-0000-0000-00004D0D0000}"/>
    <cellStyle name="Обычный 105 2" xfId="3379" xr:uid="{00000000-0005-0000-0000-00004E0D0000}"/>
    <cellStyle name="Обычный 106" xfId="3380" xr:uid="{00000000-0005-0000-0000-00004F0D0000}"/>
    <cellStyle name="Обычный 106 2" xfId="3381" xr:uid="{00000000-0005-0000-0000-0000500D0000}"/>
    <cellStyle name="Обычный 106 3" xfId="3382" xr:uid="{00000000-0005-0000-0000-0000510D0000}"/>
    <cellStyle name="Обычный 107" xfId="3383" xr:uid="{00000000-0005-0000-0000-0000520D0000}"/>
    <cellStyle name="Обычный 107 2" xfId="3384" xr:uid="{00000000-0005-0000-0000-0000530D0000}"/>
    <cellStyle name="Обычный 107 3" xfId="3385" xr:uid="{00000000-0005-0000-0000-0000540D0000}"/>
    <cellStyle name="Обычный 108" xfId="3386" xr:uid="{00000000-0005-0000-0000-0000550D0000}"/>
    <cellStyle name="Обычный 109" xfId="3387" xr:uid="{00000000-0005-0000-0000-0000560D0000}"/>
    <cellStyle name="Обычный 11" xfId="3388" xr:uid="{00000000-0005-0000-0000-0000570D0000}"/>
    <cellStyle name="Обычный 11 2" xfId="3389" xr:uid="{00000000-0005-0000-0000-0000580D0000}"/>
    <cellStyle name="Обычный 11 2 2" xfId="4997" xr:uid="{00000000-0005-0000-0000-0000590D0000}"/>
    <cellStyle name="Обычный 11 3" xfId="3390" xr:uid="{00000000-0005-0000-0000-00005A0D0000}"/>
    <cellStyle name="Обычный 11 3 2" xfId="4998" xr:uid="{00000000-0005-0000-0000-00005B0D0000}"/>
    <cellStyle name="Обычный 11 4" xfId="3391" xr:uid="{00000000-0005-0000-0000-00005C0D0000}"/>
    <cellStyle name="Обычный 11_Свод гостин" xfId="3392" xr:uid="{00000000-0005-0000-0000-00005D0D0000}"/>
    <cellStyle name="Обычный 110" xfId="3393" xr:uid="{00000000-0005-0000-0000-00005E0D0000}"/>
    <cellStyle name="Обычный 111" xfId="3394" xr:uid="{00000000-0005-0000-0000-00005F0D0000}"/>
    <cellStyle name="Обычный 112" xfId="3395" xr:uid="{00000000-0005-0000-0000-0000600D0000}"/>
    <cellStyle name="Обычный 113" xfId="3396" xr:uid="{00000000-0005-0000-0000-0000610D0000}"/>
    <cellStyle name="Обычный 114" xfId="3397" xr:uid="{00000000-0005-0000-0000-0000620D0000}"/>
    <cellStyle name="Обычный 115" xfId="3398" xr:uid="{00000000-0005-0000-0000-0000630D0000}"/>
    <cellStyle name="Обычный 116" xfId="4973" xr:uid="{00000000-0005-0000-0000-0000640D0000}"/>
    <cellStyle name="Обычный 117" xfId="11661" xr:uid="{00000000-0005-0000-0000-0000650D0000}"/>
    <cellStyle name="Обычный 118" xfId="11662" xr:uid="{00000000-0005-0000-0000-0000660D0000}"/>
    <cellStyle name="Обычный 12" xfId="3399" xr:uid="{00000000-0005-0000-0000-0000670D0000}"/>
    <cellStyle name="Обычный 12 2" xfId="3400" xr:uid="{00000000-0005-0000-0000-0000680D0000}"/>
    <cellStyle name="Обычный 12 3" xfId="3401" xr:uid="{00000000-0005-0000-0000-0000690D0000}"/>
    <cellStyle name="Обычный 12 4" xfId="3402" xr:uid="{00000000-0005-0000-0000-00006A0D0000}"/>
    <cellStyle name="Обычный 12_Свод гостин" xfId="3403" xr:uid="{00000000-0005-0000-0000-00006B0D0000}"/>
    <cellStyle name="Обычный 13" xfId="3404" xr:uid="{00000000-0005-0000-0000-00006C0D0000}"/>
    <cellStyle name="Обычный 13 2" xfId="3405" xr:uid="{00000000-0005-0000-0000-00006D0D0000}"/>
    <cellStyle name="Обычный 13 3" xfId="3406" xr:uid="{00000000-0005-0000-0000-00006E0D0000}"/>
    <cellStyle name="Обычный 13 4" xfId="3407" xr:uid="{00000000-0005-0000-0000-00006F0D0000}"/>
    <cellStyle name="Обычный 13_Свод гостин" xfId="3408" xr:uid="{00000000-0005-0000-0000-0000700D0000}"/>
    <cellStyle name="Обычный 14" xfId="3409" xr:uid="{00000000-0005-0000-0000-0000710D0000}"/>
    <cellStyle name="Обычный 14 10" xfId="3410" xr:uid="{00000000-0005-0000-0000-0000720D0000}"/>
    <cellStyle name="Обычный 14 2" xfId="3411" xr:uid="{00000000-0005-0000-0000-0000730D0000}"/>
    <cellStyle name="Обычный 14 2 2" xfId="3412" xr:uid="{00000000-0005-0000-0000-0000740D0000}"/>
    <cellStyle name="Обычный 14 2 3" xfId="3413" xr:uid="{00000000-0005-0000-0000-0000750D0000}"/>
    <cellStyle name="Обычный 14 2_Свод гостин" xfId="3414" xr:uid="{00000000-0005-0000-0000-0000760D0000}"/>
    <cellStyle name="Обычный 14 3" xfId="3415" xr:uid="{00000000-0005-0000-0000-0000770D0000}"/>
    <cellStyle name="Обычный 14 4" xfId="3416" xr:uid="{00000000-0005-0000-0000-0000780D0000}"/>
    <cellStyle name="Обычный 14 5" xfId="3417" xr:uid="{00000000-0005-0000-0000-0000790D0000}"/>
    <cellStyle name="Обычный 14 6" xfId="3418" xr:uid="{00000000-0005-0000-0000-00007A0D0000}"/>
    <cellStyle name="Обычный 14 7" xfId="3419" xr:uid="{00000000-0005-0000-0000-00007B0D0000}"/>
    <cellStyle name="Обычный 14 8" xfId="3420" xr:uid="{00000000-0005-0000-0000-00007C0D0000}"/>
    <cellStyle name="Обычный 14 9" xfId="3421" xr:uid="{00000000-0005-0000-0000-00007D0D0000}"/>
    <cellStyle name="Обычный 14_ Оскемен 2 июня" xfId="3422" xr:uid="{00000000-0005-0000-0000-00007E0D0000}"/>
    <cellStyle name="Обычный 15" xfId="3423" xr:uid="{00000000-0005-0000-0000-00007F0D0000}"/>
    <cellStyle name="Обычный 15 2" xfId="3424" xr:uid="{00000000-0005-0000-0000-0000800D0000}"/>
    <cellStyle name="Обычный 15 2 2" xfId="3425" xr:uid="{00000000-0005-0000-0000-0000810D0000}"/>
    <cellStyle name="Обычный 15 2 3" xfId="3426" xr:uid="{00000000-0005-0000-0000-0000820D0000}"/>
    <cellStyle name="Обычный 15 2_ТУП" xfId="3427" xr:uid="{00000000-0005-0000-0000-0000830D0000}"/>
    <cellStyle name="Обычный 15 3" xfId="3428" xr:uid="{00000000-0005-0000-0000-0000840D0000}"/>
    <cellStyle name="Обычный 15 4" xfId="3429" xr:uid="{00000000-0005-0000-0000-0000850D0000}"/>
    <cellStyle name="Обычный 15 5" xfId="3430" xr:uid="{00000000-0005-0000-0000-0000860D0000}"/>
    <cellStyle name="Обычный 15 6" xfId="3431" xr:uid="{00000000-0005-0000-0000-0000870D0000}"/>
    <cellStyle name="Обычный 15 7" xfId="3432" xr:uid="{00000000-0005-0000-0000-0000880D0000}"/>
    <cellStyle name="Обычный 15_Свод гостин" xfId="3433" xr:uid="{00000000-0005-0000-0000-0000890D0000}"/>
    <cellStyle name="Обычный 16" xfId="3434" xr:uid="{00000000-0005-0000-0000-00008A0D0000}"/>
    <cellStyle name="Обычный 16 2" xfId="3435" xr:uid="{00000000-0005-0000-0000-00008B0D0000}"/>
    <cellStyle name="Обычный 16 3" xfId="3436" xr:uid="{00000000-0005-0000-0000-00008C0D0000}"/>
    <cellStyle name="Обычный 16 4" xfId="3437" xr:uid="{00000000-0005-0000-0000-00008D0D0000}"/>
    <cellStyle name="Обычный 16_Свод гостин" xfId="3438" xr:uid="{00000000-0005-0000-0000-00008E0D0000}"/>
    <cellStyle name="Обычный 17" xfId="3439" xr:uid="{00000000-0005-0000-0000-00008F0D0000}"/>
    <cellStyle name="Обычный 17 2" xfId="3440" xr:uid="{00000000-0005-0000-0000-0000900D0000}"/>
    <cellStyle name="Обычный 17 3" xfId="3441" xr:uid="{00000000-0005-0000-0000-0000910D0000}"/>
    <cellStyle name="Обычный 17 4" xfId="3442" xr:uid="{00000000-0005-0000-0000-0000920D0000}"/>
    <cellStyle name="Обычный 17_Свод гостин" xfId="3443" xr:uid="{00000000-0005-0000-0000-0000930D0000}"/>
    <cellStyle name="Обычный 18" xfId="3444" xr:uid="{00000000-0005-0000-0000-0000940D0000}"/>
    <cellStyle name="Обычный 18 2" xfId="3445" xr:uid="{00000000-0005-0000-0000-0000950D0000}"/>
    <cellStyle name="Обычный 18 3" xfId="3446" xr:uid="{00000000-0005-0000-0000-0000960D0000}"/>
    <cellStyle name="Обычный 18 4" xfId="3447" xr:uid="{00000000-0005-0000-0000-0000970D0000}"/>
    <cellStyle name="Обычный 18_Свод гостин" xfId="3448" xr:uid="{00000000-0005-0000-0000-0000980D0000}"/>
    <cellStyle name="Обычный 19" xfId="3449" xr:uid="{00000000-0005-0000-0000-0000990D0000}"/>
    <cellStyle name="Обычный 19 2" xfId="3450" xr:uid="{00000000-0005-0000-0000-00009A0D0000}"/>
    <cellStyle name="Обычный 19 2 2" xfId="3451" xr:uid="{00000000-0005-0000-0000-00009B0D0000}"/>
    <cellStyle name="Обычный 19 2 3" xfId="3452" xr:uid="{00000000-0005-0000-0000-00009C0D0000}"/>
    <cellStyle name="Обычный 19 2_ТУП" xfId="3453" xr:uid="{00000000-0005-0000-0000-00009D0D0000}"/>
    <cellStyle name="Обычный 19 3" xfId="3454" xr:uid="{00000000-0005-0000-0000-00009E0D0000}"/>
    <cellStyle name="Обычный 19 4" xfId="3455" xr:uid="{00000000-0005-0000-0000-00009F0D0000}"/>
    <cellStyle name="Обычный 19 5" xfId="3456" xr:uid="{00000000-0005-0000-0000-0000A00D0000}"/>
    <cellStyle name="Обычный 19 6" xfId="3457" xr:uid="{00000000-0005-0000-0000-0000A10D0000}"/>
    <cellStyle name="Обычный 19_Свод гостин" xfId="3458" xr:uid="{00000000-0005-0000-0000-0000A20D0000}"/>
    <cellStyle name="Обычный 2" xfId="3459" xr:uid="{00000000-0005-0000-0000-0000A30D0000}"/>
    <cellStyle name="Обычный 2 10" xfId="3460" xr:uid="{00000000-0005-0000-0000-0000A40D0000}"/>
    <cellStyle name="Обычный 2 10 2" xfId="3461" xr:uid="{00000000-0005-0000-0000-0000A50D0000}"/>
    <cellStyle name="Обычный 2 10 3" xfId="4999" xr:uid="{00000000-0005-0000-0000-0000A60D0000}"/>
    <cellStyle name="Обычный 2 11" xfId="3462" xr:uid="{00000000-0005-0000-0000-0000A70D0000}"/>
    <cellStyle name="Обычный 2 12" xfId="3463" xr:uid="{00000000-0005-0000-0000-0000A80D0000}"/>
    <cellStyle name="Обычный 2 12 2" xfId="5000" xr:uid="{00000000-0005-0000-0000-0000A90D0000}"/>
    <cellStyle name="Обычный 2 13" xfId="3464" xr:uid="{00000000-0005-0000-0000-0000AA0D0000}"/>
    <cellStyle name="Обычный 2 14" xfId="3465" xr:uid="{00000000-0005-0000-0000-0000AB0D0000}"/>
    <cellStyle name="Обычный 2 15" xfId="3466" xr:uid="{00000000-0005-0000-0000-0000AC0D0000}"/>
    <cellStyle name="Обычный 2 16" xfId="3467" xr:uid="{00000000-0005-0000-0000-0000AD0D0000}"/>
    <cellStyle name="Обычный 2 17" xfId="3468" xr:uid="{00000000-0005-0000-0000-0000AE0D0000}"/>
    <cellStyle name="Обычный 2 18" xfId="3469" xr:uid="{00000000-0005-0000-0000-0000AF0D0000}"/>
    <cellStyle name="Обычный 2 19" xfId="3470" xr:uid="{00000000-0005-0000-0000-0000B00D0000}"/>
    <cellStyle name="Обычный 2 2" xfId="3471" xr:uid="{00000000-0005-0000-0000-0000B10D0000}"/>
    <cellStyle name="Обычный 2 2 10" xfId="3472" xr:uid="{00000000-0005-0000-0000-0000B20D0000}"/>
    <cellStyle name="Обычный 2 2 10 2" xfId="5001" xr:uid="{00000000-0005-0000-0000-0000B30D0000}"/>
    <cellStyle name="Обычный 2 2 11" xfId="3473" xr:uid="{00000000-0005-0000-0000-0000B40D0000}"/>
    <cellStyle name="Обычный 2 2 12" xfId="3474" xr:uid="{00000000-0005-0000-0000-0000B50D0000}"/>
    <cellStyle name="Обычный 2 2 2" xfId="3475" xr:uid="{00000000-0005-0000-0000-0000B60D0000}"/>
    <cellStyle name="Обычный 2 2 2 2" xfId="3476" xr:uid="{00000000-0005-0000-0000-0000B70D0000}"/>
    <cellStyle name="Обычный 2 2 2 2 10" xfId="5002" xr:uid="{00000000-0005-0000-0000-0000B80D0000}"/>
    <cellStyle name="Обычный 2 2 2 2 11" xfId="3477" xr:uid="{00000000-0005-0000-0000-0000B90D0000}"/>
    <cellStyle name="Обычный 2 2 2 2 12" xfId="5003" xr:uid="{00000000-0005-0000-0000-0000BA0D0000}"/>
    <cellStyle name="Обычный 2 2 2 2 15 2" xfId="5004" xr:uid="{00000000-0005-0000-0000-0000BB0D0000}"/>
    <cellStyle name="Обычный 2 2 2 2 16" xfId="3478" xr:uid="{00000000-0005-0000-0000-0000BC0D0000}"/>
    <cellStyle name="Обычный 2 2 2 2 2" xfId="3479" xr:uid="{00000000-0005-0000-0000-0000BD0D0000}"/>
    <cellStyle name="Обычный 2 2 2 2 2 2" xfId="3480" xr:uid="{00000000-0005-0000-0000-0000BE0D0000}"/>
    <cellStyle name="Обычный 2 2 2 2 2 2 2" xfId="5005" xr:uid="{00000000-0005-0000-0000-0000BF0D0000}"/>
    <cellStyle name="Обычный 2 2 2 2 2 2 2 2" xfId="5006" xr:uid="{00000000-0005-0000-0000-0000C00D0000}"/>
    <cellStyle name="Обычный 2 2 2 2 2 2 2 2 2" xfId="5007" xr:uid="{00000000-0005-0000-0000-0000C10D0000}"/>
    <cellStyle name="Обычный 2 2 2 2 2 2 2 2 2 2" xfId="5008" xr:uid="{00000000-0005-0000-0000-0000C20D0000}"/>
    <cellStyle name="Обычный 2 2 2 2 2 2 2 2 2 2 2" xfId="5009" xr:uid="{00000000-0005-0000-0000-0000C30D0000}"/>
    <cellStyle name="Обычный 2 2 2 2 2 2 2 2 2 2 3" xfId="5010" xr:uid="{00000000-0005-0000-0000-0000C40D0000}"/>
    <cellStyle name="Обычный 2 2 2 2 2 2 2 2 2 3" xfId="5011" xr:uid="{00000000-0005-0000-0000-0000C50D0000}"/>
    <cellStyle name="Обычный 2 2 2 2 2 2 2 2 2 4" xfId="5012" xr:uid="{00000000-0005-0000-0000-0000C60D0000}"/>
    <cellStyle name="Обычный 2 2 2 2 2 2 2 2 3" xfId="5013" xr:uid="{00000000-0005-0000-0000-0000C70D0000}"/>
    <cellStyle name="Обычный 2 2 2 2 2 2 2 2 3 2" xfId="5014" xr:uid="{00000000-0005-0000-0000-0000C80D0000}"/>
    <cellStyle name="Обычный 2 2 2 2 2 2 2 2 3 3" xfId="5015" xr:uid="{00000000-0005-0000-0000-0000C90D0000}"/>
    <cellStyle name="Обычный 2 2 2 2 2 2 2 2 4" xfId="5016" xr:uid="{00000000-0005-0000-0000-0000CA0D0000}"/>
    <cellStyle name="Обычный 2 2 2 2 2 2 2 2 4 2" xfId="5017" xr:uid="{00000000-0005-0000-0000-0000CB0D0000}"/>
    <cellStyle name="Обычный 2 2 2 2 2 2 2 2 5" xfId="5018" xr:uid="{00000000-0005-0000-0000-0000CC0D0000}"/>
    <cellStyle name="Обычный 2 2 2 2 2 2 2 2 6" xfId="5019" xr:uid="{00000000-0005-0000-0000-0000CD0D0000}"/>
    <cellStyle name="Обычный 2 2 2 2 2 2 2 3" xfId="5020" xr:uid="{00000000-0005-0000-0000-0000CE0D0000}"/>
    <cellStyle name="Обычный 2 2 2 2 2 2 2 3 2" xfId="5021" xr:uid="{00000000-0005-0000-0000-0000CF0D0000}"/>
    <cellStyle name="Обычный 2 2 2 2 2 2 2 3 2 2" xfId="5022" xr:uid="{00000000-0005-0000-0000-0000D00D0000}"/>
    <cellStyle name="Обычный 2 2 2 2 2 2 2 3 2 3" xfId="5023" xr:uid="{00000000-0005-0000-0000-0000D10D0000}"/>
    <cellStyle name="Обычный 2 2 2 2 2 2 2 3 3" xfId="5024" xr:uid="{00000000-0005-0000-0000-0000D20D0000}"/>
    <cellStyle name="Обычный 2 2 2 2 2 2 2 3 4" xfId="5025" xr:uid="{00000000-0005-0000-0000-0000D30D0000}"/>
    <cellStyle name="Обычный 2 2 2 2 2 2 2 4" xfId="5026" xr:uid="{00000000-0005-0000-0000-0000D40D0000}"/>
    <cellStyle name="Обычный 2 2 2 2 2 2 2 4 2" xfId="5027" xr:uid="{00000000-0005-0000-0000-0000D50D0000}"/>
    <cellStyle name="Обычный 2 2 2 2 2 2 2 4 3" xfId="5028" xr:uid="{00000000-0005-0000-0000-0000D60D0000}"/>
    <cellStyle name="Обычный 2 2 2 2 2 2 2 5" xfId="5029" xr:uid="{00000000-0005-0000-0000-0000D70D0000}"/>
    <cellStyle name="Обычный 2 2 2 2 2 2 2 5 2" xfId="5030" xr:uid="{00000000-0005-0000-0000-0000D80D0000}"/>
    <cellStyle name="Обычный 2 2 2 2 2 2 2 6" xfId="5031" xr:uid="{00000000-0005-0000-0000-0000D90D0000}"/>
    <cellStyle name="Обычный 2 2 2 2 2 2 2 7" xfId="5032" xr:uid="{00000000-0005-0000-0000-0000DA0D0000}"/>
    <cellStyle name="Обычный 2 2 2 2 2 2 3" xfId="5033" xr:uid="{00000000-0005-0000-0000-0000DB0D0000}"/>
    <cellStyle name="Обычный 2 2 2 2 2 2 3 2" xfId="5034" xr:uid="{00000000-0005-0000-0000-0000DC0D0000}"/>
    <cellStyle name="Обычный 2 2 2 2 2 2 3 2 2" xfId="5035" xr:uid="{00000000-0005-0000-0000-0000DD0D0000}"/>
    <cellStyle name="Обычный 2 2 2 2 2 2 3 2 2 2" xfId="5036" xr:uid="{00000000-0005-0000-0000-0000DE0D0000}"/>
    <cellStyle name="Обычный 2 2 2 2 2 2 3 2 2 3" xfId="5037" xr:uid="{00000000-0005-0000-0000-0000DF0D0000}"/>
    <cellStyle name="Обычный 2 2 2 2 2 2 3 2 3" xfId="5038" xr:uid="{00000000-0005-0000-0000-0000E00D0000}"/>
    <cellStyle name="Обычный 2 2 2 2 2 2 3 2 4" xfId="5039" xr:uid="{00000000-0005-0000-0000-0000E10D0000}"/>
    <cellStyle name="Обычный 2 2 2 2 2 2 3 3" xfId="5040" xr:uid="{00000000-0005-0000-0000-0000E20D0000}"/>
    <cellStyle name="Обычный 2 2 2 2 2 2 3 3 2" xfId="5041" xr:uid="{00000000-0005-0000-0000-0000E30D0000}"/>
    <cellStyle name="Обычный 2 2 2 2 2 2 3 3 3" xfId="5042" xr:uid="{00000000-0005-0000-0000-0000E40D0000}"/>
    <cellStyle name="Обычный 2 2 2 2 2 2 3 4" xfId="5043" xr:uid="{00000000-0005-0000-0000-0000E50D0000}"/>
    <cellStyle name="Обычный 2 2 2 2 2 2 3 4 2" xfId="5044" xr:uid="{00000000-0005-0000-0000-0000E60D0000}"/>
    <cellStyle name="Обычный 2 2 2 2 2 2 3 5" xfId="5045" xr:uid="{00000000-0005-0000-0000-0000E70D0000}"/>
    <cellStyle name="Обычный 2 2 2 2 2 2 3 6" xfId="5046" xr:uid="{00000000-0005-0000-0000-0000E80D0000}"/>
    <cellStyle name="Обычный 2 2 2 2 2 2 3 7" xfId="3481" xr:uid="{00000000-0005-0000-0000-0000E90D0000}"/>
    <cellStyle name="Обычный 2 2 2 2 2 2 4" xfId="5047" xr:uid="{00000000-0005-0000-0000-0000EA0D0000}"/>
    <cellStyle name="Обычный 2 2 2 2 2 2 4 2" xfId="5048" xr:uid="{00000000-0005-0000-0000-0000EB0D0000}"/>
    <cellStyle name="Обычный 2 2 2 2 2 2 4 2 2" xfId="5049" xr:uid="{00000000-0005-0000-0000-0000EC0D0000}"/>
    <cellStyle name="Обычный 2 2 2 2 2 2 4 2 3" xfId="5050" xr:uid="{00000000-0005-0000-0000-0000ED0D0000}"/>
    <cellStyle name="Обычный 2 2 2 2 2 2 4 3" xfId="5051" xr:uid="{00000000-0005-0000-0000-0000EE0D0000}"/>
    <cellStyle name="Обычный 2 2 2 2 2 2 4 4" xfId="5052" xr:uid="{00000000-0005-0000-0000-0000EF0D0000}"/>
    <cellStyle name="Обычный 2 2 2 2 2 2 5" xfId="5053" xr:uid="{00000000-0005-0000-0000-0000F00D0000}"/>
    <cellStyle name="Обычный 2 2 2 2 2 2 5 2" xfId="5054" xr:uid="{00000000-0005-0000-0000-0000F10D0000}"/>
    <cellStyle name="Обычный 2 2 2 2 2 2 5 3" xfId="5055" xr:uid="{00000000-0005-0000-0000-0000F20D0000}"/>
    <cellStyle name="Обычный 2 2 2 2 2 2 6" xfId="5056" xr:uid="{00000000-0005-0000-0000-0000F30D0000}"/>
    <cellStyle name="Обычный 2 2 2 2 2 2 6 2" xfId="5057" xr:uid="{00000000-0005-0000-0000-0000F40D0000}"/>
    <cellStyle name="Обычный 2 2 2 2 2 2 7" xfId="5058" xr:uid="{00000000-0005-0000-0000-0000F50D0000}"/>
    <cellStyle name="Обычный 2 2 2 2 2 2 8" xfId="5059" xr:uid="{00000000-0005-0000-0000-0000F60D0000}"/>
    <cellStyle name="Обычный 2 2 2 2 2 3" xfId="3482" xr:uid="{00000000-0005-0000-0000-0000F70D0000}"/>
    <cellStyle name="Обычный 2 2 2 2 2 3 2" xfId="5060" xr:uid="{00000000-0005-0000-0000-0000F80D0000}"/>
    <cellStyle name="Обычный 2 2 2 2 2 3 2 2" xfId="5061" xr:uid="{00000000-0005-0000-0000-0000F90D0000}"/>
    <cellStyle name="Обычный 2 2 2 2 2 3 2 2 2" xfId="5062" xr:uid="{00000000-0005-0000-0000-0000FA0D0000}"/>
    <cellStyle name="Обычный 2 2 2 2 2 3 2 2 2 2" xfId="5063" xr:uid="{00000000-0005-0000-0000-0000FB0D0000}"/>
    <cellStyle name="Обычный 2 2 2 2 2 3 2 2 2 3" xfId="5064" xr:uid="{00000000-0005-0000-0000-0000FC0D0000}"/>
    <cellStyle name="Обычный 2 2 2 2 2 3 2 2 3" xfId="5065" xr:uid="{00000000-0005-0000-0000-0000FD0D0000}"/>
    <cellStyle name="Обычный 2 2 2 2 2 3 2 2 4" xfId="5066" xr:uid="{00000000-0005-0000-0000-0000FE0D0000}"/>
    <cellStyle name="Обычный 2 2 2 2 2 3 2 3" xfId="5067" xr:uid="{00000000-0005-0000-0000-0000FF0D0000}"/>
    <cellStyle name="Обычный 2 2 2 2 2 3 2 3 2" xfId="5068" xr:uid="{00000000-0005-0000-0000-0000000E0000}"/>
    <cellStyle name="Обычный 2 2 2 2 2 3 2 3 3" xfId="5069" xr:uid="{00000000-0005-0000-0000-0000010E0000}"/>
    <cellStyle name="Обычный 2 2 2 2 2 3 2 4" xfId="5070" xr:uid="{00000000-0005-0000-0000-0000020E0000}"/>
    <cellStyle name="Обычный 2 2 2 2 2 3 2 4 2" xfId="5071" xr:uid="{00000000-0005-0000-0000-0000030E0000}"/>
    <cellStyle name="Обычный 2 2 2 2 2 3 2 5" xfId="5072" xr:uid="{00000000-0005-0000-0000-0000040E0000}"/>
    <cellStyle name="Обычный 2 2 2 2 2 3 2 6" xfId="5073" xr:uid="{00000000-0005-0000-0000-0000050E0000}"/>
    <cellStyle name="Обычный 2 2 2 2 2 3 3" xfId="5074" xr:uid="{00000000-0005-0000-0000-0000060E0000}"/>
    <cellStyle name="Обычный 2 2 2 2 2 3 3 2" xfId="5075" xr:uid="{00000000-0005-0000-0000-0000070E0000}"/>
    <cellStyle name="Обычный 2 2 2 2 2 3 3 2 2" xfId="5076" xr:uid="{00000000-0005-0000-0000-0000080E0000}"/>
    <cellStyle name="Обычный 2 2 2 2 2 3 3 2 3" xfId="5077" xr:uid="{00000000-0005-0000-0000-0000090E0000}"/>
    <cellStyle name="Обычный 2 2 2 2 2 3 3 3" xfId="5078" xr:uid="{00000000-0005-0000-0000-00000A0E0000}"/>
    <cellStyle name="Обычный 2 2 2 2 2 3 3 4" xfId="5079" xr:uid="{00000000-0005-0000-0000-00000B0E0000}"/>
    <cellStyle name="Обычный 2 2 2 2 2 3 4" xfId="5080" xr:uid="{00000000-0005-0000-0000-00000C0E0000}"/>
    <cellStyle name="Обычный 2 2 2 2 2 3 4 2" xfId="5081" xr:uid="{00000000-0005-0000-0000-00000D0E0000}"/>
    <cellStyle name="Обычный 2 2 2 2 2 3 4 3" xfId="5082" xr:uid="{00000000-0005-0000-0000-00000E0E0000}"/>
    <cellStyle name="Обычный 2 2 2 2 2 3 5" xfId="5083" xr:uid="{00000000-0005-0000-0000-00000F0E0000}"/>
    <cellStyle name="Обычный 2 2 2 2 2 3 5 2" xfId="5084" xr:uid="{00000000-0005-0000-0000-0000100E0000}"/>
    <cellStyle name="Обычный 2 2 2 2 2 3 6" xfId="5085" xr:uid="{00000000-0005-0000-0000-0000110E0000}"/>
    <cellStyle name="Обычный 2 2 2 2 2 3 7" xfId="5086" xr:uid="{00000000-0005-0000-0000-0000120E0000}"/>
    <cellStyle name="Обычный 2 2 2 2 2 4" xfId="3483" xr:uid="{00000000-0005-0000-0000-0000130E0000}"/>
    <cellStyle name="Обычный 2 2 2 2 2 4 2" xfId="5087" xr:uid="{00000000-0005-0000-0000-0000140E0000}"/>
    <cellStyle name="Обычный 2 2 2 2 2 4 2 2" xfId="5088" xr:uid="{00000000-0005-0000-0000-0000150E0000}"/>
    <cellStyle name="Обычный 2 2 2 2 2 4 2 2 2" xfId="5089" xr:uid="{00000000-0005-0000-0000-0000160E0000}"/>
    <cellStyle name="Обычный 2 2 2 2 2 4 2 2 3" xfId="5090" xr:uid="{00000000-0005-0000-0000-0000170E0000}"/>
    <cellStyle name="Обычный 2 2 2 2 2 4 2 3" xfId="5091" xr:uid="{00000000-0005-0000-0000-0000180E0000}"/>
    <cellStyle name="Обычный 2 2 2 2 2 4 2 4" xfId="5092" xr:uid="{00000000-0005-0000-0000-0000190E0000}"/>
    <cellStyle name="Обычный 2 2 2 2 2 4 3" xfId="5093" xr:uid="{00000000-0005-0000-0000-00001A0E0000}"/>
    <cellStyle name="Обычный 2 2 2 2 2 4 3 2" xfId="5094" xr:uid="{00000000-0005-0000-0000-00001B0E0000}"/>
    <cellStyle name="Обычный 2 2 2 2 2 4 3 3" xfId="5095" xr:uid="{00000000-0005-0000-0000-00001C0E0000}"/>
    <cellStyle name="Обычный 2 2 2 2 2 4 4" xfId="5096" xr:uid="{00000000-0005-0000-0000-00001D0E0000}"/>
    <cellStyle name="Обычный 2 2 2 2 2 4 4 2" xfId="5097" xr:uid="{00000000-0005-0000-0000-00001E0E0000}"/>
    <cellStyle name="Обычный 2 2 2 2 2 4 5" xfId="5098" xr:uid="{00000000-0005-0000-0000-00001F0E0000}"/>
    <cellStyle name="Обычный 2 2 2 2 2 4 6" xfId="5099" xr:uid="{00000000-0005-0000-0000-0000200E0000}"/>
    <cellStyle name="Обычный 2 2 2 2 2 5" xfId="5100" xr:uid="{00000000-0005-0000-0000-0000210E0000}"/>
    <cellStyle name="Обычный 2 2 2 2 2 5 2" xfId="5101" xr:uid="{00000000-0005-0000-0000-0000220E0000}"/>
    <cellStyle name="Обычный 2 2 2 2 2 5 2 2" xfId="5102" xr:uid="{00000000-0005-0000-0000-0000230E0000}"/>
    <cellStyle name="Обычный 2 2 2 2 2 5 2 3" xfId="5103" xr:uid="{00000000-0005-0000-0000-0000240E0000}"/>
    <cellStyle name="Обычный 2 2 2 2 2 5 3" xfId="5104" xr:uid="{00000000-0005-0000-0000-0000250E0000}"/>
    <cellStyle name="Обычный 2 2 2 2 2 5 4" xfId="5105" xr:uid="{00000000-0005-0000-0000-0000260E0000}"/>
    <cellStyle name="Обычный 2 2 2 2 2 6" xfId="5106" xr:uid="{00000000-0005-0000-0000-0000270E0000}"/>
    <cellStyle name="Обычный 2 2 2 2 2 6 2" xfId="5107" xr:uid="{00000000-0005-0000-0000-0000280E0000}"/>
    <cellStyle name="Обычный 2 2 2 2 2 6 3" xfId="5108" xr:uid="{00000000-0005-0000-0000-0000290E0000}"/>
    <cellStyle name="Обычный 2 2 2 2 2 7" xfId="5109" xr:uid="{00000000-0005-0000-0000-00002A0E0000}"/>
    <cellStyle name="Обычный 2 2 2 2 2 7 2" xfId="5110" xr:uid="{00000000-0005-0000-0000-00002B0E0000}"/>
    <cellStyle name="Обычный 2 2 2 2 2 8" xfId="5111" xr:uid="{00000000-0005-0000-0000-00002C0E0000}"/>
    <cellStyle name="Обычный 2 2 2 2 2 9" xfId="5112" xr:uid="{00000000-0005-0000-0000-00002D0E0000}"/>
    <cellStyle name="Обычный 2 2 2 2 20" xfId="5113" xr:uid="{00000000-0005-0000-0000-00002E0E0000}"/>
    <cellStyle name="Обычный 2 2 2 2 3" xfId="3484" xr:uid="{00000000-0005-0000-0000-00002F0E0000}"/>
    <cellStyle name="Обычный 2 2 2 2 3 2" xfId="5114" xr:uid="{00000000-0005-0000-0000-0000300E0000}"/>
    <cellStyle name="Обычный 2 2 2 2 3 2 2" xfId="5115" xr:uid="{00000000-0005-0000-0000-0000310E0000}"/>
    <cellStyle name="Обычный 2 2 2 2 3 2 2 2" xfId="5116" xr:uid="{00000000-0005-0000-0000-0000320E0000}"/>
    <cellStyle name="Обычный 2 2 2 2 3 2 2 2 2" xfId="5117" xr:uid="{00000000-0005-0000-0000-0000330E0000}"/>
    <cellStyle name="Обычный 2 2 2 2 3 2 2 2 2 2" xfId="5118" xr:uid="{00000000-0005-0000-0000-0000340E0000}"/>
    <cellStyle name="Обычный 2 2 2 2 3 2 2 2 2 3" xfId="5119" xr:uid="{00000000-0005-0000-0000-0000350E0000}"/>
    <cellStyle name="Обычный 2 2 2 2 3 2 2 2 3" xfId="5120" xr:uid="{00000000-0005-0000-0000-0000360E0000}"/>
    <cellStyle name="Обычный 2 2 2 2 3 2 2 2 4" xfId="5121" xr:uid="{00000000-0005-0000-0000-0000370E0000}"/>
    <cellStyle name="Обычный 2 2 2 2 3 2 2 3" xfId="5122" xr:uid="{00000000-0005-0000-0000-0000380E0000}"/>
    <cellStyle name="Обычный 2 2 2 2 3 2 2 3 2" xfId="5123" xr:uid="{00000000-0005-0000-0000-0000390E0000}"/>
    <cellStyle name="Обычный 2 2 2 2 3 2 2 3 3" xfId="5124" xr:uid="{00000000-0005-0000-0000-00003A0E0000}"/>
    <cellStyle name="Обычный 2 2 2 2 3 2 2 4" xfId="5125" xr:uid="{00000000-0005-0000-0000-00003B0E0000}"/>
    <cellStyle name="Обычный 2 2 2 2 3 2 2 4 2" xfId="5126" xr:uid="{00000000-0005-0000-0000-00003C0E0000}"/>
    <cellStyle name="Обычный 2 2 2 2 3 2 2 5" xfId="5127" xr:uid="{00000000-0005-0000-0000-00003D0E0000}"/>
    <cellStyle name="Обычный 2 2 2 2 3 2 2 6" xfId="5128" xr:uid="{00000000-0005-0000-0000-00003E0E0000}"/>
    <cellStyle name="Обычный 2 2 2 2 3 2 3" xfId="5129" xr:uid="{00000000-0005-0000-0000-00003F0E0000}"/>
    <cellStyle name="Обычный 2 2 2 2 3 2 3 2" xfId="5130" xr:uid="{00000000-0005-0000-0000-0000400E0000}"/>
    <cellStyle name="Обычный 2 2 2 2 3 2 3 2 2" xfId="5131" xr:uid="{00000000-0005-0000-0000-0000410E0000}"/>
    <cellStyle name="Обычный 2 2 2 2 3 2 3 2 3" xfId="5132" xr:uid="{00000000-0005-0000-0000-0000420E0000}"/>
    <cellStyle name="Обычный 2 2 2 2 3 2 3 3" xfId="5133" xr:uid="{00000000-0005-0000-0000-0000430E0000}"/>
    <cellStyle name="Обычный 2 2 2 2 3 2 3 4" xfId="5134" xr:uid="{00000000-0005-0000-0000-0000440E0000}"/>
    <cellStyle name="Обычный 2 2 2 2 3 2 4" xfId="5135" xr:uid="{00000000-0005-0000-0000-0000450E0000}"/>
    <cellStyle name="Обычный 2 2 2 2 3 2 4 2" xfId="5136" xr:uid="{00000000-0005-0000-0000-0000460E0000}"/>
    <cellStyle name="Обычный 2 2 2 2 3 2 4 3" xfId="5137" xr:uid="{00000000-0005-0000-0000-0000470E0000}"/>
    <cellStyle name="Обычный 2 2 2 2 3 2 5" xfId="5138" xr:uid="{00000000-0005-0000-0000-0000480E0000}"/>
    <cellStyle name="Обычный 2 2 2 2 3 2 5 2" xfId="5139" xr:uid="{00000000-0005-0000-0000-0000490E0000}"/>
    <cellStyle name="Обычный 2 2 2 2 3 2 6" xfId="5140" xr:uid="{00000000-0005-0000-0000-00004A0E0000}"/>
    <cellStyle name="Обычный 2 2 2 2 3 2 7" xfId="5141" xr:uid="{00000000-0005-0000-0000-00004B0E0000}"/>
    <cellStyle name="Обычный 2 2 2 2 3 3" xfId="5142" xr:uid="{00000000-0005-0000-0000-00004C0E0000}"/>
    <cellStyle name="Обычный 2 2 2 2 3 3 2" xfId="5143" xr:uid="{00000000-0005-0000-0000-00004D0E0000}"/>
    <cellStyle name="Обычный 2 2 2 2 3 3 2 2" xfId="5144" xr:uid="{00000000-0005-0000-0000-00004E0E0000}"/>
    <cellStyle name="Обычный 2 2 2 2 3 3 2 2 2" xfId="5145" xr:uid="{00000000-0005-0000-0000-00004F0E0000}"/>
    <cellStyle name="Обычный 2 2 2 2 3 3 2 2 3" xfId="5146" xr:uid="{00000000-0005-0000-0000-0000500E0000}"/>
    <cellStyle name="Обычный 2 2 2 2 3 3 2 3" xfId="5147" xr:uid="{00000000-0005-0000-0000-0000510E0000}"/>
    <cellStyle name="Обычный 2 2 2 2 3 3 2 4" xfId="5148" xr:uid="{00000000-0005-0000-0000-0000520E0000}"/>
    <cellStyle name="Обычный 2 2 2 2 3 3 3" xfId="5149" xr:uid="{00000000-0005-0000-0000-0000530E0000}"/>
    <cellStyle name="Обычный 2 2 2 2 3 3 3 2" xfId="5150" xr:uid="{00000000-0005-0000-0000-0000540E0000}"/>
    <cellStyle name="Обычный 2 2 2 2 3 3 3 3" xfId="5151" xr:uid="{00000000-0005-0000-0000-0000550E0000}"/>
    <cellStyle name="Обычный 2 2 2 2 3 3 4" xfId="5152" xr:uid="{00000000-0005-0000-0000-0000560E0000}"/>
    <cellStyle name="Обычный 2 2 2 2 3 3 4 2" xfId="5153" xr:uid="{00000000-0005-0000-0000-0000570E0000}"/>
    <cellStyle name="Обычный 2 2 2 2 3 3 5" xfId="5154" xr:uid="{00000000-0005-0000-0000-0000580E0000}"/>
    <cellStyle name="Обычный 2 2 2 2 3 3 6" xfId="5155" xr:uid="{00000000-0005-0000-0000-0000590E0000}"/>
    <cellStyle name="Обычный 2 2 2 2 3 4" xfId="5156" xr:uid="{00000000-0005-0000-0000-00005A0E0000}"/>
    <cellStyle name="Обычный 2 2 2 2 3 4 2" xfId="5157" xr:uid="{00000000-0005-0000-0000-00005B0E0000}"/>
    <cellStyle name="Обычный 2 2 2 2 3 4 2 2" xfId="5158" xr:uid="{00000000-0005-0000-0000-00005C0E0000}"/>
    <cellStyle name="Обычный 2 2 2 2 3 4 2 3" xfId="5159" xr:uid="{00000000-0005-0000-0000-00005D0E0000}"/>
    <cellStyle name="Обычный 2 2 2 2 3 4 3" xfId="5160" xr:uid="{00000000-0005-0000-0000-00005E0E0000}"/>
    <cellStyle name="Обычный 2 2 2 2 3 4 4" xfId="5161" xr:uid="{00000000-0005-0000-0000-00005F0E0000}"/>
    <cellStyle name="Обычный 2 2 2 2 3 5" xfId="5162" xr:uid="{00000000-0005-0000-0000-0000600E0000}"/>
    <cellStyle name="Обычный 2 2 2 2 3 5 2" xfId="5163" xr:uid="{00000000-0005-0000-0000-0000610E0000}"/>
    <cellStyle name="Обычный 2 2 2 2 3 5 3" xfId="5164" xr:uid="{00000000-0005-0000-0000-0000620E0000}"/>
    <cellStyle name="Обычный 2 2 2 2 3 6" xfId="5165" xr:uid="{00000000-0005-0000-0000-0000630E0000}"/>
    <cellStyle name="Обычный 2 2 2 2 3 6 2" xfId="5166" xr:uid="{00000000-0005-0000-0000-0000640E0000}"/>
    <cellStyle name="Обычный 2 2 2 2 3 7" xfId="5167" xr:uid="{00000000-0005-0000-0000-0000650E0000}"/>
    <cellStyle name="Обычный 2 2 2 2 3 8" xfId="5168" xr:uid="{00000000-0005-0000-0000-0000660E0000}"/>
    <cellStyle name="Обычный 2 2 2 2 4" xfId="3485" xr:uid="{00000000-0005-0000-0000-0000670E0000}"/>
    <cellStyle name="Обычный 2 2 2 2 4 2" xfId="5169" xr:uid="{00000000-0005-0000-0000-0000680E0000}"/>
    <cellStyle name="Обычный 2 2 2 2 4 2 2" xfId="5170" xr:uid="{00000000-0005-0000-0000-0000690E0000}"/>
    <cellStyle name="Обычный 2 2 2 2 4 2 2 2" xfId="5171" xr:uid="{00000000-0005-0000-0000-00006A0E0000}"/>
    <cellStyle name="Обычный 2 2 2 2 4 2 2 2 2" xfId="5172" xr:uid="{00000000-0005-0000-0000-00006B0E0000}"/>
    <cellStyle name="Обычный 2 2 2 2 4 2 2 2 3" xfId="5173" xr:uid="{00000000-0005-0000-0000-00006C0E0000}"/>
    <cellStyle name="Обычный 2 2 2 2 4 2 2 3" xfId="5174" xr:uid="{00000000-0005-0000-0000-00006D0E0000}"/>
    <cellStyle name="Обычный 2 2 2 2 4 2 2 4" xfId="5175" xr:uid="{00000000-0005-0000-0000-00006E0E0000}"/>
    <cellStyle name="Обычный 2 2 2 2 4 2 3" xfId="5176" xr:uid="{00000000-0005-0000-0000-00006F0E0000}"/>
    <cellStyle name="Обычный 2 2 2 2 4 2 3 2" xfId="5177" xr:uid="{00000000-0005-0000-0000-0000700E0000}"/>
    <cellStyle name="Обычный 2 2 2 2 4 2 3 3" xfId="5178" xr:uid="{00000000-0005-0000-0000-0000710E0000}"/>
    <cellStyle name="Обычный 2 2 2 2 4 2 4" xfId="5179" xr:uid="{00000000-0005-0000-0000-0000720E0000}"/>
    <cellStyle name="Обычный 2 2 2 2 4 2 4 2" xfId="5180" xr:uid="{00000000-0005-0000-0000-0000730E0000}"/>
    <cellStyle name="Обычный 2 2 2 2 4 2 5" xfId="5181" xr:uid="{00000000-0005-0000-0000-0000740E0000}"/>
    <cellStyle name="Обычный 2 2 2 2 4 2 6" xfId="5182" xr:uid="{00000000-0005-0000-0000-0000750E0000}"/>
    <cellStyle name="Обычный 2 2 2 2 4 3" xfId="5183" xr:uid="{00000000-0005-0000-0000-0000760E0000}"/>
    <cellStyle name="Обычный 2 2 2 2 4 3 2" xfId="5184" xr:uid="{00000000-0005-0000-0000-0000770E0000}"/>
    <cellStyle name="Обычный 2 2 2 2 4 3 2 2" xfId="5185" xr:uid="{00000000-0005-0000-0000-0000780E0000}"/>
    <cellStyle name="Обычный 2 2 2 2 4 3 2 3" xfId="5186" xr:uid="{00000000-0005-0000-0000-0000790E0000}"/>
    <cellStyle name="Обычный 2 2 2 2 4 3 3" xfId="5187" xr:uid="{00000000-0005-0000-0000-00007A0E0000}"/>
    <cellStyle name="Обычный 2 2 2 2 4 3 4" xfId="5188" xr:uid="{00000000-0005-0000-0000-00007B0E0000}"/>
    <cellStyle name="Обычный 2 2 2 2 4 4" xfId="5189" xr:uid="{00000000-0005-0000-0000-00007C0E0000}"/>
    <cellStyle name="Обычный 2 2 2 2 4 4 2" xfId="5190" xr:uid="{00000000-0005-0000-0000-00007D0E0000}"/>
    <cellStyle name="Обычный 2 2 2 2 4 4 3" xfId="5191" xr:uid="{00000000-0005-0000-0000-00007E0E0000}"/>
    <cellStyle name="Обычный 2 2 2 2 4 5" xfId="5192" xr:uid="{00000000-0005-0000-0000-00007F0E0000}"/>
    <cellStyle name="Обычный 2 2 2 2 4 5 2" xfId="5193" xr:uid="{00000000-0005-0000-0000-0000800E0000}"/>
    <cellStyle name="Обычный 2 2 2 2 4 6" xfId="5194" xr:uid="{00000000-0005-0000-0000-0000810E0000}"/>
    <cellStyle name="Обычный 2 2 2 2 4 7" xfId="5195" xr:uid="{00000000-0005-0000-0000-0000820E0000}"/>
    <cellStyle name="Обычный 2 2 2 2 5" xfId="3486" xr:uid="{00000000-0005-0000-0000-0000830E0000}"/>
    <cellStyle name="Обычный 2 2 2 2 5 2" xfId="5196" xr:uid="{00000000-0005-0000-0000-0000840E0000}"/>
    <cellStyle name="Обычный 2 2 2 2 5 2 2" xfId="5197" xr:uid="{00000000-0005-0000-0000-0000850E0000}"/>
    <cellStyle name="Обычный 2 2 2 2 5 2 2 2" xfId="5198" xr:uid="{00000000-0005-0000-0000-0000860E0000}"/>
    <cellStyle name="Обычный 2 2 2 2 5 2 2 3" xfId="5199" xr:uid="{00000000-0005-0000-0000-0000870E0000}"/>
    <cellStyle name="Обычный 2 2 2 2 5 2 3" xfId="5200" xr:uid="{00000000-0005-0000-0000-0000880E0000}"/>
    <cellStyle name="Обычный 2 2 2 2 5 2 4" xfId="5201" xr:uid="{00000000-0005-0000-0000-0000890E0000}"/>
    <cellStyle name="Обычный 2 2 2 2 5 3" xfId="5202" xr:uid="{00000000-0005-0000-0000-00008A0E0000}"/>
    <cellStyle name="Обычный 2 2 2 2 5 3 2" xfId="5203" xr:uid="{00000000-0005-0000-0000-00008B0E0000}"/>
    <cellStyle name="Обычный 2 2 2 2 5 3 3" xfId="5204" xr:uid="{00000000-0005-0000-0000-00008C0E0000}"/>
    <cellStyle name="Обычный 2 2 2 2 5 4" xfId="5205" xr:uid="{00000000-0005-0000-0000-00008D0E0000}"/>
    <cellStyle name="Обычный 2 2 2 2 5 4 2" xfId="5206" xr:uid="{00000000-0005-0000-0000-00008E0E0000}"/>
    <cellStyle name="Обычный 2 2 2 2 5 5" xfId="5207" xr:uid="{00000000-0005-0000-0000-00008F0E0000}"/>
    <cellStyle name="Обычный 2 2 2 2 5 6" xfId="5208" xr:uid="{00000000-0005-0000-0000-0000900E0000}"/>
    <cellStyle name="Обычный 2 2 2 2 6" xfId="3487" xr:uid="{00000000-0005-0000-0000-0000910E0000}"/>
    <cellStyle name="Обычный 2 2 2 2 6 2" xfId="5209" xr:uid="{00000000-0005-0000-0000-0000920E0000}"/>
    <cellStyle name="Обычный 2 2 2 2 6 2 2" xfId="5210" xr:uid="{00000000-0005-0000-0000-0000930E0000}"/>
    <cellStyle name="Обычный 2 2 2 2 6 2 3" xfId="5211" xr:uid="{00000000-0005-0000-0000-0000940E0000}"/>
    <cellStyle name="Обычный 2 2 2 2 6 3" xfId="5212" xr:uid="{00000000-0005-0000-0000-0000950E0000}"/>
    <cellStyle name="Обычный 2 2 2 2 6 4" xfId="5213" xr:uid="{00000000-0005-0000-0000-0000960E0000}"/>
    <cellStyle name="Обычный 2 2 2 2 7" xfId="3488" xr:uid="{00000000-0005-0000-0000-0000970E0000}"/>
    <cellStyle name="Обычный 2 2 2 2 7 2" xfId="5214" xr:uid="{00000000-0005-0000-0000-0000980E0000}"/>
    <cellStyle name="Обычный 2 2 2 2 7 3" xfId="5215" xr:uid="{00000000-0005-0000-0000-0000990E0000}"/>
    <cellStyle name="Обычный 2 2 2 2 8" xfId="3489" xr:uid="{00000000-0005-0000-0000-00009A0E0000}"/>
    <cellStyle name="Обычный 2 2 2 2 8 2" xfId="5216" xr:uid="{00000000-0005-0000-0000-00009B0E0000}"/>
    <cellStyle name="Обычный 2 2 2 2 9" xfId="3490" xr:uid="{00000000-0005-0000-0000-00009C0E0000}"/>
    <cellStyle name="Обычный 2 2 2 2_Свод гостин" xfId="3491" xr:uid="{00000000-0005-0000-0000-00009D0E0000}"/>
    <cellStyle name="Обычный 2 2 2 3" xfId="3492" xr:uid="{00000000-0005-0000-0000-00009E0E0000}"/>
    <cellStyle name="Обычный 2 2 2 3 2" xfId="3493" xr:uid="{00000000-0005-0000-0000-00009F0E0000}"/>
    <cellStyle name="Обычный 2 2 2 3 2 2" xfId="3494" xr:uid="{00000000-0005-0000-0000-0000A00E0000}"/>
    <cellStyle name="Обычный 2 2 2 3 2 3" xfId="3495" xr:uid="{00000000-0005-0000-0000-0000A10E0000}"/>
    <cellStyle name="Обычный 2 2 2 3 2 4" xfId="3496" xr:uid="{00000000-0005-0000-0000-0000A20E0000}"/>
    <cellStyle name="Обычный 2 2 2 3 3" xfId="3497" xr:uid="{00000000-0005-0000-0000-0000A30E0000}"/>
    <cellStyle name="Обычный 2 2 2 4" xfId="3498" xr:uid="{00000000-0005-0000-0000-0000A40E0000}"/>
    <cellStyle name="Обычный 2 2 2 4 2" xfId="5217" xr:uid="{00000000-0005-0000-0000-0000A50E0000}"/>
    <cellStyle name="Обычный 2 2 2 4 3" xfId="5218" xr:uid="{00000000-0005-0000-0000-0000A60E0000}"/>
    <cellStyle name="Обычный 2 2 2 5" xfId="3499" xr:uid="{00000000-0005-0000-0000-0000A70E0000}"/>
    <cellStyle name="Обычный 2 2 2 6" xfId="3500" xr:uid="{00000000-0005-0000-0000-0000A80E0000}"/>
    <cellStyle name="Обычный 2 2 2 7" xfId="3501" xr:uid="{00000000-0005-0000-0000-0000A90E0000}"/>
    <cellStyle name="Обычный 2 2 2 8" xfId="3502" xr:uid="{00000000-0005-0000-0000-0000AA0E0000}"/>
    <cellStyle name="Обычный 2 2 2 9" xfId="11671" xr:uid="{1A0CA383-1FBD-4923-86A0-9192E3F810B2}"/>
    <cellStyle name="Обычный 2 2 2 9 2 2" xfId="11677" xr:uid="{E4E9EA70-C586-4050-BFA8-9BDFB60F8B03}"/>
    <cellStyle name="Обычный 2 2 2 9 2 2 2" xfId="11682" xr:uid="{2678737E-0207-4C0B-A609-69B52CEEA502}"/>
    <cellStyle name="Обычный 2 2 2_Свод гостин" xfId="3503" xr:uid="{00000000-0005-0000-0000-0000AB0E0000}"/>
    <cellStyle name="Обычный 2 2 3" xfId="3504" xr:uid="{00000000-0005-0000-0000-0000AC0E0000}"/>
    <cellStyle name="Обычный 2 2 3 10" xfId="5219" xr:uid="{00000000-0005-0000-0000-0000AD0E0000}"/>
    <cellStyle name="Обычный 2 2 3 10 2" xfId="5220" xr:uid="{00000000-0005-0000-0000-0000AE0E0000}"/>
    <cellStyle name="Обычный 2 2 3 11" xfId="5221" xr:uid="{00000000-0005-0000-0000-0000AF0E0000}"/>
    <cellStyle name="Обычный 2 2 3 11 2" xfId="5222" xr:uid="{00000000-0005-0000-0000-0000B00E0000}"/>
    <cellStyle name="Обычный 2 2 3 2" xfId="3505" xr:uid="{00000000-0005-0000-0000-0000B10E0000}"/>
    <cellStyle name="Обычный 2 2 3 2 2" xfId="3506" xr:uid="{00000000-0005-0000-0000-0000B20E0000}"/>
    <cellStyle name="Обычный 2 2 3 2 2 2" xfId="5223" xr:uid="{00000000-0005-0000-0000-0000B30E0000}"/>
    <cellStyle name="Обычный 2 2 3 2 2 2 2" xfId="5224" xr:uid="{00000000-0005-0000-0000-0000B40E0000}"/>
    <cellStyle name="Обычный 2 2 3 2 2 2 2 2" xfId="5225" xr:uid="{00000000-0005-0000-0000-0000B50E0000}"/>
    <cellStyle name="Обычный 2 2 3 2 2 2 2 2 2" xfId="5226" xr:uid="{00000000-0005-0000-0000-0000B60E0000}"/>
    <cellStyle name="Обычный 2 2 3 2 2 2 2 2 2 2" xfId="5227" xr:uid="{00000000-0005-0000-0000-0000B70E0000}"/>
    <cellStyle name="Обычный 2 2 3 2 2 2 2 2 2 3" xfId="5228" xr:uid="{00000000-0005-0000-0000-0000B80E0000}"/>
    <cellStyle name="Обычный 2 2 3 2 2 2 2 2 3" xfId="5229" xr:uid="{00000000-0005-0000-0000-0000B90E0000}"/>
    <cellStyle name="Обычный 2 2 3 2 2 2 2 2 4" xfId="5230" xr:uid="{00000000-0005-0000-0000-0000BA0E0000}"/>
    <cellStyle name="Обычный 2 2 3 2 2 2 2 3" xfId="5231" xr:uid="{00000000-0005-0000-0000-0000BB0E0000}"/>
    <cellStyle name="Обычный 2 2 3 2 2 2 2 3 2" xfId="5232" xr:uid="{00000000-0005-0000-0000-0000BC0E0000}"/>
    <cellStyle name="Обычный 2 2 3 2 2 2 2 3 3" xfId="5233" xr:uid="{00000000-0005-0000-0000-0000BD0E0000}"/>
    <cellStyle name="Обычный 2 2 3 2 2 2 2 4" xfId="5234" xr:uid="{00000000-0005-0000-0000-0000BE0E0000}"/>
    <cellStyle name="Обычный 2 2 3 2 2 2 2 4 2" xfId="5235" xr:uid="{00000000-0005-0000-0000-0000BF0E0000}"/>
    <cellStyle name="Обычный 2 2 3 2 2 2 2 5" xfId="5236" xr:uid="{00000000-0005-0000-0000-0000C00E0000}"/>
    <cellStyle name="Обычный 2 2 3 2 2 2 2 6" xfId="5237" xr:uid="{00000000-0005-0000-0000-0000C10E0000}"/>
    <cellStyle name="Обычный 2 2 3 2 2 2 3" xfId="5238" xr:uid="{00000000-0005-0000-0000-0000C20E0000}"/>
    <cellStyle name="Обычный 2 2 3 2 2 2 3 2" xfId="5239" xr:uid="{00000000-0005-0000-0000-0000C30E0000}"/>
    <cellStyle name="Обычный 2 2 3 2 2 2 3 2 2" xfId="5240" xr:uid="{00000000-0005-0000-0000-0000C40E0000}"/>
    <cellStyle name="Обычный 2 2 3 2 2 2 3 2 3" xfId="5241" xr:uid="{00000000-0005-0000-0000-0000C50E0000}"/>
    <cellStyle name="Обычный 2 2 3 2 2 2 3 3" xfId="5242" xr:uid="{00000000-0005-0000-0000-0000C60E0000}"/>
    <cellStyle name="Обычный 2 2 3 2 2 2 3 4" xfId="5243" xr:uid="{00000000-0005-0000-0000-0000C70E0000}"/>
    <cellStyle name="Обычный 2 2 3 2 2 2 4" xfId="5244" xr:uid="{00000000-0005-0000-0000-0000C80E0000}"/>
    <cellStyle name="Обычный 2 2 3 2 2 2 4 2" xfId="5245" xr:uid="{00000000-0005-0000-0000-0000C90E0000}"/>
    <cellStyle name="Обычный 2 2 3 2 2 2 4 3" xfId="5246" xr:uid="{00000000-0005-0000-0000-0000CA0E0000}"/>
    <cellStyle name="Обычный 2 2 3 2 2 2 5" xfId="5247" xr:uid="{00000000-0005-0000-0000-0000CB0E0000}"/>
    <cellStyle name="Обычный 2 2 3 2 2 2 5 2" xfId="5248" xr:uid="{00000000-0005-0000-0000-0000CC0E0000}"/>
    <cellStyle name="Обычный 2 2 3 2 2 2 6" xfId="5249" xr:uid="{00000000-0005-0000-0000-0000CD0E0000}"/>
    <cellStyle name="Обычный 2 2 3 2 2 2 7" xfId="5250" xr:uid="{00000000-0005-0000-0000-0000CE0E0000}"/>
    <cellStyle name="Обычный 2 2 3 2 2 3" xfId="5251" xr:uid="{00000000-0005-0000-0000-0000CF0E0000}"/>
    <cellStyle name="Обычный 2 2 3 2 2 3 2" xfId="5252" xr:uid="{00000000-0005-0000-0000-0000D00E0000}"/>
    <cellStyle name="Обычный 2 2 3 2 2 3 2 2" xfId="5253" xr:uid="{00000000-0005-0000-0000-0000D10E0000}"/>
    <cellStyle name="Обычный 2 2 3 2 2 3 2 2 2" xfId="5254" xr:uid="{00000000-0005-0000-0000-0000D20E0000}"/>
    <cellStyle name="Обычный 2 2 3 2 2 3 2 2 3" xfId="5255" xr:uid="{00000000-0005-0000-0000-0000D30E0000}"/>
    <cellStyle name="Обычный 2 2 3 2 2 3 2 3" xfId="5256" xr:uid="{00000000-0005-0000-0000-0000D40E0000}"/>
    <cellStyle name="Обычный 2 2 3 2 2 3 2 4" xfId="5257" xr:uid="{00000000-0005-0000-0000-0000D50E0000}"/>
    <cellStyle name="Обычный 2 2 3 2 2 3 3" xfId="5258" xr:uid="{00000000-0005-0000-0000-0000D60E0000}"/>
    <cellStyle name="Обычный 2 2 3 2 2 3 3 2" xfId="5259" xr:uid="{00000000-0005-0000-0000-0000D70E0000}"/>
    <cellStyle name="Обычный 2 2 3 2 2 3 3 3" xfId="5260" xr:uid="{00000000-0005-0000-0000-0000D80E0000}"/>
    <cellStyle name="Обычный 2 2 3 2 2 3 4" xfId="5261" xr:uid="{00000000-0005-0000-0000-0000D90E0000}"/>
    <cellStyle name="Обычный 2 2 3 2 2 3 4 2" xfId="5262" xr:uid="{00000000-0005-0000-0000-0000DA0E0000}"/>
    <cellStyle name="Обычный 2 2 3 2 2 3 5" xfId="5263" xr:uid="{00000000-0005-0000-0000-0000DB0E0000}"/>
    <cellStyle name="Обычный 2 2 3 2 2 3 6" xfId="5264" xr:uid="{00000000-0005-0000-0000-0000DC0E0000}"/>
    <cellStyle name="Обычный 2 2 3 2 2 4" xfId="5265" xr:uid="{00000000-0005-0000-0000-0000DD0E0000}"/>
    <cellStyle name="Обычный 2 2 3 2 2 4 2" xfId="5266" xr:uid="{00000000-0005-0000-0000-0000DE0E0000}"/>
    <cellStyle name="Обычный 2 2 3 2 2 4 2 2" xfId="5267" xr:uid="{00000000-0005-0000-0000-0000DF0E0000}"/>
    <cellStyle name="Обычный 2 2 3 2 2 4 2 3" xfId="5268" xr:uid="{00000000-0005-0000-0000-0000E00E0000}"/>
    <cellStyle name="Обычный 2 2 3 2 2 4 3" xfId="5269" xr:uid="{00000000-0005-0000-0000-0000E10E0000}"/>
    <cellStyle name="Обычный 2 2 3 2 2 4 4" xfId="5270" xr:uid="{00000000-0005-0000-0000-0000E20E0000}"/>
    <cellStyle name="Обычный 2 2 3 2 2 5" xfId="5271" xr:uid="{00000000-0005-0000-0000-0000E30E0000}"/>
    <cellStyle name="Обычный 2 2 3 2 2 5 2" xfId="5272" xr:uid="{00000000-0005-0000-0000-0000E40E0000}"/>
    <cellStyle name="Обычный 2 2 3 2 2 5 3" xfId="5273" xr:uid="{00000000-0005-0000-0000-0000E50E0000}"/>
    <cellStyle name="Обычный 2 2 3 2 2 6" xfId="5274" xr:uid="{00000000-0005-0000-0000-0000E60E0000}"/>
    <cellStyle name="Обычный 2 2 3 2 2 6 2" xfId="5275" xr:uid="{00000000-0005-0000-0000-0000E70E0000}"/>
    <cellStyle name="Обычный 2 2 3 2 2 7" xfId="5276" xr:uid="{00000000-0005-0000-0000-0000E80E0000}"/>
    <cellStyle name="Обычный 2 2 3 2 2 8" xfId="5277" xr:uid="{00000000-0005-0000-0000-0000E90E0000}"/>
    <cellStyle name="Обычный 2 2 3 2 3" xfId="3507" xr:uid="{00000000-0005-0000-0000-0000EA0E0000}"/>
    <cellStyle name="Обычный 2 2 3 2 3 2" xfId="5278" xr:uid="{00000000-0005-0000-0000-0000EB0E0000}"/>
    <cellStyle name="Обычный 2 2 3 2 3 2 2" xfId="5279" xr:uid="{00000000-0005-0000-0000-0000EC0E0000}"/>
    <cellStyle name="Обычный 2 2 3 2 3 2 2 2" xfId="5280" xr:uid="{00000000-0005-0000-0000-0000ED0E0000}"/>
    <cellStyle name="Обычный 2 2 3 2 3 2 2 2 2" xfId="5281" xr:uid="{00000000-0005-0000-0000-0000EE0E0000}"/>
    <cellStyle name="Обычный 2 2 3 2 3 2 2 2 3" xfId="5282" xr:uid="{00000000-0005-0000-0000-0000EF0E0000}"/>
    <cellStyle name="Обычный 2 2 3 2 3 2 2 3" xfId="5283" xr:uid="{00000000-0005-0000-0000-0000F00E0000}"/>
    <cellStyle name="Обычный 2 2 3 2 3 2 2 4" xfId="5284" xr:uid="{00000000-0005-0000-0000-0000F10E0000}"/>
    <cellStyle name="Обычный 2 2 3 2 3 2 3" xfId="5285" xr:uid="{00000000-0005-0000-0000-0000F20E0000}"/>
    <cellStyle name="Обычный 2 2 3 2 3 2 3 2" xfId="5286" xr:uid="{00000000-0005-0000-0000-0000F30E0000}"/>
    <cellStyle name="Обычный 2 2 3 2 3 2 3 3" xfId="5287" xr:uid="{00000000-0005-0000-0000-0000F40E0000}"/>
    <cellStyle name="Обычный 2 2 3 2 3 2 4" xfId="5288" xr:uid="{00000000-0005-0000-0000-0000F50E0000}"/>
    <cellStyle name="Обычный 2 2 3 2 3 2 4 2" xfId="5289" xr:uid="{00000000-0005-0000-0000-0000F60E0000}"/>
    <cellStyle name="Обычный 2 2 3 2 3 2 5" xfId="5290" xr:uid="{00000000-0005-0000-0000-0000F70E0000}"/>
    <cellStyle name="Обычный 2 2 3 2 3 2 6" xfId="5291" xr:uid="{00000000-0005-0000-0000-0000F80E0000}"/>
    <cellStyle name="Обычный 2 2 3 2 3 3" xfId="5292" xr:uid="{00000000-0005-0000-0000-0000F90E0000}"/>
    <cellStyle name="Обычный 2 2 3 2 3 3 2" xfId="5293" xr:uid="{00000000-0005-0000-0000-0000FA0E0000}"/>
    <cellStyle name="Обычный 2 2 3 2 3 3 2 2" xfId="5294" xr:uid="{00000000-0005-0000-0000-0000FB0E0000}"/>
    <cellStyle name="Обычный 2 2 3 2 3 3 2 3" xfId="5295" xr:uid="{00000000-0005-0000-0000-0000FC0E0000}"/>
    <cellStyle name="Обычный 2 2 3 2 3 3 3" xfId="5296" xr:uid="{00000000-0005-0000-0000-0000FD0E0000}"/>
    <cellStyle name="Обычный 2 2 3 2 3 3 4" xfId="5297" xr:uid="{00000000-0005-0000-0000-0000FE0E0000}"/>
    <cellStyle name="Обычный 2 2 3 2 3 4" xfId="5298" xr:uid="{00000000-0005-0000-0000-0000FF0E0000}"/>
    <cellStyle name="Обычный 2 2 3 2 3 4 2" xfId="5299" xr:uid="{00000000-0005-0000-0000-0000000F0000}"/>
    <cellStyle name="Обычный 2 2 3 2 3 4 3" xfId="5300" xr:uid="{00000000-0005-0000-0000-0000010F0000}"/>
    <cellStyle name="Обычный 2 2 3 2 3 5" xfId="5301" xr:uid="{00000000-0005-0000-0000-0000020F0000}"/>
    <cellStyle name="Обычный 2 2 3 2 3 5 2" xfId="5302" xr:uid="{00000000-0005-0000-0000-0000030F0000}"/>
    <cellStyle name="Обычный 2 2 3 2 3 6" xfId="5303" xr:uid="{00000000-0005-0000-0000-0000040F0000}"/>
    <cellStyle name="Обычный 2 2 3 2 3 7" xfId="5304" xr:uid="{00000000-0005-0000-0000-0000050F0000}"/>
    <cellStyle name="Обычный 2 2 3 2 4" xfId="5305" xr:uid="{00000000-0005-0000-0000-0000060F0000}"/>
    <cellStyle name="Обычный 2 2 3 2 4 2" xfId="5306" xr:uid="{00000000-0005-0000-0000-0000070F0000}"/>
    <cellStyle name="Обычный 2 2 3 2 4 2 2" xfId="5307" xr:uid="{00000000-0005-0000-0000-0000080F0000}"/>
    <cellStyle name="Обычный 2 2 3 2 4 2 2 2" xfId="5308" xr:uid="{00000000-0005-0000-0000-0000090F0000}"/>
    <cellStyle name="Обычный 2 2 3 2 4 2 2 3" xfId="5309" xr:uid="{00000000-0005-0000-0000-00000A0F0000}"/>
    <cellStyle name="Обычный 2 2 3 2 4 2 3" xfId="5310" xr:uid="{00000000-0005-0000-0000-00000B0F0000}"/>
    <cellStyle name="Обычный 2 2 3 2 4 2 4" xfId="5311" xr:uid="{00000000-0005-0000-0000-00000C0F0000}"/>
    <cellStyle name="Обычный 2 2 3 2 4 3" xfId="5312" xr:uid="{00000000-0005-0000-0000-00000D0F0000}"/>
    <cellStyle name="Обычный 2 2 3 2 4 3 2" xfId="5313" xr:uid="{00000000-0005-0000-0000-00000E0F0000}"/>
    <cellStyle name="Обычный 2 2 3 2 4 3 3" xfId="5314" xr:uid="{00000000-0005-0000-0000-00000F0F0000}"/>
    <cellStyle name="Обычный 2 2 3 2 4 4" xfId="5315" xr:uid="{00000000-0005-0000-0000-0000100F0000}"/>
    <cellStyle name="Обычный 2 2 3 2 4 4 2" xfId="5316" xr:uid="{00000000-0005-0000-0000-0000110F0000}"/>
    <cellStyle name="Обычный 2 2 3 2 4 5" xfId="5317" xr:uid="{00000000-0005-0000-0000-0000120F0000}"/>
    <cellStyle name="Обычный 2 2 3 2 4 6" xfId="5318" xr:uid="{00000000-0005-0000-0000-0000130F0000}"/>
    <cellStyle name="Обычный 2 2 3 2 5" xfId="5319" xr:uid="{00000000-0005-0000-0000-0000140F0000}"/>
    <cellStyle name="Обычный 2 2 3 2 5 2" xfId="5320" xr:uid="{00000000-0005-0000-0000-0000150F0000}"/>
    <cellStyle name="Обычный 2 2 3 2 5 2 2" xfId="5321" xr:uid="{00000000-0005-0000-0000-0000160F0000}"/>
    <cellStyle name="Обычный 2 2 3 2 5 2 3" xfId="5322" xr:uid="{00000000-0005-0000-0000-0000170F0000}"/>
    <cellStyle name="Обычный 2 2 3 2 5 3" xfId="5323" xr:uid="{00000000-0005-0000-0000-0000180F0000}"/>
    <cellStyle name="Обычный 2 2 3 2 5 4" xfId="5324" xr:uid="{00000000-0005-0000-0000-0000190F0000}"/>
    <cellStyle name="Обычный 2 2 3 2 6" xfId="5325" xr:uid="{00000000-0005-0000-0000-00001A0F0000}"/>
    <cellStyle name="Обычный 2 2 3 2 6 2" xfId="5326" xr:uid="{00000000-0005-0000-0000-00001B0F0000}"/>
    <cellStyle name="Обычный 2 2 3 2 6 3" xfId="5327" xr:uid="{00000000-0005-0000-0000-00001C0F0000}"/>
    <cellStyle name="Обычный 2 2 3 2 7" xfId="5328" xr:uid="{00000000-0005-0000-0000-00001D0F0000}"/>
    <cellStyle name="Обычный 2 2 3 2 7 2" xfId="5329" xr:uid="{00000000-0005-0000-0000-00001E0F0000}"/>
    <cellStyle name="Обычный 2 2 3 2 8" xfId="5330" xr:uid="{00000000-0005-0000-0000-00001F0F0000}"/>
    <cellStyle name="Обычный 2 2 3 2 9" xfId="5331" xr:uid="{00000000-0005-0000-0000-0000200F0000}"/>
    <cellStyle name="Обычный 2 2 3 2_ТУП" xfId="3508" xr:uid="{00000000-0005-0000-0000-0000210F0000}"/>
    <cellStyle name="Обычный 2 2 3 3" xfId="3509" xr:uid="{00000000-0005-0000-0000-0000220F0000}"/>
    <cellStyle name="Обычный 2 2 3 3 2" xfId="5332" xr:uid="{00000000-0005-0000-0000-0000230F0000}"/>
    <cellStyle name="Обычный 2 2 3 3 2 2" xfId="5333" xr:uid="{00000000-0005-0000-0000-0000240F0000}"/>
    <cellStyle name="Обычный 2 2 3 3 2 2 2" xfId="5334" xr:uid="{00000000-0005-0000-0000-0000250F0000}"/>
    <cellStyle name="Обычный 2 2 3 3 2 2 2 2" xfId="5335" xr:uid="{00000000-0005-0000-0000-0000260F0000}"/>
    <cellStyle name="Обычный 2 2 3 3 2 2 2 2 2" xfId="5336" xr:uid="{00000000-0005-0000-0000-0000270F0000}"/>
    <cellStyle name="Обычный 2 2 3 3 2 2 2 2 3" xfId="5337" xr:uid="{00000000-0005-0000-0000-0000280F0000}"/>
    <cellStyle name="Обычный 2 2 3 3 2 2 2 3" xfId="5338" xr:uid="{00000000-0005-0000-0000-0000290F0000}"/>
    <cellStyle name="Обычный 2 2 3 3 2 2 2 4" xfId="5339" xr:uid="{00000000-0005-0000-0000-00002A0F0000}"/>
    <cellStyle name="Обычный 2 2 3 3 2 2 3" xfId="5340" xr:uid="{00000000-0005-0000-0000-00002B0F0000}"/>
    <cellStyle name="Обычный 2 2 3 3 2 2 3 2" xfId="5341" xr:uid="{00000000-0005-0000-0000-00002C0F0000}"/>
    <cellStyle name="Обычный 2 2 3 3 2 2 3 3" xfId="5342" xr:uid="{00000000-0005-0000-0000-00002D0F0000}"/>
    <cellStyle name="Обычный 2 2 3 3 2 2 4" xfId="5343" xr:uid="{00000000-0005-0000-0000-00002E0F0000}"/>
    <cellStyle name="Обычный 2 2 3 3 2 2 4 2" xfId="5344" xr:uid="{00000000-0005-0000-0000-00002F0F0000}"/>
    <cellStyle name="Обычный 2 2 3 3 2 2 5" xfId="5345" xr:uid="{00000000-0005-0000-0000-0000300F0000}"/>
    <cellStyle name="Обычный 2 2 3 3 2 2 6" xfId="5346" xr:uid="{00000000-0005-0000-0000-0000310F0000}"/>
    <cellStyle name="Обычный 2 2 3 3 2 3" xfId="5347" xr:uid="{00000000-0005-0000-0000-0000320F0000}"/>
    <cellStyle name="Обычный 2 2 3 3 2 3 2" xfId="5348" xr:uid="{00000000-0005-0000-0000-0000330F0000}"/>
    <cellStyle name="Обычный 2 2 3 3 2 3 2 2" xfId="5349" xr:uid="{00000000-0005-0000-0000-0000340F0000}"/>
    <cellStyle name="Обычный 2 2 3 3 2 3 2 3" xfId="5350" xr:uid="{00000000-0005-0000-0000-0000350F0000}"/>
    <cellStyle name="Обычный 2 2 3 3 2 3 3" xfId="5351" xr:uid="{00000000-0005-0000-0000-0000360F0000}"/>
    <cellStyle name="Обычный 2 2 3 3 2 3 4" xfId="5352" xr:uid="{00000000-0005-0000-0000-0000370F0000}"/>
    <cellStyle name="Обычный 2 2 3 3 2 4" xfId="5353" xr:uid="{00000000-0005-0000-0000-0000380F0000}"/>
    <cellStyle name="Обычный 2 2 3 3 2 4 2" xfId="5354" xr:uid="{00000000-0005-0000-0000-0000390F0000}"/>
    <cellStyle name="Обычный 2 2 3 3 2 4 3" xfId="5355" xr:uid="{00000000-0005-0000-0000-00003A0F0000}"/>
    <cellStyle name="Обычный 2 2 3 3 2 5" xfId="5356" xr:uid="{00000000-0005-0000-0000-00003B0F0000}"/>
    <cellStyle name="Обычный 2 2 3 3 2 5 2" xfId="5357" xr:uid="{00000000-0005-0000-0000-00003C0F0000}"/>
    <cellStyle name="Обычный 2 2 3 3 2 6" xfId="5358" xr:uid="{00000000-0005-0000-0000-00003D0F0000}"/>
    <cellStyle name="Обычный 2 2 3 3 2 7" xfId="5359" xr:uid="{00000000-0005-0000-0000-00003E0F0000}"/>
    <cellStyle name="Обычный 2 2 3 3 3" xfId="5360" xr:uid="{00000000-0005-0000-0000-00003F0F0000}"/>
    <cellStyle name="Обычный 2 2 3 3 3 2" xfId="5361" xr:uid="{00000000-0005-0000-0000-0000400F0000}"/>
    <cellStyle name="Обычный 2 2 3 3 3 2 2" xfId="5362" xr:uid="{00000000-0005-0000-0000-0000410F0000}"/>
    <cellStyle name="Обычный 2 2 3 3 3 2 2 2" xfId="5363" xr:uid="{00000000-0005-0000-0000-0000420F0000}"/>
    <cellStyle name="Обычный 2 2 3 3 3 2 2 3" xfId="5364" xr:uid="{00000000-0005-0000-0000-0000430F0000}"/>
    <cellStyle name="Обычный 2 2 3 3 3 2 3" xfId="5365" xr:uid="{00000000-0005-0000-0000-0000440F0000}"/>
    <cellStyle name="Обычный 2 2 3 3 3 2 4" xfId="5366" xr:uid="{00000000-0005-0000-0000-0000450F0000}"/>
    <cellStyle name="Обычный 2 2 3 3 3 3" xfId="5367" xr:uid="{00000000-0005-0000-0000-0000460F0000}"/>
    <cellStyle name="Обычный 2 2 3 3 3 3 2" xfId="5368" xr:uid="{00000000-0005-0000-0000-0000470F0000}"/>
    <cellStyle name="Обычный 2 2 3 3 3 3 3" xfId="5369" xr:uid="{00000000-0005-0000-0000-0000480F0000}"/>
    <cellStyle name="Обычный 2 2 3 3 3 4" xfId="5370" xr:uid="{00000000-0005-0000-0000-0000490F0000}"/>
    <cellStyle name="Обычный 2 2 3 3 3 4 2" xfId="5371" xr:uid="{00000000-0005-0000-0000-00004A0F0000}"/>
    <cellStyle name="Обычный 2 2 3 3 3 5" xfId="5372" xr:uid="{00000000-0005-0000-0000-00004B0F0000}"/>
    <cellStyle name="Обычный 2 2 3 3 3 6" xfId="5373" xr:uid="{00000000-0005-0000-0000-00004C0F0000}"/>
    <cellStyle name="Обычный 2 2 3 3 4" xfId="5374" xr:uid="{00000000-0005-0000-0000-00004D0F0000}"/>
    <cellStyle name="Обычный 2 2 3 3 4 2" xfId="5375" xr:uid="{00000000-0005-0000-0000-00004E0F0000}"/>
    <cellStyle name="Обычный 2 2 3 3 4 2 2" xfId="5376" xr:uid="{00000000-0005-0000-0000-00004F0F0000}"/>
    <cellStyle name="Обычный 2 2 3 3 4 2 3" xfId="5377" xr:uid="{00000000-0005-0000-0000-0000500F0000}"/>
    <cellStyle name="Обычный 2 2 3 3 4 3" xfId="5378" xr:uid="{00000000-0005-0000-0000-0000510F0000}"/>
    <cellStyle name="Обычный 2 2 3 3 4 4" xfId="5379" xr:uid="{00000000-0005-0000-0000-0000520F0000}"/>
    <cellStyle name="Обычный 2 2 3 3 5" xfId="5380" xr:uid="{00000000-0005-0000-0000-0000530F0000}"/>
    <cellStyle name="Обычный 2 2 3 3 5 2" xfId="5381" xr:uid="{00000000-0005-0000-0000-0000540F0000}"/>
    <cellStyle name="Обычный 2 2 3 3 5 3" xfId="5382" xr:uid="{00000000-0005-0000-0000-0000550F0000}"/>
    <cellStyle name="Обычный 2 2 3 3 6" xfId="5383" xr:uid="{00000000-0005-0000-0000-0000560F0000}"/>
    <cellStyle name="Обычный 2 2 3 3 6 2" xfId="5384" xr:uid="{00000000-0005-0000-0000-0000570F0000}"/>
    <cellStyle name="Обычный 2 2 3 3 7" xfId="5385" xr:uid="{00000000-0005-0000-0000-0000580F0000}"/>
    <cellStyle name="Обычный 2 2 3 3 8" xfId="5386" xr:uid="{00000000-0005-0000-0000-0000590F0000}"/>
    <cellStyle name="Обычный 2 2 3 4" xfId="3510" xr:uid="{00000000-0005-0000-0000-00005A0F0000}"/>
    <cellStyle name="Обычный 2 2 3 4 2" xfId="5387" xr:uid="{00000000-0005-0000-0000-00005B0F0000}"/>
    <cellStyle name="Обычный 2 2 3 4 2 2" xfId="5388" xr:uid="{00000000-0005-0000-0000-00005C0F0000}"/>
    <cellStyle name="Обычный 2 2 3 4 2 2 2" xfId="5389" xr:uid="{00000000-0005-0000-0000-00005D0F0000}"/>
    <cellStyle name="Обычный 2 2 3 4 2 2 2 2" xfId="5390" xr:uid="{00000000-0005-0000-0000-00005E0F0000}"/>
    <cellStyle name="Обычный 2 2 3 4 2 2 2 3" xfId="5391" xr:uid="{00000000-0005-0000-0000-00005F0F0000}"/>
    <cellStyle name="Обычный 2 2 3 4 2 2 3" xfId="5392" xr:uid="{00000000-0005-0000-0000-0000600F0000}"/>
    <cellStyle name="Обычный 2 2 3 4 2 2 4" xfId="5393" xr:uid="{00000000-0005-0000-0000-0000610F0000}"/>
    <cellStyle name="Обычный 2 2 3 4 2 3" xfId="5394" xr:uid="{00000000-0005-0000-0000-0000620F0000}"/>
    <cellStyle name="Обычный 2 2 3 4 2 3 2" xfId="5395" xr:uid="{00000000-0005-0000-0000-0000630F0000}"/>
    <cellStyle name="Обычный 2 2 3 4 2 3 3" xfId="5396" xr:uid="{00000000-0005-0000-0000-0000640F0000}"/>
    <cellStyle name="Обычный 2 2 3 4 2 4" xfId="5397" xr:uid="{00000000-0005-0000-0000-0000650F0000}"/>
    <cellStyle name="Обычный 2 2 3 4 2 4 2" xfId="5398" xr:uid="{00000000-0005-0000-0000-0000660F0000}"/>
    <cellStyle name="Обычный 2 2 3 4 2 5" xfId="5399" xr:uid="{00000000-0005-0000-0000-0000670F0000}"/>
    <cellStyle name="Обычный 2 2 3 4 2 6" xfId="5400" xr:uid="{00000000-0005-0000-0000-0000680F0000}"/>
    <cellStyle name="Обычный 2 2 3 4 3" xfId="5401" xr:uid="{00000000-0005-0000-0000-0000690F0000}"/>
    <cellStyle name="Обычный 2 2 3 4 3 2" xfId="5402" xr:uid="{00000000-0005-0000-0000-00006A0F0000}"/>
    <cellStyle name="Обычный 2 2 3 4 3 2 2" xfId="5403" xr:uid="{00000000-0005-0000-0000-00006B0F0000}"/>
    <cellStyle name="Обычный 2 2 3 4 3 2 3" xfId="5404" xr:uid="{00000000-0005-0000-0000-00006C0F0000}"/>
    <cellStyle name="Обычный 2 2 3 4 3 3" xfId="5405" xr:uid="{00000000-0005-0000-0000-00006D0F0000}"/>
    <cellStyle name="Обычный 2 2 3 4 3 4" xfId="5406" xr:uid="{00000000-0005-0000-0000-00006E0F0000}"/>
    <cellStyle name="Обычный 2 2 3 4 4" xfId="5407" xr:uid="{00000000-0005-0000-0000-00006F0F0000}"/>
    <cellStyle name="Обычный 2 2 3 4 4 2" xfId="5408" xr:uid="{00000000-0005-0000-0000-0000700F0000}"/>
    <cellStyle name="Обычный 2 2 3 4 4 3" xfId="5409" xr:uid="{00000000-0005-0000-0000-0000710F0000}"/>
    <cellStyle name="Обычный 2 2 3 4 5" xfId="5410" xr:uid="{00000000-0005-0000-0000-0000720F0000}"/>
    <cellStyle name="Обычный 2 2 3 4 5 2" xfId="5411" xr:uid="{00000000-0005-0000-0000-0000730F0000}"/>
    <cellStyle name="Обычный 2 2 3 4 6" xfId="5412" xr:uid="{00000000-0005-0000-0000-0000740F0000}"/>
    <cellStyle name="Обычный 2 2 3 4 7" xfId="5413" xr:uid="{00000000-0005-0000-0000-0000750F0000}"/>
    <cellStyle name="Обычный 2 2 3 5" xfId="3511" xr:uid="{00000000-0005-0000-0000-0000760F0000}"/>
    <cellStyle name="Обычный 2 2 3 5 2" xfId="5414" xr:uid="{00000000-0005-0000-0000-0000770F0000}"/>
    <cellStyle name="Обычный 2 2 3 5 2 2" xfId="5415" xr:uid="{00000000-0005-0000-0000-0000780F0000}"/>
    <cellStyle name="Обычный 2 2 3 5 2 2 2" xfId="5416" xr:uid="{00000000-0005-0000-0000-0000790F0000}"/>
    <cellStyle name="Обычный 2 2 3 5 2 2 3" xfId="5417" xr:uid="{00000000-0005-0000-0000-00007A0F0000}"/>
    <cellStyle name="Обычный 2 2 3 5 2 3" xfId="5418" xr:uid="{00000000-0005-0000-0000-00007B0F0000}"/>
    <cellStyle name="Обычный 2 2 3 5 2 4" xfId="5419" xr:uid="{00000000-0005-0000-0000-00007C0F0000}"/>
    <cellStyle name="Обычный 2 2 3 5 3" xfId="5420" xr:uid="{00000000-0005-0000-0000-00007D0F0000}"/>
    <cellStyle name="Обычный 2 2 3 5 3 2" xfId="5421" xr:uid="{00000000-0005-0000-0000-00007E0F0000}"/>
    <cellStyle name="Обычный 2 2 3 5 3 3" xfId="5422" xr:uid="{00000000-0005-0000-0000-00007F0F0000}"/>
    <cellStyle name="Обычный 2 2 3 5 4" xfId="5423" xr:uid="{00000000-0005-0000-0000-0000800F0000}"/>
    <cellStyle name="Обычный 2 2 3 5 4 2" xfId="5424" xr:uid="{00000000-0005-0000-0000-0000810F0000}"/>
    <cellStyle name="Обычный 2 2 3 5 5" xfId="5425" xr:uid="{00000000-0005-0000-0000-0000820F0000}"/>
    <cellStyle name="Обычный 2 2 3 5 6" xfId="5426" xr:uid="{00000000-0005-0000-0000-0000830F0000}"/>
    <cellStyle name="Обычный 2 2 3 6" xfId="3512" xr:uid="{00000000-0005-0000-0000-0000840F0000}"/>
    <cellStyle name="Обычный 2 2 3 6 2" xfId="5427" xr:uid="{00000000-0005-0000-0000-0000850F0000}"/>
    <cellStyle name="Обычный 2 2 3 6 2 2" xfId="5428" xr:uid="{00000000-0005-0000-0000-0000860F0000}"/>
    <cellStyle name="Обычный 2 2 3 6 2 3" xfId="5429" xr:uid="{00000000-0005-0000-0000-0000870F0000}"/>
    <cellStyle name="Обычный 2 2 3 6 3" xfId="5430" xr:uid="{00000000-0005-0000-0000-0000880F0000}"/>
    <cellStyle name="Обычный 2 2 3 6 4" xfId="5431" xr:uid="{00000000-0005-0000-0000-0000890F0000}"/>
    <cellStyle name="Обычный 2 2 3 7" xfId="5432" xr:uid="{00000000-0005-0000-0000-00008A0F0000}"/>
    <cellStyle name="Обычный 2 2 3 7 2" xfId="5433" xr:uid="{00000000-0005-0000-0000-00008B0F0000}"/>
    <cellStyle name="Обычный 2 2 3 7 3" xfId="5434" xr:uid="{00000000-0005-0000-0000-00008C0F0000}"/>
    <cellStyle name="Обычный 2 2 3 8" xfId="5435" xr:uid="{00000000-0005-0000-0000-00008D0F0000}"/>
    <cellStyle name="Обычный 2 2 3 8 2" xfId="5436" xr:uid="{00000000-0005-0000-0000-00008E0F0000}"/>
    <cellStyle name="Обычный 2 2 3 9" xfId="3513" xr:uid="{00000000-0005-0000-0000-00008F0F0000}"/>
    <cellStyle name="Обычный 2 2 3_Свод гостин" xfId="3514" xr:uid="{00000000-0005-0000-0000-0000900F0000}"/>
    <cellStyle name="Обычный 2 2 4" xfId="3515" xr:uid="{00000000-0005-0000-0000-0000910F0000}"/>
    <cellStyle name="Обычный 2 2 4 10" xfId="5437" xr:uid="{00000000-0005-0000-0000-0000920F0000}"/>
    <cellStyle name="Обычный 2 2 4 2" xfId="3516" xr:uid="{00000000-0005-0000-0000-0000930F0000}"/>
    <cellStyle name="Обычный 2 2 4 2 2" xfId="3517" xr:uid="{00000000-0005-0000-0000-0000940F0000}"/>
    <cellStyle name="Обычный 2 2 4 2 2 2" xfId="5438" xr:uid="{00000000-0005-0000-0000-0000950F0000}"/>
    <cellStyle name="Обычный 2 2 4 2 2 2 2" xfId="5439" xr:uid="{00000000-0005-0000-0000-0000960F0000}"/>
    <cellStyle name="Обычный 2 2 4 2 2 2 2 2" xfId="5440" xr:uid="{00000000-0005-0000-0000-0000970F0000}"/>
    <cellStyle name="Обычный 2 2 4 2 2 2 2 2 2" xfId="5441" xr:uid="{00000000-0005-0000-0000-0000980F0000}"/>
    <cellStyle name="Обычный 2 2 4 2 2 2 2 2 2 2" xfId="5442" xr:uid="{00000000-0005-0000-0000-0000990F0000}"/>
    <cellStyle name="Обычный 2 2 4 2 2 2 2 2 2 3" xfId="5443" xr:uid="{00000000-0005-0000-0000-00009A0F0000}"/>
    <cellStyle name="Обычный 2 2 4 2 2 2 2 2 3" xfId="5444" xr:uid="{00000000-0005-0000-0000-00009B0F0000}"/>
    <cellStyle name="Обычный 2 2 4 2 2 2 2 2 4" xfId="5445" xr:uid="{00000000-0005-0000-0000-00009C0F0000}"/>
    <cellStyle name="Обычный 2 2 4 2 2 2 2 3" xfId="5446" xr:uid="{00000000-0005-0000-0000-00009D0F0000}"/>
    <cellStyle name="Обычный 2 2 4 2 2 2 2 3 2" xfId="5447" xr:uid="{00000000-0005-0000-0000-00009E0F0000}"/>
    <cellStyle name="Обычный 2 2 4 2 2 2 2 3 3" xfId="5448" xr:uid="{00000000-0005-0000-0000-00009F0F0000}"/>
    <cellStyle name="Обычный 2 2 4 2 2 2 2 4" xfId="5449" xr:uid="{00000000-0005-0000-0000-0000A00F0000}"/>
    <cellStyle name="Обычный 2 2 4 2 2 2 2 4 2" xfId="5450" xr:uid="{00000000-0005-0000-0000-0000A10F0000}"/>
    <cellStyle name="Обычный 2 2 4 2 2 2 2 5" xfId="5451" xr:uid="{00000000-0005-0000-0000-0000A20F0000}"/>
    <cellStyle name="Обычный 2 2 4 2 2 2 2 6" xfId="5452" xr:uid="{00000000-0005-0000-0000-0000A30F0000}"/>
    <cellStyle name="Обычный 2 2 4 2 2 2 3" xfId="5453" xr:uid="{00000000-0005-0000-0000-0000A40F0000}"/>
    <cellStyle name="Обычный 2 2 4 2 2 2 3 2" xfId="5454" xr:uid="{00000000-0005-0000-0000-0000A50F0000}"/>
    <cellStyle name="Обычный 2 2 4 2 2 2 3 2 2" xfId="5455" xr:uid="{00000000-0005-0000-0000-0000A60F0000}"/>
    <cellStyle name="Обычный 2 2 4 2 2 2 3 2 3" xfId="5456" xr:uid="{00000000-0005-0000-0000-0000A70F0000}"/>
    <cellStyle name="Обычный 2 2 4 2 2 2 3 3" xfId="5457" xr:uid="{00000000-0005-0000-0000-0000A80F0000}"/>
    <cellStyle name="Обычный 2 2 4 2 2 2 3 4" xfId="5458" xr:uid="{00000000-0005-0000-0000-0000A90F0000}"/>
    <cellStyle name="Обычный 2 2 4 2 2 2 4" xfId="5459" xr:uid="{00000000-0005-0000-0000-0000AA0F0000}"/>
    <cellStyle name="Обычный 2 2 4 2 2 2 4 2" xfId="5460" xr:uid="{00000000-0005-0000-0000-0000AB0F0000}"/>
    <cellStyle name="Обычный 2 2 4 2 2 2 4 3" xfId="5461" xr:uid="{00000000-0005-0000-0000-0000AC0F0000}"/>
    <cellStyle name="Обычный 2 2 4 2 2 2 5" xfId="5462" xr:uid="{00000000-0005-0000-0000-0000AD0F0000}"/>
    <cellStyle name="Обычный 2 2 4 2 2 2 5 2" xfId="5463" xr:uid="{00000000-0005-0000-0000-0000AE0F0000}"/>
    <cellStyle name="Обычный 2 2 4 2 2 2 6" xfId="5464" xr:uid="{00000000-0005-0000-0000-0000AF0F0000}"/>
    <cellStyle name="Обычный 2 2 4 2 2 2 7" xfId="5465" xr:uid="{00000000-0005-0000-0000-0000B00F0000}"/>
    <cellStyle name="Обычный 2 2 4 2 2 3" xfId="5466" xr:uid="{00000000-0005-0000-0000-0000B10F0000}"/>
    <cellStyle name="Обычный 2 2 4 2 2 3 2" xfId="5467" xr:uid="{00000000-0005-0000-0000-0000B20F0000}"/>
    <cellStyle name="Обычный 2 2 4 2 2 3 2 2" xfId="5468" xr:uid="{00000000-0005-0000-0000-0000B30F0000}"/>
    <cellStyle name="Обычный 2 2 4 2 2 3 2 2 2" xfId="5469" xr:uid="{00000000-0005-0000-0000-0000B40F0000}"/>
    <cellStyle name="Обычный 2 2 4 2 2 3 2 2 3" xfId="5470" xr:uid="{00000000-0005-0000-0000-0000B50F0000}"/>
    <cellStyle name="Обычный 2 2 4 2 2 3 2 3" xfId="5471" xr:uid="{00000000-0005-0000-0000-0000B60F0000}"/>
    <cellStyle name="Обычный 2 2 4 2 2 3 2 4" xfId="5472" xr:uid="{00000000-0005-0000-0000-0000B70F0000}"/>
    <cellStyle name="Обычный 2 2 4 2 2 3 3" xfId="5473" xr:uid="{00000000-0005-0000-0000-0000B80F0000}"/>
    <cellStyle name="Обычный 2 2 4 2 2 3 3 2" xfId="5474" xr:uid="{00000000-0005-0000-0000-0000B90F0000}"/>
    <cellStyle name="Обычный 2 2 4 2 2 3 3 3" xfId="5475" xr:uid="{00000000-0005-0000-0000-0000BA0F0000}"/>
    <cellStyle name="Обычный 2 2 4 2 2 3 4" xfId="5476" xr:uid="{00000000-0005-0000-0000-0000BB0F0000}"/>
    <cellStyle name="Обычный 2 2 4 2 2 3 4 2" xfId="5477" xr:uid="{00000000-0005-0000-0000-0000BC0F0000}"/>
    <cellStyle name="Обычный 2 2 4 2 2 3 5" xfId="5478" xr:uid="{00000000-0005-0000-0000-0000BD0F0000}"/>
    <cellStyle name="Обычный 2 2 4 2 2 3 6" xfId="5479" xr:uid="{00000000-0005-0000-0000-0000BE0F0000}"/>
    <cellStyle name="Обычный 2 2 4 2 2 4" xfId="5480" xr:uid="{00000000-0005-0000-0000-0000BF0F0000}"/>
    <cellStyle name="Обычный 2 2 4 2 2 4 2" xfId="5481" xr:uid="{00000000-0005-0000-0000-0000C00F0000}"/>
    <cellStyle name="Обычный 2 2 4 2 2 4 2 2" xfId="5482" xr:uid="{00000000-0005-0000-0000-0000C10F0000}"/>
    <cellStyle name="Обычный 2 2 4 2 2 4 2 3" xfId="5483" xr:uid="{00000000-0005-0000-0000-0000C20F0000}"/>
    <cellStyle name="Обычный 2 2 4 2 2 4 3" xfId="5484" xr:uid="{00000000-0005-0000-0000-0000C30F0000}"/>
    <cellStyle name="Обычный 2 2 4 2 2 4 4" xfId="5485" xr:uid="{00000000-0005-0000-0000-0000C40F0000}"/>
    <cellStyle name="Обычный 2 2 4 2 2 5" xfId="5486" xr:uid="{00000000-0005-0000-0000-0000C50F0000}"/>
    <cellStyle name="Обычный 2 2 4 2 2 5 2" xfId="5487" xr:uid="{00000000-0005-0000-0000-0000C60F0000}"/>
    <cellStyle name="Обычный 2 2 4 2 2 5 3" xfId="5488" xr:uid="{00000000-0005-0000-0000-0000C70F0000}"/>
    <cellStyle name="Обычный 2 2 4 2 2 6" xfId="5489" xr:uid="{00000000-0005-0000-0000-0000C80F0000}"/>
    <cellStyle name="Обычный 2 2 4 2 2 6 2" xfId="5490" xr:uid="{00000000-0005-0000-0000-0000C90F0000}"/>
    <cellStyle name="Обычный 2 2 4 2 2 7" xfId="5491" xr:uid="{00000000-0005-0000-0000-0000CA0F0000}"/>
    <cellStyle name="Обычный 2 2 4 2 2 8" xfId="5492" xr:uid="{00000000-0005-0000-0000-0000CB0F0000}"/>
    <cellStyle name="Обычный 2 2 4 2 3" xfId="5493" xr:uid="{00000000-0005-0000-0000-0000CC0F0000}"/>
    <cellStyle name="Обычный 2 2 4 2 3 2" xfId="5494" xr:uid="{00000000-0005-0000-0000-0000CD0F0000}"/>
    <cellStyle name="Обычный 2 2 4 2 3 2 2" xfId="5495" xr:uid="{00000000-0005-0000-0000-0000CE0F0000}"/>
    <cellStyle name="Обычный 2 2 4 2 3 2 2 2" xfId="5496" xr:uid="{00000000-0005-0000-0000-0000CF0F0000}"/>
    <cellStyle name="Обычный 2 2 4 2 3 2 2 2 2" xfId="5497" xr:uid="{00000000-0005-0000-0000-0000D00F0000}"/>
    <cellStyle name="Обычный 2 2 4 2 3 2 2 2 3" xfId="5498" xr:uid="{00000000-0005-0000-0000-0000D10F0000}"/>
    <cellStyle name="Обычный 2 2 4 2 3 2 2 3" xfId="5499" xr:uid="{00000000-0005-0000-0000-0000D20F0000}"/>
    <cellStyle name="Обычный 2 2 4 2 3 2 2 4" xfId="5500" xr:uid="{00000000-0005-0000-0000-0000D30F0000}"/>
    <cellStyle name="Обычный 2 2 4 2 3 2 3" xfId="5501" xr:uid="{00000000-0005-0000-0000-0000D40F0000}"/>
    <cellStyle name="Обычный 2 2 4 2 3 2 3 2" xfId="5502" xr:uid="{00000000-0005-0000-0000-0000D50F0000}"/>
    <cellStyle name="Обычный 2 2 4 2 3 2 3 3" xfId="5503" xr:uid="{00000000-0005-0000-0000-0000D60F0000}"/>
    <cellStyle name="Обычный 2 2 4 2 3 2 4" xfId="5504" xr:uid="{00000000-0005-0000-0000-0000D70F0000}"/>
    <cellStyle name="Обычный 2 2 4 2 3 2 4 2" xfId="5505" xr:uid="{00000000-0005-0000-0000-0000D80F0000}"/>
    <cellStyle name="Обычный 2 2 4 2 3 2 5" xfId="5506" xr:uid="{00000000-0005-0000-0000-0000D90F0000}"/>
    <cellStyle name="Обычный 2 2 4 2 3 2 6" xfId="5507" xr:uid="{00000000-0005-0000-0000-0000DA0F0000}"/>
    <cellStyle name="Обычный 2 2 4 2 3 3" xfId="5508" xr:uid="{00000000-0005-0000-0000-0000DB0F0000}"/>
    <cellStyle name="Обычный 2 2 4 2 3 3 2" xfId="5509" xr:uid="{00000000-0005-0000-0000-0000DC0F0000}"/>
    <cellStyle name="Обычный 2 2 4 2 3 3 2 2" xfId="5510" xr:uid="{00000000-0005-0000-0000-0000DD0F0000}"/>
    <cellStyle name="Обычный 2 2 4 2 3 3 2 3" xfId="5511" xr:uid="{00000000-0005-0000-0000-0000DE0F0000}"/>
    <cellStyle name="Обычный 2 2 4 2 3 3 3" xfId="5512" xr:uid="{00000000-0005-0000-0000-0000DF0F0000}"/>
    <cellStyle name="Обычный 2 2 4 2 3 3 4" xfId="5513" xr:uid="{00000000-0005-0000-0000-0000E00F0000}"/>
    <cellStyle name="Обычный 2 2 4 2 3 4" xfId="5514" xr:uid="{00000000-0005-0000-0000-0000E10F0000}"/>
    <cellStyle name="Обычный 2 2 4 2 3 4 2" xfId="5515" xr:uid="{00000000-0005-0000-0000-0000E20F0000}"/>
    <cellStyle name="Обычный 2 2 4 2 3 4 3" xfId="5516" xr:uid="{00000000-0005-0000-0000-0000E30F0000}"/>
    <cellStyle name="Обычный 2 2 4 2 3 5" xfId="5517" xr:uid="{00000000-0005-0000-0000-0000E40F0000}"/>
    <cellStyle name="Обычный 2 2 4 2 3 5 2" xfId="5518" xr:uid="{00000000-0005-0000-0000-0000E50F0000}"/>
    <cellStyle name="Обычный 2 2 4 2 3 6" xfId="5519" xr:uid="{00000000-0005-0000-0000-0000E60F0000}"/>
    <cellStyle name="Обычный 2 2 4 2 3 7" xfId="5520" xr:uid="{00000000-0005-0000-0000-0000E70F0000}"/>
    <cellStyle name="Обычный 2 2 4 2 4" xfId="5521" xr:uid="{00000000-0005-0000-0000-0000E80F0000}"/>
    <cellStyle name="Обычный 2 2 4 2 4 2" xfId="5522" xr:uid="{00000000-0005-0000-0000-0000E90F0000}"/>
    <cellStyle name="Обычный 2 2 4 2 4 2 2" xfId="5523" xr:uid="{00000000-0005-0000-0000-0000EA0F0000}"/>
    <cellStyle name="Обычный 2 2 4 2 4 2 2 2" xfId="5524" xr:uid="{00000000-0005-0000-0000-0000EB0F0000}"/>
    <cellStyle name="Обычный 2 2 4 2 4 2 2 3" xfId="5525" xr:uid="{00000000-0005-0000-0000-0000EC0F0000}"/>
    <cellStyle name="Обычный 2 2 4 2 4 2 3" xfId="5526" xr:uid="{00000000-0005-0000-0000-0000ED0F0000}"/>
    <cellStyle name="Обычный 2 2 4 2 4 2 4" xfId="5527" xr:uid="{00000000-0005-0000-0000-0000EE0F0000}"/>
    <cellStyle name="Обычный 2 2 4 2 4 3" xfId="5528" xr:uid="{00000000-0005-0000-0000-0000EF0F0000}"/>
    <cellStyle name="Обычный 2 2 4 2 4 3 2" xfId="5529" xr:uid="{00000000-0005-0000-0000-0000F00F0000}"/>
    <cellStyle name="Обычный 2 2 4 2 4 3 3" xfId="5530" xr:uid="{00000000-0005-0000-0000-0000F10F0000}"/>
    <cellStyle name="Обычный 2 2 4 2 4 4" xfId="5531" xr:uid="{00000000-0005-0000-0000-0000F20F0000}"/>
    <cellStyle name="Обычный 2 2 4 2 4 4 2" xfId="5532" xr:uid="{00000000-0005-0000-0000-0000F30F0000}"/>
    <cellStyle name="Обычный 2 2 4 2 4 5" xfId="5533" xr:uid="{00000000-0005-0000-0000-0000F40F0000}"/>
    <cellStyle name="Обычный 2 2 4 2 4 6" xfId="5534" xr:uid="{00000000-0005-0000-0000-0000F50F0000}"/>
    <cellStyle name="Обычный 2 2 4 2 5" xfId="5535" xr:uid="{00000000-0005-0000-0000-0000F60F0000}"/>
    <cellStyle name="Обычный 2 2 4 2 5 2" xfId="5536" xr:uid="{00000000-0005-0000-0000-0000F70F0000}"/>
    <cellStyle name="Обычный 2 2 4 2 5 2 2" xfId="5537" xr:uid="{00000000-0005-0000-0000-0000F80F0000}"/>
    <cellStyle name="Обычный 2 2 4 2 5 2 3" xfId="5538" xr:uid="{00000000-0005-0000-0000-0000F90F0000}"/>
    <cellStyle name="Обычный 2 2 4 2 5 3" xfId="5539" xr:uid="{00000000-0005-0000-0000-0000FA0F0000}"/>
    <cellStyle name="Обычный 2 2 4 2 5 4" xfId="5540" xr:uid="{00000000-0005-0000-0000-0000FB0F0000}"/>
    <cellStyle name="Обычный 2 2 4 2 6" xfId="5541" xr:uid="{00000000-0005-0000-0000-0000FC0F0000}"/>
    <cellStyle name="Обычный 2 2 4 2 6 2" xfId="5542" xr:uid="{00000000-0005-0000-0000-0000FD0F0000}"/>
    <cellStyle name="Обычный 2 2 4 2 6 3" xfId="5543" xr:uid="{00000000-0005-0000-0000-0000FE0F0000}"/>
    <cellStyle name="Обычный 2 2 4 2 7" xfId="5544" xr:uid="{00000000-0005-0000-0000-0000FF0F0000}"/>
    <cellStyle name="Обычный 2 2 4 2 7 2" xfId="5545" xr:uid="{00000000-0005-0000-0000-000000100000}"/>
    <cellStyle name="Обычный 2 2 4 2 8" xfId="5546" xr:uid="{00000000-0005-0000-0000-000001100000}"/>
    <cellStyle name="Обычный 2 2 4 2 9" xfId="5547" xr:uid="{00000000-0005-0000-0000-000002100000}"/>
    <cellStyle name="Обычный 2 2 4 3" xfId="3518" xr:uid="{00000000-0005-0000-0000-000003100000}"/>
    <cellStyle name="Обычный 2 2 4 3 2" xfId="3519" xr:uid="{00000000-0005-0000-0000-000004100000}"/>
    <cellStyle name="Обычный 2 2 4 3 2 2" xfId="5548" xr:uid="{00000000-0005-0000-0000-000005100000}"/>
    <cellStyle name="Обычный 2 2 4 3 2 2 2" xfId="5549" xr:uid="{00000000-0005-0000-0000-000006100000}"/>
    <cellStyle name="Обычный 2 2 4 3 2 2 2 2" xfId="5550" xr:uid="{00000000-0005-0000-0000-000007100000}"/>
    <cellStyle name="Обычный 2 2 4 3 2 2 2 2 2" xfId="5551" xr:uid="{00000000-0005-0000-0000-000008100000}"/>
    <cellStyle name="Обычный 2 2 4 3 2 2 2 2 3" xfId="5552" xr:uid="{00000000-0005-0000-0000-000009100000}"/>
    <cellStyle name="Обычный 2 2 4 3 2 2 2 3" xfId="5553" xr:uid="{00000000-0005-0000-0000-00000A100000}"/>
    <cellStyle name="Обычный 2 2 4 3 2 2 2 4" xfId="5554" xr:uid="{00000000-0005-0000-0000-00000B100000}"/>
    <cellStyle name="Обычный 2 2 4 3 2 2 3" xfId="5555" xr:uid="{00000000-0005-0000-0000-00000C100000}"/>
    <cellStyle name="Обычный 2 2 4 3 2 2 3 2" xfId="5556" xr:uid="{00000000-0005-0000-0000-00000D100000}"/>
    <cellStyle name="Обычный 2 2 4 3 2 2 3 3" xfId="5557" xr:uid="{00000000-0005-0000-0000-00000E100000}"/>
    <cellStyle name="Обычный 2 2 4 3 2 2 4" xfId="5558" xr:uid="{00000000-0005-0000-0000-00000F100000}"/>
    <cellStyle name="Обычный 2 2 4 3 2 2 4 2" xfId="5559" xr:uid="{00000000-0005-0000-0000-000010100000}"/>
    <cellStyle name="Обычный 2 2 4 3 2 2 5" xfId="5560" xr:uid="{00000000-0005-0000-0000-000011100000}"/>
    <cellStyle name="Обычный 2 2 4 3 2 2 6" xfId="5561" xr:uid="{00000000-0005-0000-0000-000012100000}"/>
    <cellStyle name="Обычный 2 2 4 3 2 3" xfId="5562" xr:uid="{00000000-0005-0000-0000-000013100000}"/>
    <cellStyle name="Обычный 2 2 4 3 2 3 2" xfId="5563" xr:uid="{00000000-0005-0000-0000-000014100000}"/>
    <cellStyle name="Обычный 2 2 4 3 2 3 2 2" xfId="5564" xr:uid="{00000000-0005-0000-0000-000015100000}"/>
    <cellStyle name="Обычный 2 2 4 3 2 3 2 3" xfId="5565" xr:uid="{00000000-0005-0000-0000-000016100000}"/>
    <cellStyle name="Обычный 2 2 4 3 2 3 3" xfId="5566" xr:uid="{00000000-0005-0000-0000-000017100000}"/>
    <cellStyle name="Обычный 2 2 4 3 2 3 4" xfId="5567" xr:uid="{00000000-0005-0000-0000-000018100000}"/>
    <cellStyle name="Обычный 2 2 4 3 2 4" xfId="5568" xr:uid="{00000000-0005-0000-0000-000019100000}"/>
    <cellStyle name="Обычный 2 2 4 3 2 4 2" xfId="5569" xr:uid="{00000000-0005-0000-0000-00001A100000}"/>
    <cellStyle name="Обычный 2 2 4 3 2 4 3" xfId="5570" xr:uid="{00000000-0005-0000-0000-00001B100000}"/>
    <cellStyle name="Обычный 2 2 4 3 2 5" xfId="5571" xr:uid="{00000000-0005-0000-0000-00001C100000}"/>
    <cellStyle name="Обычный 2 2 4 3 2 5 2" xfId="5572" xr:uid="{00000000-0005-0000-0000-00001D100000}"/>
    <cellStyle name="Обычный 2 2 4 3 2 6" xfId="5573" xr:uid="{00000000-0005-0000-0000-00001E100000}"/>
    <cellStyle name="Обычный 2 2 4 3 2 7" xfId="5574" xr:uid="{00000000-0005-0000-0000-00001F100000}"/>
    <cellStyle name="Обычный 2 2 4 3 3" xfId="5575" xr:uid="{00000000-0005-0000-0000-000020100000}"/>
    <cellStyle name="Обычный 2 2 4 3 3 2" xfId="5576" xr:uid="{00000000-0005-0000-0000-000021100000}"/>
    <cellStyle name="Обычный 2 2 4 3 3 2 2" xfId="5577" xr:uid="{00000000-0005-0000-0000-000022100000}"/>
    <cellStyle name="Обычный 2 2 4 3 3 2 2 2" xfId="5578" xr:uid="{00000000-0005-0000-0000-000023100000}"/>
    <cellStyle name="Обычный 2 2 4 3 3 2 2 3" xfId="5579" xr:uid="{00000000-0005-0000-0000-000024100000}"/>
    <cellStyle name="Обычный 2 2 4 3 3 2 3" xfId="5580" xr:uid="{00000000-0005-0000-0000-000025100000}"/>
    <cellStyle name="Обычный 2 2 4 3 3 2 4" xfId="5581" xr:uid="{00000000-0005-0000-0000-000026100000}"/>
    <cellStyle name="Обычный 2 2 4 3 3 3" xfId="5582" xr:uid="{00000000-0005-0000-0000-000027100000}"/>
    <cellStyle name="Обычный 2 2 4 3 3 3 2" xfId="5583" xr:uid="{00000000-0005-0000-0000-000028100000}"/>
    <cellStyle name="Обычный 2 2 4 3 3 3 3" xfId="5584" xr:uid="{00000000-0005-0000-0000-000029100000}"/>
    <cellStyle name="Обычный 2 2 4 3 3 4" xfId="5585" xr:uid="{00000000-0005-0000-0000-00002A100000}"/>
    <cellStyle name="Обычный 2 2 4 3 3 4 2" xfId="5586" xr:uid="{00000000-0005-0000-0000-00002B100000}"/>
    <cellStyle name="Обычный 2 2 4 3 3 5" xfId="5587" xr:uid="{00000000-0005-0000-0000-00002C100000}"/>
    <cellStyle name="Обычный 2 2 4 3 3 6" xfId="5588" xr:uid="{00000000-0005-0000-0000-00002D100000}"/>
    <cellStyle name="Обычный 2 2 4 3 4" xfId="5589" xr:uid="{00000000-0005-0000-0000-00002E100000}"/>
    <cellStyle name="Обычный 2 2 4 3 4 2" xfId="5590" xr:uid="{00000000-0005-0000-0000-00002F100000}"/>
    <cellStyle name="Обычный 2 2 4 3 4 2 2" xfId="5591" xr:uid="{00000000-0005-0000-0000-000030100000}"/>
    <cellStyle name="Обычный 2 2 4 3 4 2 3" xfId="5592" xr:uid="{00000000-0005-0000-0000-000031100000}"/>
    <cellStyle name="Обычный 2 2 4 3 4 3" xfId="5593" xr:uid="{00000000-0005-0000-0000-000032100000}"/>
    <cellStyle name="Обычный 2 2 4 3 4 4" xfId="5594" xr:uid="{00000000-0005-0000-0000-000033100000}"/>
    <cellStyle name="Обычный 2 2 4 3 5" xfId="5595" xr:uid="{00000000-0005-0000-0000-000034100000}"/>
    <cellStyle name="Обычный 2 2 4 3 5 2" xfId="5596" xr:uid="{00000000-0005-0000-0000-000035100000}"/>
    <cellStyle name="Обычный 2 2 4 3 5 3" xfId="5597" xr:uid="{00000000-0005-0000-0000-000036100000}"/>
    <cellStyle name="Обычный 2 2 4 3 6" xfId="5598" xr:uid="{00000000-0005-0000-0000-000037100000}"/>
    <cellStyle name="Обычный 2 2 4 3 6 2" xfId="5599" xr:uid="{00000000-0005-0000-0000-000038100000}"/>
    <cellStyle name="Обычный 2 2 4 3 7" xfId="5600" xr:uid="{00000000-0005-0000-0000-000039100000}"/>
    <cellStyle name="Обычный 2 2 4 3 8" xfId="5601" xr:uid="{00000000-0005-0000-0000-00003A100000}"/>
    <cellStyle name="Обычный 2 2 4 4" xfId="3520" xr:uid="{00000000-0005-0000-0000-00003B100000}"/>
    <cellStyle name="Обычный 2 2 4 4 2" xfId="5602" xr:uid="{00000000-0005-0000-0000-00003C100000}"/>
    <cellStyle name="Обычный 2 2 4 4 2 2" xfId="5603" xr:uid="{00000000-0005-0000-0000-00003D100000}"/>
    <cellStyle name="Обычный 2 2 4 4 2 2 2" xfId="5604" xr:uid="{00000000-0005-0000-0000-00003E100000}"/>
    <cellStyle name="Обычный 2 2 4 4 2 2 2 2" xfId="5605" xr:uid="{00000000-0005-0000-0000-00003F100000}"/>
    <cellStyle name="Обычный 2 2 4 4 2 2 2 3" xfId="5606" xr:uid="{00000000-0005-0000-0000-000040100000}"/>
    <cellStyle name="Обычный 2 2 4 4 2 2 3" xfId="5607" xr:uid="{00000000-0005-0000-0000-000041100000}"/>
    <cellStyle name="Обычный 2 2 4 4 2 2 4" xfId="5608" xr:uid="{00000000-0005-0000-0000-000042100000}"/>
    <cellStyle name="Обычный 2 2 4 4 2 3" xfId="5609" xr:uid="{00000000-0005-0000-0000-000043100000}"/>
    <cellStyle name="Обычный 2 2 4 4 2 3 2" xfId="5610" xr:uid="{00000000-0005-0000-0000-000044100000}"/>
    <cellStyle name="Обычный 2 2 4 4 2 3 3" xfId="5611" xr:uid="{00000000-0005-0000-0000-000045100000}"/>
    <cellStyle name="Обычный 2 2 4 4 2 4" xfId="5612" xr:uid="{00000000-0005-0000-0000-000046100000}"/>
    <cellStyle name="Обычный 2 2 4 4 2 4 2" xfId="5613" xr:uid="{00000000-0005-0000-0000-000047100000}"/>
    <cellStyle name="Обычный 2 2 4 4 2 5" xfId="5614" xr:uid="{00000000-0005-0000-0000-000048100000}"/>
    <cellStyle name="Обычный 2 2 4 4 2 6" xfId="5615" xr:uid="{00000000-0005-0000-0000-000049100000}"/>
    <cellStyle name="Обычный 2 2 4 4 3" xfId="5616" xr:uid="{00000000-0005-0000-0000-00004A100000}"/>
    <cellStyle name="Обычный 2 2 4 4 3 2" xfId="5617" xr:uid="{00000000-0005-0000-0000-00004B100000}"/>
    <cellStyle name="Обычный 2 2 4 4 3 2 2" xfId="5618" xr:uid="{00000000-0005-0000-0000-00004C100000}"/>
    <cellStyle name="Обычный 2 2 4 4 3 2 3" xfId="5619" xr:uid="{00000000-0005-0000-0000-00004D100000}"/>
    <cellStyle name="Обычный 2 2 4 4 3 3" xfId="5620" xr:uid="{00000000-0005-0000-0000-00004E100000}"/>
    <cellStyle name="Обычный 2 2 4 4 3 4" xfId="5621" xr:uid="{00000000-0005-0000-0000-00004F100000}"/>
    <cellStyle name="Обычный 2 2 4 4 4" xfId="5622" xr:uid="{00000000-0005-0000-0000-000050100000}"/>
    <cellStyle name="Обычный 2 2 4 4 4 2" xfId="5623" xr:uid="{00000000-0005-0000-0000-000051100000}"/>
    <cellStyle name="Обычный 2 2 4 4 4 3" xfId="5624" xr:uid="{00000000-0005-0000-0000-000052100000}"/>
    <cellStyle name="Обычный 2 2 4 4 5" xfId="5625" xr:uid="{00000000-0005-0000-0000-000053100000}"/>
    <cellStyle name="Обычный 2 2 4 4 5 2" xfId="5626" xr:uid="{00000000-0005-0000-0000-000054100000}"/>
    <cellStyle name="Обычный 2 2 4 4 6" xfId="5627" xr:uid="{00000000-0005-0000-0000-000055100000}"/>
    <cellStyle name="Обычный 2 2 4 4 7" xfId="5628" xr:uid="{00000000-0005-0000-0000-000056100000}"/>
    <cellStyle name="Обычный 2 2 4 5" xfId="3521" xr:uid="{00000000-0005-0000-0000-000057100000}"/>
    <cellStyle name="Обычный 2 2 4 5 2" xfId="5629" xr:uid="{00000000-0005-0000-0000-000058100000}"/>
    <cellStyle name="Обычный 2 2 4 5 2 2" xfId="5630" xr:uid="{00000000-0005-0000-0000-000059100000}"/>
    <cellStyle name="Обычный 2 2 4 5 2 2 2" xfId="5631" xr:uid="{00000000-0005-0000-0000-00005A100000}"/>
    <cellStyle name="Обычный 2 2 4 5 2 2 3" xfId="5632" xr:uid="{00000000-0005-0000-0000-00005B100000}"/>
    <cellStyle name="Обычный 2 2 4 5 2 3" xfId="5633" xr:uid="{00000000-0005-0000-0000-00005C100000}"/>
    <cellStyle name="Обычный 2 2 4 5 2 4" xfId="5634" xr:uid="{00000000-0005-0000-0000-00005D100000}"/>
    <cellStyle name="Обычный 2 2 4 5 3" xfId="5635" xr:uid="{00000000-0005-0000-0000-00005E100000}"/>
    <cellStyle name="Обычный 2 2 4 5 3 2" xfId="5636" xr:uid="{00000000-0005-0000-0000-00005F100000}"/>
    <cellStyle name="Обычный 2 2 4 5 3 3" xfId="5637" xr:uid="{00000000-0005-0000-0000-000060100000}"/>
    <cellStyle name="Обычный 2 2 4 5 4" xfId="5638" xr:uid="{00000000-0005-0000-0000-000061100000}"/>
    <cellStyle name="Обычный 2 2 4 5 4 2" xfId="5639" xr:uid="{00000000-0005-0000-0000-000062100000}"/>
    <cellStyle name="Обычный 2 2 4 5 5" xfId="5640" xr:uid="{00000000-0005-0000-0000-000063100000}"/>
    <cellStyle name="Обычный 2 2 4 5 6" xfId="5641" xr:uid="{00000000-0005-0000-0000-000064100000}"/>
    <cellStyle name="Обычный 2 2 4 6" xfId="5642" xr:uid="{00000000-0005-0000-0000-000065100000}"/>
    <cellStyle name="Обычный 2 2 4 6 2" xfId="5643" xr:uid="{00000000-0005-0000-0000-000066100000}"/>
    <cellStyle name="Обычный 2 2 4 6 2 2" xfId="5644" xr:uid="{00000000-0005-0000-0000-000067100000}"/>
    <cellStyle name="Обычный 2 2 4 6 2 3" xfId="5645" xr:uid="{00000000-0005-0000-0000-000068100000}"/>
    <cellStyle name="Обычный 2 2 4 6 3" xfId="5646" xr:uid="{00000000-0005-0000-0000-000069100000}"/>
    <cellStyle name="Обычный 2 2 4 6 4" xfId="5647" xr:uid="{00000000-0005-0000-0000-00006A100000}"/>
    <cellStyle name="Обычный 2 2 4 7" xfId="5648" xr:uid="{00000000-0005-0000-0000-00006B100000}"/>
    <cellStyle name="Обычный 2 2 4 7 2" xfId="5649" xr:uid="{00000000-0005-0000-0000-00006C100000}"/>
    <cellStyle name="Обычный 2 2 4 7 3" xfId="5650" xr:uid="{00000000-0005-0000-0000-00006D100000}"/>
    <cellStyle name="Обычный 2 2 4 8" xfId="5651" xr:uid="{00000000-0005-0000-0000-00006E100000}"/>
    <cellStyle name="Обычный 2 2 4 8 2" xfId="5652" xr:uid="{00000000-0005-0000-0000-00006F100000}"/>
    <cellStyle name="Обычный 2 2 4 9" xfId="5653" xr:uid="{00000000-0005-0000-0000-000070100000}"/>
    <cellStyle name="Обычный 2 2 4_Свод гостин" xfId="3522" xr:uid="{00000000-0005-0000-0000-000071100000}"/>
    <cellStyle name="Обычный 2 2 5" xfId="3523" xr:uid="{00000000-0005-0000-0000-000072100000}"/>
    <cellStyle name="Обычный 2 2 5 2" xfId="3524" xr:uid="{00000000-0005-0000-0000-000073100000}"/>
    <cellStyle name="Обычный 2 2 5 2 2" xfId="3525" xr:uid="{00000000-0005-0000-0000-000074100000}"/>
    <cellStyle name="Обычный 2 2 5 3" xfId="3526" xr:uid="{00000000-0005-0000-0000-000075100000}"/>
    <cellStyle name="Обычный 2 2 5_Свод гостин" xfId="3527" xr:uid="{00000000-0005-0000-0000-000076100000}"/>
    <cellStyle name="Обычный 2 2 6" xfId="3528" xr:uid="{00000000-0005-0000-0000-000077100000}"/>
    <cellStyle name="Обычный 2 2 6 10" xfId="5654" xr:uid="{00000000-0005-0000-0000-000078100000}"/>
    <cellStyle name="Обычный 2 2 6 10 2 4" xfId="3529" xr:uid="{00000000-0005-0000-0000-000079100000}"/>
    <cellStyle name="Обычный 2 2 6 11" xfId="3530" xr:uid="{00000000-0005-0000-0000-00007A100000}"/>
    <cellStyle name="Обычный 2 2 6 12" xfId="5655" xr:uid="{00000000-0005-0000-0000-00007B100000}"/>
    <cellStyle name="Обычный 2 2 6 16" xfId="3531" xr:uid="{00000000-0005-0000-0000-00007C100000}"/>
    <cellStyle name="Обычный 2 2 6 2" xfId="3532" xr:uid="{00000000-0005-0000-0000-00007D100000}"/>
    <cellStyle name="Обычный 2 2 6 2 2" xfId="3533" xr:uid="{00000000-0005-0000-0000-00007E100000}"/>
    <cellStyle name="Обычный 2 2 6 2 2 2" xfId="5656" xr:uid="{00000000-0005-0000-0000-00007F100000}"/>
    <cellStyle name="Обычный 2 2 6 2 2 2 2" xfId="5657" xr:uid="{00000000-0005-0000-0000-000080100000}"/>
    <cellStyle name="Обычный 2 2 6 2 2 2 2 2" xfId="5658" xr:uid="{00000000-0005-0000-0000-000081100000}"/>
    <cellStyle name="Обычный 2 2 6 2 2 2 2 2 2" xfId="5659" xr:uid="{00000000-0005-0000-0000-000082100000}"/>
    <cellStyle name="Обычный 2 2 6 2 2 2 2 2 2 2" xfId="5660" xr:uid="{00000000-0005-0000-0000-000083100000}"/>
    <cellStyle name="Обычный 2 2 6 2 2 2 2 2 2 3" xfId="5661" xr:uid="{00000000-0005-0000-0000-000084100000}"/>
    <cellStyle name="Обычный 2 2 6 2 2 2 2 2 3" xfId="5662" xr:uid="{00000000-0005-0000-0000-000085100000}"/>
    <cellStyle name="Обычный 2 2 6 2 2 2 2 2 4" xfId="5663" xr:uid="{00000000-0005-0000-0000-000086100000}"/>
    <cellStyle name="Обычный 2 2 6 2 2 2 2 3" xfId="5664" xr:uid="{00000000-0005-0000-0000-000087100000}"/>
    <cellStyle name="Обычный 2 2 6 2 2 2 2 3 2" xfId="5665" xr:uid="{00000000-0005-0000-0000-000088100000}"/>
    <cellStyle name="Обычный 2 2 6 2 2 2 2 3 3" xfId="5666" xr:uid="{00000000-0005-0000-0000-000089100000}"/>
    <cellStyle name="Обычный 2 2 6 2 2 2 2 4" xfId="5667" xr:uid="{00000000-0005-0000-0000-00008A100000}"/>
    <cellStyle name="Обычный 2 2 6 2 2 2 2 4 2" xfId="5668" xr:uid="{00000000-0005-0000-0000-00008B100000}"/>
    <cellStyle name="Обычный 2 2 6 2 2 2 2 5" xfId="5669" xr:uid="{00000000-0005-0000-0000-00008C100000}"/>
    <cellStyle name="Обычный 2 2 6 2 2 2 2 6" xfId="5670" xr:uid="{00000000-0005-0000-0000-00008D100000}"/>
    <cellStyle name="Обычный 2 2 6 2 2 2 3" xfId="5671" xr:uid="{00000000-0005-0000-0000-00008E100000}"/>
    <cellStyle name="Обычный 2 2 6 2 2 2 3 2" xfId="5672" xr:uid="{00000000-0005-0000-0000-00008F100000}"/>
    <cellStyle name="Обычный 2 2 6 2 2 2 3 2 2" xfId="5673" xr:uid="{00000000-0005-0000-0000-000090100000}"/>
    <cellStyle name="Обычный 2 2 6 2 2 2 3 2 3" xfId="5674" xr:uid="{00000000-0005-0000-0000-000091100000}"/>
    <cellStyle name="Обычный 2 2 6 2 2 2 3 3" xfId="5675" xr:uid="{00000000-0005-0000-0000-000092100000}"/>
    <cellStyle name="Обычный 2 2 6 2 2 2 3 4" xfId="5676" xr:uid="{00000000-0005-0000-0000-000093100000}"/>
    <cellStyle name="Обычный 2 2 6 2 2 2 4" xfId="5677" xr:uid="{00000000-0005-0000-0000-000094100000}"/>
    <cellStyle name="Обычный 2 2 6 2 2 2 4 2" xfId="5678" xr:uid="{00000000-0005-0000-0000-000095100000}"/>
    <cellStyle name="Обычный 2 2 6 2 2 2 4 3" xfId="5679" xr:uid="{00000000-0005-0000-0000-000096100000}"/>
    <cellStyle name="Обычный 2 2 6 2 2 2 5" xfId="5680" xr:uid="{00000000-0005-0000-0000-000097100000}"/>
    <cellStyle name="Обычный 2 2 6 2 2 2 5 2" xfId="5681" xr:uid="{00000000-0005-0000-0000-000098100000}"/>
    <cellStyle name="Обычный 2 2 6 2 2 2 6" xfId="5682" xr:uid="{00000000-0005-0000-0000-000099100000}"/>
    <cellStyle name="Обычный 2 2 6 2 2 2 7" xfId="5683" xr:uid="{00000000-0005-0000-0000-00009A100000}"/>
    <cellStyle name="Обычный 2 2 6 2 2 3" xfId="5684" xr:uid="{00000000-0005-0000-0000-00009B100000}"/>
    <cellStyle name="Обычный 2 2 6 2 2 3 2" xfId="5685" xr:uid="{00000000-0005-0000-0000-00009C100000}"/>
    <cellStyle name="Обычный 2 2 6 2 2 3 2 2" xfId="5686" xr:uid="{00000000-0005-0000-0000-00009D100000}"/>
    <cellStyle name="Обычный 2 2 6 2 2 3 2 2 2" xfId="5687" xr:uid="{00000000-0005-0000-0000-00009E100000}"/>
    <cellStyle name="Обычный 2 2 6 2 2 3 2 2 3" xfId="5688" xr:uid="{00000000-0005-0000-0000-00009F100000}"/>
    <cellStyle name="Обычный 2 2 6 2 2 3 2 3" xfId="5689" xr:uid="{00000000-0005-0000-0000-0000A0100000}"/>
    <cellStyle name="Обычный 2 2 6 2 2 3 2 4" xfId="5690" xr:uid="{00000000-0005-0000-0000-0000A1100000}"/>
    <cellStyle name="Обычный 2 2 6 2 2 3 3" xfId="5691" xr:uid="{00000000-0005-0000-0000-0000A2100000}"/>
    <cellStyle name="Обычный 2 2 6 2 2 3 3 2" xfId="5692" xr:uid="{00000000-0005-0000-0000-0000A3100000}"/>
    <cellStyle name="Обычный 2 2 6 2 2 3 3 3" xfId="5693" xr:uid="{00000000-0005-0000-0000-0000A4100000}"/>
    <cellStyle name="Обычный 2 2 6 2 2 3 4" xfId="5694" xr:uid="{00000000-0005-0000-0000-0000A5100000}"/>
    <cellStyle name="Обычный 2 2 6 2 2 3 4 2" xfId="5695" xr:uid="{00000000-0005-0000-0000-0000A6100000}"/>
    <cellStyle name="Обычный 2 2 6 2 2 3 5" xfId="5696" xr:uid="{00000000-0005-0000-0000-0000A7100000}"/>
    <cellStyle name="Обычный 2 2 6 2 2 3 6" xfId="5697" xr:uid="{00000000-0005-0000-0000-0000A8100000}"/>
    <cellStyle name="Обычный 2 2 6 2 2 4" xfId="5698" xr:uid="{00000000-0005-0000-0000-0000A9100000}"/>
    <cellStyle name="Обычный 2 2 6 2 2 4 2" xfId="5699" xr:uid="{00000000-0005-0000-0000-0000AA100000}"/>
    <cellStyle name="Обычный 2 2 6 2 2 4 2 2" xfId="5700" xr:uid="{00000000-0005-0000-0000-0000AB100000}"/>
    <cellStyle name="Обычный 2 2 6 2 2 4 2 3" xfId="5701" xr:uid="{00000000-0005-0000-0000-0000AC100000}"/>
    <cellStyle name="Обычный 2 2 6 2 2 4 3" xfId="5702" xr:uid="{00000000-0005-0000-0000-0000AD100000}"/>
    <cellStyle name="Обычный 2 2 6 2 2 4 4" xfId="5703" xr:uid="{00000000-0005-0000-0000-0000AE100000}"/>
    <cellStyle name="Обычный 2 2 6 2 2 5" xfId="5704" xr:uid="{00000000-0005-0000-0000-0000AF100000}"/>
    <cellStyle name="Обычный 2 2 6 2 2 5 2" xfId="5705" xr:uid="{00000000-0005-0000-0000-0000B0100000}"/>
    <cellStyle name="Обычный 2 2 6 2 2 5 3" xfId="5706" xr:uid="{00000000-0005-0000-0000-0000B1100000}"/>
    <cellStyle name="Обычный 2 2 6 2 2 6" xfId="5707" xr:uid="{00000000-0005-0000-0000-0000B2100000}"/>
    <cellStyle name="Обычный 2 2 6 2 2 6 2" xfId="5708" xr:uid="{00000000-0005-0000-0000-0000B3100000}"/>
    <cellStyle name="Обычный 2 2 6 2 2 7" xfId="5709" xr:uid="{00000000-0005-0000-0000-0000B4100000}"/>
    <cellStyle name="Обычный 2 2 6 2 2 8" xfId="5710" xr:uid="{00000000-0005-0000-0000-0000B5100000}"/>
    <cellStyle name="Обычный 2 2 6 2 3" xfId="5711" xr:uid="{00000000-0005-0000-0000-0000B6100000}"/>
    <cellStyle name="Обычный 2 2 6 2 3 2" xfId="5712" xr:uid="{00000000-0005-0000-0000-0000B7100000}"/>
    <cellStyle name="Обычный 2 2 6 2 3 2 2" xfId="5713" xr:uid="{00000000-0005-0000-0000-0000B8100000}"/>
    <cellStyle name="Обычный 2 2 6 2 3 2 2 2" xfId="5714" xr:uid="{00000000-0005-0000-0000-0000B9100000}"/>
    <cellStyle name="Обычный 2 2 6 2 3 2 2 2 2" xfId="5715" xr:uid="{00000000-0005-0000-0000-0000BA100000}"/>
    <cellStyle name="Обычный 2 2 6 2 3 2 2 2 3" xfId="5716" xr:uid="{00000000-0005-0000-0000-0000BB100000}"/>
    <cellStyle name="Обычный 2 2 6 2 3 2 2 3" xfId="5717" xr:uid="{00000000-0005-0000-0000-0000BC100000}"/>
    <cellStyle name="Обычный 2 2 6 2 3 2 2 4" xfId="5718" xr:uid="{00000000-0005-0000-0000-0000BD100000}"/>
    <cellStyle name="Обычный 2 2 6 2 3 2 3" xfId="5719" xr:uid="{00000000-0005-0000-0000-0000BE100000}"/>
    <cellStyle name="Обычный 2 2 6 2 3 2 3 2" xfId="5720" xr:uid="{00000000-0005-0000-0000-0000BF100000}"/>
    <cellStyle name="Обычный 2 2 6 2 3 2 3 3" xfId="5721" xr:uid="{00000000-0005-0000-0000-0000C0100000}"/>
    <cellStyle name="Обычный 2 2 6 2 3 2 4" xfId="5722" xr:uid="{00000000-0005-0000-0000-0000C1100000}"/>
    <cellStyle name="Обычный 2 2 6 2 3 2 4 2" xfId="5723" xr:uid="{00000000-0005-0000-0000-0000C2100000}"/>
    <cellStyle name="Обычный 2 2 6 2 3 2 5" xfId="5724" xr:uid="{00000000-0005-0000-0000-0000C3100000}"/>
    <cellStyle name="Обычный 2 2 6 2 3 2 6" xfId="5725" xr:uid="{00000000-0005-0000-0000-0000C4100000}"/>
    <cellStyle name="Обычный 2 2 6 2 3 3" xfId="5726" xr:uid="{00000000-0005-0000-0000-0000C5100000}"/>
    <cellStyle name="Обычный 2 2 6 2 3 3 2" xfId="5727" xr:uid="{00000000-0005-0000-0000-0000C6100000}"/>
    <cellStyle name="Обычный 2 2 6 2 3 3 2 2" xfId="5728" xr:uid="{00000000-0005-0000-0000-0000C7100000}"/>
    <cellStyle name="Обычный 2 2 6 2 3 3 2 3" xfId="5729" xr:uid="{00000000-0005-0000-0000-0000C8100000}"/>
    <cellStyle name="Обычный 2 2 6 2 3 3 3" xfId="5730" xr:uid="{00000000-0005-0000-0000-0000C9100000}"/>
    <cellStyle name="Обычный 2 2 6 2 3 3 4" xfId="5731" xr:uid="{00000000-0005-0000-0000-0000CA100000}"/>
    <cellStyle name="Обычный 2 2 6 2 3 4" xfId="5732" xr:uid="{00000000-0005-0000-0000-0000CB100000}"/>
    <cellStyle name="Обычный 2 2 6 2 3 4 2" xfId="5733" xr:uid="{00000000-0005-0000-0000-0000CC100000}"/>
    <cellStyle name="Обычный 2 2 6 2 3 4 3" xfId="5734" xr:uid="{00000000-0005-0000-0000-0000CD100000}"/>
    <cellStyle name="Обычный 2 2 6 2 3 5" xfId="5735" xr:uid="{00000000-0005-0000-0000-0000CE100000}"/>
    <cellStyle name="Обычный 2 2 6 2 3 5 2" xfId="5736" xr:uid="{00000000-0005-0000-0000-0000CF100000}"/>
    <cellStyle name="Обычный 2 2 6 2 3 6" xfId="5737" xr:uid="{00000000-0005-0000-0000-0000D0100000}"/>
    <cellStyle name="Обычный 2 2 6 2 3 7" xfId="5738" xr:uid="{00000000-0005-0000-0000-0000D1100000}"/>
    <cellStyle name="Обычный 2 2 6 2 4" xfId="5739" xr:uid="{00000000-0005-0000-0000-0000D2100000}"/>
    <cellStyle name="Обычный 2 2 6 2 4 2" xfId="5740" xr:uid="{00000000-0005-0000-0000-0000D3100000}"/>
    <cellStyle name="Обычный 2 2 6 2 4 2 2" xfId="5741" xr:uid="{00000000-0005-0000-0000-0000D4100000}"/>
    <cellStyle name="Обычный 2 2 6 2 4 2 2 2" xfId="5742" xr:uid="{00000000-0005-0000-0000-0000D5100000}"/>
    <cellStyle name="Обычный 2 2 6 2 4 2 2 3" xfId="5743" xr:uid="{00000000-0005-0000-0000-0000D6100000}"/>
    <cellStyle name="Обычный 2 2 6 2 4 2 3" xfId="5744" xr:uid="{00000000-0005-0000-0000-0000D7100000}"/>
    <cellStyle name="Обычный 2 2 6 2 4 2 4" xfId="5745" xr:uid="{00000000-0005-0000-0000-0000D8100000}"/>
    <cellStyle name="Обычный 2 2 6 2 4 3" xfId="5746" xr:uid="{00000000-0005-0000-0000-0000D9100000}"/>
    <cellStyle name="Обычный 2 2 6 2 4 3 2" xfId="5747" xr:uid="{00000000-0005-0000-0000-0000DA100000}"/>
    <cellStyle name="Обычный 2 2 6 2 4 3 3" xfId="5748" xr:uid="{00000000-0005-0000-0000-0000DB100000}"/>
    <cellStyle name="Обычный 2 2 6 2 4 4" xfId="5749" xr:uid="{00000000-0005-0000-0000-0000DC100000}"/>
    <cellStyle name="Обычный 2 2 6 2 4 4 2" xfId="5750" xr:uid="{00000000-0005-0000-0000-0000DD100000}"/>
    <cellStyle name="Обычный 2 2 6 2 4 5" xfId="5751" xr:uid="{00000000-0005-0000-0000-0000DE100000}"/>
    <cellStyle name="Обычный 2 2 6 2 4 6" xfId="5752" xr:uid="{00000000-0005-0000-0000-0000DF100000}"/>
    <cellStyle name="Обычный 2 2 6 2 5" xfId="5753" xr:uid="{00000000-0005-0000-0000-0000E0100000}"/>
    <cellStyle name="Обычный 2 2 6 2 5 2" xfId="5754" xr:uid="{00000000-0005-0000-0000-0000E1100000}"/>
    <cellStyle name="Обычный 2 2 6 2 5 2 2" xfId="5755" xr:uid="{00000000-0005-0000-0000-0000E2100000}"/>
    <cellStyle name="Обычный 2 2 6 2 5 2 3" xfId="5756" xr:uid="{00000000-0005-0000-0000-0000E3100000}"/>
    <cellStyle name="Обычный 2 2 6 2 5 3" xfId="5757" xr:uid="{00000000-0005-0000-0000-0000E4100000}"/>
    <cellStyle name="Обычный 2 2 6 2 5 4" xfId="5758" xr:uid="{00000000-0005-0000-0000-0000E5100000}"/>
    <cellStyle name="Обычный 2 2 6 2 6" xfId="5759" xr:uid="{00000000-0005-0000-0000-0000E6100000}"/>
    <cellStyle name="Обычный 2 2 6 2 6 2" xfId="5760" xr:uid="{00000000-0005-0000-0000-0000E7100000}"/>
    <cellStyle name="Обычный 2 2 6 2 6 3" xfId="5761" xr:uid="{00000000-0005-0000-0000-0000E8100000}"/>
    <cellStyle name="Обычный 2 2 6 2 7" xfId="5762" xr:uid="{00000000-0005-0000-0000-0000E9100000}"/>
    <cellStyle name="Обычный 2 2 6 2 7 2" xfId="5763" xr:uid="{00000000-0005-0000-0000-0000EA100000}"/>
    <cellStyle name="Обычный 2 2 6 2 8" xfId="5764" xr:uid="{00000000-0005-0000-0000-0000EB100000}"/>
    <cellStyle name="Обычный 2 2 6 2 9" xfId="5765" xr:uid="{00000000-0005-0000-0000-0000EC100000}"/>
    <cellStyle name="Обычный 2 2 6 3" xfId="3534" xr:uid="{00000000-0005-0000-0000-0000ED100000}"/>
    <cellStyle name="Обычный 2 2 6 3 2" xfId="3535" xr:uid="{00000000-0005-0000-0000-0000EE100000}"/>
    <cellStyle name="Обычный 2 2 6 3 2 2" xfId="5766" xr:uid="{00000000-0005-0000-0000-0000EF100000}"/>
    <cellStyle name="Обычный 2 2 6 3 2 2 2" xfId="5767" xr:uid="{00000000-0005-0000-0000-0000F0100000}"/>
    <cellStyle name="Обычный 2 2 6 3 2 2 2 2" xfId="5768" xr:uid="{00000000-0005-0000-0000-0000F1100000}"/>
    <cellStyle name="Обычный 2 2 6 3 2 2 2 2 2" xfId="5769" xr:uid="{00000000-0005-0000-0000-0000F2100000}"/>
    <cellStyle name="Обычный 2 2 6 3 2 2 2 2 3" xfId="5770" xr:uid="{00000000-0005-0000-0000-0000F3100000}"/>
    <cellStyle name="Обычный 2 2 6 3 2 2 2 3" xfId="5771" xr:uid="{00000000-0005-0000-0000-0000F4100000}"/>
    <cellStyle name="Обычный 2 2 6 3 2 2 2 4" xfId="5772" xr:uid="{00000000-0005-0000-0000-0000F5100000}"/>
    <cellStyle name="Обычный 2 2 6 3 2 2 3" xfId="5773" xr:uid="{00000000-0005-0000-0000-0000F6100000}"/>
    <cellStyle name="Обычный 2 2 6 3 2 2 3 2" xfId="5774" xr:uid="{00000000-0005-0000-0000-0000F7100000}"/>
    <cellStyle name="Обычный 2 2 6 3 2 2 3 3" xfId="5775" xr:uid="{00000000-0005-0000-0000-0000F8100000}"/>
    <cellStyle name="Обычный 2 2 6 3 2 2 4" xfId="5776" xr:uid="{00000000-0005-0000-0000-0000F9100000}"/>
    <cellStyle name="Обычный 2 2 6 3 2 2 4 2" xfId="5777" xr:uid="{00000000-0005-0000-0000-0000FA100000}"/>
    <cellStyle name="Обычный 2 2 6 3 2 2 5" xfId="5778" xr:uid="{00000000-0005-0000-0000-0000FB100000}"/>
    <cellStyle name="Обычный 2 2 6 3 2 2 6" xfId="5779" xr:uid="{00000000-0005-0000-0000-0000FC100000}"/>
    <cellStyle name="Обычный 2 2 6 3 2 3" xfId="5780" xr:uid="{00000000-0005-0000-0000-0000FD100000}"/>
    <cellStyle name="Обычный 2 2 6 3 2 3 2" xfId="5781" xr:uid="{00000000-0005-0000-0000-0000FE100000}"/>
    <cellStyle name="Обычный 2 2 6 3 2 3 2 2" xfId="5782" xr:uid="{00000000-0005-0000-0000-0000FF100000}"/>
    <cellStyle name="Обычный 2 2 6 3 2 3 2 3" xfId="5783" xr:uid="{00000000-0005-0000-0000-000000110000}"/>
    <cellStyle name="Обычный 2 2 6 3 2 3 3" xfId="5784" xr:uid="{00000000-0005-0000-0000-000001110000}"/>
    <cellStyle name="Обычный 2 2 6 3 2 3 4" xfId="5785" xr:uid="{00000000-0005-0000-0000-000002110000}"/>
    <cellStyle name="Обычный 2 2 6 3 2 4" xfId="5786" xr:uid="{00000000-0005-0000-0000-000003110000}"/>
    <cellStyle name="Обычный 2 2 6 3 2 4 2" xfId="5787" xr:uid="{00000000-0005-0000-0000-000004110000}"/>
    <cellStyle name="Обычный 2 2 6 3 2 4 3" xfId="5788" xr:uid="{00000000-0005-0000-0000-000005110000}"/>
    <cellStyle name="Обычный 2 2 6 3 2 5" xfId="5789" xr:uid="{00000000-0005-0000-0000-000006110000}"/>
    <cellStyle name="Обычный 2 2 6 3 2 5 2" xfId="5790" xr:uid="{00000000-0005-0000-0000-000007110000}"/>
    <cellStyle name="Обычный 2 2 6 3 2 6" xfId="5791" xr:uid="{00000000-0005-0000-0000-000008110000}"/>
    <cellStyle name="Обычный 2 2 6 3 2 7" xfId="5792" xr:uid="{00000000-0005-0000-0000-000009110000}"/>
    <cellStyle name="Обычный 2 2 6 3 3" xfId="5793" xr:uid="{00000000-0005-0000-0000-00000A110000}"/>
    <cellStyle name="Обычный 2 2 6 3 3 2" xfId="5794" xr:uid="{00000000-0005-0000-0000-00000B110000}"/>
    <cellStyle name="Обычный 2 2 6 3 3 2 2" xfId="5795" xr:uid="{00000000-0005-0000-0000-00000C110000}"/>
    <cellStyle name="Обычный 2 2 6 3 3 2 2 2" xfId="5796" xr:uid="{00000000-0005-0000-0000-00000D110000}"/>
    <cellStyle name="Обычный 2 2 6 3 3 2 2 3" xfId="5797" xr:uid="{00000000-0005-0000-0000-00000E110000}"/>
    <cellStyle name="Обычный 2 2 6 3 3 2 3" xfId="5798" xr:uid="{00000000-0005-0000-0000-00000F110000}"/>
    <cellStyle name="Обычный 2 2 6 3 3 2 4" xfId="5799" xr:uid="{00000000-0005-0000-0000-000010110000}"/>
    <cellStyle name="Обычный 2 2 6 3 3 3" xfId="5800" xr:uid="{00000000-0005-0000-0000-000011110000}"/>
    <cellStyle name="Обычный 2 2 6 3 3 3 2" xfId="5801" xr:uid="{00000000-0005-0000-0000-000012110000}"/>
    <cellStyle name="Обычный 2 2 6 3 3 3 3" xfId="5802" xr:uid="{00000000-0005-0000-0000-000013110000}"/>
    <cellStyle name="Обычный 2 2 6 3 3 4" xfId="5803" xr:uid="{00000000-0005-0000-0000-000014110000}"/>
    <cellStyle name="Обычный 2 2 6 3 3 4 2" xfId="5804" xr:uid="{00000000-0005-0000-0000-000015110000}"/>
    <cellStyle name="Обычный 2 2 6 3 3 5" xfId="5805" xr:uid="{00000000-0005-0000-0000-000016110000}"/>
    <cellStyle name="Обычный 2 2 6 3 3 6" xfId="5806" xr:uid="{00000000-0005-0000-0000-000017110000}"/>
    <cellStyle name="Обычный 2 2 6 3 4" xfId="5807" xr:uid="{00000000-0005-0000-0000-000018110000}"/>
    <cellStyle name="Обычный 2 2 6 3 4 2" xfId="5808" xr:uid="{00000000-0005-0000-0000-000019110000}"/>
    <cellStyle name="Обычный 2 2 6 3 4 2 2" xfId="5809" xr:uid="{00000000-0005-0000-0000-00001A110000}"/>
    <cellStyle name="Обычный 2 2 6 3 4 2 3" xfId="5810" xr:uid="{00000000-0005-0000-0000-00001B110000}"/>
    <cellStyle name="Обычный 2 2 6 3 4 3" xfId="5811" xr:uid="{00000000-0005-0000-0000-00001C110000}"/>
    <cellStyle name="Обычный 2 2 6 3 4 4" xfId="5812" xr:uid="{00000000-0005-0000-0000-00001D110000}"/>
    <cellStyle name="Обычный 2 2 6 3 5" xfId="5813" xr:uid="{00000000-0005-0000-0000-00001E110000}"/>
    <cellStyle name="Обычный 2 2 6 3 5 2" xfId="5814" xr:uid="{00000000-0005-0000-0000-00001F110000}"/>
    <cellStyle name="Обычный 2 2 6 3 5 3" xfId="5815" xr:uid="{00000000-0005-0000-0000-000020110000}"/>
    <cellStyle name="Обычный 2 2 6 3 6" xfId="5816" xr:uid="{00000000-0005-0000-0000-000021110000}"/>
    <cellStyle name="Обычный 2 2 6 3 6 2" xfId="5817" xr:uid="{00000000-0005-0000-0000-000022110000}"/>
    <cellStyle name="Обычный 2 2 6 3 7" xfId="5818" xr:uid="{00000000-0005-0000-0000-000023110000}"/>
    <cellStyle name="Обычный 2 2 6 3 8" xfId="5819" xr:uid="{00000000-0005-0000-0000-000024110000}"/>
    <cellStyle name="Обычный 2 2 6 4" xfId="3536" xr:uid="{00000000-0005-0000-0000-000025110000}"/>
    <cellStyle name="Обычный 2 2 6 4 2" xfId="5820" xr:uid="{00000000-0005-0000-0000-000026110000}"/>
    <cellStyle name="Обычный 2 2 6 4 2 2" xfId="5821" xr:uid="{00000000-0005-0000-0000-000027110000}"/>
    <cellStyle name="Обычный 2 2 6 4 2 2 2" xfId="5822" xr:uid="{00000000-0005-0000-0000-000028110000}"/>
    <cellStyle name="Обычный 2 2 6 4 2 2 2 2" xfId="5823" xr:uid="{00000000-0005-0000-0000-000029110000}"/>
    <cellStyle name="Обычный 2 2 6 4 2 2 2 3" xfId="5824" xr:uid="{00000000-0005-0000-0000-00002A110000}"/>
    <cellStyle name="Обычный 2 2 6 4 2 2 3" xfId="5825" xr:uid="{00000000-0005-0000-0000-00002B110000}"/>
    <cellStyle name="Обычный 2 2 6 4 2 2 4" xfId="5826" xr:uid="{00000000-0005-0000-0000-00002C110000}"/>
    <cellStyle name="Обычный 2 2 6 4 2 3" xfId="5827" xr:uid="{00000000-0005-0000-0000-00002D110000}"/>
    <cellStyle name="Обычный 2 2 6 4 2 3 2" xfId="5828" xr:uid="{00000000-0005-0000-0000-00002E110000}"/>
    <cellStyle name="Обычный 2 2 6 4 2 3 3" xfId="5829" xr:uid="{00000000-0005-0000-0000-00002F110000}"/>
    <cellStyle name="Обычный 2 2 6 4 2 4" xfId="5830" xr:uid="{00000000-0005-0000-0000-000030110000}"/>
    <cellStyle name="Обычный 2 2 6 4 2 4 2" xfId="5831" xr:uid="{00000000-0005-0000-0000-000031110000}"/>
    <cellStyle name="Обычный 2 2 6 4 2 5" xfId="5832" xr:uid="{00000000-0005-0000-0000-000032110000}"/>
    <cellStyle name="Обычный 2 2 6 4 2 6" xfId="5833" xr:uid="{00000000-0005-0000-0000-000033110000}"/>
    <cellStyle name="Обычный 2 2 6 4 3" xfId="5834" xr:uid="{00000000-0005-0000-0000-000034110000}"/>
    <cellStyle name="Обычный 2 2 6 4 3 2" xfId="5835" xr:uid="{00000000-0005-0000-0000-000035110000}"/>
    <cellStyle name="Обычный 2 2 6 4 3 2 2" xfId="5836" xr:uid="{00000000-0005-0000-0000-000036110000}"/>
    <cellStyle name="Обычный 2 2 6 4 3 2 3" xfId="5837" xr:uid="{00000000-0005-0000-0000-000037110000}"/>
    <cellStyle name="Обычный 2 2 6 4 3 3" xfId="5838" xr:uid="{00000000-0005-0000-0000-000038110000}"/>
    <cellStyle name="Обычный 2 2 6 4 3 4" xfId="5839" xr:uid="{00000000-0005-0000-0000-000039110000}"/>
    <cellStyle name="Обычный 2 2 6 4 4" xfId="5840" xr:uid="{00000000-0005-0000-0000-00003A110000}"/>
    <cellStyle name="Обычный 2 2 6 4 4 2" xfId="5841" xr:uid="{00000000-0005-0000-0000-00003B110000}"/>
    <cellStyle name="Обычный 2 2 6 4 4 3" xfId="5842" xr:uid="{00000000-0005-0000-0000-00003C110000}"/>
    <cellStyle name="Обычный 2 2 6 4 5" xfId="5843" xr:uid="{00000000-0005-0000-0000-00003D110000}"/>
    <cellStyle name="Обычный 2 2 6 4 5 2" xfId="5844" xr:uid="{00000000-0005-0000-0000-00003E110000}"/>
    <cellStyle name="Обычный 2 2 6 4 6" xfId="5845" xr:uid="{00000000-0005-0000-0000-00003F110000}"/>
    <cellStyle name="Обычный 2 2 6 4 7" xfId="5846" xr:uid="{00000000-0005-0000-0000-000040110000}"/>
    <cellStyle name="Обычный 2 2 6 5" xfId="3537" xr:uid="{00000000-0005-0000-0000-000041110000}"/>
    <cellStyle name="Обычный 2 2 6 5 2" xfId="5847" xr:uid="{00000000-0005-0000-0000-000042110000}"/>
    <cellStyle name="Обычный 2 2 6 5 2 2" xfId="5848" xr:uid="{00000000-0005-0000-0000-000043110000}"/>
    <cellStyle name="Обычный 2 2 6 5 2 2 2" xfId="5849" xr:uid="{00000000-0005-0000-0000-000044110000}"/>
    <cellStyle name="Обычный 2 2 6 5 2 2 3" xfId="5850" xr:uid="{00000000-0005-0000-0000-000045110000}"/>
    <cellStyle name="Обычный 2 2 6 5 2 3" xfId="5851" xr:uid="{00000000-0005-0000-0000-000046110000}"/>
    <cellStyle name="Обычный 2 2 6 5 2 4" xfId="5852" xr:uid="{00000000-0005-0000-0000-000047110000}"/>
    <cellStyle name="Обычный 2 2 6 5 3" xfId="5853" xr:uid="{00000000-0005-0000-0000-000048110000}"/>
    <cellStyle name="Обычный 2 2 6 5 3 2" xfId="5854" xr:uid="{00000000-0005-0000-0000-000049110000}"/>
    <cellStyle name="Обычный 2 2 6 5 3 3" xfId="5855" xr:uid="{00000000-0005-0000-0000-00004A110000}"/>
    <cellStyle name="Обычный 2 2 6 5 4" xfId="5856" xr:uid="{00000000-0005-0000-0000-00004B110000}"/>
    <cellStyle name="Обычный 2 2 6 5 4 2" xfId="5857" xr:uid="{00000000-0005-0000-0000-00004C110000}"/>
    <cellStyle name="Обычный 2 2 6 5 5" xfId="5858" xr:uid="{00000000-0005-0000-0000-00004D110000}"/>
    <cellStyle name="Обычный 2 2 6 5 6" xfId="5859" xr:uid="{00000000-0005-0000-0000-00004E110000}"/>
    <cellStyle name="Обычный 2 2 6 6" xfId="3538" xr:uid="{00000000-0005-0000-0000-00004F110000}"/>
    <cellStyle name="Обычный 2 2 6 6 2" xfId="5860" xr:uid="{00000000-0005-0000-0000-000050110000}"/>
    <cellStyle name="Обычный 2 2 6 6 2 2" xfId="5861" xr:uid="{00000000-0005-0000-0000-000051110000}"/>
    <cellStyle name="Обычный 2 2 6 6 2 3" xfId="5862" xr:uid="{00000000-0005-0000-0000-000052110000}"/>
    <cellStyle name="Обычный 2 2 6 6 3" xfId="5863" xr:uid="{00000000-0005-0000-0000-000053110000}"/>
    <cellStyle name="Обычный 2 2 6 6 4" xfId="5864" xr:uid="{00000000-0005-0000-0000-000054110000}"/>
    <cellStyle name="Обычный 2 2 6 7" xfId="3539" xr:uid="{00000000-0005-0000-0000-000055110000}"/>
    <cellStyle name="Обычный 2 2 6 7 2" xfId="5865" xr:uid="{00000000-0005-0000-0000-000056110000}"/>
    <cellStyle name="Обычный 2 2 6 7 3" xfId="5866" xr:uid="{00000000-0005-0000-0000-000057110000}"/>
    <cellStyle name="Обычный 2 2 6 8" xfId="5867" xr:uid="{00000000-0005-0000-0000-000058110000}"/>
    <cellStyle name="Обычный 2 2 6 8 2" xfId="5868" xr:uid="{00000000-0005-0000-0000-000059110000}"/>
    <cellStyle name="Обычный 2 2 6 9" xfId="5869" xr:uid="{00000000-0005-0000-0000-00005A110000}"/>
    <cellStyle name="Обычный 2 2 6_Свод гостин" xfId="3540" xr:uid="{00000000-0005-0000-0000-00005B110000}"/>
    <cellStyle name="Обычный 2 2 7" xfId="3541" xr:uid="{00000000-0005-0000-0000-00005C110000}"/>
    <cellStyle name="Обычный 2 2 7 10" xfId="5870" xr:uid="{00000000-0005-0000-0000-00005D110000}"/>
    <cellStyle name="Обычный 2 2 7 2" xfId="3542" xr:uid="{00000000-0005-0000-0000-00005E110000}"/>
    <cellStyle name="Обычный 2 2 7 2 2" xfId="5871" xr:uid="{00000000-0005-0000-0000-00005F110000}"/>
    <cellStyle name="Обычный 2 2 7 2 2 2" xfId="5872" xr:uid="{00000000-0005-0000-0000-000060110000}"/>
    <cellStyle name="Обычный 2 2 7 2 2 2 2" xfId="5873" xr:uid="{00000000-0005-0000-0000-000061110000}"/>
    <cellStyle name="Обычный 2 2 7 2 2 2 2 2" xfId="5874" xr:uid="{00000000-0005-0000-0000-000062110000}"/>
    <cellStyle name="Обычный 2 2 7 2 2 2 2 2 2" xfId="5875" xr:uid="{00000000-0005-0000-0000-000063110000}"/>
    <cellStyle name="Обычный 2 2 7 2 2 2 2 2 2 2" xfId="5876" xr:uid="{00000000-0005-0000-0000-000064110000}"/>
    <cellStyle name="Обычный 2 2 7 2 2 2 2 2 2 3" xfId="5877" xr:uid="{00000000-0005-0000-0000-000065110000}"/>
    <cellStyle name="Обычный 2 2 7 2 2 2 2 2 3" xfId="5878" xr:uid="{00000000-0005-0000-0000-000066110000}"/>
    <cellStyle name="Обычный 2 2 7 2 2 2 2 2 4" xfId="5879" xr:uid="{00000000-0005-0000-0000-000067110000}"/>
    <cellStyle name="Обычный 2 2 7 2 2 2 2 3" xfId="5880" xr:uid="{00000000-0005-0000-0000-000068110000}"/>
    <cellStyle name="Обычный 2 2 7 2 2 2 2 3 2" xfId="5881" xr:uid="{00000000-0005-0000-0000-000069110000}"/>
    <cellStyle name="Обычный 2 2 7 2 2 2 2 3 3" xfId="5882" xr:uid="{00000000-0005-0000-0000-00006A110000}"/>
    <cellStyle name="Обычный 2 2 7 2 2 2 2 4" xfId="5883" xr:uid="{00000000-0005-0000-0000-00006B110000}"/>
    <cellStyle name="Обычный 2 2 7 2 2 2 2 4 2" xfId="5884" xr:uid="{00000000-0005-0000-0000-00006C110000}"/>
    <cellStyle name="Обычный 2 2 7 2 2 2 2 5" xfId="5885" xr:uid="{00000000-0005-0000-0000-00006D110000}"/>
    <cellStyle name="Обычный 2 2 7 2 2 2 2 6" xfId="5886" xr:uid="{00000000-0005-0000-0000-00006E110000}"/>
    <cellStyle name="Обычный 2 2 7 2 2 2 3" xfId="5887" xr:uid="{00000000-0005-0000-0000-00006F110000}"/>
    <cellStyle name="Обычный 2 2 7 2 2 2 3 2" xfId="5888" xr:uid="{00000000-0005-0000-0000-000070110000}"/>
    <cellStyle name="Обычный 2 2 7 2 2 2 3 2 2" xfId="5889" xr:uid="{00000000-0005-0000-0000-000071110000}"/>
    <cellStyle name="Обычный 2 2 7 2 2 2 3 2 3" xfId="5890" xr:uid="{00000000-0005-0000-0000-000072110000}"/>
    <cellStyle name="Обычный 2 2 7 2 2 2 3 3" xfId="5891" xr:uid="{00000000-0005-0000-0000-000073110000}"/>
    <cellStyle name="Обычный 2 2 7 2 2 2 3 4" xfId="5892" xr:uid="{00000000-0005-0000-0000-000074110000}"/>
    <cellStyle name="Обычный 2 2 7 2 2 2 4" xfId="5893" xr:uid="{00000000-0005-0000-0000-000075110000}"/>
    <cellStyle name="Обычный 2 2 7 2 2 2 4 2" xfId="5894" xr:uid="{00000000-0005-0000-0000-000076110000}"/>
    <cellStyle name="Обычный 2 2 7 2 2 2 4 3" xfId="5895" xr:uid="{00000000-0005-0000-0000-000077110000}"/>
    <cellStyle name="Обычный 2 2 7 2 2 2 5" xfId="5896" xr:uid="{00000000-0005-0000-0000-000078110000}"/>
    <cellStyle name="Обычный 2 2 7 2 2 2 5 2" xfId="5897" xr:uid="{00000000-0005-0000-0000-000079110000}"/>
    <cellStyle name="Обычный 2 2 7 2 2 2 6" xfId="5898" xr:uid="{00000000-0005-0000-0000-00007A110000}"/>
    <cellStyle name="Обычный 2 2 7 2 2 2 7" xfId="5899" xr:uid="{00000000-0005-0000-0000-00007B110000}"/>
    <cellStyle name="Обычный 2 2 7 2 2 3" xfId="5900" xr:uid="{00000000-0005-0000-0000-00007C110000}"/>
    <cellStyle name="Обычный 2 2 7 2 2 3 2" xfId="5901" xr:uid="{00000000-0005-0000-0000-00007D110000}"/>
    <cellStyle name="Обычный 2 2 7 2 2 3 2 2" xfId="5902" xr:uid="{00000000-0005-0000-0000-00007E110000}"/>
    <cellStyle name="Обычный 2 2 7 2 2 3 2 2 2" xfId="5903" xr:uid="{00000000-0005-0000-0000-00007F110000}"/>
    <cellStyle name="Обычный 2 2 7 2 2 3 2 2 3" xfId="5904" xr:uid="{00000000-0005-0000-0000-000080110000}"/>
    <cellStyle name="Обычный 2 2 7 2 2 3 2 3" xfId="5905" xr:uid="{00000000-0005-0000-0000-000081110000}"/>
    <cellStyle name="Обычный 2 2 7 2 2 3 2 4" xfId="5906" xr:uid="{00000000-0005-0000-0000-000082110000}"/>
    <cellStyle name="Обычный 2 2 7 2 2 3 3" xfId="5907" xr:uid="{00000000-0005-0000-0000-000083110000}"/>
    <cellStyle name="Обычный 2 2 7 2 2 3 3 2" xfId="5908" xr:uid="{00000000-0005-0000-0000-000084110000}"/>
    <cellStyle name="Обычный 2 2 7 2 2 3 3 3" xfId="5909" xr:uid="{00000000-0005-0000-0000-000085110000}"/>
    <cellStyle name="Обычный 2 2 7 2 2 3 4" xfId="5910" xr:uid="{00000000-0005-0000-0000-000086110000}"/>
    <cellStyle name="Обычный 2 2 7 2 2 3 4 2" xfId="5911" xr:uid="{00000000-0005-0000-0000-000087110000}"/>
    <cellStyle name="Обычный 2 2 7 2 2 3 5" xfId="5912" xr:uid="{00000000-0005-0000-0000-000088110000}"/>
    <cellStyle name="Обычный 2 2 7 2 2 3 6" xfId="5913" xr:uid="{00000000-0005-0000-0000-000089110000}"/>
    <cellStyle name="Обычный 2 2 7 2 2 4" xfId="5914" xr:uid="{00000000-0005-0000-0000-00008A110000}"/>
    <cellStyle name="Обычный 2 2 7 2 2 4 2" xfId="5915" xr:uid="{00000000-0005-0000-0000-00008B110000}"/>
    <cellStyle name="Обычный 2 2 7 2 2 4 2 2" xfId="5916" xr:uid="{00000000-0005-0000-0000-00008C110000}"/>
    <cellStyle name="Обычный 2 2 7 2 2 4 2 3" xfId="5917" xr:uid="{00000000-0005-0000-0000-00008D110000}"/>
    <cellStyle name="Обычный 2 2 7 2 2 4 3" xfId="5918" xr:uid="{00000000-0005-0000-0000-00008E110000}"/>
    <cellStyle name="Обычный 2 2 7 2 2 4 4" xfId="5919" xr:uid="{00000000-0005-0000-0000-00008F110000}"/>
    <cellStyle name="Обычный 2 2 7 2 2 5" xfId="5920" xr:uid="{00000000-0005-0000-0000-000090110000}"/>
    <cellStyle name="Обычный 2 2 7 2 2 5 2" xfId="5921" xr:uid="{00000000-0005-0000-0000-000091110000}"/>
    <cellStyle name="Обычный 2 2 7 2 2 5 3" xfId="5922" xr:uid="{00000000-0005-0000-0000-000092110000}"/>
    <cellStyle name="Обычный 2 2 7 2 2 6" xfId="5923" xr:uid="{00000000-0005-0000-0000-000093110000}"/>
    <cellStyle name="Обычный 2 2 7 2 2 6 2" xfId="5924" xr:uid="{00000000-0005-0000-0000-000094110000}"/>
    <cellStyle name="Обычный 2 2 7 2 2 7" xfId="5925" xr:uid="{00000000-0005-0000-0000-000095110000}"/>
    <cellStyle name="Обычный 2 2 7 2 2 8" xfId="5926" xr:uid="{00000000-0005-0000-0000-000096110000}"/>
    <cellStyle name="Обычный 2 2 7 2 3" xfId="5927" xr:uid="{00000000-0005-0000-0000-000097110000}"/>
    <cellStyle name="Обычный 2 2 7 2 3 2" xfId="5928" xr:uid="{00000000-0005-0000-0000-000098110000}"/>
    <cellStyle name="Обычный 2 2 7 2 3 2 2" xfId="5929" xr:uid="{00000000-0005-0000-0000-000099110000}"/>
    <cellStyle name="Обычный 2 2 7 2 3 2 2 2" xfId="5930" xr:uid="{00000000-0005-0000-0000-00009A110000}"/>
    <cellStyle name="Обычный 2 2 7 2 3 2 2 2 2" xfId="5931" xr:uid="{00000000-0005-0000-0000-00009B110000}"/>
    <cellStyle name="Обычный 2 2 7 2 3 2 2 2 3" xfId="5932" xr:uid="{00000000-0005-0000-0000-00009C110000}"/>
    <cellStyle name="Обычный 2 2 7 2 3 2 2 3" xfId="5933" xr:uid="{00000000-0005-0000-0000-00009D110000}"/>
    <cellStyle name="Обычный 2 2 7 2 3 2 2 4" xfId="5934" xr:uid="{00000000-0005-0000-0000-00009E110000}"/>
    <cellStyle name="Обычный 2 2 7 2 3 2 3" xfId="5935" xr:uid="{00000000-0005-0000-0000-00009F110000}"/>
    <cellStyle name="Обычный 2 2 7 2 3 2 3 2" xfId="5936" xr:uid="{00000000-0005-0000-0000-0000A0110000}"/>
    <cellStyle name="Обычный 2 2 7 2 3 2 3 3" xfId="5937" xr:uid="{00000000-0005-0000-0000-0000A1110000}"/>
    <cellStyle name="Обычный 2 2 7 2 3 2 4" xfId="5938" xr:uid="{00000000-0005-0000-0000-0000A2110000}"/>
    <cellStyle name="Обычный 2 2 7 2 3 2 4 2" xfId="5939" xr:uid="{00000000-0005-0000-0000-0000A3110000}"/>
    <cellStyle name="Обычный 2 2 7 2 3 2 5" xfId="5940" xr:uid="{00000000-0005-0000-0000-0000A4110000}"/>
    <cellStyle name="Обычный 2 2 7 2 3 2 6" xfId="5941" xr:uid="{00000000-0005-0000-0000-0000A5110000}"/>
    <cellStyle name="Обычный 2 2 7 2 3 3" xfId="5942" xr:uid="{00000000-0005-0000-0000-0000A6110000}"/>
    <cellStyle name="Обычный 2 2 7 2 3 3 2" xfId="5943" xr:uid="{00000000-0005-0000-0000-0000A7110000}"/>
    <cellStyle name="Обычный 2 2 7 2 3 3 2 2" xfId="5944" xr:uid="{00000000-0005-0000-0000-0000A8110000}"/>
    <cellStyle name="Обычный 2 2 7 2 3 3 2 3" xfId="5945" xr:uid="{00000000-0005-0000-0000-0000A9110000}"/>
    <cellStyle name="Обычный 2 2 7 2 3 3 3" xfId="5946" xr:uid="{00000000-0005-0000-0000-0000AA110000}"/>
    <cellStyle name="Обычный 2 2 7 2 3 3 4" xfId="5947" xr:uid="{00000000-0005-0000-0000-0000AB110000}"/>
    <cellStyle name="Обычный 2 2 7 2 3 4" xfId="5948" xr:uid="{00000000-0005-0000-0000-0000AC110000}"/>
    <cellStyle name="Обычный 2 2 7 2 3 4 2" xfId="5949" xr:uid="{00000000-0005-0000-0000-0000AD110000}"/>
    <cellStyle name="Обычный 2 2 7 2 3 4 3" xfId="5950" xr:uid="{00000000-0005-0000-0000-0000AE110000}"/>
    <cellStyle name="Обычный 2 2 7 2 3 5" xfId="5951" xr:uid="{00000000-0005-0000-0000-0000AF110000}"/>
    <cellStyle name="Обычный 2 2 7 2 3 5 2" xfId="5952" xr:uid="{00000000-0005-0000-0000-0000B0110000}"/>
    <cellStyle name="Обычный 2 2 7 2 3 6" xfId="5953" xr:uid="{00000000-0005-0000-0000-0000B1110000}"/>
    <cellStyle name="Обычный 2 2 7 2 3 7" xfId="5954" xr:uid="{00000000-0005-0000-0000-0000B2110000}"/>
    <cellStyle name="Обычный 2 2 7 2 4" xfId="5955" xr:uid="{00000000-0005-0000-0000-0000B3110000}"/>
    <cellStyle name="Обычный 2 2 7 2 4 2" xfId="5956" xr:uid="{00000000-0005-0000-0000-0000B4110000}"/>
    <cellStyle name="Обычный 2 2 7 2 4 2 2" xfId="5957" xr:uid="{00000000-0005-0000-0000-0000B5110000}"/>
    <cellStyle name="Обычный 2 2 7 2 4 2 2 2" xfId="5958" xr:uid="{00000000-0005-0000-0000-0000B6110000}"/>
    <cellStyle name="Обычный 2 2 7 2 4 2 2 3" xfId="5959" xr:uid="{00000000-0005-0000-0000-0000B7110000}"/>
    <cellStyle name="Обычный 2 2 7 2 4 2 3" xfId="5960" xr:uid="{00000000-0005-0000-0000-0000B8110000}"/>
    <cellStyle name="Обычный 2 2 7 2 4 2 4" xfId="5961" xr:uid="{00000000-0005-0000-0000-0000B9110000}"/>
    <cellStyle name="Обычный 2 2 7 2 4 3" xfId="5962" xr:uid="{00000000-0005-0000-0000-0000BA110000}"/>
    <cellStyle name="Обычный 2 2 7 2 4 3 2" xfId="5963" xr:uid="{00000000-0005-0000-0000-0000BB110000}"/>
    <cellStyle name="Обычный 2 2 7 2 4 3 3" xfId="5964" xr:uid="{00000000-0005-0000-0000-0000BC110000}"/>
    <cellStyle name="Обычный 2 2 7 2 4 4" xfId="5965" xr:uid="{00000000-0005-0000-0000-0000BD110000}"/>
    <cellStyle name="Обычный 2 2 7 2 4 4 2" xfId="5966" xr:uid="{00000000-0005-0000-0000-0000BE110000}"/>
    <cellStyle name="Обычный 2 2 7 2 4 5" xfId="5967" xr:uid="{00000000-0005-0000-0000-0000BF110000}"/>
    <cellStyle name="Обычный 2 2 7 2 4 6" xfId="5968" xr:uid="{00000000-0005-0000-0000-0000C0110000}"/>
    <cellStyle name="Обычный 2 2 7 2 5" xfId="5969" xr:uid="{00000000-0005-0000-0000-0000C1110000}"/>
    <cellStyle name="Обычный 2 2 7 2 5 2" xfId="5970" xr:uid="{00000000-0005-0000-0000-0000C2110000}"/>
    <cellStyle name="Обычный 2 2 7 2 5 2 2" xfId="5971" xr:uid="{00000000-0005-0000-0000-0000C3110000}"/>
    <cellStyle name="Обычный 2 2 7 2 5 2 3" xfId="5972" xr:uid="{00000000-0005-0000-0000-0000C4110000}"/>
    <cellStyle name="Обычный 2 2 7 2 5 3" xfId="5973" xr:uid="{00000000-0005-0000-0000-0000C5110000}"/>
    <cellStyle name="Обычный 2 2 7 2 5 4" xfId="5974" xr:uid="{00000000-0005-0000-0000-0000C6110000}"/>
    <cellStyle name="Обычный 2 2 7 2 6" xfId="5975" xr:uid="{00000000-0005-0000-0000-0000C7110000}"/>
    <cellStyle name="Обычный 2 2 7 2 6 2" xfId="5976" xr:uid="{00000000-0005-0000-0000-0000C8110000}"/>
    <cellStyle name="Обычный 2 2 7 2 6 3" xfId="5977" xr:uid="{00000000-0005-0000-0000-0000C9110000}"/>
    <cellStyle name="Обычный 2 2 7 2 7" xfId="5978" xr:uid="{00000000-0005-0000-0000-0000CA110000}"/>
    <cellStyle name="Обычный 2 2 7 2 7 2" xfId="5979" xr:uid="{00000000-0005-0000-0000-0000CB110000}"/>
    <cellStyle name="Обычный 2 2 7 2 8" xfId="5980" xr:uid="{00000000-0005-0000-0000-0000CC110000}"/>
    <cellStyle name="Обычный 2 2 7 2 9" xfId="5981" xr:uid="{00000000-0005-0000-0000-0000CD110000}"/>
    <cellStyle name="Обычный 2 2 7 3" xfId="3543" xr:uid="{00000000-0005-0000-0000-0000CE110000}"/>
    <cellStyle name="Обычный 2 2 7 3 2" xfId="5982" xr:uid="{00000000-0005-0000-0000-0000CF110000}"/>
    <cellStyle name="Обычный 2 2 7 3 2 2" xfId="5983" xr:uid="{00000000-0005-0000-0000-0000D0110000}"/>
    <cellStyle name="Обычный 2 2 7 3 2 2 2" xfId="5984" xr:uid="{00000000-0005-0000-0000-0000D1110000}"/>
    <cellStyle name="Обычный 2 2 7 3 2 2 2 2" xfId="5985" xr:uid="{00000000-0005-0000-0000-0000D2110000}"/>
    <cellStyle name="Обычный 2 2 7 3 2 2 2 2 2" xfId="5986" xr:uid="{00000000-0005-0000-0000-0000D3110000}"/>
    <cellStyle name="Обычный 2 2 7 3 2 2 2 2 3" xfId="5987" xr:uid="{00000000-0005-0000-0000-0000D4110000}"/>
    <cellStyle name="Обычный 2 2 7 3 2 2 2 3" xfId="5988" xr:uid="{00000000-0005-0000-0000-0000D5110000}"/>
    <cellStyle name="Обычный 2 2 7 3 2 2 2 4" xfId="5989" xr:uid="{00000000-0005-0000-0000-0000D6110000}"/>
    <cellStyle name="Обычный 2 2 7 3 2 2 3" xfId="5990" xr:uid="{00000000-0005-0000-0000-0000D7110000}"/>
    <cellStyle name="Обычный 2 2 7 3 2 2 3 2" xfId="5991" xr:uid="{00000000-0005-0000-0000-0000D8110000}"/>
    <cellStyle name="Обычный 2 2 7 3 2 2 3 3" xfId="5992" xr:uid="{00000000-0005-0000-0000-0000D9110000}"/>
    <cellStyle name="Обычный 2 2 7 3 2 2 4" xfId="5993" xr:uid="{00000000-0005-0000-0000-0000DA110000}"/>
    <cellStyle name="Обычный 2 2 7 3 2 2 4 2" xfId="5994" xr:uid="{00000000-0005-0000-0000-0000DB110000}"/>
    <cellStyle name="Обычный 2 2 7 3 2 2 5" xfId="5995" xr:uid="{00000000-0005-0000-0000-0000DC110000}"/>
    <cellStyle name="Обычный 2 2 7 3 2 2 6" xfId="5996" xr:uid="{00000000-0005-0000-0000-0000DD110000}"/>
    <cellStyle name="Обычный 2 2 7 3 2 3" xfId="5997" xr:uid="{00000000-0005-0000-0000-0000DE110000}"/>
    <cellStyle name="Обычный 2 2 7 3 2 3 2" xfId="5998" xr:uid="{00000000-0005-0000-0000-0000DF110000}"/>
    <cellStyle name="Обычный 2 2 7 3 2 3 2 2" xfId="5999" xr:uid="{00000000-0005-0000-0000-0000E0110000}"/>
    <cellStyle name="Обычный 2 2 7 3 2 3 2 3" xfId="6000" xr:uid="{00000000-0005-0000-0000-0000E1110000}"/>
    <cellStyle name="Обычный 2 2 7 3 2 3 3" xfId="6001" xr:uid="{00000000-0005-0000-0000-0000E2110000}"/>
    <cellStyle name="Обычный 2 2 7 3 2 3 4" xfId="6002" xr:uid="{00000000-0005-0000-0000-0000E3110000}"/>
    <cellStyle name="Обычный 2 2 7 3 2 4" xfId="6003" xr:uid="{00000000-0005-0000-0000-0000E4110000}"/>
    <cellStyle name="Обычный 2 2 7 3 2 4 2" xfId="6004" xr:uid="{00000000-0005-0000-0000-0000E5110000}"/>
    <cellStyle name="Обычный 2 2 7 3 2 4 3" xfId="6005" xr:uid="{00000000-0005-0000-0000-0000E6110000}"/>
    <cellStyle name="Обычный 2 2 7 3 2 5" xfId="6006" xr:uid="{00000000-0005-0000-0000-0000E7110000}"/>
    <cellStyle name="Обычный 2 2 7 3 2 5 2" xfId="6007" xr:uid="{00000000-0005-0000-0000-0000E8110000}"/>
    <cellStyle name="Обычный 2 2 7 3 2 6" xfId="6008" xr:uid="{00000000-0005-0000-0000-0000E9110000}"/>
    <cellStyle name="Обычный 2 2 7 3 2 7" xfId="6009" xr:uid="{00000000-0005-0000-0000-0000EA110000}"/>
    <cellStyle name="Обычный 2 2 7 3 3" xfId="6010" xr:uid="{00000000-0005-0000-0000-0000EB110000}"/>
    <cellStyle name="Обычный 2 2 7 3 3 2" xfId="6011" xr:uid="{00000000-0005-0000-0000-0000EC110000}"/>
    <cellStyle name="Обычный 2 2 7 3 3 2 2" xfId="6012" xr:uid="{00000000-0005-0000-0000-0000ED110000}"/>
    <cellStyle name="Обычный 2 2 7 3 3 2 2 2" xfId="6013" xr:uid="{00000000-0005-0000-0000-0000EE110000}"/>
    <cellStyle name="Обычный 2 2 7 3 3 2 2 3" xfId="6014" xr:uid="{00000000-0005-0000-0000-0000EF110000}"/>
    <cellStyle name="Обычный 2 2 7 3 3 2 3" xfId="6015" xr:uid="{00000000-0005-0000-0000-0000F0110000}"/>
    <cellStyle name="Обычный 2 2 7 3 3 2 4" xfId="6016" xr:uid="{00000000-0005-0000-0000-0000F1110000}"/>
    <cellStyle name="Обычный 2 2 7 3 3 3" xfId="6017" xr:uid="{00000000-0005-0000-0000-0000F2110000}"/>
    <cellStyle name="Обычный 2 2 7 3 3 3 2" xfId="6018" xr:uid="{00000000-0005-0000-0000-0000F3110000}"/>
    <cellStyle name="Обычный 2 2 7 3 3 3 3" xfId="6019" xr:uid="{00000000-0005-0000-0000-0000F4110000}"/>
    <cellStyle name="Обычный 2 2 7 3 3 4" xfId="6020" xr:uid="{00000000-0005-0000-0000-0000F5110000}"/>
    <cellStyle name="Обычный 2 2 7 3 3 4 2" xfId="6021" xr:uid="{00000000-0005-0000-0000-0000F6110000}"/>
    <cellStyle name="Обычный 2 2 7 3 3 5" xfId="6022" xr:uid="{00000000-0005-0000-0000-0000F7110000}"/>
    <cellStyle name="Обычный 2 2 7 3 3 6" xfId="6023" xr:uid="{00000000-0005-0000-0000-0000F8110000}"/>
    <cellStyle name="Обычный 2 2 7 3 4" xfId="6024" xr:uid="{00000000-0005-0000-0000-0000F9110000}"/>
    <cellStyle name="Обычный 2 2 7 3 4 2" xfId="6025" xr:uid="{00000000-0005-0000-0000-0000FA110000}"/>
    <cellStyle name="Обычный 2 2 7 3 4 2 2" xfId="6026" xr:uid="{00000000-0005-0000-0000-0000FB110000}"/>
    <cellStyle name="Обычный 2 2 7 3 4 2 3" xfId="6027" xr:uid="{00000000-0005-0000-0000-0000FC110000}"/>
    <cellStyle name="Обычный 2 2 7 3 4 3" xfId="6028" xr:uid="{00000000-0005-0000-0000-0000FD110000}"/>
    <cellStyle name="Обычный 2 2 7 3 4 4" xfId="6029" xr:uid="{00000000-0005-0000-0000-0000FE110000}"/>
    <cellStyle name="Обычный 2 2 7 3 5" xfId="6030" xr:uid="{00000000-0005-0000-0000-0000FF110000}"/>
    <cellStyle name="Обычный 2 2 7 3 5 2" xfId="6031" xr:uid="{00000000-0005-0000-0000-000000120000}"/>
    <cellStyle name="Обычный 2 2 7 3 5 3" xfId="6032" xr:uid="{00000000-0005-0000-0000-000001120000}"/>
    <cellStyle name="Обычный 2 2 7 3 6" xfId="6033" xr:uid="{00000000-0005-0000-0000-000002120000}"/>
    <cellStyle name="Обычный 2 2 7 3 6 2" xfId="6034" xr:uid="{00000000-0005-0000-0000-000003120000}"/>
    <cellStyle name="Обычный 2 2 7 3 7" xfId="6035" xr:uid="{00000000-0005-0000-0000-000004120000}"/>
    <cellStyle name="Обычный 2 2 7 3 8" xfId="6036" xr:uid="{00000000-0005-0000-0000-000005120000}"/>
    <cellStyle name="Обычный 2 2 7 4" xfId="3544" xr:uid="{00000000-0005-0000-0000-000006120000}"/>
    <cellStyle name="Обычный 2 2 7 4 2" xfId="6037" xr:uid="{00000000-0005-0000-0000-000007120000}"/>
    <cellStyle name="Обычный 2 2 7 4 2 2" xfId="6038" xr:uid="{00000000-0005-0000-0000-000008120000}"/>
    <cellStyle name="Обычный 2 2 7 4 2 2 2" xfId="6039" xr:uid="{00000000-0005-0000-0000-000009120000}"/>
    <cellStyle name="Обычный 2 2 7 4 2 2 2 2" xfId="6040" xr:uid="{00000000-0005-0000-0000-00000A120000}"/>
    <cellStyle name="Обычный 2 2 7 4 2 2 2 3" xfId="6041" xr:uid="{00000000-0005-0000-0000-00000B120000}"/>
    <cellStyle name="Обычный 2 2 7 4 2 2 3" xfId="6042" xr:uid="{00000000-0005-0000-0000-00000C120000}"/>
    <cellStyle name="Обычный 2 2 7 4 2 2 4" xfId="6043" xr:uid="{00000000-0005-0000-0000-00000D120000}"/>
    <cellStyle name="Обычный 2 2 7 4 2 3" xfId="6044" xr:uid="{00000000-0005-0000-0000-00000E120000}"/>
    <cellStyle name="Обычный 2 2 7 4 2 3 2" xfId="6045" xr:uid="{00000000-0005-0000-0000-00000F120000}"/>
    <cellStyle name="Обычный 2 2 7 4 2 3 3" xfId="6046" xr:uid="{00000000-0005-0000-0000-000010120000}"/>
    <cellStyle name="Обычный 2 2 7 4 2 4" xfId="6047" xr:uid="{00000000-0005-0000-0000-000011120000}"/>
    <cellStyle name="Обычный 2 2 7 4 2 4 2" xfId="6048" xr:uid="{00000000-0005-0000-0000-000012120000}"/>
    <cellStyle name="Обычный 2 2 7 4 2 5" xfId="6049" xr:uid="{00000000-0005-0000-0000-000013120000}"/>
    <cellStyle name="Обычный 2 2 7 4 2 6" xfId="6050" xr:uid="{00000000-0005-0000-0000-000014120000}"/>
    <cellStyle name="Обычный 2 2 7 4 3" xfId="6051" xr:uid="{00000000-0005-0000-0000-000015120000}"/>
    <cellStyle name="Обычный 2 2 7 4 3 2" xfId="6052" xr:uid="{00000000-0005-0000-0000-000016120000}"/>
    <cellStyle name="Обычный 2 2 7 4 3 2 2" xfId="6053" xr:uid="{00000000-0005-0000-0000-000017120000}"/>
    <cellStyle name="Обычный 2 2 7 4 3 2 3" xfId="6054" xr:uid="{00000000-0005-0000-0000-000018120000}"/>
    <cellStyle name="Обычный 2 2 7 4 3 3" xfId="6055" xr:uid="{00000000-0005-0000-0000-000019120000}"/>
    <cellStyle name="Обычный 2 2 7 4 3 4" xfId="6056" xr:uid="{00000000-0005-0000-0000-00001A120000}"/>
    <cellStyle name="Обычный 2 2 7 4 4" xfId="6057" xr:uid="{00000000-0005-0000-0000-00001B120000}"/>
    <cellStyle name="Обычный 2 2 7 4 4 2" xfId="6058" xr:uid="{00000000-0005-0000-0000-00001C120000}"/>
    <cellStyle name="Обычный 2 2 7 4 4 3" xfId="6059" xr:uid="{00000000-0005-0000-0000-00001D120000}"/>
    <cellStyle name="Обычный 2 2 7 4 5" xfId="6060" xr:uid="{00000000-0005-0000-0000-00001E120000}"/>
    <cellStyle name="Обычный 2 2 7 4 5 2" xfId="6061" xr:uid="{00000000-0005-0000-0000-00001F120000}"/>
    <cellStyle name="Обычный 2 2 7 4 6" xfId="6062" xr:uid="{00000000-0005-0000-0000-000020120000}"/>
    <cellStyle name="Обычный 2 2 7 4 7" xfId="6063" xr:uid="{00000000-0005-0000-0000-000021120000}"/>
    <cellStyle name="Обычный 2 2 7 5" xfId="3545" xr:uid="{00000000-0005-0000-0000-000022120000}"/>
    <cellStyle name="Обычный 2 2 7 5 2" xfId="6064" xr:uid="{00000000-0005-0000-0000-000023120000}"/>
    <cellStyle name="Обычный 2 2 7 5 2 2" xfId="6065" xr:uid="{00000000-0005-0000-0000-000024120000}"/>
    <cellStyle name="Обычный 2 2 7 5 2 2 2" xfId="6066" xr:uid="{00000000-0005-0000-0000-000025120000}"/>
    <cellStyle name="Обычный 2 2 7 5 2 2 3" xfId="6067" xr:uid="{00000000-0005-0000-0000-000026120000}"/>
    <cellStyle name="Обычный 2 2 7 5 2 3" xfId="6068" xr:uid="{00000000-0005-0000-0000-000027120000}"/>
    <cellStyle name="Обычный 2 2 7 5 2 4" xfId="6069" xr:uid="{00000000-0005-0000-0000-000028120000}"/>
    <cellStyle name="Обычный 2 2 7 5 3" xfId="6070" xr:uid="{00000000-0005-0000-0000-000029120000}"/>
    <cellStyle name="Обычный 2 2 7 5 3 2" xfId="6071" xr:uid="{00000000-0005-0000-0000-00002A120000}"/>
    <cellStyle name="Обычный 2 2 7 5 3 3" xfId="6072" xr:uid="{00000000-0005-0000-0000-00002B120000}"/>
    <cellStyle name="Обычный 2 2 7 5 4" xfId="6073" xr:uid="{00000000-0005-0000-0000-00002C120000}"/>
    <cellStyle name="Обычный 2 2 7 5 4 2" xfId="6074" xr:uid="{00000000-0005-0000-0000-00002D120000}"/>
    <cellStyle name="Обычный 2 2 7 5 5" xfId="6075" xr:uid="{00000000-0005-0000-0000-00002E120000}"/>
    <cellStyle name="Обычный 2 2 7 5 6" xfId="6076" xr:uid="{00000000-0005-0000-0000-00002F120000}"/>
    <cellStyle name="Обычный 2 2 7 6" xfId="3546" xr:uid="{00000000-0005-0000-0000-000030120000}"/>
    <cellStyle name="Обычный 2 2 7 6 2" xfId="6077" xr:uid="{00000000-0005-0000-0000-000031120000}"/>
    <cellStyle name="Обычный 2 2 7 6 2 2" xfId="6078" xr:uid="{00000000-0005-0000-0000-000032120000}"/>
    <cellStyle name="Обычный 2 2 7 6 2 3" xfId="6079" xr:uid="{00000000-0005-0000-0000-000033120000}"/>
    <cellStyle name="Обычный 2 2 7 6 3" xfId="6080" xr:uid="{00000000-0005-0000-0000-000034120000}"/>
    <cellStyle name="Обычный 2 2 7 6 4" xfId="6081" xr:uid="{00000000-0005-0000-0000-000035120000}"/>
    <cellStyle name="Обычный 2 2 7 7" xfId="6082" xr:uid="{00000000-0005-0000-0000-000036120000}"/>
    <cellStyle name="Обычный 2 2 7 7 2" xfId="6083" xr:uid="{00000000-0005-0000-0000-000037120000}"/>
    <cellStyle name="Обычный 2 2 7 7 3" xfId="6084" xr:uid="{00000000-0005-0000-0000-000038120000}"/>
    <cellStyle name="Обычный 2 2 7 8" xfId="6085" xr:uid="{00000000-0005-0000-0000-000039120000}"/>
    <cellStyle name="Обычный 2 2 7 8 2" xfId="6086" xr:uid="{00000000-0005-0000-0000-00003A120000}"/>
    <cellStyle name="Обычный 2 2 7 9" xfId="6087" xr:uid="{00000000-0005-0000-0000-00003B120000}"/>
    <cellStyle name="Обычный 2 2 7_Свод гостин" xfId="3547" xr:uid="{00000000-0005-0000-0000-00003C120000}"/>
    <cellStyle name="Обычный 2 2 8" xfId="3548" xr:uid="{00000000-0005-0000-0000-00003D120000}"/>
    <cellStyle name="Обычный 2 2 8 2" xfId="3549" xr:uid="{00000000-0005-0000-0000-00003E120000}"/>
    <cellStyle name="Обычный 2 2 8 3" xfId="6088" xr:uid="{00000000-0005-0000-0000-00003F120000}"/>
    <cellStyle name="Обычный 2 2 8_Свод гостин" xfId="3550" xr:uid="{00000000-0005-0000-0000-000040120000}"/>
    <cellStyle name="Обычный 2 2 9" xfId="3551" xr:uid="{00000000-0005-0000-0000-000041120000}"/>
    <cellStyle name="Обычный 2 2 9 2" xfId="6089" xr:uid="{00000000-0005-0000-0000-000042120000}"/>
    <cellStyle name="Обычный 2 2_бюджет 2013 МБ" xfId="3552" xr:uid="{00000000-0005-0000-0000-000043120000}"/>
    <cellStyle name="Обычный 2 20" xfId="3553" xr:uid="{00000000-0005-0000-0000-000044120000}"/>
    <cellStyle name="Обычный 2 21" xfId="3554" xr:uid="{00000000-0005-0000-0000-000045120000}"/>
    <cellStyle name="Обычный 2 22" xfId="3555" xr:uid="{00000000-0005-0000-0000-000046120000}"/>
    <cellStyle name="Обычный 2 23" xfId="3556" xr:uid="{00000000-0005-0000-0000-000047120000}"/>
    <cellStyle name="Обычный 2 24" xfId="11663" xr:uid="{00000000-0005-0000-0000-000048120000}"/>
    <cellStyle name="Обычный 2 25" xfId="11666" xr:uid="{00000000-0005-0000-0000-000049120000}"/>
    <cellStyle name="Обычный 2 25 2" xfId="11668" xr:uid="{A6768BC7-82EF-41F8-AF55-D673A0A7BDB2}"/>
    <cellStyle name="Обычный 2 25 2 2" xfId="11675" xr:uid="{6B88CC34-D336-44B2-BE97-1600ACA364D9}"/>
    <cellStyle name="Обычный 2 3" xfId="3557" xr:uid="{00000000-0005-0000-0000-00004A120000}"/>
    <cellStyle name="Обычный 2 3 10" xfId="3558" xr:uid="{00000000-0005-0000-0000-00004B120000}"/>
    <cellStyle name="Обычный 2 3 2" xfId="3559" xr:uid="{00000000-0005-0000-0000-00004C120000}"/>
    <cellStyle name="Обычный 2 3 2 2" xfId="3560" xr:uid="{00000000-0005-0000-0000-00004D120000}"/>
    <cellStyle name="Обычный 2 3 2 3" xfId="3561" xr:uid="{00000000-0005-0000-0000-00004E120000}"/>
    <cellStyle name="Обычный 2 3 2 4" xfId="3562" xr:uid="{00000000-0005-0000-0000-00004F120000}"/>
    <cellStyle name="Обычный 2 3 2_Свод гостин" xfId="3563" xr:uid="{00000000-0005-0000-0000-000050120000}"/>
    <cellStyle name="Обычный 2 3 3" xfId="3564" xr:uid="{00000000-0005-0000-0000-000051120000}"/>
    <cellStyle name="Обычный 2 3 3 2" xfId="6090" xr:uid="{00000000-0005-0000-0000-000052120000}"/>
    <cellStyle name="Обычный 2 3 4" xfId="3565" xr:uid="{00000000-0005-0000-0000-000053120000}"/>
    <cellStyle name="Обычный 2 3 5" xfId="3566" xr:uid="{00000000-0005-0000-0000-000054120000}"/>
    <cellStyle name="Обычный 2 3 6" xfId="3567" xr:uid="{00000000-0005-0000-0000-000055120000}"/>
    <cellStyle name="Обычный 2 3 7" xfId="3568" xr:uid="{00000000-0005-0000-0000-000056120000}"/>
    <cellStyle name="Обычный 2 3 8" xfId="3569" xr:uid="{00000000-0005-0000-0000-000057120000}"/>
    <cellStyle name="Обычный 2 3 9" xfId="3570" xr:uid="{00000000-0005-0000-0000-000058120000}"/>
    <cellStyle name="Обычный 2 3_Свод гостин" xfId="3571" xr:uid="{00000000-0005-0000-0000-000059120000}"/>
    <cellStyle name="Обычный 2 4" xfId="3572" xr:uid="{00000000-0005-0000-0000-00005A120000}"/>
    <cellStyle name="Обычный 2 4 2" xfId="3573" xr:uid="{00000000-0005-0000-0000-00005B120000}"/>
    <cellStyle name="Обычный 2 4 3" xfId="3574" xr:uid="{00000000-0005-0000-0000-00005C120000}"/>
    <cellStyle name="Обычный 2 4 4" xfId="3575" xr:uid="{00000000-0005-0000-0000-00005D120000}"/>
    <cellStyle name="Обычный 2 4 5" xfId="3576" xr:uid="{00000000-0005-0000-0000-00005E120000}"/>
    <cellStyle name="Обычный 2 4_Свод гостин" xfId="3577" xr:uid="{00000000-0005-0000-0000-00005F120000}"/>
    <cellStyle name="Обычный 2 5" xfId="3578" xr:uid="{00000000-0005-0000-0000-000060120000}"/>
    <cellStyle name="Обычный 2 5 2" xfId="3579" xr:uid="{00000000-0005-0000-0000-000061120000}"/>
    <cellStyle name="Обычный 2 5 3" xfId="3580" xr:uid="{00000000-0005-0000-0000-000062120000}"/>
    <cellStyle name="Обычный 2 5 4" xfId="3581" xr:uid="{00000000-0005-0000-0000-000063120000}"/>
    <cellStyle name="Обычный 2 6" xfId="3582" xr:uid="{00000000-0005-0000-0000-000064120000}"/>
    <cellStyle name="Обычный 2 7" xfId="3583" xr:uid="{00000000-0005-0000-0000-000065120000}"/>
    <cellStyle name="Обычный 2 7 10" xfId="6091" xr:uid="{00000000-0005-0000-0000-000066120000}"/>
    <cellStyle name="Обычный 2 7 11" xfId="6092" xr:uid="{00000000-0005-0000-0000-000067120000}"/>
    <cellStyle name="Обычный 2 7 12" xfId="6093" xr:uid="{00000000-0005-0000-0000-000068120000}"/>
    <cellStyle name="Обычный 2 7 13" xfId="6094" xr:uid="{00000000-0005-0000-0000-000069120000}"/>
    <cellStyle name="Обычный 2 7 2" xfId="3584" xr:uid="{00000000-0005-0000-0000-00006A120000}"/>
    <cellStyle name="Обычный 2 7 3" xfId="3585" xr:uid="{00000000-0005-0000-0000-00006B120000}"/>
    <cellStyle name="Обычный 2 7 3 2" xfId="6095" xr:uid="{00000000-0005-0000-0000-00006C120000}"/>
    <cellStyle name="Обычный 2 7 3 2 2" xfId="6096" xr:uid="{00000000-0005-0000-0000-00006D120000}"/>
    <cellStyle name="Обычный 2 7 3 2 2 2" xfId="6097" xr:uid="{00000000-0005-0000-0000-00006E120000}"/>
    <cellStyle name="Обычный 2 7 3 2 2 2 2" xfId="6098" xr:uid="{00000000-0005-0000-0000-00006F120000}"/>
    <cellStyle name="Обычный 2 7 3 2 2 2 2 2" xfId="6099" xr:uid="{00000000-0005-0000-0000-000070120000}"/>
    <cellStyle name="Обычный 2 7 3 2 2 2 2 2 2" xfId="6100" xr:uid="{00000000-0005-0000-0000-000071120000}"/>
    <cellStyle name="Обычный 2 7 3 2 2 2 2 2 3" xfId="6101" xr:uid="{00000000-0005-0000-0000-000072120000}"/>
    <cellStyle name="Обычный 2 7 3 2 2 2 2 3" xfId="6102" xr:uid="{00000000-0005-0000-0000-000073120000}"/>
    <cellStyle name="Обычный 2 7 3 2 2 2 2 4" xfId="6103" xr:uid="{00000000-0005-0000-0000-000074120000}"/>
    <cellStyle name="Обычный 2 7 3 2 2 2 3" xfId="6104" xr:uid="{00000000-0005-0000-0000-000075120000}"/>
    <cellStyle name="Обычный 2 7 3 2 2 2 3 2" xfId="6105" xr:uid="{00000000-0005-0000-0000-000076120000}"/>
    <cellStyle name="Обычный 2 7 3 2 2 2 3 3" xfId="6106" xr:uid="{00000000-0005-0000-0000-000077120000}"/>
    <cellStyle name="Обычный 2 7 3 2 2 2 4" xfId="6107" xr:uid="{00000000-0005-0000-0000-000078120000}"/>
    <cellStyle name="Обычный 2 7 3 2 2 2 4 2" xfId="6108" xr:uid="{00000000-0005-0000-0000-000079120000}"/>
    <cellStyle name="Обычный 2 7 3 2 2 2 5" xfId="6109" xr:uid="{00000000-0005-0000-0000-00007A120000}"/>
    <cellStyle name="Обычный 2 7 3 2 2 2 6" xfId="6110" xr:uid="{00000000-0005-0000-0000-00007B120000}"/>
    <cellStyle name="Обычный 2 7 3 2 2 3" xfId="6111" xr:uid="{00000000-0005-0000-0000-00007C120000}"/>
    <cellStyle name="Обычный 2 7 3 2 2 3 2" xfId="6112" xr:uid="{00000000-0005-0000-0000-00007D120000}"/>
    <cellStyle name="Обычный 2 7 3 2 2 3 2 2" xfId="6113" xr:uid="{00000000-0005-0000-0000-00007E120000}"/>
    <cellStyle name="Обычный 2 7 3 2 2 3 2 3" xfId="6114" xr:uid="{00000000-0005-0000-0000-00007F120000}"/>
    <cellStyle name="Обычный 2 7 3 2 2 3 3" xfId="6115" xr:uid="{00000000-0005-0000-0000-000080120000}"/>
    <cellStyle name="Обычный 2 7 3 2 2 3 4" xfId="6116" xr:uid="{00000000-0005-0000-0000-000081120000}"/>
    <cellStyle name="Обычный 2 7 3 2 2 4" xfId="6117" xr:uid="{00000000-0005-0000-0000-000082120000}"/>
    <cellStyle name="Обычный 2 7 3 2 2 4 2" xfId="6118" xr:uid="{00000000-0005-0000-0000-000083120000}"/>
    <cellStyle name="Обычный 2 7 3 2 2 4 3" xfId="6119" xr:uid="{00000000-0005-0000-0000-000084120000}"/>
    <cellStyle name="Обычный 2 7 3 2 2 5" xfId="6120" xr:uid="{00000000-0005-0000-0000-000085120000}"/>
    <cellStyle name="Обычный 2 7 3 2 2 5 2" xfId="6121" xr:uid="{00000000-0005-0000-0000-000086120000}"/>
    <cellStyle name="Обычный 2 7 3 2 2 6" xfId="6122" xr:uid="{00000000-0005-0000-0000-000087120000}"/>
    <cellStyle name="Обычный 2 7 3 2 2 7" xfId="6123" xr:uid="{00000000-0005-0000-0000-000088120000}"/>
    <cellStyle name="Обычный 2 7 3 2 3" xfId="6124" xr:uid="{00000000-0005-0000-0000-000089120000}"/>
    <cellStyle name="Обычный 2 7 3 2 3 2" xfId="6125" xr:uid="{00000000-0005-0000-0000-00008A120000}"/>
    <cellStyle name="Обычный 2 7 3 2 3 2 2" xfId="6126" xr:uid="{00000000-0005-0000-0000-00008B120000}"/>
    <cellStyle name="Обычный 2 7 3 2 3 2 2 2" xfId="6127" xr:uid="{00000000-0005-0000-0000-00008C120000}"/>
    <cellStyle name="Обычный 2 7 3 2 3 2 2 3" xfId="6128" xr:uid="{00000000-0005-0000-0000-00008D120000}"/>
    <cellStyle name="Обычный 2 7 3 2 3 2 3" xfId="6129" xr:uid="{00000000-0005-0000-0000-00008E120000}"/>
    <cellStyle name="Обычный 2 7 3 2 3 2 4" xfId="6130" xr:uid="{00000000-0005-0000-0000-00008F120000}"/>
    <cellStyle name="Обычный 2 7 3 2 3 3" xfId="6131" xr:uid="{00000000-0005-0000-0000-000090120000}"/>
    <cellStyle name="Обычный 2 7 3 2 3 3 2" xfId="6132" xr:uid="{00000000-0005-0000-0000-000091120000}"/>
    <cellStyle name="Обычный 2 7 3 2 3 3 3" xfId="6133" xr:uid="{00000000-0005-0000-0000-000092120000}"/>
    <cellStyle name="Обычный 2 7 3 2 3 4" xfId="6134" xr:uid="{00000000-0005-0000-0000-000093120000}"/>
    <cellStyle name="Обычный 2 7 3 2 3 4 2" xfId="6135" xr:uid="{00000000-0005-0000-0000-000094120000}"/>
    <cellStyle name="Обычный 2 7 3 2 3 5" xfId="6136" xr:uid="{00000000-0005-0000-0000-000095120000}"/>
    <cellStyle name="Обычный 2 7 3 2 3 6" xfId="6137" xr:uid="{00000000-0005-0000-0000-000096120000}"/>
    <cellStyle name="Обычный 2 7 3 2 4" xfId="6138" xr:uid="{00000000-0005-0000-0000-000097120000}"/>
    <cellStyle name="Обычный 2 7 3 2 4 2" xfId="6139" xr:uid="{00000000-0005-0000-0000-000098120000}"/>
    <cellStyle name="Обычный 2 7 3 2 4 2 2" xfId="6140" xr:uid="{00000000-0005-0000-0000-000099120000}"/>
    <cellStyle name="Обычный 2 7 3 2 4 2 3" xfId="6141" xr:uid="{00000000-0005-0000-0000-00009A120000}"/>
    <cellStyle name="Обычный 2 7 3 2 4 3" xfId="6142" xr:uid="{00000000-0005-0000-0000-00009B120000}"/>
    <cellStyle name="Обычный 2 7 3 2 4 4" xfId="6143" xr:uid="{00000000-0005-0000-0000-00009C120000}"/>
    <cellStyle name="Обычный 2 7 3 2 5" xfId="6144" xr:uid="{00000000-0005-0000-0000-00009D120000}"/>
    <cellStyle name="Обычный 2 7 3 2 5 2" xfId="6145" xr:uid="{00000000-0005-0000-0000-00009E120000}"/>
    <cellStyle name="Обычный 2 7 3 2 5 3" xfId="6146" xr:uid="{00000000-0005-0000-0000-00009F120000}"/>
    <cellStyle name="Обычный 2 7 3 2 6" xfId="6147" xr:uid="{00000000-0005-0000-0000-0000A0120000}"/>
    <cellStyle name="Обычный 2 7 3 2 6 2" xfId="6148" xr:uid="{00000000-0005-0000-0000-0000A1120000}"/>
    <cellStyle name="Обычный 2 7 3 2 7" xfId="6149" xr:uid="{00000000-0005-0000-0000-0000A2120000}"/>
    <cellStyle name="Обычный 2 7 3 2 8" xfId="6150" xr:uid="{00000000-0005-0000-0000-0000A3120000}"/>
    <cellStyle name="Обычный 2 7 3 3" xfId="6151" xr:uid="{00000000-0005-0000-0000-0000A4120000}"/>
    <cellStyle name="Обычный 2 7 3 3 2" xfId="6152" xr:uid="{00000000-0005-0000-0000-0000A5120000}"/>
    <cellStyle name="Обычный 2 7 3 3 2 2" xfId="6153" xr:uid="{00000000-0005-0000-0000-0000A6120000}"/>
    <cellStyle name="Обычный 2 7 3 3 2 2 2" xfId="6154" xr:uid="{00000000-0005-0000-0000-0000A7120000}"/>
    <cellStyle name="Обычный 2 7 3 3 2 2 2 2" xfId="6155" xr:uid="{00000000-0005-0000-0000-0000A8120000}"/>
    <cellStyle name="Обычный 2 7 3 3 2 2 2 3" xfId="6156" xr:uid="{00000000-0005-0000-0000-0000A9120000}"/>
    <cellStyle name="Обычный 2 7 3 3 2 2 3" xfId="6157" xr:uid="{00000000-0005-0000-0000-0000AA120000}"/>
    <cellStyle name="Обычный 2 7 3 3 2 2 4" xfId="6158" xr:uid="{00000000-0005-0000-0000-0000AB120000}"/>
    <cellStyle name="Обычный 2 7 3 3 2 3" xfId="6159" xr:uid="{00000000-0005-0000-0000-0000AC120000}"/>
    <cellStyle name="Обычный 2 7 3 3 2 3 2" xfId="6160" xr:uid="{00000000-0005-0000-0000-0000AD120000}"/>
    <cellStyle name="Обычный 2 7 3 3 2 3 3" xfId="6161" xr:uid="{00000000-0005-0000-0000-0000AE120000}"/>
    <cellStyle name="Обычный 2 7 3 3 2 4" xfId="6162" xr:uid="{00000000-0005-0000-0000-0000AF120000}"/>
    <cellStyle name="Обычный 2 7 3 3 2 4 2" xfId="6163" xr:uid="{00000000-0005-0000-0000-0000B0120000}"/>
    <cellStyle name="Обычный 2 7 3 3 2 5" xfId="6164" xr:uid="{00000000-0005-0000-0000-0000B1120000}"/>
    <cellStyle name="Обычный 2 7 3 3 2 6" xfId="6165" xr:uid="{00000000-0005-0000-0000-0000B2120000}"/>
    <cellStyle name="Обычный 2 7 3 3 3" xfId="6166" xr:uid="{00000000-0005-0000-0000-0000B3120000}"/>
    <cellStyle name="Обычный 2 7 3 3 3 2" xfId="6167" xr:uid="{00000000-0005-0000-0000-0000B4120000}"/>
    <cellStyle name="Обычный 2 7 3 3 3 2 2" xfId="6168" xr:uid="{00000000-0005-0000-0000-0000B5120000}"/>
    <cellStyle name="Обычный 2 7 3 3 3 2 3" xfId="6169" xr:uid="{00000000-0005-0000-0000-0000B6120000}"/>
    <cellStyle name="Обычный 2 7 3 3 3 3" xfId="6170" xr:uid="{00000000-0005-0000-0000-0000B7120000}"/>
    <cellStyle name="Обычный 2 7 3 3 3 4" xfId="6171" xr:uid="{00000000-0005-0000-0000-0000B8120000}"/>
    <cellStyle name="Обычный 2 7 3 3 4" xfId="6172" xr:uid="{00000000-0005-0000-0000-0000B9120000}"/>
    <cellStyle name="Обычный 2 7 3 3 4 2" xfId="6173" xr:uid="{00000000-0005-0000-0000-0000BA120000}"/>
    <cellStyle name="Обычный 2 7 3 3 4 3" xfId="6174" xr:uid="{00000000-0005-0000-0000-0000BB120000}"/>
    <cellStyle name="Обычный 2 7 3 3 5" xfId="6175" xr:uid="{00000000-0005-0000-0000-0000BC120000}"/>
    <cellStyle name="Обычный 2 7 3 3 5 2" xfId="6176" xr:uid="{00000000-0005-0000-0000-0000BD120000}"/>
    <cellStyle name="Обычный 2 7 3 3 6" xfId="6177" xr:uid="{00000000-0005-0000-0000-0000BE120000}"/>
    <cellStyle name="Обычный 2 7 3 3 7" xfId="6178" xr:uid="{00000000-0005-0000-0000-0000BF120000}"/>
    <cellStyle name="Обычный 2 7 3 4" xfId="6179" xr:uid="{00000000-0005-0000-0000-0000C0120000}"/>
    <cellStyle name="Обычный 2 7 3 4 2" xfId="6180" xr:uid="{00000000-0005-0000-0000-0000C1120000}"/>
    <cellStyle name="Обычный 2 7 3 4 2 2" xfId="6181" xr:uid="{00000000-0005-0000-0000-0000C2120000}"/>
    <cellStyle name="Обычный 2 7 3 4 2 2 2" xfId="6182" xr:uid="{00000000-0005-0000-0000-0000C3120000}"/>
    <cellStyle name="Обычный 2 7 3 4 2 2 3" xfId="6183" xr:uid="{00000000-0005-0000-0000-0000C4120000}"/>
    <cellStyle name="Обычный 2 7 3 4 2 3" xfId="6184" xr:uid="{00000000-0005-0000-0000-0000C5120000}"/>
    <cellStyle name="Обычный 2 7 3 4 2 4" xfId="6185" xr:uid="{00000000-0005-0000-0000-0000C6120000}"/>
    <cellStyle name="Обычный 2 7 3 4 3" xfId="6186" xr:uid="{00000000-0005-0000-0000-0000C7120000}"/>
    <cellStyle name="Обычный 2 7 3 4 3 2" xfId="6187" xr:uid="{00000000-0005-0000-0000-0000C8120000}"/>
    <cellStyle name="Обычный 2 7 3 4 3 3" xfId="6188" xr:uid="{00000000-0005-0000-0000-0000C9120000}"/>
    <cellStyle name="Обычный 2 7 3 4 4" xfId="6189" xr:uid="{00000000-0005-0000-0000-0000CA120000}"/>
    <cellStyle name="Обычный 2 7 3 4 4 2" xfId="6190" xr:uid="{00000000-0005-0000-0000-0000CB120000}"/>
    <cellStyle name="Обычный 2 7 3 4 5" xfId="6191" xr:uid="{00000000-0005-0000-0000-0000CC120000}"/>
    <cellStyle name="Обычный 2 7 3 4 6" xfId="6192" xr:uid="{00000000-0005-0000-0000-0000CD120000}"/>
    <cellStyle name="Обычный 2 7 3 5" xfId="6193" xr:uid="{00000000-0005-0000-0000-0000CE120000}"/>
    <cellStyle name="Обычный 2 7 3 5 2" xfId="6194" xr:uid="{00000000-0005-0000-0000-0000CF120000}"/>
    <cellStyle name="Обычный 2 7 3 5 2 2" xfId="6195" xr:uid="{00000000-0005-0000-0000-0000D0120000}"/>
    <cellStyle name="Обычный 2 7 3 5 2 3" xfId="6196" xr:uid="{00000000-0005-0000-0000-0000D1120000}"/>
    <cellStyle name="Обычный 2 7 3 5 3" xfId="6197" xr:uid="{00000000-0005-0000-0000-0000D2120000}"/>
    <cellStyle name="Обычный 2 7 3 5 4" xfId="6198" xr:uid="{00000000-0005-0000-0000-0000D3120000}"/>
    <cellStyle name="Обычный 2 7 3 6" xfId="6199" xr:uid="{00000000-0005-0000-0000-0000D4120000}"/>
    <cellStyle name="Обычный 2 7 3 6 2" xfId="6200" xr:uid="{00000000-0005-0000-0000-0000D5120000}"/>
    <cellStyle name="Обычный 2 7 3 6 3" xfId="6201" xr:uid="{00000000-0005-0000-0000-0000D6120000}"/>
    <cellStyle name="Обычный 2 7 3 7" xfId="6202" xr:uid="{00000000-0005-0000-0000-0000D7120000}"/>
    <cellStyle name="Обычный 2 7 3 7 2" xfId="6203" xr:uid="{00000000-0005-0000-0000-0000D8120000}"/>
    <cellStyle name="Обычный 2 7 3 8" xfId="6204" xr:uid="{00000000-0005-0000-0000-0000D9120000}"/>
    <cellStyle name="Обычный 2 7 3 9" xfId="6205" xr:uid="{00000000-0005-0000-0000-0000DA120000}"/>
    <cellStyle name="Обычный 2 7 4" xfId="6206" xr:uid="{00000000-0005-0000-0000-0000DB120000}"/>
    <cellStyle name="Обычный 2 7 4 2" xfId="6207" xr:uid="{00000000-0005-0000-0000-0000DC120000}"/>
    <cellStyle name="Обычный 2 7 4 2 2" xfId="6208" xr:uid="{00000000-0005-0000-0000-0000DD120000}"/>
    <cellStyle name="Обычный 2 7 4 2 2 2" xfId="6209" xr:uid="{00000000-0005-0000-0000-0000DE120000}"/>
    <cellStyle name="Обычный 2 7 4 2 2 2 2" xfId="6210" xr:uid="{00000000-0005-0000-0000-0000DF120000}"/>
    <cellStyle name="Обычный 2 7 4 2 2 2 2 2" xfId="6211" xr:uid="{00000000-0005-0000-0000-0000E0120000}"/>
    <cellStyle name="Обычный 2 7 4 2 2 2 2 3" xfId="6212" xr:uid="{00000000-0005-0000-0000-0000E1120000}"/>
    <cellStyle name="Обычный 2 7 4 2 2 2 3" xfId="6213" xr:uid="{00000000-0005-0000-0000-0000E2120000}"/>
    <cellStyle name="Обычный 2 7 4 2 2 2 4" xfId="6214" xr:uid="{00000000-0005-0000-0000-0000E3120000}"/>
    <cellStyle name="Обычный 2 7 4 2 2 3" xfId="6215" xr:uid="{00000000-0005-0000-0000-0000E4120000}"/>
    <cellStyle name="Обычный 2 7 4 2 2 3 2" xfId="6216" xr:uid="{00000000-0005-0000-0000-0000E5120000}"/>
    <cellStyle name="Обычный 2 7 4 2 2 3 3" xfId="6217" xr:uid="{00000000-0005-0000-0000-0000E6120000}"/>
    <cellStyle name="Обычный 2 7 4 2 2 4" xfId="6218" xr:uid="{00000000-0005-0000-0000-0000E7120000}"/>
    <cellStyle name="Обычный 2 7 4 2 2 4 2" xfId="6219" xr:uid="{00000000-0005-0000-0000-0000E8120000}"/>
    <cellStyle name="Обычный 2 7 4 2 2 5" xfId="6220" xr:uid="{00000000-0005-0000-0000-0000E9120000}"/>
    <cellStyle name="Обычный 2 7 4 2 2 6" xfId="6221" xr:uid="{00000000-0005-0000-0000-0000EA120000}"/>
    <cellStyle name="Обычный 2 7 4 2 3" xfId="6222" xr:uid="{00000000-0005-0000-0000-0000EB120000}"/>
    <cellStyle name="Обычный 2 7 4 2 3 2" xfId="6223" xr:uid="{00000000-0005-0000-0000-0000EC120000}"/>
    <cellStyle name="Обычный 2 7 4 2 3 2 2" xfId="6224" xr:uid="{00000000-0005-0000-0000-0000ED120000}"/>
    <cellStyle name="Обычный 2 7 4 2 3 2 3" xfId="6225" xr:uid="{00000000-0005-0000-0000-0000EE120000}"/>
    <cellStyle name="Обычный 2 7 4 2 3 3" xfId="6226" xr:uid="{00000000-0005-0000-0000-0000EF120000}"/>
    <cellStyle name="Обычный 2 7 4 2 3 4" xfId="6227" xr:uid="{00000000-0005-0000-0000-0000F0120000}"/>
    <cellStyle name="Обычный 2 7 4 2 4" xfId="6228" xr:uid="{00000000-0005-0000-0000-0000F1120000}"/>
    <cellStyle name="Обычный 2 7 4 2 4 2" xfId="6229" xr:uid="{00000000-0005-0000-0000-0000F2120000}"/>
    <cellStyle name="Обычный 2 7 4 2 4 3" xfId="6230" xr:uid="{00000000-0005-0000-0000-0000F3120000}"/>
    <cellStyle name="Обычный 2 7 4 2 5" xfId="6231" xr:uid="{00000000-0005-0000-0000-0000F4120000}"/>
    <cellStyle name="Обычный 2 7 4 2 5 2" xfId="6232" xr:uid="{00000000-0005-0000-0000-0000F5120000}"/>
    <cellStyle name="Обычный 2 7 4 2 6" xfId="6233" xr:uid="{00000000-0005-0000-0000-0000F6120000}"/>
    <cellStyle name="Обычный 2 7 4 2 7" xfId="6234" xr:uid="{00000000-0005-0000-0000-0000F7120000}"/>
    <cellStyle name="Обычный 2 7 4 3" xfId="6235" xr:uid="{00000000-0005-0000-0000-0000F8120000}"/>
    <cellStyle name="Обычный 2 7 4 3 2" xfId="6236" xr:uid="{00000000-0005-0000-0000-0000F9120000}"/>
    <cellStyle name="Обычный 2 7 4 3 2 2" xfId="6237" xr:uid="{00000000-0005-0000-0000-0000FA120000}"/>
    <cellStyle name="Обычный 2 7 4 3 2 2 2" xfId="6238" xr:uid="{00000000-0005-0000-0000-0000FB120000}"/>
    <cellStyle name="Обычный 2 7 4 3 2 2 3" xfId="6239" xr:uid="{00000000-0005-0000-0000-0000FC120000}"/>
    <cellStyle name="Обычный 2 7 4 3 2 3" xfId="6240" xr:uid="{00000000-0005-0000-0000-0000FD120000}"/>
    <cellStyle name="Обычный 2 7 4 3 2 4" xfId="6241" xr:uid="{00000000-0005-0000-0000-0000FE120000}"/>
    <cellStyle name="Обычный 2 7 4 3 3" xfId="6242" xr:uid="{00000000-0005-0000-0000-0000FF120000}"/>
    <cellStyle name="Обычный 2 7 4 3 3 2" xfId="6243" xr:uid="{00000000-0005-0000-0000-000000130000}"/>
    <cellStyle name="Обычный 2 7 4 3 3 3" xfId="6244" xr:uid="{00000000-0005-0000-0000-000001130000}"/>
    <cellStyle name="Обычный 2 7 4 3 4" xfId="6245" xr:uid="{00000000-0005-0000-0000-000002130000}"/>
    <cellStyle name="Обычный 2 7 4 3 4 2" xfId="6246" xr:uid="{00000000-0005-0000-0000-000003130000}"/>
    <cellStyle name="Обычный 2 7 4 3 5" xfId="6247" xr:uid="{00000000-0005-0000-0000-000004130000}"/>
    <cellStyle name="Обычный 2 7 4 3 6" xfId="6248" xr:uid="{00000000-0005-0000-0000-000005130000}"/>
    <cellStyle name="Обычный 2 7 4 4" xfId="6249" xr:uid="{00000000-0005-0000-0000-000006130000}"/>
    <cellStyle name="Обычный 2 7 4 4 2" xfId="6250" xr:uid="{00000000-0005-0000-0000-000007130000}"/>
    <cellStyle name="Обычный 2 7 4 4 2 2" xfId="6251" xr:uid="{00000000-0005-0000-0000-000008130000}"/>
    <cellStyle name="Обычный 2 7 4 4 2 3" xfId="6252" xr:uid="{00000000-0005-0000-0000-000009130000}"/>
    <cellStyle name="Обычный 2 7 4 4 3" xfId="6253" xr:uid="{00000000-0005-0000-0000-00000A130000}"/>
    <cellStyle name="Обычный 2 7 4 4 4" xfId="6254" xr:uid="{00000000-0005-0000-0000-00000B130000}"/>
    <cellStyle name="Обычный 2 7 4 5" xfId="6255" xr:uid="{00000000-0005-0000-0000-00000C130000}"/>
    <cellStyle name="Обычный 2 7 4 5 2" xfId="6256" xr:uid="{00000000-0005-0000-0000-00000D130000}"/>
    <cellStyle name="Обычный 2 7 4 5 3" xfId="6257" xr:uid="{00000000-0005-0000-0000-00000E130000}"/>
    <cellStyle name="Обычный 2 7 4 6" xfId="6258" xr:uid="{00000000-0005-0000-0000-00000F130000}"/>
    <cellStyle name="Обычный 2 7 4 6 2" xfId="6259" xr:uid="{00000000-0005-0000-0000-000010130000}"/>
    <cellStyle name="Обычный 2 7 4 7" xfId="6260" xr:uid="{00000000-0005-0000-0000-000011130000}"/>
    <cellStyle name="Обычный 2 7 4 8" xfId="6261" xr:uid="{00000000-0005-0000-0000-000012130000}"/>
    <cellStyle name="Обычный 2 7 5" xfId="6262" xr:uid="{00000000-0005-0000-0000-000013130000}"/>
    <cellStyle name="Обычный 2 7 5 2" xfId="6263" xr:uid="{00000000-0005-0000-0000-000014130000}"/>
    <cellStyle name="Обычный 2 7 5 2 2" xfId="6264" xr:uid="{00000000-0005-0000-0000-000015130000}"/>
    <cellStyle name="Обычный 2 7 5 2 2 2" xfId="6265" xr:uid="{00000000-0005-0000-0000-000016130000}"/>
    <cellStyle name="Обычный 2 7 5 2 2 2 2" xfId="6266" xr:uid="{00000000-0005-0000-0000-000017130000}"/>
    <cellStyle name="Обычный 2 7 5 2 2 2 3" xfId="6267" xr:uid="{00000000-0005-0000-0000-000018130000}"/>
    <cellStyle name="Обычный 2 7 5 2 2 3" xfId="6268" xr:uid="{00000000-0005-0000-0000-000019130000}"/>
    <cellStyle name="Обычный 2 7 5 2 2 4" xfId="6269" xr:uid="{00000000-0005-0000-0000-00001A130000}"/>
    <cellStyle name="Обычный 2 7 5 2 3" xfId="6270" xr:uid="{00000000-0005-0000-0000-00001B130000}"/>
    <cellStyle name="Обычный 2 7 5 2 3 2" xfId="6271" xr:uid="{00000000-0005-0000-0000-00001C130000}"/>
    <cellStyle name="Обычный 2 7 5 2 3 3" xfId="6272" xr:uid="{00000000-0005-0000-0000-00001D130000}"/>
    <cellStyle name="Обычный 2 7 5 2 4" xfId="6273" xr:uid="{00000000-0005-0000-0000-00001E130000}"/>
    <cellStyle name="Обычный 2 7 5 2 4 2" xfId="6274" xr:uid="{00000000-0005-0000-0000-00001F130000}"/>
    <cellStyle name="Обычный 2 7 5 2 5" xfId="6275" xr:uid="{00000000-0005-0000-0000-000020130000}"/>
    <cellStyle name="Обычный 2 7 5 2 6" xfId="6276" xr:uid="{00000000-0005-0000-0000-000021130000}"/>
    <cellStyle name="Обычный 2 7 5 3" xfId="6277" xr:uid="{00000000-0005-0000-0000-000022130000}"/>
    <cellStyle name="Обычный 2 7 5 3 2" xfId="6278" xr:uid="{00000000-0005-0000-0000-000023130000}"/>
    <cellStyle name="Обычный 2 7 5 3 2 2" xfId="6279" xr:uid="{00000000-0005-0000-0000-000024130000}"/>
    <cellStyle name="Обычный 2 7 5 3 2 3" xfId="6280" xr:uid="{00000000-0005-0000-0000-000025130000}"/>
    <cellStyle name="Обычный 2 7 5 3 3" xfId="6281" xr:uid="{00000000-0005-0000-0000-000026130000}"/>
    <cellStyle name="Обычный 2 7 5 3 4" xfId="6282" xr:uid="{00000000-0005-0000-0000-000027130000}"/>
    <cellStyle name="Обычный 2 7 5 4" xfId="6283" xr:uid="{00000000-0005-0000-0000-000028130000}"/>
    <cellStyle name="Обычный 2 7 5 4 2" xfId="6284" xr:uid="{00000000-0005-0000-0000-000029130000}"/>
    <cellStyle name="Обычный 2 7 5 4 3" xfId="6285" xr:uid="{00000000-0005-0000-0000-00002A130000}"/>
    <cellStyle name="Обычный 2 7 5 5" xfId="6286" xr:uid="{00000000-0005-0000-0000-00002B130000}"/>
    <cellStyle name="Обычный 2 7 5 5 2" xfId="6287" xr:uid="{00000000-0005-0000-0000-00002C130000}"/>
    <cellStyle name="Обычный 2 7 5 6" xfId="6288" xr:uid="{00000000-0005-0000-0000-00002D130000}"/>
    <cellStyle name="Обычный 2 7 5 7" xfId="6289" xr:uid="{00000000-0005-0000-0000-00002E130000}"/>
    <cellStyle name="Обычный 2 7 6" xfId="6290" xr:uid="{00000000-0005-0000-0000-00002F130000}"/>
    <cellStyle name="Обычный 2 7 6 2" xfId="6291" xr:uid="{00000000-0005-0000-0000-000030130000}"/>
    <cellStyle name="Обычный 2 7 6 2 2" xfId="6292" xr:uid="{00000000-0005-0000-0000-000031130000}"/>
    <cellStyle name="Обычный 2 7 6 2 2 2" xfId="6293" xr:uid="{00000000-0005-0000-0000-000032130000}"/>
    <cellStyle name="Обычный 2 7 6 2 2 3" xfId="6294" xr:uid="{00000000-0005-0000-0000-000033130000}"/>
    <cellStyle name="Обычный 2 7 6 2 3" xfId="6295" xr:uid="{00000000-0005-0000-0000-000034130000}"/>
    <cellStyle name="Обычный 2 7 6 2 4" xfId="6296" xr:uid="{00000000-0005-0000-0000-000035130000}"/>
    <cellStyle name="Обычный 2 7 6 3" xfId="6297" xr:uid="{00000000-0005-0000-0000-000036130000}"/>
    <cellStyle name="Обычный 2 7 6 3 2" xfId="6298" xr:uid="{00000000-0005-0000-0000-000037130000}"/>
    <cellStyle name="Обычный 2 7 6 3 3" xfId="6299" xr:uid="{00000000-0005-0000-0000-000038130000}"/>
    <cellStyle name="Обычный 2 7 6 4" xfId="6300" xr:uid="{00000000-0005-0000-0000-000039130000}"/>
    <cellStyle name="Обычный 2 7 6 4 2" xfId="6301" xr:uid="{00000000-0005-0000-0000-00003A130000}"/>
    <cellStyle name="Обычный 2 7 6 5" xfId="6302" xr:uid="{00000000-0005-0000-0000-00003B130000}"/>
    <cellStyle name="Обычный 2 7 6 6" xfId="6303" xr:uid="{00000000-0005-0000-0000-00003C130000}"/>
    <cellStyle name="Обычный 2 7 7" xfId="6304" xr:uid="{00000000-0005-0000-0000-00003D130000}"/>
    <cellStyle name="Обычный 2 7 7 2" xfId="6305" xr:uid="{00000000-0005-0000-0000-00003E130000}"/>
    <cellStyle name="Обычный 2 7 7 2 2" xfId="6306" xr:uid="{00000000-0005-0000-0000-00003F130000}"/>
    <cellStyle name="Обычный 2 7 7 2 3" xfId="6307" xr:uid="{00000000-0005-0000-0000-000040130000}"/>
    <cellStyle name="Обычный 2 7 7 3" xfId="6308" xr:uid="{00000000-0005-0000-0000-000041130000}"/>
    <cellStyle name="Обычный 2 7 7 4" xfId="6309" xr:uid="{00000000-0005-0000-0000-000042130000}"/>
    <cellStyle name="Обычный 2 7 8" xfId="6310" xr:uid="{00000000-0005-0000-0000-000043130000}"/>
    <cellStyle name="Обычный 2 7 8 2" xfId="6311" xr:uid="{00000000-0005-0000-0000-000044130000}"/>
    <cellStyle name="Обычный 2 7 8 3" xfId="6312" xr:uid="{00000000-0005-0000-0000-000045130000}"/>
    <cellStyle name="Обычный 2 7 9" xfId="6313" xr:uid="{00000000-0005-0000-0000-000046130000}"/>
    <cellStyle name="Обычный 2 7 9 2" xfId="6314" xr:uid="{00000000-0005-0000-0000-000047130000}"/>
    <cellStyle name="Обычный 2 8" xfId="3586" xr:uid="{00000000-0005-0000-0000-000048130000}"/>
    <cellStyle name="Обычный 2 8 2" xfId="3587" xr:uid="{00000000-0005-0000-0000-000049130000}"/>
    <cellStyle name="Обычный 2 8 2 2" xfId="6315" xr:uid="{00000000-0005-0000-0000-00004A130000}"/>
    <cellStyle name="Обычный 2 8 3" xfId="3588" xr:uid="{00000000-0005-0000-0000-00004B130000}"/>
    <cellStyle name="Обычный 2 8 4" xfId="6316" xr:uid="{00000000-0005-0000-0000-00004C130000}"/>
    <cellStyle name="Обычный 2 8_Свод гостин" xfId="3589" xr:uid="{00000000-0005-0000-0000-00004D130000}"/>
    <cellStyle name="Обычный 2 9" xfId="3590" xr:uid="{00000000-0005-0000-0000-00004E130000}"/>
    <cellStyle name="Обычный 2 9 2" xfId="3591" xr:uid="{00000000-0005-0000-0000-00004F130000}"/>
    <cellStyle name="Обычный 2_Свод гостин" xfId="3592" xr:uid="{00000000-0005-0000-0000-000050130000}"/>
    <cellStyle name="Обычный 20" xfId="3593" xr:uid="{00000000-0005-0000-0000-000051130000}"/>
    <cellStyle name="Обычный 20 2" xfId="3594" xr:uid="{00000000-0005-0000-0000-000052130000}"/>
    <cellStyle name="Обычный 20 2 2" xfId="3595" xr:uid="{00000000-0005-0000-0000-000053130000}"/>
    <cellStyle name="Обычный 20 3" xfId="6317" xr:uid="{00000000-0005-0000-0000-000054130000}"/>
    <cellStyle name="Обычный 20_Свод гостин" xfId="3596" xr:uid="{00000000-0005-0000-0000-000055130000}"/>
    <cellStyle name="Обычный 21" xfId="3597" xr:uid="{00000000-0005-0000-0000-000056130000}"/>
    <cellStyle name="Обычный 21 2" xfId="3598" xr:uid="{00000000-0005-0000-0000-000057130000}"/>
    <cellStyle name="Обычный 21 2 2" xfId="3599" xr:uid="{00000000-0005-0000-0000-000058130000}"/>
    <cellStyle name="Обычный 21 3" xfId="6318" xr:uid="{00000000-0005-0000-0000-000059130000}"/>
    <cellStyle name="Обычный 21_Свод гостин" xfId="3600" xr:uid="{00000000-0005-0000-0000-00005A130000}"/>
    <cellStyle name="Обычный 22" xfId="3601" xr:uid="{00000000-0005-0000-0000-00005B130000}"/>
    <cellStyle name="Обычный 22 2" xfId="3602" xr:uid="{00000000-0005-0000-0000-00005C130000}"/>
    <cellStyle name="Обычный 22 2 2" xfId="3603" xr:uid="{00000000-0005-0000-0000-00005D130000}"/>
    <cellStyle name="Обычный 22 3" xfId="6319" xr:uid="{00000000-0005-0000-0000-00005E130000}"/>
    <cellStyle name="Обычный 22_Свод гостин" xfId="3604" xr:uid="{00000000-0005-0000-0000-00005F130000}"/>
    <cellStyle name="Обычный 23" xfId="3605" xr:uid="{00000000-0005-0000-0000-000060130000}"/>
    <cellStyle name="Обычный 23 2" xfId="3606" xr:uid="{00000000-0005-0000-0000-000061130000}"/>
    <cellStyle name="Обычный 23 2 2" xfId="3607" xr:uid="{00000000-0005-0000-0000-000062130000}"/>
    <cellStyle name="Обычный 23 3" xfId="6320" xr:uid="{00000000-0005-0000-0000-000063130000}"/>
    <cellStyle name="Обычный 23_Свод гостин" xfId="3608" xr:uid="{00000000-0005-0000-0000-000064130000}"/>
    <cellStyle name="Обычный 24" xfId="3609" xr:uid="{00000000-0005-0000-0000-000065130000}"/>
    <cellStyle name="Обычный 24 2" xfId="3610" xr:uid="{00000000-0005-0000-0000-000066130000}"/>
    <cellStyle name="Обычный 24 2 2" xfId="3611" xr:uid="{00000000-0005-0000-0000-000067130000}"/>
    <cellStyle name="Обычный 24 3" xfId="6321" xr:uid="{00000000-0005-0000-0000-000068130000}"/>
    <cellStyle name="Обычный 24_Свод гостин" xfId="3612" xr:uid="{00000000-0005-0000-0000-000069130000}"/>
    <cellStyle name="Обычный 25" xfId="3613" xr:uid="{00000000-0005-0000-0000-00006A130000}"/>
    <cellStyle name="Обычный 25 2" xfId="3614" xr:uid="{00000000-0005-0000-0000-00006B130000}"/>
    <cellStyle name="Обычный 25 2 2" xfId="3615" xr:uid="{00000000-0005-0000-0000-00006C130000}"/>
    <cellStyle name="Обычный 25 3" xfId="6322" xr:uid="{00000000-0005-0000-0000-00006D130000}"/>
    <cellStyle name="Обычный 25_Свод гостин" xfId="3616" xr:uid="{00000000-0005-0000-0000-00006E130000}"/>
    <cellStyle name="Обычный 26" xfId="3617" xr:uid="{00000000-0005-0000-0000-00006F130000}"/>
    <cellStyle name="Обычный 26 2" xfId="3618" xr:uid="{00000000-0005-0000-0000-000070130000}"/>
    <cellStyle name="Обычный 26 2 2" xfId="3619" xr:uid="{00000000-0005-0000-0000-000071130000}"/>
    <cellStyle name="Обычный 26 3" xfId="6323" xr:uid="{00000000-0005-0000-0000-000072130000}"/>
    <cellStyle name="Обычный 26_Свод гостин" xfId="3620" xr:uid="{00000000-0005-0000-0000-000073130000}"/>
    <cellStyle name="Обычный 27" xfId="3621" xr:uid="{00000000-0005-0000-0000-000074130000}"/>
    <cellStyle name="Обычный 27 2" xfId="3622" xr:uid="{00000000-0005-0000-0000-000075130000}"/>
    <cellStyle name="Обычный 27 2 2" xfId="3623" xr:uid="{00000000-0005-0000-0000-000076130000}"/>
    <cellStyle name="Обычный 27 3" xfId="3624" xr:uid="{00000000-0005-0000-0000-000077130000}"/>
    <cellStyle name="Обычный 27_Свод гостин" xfId="3625" xr:uid="{00000000-0005-0000-0000-000078130000}"/>
    <cellStyle name="Обычный 28" xfId="3626" xr:uid="{00000000-0005-0000-0000-000079130000}"/>
    <cellStyle name="Обычный 28 2" xfId="3627" xr:uid="{00000000-0005-0000-0000-00007A130000}"/>
    <cellStyle name="Обычный 28 2 2" xfId="3628" xr:uid="{00000000-0005-0000-0000-00007B130000}"/>
    <cellStyle name="Обычный 28 3" xfId="6324" xr:uid="{00000000-0005-0000-0000-00007C130000}"/>
    <cellStyle name="Обычный 28_Свод гостин" xfId="3629" xr:uid="{00000000-0005-0000-0000-00007D130000}"/>
    <cellStyle name="Обычный 29" xfId="3630" xr:uid="{00000000-0005-0000-0000-00007E130000}"/>
    <cellStyle name="Обычный 29 2" xfId="3631" xr:uid="{00000000-0005-0000-0000-00007F130000}"/>
    <cellStyle name="Обычный 29 2 2" xfId="3632" xr:uid="{00000000-0005-0000-0000-000080130000}"/>
    <cellStyle name="Обычный 29 3" xfId="6325" xr:uid="{00000000-0005-0000-0000-000081130000}"/>
    <cellStyle name="Обычный 29_Свод гостин" xfId="3633" xr:uid="{00000000-0005-0000-0000-000082130000}"/>
    <cellStyle name="Обычный 3" xfId="3634" xr:uid="{00000000-0005-0000-0000-000083130000}"/>
    <cellStyle name="Обычный 3 10" xfId="3635" xr:uid="{00000000-0005-0000-0000-000084130000}"/>
    <cellStyle name="Обычный 3 10 2" xfId="6326" xr:uid="{00000000-0005-0000-0000-000085130000}"/>
    <cellStyle name="Обычный 3 10 2 2" xfId="6327" xr:uid="{00000000-0005-0000-0000-000086130000}"/>
    <cellStyle name="Обычный 3 10 2 3" xfId="6328" xr:uid="{00000000-0005-0000-0000-000087130000}"/>
    <cellStyle name="Обычный 3 10 3" xfId="6329" xr:uid="{00000000-0005-0000-0000-000088130000}"/>
    <cellStyle name="Обычный 3 10 4" xfId="6330" xr:uid="{00000000-0005-0000-0000-000089130000}"/>
    <cellStyle name="Обычный 3 11" xfId="3636" xr:uid="{00000000-0005-0000-0000-00008A130000}"/>
    <cellStyle name="Обычный 3 11 2" xfId="6331" xr:uid="{00000000-0005-0000-0000-00008B130000}"/>
    <cellStyle name="Обычный 3 11 3" xfId="6332" xr:uid="{00000000-0005-0000-0000-00008C130000}"/>
    <cellStyle name="Обычный 3 12" xfId="6333" xr:uid="{00000000-0005-0000-0000-00008D130000}"/>
    <cellStyle name="Обычный 3 12 2" xfId="6334" xr:uid="{00000000-0005-0000-0000-00008E130000}"/>
    <cellStyle name="Обычный 3 13" xfId="6335" xr:uid="{00000000-0005-0000-0000-00008F130000}"/>
    <cellStyle name="Обычный 3 14" xfId="6336" xr:uid="{00000000-0005-0000-0000-000090130000}"/>
    <cellStyle name="Обычный 3 15" xfId="3637" xr:uid="{00000000-0005-0000-0000-000091130000}"/>
    <cellStyle name="Обычный 3 15 2" xfId="3638" xr:uid="{00000000-0005-0000-0000-000092130000}"/>
    <cellStyle name="Обычный 3 16" xfId="6337" xr:uid="{00000000-0005-0000-0000-000093130000}"/>
    <cellStyle name="Обычный 3 17" xfId="11664" xr:uid="{00000000-0005-0000-0000-000094130000}"/>
    <cellStyle name="Обычный 3 18" xfId="11667" xr:uid="{00000000-0005-0000-0000-000095130000}"/>
    <cellStyle name="Обычный 3 18 2" xfId="11669" xr:uid="{D36628E3-2A29-4F6C-A90F-A04126BBDE80}"/>
    <cellStyle name="Обычный 3 18 2 2" xfId="11676" xr:uid="{DDAC8640-2B1D-4F45-9F25-B619F35788D2}"/>
    <cellStyle name="Обычный 3 19" xfId="6338" xr:uid="{00000000-0005-0000-0000-000096130000}"/>
    <cellStyle name="Обычный 3 2" xfId="3639" xr:uid="{00000000-0005-0000-0000-000097130000}"/>
    <cellStyle name="Обычный 3 2 10" xfId="6339" xr:uid="{00000000-0005-0000-0000-000098130000}"/>
    <cellStyle name="Обычный 3 2 11" xfId="6340" xr:uid="{00000000-0005-0000-0000-000099130000}"/>
    <cellStyle name="Обычный 3 2 2" xfId="3640" xr:uid="{00000000-0005-0000-0000-00009A130000}"/>
    <cellStyle name="Обычный 3 2 2 10" xfId="11672" xr:uid="{D44A1FF1-AD24-47A3-AF33-D227EE567E83}"/>
    <cellStyle name="Обычный 3 2 2 10 2 2" xfId="11679" xr:uid="{D33B0E8F-9BD3-4B6F-ADB9-812D64307620}"/>
    <cellStyle name="Обычный 3 2 2 10 3 2" xfId="11683" xr:uid="{0830EA67-57C6-4C8A-ACA4-AB17340843AC}"/>
    <cellStyle name="Обычный 3 2 2 2" xfId="3641" xr:uid="{00000000-0005-0000-0000-00009B130000}"/>
    <cellStyle name="Обычный 3 2 2 2 2" xfId="6341" xr:uid="{00000000-0005-0000-0000-00009C130000}"/>
    <cellStyle name="Обычный 3 2 2 2 2 2" xfId="6342" xr:uid="{00000000-0005-0000-0000-00009D130000}"/>
    <cellStyle name="Обычный 3 2 2 2 2 2 2" xfId="6343" xr:uid="{00000000-0005-0000-0000-00009E130000}"/>
    <cellStyle name="Обычный 3 2 2 2 2 2 2 2" xfId="6344" xr:uid="{00000000-0005-0000-0000-00009F130000}"/>
    <cellStyle name="Обычный 3 2 2 2 2 2 2 2 2" xfId="6345" xr:uid="{00000000-0005-0000-0000-0000A0130000}"/>
    <cellStyle name="Обычный 3 2 2 2 2 2 2 2 3" xfId="6346" xr:uid="{00000000-0005-0000-0000-0000A1130000}"/>
    <cellStyle name="Обычный 3 2 2 2 2 2 2 3" xfId="6347" xr:uid="{00000000-0005-0000-0000-0000A2130000}"/>
    <cellStyle name="Обычный 3 2 2 2 2 2 2 4" xfId="6348" xr:uid="{00000000-0005-0000-0000-0000A3130000}"/>
    <cellStyle name="Обычный 3 2 2 2 2 2 3" xfId="6349" xr:uid="{00000000-0005-0000-0000-0000A4130000}"/>
    <cellStyle name="Обычный 3 2 2 2 2 2 3 2" xfId="6350" xr:uid="{00000000-0005-0000-0000-0000A5130000}"/>
    <cellStyle name="Обычный 3 2 2 2 2 2 3 3" xfId="6351" xr:uid="{00000000-0005-0000-0000-0000A6130000}"/>
    <cellStyle name="Обычный 3 2 2 2 2 2 4" xfId="6352" xr:uid="{00000000-0005-0000-0000-0000A7130000}"/>
    <cellStyle name="Обычный 3 2 2 2 2 2 4 2" xfId="6353" xr:uid="{00000000-0005-0000-0000-0000A8130000}"/>
    <cellStyle name="Обычный 3 2 2 2 2 2 5" xfId="6354" xr:uid="{00000000-0005-0000-0000-0000A9130000}"/>
    <cellStyle name="Обычный 3 2 2 2 2 2 6" xfId="6355" xr:uid="{00000000-0005-0000-0000-0000AA130000}"/>
    <cellStyle name="Обычный 3 2 2 2 2 3" xfId="6356" xr:uid="{00000000-0005-0000-0000-0000AB130000}"/>
    <cellStyle name="Обычный 3 2 2 2 2 3 2" xfId="6357" xr:uid="{00000000-0005-0000-0000-0000AC130000}"/>
    <cellStyle name="Обычный 3 2 2 2 2 3 2 2" xfId="6358" xr:uid="{00000000-0005-0000-0000-0000AD130000}"/>
    <cellStyle name="Обычный 3 2 2 2 2 3 2 3" xfId="6359" xr:uid="{00000000-0005-0000-0000-0000AE130000}"/>
    <cellStyle name="Обычный 3 2 2 2 2 3 3" xfId="6360" xr:uid="{00000000-0005-0000-0000-0000AF130000}"/>
    <cellStyle name="Обычный 3 2 2 2 2 3 4" xfId="6361" xr:uid="{00000000-0005-0000-0000-0000B0130000}"/>
    <cellStyle name="Обычный 3 2 2 2 2 4" xfId="6362" xr:uid="{00000000-0005-0000-0000-0000B1130000}"/>
    <cellStyle name="Обычный 3 2 2 2 2 4 2" xfId="6363" xr:uid="{00000000-0005-0000-0000-0000B2130000}"/>
    <cellStyle name="Обычный 3 2 2 2 2 4 3" xfId="6364" xr:uid="{00000000-0005-0000-0000-0000B3130000}"/>
    <cellStyle name="Обычный 3 2 2 2 2 5" xfId="6365" xr:uid="{00000000-0005-0000-0000-0000B4130000}"/>
    <cellStyle name="Обычный 3 2 2 2 2 5 2" xfId="6366" xr:uid="{00000000-0005-0000-0000-0000B5130000}"/>
    <cellStyle name="Обычный 3 2 2 2 2 6" xfId="6367" xr:uid="{00000000-0005-0000-0000-0000B6130000}"/>
    <cellStyle name="Обычный 3 2 2 2 2 7" xfId="6368" xr:uid="{00000000-0005-0000-0000-0000B7130000}"/>
    <cellStyle name="Обычный 3 2 2 2 3" xfId="6369" xr:uid="{00000000-0005-0000-0000-0000B8130000}"/>
    <cellStyle name="Обычный 3 2 2 2 3 2" xfId="6370" xr:uid="{00000000-0005-0000-0000-0000B9130000}"/>
    <cellStyle name="Обычный 3 2 2 2 3 2 2" xfId="6371" xr:uid="{00000000-0005-0000-0000-0000BA130000}"/>
    <cellStyle name="Обычный 3 2 2 2 3 2 2 2" xfId="6372" xr:uid="{00000000-0005-0000-0000-0000BB130000}"/>
    <cellStyle name="Обычный 3 2 2 2 3 2 2 3" xfId="6373" xr:uid="{00000000-0005-0000-0000-0000BC130000}"/>
    <cellStyle name="Обычный 3 2 2 2 3 2 3" xfId="6374" xr:uid="{00000000-0005-0000-0000-0000BD130000}"/>
    <cellStyle name="Обычный 3 2 2 2 3 2 4" xfId="6375" xr:uid="{00000000-0005-0000-0000-0000BE130000}"/>
    <cellStyle name="Обычный 3 2 2 2 3 3" xfId="6376" xr:uid="{00000000-0005-0000-0000-0000BF130000}"/>
    <cellStyle name="Обычный 3 2 2 2 3 3 2" xfId="6377" xr:uid="{00000000-0005-0000-0000-0000C0130000}"/>
    <cellStyle name="Обычный 3 2 2 2 3 3 3" xfId="6378" xr:uid="{00000000-0005-0000-0000-0000C1130000}"/>
    <cellStyle name="Обычный 3 2 2 2 3 4" xfId="6379" xr:uid="{00000000-0005-0000-0000-0000C2130000}"/>
    <cellStyle name="Обычный 3 2 2 2 3 4 2" xfId="6380" xr:uid="{00000000-0005-0000-0000-0000C3130000}"/>
    <cellStyle name="Обычный 3 2 2 2 3 5" xfId="6381" xr:uid="{00000000-0005-0000-0000-0000C4130000}"/>
    <cellStyle name="Обычный 3 2 2 2 3 6" xfId="6382" xr:uid="{00000000-0005-0000-0000-0000C5130000}"/>
    <cellStyle name="Обычный 3 2 2 2 4" xfId="6383" xr:uid="{00000000-0005-0000-0000-0000C6130000}"/>
    <cellStyle name="Обычный 3 2 2 2 4 2" xfId="6384" xr:uid="{00000000-0005-0000-0000-0000C7130000}"/>
    <cellStyle name="Обычный 3 2 2 2 4 2 2" xfId="6385" xr:uid="{00000000-0005-0000-0000-0000C8130000}"/>
    <cellStyle name="Обычный 3 2 2 2 4 2 3" xfId="6386" xr:uid="{00000000-0005-0000-0000-0000C9130000}"/>
    <cellStyle name="Обычный 3 2 2 2 4 3" xfId="6387" xr:uid="{00000000-0005-0000-0000-0000CA130000}"/>
    <cellStyle name="Обычный 3 2 2 2 4 4" xfId="6388" xr:uid="{00000000-0005-0000-0000-0000CB130000}"/>
    <cellStyle name="Обычный 3 2 2 2 5" xfId="6389" xr:uid="{00000000-0005-0000-0000-0000CC130000}"/>
    <cellStyle name="Обычный 3 2 2 2 5 2" xfId="6390" xr:uid="{00000000-0005-0000-0000-0000CD130000}"/>
    <cellStyle name="Обычный 3 2 2 2 5 3" xfId="6391" xr:uid="{00000000-0005-0000-0000-0000CE130000}"/>
    <cellStyle name="Обычный 3 2 2 2 6" xfId="6392" xr:uid="{00000000-0005-0000-0000-0000CF130000}"/>
    <cellStyle name="Обычный 3 2 2 2 6 2" xfId="6393" xr:uid="{00000000-0005-0000-0000-0000D0130000}"/>
    <cellStyle name="Обычный 3 2 2 2 7" xfId="6394" xr:uid="{00000000-0005-0000-0000-0000D1130000}"/>
    <cellStyle name="Обычный 3 2 2 2 8" xfId="6395" xr:uid="{00000000-0005-0000-0000-0000D2130000}"/>
    <cellStyle name="Обычный 3 2 2 3" xfId="6396" xr:uid="{00000000-0005-0000-0000-0000D3130000}"/>
    <cellStyle name="Обычный 3 2 2 3 2" xfId="6397" xr:uid="{00000000-0005-0000-0000-0000D4130000}"/>
    <cellStyle name="Обычный 3 2 2 3 2 2" xfId="6398" xr:uid="{00000000-0005-0000-0000-0000D5130000}"/>
    <cellStyle name="Обычный 3 2 2 3 2 2 2" xfId="6399" xr:uid="{00000000-0005-0000-0000-0000D6130000}"/>
    <cellStyle name="Обычный 3 2 2 3 2 2 2 2" xfId="6400" xr:uid="{00000000-0005-0000-0000-0000D7130000}"/>
    <cellStyle name="Обычный 3 2 2 3 2 2 2 3" xfId="6401" xr:uid="{00000000-0005-0000-0000-0000D8130000}"/>
    <cellStyle name="Обычный 3 2 2 3 2 2 3" xfId="6402" xr:uid="{00000000-0005-0000-0000-0000D9130000}"/>
    <cellStyle name="Обычный 3 2 2 3 2 2 4" xfId="6403" xr:uid="{00000000-0005-0000-0000-0000DA130000}"/>
    <cellStyle name="Обычный 3 2 2 3 2 3" xfId="6404" xr:uid="{00000000-0005-0000-0000-0000DB130000}"/>
    <cellStyle name="Обычный 3 2 2 3 2 3 2" xfId="6405" xr:uid="{00000000-0005-0000-0000-0000DC130000}"/>
    <cellStyle name="Обычный 3 2 2 3 2 3 3" xfId="6406" xr:uid="{00000000-0005-0000-0000-0000DD130000}"/>
    <cellStyle name="Обычный 3 2 2 3 2 4" xfId="6407" xr:uid="{00000000-0005-0000-0000-0000DE130000}"/>
    <cellStyle name="Обычный 3 2 2 3 2 4 2" xfId="6408" xr:uid="{00000000-0005-0000-0000-0000DF130000}"/>
    <cellStyle name="Обычный 3 2 2 3 2 5" xfId="6409" xr:uid="{00000000-0005-0000-0000-0000E0130000}"/>
    <cellStyle name="Обычный 3 2 2 3 2 6" xfId="6410" xr:uid="{00000000-0005-0000-0000-0000E1130000}"/>
    <cellStyle name="Обычный 3 2 2 3 3" xfId="6411" xr:uid="{00000000-0005-0000-0000-0000E2130000}"/>
    <cellStyle name="Обычный 3 2 2 3 3 2" xfId="6412" xr:uid="{00000000-0005-0000-0000-0000E3130000}"/>
    <cellStyle name="Обычный 3 2 2 3 3 2 2" xfId="6413" xr:uid="{00000000-0005-0000-0000-0000E4130000}"/>
    <cellStyle name="Обычный 3 2 2 3 3 2 3" xfId="6414" xr:uid="{00000000-0005-0000-0000-0000E5130000}"/>
    <cellStyle name="Обычный 3 2 2 3 3 3" xfId="6415" xr:uid="{00000000-0005-0000-0000-0000E6130000}"/>
    <cellStyle name="Обычный 3 2 2 3 3 4" xfId="6416" xr:uid="{00000000-0005-0000-0000-0000E7130000}"/>
    <cellStyle name="Обычный 3 2 2 3 4" xfId="6417" xr:uid="{00000000-0005-0000-0000-0000E8130000}"/>
    <cellStyle name="Обычный 3 2 2 3 4 2" xfId="6418" xr:uid="{00000000-0005-0000-0000-0000E9130000}"/>
    <cellStyle name="Обычный 3 2 2 3 4 3" xfId="6419" xr:uid="{00000000-0005-0000-0000-0000EA130000}"/>
    <cellStyle name="Обычный 3 2 2 3 5" xfId="6420" xr:uid="{00000000-0005-0000-0000-0000EB130000}"/>
    <cellStyle name="Обычный 3 2 2 3 5 2" xfId="6421" xr:uid="{00000000-0005-0000-0000-0000EC130000}"/>
    <cellStyle name="Обычный 3 2 2 3 6" xfId="6422" xr:uid="{00000000-0005-0000-0000-0000ED130000}"/>
    <cellStyle name="Обычный 3 2 2 3 7" xfId="6423" xr:uid="{00000000-0005-0000-0000-0000EE130000}"/>
    <cellStyle name="Обычный 3 2 2 4" xfId="6424" xr:uid="{00000000-0005-0000-0000-0000EF130000}"/>
    <cellStyle name="Обычный 3 2 2 4 2" xfId="6425" xr:uid="{00000000-0005-0000-0000-0000F0130000}"/>
    <cellStyle name="Обычный 3 2 2 4 2 2" xfId="6426" xr:uid="{00000000-0005-0000-0000-0000F1130000}"/>
    <cellStyle name="Обычный 3 2 2 4 2 2 2" xfId="6427" xr:uid="{00000000-0005-0000-0000-0000F2130000}"/>
    <cellStyle name="Обычный 3 2 2 4 2 2 3" xfId="6428" xr:uid="{00000000-0005-0000-0000-0000F3130000}"/>
    <cellStyle name="Обычный 3 2 2 4 2 3" xfId="6429" xr:uid="{00000000-0005-0000-0000-0000F4130000}"/>
    <cellStyle name="Обычный 3 2 2 4 2 4" xfId="6430" xr:uid="{00000000-0005-0000-0000-0000F5130000}"/>
    <cellStyle name="Обычный 3 2 2 4 3" xfId="6431" xr:uid="{00000000-0005-0000-0000-0000F6130000}"/>
    <cellStyle name="Обычный 3 2 2 4 3 2" xfId="6432" xr:uid="{00000000-0005-0000-0000-0000F7130000}"/>
    <cellStyle name="Обычный 3 2 2 4 3 3" xfId="6433" xr:uid="{00000000-0005-0000-0000-0000F8130000}"/>
    <cellStyle name="Обычный 3 2 2 4 4" xfId="6434" xr:uid="{00000000-0005-0000-0000-0000F9130000}"/>
    <cellStyle name="Обычный 3 2 2 4 4 2" xfId="6435" xr:uid="{00000000-0005-0000-0000-0000FA130000}"/>
    <cellStyle name="Обычный 3 2 2 4 5" xfId="6436" xr:uid="{00000000-0005-0000-0000-0000FB130000}"/>
    <cellStyle name="Обычный 3 2 2 4 6" xfId="6437" xr:uid="{00000000-0005-0000-0000-0000FC130000}"/>
    <cellStyle name="Обычный 3 2 2 5" xfId="6438" xr:uid="{00000000-0005-0000-0000-0000FD130000}"/>
    <cellStyle name="Обычный 3 2 2 5 2" xfId="6439" xr:uid="{00000000-0005-0000-0000-0000FE130000}"/>
    <cellStyle name="Обычный 3 2 2 5 2 2" xfId="6440" xr:uid="{00000000-0005-0000-0000-0000FF130000}"/>
    <cellStyle name="Обычный 3 2 2 5 2 3" xfId="6441" xr:uid="{00000000-0005-0000-0000-000000140000}"/>
    <cellStyle name="Обычный 3 2 2 5 3" xfId="6442" xr:uid="{00000000-0005-0000-0000-000001140000}"/>
    <cellStyle name="Обычный 3 2 2 5 4" xfId="6443" xr:uid="{00000000-0005-0000-0000-000002140000}"/>
    <cellStyle name="Обычный 3 2 2 6" xfId="6444" xr:uid="{00000000-0005-0000-0000-000003140000}"/>
    <cellStyle name="Обычный 3 2 2 6 2" xfId="6445" xr:uid="{00000000-0005-0000-0000-000004140000}"/>
    <cellStyle name="Обычный 3 2 2 6 3" xfId="6446" xr:uid="{00000000-0005-0000-0000-000005140000}"/>
    <cellStyle name="Обычный 3 2 2 7" xfId="6447" xr:uid="{00000000-0005-0000-0000-000006140000}"/>
    <cellStyle name="Обычный 3 2 2 7 2" xfId="6448" xr:uid="{00000000-0005-0000-0000-000007140000}"/>
    <cellStyle name="Обычный 3 2 2 8" xfId="6449" xr:uid="{00000000-0005-0000-0000-000008140000}"/>
    <cellStyle name="Обычный 3 2 2 9" xfId="6450" xr:uid="{00000000-0005-0000-0000-000009140000}"/>
    <cellStyle name="Обычный 3 2 3" xfId="3642" xr:uid="{00000000-0005-0000-0000-00000A140000}"/>
    <cellStyle name="Обычный 3 2 3 2" xfId="6451" xr:uid="{00000000-0005-0000-0000-00000B140000}"/>
    <cellStyle name="Обычный 3 2 3 2 2" xfId="6452" xr:uid="{00000000-0005-0000-0000-00000C140000}"/>
    <cellStyle name="Обычный 3 2 3 2 2 2" xfId="6453" xr:uid="{00000000-0005-0000-0000-00000D140000}"/>
    <cellStyle name="Обычный 3 2 3 2 2 2 2" xfId="6454" xr:uid="{00000000-0005-0000-0000-00000E140000}"/>
    <cellStyle name="Обычный 3 2 3 2 2 2 2 2" xfId="6455" xr:uid="{00000000-0005-0000-0000-00000F140000}"/>
    <cellStyle name="Обычный 3 2 3 2 2 2 2 2 2" xfId="6456" xr:uid="{00000000-0005-0000-0000-000010140000}"/>
    <cellStyle name="Обычный 3 2 3 2 2 2 2 2 3" xfId="6457" xr:uid="{00000000-0005-0000-0000-000011140000}"/>
    <cellStyle name="Обычный 3 2 3 2 2 2 2 3" xfId="6458" xr:uid="{00000000-0005-0000-0000-000012140000}"/>
    <cellStyle name="Обычный 3 2 3 2 2 2 2 4" xfId="6459" xr:uid="{00000000-0005-0000-0000-000013140000}"/>
    <cellStyle name="Обычный 3 2 3 2 2 2 3" xfId="6460" xr:uid="{00000000-0005-0000-0000-000014140000}"/>
    <cellStyle name="Обычный 3 2 3 2 2 2 3 2" xfId="6461" xr:uid="{00000000-0005-0000-0000-000015140000}"/>
    <cellStyle name="Обычный 3 2 3 2 2 2 3 3" xfId="6462" xr:uid="{00000000-0005-0000-0000-000016140000}"/>
    <cellStyle name="Обычный 3 2 3 2 2 2 4" xfId="6463" xr:uid="{00000000-0005-0000-0000-000017140000}"/>
    <cellStyle name="Обычный 3 2 3 2 2 2 4 2" xfId="6464" xr:uid="{00000000-0005-0000-0000-000018140000}"/>
    <cellStyle name="Обычный 3 2 3 2 2 2 5" xfId="6465" xr:uid="{00000000-0005-0000-0000-000019140000}"/>
    <cellStyle name="Обычный 3 2 3 2 2 2 6" xfId="6466" xr:uid="{00000000-0005-0000-0000-00001A140000}"/>
    <cellStyle name="Обычный 3 2 3 2 2 3" xfId="6467" xr:uid="{00000000-0005-0000-0000-00001B140000}"/>
    <cellStyle name="Обычный 3 2 3 2 2 3 2" xfId="6468" xr:uid="{00000000-0005-0000-0000-00001C140000}"/>
    <cellStyle name="Обычный 3 2 3 2 2 3 2 2" xfId="6469" xr:uid="{00000000-0005-0000-0000-00001D140000}"/>
    <cellStyle name="Обычный 3 2 3 2 2 3 2 3" xfId="6470" xr:uid="{00000000-0005-0000-0000-00001E140000}"/>
    <cellStyle name="Обычный 3 2 3 2 2 3 3" xfId="6471" xr:uid="{00000000-0005-0000-0000-00001F140000}"/>
    <cellStyle name="Обычный 3 2 3 2 2 3 4" xfId="6472" xr:uid="{00000000-0005-0000-0000-000020140000}"/>
    <cellStyle name="Обычный 3 2 3 2 2 4" xfId="6473" xr:uid="{00000000-0005-0000-0000-000021140000}"/>
    <cellStyle name="Обычный 3 2 3 2 2 4 2" xfId="6474" xr:uid="{00000000-0005-0000-0000-000022140000}"/>
    <cellStyle name="Обычный 3 2 3 2 2 4 3" xfId="6475" xr:uid="{00000000-0005-0000-0000-000023140000}"/>
    <cellStyle name="Обычный 3 2 3 2 2 5" xfId="6476" xr:uid="{00000000-0005-0000-0000-000024140000}"/>
    <cellStyle name="Обычный 3 2 3 2 2 5 2" xfId="6477" xr:uid="{00000000-0005-0000-0000-000025140000}"/>
    <cellStyle name="Обычный 3 2 3 2 2 6" xfId="6478" xr:uid="{00000000-0005-0000-0000-000026140000}"/>
    <cellStyle name="Обычный 3 2 3 2 2 7" xfId="6479" xr:uid="{00000000-0005-0000-0000-000027140000}"/>
    <cellStyle name="Обычный 3 2 3 2 3" xfId="6480" xr:uid="{00000000-0005-0000-0000-000028140000}"/>
    <cellStyle name="Обычный 3 2 3 2 3 2" xfId="6481" xr:uid="{00000000-0005-0000-0000-000029140000}"/>
    <cellStyle name="Обычный 3 2 3 2 3 2 2" xfId="6482" xr:uid="{00000000-0005-0000-0000-00002A140000}"/>
    <cellStyle name="Обычный 3 2 3 2 3 2 2 2" xfId="6483" xr:uid="{00000000-0005-0000-0000-00002B140000}"/>
    <cellStyle name="Обычный 3 2 3 2 3 2 2 3" xfId="6484" xr:uid="{00000000-0005-0000-0000-00002C140000}"/>
    <cellStyle name="Обычный 3 2 3 2 3 2 3" xfId="6485" xr:uid="{00000000-0005-0000-0000-00002D140000}"/>
    <cellStyle name="Обычный 3 2 3 2 3 2 4" xfId="6486" xr:uid="{00000000-0005-0000-0000-00002E140000}"/>
    <cellStyle name="Обычный 3 2 3 2 3 3" xfId="6487" xr:uid="{00000000-0005-0000-0000-00002F140000}"/>
    <cellStyle name="Обычный 3 2 3 2 3 3 2" xfId="6488" xr:uid="{00000000-0005-0000-0000-000030140000}"/>
    <cellStyle name="Обычный 3 2 3 2 3 3 3" xfId="6489" xr:uid="{00000000-0005-0000-0000-000031140000}"/>
    <cellStyle name="Обычный 3 2 3 2 3 4" xfId="6490" xr:uid="{00000000-0005-0000-0000-000032140000}"/>
    <cellStyle name="Обычный 3 2 3 2 3 4 2" xfId="6491" xr:uid="{00000000-0005-0000-0000-000033140000}"/>
    <cellStyle name="Обычный 3 2 3 2 3 5" xfId="6492" xr:uid="{00000000-0005-0000-0000-000034140000}"/>
    <cellStyle name="Обычный 3 2 3 2 3 6" xfId="6493" xr:uid="{00000000-0005-0000-0000-000035140000}"/>
    <cellStyle name="Обычный 3 2 3 2 4" xfId="6494" xr:uid="{00000000-0005-0000-0000-000036140000}"/>
    <cellStyle name="Обычный 3 2 3 2 4 2" xfId="6495" xr:uid="{00000000-0005-0000-0000-000037140000}"/>
    <cellStyle name="Обычный 3 2 3 2 4 2 2" xfId="6496" xr:uid="{00000000-0005-0000-0000-000038140000}"/>
    <cellStyle name="Обычный 3 2 3 2 4 2 3" xfId="6497" xr:uid="{00000000-0005-0000-0000-000039140000}"/>
    <cellStyle name="Обычный 3 2 3 2 4 3" xfId="6498" xr:uid="{00000000-0005-0000-0000-00003A140000}"/>
    <cellStyle name="Обычный 3 2 3 2 4 4" xfId="6499" xr:uid="{00000000-0005-0000-0000-00003B140000}"/>
    <cellStyle name="Обычный 3 2 3 2 5" xfId="6500" xr:uid="{00000000-0005-0000-0000-00003C140000}"/>
    <cellStyle name="Обычный 3 2 3 2 5 2" xfId="6501" xr:uid="{00000000-0005-0000-0000-00003D140000}"/>
    <cellStyle name="Обычный 3 2 3 2 5 3" xfId="6502" xr:uid="{00000000-0005-0000-0000-00003E140000}"/>
    <cellStyle name="Обычный 3 2 3 2 6" xfId="6503" xr:uid="{00000000-0005-0000-0000-00003F140000}"/>
    <cellStyle name="Обычный 3 2 3 2 6 2" xfId="6504" xr:uid="{00000000-0005-0000-0000-000040140000}"/>
    <cellStyle name="Обычный 3 2 3 2 7" xfId="6505" xr:uid="{00000000-0005-0000-0000-000041140000}"/>
    <cellStyle name="Обычный 3 2 3 2 8" xfId="6506" xr:uid="{00000000-0005-0000-0000-000042140000}"/>
    <cellStyle name="Обычный 3 2 3 3" xfId="6507" xr:uid="{00000000-0005-0000-0000-000043140000}"/>
    <cellStyle name="Обычный 3 2 3 3 2" xfId="6508" xr:uid="{00000000-0005-0000-0000-000044140000}"/>
    <cellStyle name="Обычный 3 2 3 3 2 2" xfId="6509" xr:uid="{00000000-0005-0000-0000-000045140000}"/>
    <cellStyle name="Обычный 3 2 3 3 2 2 2" xfId="6510" xr:uid="{00000000-0005-0000-0000-000046140000}"/>
    <cellStyle name="Обычный 3 2 3 3 2 2 2 2" xfId="6511" xr:uid="{00000000-0005-0000-0000-000047140000}"/>
    <cellStyle name="Обычный 3 2 3 3 2 2 2 3" xfId="6512" xr:uid="{00000000-0005-0000-0000-000048140000}"/>
    <cellStyle name="Обычный 3 2 3 3 2 2 3" xfId="6513" xr:uid="{00000000-0005-0000-0000-000049140000}"/>
    <cellStyle name="Обычный 3 2 3 3 2 2 4" xfId="6514" xr:uid="{00000000-0005-0000-0000-00004A140000}"/>
    <cellStyle name="Обычный 3 2 3 3 2 3" xfId="6515" xr:uid="{00000000-0005-0000-0000-00004B140000}"/>
    <cellStyle name="Обычный 3 2 3 3 2 3 2" xfId="6516" xr:uid="{00000000-0005-0000-0000-00004C140000}"/>
    <cellStyle name="Обычный 3 2 3 3 2 3 3" xfId="6517" xr:uid="{00000000-0005-0000-0000-00004D140000}"/>
    <cellStyle name="Обычный 3 2 3 3 2 4" xfId="6518" xr:uid="{00000000-0005-0000-0000-00004E140000}"/>
    <cellStyle name="Обычный 3 2 3 3 2 4 2" xfId="6519" xr:uid="{00000000-0005-0000-0000-00004F140000}"/>
    <cellStyle name="Обычный 3 2 3 3 2 5" xfId="6520" xr:uid="{00000000-0005-0000-0000-000050140000}"/>
    <cellStyle name="Обычный 3 2 3 3 2 6" xfId="6521" xr:uid="{00000000-0005-0000-0000-000051140000}"/>
    <cellStyle name="Обычный 3 2 3 3 3" xfId="6522" xr:uid="{00000000-0005-0000-0000-000052140000}"/>
    <cellStyle name="Обычный 3 2 3 3 3 2" xfId="6523" xr:uid="{00000000-0005-0000-0000-000053140000}"/>
    <cellStyle name="Обычный 3 2 3 3 3 2 2" xfId="6524" xr:uid="{00000000-0005-0000-0000-000054140000}"/>
    <cellStyle name="Обычный 3 2 3 3 3 2 3" xfId="6525" xr:uid="{00000000-0005-0000-0000-000055140000}"/>
    <cellStyle name="Обычный 3 2 3 3 3 3" xfId="6526" xr:uid="{00000000-0005-0000-0000-000056140000}"/>
    <cellStyle name="Обычный 3 2 3 3 3 4" xfId="6527" xr:uid="{00000000-0005-0000-0000-000057140000}"/>
    <cellStyle name="Обычный 3 2 3 3 4" xfId="6528" xr:uid="{00000000-0005-0000-0000-000058140000}"/>
    <cellStyle name="Обычный 3 2 3 3 4 2" xfId="6529" xr:uid="{00000000-0005-0000-0000-000059140000}"/>
    <cellStyle name="Обычный 3 2 3 3 4 3" xfId="6530" xr:uid="{00000000-0005-0000-0000-00005A140000}"/>
    <cellStyle name="Обычный 3 2 3 3 5" xfId="6531" xr:uid="{00000000-0005-0000-0000-00005B140000}"/>
    <cellStyle name="Обычный 3 2 3 3 5 2" xfId="6532" xr:uid="{00000000-0005-0000-0000-00005C140000}"/>
    <cellStyle name="Обычный 3 2 3 3 6" xfId="6533" xr:uid="{00000000-0005-0000-0000-00005D140000}"/>
    <cellStyle name="Обычный 3 2 3 3 7" xfId="6534" xr:uid="{00000000-0005-0000-0000-00005E140000}"/>
    <cellStyle name="Обычный 3 2 3 4" xfId="6535" xr:uid="{00000000-0005-0000-0000-00005F140000}"/>
    <cellStyle name="Обычный 3 2 3 4 2" xfId="6536" xr:uid="{00000000-0005-0000-0000-000060140000}"/>
    <cellStyle name="Обычный 3 2 3 4 2 2" xfId="6537" xr:uid="{00000000-0005-0000-0000-000061140000}"/>
    <cellStyle name="Обычный 3 2 3 4 2 2 2" xfId="6538" xr:uid="{00000000-0005-0000-0000-000062140000}"/>
    <cellStyle name="Обычный 3 2 3 4 2 2 3" xfId="6539" xr:uid="{00000000-0005-0000-0000-000063140000}"/>
    <cellStyle name="Обычный 3 2 3 4 2 3" xfId="6540" xr:uid="{00000000-0005-0000-0000-000064140000}"/>
    <cellStyle name="Обычный 3 2 3 4 2 4" xfId="6541" xr:uid="{00000000-0005-0000-0000-000065140000}"/>
    <cellStyle name="Обычный 3 2 3 4 3" xfId="6542" xr:uid="{00000000-0005-0000-0000-000066140000}"/>
    <cellStyle name="Обычный 3 2 3 4 3 2" xfId="6543" xr:uid="{00000000-0005-0000-0000-000067140000}"/>
    <cellStyle name="Обычный 3 2 3 4 3 3" xfId="6544" xr:uid="{00000000-0005-0000-0000-000068140000}"/>
    <cellStyle name="Обычный 3 2 3 4 4" xfId="6545" xr:uid="{00000000-0005-0000-0000-000069140000}"/>
    <cellStyle name="Обычный 3 2 3 4 4 2" xfId="6546" xr:uid="{00000000-0005-0000-0000-00006A140000}"/>
    <cellStyle name="Обычный 3 2 3 4 5" xfId="6547" xr:uid="{00000000-0005-0000-0000-00006B140000}"/>
    <cellStyle name="Обычный 3 2 3 4 6" xfId="6548" xr:uid="{00000000-0005-0000-0000-00006C140000}"/>
    <cellStyle name="Обычный 3 2 3 5" xfId="6549" xr:uid="{00000000-0005-0000-0000-00006D140000}"/>
    <cellStyle name="Обычный 3 2 3 5 2" xfId="6550" xr:uid="{00000000-0005-0000-0000-00006E140000}"/>
    <cellStyle name="Обычный 3 2 3 5 2 2" xfId="6551" xr:uid="{00000000-0005-0000-0000-00006F140000}"/>
    <cellStyle name="Обычный 3 2 3 5 2 3" xfId="6552" xr:uid="{00000000-0005-0000-0000-000070140000}"/>
    <cellStyle name="Обычный 3 2 3 5 3" xfId="6553" xr:uid="{00000000-0005-0000-0000-000071140000}"/>
    <cellStyle name="Обычный 3 2 3 5 4" xfId="6554" xr:uid="{00000000-0005-0000-0000-000072140000}"/>
    <cellStyle name="Обычный 3 2 3 6" xfId="6555" xr:uid="{00000000-0005-0000-0000-000073140000}"/>
    <cellStyle name="Обычный 3 2 3 6 2" xfId="6556" xr:uid="{00000000-0005-0000-0000-000074140000}"/>
    <cellStyle name="Обычный 3 2 3 6 3" xfId="6557" xr:uid="{00000000-0005-0000-0000-000075140000}"/>
    <cellStyle name="Обычный 3 2 3 7" xfId="6558" xr:uid="{00000000-0005-0000-0000-000076140000}"/>
    <cellStyle name="Обычный 3 2 3 7 2" xfId="6559" xr:uid="{00000000-0005-0000-0000-000077140000}"/>
    <cellStyle name="Обычный 3 2 3 8" xfId="6560" xr:uid="{00000000-0005-0000-0000-000078140000}"/>
    <cellStyle name="Обычный 3 2 3 9" xfId="6561" xr:uid="{00000000-0005-0000-0000-000079140000}"/>
    <cellStyle name="Обычный 3 2 4" xfId="6562" xr:uid="{00000000-0005-0000-0000-00007A140000}"/>
    <cellStyle name="Обычный 3 2 4 2" xfId="6563" xr:uid="{00000000-0005-0000-0000-00007B140000}"/>
    <cellStyle name="Обычный 3 2 4 2 2" xfId="6564" xr:uid="{00000000-0005-0000-0000-00007C140000}"/>
    <cellStyle name="Обычный 3 2 4 2 2 2" xfId="6565" xr:uid="{00000000-0005-0000-0000-00007D140000}"/>
    <cellStyle name="Обычный 3 2 4 2 2 2 2" xfId="6566" xr:uid="{00000000-0005-0000-0000-00007E140000}"/>
    <cellStyle name="Обычный 3 2 4 2 2 2 2 2" xfId="6567" xr:uid="{00000000-0005-0000-0000-00007F140000}"/>
    <cellStyle name="Обычный 3 2 4 2 2 2 2 3" xfId="6568" xr:uid="{00000000-0005-0000-0000-000080140000}"/>
    <cellStyle name="Обычный 3 2 4 2 2 2 3" xfId="6569" xr:uid="{00000000-0005-0000-0000-000081140000}"/>
    <cellStyle name="Обычный 3 2 4 2 2 2 4" xfId="6570" xr:uid="{00000000-0005-0000-0000-000082140000}"/>
    <cellStyle name="Обычный 3 2 4 2 2 3" xfId="6571" xr:uid="{00000000-0005-0000-0000-000083140000}"/>
    <cellStyle name="Обычный 3 2 4 2 2 3 2" xfId="6572" xr:uid="{00000000-0005-0000-0000-000084140000}"/>
    <cellStyle name="Обычный 3 2 4 2 2 3 3" xfId="6573" xr:uid="{00000000-0005-0000-0000-000085140000}"/>
    <cellStyle name="Обычный 3 2 4 2 2 4" xfId="6574" xr:uid="{00000000-0005-0000-0000-000086140000}"/>
    <cellStyle name="Обычный 3 2 4 2 2 4 2" xfId="6575" xr:uid="{00000000-0005-0000-0000-000087140000}"/>
    <cellStyle name="Обычный 3 2 4 2 2 5" xfId="6576" xr:uid="{00000000-0005-0000-0000-000088140000}"/>
    <cellStyle name="Обычный 3 2 4 2 2 6" xfId="6577" xr:uid="{00000000-0005-0000-0000-000089140000}"/>
    <cellStyle name="Обычный 3 2 4 2 3" xfId="6578" xr:uid="{00000000-0005-0000-0000-00008A140000}"/>
    <cellStyle name="Обычный 3 2 4 2 3 2" xfId="6579" xr:uid="{00000000-0005-0000-0000-00008B140000}"/>
    <cellStyle name="Обычный 3 2 4 2 3 2 2" xfId="6580" xr:uid="{00000000-0005-0000-0000-00008C140000}"/>
    <cellStyle name="Обычный 3 2 4 2 3 2 3" xfId="6581" xr:uid="{00000000-0005-0000-0000-00008D140000}"/>
    <cellStyle name="Обычный 3 2 4 2 3 3" xfId="6582" xr:uid="{00000000-0005-0000-0000-00008E140000}"/>
    <cellStyle name="Обычный 3 2 4 2 3 4" xfId="6583" xr:uid="{00000000-0005-0000-0000-00008F140000}"/>
    <cellStyle name="Обычный 3 2 4 2 4" xfId="6584" xr:uid="{00000000-0005-0000-0000-000090140000}"/>
    <cellStyle name="Обычный 3 2 4 2 4 2" xfId="6585" xr:uid="{00000000-0005-0000-0000-000091140000}"/>
    <cellStyle name="Обычный 3 2 4 2 4 3" xfId="6586" xr:uid="{00000000-0005-0000-0000-000092140000}"/>
    <cellStyle name="Обычный 3 2 4 2 5" xfId="6587" xr:uid="{00000000-0005-0000-0000-000093140000}"/>
    <cellStyle name="Обычный 3 2 4 2 5 2" xfId="6588" xr:uid="{00000000-0005-0000-0000-000094140000}"/>
    <cellStyle name="Обычный 3 2 4 2 6" xfId="6589" xr:uid="{00000000-0005-0000-0000-000095140000}"/>
    <cellStyle name="Обычный 3 2 4 2 7" xfId="6590" xr:uid="{00000000-0005-0000-0000-000096140000}"/>
    <cellStyle name="Обычный 3 2 4 3" xfId="6591" xr:uid="{00000000-0005-0000-0000-000097140000}"/>
    <cellStyle name="Обычный 3 2 4 3 2" xfId="6592" xr:uid="{00000000-0005-0000-0000-000098140000}"/>
    <cellStyle name="Обычный 3 2 4 3 2 2" xfId="6593" xr:uid="{00000000-0005-0000-0000-000099140000}"/>
    <cellStyle name="Обычный 3 2 4 3 2 2 2" xfId="6594" xr:uid="{00000000-0005-0000-0000-00009A140000}"/>
    <cellStyle name="Обычный 3 2 4 3 2 2 3" xfId="6595" xr:uid="{00000000-0005-0000-0000-00009B140000}"/>
    <cellStyle name="Обычный 3 2 4 3 2 3" xfId="6596" xr:uid="{00000000-0005-0000-0000-00009C140000}"/>
    <cellStyle name="Обычный 3 2 4 3 2 4" xfId="6597" xr:uid="{00000000-0005-0000-0000-00009D140000}"/>
    <cellStyle name="Обычный 3 2 4 3 3" xfId="6598" xr:uid="{00000000-0005-0000-0000-00009E140000}"/>
    <cellStyle name="Обычный 3 2 4 3 3 2" xfId="6599" xr:uid="{00000000-0005-0000-0000-00009F140000}"/>
    <cellStyle name="Обычный 3 2 4 3 3 3" xfId="6600" xr:uid="{00000000-0005-0000-0000-0000A0140000}"/>
    <cellStyle name="Обычный 3 2 4 3 4" xfId="6601" xr:uid="{00000000-0005-0000-0000-0000A1140000}"/>
    <cellStyle name="Обычный 3 2 4 3 4 2" xfId="6602" xr:uid="{00000000-0005-0000-0000-0000A2140000}"/>
    <cellStyle name="Обычный 3 2 4 3 5" xfId="6603" xr:uid="{00000000-0005-0000-0000-0000A3140000}"/>
    <cellStyle name="Обычный 3 2 4 3 6" xfId="6604" xr:uid="{00000000-0005-0000-0000-0000A4140000}"/>
    <cellStyle name="Обычный 3 2 4 4" xfId="6605" xr:uid="{00000000-0005-0000-0000-0000A5140000}"/>
    <cellStyle name="Обычный 3 2 4 4 2" xfId="6606" xr:uid="{00000000-0005-0000-0000-0000A6140000}"/>
    <cellStyle name="Обычный 3 2 4 4 2 2" xfId="6607" xr:uid="{00000000-0005-0000-0000-0000A7140000}"/>
    <cellStyle name="Обычный 3 2 4 4 2 3" xfId="6608" xr:uid="{00000000-0005-0000-0000-0000A8140000}"/>
    <cellStyle name="Обычный 3 2 4 4 3" xfId="6609" xr:uid="{00000000-0005-0000-0000-0000A9140000}"/>
    <cellStyle name="Обычный 3 2 4 4 4" xfId="6610" xr:uid="{00000000-0005-0000-0000-0000AA140000}"/>
    <cellStyle name="Обычный 3 2 4 5" xfId="6611" xr:uid="{00000000-0005-0000-0000-0000AB140000}"/>
    <cellStyle name="Обычный 3 2 4 5 2" xfId="6612" xr:uid="{00000000-0005-0000-0000-0000AC140000}"/>
    <cellStyle name="Обычный 3 2 4 5 3" xfId="6613" xr:uid="{00000000-0005-0000-0000-0000AD140000}"/>
    <cellStyle name="Обычный 3 2 4 6" xfId="6614" xr:uid="{00000000-0005-0000-0000-0000AE140000}"/>
    <cellStyle name="Обычный 3 2 4 6 2" xfId="6615" xr:uid="{00000000-0005-0000-0000-0000AF140000}"/>
    <cellStyle name="Обычный 3 2 4 7" xfId="6616" xr:uid="{00000000-0005-0000-0000-0000B0140000}"/>
    <cellStyle name="Обычный 3 2 4 8" xfId="6617" xr:uid="{00000000-0005-0000-0000-0000B1140000}"/>
    <cellStyle name="Обычный 3 2 5" xfId="6618" xr:uid="{00000000-0005-0000-0000-0000B2140000}"/>
    <cellStyle name="Обычный 3 2 5 2" xfId="6619" xr:uid="{00000000-0005-0000-0000-0000B3140000}"/>
    <cellStyle name="Обычный 3 2 5 2 2" xfId="6620" xr:uid="{00000000-0005-0000-0000-0000B4140000}"/>
    <cellStyle name="Обычный 3 2 5 2 2 2" xfId="6621" xr:uid="{00000000-0005-0000-0000-0000B5140000}"/>
    <cellStyle name="Обычный 3 2 5 2 2 2 2" xfId="6622" xr:uid="{00000000-0005-0000-0000-0000B6140000}"/>
    <cellStyle name="Обычный 3 2 5 2 2 2 3" xfId="6623" xr:uid="{00000000-0005-0000-0000-0000B7140000}"/>
    <cellStyle name="Обычный 3 2 5 2 2 3" xfId="6624" xr:uid="{00000000-0005-0000-0000-0000B8140000}"/>
    <cellStyle name="Обычный 3 2 5 2 2 4" xfId="6625" xr:uid="{00000000-0005-0000-0000-0000B9140000}"/>
    <cellStyle name="Обычный 3 2 5 2 3" xfId="6626" xr:uid="{00000000-0005-0000-0000-0000BA140000}"/>
    <cellStyle name="Обычный 3 2 5 2 3 2" xfId="6627" xr:uid="{00000000-0005-0000-0000-0000BB140000}"/>
    <cellStyle name="Обычный 3 2 5 2 3 3" xfId="6628" xr:uid="{00000000-0005-0000-0000-0000BC140000}"/>
    <cellStyle name="Обычный 3 2 5 2 4" xfId="6629" xr:uid="{00000000-0005-0000-0000-0000BD140000}"/>
    <cellStyle name="Обычный 3 2 5 2 4 2" xfId="6630" xr:uid="{00000000-0005-0000-0000-0000BE140000}"/>
    <cellStyle name="Обычный 3 2 5 2 5" xfId="6631" xr:uid="{00000000-0005-0000-0000-0000BF140000}"/>
    <cellStyle name="Обычный 3 2 5 2 6" xfId="6632" xr:uid="{00000000-0005-0000-0000-0000C0140000}"/>
    <cellStyle name="Обычный 3 2 5 3" xfId="6633" xr:uid="{00000000-0005-0000-0000-0000C1140000}"/>
    <cellStyle name="Обычный 3 2 5 3 2" xfId="6634" xr:uid="{00000000-0005-0000-0000-0000C2140000}"/>
    <cellStyle name="Обычный 3 2 5 3 2 2" xfId="6635" xr:uid="{00000000-0005-0000-0000-0000C3140000}"/>
    <cellStyle name="Обычный 3 2 5 3 2 3" xfId="6636" xr:uid="{00000000-0005-0000-0000-0000C4140000}"/>
    <cellStyle name="Обычный 3 2 5 3 3" xfId="6637" xr:uid="{00000000-0005-0000-0000-0000C5140000}"/>
    <cellStyle name="Обычный 3 2 5 3 4" xfId="6638" xr:uid="{00000000-0005-0000-0000-0000C6140000}"/>
    <cellStyle name="Обычный 3 2 5 4" xfId="6639" xr:uid="{00000000-0005-0000-0000-0000C7140000}"/>
    <cellStyle name="Обычный 3 2 5 4 2" xfId="6640" xr:uid="{00000000-0005-0000-0000-0000C8140000}"/>
    <cellStyle name="Обычный 3 2 5 4 3" xfId="6641" xr:uid="{00000000-0005-0000-0000-0000C9140000}"/>
    <cellStyle name="Обычный 3 2 5 5" xfId="6642" xr:uid="{00000000-0005-0000-0000-0000CA140000}"/>
    <cellStyle name="Обычный 3 2 5 5 2" xfId="6643" xr:uid="{00000000-0005-0000-0000-0000CB140000}"/>
    <cellStyle name="Обычный 3 2 5 6" xfId="6644" xr:uid="{00000000-0005-0000-0000-0000CC140000}"/>
    <cellStyle name="Обычный 3 2 5 7" xfId="6645" xr:uid="{00000000-0005-0000-0000-0000CD140000}"/>
    <cellStyle name="Обычный 3 2 6" xfId="6646" xr:uid="{00000000-0005-0000-0000-0000CE140000}"/>
    <cellStyle name="Обычный 3 2 6 2" xfId="6647" xr:uid="{00000000-0005-0000-0000-0000CF140000}"/>
    <cellStyle name="Обычный 3 2 6 2 2" xfId="6648" xr:uid="{00000000-0005-0000-0000-0000D0140000}"/>
    <cellStyle name="Обычный 3 2 6 2 2 2" xfId="6649" xr:uid="{00000000-0005-0000-0000-0000D1140000}"/>
    <cellStyle name="Обычный 3 2 6 2 2 3" xfId="6650" xr:uid="{00000000-0005-0000-0000-0000D2140000}"/>
    <cellStyle name="Обычный 3 2 6 2 3" xfId="6651" xr:uid="{00000000-0005-0000-0000-0000D3140000}"/>
    <cellStyle name="Обычный 3 2 6 2 4" xfId="6652" xr:uid="{00000000-0005-0000-0000-0000D4140000}"/>
    <cellStyle name="Обычный 3 2 6 3" xfId="6653" xr:uid="{00000000-0005-0000-0000-0000D5140000}"/>
    <cellStyle name="Обычный 3 2 6 3 2" xfId="6654" xr:uid="{00000000-0005-0000-0000-0000D6140000}"/>
    <cellStyle name="Обычный 3 2 6 3 3" xfId="6655" xr:uid="{00000000-0005-0000-0000-0000D7140000}"/>
    <cellStyle name="Обычный 3 2 6 4" xfId="6656" xr:uid="{00000000-0005-0000-0000-0000D8140000}"/>
    <cellStyle name="Обычный 3 2 6 4 2" xfId="6657" xr:uid="{00000000-0005-0000-0000-0000D9140000}"/>
    <cellStyle name="Обычный 3 2 6 5" xfId="6658" xr:uid="{00000000-0005-0000-0000-0000DA140000}"/>
    <cellStyle name="Обычный 3 2 6 6" xfId="6659" xr:uid="{00000000-0005-0000-0000-0000DB140000}"/>
    <cellStyle name="Обычный 3 2 7" xfId="6660" xr:uid="{00000000-0005-0000-0000-0000DC140000}"/>
    <cellStyle name="Обычный 3 2 7 2" xfId="6661" xr:uid="{00000000-0005-0000-0000-0000DD140000}"/>
    <cellStyle name="Обычный 3 2 7 2 2" xfId="6662" xr:uid="{00000000-0005-0000-0000-0000DE140000}"/>
    <cellStyle name="Обычный 3 2 7 2 3" xfId="6663" xr:uid="{00000000-0005-0000-0000-0000DF140000}"/>
    <cellStyle name="Обычный 3 2 7 3" xfId="6664" xr:uid="{00000000-0005-0000-0000-0000E0140000}"/>
    <cellStyle name="Обычный 3 2 7 4" xfId="6665" xr:uid="{00000000-0005-0000-0000-0000E1140000}"/>
    <cellStyle name="Обычный 3 2 8" xfId="6666" xr:uid="{00000000-0005-0000-0000-0000E2140000}"/>
    <cellStyle name="Обычный 3 2 8 2" xfId="6667" xr:uid="{00000000-0005-0000-0000-0000E3140000}"/>
    <cellStyle name="Обычный 3 2 8 3" xfId="6668" xr:uid="{00000000-0005-0000-0000-0000E4140000}"/>
    <cellStyle name="Обычный 3 2 9" xfId="6669" xr:uid="{00000000-0005-0000-0000-0000E5140000}"/>
    <cellStyle name="Обычный 3 2 9 2" xfId="6670" xr:uid="{00000000-0005-0000-0000-0000E6140000}"/>
    <cellStyle name="Обычный 3 2_Свод гостин" xfId="3643" xr:uid="{00000000-0005-0000-0000-0000E7140000}"/>
    <cellStyle name="Обычный 3 20" xfId="11673" xr:uid="{28E391B3-0B77-4CAF-8ED7-DD6361A84046}"/>
    <cellStyle name="Обычный 3 3" xfId="3644" xr:uid="{00000000-0005-0000-0000-0000E8140000}"/>
    <cellStyle name="Обычный 3 3 10" xfId="6671" xr:uid="{00000000-0005-0000-0000-0000E9140000}"/>
    <cellStyle name="Обычный 3 3 11" xfId="6672" xr:uid="{00000000-0005-0000-0000-0000EA140000}"/>
    <cellStyle name="Обычный 3 3 12" xfId="6673" xr:uid="{00000000-0005-0000-0000-0000EB140000}"/>
    <cellStyle name="Обычный 3 3 2" xfId="3645" xr:uid="{00000000-0005-0000-0000-0000EC140000}"/>
    <cellStyle name="Обычный 3 3 2 2" xfId="6674" xr:uid="{00000000-0005-0000-0000-0000ED140000}"/>
    <cellStyle name="Обычный 3 3 2 2 2" xfId="6675" xr:uid="{00000000-0005-0000-0000-0000EE140000}"/>
    <cellStyle name="Обычный 3 3 2 2 2 2" xfId="6676" xr:uid="{00000000-0005-0000-0000-0000EF140000}"/>
    <cellStyle name="Обычный 3 3 2 2 2 2 2" xfId="6677" xr:uid="{00000000-0005-0000-0000-0000F0140000}"/>
    <cellStyle name="Обычный 3 3 2 2 2 2 2 2" xfId="6678" xr:uid="{00000000-0005-0000-0000-0000F1140000}"/>
    <cellStyle name="Обычный 3 3 2 2 2 2 2 2 2" xfId="6679" xr:uid="{00000000-0005-0000-0000-0000F2140000}"/>
    <cellStyle name="Обычный 3 3 2 2 2 2 2 2 3" xfId="6680" xr:uid="{00000000-0005-0000-0000-0000F3140000}"/>
    <cellStyle name="Обычный 3 3 2 2 2 2 2 3" xfId="6681" xr:uid="{00000000-0005-0000-0000-0000F4140000}"/>
    <cellStyle name="Обычный 3 3 2 2 2 2 2 4" xfId="6682" xr:uid="{00000000-0005-0000-0000-0000F5140000}"/>
    <cellStyle name="Обычный 3 3 2 2 2 2 3" xfId="6683" xr:uid="{00000000-0005-0000-0000-0000F6140000}"/>
    <cellStyle name="Обычный 3 3 2 2 2 2 3 2" xfId="6684" xr:uid="{00000000-0005-0000-0000-0000F7140000}"/>
    <cellStyle name="Обычный 3 3 2 2 2 2 3 3" xfId="6685" xr:uid="{00000000-0005-0000-0000-0000F8140000}"/>
    <cellStyle name="Обычный 3 3 2 2 2 2 4" xfId="6686" xr:uid="{00000000-0005-0000-0000-0000F9140000}"/>
    <cellStyle name="Обычный 3 3 2 2 2 2 4 2" xfId="6687" xr:uid="{00000000-0005-0000-0000-0000FA140000}"/>
    <cellStyle name="Обычный 3 3 2 2 2 2 5" xfId="6688" xr:uid="{00000000-0005-0000-0000-0000FB140000}"/>
    <cellStyle name="Обычный 3 3 2 2 2 2 6" xfId="6689" xr:uid="{00000000-0005-0000-0000-0000FC140000}"/>
    <cellStyle name="Обычный 3 3 2 2 2 3" xfId="6690" xr:uid="{00000000-0005-0000-0000-0000FD140000}"/>
    <cellStyle name="Обычный 3 3 2 2 2 3 2" xfId="6691" xr:uid="{00000000-0005-0000-0000-0000FE140000}"/>
    <cellStyle name="Обычный 3 3 2 2 2 3 2 2" xfId="6692" xr:uid="{00000000-0005-0000-0000-0000FF140000}"/>
    <cellStyle name="Обычный 3 3 2 2 2 3 2 3" xfId="6693" xr:uid="{00000000-0005-0000-0000-000000150000}"/>
    <cellStyle name="Обычный 3 3 2 2 2 3 3" xfId="6694" xr:uid="{00000000-0005-0000-0000-000001150000}"/>
    <cellStyle name="Обычный 3 3 2 2 2 3 4" xfId="6695" xr:uid="{00000000-0005-0000-0000-000002150000}"/>
    <cellStyle name="Обычный 3 3 2 2 2 4" xfId="6696" xr:uid="{00000000-0005-0000-0000-000003150000}"/>
    <cellStyle name="Обычный 3 3 2 2 2 4 2" xfId="6697" xr:uid="{00000000-0005-0000-0000-000004150000}"/>
    <cellStyle name="Обычный 3 3 2 2 2 4 3" xfId="6698" xr:uid="{00000000-0005-0000-0000-000005150000}"/>
    <cellStyle name="Обычный 3 3 2 2 2 5" xfId="6699" xr:uid="{00000000-0005-0000-0000-000006150000}"/>
    <cellStyle name="Обычный 3 3 2 2 2 5 2" xfId="6700" xr:uid="{00000000-0005-0000-0000-000007150000}"/>
    <cellStyle name="Обычный 3 3 2 2 2 6" xfId="6701" xr:uid="{00000000-0005-0000-0000-000008150000}"/>
    <cellStyle name="Обычный 3 3 2 2 2 7" xfId="6702" xr:uid="{00000000-0005-0000-0000-000009150000}"/>
    <cellStyle name="Обычный 3 3 2 2 3" xfId="6703" xr:uid="{00000000-0005-0000-0000-00000A150000}"/>
    <cellStyle name="Обычный 3 3 2 2 3 2" xfId="6704" xr:uid="{00000000-0005-0000-0000-00000B150000}"/>
    <cellStyle name="Обычный 3 3 2 2 3 2 2" xfId="6705" xr:uid="{00000000-0005-0000-0000-00000C150000}"/>
    <cellStyle name="Обычный 3 3 2 2 3 2 2 2" xfId="6706" xr:uid="{00000000-0005-0000-0000-00000D150000}"/>
    <cellStyle name="Обычный 3 3 2 2 3 2 2 3" xfId="6707" xr:uid="{00000000-0005-0000-0000-00000E150000}"/>
    <cellStyle name="Обычный 3 3 2 2 3 2 3" xfId="6708" xr:uid="{00000000-0005-0000-0000-00000F150000}"/>
    <cellStyle name="Обычный 3 3 2 2 3 2 4" xfId="6709" xr:uid="{00000000-0005-0000-0000-000010150000}"/>
    <cellStyle name="Обычный 3 3 2 2 3 3" xfId="6710" xr:uid="{00000000-0005-0000-0000-000011150000}"/>
    <cellStyle name="Обычный 3 3 2 2 3 3 2" xfId="6711" xr:uid="{00000000-0005-0000-0000-000012150000}"/>
    <cellStyle name="Обычный 3 3 2 2 3 3 3" xfId="6712" xr:uid="{00000000-0005-0000-0000-000013150000}"/>
    <cellStyle name="Обычный 3 3 2 2 3 4" xfId="6713" xr:uid="{00000000-0005-0000-0000-000014150000}"/>
    <cellStyle name="Обычный 3 3 2 2 3 4 2" xfId="6714" xr:uid="{00000000-0005-0000-0000-000015150000}"/>
    <cellStyle name="Обычный 3 3 2 2 3 5" xfId="6715" xr:uid="{00000000-0005-0000-0000-000016150000}"/>
    <cellStyle name="Обычный 3 3 2 2 3 6" xfId="6716" xr:uid="{00000000-0005-0000-0000-000017150000}"/>
    <cellStyle name="Обычный 3 3 2 2 4" xfId="6717" xr:uid="{00000000-0005-0000-0000-000018150000}"/>
    <cellStyle name="Обычный 3 3 2 2 4 2" xfId="6718" xr:uid="{00000000-0005-0000-0000-000019150000}"/>
    <cellStyle name="Обычный 3 3 2 2 4 2 2" xfId="6719" xr:uid="{00000000-0005-0000-0000-00001A150000}"/>
    <cellStyle name="Обычный 3 3 2 2 4 2 3" xfId="6720" xr:uid="{00000000-0005-0000-0000-00001B150000}"/>
    <cellStyle name="Обычный 3 3 2 2 4 3" xfId="6721" xr:uid="{00000000-0005-0000-0000-00001C150000}"/>
    <cellStyle name="Обычный 3 3 2 2 4 4" xfId="6722" xr:uid="{00000000-0005-0000-0000-00001D150000}"/>
    <cellStyle name="Обычный 3 3 2 2 5" xfId="6723" xr:uid="{00000000-0005-0000-0000-00001E150000}"/>
    <cellStyle name="Обычный 3 3 2 2 5 2" xfId="6724" xr:uid="{00000000-0005-0000-0000-00001F150000}"/>
    <cellStyle name="Обычный 3 3 2 2 5 3" xfId="6725" xr:uid="{00000000-0005-0000-0000-000020150000}"/>
    <cellStyle name="Обычный 3 3 2 2 6" xfId="6726" xr:uid="{00000000-0005-0000-0000-000021150000}"/>
    <cellStyle name="Обычный 3 3 2 2 6 2" xfId="6727" xr:uid="{00000000-0005-0000-0000-000022150000}"/>
    <cellStyle name="Обычный 3 3 2 2 7" xfId="6728" xr:uid="{00000000-0005-0000-0000-000023150000}"/>
    <cellStyle name="Обычный 3 3 2 2 8" xfId="6729" xr:uid="{00000000-0005-0000-0000-000024150000}"/>
    <cellStyle name="Обычный 3 3 2 3" xfId="6730" xr:uid="{00000000-0005-0000-0000-000025150000}"/>
    <cellStyle name="Обычный 3 3 2 3 2" xfId="6731" xr:uid="{00000000-0005-0000-0000-000026150000}"/>
    <cellStyle name="Обычный 3 3 2 3 2 2" xfId="6732" xr:uid="{00000000-0005-0000-0000-000027150000}"/>
    <cellStyle name="Обычный 3 3 2 3 2 2 2" xfId="6733" xr:uid="{00000000-0005-0000-0000-000028150000}"/>
    <cellStyle name="Обычный 3 3 2 3 2 2 2 2" xfId="6734" xr:uid="{00000000-0005-0000-0000-000029150000}"/>
    <cellStyle name="Обычный 3 3 2 3 2 2 2 3" xfId="6735" xr:uid="{00000000-0005-0000-0000-00002A150000}"/>
    <cellStyle name="Обычный 3 3 2 3 2 2 3" xfId="6736" xr:uid="{00000000-0005-0000-0000-00002B150000}"/>
    <cellStyle name="Обычный 3 3 2 3 2 2 4" xfId="6737" xr:uid="{00000000-0005-0000-0000-00002C150000}"/>
    <cellStyle name="Обычный 3 3 2 3 2 3" xfId="6738" xr:uid="{00000000-0005-0000-0000-00002D150000}"/>
    <cellStyle name="Обычный 3 3 2 3 2 3 2" xfId="6739" xr:uid="{00000000-0005-0000-0000-00002E150000}"/>
    <cellStyle name="Обычный 3 3 2 3 2 3 3" xfId="6740" xr:uid="{00000000-0005-0000-0000-00002F150000}"/>
    <cellStyle name="Обычный 3 3 2 3 2 4" xfId="6741" xr:uid="{00000000-0005-0000-0000-000030150000}"/>
    <cellStyle name="Обычный 3 3 2 3 2 4 2" xfId="6742" xr:uid="{00000000-0005-0000-0000-000031150000}"/>
    <cellStyle name="Обычный 3 3 2 3 2 5" xfId="6743" xr:uid="{00000000-0005-0000-0000-000032150000}"/>
    <cellStyle name="Обычный 3 3 2 3 2 6" xfId="6744" xr:uid="{00000000-0005-0000-0000-000033150000}"/>
    <cellStyle name="Обычный 3 3 2 3 3" xfId="6745" xr:uid="{00000000-0005-0000-0000-000034150000}"/>
    <cellStyle name="Обычный 3 3 2 3 3 2" xfId="6746" xr:uid="{00000000-0005-0000-0000-000035150000}"/>
    <cellStyle name="Обычный 3 3 2 3 3 2 2" xfId="6747" xr:uid="{00000000-0005-0000-0000-000036150000}"/>
    <cellStyle name="Обычный 3 3 2 3 3 2 3" xfId="6748" xr:uid="{00000000-0005-0000-0000-000037150000}"/>
    <cellStyle name="Обычный 3 3 2 3 3 3" xfId="6749" xr:uid="{00000000-0005-0000-0000-000038150000}"/>
    <cellStyle name="Обычный 3 3 2 3 3 4" xfId="6750" xr:uid="{00000000-0005-0000-0000-000039150000}"/>
    <cellStyle name="Обычный 3 3 2 3 4" xfId="6751" xr:uid="{00000000-0005-0000-0000-00003A150000}"/>
    <cellStyle name="Обычный 3 3 2 3 4 2" xfId="6752" xr:uid="{00000000-0005-0000-0000-00003B150000}"/>
    <cellStyle name="Обычный 3 3 2 3 4 3" xfId="6753" xr:uid="{00000000-0005-0000-0000-00003C150000}"/>
    <cellStyle name="Обычный 3 3 2 3 5" xfId="6754" xr:uid="{00000000-0005-0000-0000-00003D150000}"/>
    <cellStyle name="Обычный 3 3 2 3 5 2" xfId="6755" xr:uid="{00000000-0005-0000-0000-00003E150000}"/>
    <cellStyle name="Обычный 3 3 2 3 6" xfId="6756" xr:uid="{00000000-0005-0000-0000-00003F150000}"/>
    <cellStyle name="Обычный 3 3 2 3 7" xfId="6757" xr:uid="{00000000-0005-0000-0000-000040150000}"/>
    <cellStyle name="Обычный 3 3 2 4" xfId="6758" xr:uid="{00000000-0005-0000-0000-000041150000}"/>
    <cellStyle name="Обычный 3 3 2 4 2" xfId="6759" xr:uid="{00000000-0005-0000-0000-000042150000}"/>
    <cellStyle name="Обычный 3 3 2 4 2 2" xfId="6760" xr:uid="{00000000-0005-0000-0000-000043150000}"/>
    <cellStyle name="Обычный 3 3 2 4 2 2 2" xfId="6761" xr:uid="{00000000-0005-0000-0000-000044150000}"/>
    <cellStyle name="Обычный 3 3 2 4 2 2 3" xfId="6762" xr:uid="{00000000-0005-0000-0000-000045150000}"/>
    <cellStyle name="Обычный 3 3 2 4 2 3" xfId="6763" xr:uid="{00000000-0005-0000-0000-000046150000}"/>
    <cellStyle name="Обычный 3 3 2 4 2 4" xfId="6764" xr:uid="{00000000-0005-0000-0000-000047150000}"/>
    <cellStyle name="Обычный 3 3 2 4 3" xfId="6765" xr:uid="{00000000-0005-0000-0000-000048150000}"/>
    <cellStyle name="Обычный 3 3 2 4 3 2" xfId="6766" xr:uid="{00000000-0005-0000-0000-000049150000}"/>
    <cellStyle name="Обычный 3 3 2 4 3 3" xfId="6767" xr:uid="{00000000-0005-0000-0000-00004A150000}"/>
    <cellStyle name="Обычный 3 3 2 4 4" xfId="6768" xr:uid="{00000000-0005-0000-0000-00004B150000}"/>
    <cellStyle name="Обычный 3 3 2 4 4 2" xfId="6769" xr:uid="{00000000-0005-0000-0000-00004C150000}"/>
    <cellStyle name="Обычный 3 3 2 4 5" xfId="6770" xr:uid="{00000000-0005-0000-0000-00004D150000}"/>
    <cellStyle name="Обычный 3 3 2 4 6" xfId="6771" xr:uid="{00000000-0005-0000-0000-00004E150000}"/>
    <cellStyle name="Обычный 3 3 2 5" xfId="6772" xr:uid="{00000000-0005-0000-0000-00004F150000}"/>
    <cellStyle name="Обычный 3 3 2 5 2" xfId="6773" xr:uid="{00000000-0005-0000-0000-000050150000}"/>
    <cellStyle name="Обычный 3 3 2 5 2 2" xfId="6774" xr:uid="{00000000-0005-0000-0000-000051150000}"/>
    <cellStyle name="Обычный 3 3 2 5 2 3" xfId="6775" xr:uid="{00000000-0005-0000-0000-000052150000}"/>
    <cellStyle name="Обычный 3 3 2 5 3" xfId="6776" xr:uid="{00000000-0005-0000-0000-000053150000}"/>
    <cellStyle name="Обычный 3 3 2 5 4" xfId="6777" xr:uid="{00000000-0005-0000-0000-000054150000}"/>
    <cellStyle name="Обычный 3 3 2 6" xfId="6778" xr:uid="{00000000-0005-0000-0000-000055150000}"/>
    <cellStyle name="Обычный 3 3 2 6 2" xfId="6779" xr:uid="{00000000-0005-0000-0000-000056150000}"/>
    <cellStyle name="Обычный 3 3 2 6 3" xfId="6780" xr:uid="{00000000-0005-0000-0000-000057150000}"/>
    <cellStyle name="Обычный 3 3 2 7" xfId="6781" xr:uid="{00000000-0005-0000-0000-000058150000}"/>
    <cellStyle name="Обычный 3 3 2 7 2" xfId="6782" xr:uid="{00000000-0005-0000-0000-000059150000}"/>
    <cellStyle name="Обычный 3 3 2 8" xfId="6783" xr:uid="{00000000-0005-0000-0000-00005A150000}"/>
    <cellStyle name="Обычный 3 3 2 9" xfId="6784" xr:uid="{00000000-0005-0000-0000-00005B150000}"/>
    <cellStyle name="Обычный 3 3 3" xfId="3646" xr:uid="{00000000-0005-0000-0000-00005C150000}"/>
    <cellStyle name="Обычный 3 3 3 2" xfId="6785" xr:uid="{00000000-0005-0000-0000-00005D150000}"/>
    <cellStyle name="Обычный 3 3 3 2 2" xfId="6786" xr:uid="{00000000-0005-0000-0000-00005E150000}"/>
    <cellStyle name="Обычный 3 3 3 2 2 2" xfId="6787" xr:uid="{00000000-0005-0000-0000-00005F150000}"/>
    <cellStyle name="Обычный 3 3 3 2 2 2 2" xfId="6788" xr:uid="{00000000-0005-0000-0000-000060150000}"/>
    <cellStyle name="Обычный 3 3 3 2 2 2 2 2" xfId="6789" xr:uid="{00000000-0005-0000-0000-000061150000}"/>
    <cellStyle name="Обычный 3 3 3 2 2 2 2 3" xfId="6790" xr:uid="{00000000-0005-0000-0000-000062150000}"/>
    <cellStyle name="Обычный 3 3 3 2 2 2 3" xfId="6791" xr:uid="{00000000-0005-0000-0000-000063150000}"/>
    <cellStyle name="Обычный 3 3 3 2 2 2 4" xfId="6792" xr:uid="{00000000-0005-0000-0000-000064150000}"/>
    <cellStyle name="Обычный 3 3 3 2 2 3" xfId="6793" xr:uid="{00000000-0005-0000-0000-000065150000}"/>
    <cellStyle name="Обычный 3 3 3 2 2 3 2" xfId="6794" xr:uid="{00000000-0005-0000-0000-000066150000}"/>
    <cellStyle name="Обычный 3 3 3 2 2 3 3" xfId="6795" xr:uid="{00000000-0005-0000-0000-000067150000}"/>
    <cellStyle name="Обычный 3 3 3 2 2 4" xfId="6796" xr:uid="{00000000-0005-0000-0000-000068150000}"/>
    <cellStyle name="Обычный 3 3 3 2 2 4 2" xfId="6797" xr:uid="{00000000-0005-0000-0000-000069150000}"/>
    <cellStyle name="Обычный 3 3 3 2 2 5" xfId="6798" xr:uid="{00000000-0005-0000-0000-00006A150000}"/>
    <cellStyle name="Обычный 3 3 3 2 2 6" xfId="6799" xr:uid="{00000000-0005-0000-0000-00006B150000}"/>
    <cellStyle name="Обычный 3 3 3 2 3" xfId="6800" xr:uid="{00000000-0005-0000-0000-00006C150000}"/>
    <cellStyle name="Обычный 3 3 3 2 3 2" xfId="6801" xr:uid="{00000000-0005-0000-0000-00006D150000}"/>
    <cellStyle name="Обычный 3 3 3 2 3 2 2" xfId="6802" xr:uid="{00000000-0005-0000-0000-00006E150000}"/>
    <cellStyle name="Обычный 3 3 3 2 3 2 3" xfId="6803" xr:uid="{00000000-0005-0000-0000-00006F150000}"/>
    <cellStyle name="Обычный 3 3 3 2 3 3" xfId="6804" xr:uid="{00000000-0005-0000-0000-000070150000}"/>
    <cellStyle name="Обычный 3 3 3 2 3 4" xfId="6805" xr:uid="{00000000-0005-0000-0000-000071150000}"/>
    <cellStyle name="Обычный 3 3 3 2 4" xfId="6806" xr:uid="{00000000-0005-0000-0000-000072150000}"/>
    <cellStyle name="Обычный 3 3 3 2 4 2" xfId="6807" xr:uid="{00000000-0005-0000-0000-000073150000}"/>
    <cellStyle name="Обычный 3 3 3 2 4 3" xfId="6808" xr:uid="{00000000-0005-0000-0000-000074150000}"/>
    <cellStyle name="Обычный 3 3 3 2 5" xfId="6809" xr:uid="{00000000-0005-0000-0000-000075150000}"/>
    <cellStyle name="Обычный 3 3 3 2 5 2" xfId="6810" xr:uid="{00000000-0005-0000-0000-000076150000}"/>
    <cellStyle name="Обычный 3 3 3 2 6" xfId="6811" xr:uid="{00000000-0005-0000-0000-000077150000}"/>
    <cellStyle name="Обычный 3 3 3 2 7" xfId="6812" xr:uid="{00000000-0005-0000-0000-000078150000}"/>
    <cellStyle name="Обычный 3 3 3 3" xfId="6813" xr:uid="{00000000-0005-0000-0000-000079150000}"/>
    <cellStyle name="Обычный 3 3 3 3 2" xfId="6814" xr:uid="{00000000-0005-0000-0000-00007A150000}"/>
    <cellStyle name="Обычный 3 3 3 3 2 2" xfId="6815" xr:uid="{00000000-0005-0000-0000-00007B150000}"/>
    <cellStyle name="Обычный 3 3 3 3 2 2 2" xfId="6816" xr:uid="{00000000-0005-0000-0000-00007C150000}"/>
    <cellStyle name="Обычный 3 3 3 3 2 2 3" xfId="6817" xr:uid="{00000000-0005-0000-0000-00007D150000}"/>
    <cellStyle name="Обычный 3 3 3 3 2 3" xfId="6818" xr:uid="{00000000-0005-0000-0000-00007E150000}"/>
    <cellStyle name="Обычный 3 3 3 3 2 4" xfId="6819" xr:uid="{00000000-0005-0000-0000-00007F150000}"/>
    <cellStyle name="Обычный 3 3 3 3 3" xfId="6820" xr:uid="{00000000-0005-0000-0000-000080150000}"/>
    <cellStyle name="Обычный 3 3 3 3 3 2" xfId="6821" xr:uid="{00000000-0005-0000-0000-000081150000}"/>
    <cellStyle name="Обычный 3 3 3 3 3 3" xfId="6822" xr:uid="{00000000-0005-0000-0000-000082150000}"/>
    <cellStyle name="Обычный 3 3 3 3 4" xfId="6823" xr:uid="{00000000-0005-0000-0000-000083150000}"/>
    <cellStyle name="Обычный 3 3 3 3 4 2" xfId="6824" xr:uid="{00000000-0005-0000-0000-000084150000}"/>
    <cellStyle name="Обычный 3 3 3 3 5" xfId="6825" xr:uid="{00000000-0005-0000-0000-000085150000}"/>
    <cellStyle name="Обычный 3 3 3 3 6" xfId="6826" xr:uid="{00000000-0005-0000-0000-000086150000}"/>
    <cellStyle name="Обычный 3 3 3 4" xfId="6827" xr:uid="{00000000-0005-0000-0000-000087150000}"/>
    <cellStyle name="Обычный 3 3 3 4 2" xfId="6828" xr:uid="{00000000-0005-0000-0000-000088150000}"/>
    <cellStyle name="Обычный 3 3 3 4 2 2" xfId="6829" xr:uid="{00000000-0005-0000-0000-000089150000}"/>
    <cellStyle name="Обычный 3 3 3 4 2 3" xfId="6830" xr:uid="{00000000-0005-0000-0000-00008A150000}"/>
    <cellStyle name="Обычный 3 3 3 4 3" xfId="6831" xr:uid="{00000000-0005-0000-0000-00008B150000}"/>
    <cellStyle name="Обычный 3 3 3 4 4" xfId="6832" xr:uid="{00000000-0005-0000-0000-00008C150000}"/>
    <cellStyle name="Обычный 3 3 3 5" xfId="6833" xr:uid="{00000000-0005-0000-0000-00008D150000}"/>
    <cellStyle name="Обычный 3 3 3 5 2" xfId="6834" xr:uid="{00000000-0005-0000-0000-00008E150000}"/>
    <cellStyle name="Обычный 3 3 3 5 3" xfId="6835" xr:uid="{00000000-0005-0000-0000-00008F150000}"/>
    <cellStyle name="Обычный 3 3 3 6" xfId="6836" xr:uid="{00000000-0005-0000-0000-000090150000}"/>
    <cellStyle name="Обычный 3 3 3 6 2" xfId="6837" xr:uid="{00000000-0005-0000-0000-000091150000}"/>
    <cellStyle name="Обычный 3 3 3 7" xfId="6838" xr:uid="{00000000-0005-0000-0000-000092150000}"/>
    <cellStyle name="Обычный 3 3 3 8" xfId="6839" xr:uid="{00000000-0005-0000-0000-000093150000}"/>
    <cellStyle name="Обычный 3 3 4" xfId="6840" xr:uid="{00000000-0005-0000-0000-000094150000}"/>
    <cellStyle name="Обычный 3 3 4 2" xfId="6841" xr:uid="{00000000-0005-0000-0000-000095150000}"/>
    <cellStyle name="Обычный 3 3 4 2 2" xfId="6842" xr:uid="{00000000-0005-0000-0000-000096150000}"/>
    <cellStyle name="Обычный 3 3 4 2 2 2" xfId="6843" xr:uid="{00000000-0005-0000-0000-000097150000}"/>
    <cellStyle name="Обычный 3 3 4 2 2 2 2" xfId="6844" xr:uid="{00000000-0005-0000-0000-000098150000}"/>
    <cellStyle name="Обычный 3 3 4 2 2 2 3" xfId="6845" xr:uid="{00000000-0005-0000-0000-000099150000}"/>
    <cellStyle name="Обычный 3 3 4 2 2 3" xfId="6846" xr:uid="{00000000-0005-0000-0000-00009A150000}"/>
    <cellStyle name="Обычный 3 3 4 2 2 4" xfId="6847" xr:uid="{00000000-0005-0000-0000-00009B150000}"/>
    <cellStyle name="Обычный 3 3 4 2 3" xfId="6848" xr:uid="{00000000-0005-0000-0000-00009C150000}"/>
    <cellStyle name="Обычный 3 3 4 2 3 2" xfId="6849" xr:uid="{00000000-0005-0000-0000-00009D150000}"/>
    <cellStyle name="Обычный 3 3 4 2 3 3" xfId="6850" xr:uid="{00000000-0005-0000-0000-00009E150000}"/>
    <cellStyle name="Обычный 3 3 4 2 4" xfId="6851" xr:uid="{00000000-0005-0000-0000-00009F150000}"/>
    <cellStyle name="Обычный 3 3 4 2 4 2" xfId="6852" xr:uid="{00000000-0005-0000-0000-0000A0150000}"/>
    <cellStyle name="Обычный 3 3 4 2 5" xfId="6853" xr:uid="{00000000-0005-0000-0000-0000A1150000}"/>
    <cellStyle name="Обычный 3 3 4 2 6" xfId="6854" xr:uid="{00000000-0005-0000-0000-0000A2150000}"/>
    <cellStyle name="Обычный 3 3 4 3" xfId="6855" xr:uid="{00000000-0005-0000-0000-0000A3150000}"/>
    <cellStyle name="Обычный 3 3 4 3 2" xfId="6856" xr:uid="{00000000-0005-0000-0000-0000A4150000}"/>
    <cellStyle name="Обычный 3 3 4 3 2 2" xfId="6857" xr:uid="{00000000-0005-0000-0000-0000A5150000}"/>
    <cellStyle name="Обычный 3 3 4 3 2 3" xfId="6858" xr:uid="{00000000-0005-0000-0000-0000A6150000}"/>
    <cellStyle name="Обычный 3 3 4 3 3" xfId="6859" xr:uid="{00000000-0005-0000-0000-0000A7150000}"/>
    <cellStyle name="Обычный 3 3 4 3 4" xfId="6860" xr:uid="{00000000-0005-0000-0000-0000A8150000}"/>
    <cellStyle name="Обычный 3 3 4 4" xfId="6861" xr:uid="{00000000-0005-0000-0000-0000A9150000}"/>
    <cellStyle name="Обычный 3 3 4 4 2" xfId="6862" xr:uid="{00000000-0005-0000-0000-0000AA150000}"/>
    <cellStyle name="Обычный 3 3 4 4 3" xfId="6863" xr:uid="{00000000-0005-0000-0000-0000AB150000}"/>
    <cellStyle name="Обычный 3 3 4 5" xfId="6864" xr:uid="{00000000-0005-0000-0000-0000AC150000}"/>
    <cellStyle name="Обычный 3 3 4 5 2" xfId="6865" xr:uid="{00000000-0005-0000-0000-0000AD150000}"/>
    <cellStyle name="Обычный 3 3 4 6" xfId="6866" xr:uid="{00000000-0005-0000-0000-0000AE150000}"/>
    <cellStyle name="Обычный 3 3 4 7" xfId="6867" xr:uid="{00000000-0005-0000-0000-0000AF150000}"/>
    <cellStyle name="Обычный 3 3 5" xfId="6868" xr:uid="{00000000-0005-0000-0000-0000B0150000}"/>
    <cellStyle name="Обычный 3 3 5 2" xfId="6869" xr:uid="{00000000-0005-0000-0000-0000B1150000}"/>
    <cellStyle name="Обычный 3 3 5 2 2" xfId="6870" xr:uid="{00000000-0005-0000-0000-0000B2150000}"/>
    <cellStyle name="Обычный 3 3 5 2 2 2" xfId="6871" xr:uid="{00000000-0005-0000-0000-0000B3150000}"/>
    <cellStyle name="Обычный 3 3 5 2 2 3" xfId="6872" xr:uid="{00000000-0005-0000-0000-0000B4150000}"/>
    <cellStyle name="Обычный 3 3 5 2 3" xfId="6873" xr:uid="{00000000-0005-0000-0000-0000B5150000}"/>
    <cellStyle name="Обычный 3 3 5 2 4" xfId="6874" xr:uid="{00000000-0005-0000-0000-0000B6150000}"/>
    <cellStyle name="Обычный 3 3 5 3" xfId="6875" xr:uid="{00000000-0005-0000-0000-0000B7150000}"/>
    <cellStyle name="Обычный 3 3 5 3 2" xfId="6876" xr:uid="{00000000-0005-0000-0000-0000B8150000}"/>
    <cellStyle name="Обычный 3 3 5 3 3" xfId="6877" xr:uid="{00000000-0005-0000-0000-0000B9150000}"/>
    <cellStyle name="Обычный 3 3 5 4" xfId="6878" xr:uid="{00000000-0005-0000-0000-0000BA150000}"/>
    <cellStyle name="Обычный 3 3 5 4 2" xfId="6879" xr:uid="{00000000-0005-0000-0000-0000BB150000}"/>
    <cellStyle name="Обычный 3 3 5 5" xfId="6880" xr:uid="{00000000-0005-0000-0000-0000BC150000}"/>
    <cellStyle name="Обычный 3 3 5 6" xfId="6881" xr:uid="{00000000-0005-0000-0000-0000BD150000}"/>
    <cellStyle name="Обычный 3 3 6" xfId="6882" xr:uid="{00000000-0005-0000-0000-0000BE150000}"/>
    <cellStyle name="Обычный 3 3 6 2" xfId="6883" xr:uid="{00000000-0005-0000-0000-0000BF150000}"/>
    <cellStyle name="Обычный 3 3 6 2 2" xfId="6884" xr:uid="{00000000-0005-0000-0000-0000C0150000}"/>
    <cellStyle name="Обычный 3 3 6 2 3" xfId="6885" xr:uid="{00000000-0005-0000-0000-0000C1150000}"/>
    <cellStyle name="Обычный 3 3 6 3" xfId="6886" xr:uid="{00000000-0005-0000-0000-0000C2150000}"/>
    <cellStyle name="Обычный 3 3 6 4" xfId="6887" xr:uid="{00000000-0005-0000-0000-0000C3150000}"/>
    <cellStyle name="Обычный 3 3 7" xfId="6888" xr:uid="{00000000-0005-0000-0000-0000C4150000}"/>
    <cellStyle name="Обычный 3 3 7 2" xfId="6889" xr:uid="{00000000-0005-0000-0000-0000C5150000}"/>
    <cellStyle name="Обычный 3 3 7 3" xfId="6890" xr:uid="{00000000-0005-0000-0000-0000C6150000}"/>
    <cellStyle name="Обычный 3 3 8" xfId="6891" xr:uid="{00000000-0005-0000-0000-0000C7150000}"/>
    <cellStyle name="Обычный 3 3 8 2" xfId="6892" xr:uid="{00000000-0005-0000-0000-0000C8150000}"/>
    <cellStyle name="Обычный 3 3 9" xfId="6893" xr:uid="{00000000-0005-0000-0000-0000C9150000}"/>
    <cellStyle name="Обычный 3 3_Свод гостин" xfId="3647" xr:uid="{00000000-0005-0000-0000-0000CA150000}"/>
    <cellStyle name="Обычный 3 4" xfId="3648" xr:uid="{00000000-0005-0000-0000-0000CB150000}"/>
    <cellStyle name="Обычный 3 4 10" xfId="6894" xr:uid="{00000000-0005-0000-0000-0000CC150000}"/>
    <cellStyle name="Обычный 3 4 10 2 4" xfId="6895" xr:uid="{00000000-0005-0000-0000-0000CD150000}"/>
    <cellStyle name="Обычный 3 4 11" xfId="6896" xr:uid="{00000000-0005-0000-0000-0000CE150000}"/>
    <cellStyle name="Обычный 3 4 11 3" xfId="3649" xr:uid="{00000000-0005-0000-0000-0000CF150000}"/>
    <cellStyle name="Обычный 3 4 12" xfId="6897" xr:uid="{00000000-0005-0000-0000-0000D0150000}"/>
    <cellStyle name="Обычный 3 4 15" xfId="3650" xr:uid="{00000000-0005-0000-0000-0000D1150000}"/>
    <cellStyle name="Обычный 3 4 15 2" xfId="6898" xr:uid="{00000000-0005-0000-0000-0000D2150000}"/>
    <cellStyle name="Обычный 3 4 2" xfId="3651" xr:uid="{00000000-0005-0000-0000-0000D3150000}"/>
    <cellStyle name="Обычный 3 4 2 2" xfId="6899" xr:uid="{00000000-0005-0000-0000-0000D4150000}"/>
    <cellStyle name="Обычный 3 4 2 2 2" xfId="6900" xr:uid="{00000000-0005-0000-0000-0000D5150000}"/>
    <cellStyle name="Обычный 3 4 2 2 2 2" xfId="6901" xr:uid="{00000000-0005-0000-0000-0000D6150000}"/>
    <cellStyle name="Обычный 3 4 2 2 2 2 2" xfId="6902" xr:uid="{00000000-0005-0000-0000-0000D7150000}"/>
    <cellStyle name="Обычный 3 4 2 2 2 2 2 2" xfId="6903" xr:uid="{00000000-0005-0000-0000-0000D8150000}"/>
    <cellStyle name="Обычный 3 4 2 2 2 2 2 2 2" xfId="6904" xr:uid="{00000000-0005-0000-0000-0000D9150000}"/>
    <cellStyle name="Обычный 3 4 2 2 2 2 2 2 3" xfId="6905" xr:uid="{00000000-0005-0000-0000-0000DA150000}"/>
    <cellStyle name="Обычный 3 4 2 2 2 2 2 3" xfId="6906" xr:uid="{00000000-0005-0000-0000-0000DB150000}"/>
    <cellStyle name="Обычный 3 4 2 2 2 2 2 4" xfId="6907" xr:uid="{00000000-0005-0000-0000-0000DC150000}"/>
    <cellStyle name="Обычный 3 4 2 2 2 2 3" xfId="6908" xr:uid="{00000000-0005-0000-0000-0000DD150000}"/>
    <cellStyle name="Обычный 3 4 2 2 2 2 3 2" xfId="6909" xr:uid="{00000000-0005-0000-0000-0000DE150000}"/>
    <cellStyle name="Обычный 3 4 2 2 2 2 3 3" xfId="6910" xr:uid="{00000000-0005-0000-0000-0000DF150000}"/>
    <cellStyle name="Обычный 3 4 2 2 2 2 4" xfId="6911" xr:uid="{00000000-0005-0000-0000-0000E0150000}"/>
    <cellStyle name="Обычный 3 4 2 2 2 2 4 2" xfId="6912" xr:uid="{00000000-0005-0000-0000-0000E1150000}"/>
    <cellStyle name="Обычный 3 4 2 2 2 2 5" xfId="6913" xr:uid="{00000000-0005-0000-0000-0000E2150000}"/>
    <cellStyle name="Обычный 3 4 2 2 2 2 6" xfId="6914" xr:uid="{00000000-0005-0000-0000-0000E3150000}"/>
    <cellStyle name="Обычный 3 4 2 2 2 3" xfId="6915" xr:uid="{00000000-0005-0000-0000-0000E4150000}"/>
    <cellStyle name="Обычный 3 4 2 2 2 3 2" xfId="6916" xr:uid="{00000000-0005-0000-0000-0000E5150000}"/>
    <cellStyle name="Обычный 3 4 2 2 2 3 2 2" xfId="6917" xr:uid="{00000000-0005-0000-0000-0000E6150000}"/>
    <cellStyle name="Обычный 3 4 2 2 2 3 2 3" xfId="6918" xr:uid="{00000000-0005-0000-0000-0000E7150000}"/>
    <cellStyle name="Обычный 3 4 2 2 2 3 3" xfId="6919" xr:uid="{00000000-0005-0000-0000-0000E8150000}"/>
    <cellStyle name="Обычный 3 4 2 2 2 3 4" xfId="6920" xr:uid="{00000000-0005-0000-0000-0000E9150000}"/>
    <cellStyle name="Обычный 3 4 2 2 2 4" xfId="6921" xr:uid="{00000000-0005-0000-0000-0000EA150000}"/>
    <cellStyle name="Обычный 3 4 2 2 2 4 2" xfId="6922" xr:uid="{00000000-0005-0000-0000-0000EB150000}"/>
    <cellStyle name="Обычный 3 4 2 2 2 4 3" xfId="6923" xr:uid="{00000000-0005-0000-0000-0000EC150000}"/>
    <cellStyle name="Обычный 3 4 2 2 2 5" xfId="6924" xr:uid="{00000000-0005-0000-0000-0000ED150000}"/>
    <cellStyle name="Обычный 3 4 2 2 2 5 2" xfId="6925" xr:uid="{00000000-0005-0000-0000-0000EE150000}"/>
    <cellStyle name="Обычный 3 4 2 2 2 6" xfId="6926" xr:uid="{00000000-0005-0000-0000-0000EF150000}"/>
    <cellStyle name="Обычный 3 4 2 2 2 7" xfId="6927" xr:uid="{00000000-0005-0000-0000-0000F0150000}"/>
    <cellStyle name="Обычный 3 4 2 2 3" xfId="6928" xr:uid="{00000000-0005-0000-0000-0000F1150000}"/>
    <cellStyle name="Обычный 3 4 2 2 3 2" xfId="6929" xr:uid="{00000000-0005-0000-0000-0000F2150000}"/>
    <cellStyle name="Обычный 3 4 2 2 3 2 2" xfId="6930" xr:uid="{00000000-0005-0000-0000-0000F3150000}"/>
    <cellStyle name="Обычный 3 4 2 2 3 2 2 2" xfId="6931" xr:uid="{00000000-0005-0000-0000-0000F4150000}"/>
    <cellStyle name="Обычный 3 4 2 2 3 2 2 3" xfId="6932" xr:uid="{00000000-0005-0000-0000-0000F5150000}"/>
    <cellStyle name="Обычный 3 4 2 2 3 2 3" xfId="6933" xr:uid="{00000000-0005-0000-0000-0000F6150000}"/>
    <cellStyle name="Обычный 3 4 2 2 3 2 4" xfId="6934" xr:uid="{00000000-0005-0000-0000-0000F7150000}"/>
    <cellStyle name="Обычный 3 4 2 2 3 3" xfId="6935" xr:uid="{00000000-0005-0000-0000-0000F8150000}"/>
    <cellStyle name="Обычный 3 4 2 2 3 3 2" xfId="6936" xr:uid="{00000000-0005-0000-0000-0000F9150000}"/>
    <cellStyle name="Обычный 3 4 2 2 3 3 3" xfId="6937" xr:uid="{00000000-0005-0000-0000-0000FA150000}"/>
    <cellStyle name="Обычный 3 4 2 2 3 4" xfId="6938" xr:uid="{00000000-0005-0000-0000-0000FB150000}"/>
    <cellStyle name="Обычный 3 4 2 2 3 4 2" xfId="6939" xr:uid="{00000000-0005-0000-0000-0000FC150000}"/>
    <cellStyle name="Обычный 3 4 2 2 3 5" xfId="6940" xr:uid="{00000000-0005-0000-0000-0000FD150000}"/>
    <cellStyle name="Обычный 3 4 2 2 3 6" xfId="6941" xr:uid="{00000000-0005-0000-0000-0000FE150000}"/>
    <cellStyle name="Обычный 3 4 2 2 3 7" xfId="6942" xr:uid="{00000000-0005-0000-0000-0000FF150000}"/>
    <cellStyle name="Обычный 3 4 2 2 3 8" xfId="6943" xr:uid="{00000000-0005-0000-0000-000000160000}"/>
    <cellStyle name="Обычный 3 4 2 2 4" xfId="6944" xr:uid="{00000000-0005-0000-0000-000001160000}"/>
    <cellStyle name="Обычный 3 4 2 2 4 2" xfId="6945" xr:uid="{00000000-0005-0000-0000-000002160000}"/>
    <cellStyle name="Обычный 3 4 2 2 4 2 2" xfId="6946" xr:uid="{00000000-0005-0000-0000-000003160000}"/>
    <cellStyle name="Обычный 3 4 2 2 4 2 3" xfId="6947" xr:uid="{00000000-0005-0000-0000-000004160000}"/>
    <cellStyle name="Обычный 3 4 2 2 4 3" xfId="6948" xr:uid="{00000000-0005-0000-0000-000005160000}"/>
    <cellStyle name="Обычный 3 4 2 2 4 4" xfId="6949" xr:uid="{00000000-0005-0000-0000-000006160000}"/>
    <cellStyle name="Обычный 3 4 2 2 5" xfId="6950" xr:uid="{00000000-0005-0000-0000-000007160000}"/>
    <cellStyle name="Обычный 3 4 2 2 5 2" xfId="6951" xr:uid="{00000000-0005-0000-0000-000008160000}"/>
    <cellStyle name="Обычный 3 4 2 2 5 3" xfId="6952" xr:uid="{00000000-0005-0000-0000-000009160000}"/>
    <cellStyle name="Обычный 3 4 2 2 6" xfId="6953" xr:uid="{00000000-0005-0000-0000-00000A160000}"/>
    <cellStyle name="Обычный 3 4 2 2 6 2" xfId="6954" xr:uid="{00000000-0005-0000-0000-00000B160000}"/>
    <cellStyle name="Обычный 3 4 2 2 7" xfId="6955" xr:uid="{00000000-0005-0000-0000-00000C160000}"/>
    <cellStyle name="Обычный 3 4 2 2 8" xfId="6956" xr:uid="{00000000-0005-0000-0000-00000D160000}"/>
    <cellStyle name="Обычный 3 4 2 3" xfId="6957" xr:uid="{00000000-0005-0000-0000-00000E160000}"/>
    <cellStyle name="Обычный 3 4 2 3 2" xfId="6958" xr:uid="{00000000-0005-0000-0000-00000F160000}"/>
    <cellStyle name="Обычный 3 4 2 3 2 2" xfId="6959" xr:uid="{00000000-0005-0000-0000-000010160000}"/>
    <cellStyle name="Обычный 3 4 2 3 2 2 2" xfId="6960" xr:uid="{00000000-0005-0000-0000-000011160000}"/>
    <cellStyle name="Обычный 3 4 2 3 2 2 2 2" xfId="6961" xr:uid="{00000000-0005-0000-0000-000012160000}"/>
    <cellStyle name="Обычный 3 4 2 3 2 2 2 3" xfId="6962" xr:uid="{00000000-0005-0000-0000-000013160000}"/>
    <cellStyle name="Обычный 3 4 2 3 2 2 3" xfId="6963" xr:uid="{00000000-0005-0000-0000-000014160000}"/>
    <cellStyle name="Обычный 3 4 2 3 2 2 4" xfId="6964" xr:uid="{00000000-0005-0000-0000-000015160000}"/>
    <cellStyle name="Обычный 3 4 2 3 2 3" xfId="6965" xr:uid="{00000000-0005-0000-0000-000016160000}"/>
    <cellStyle name="Обычный 3 4 2 3 2 3 2" xfId="6966" xr:uid="{00000000-0005-0000-0000-000017160000}"/>
    <cellStyle name="Обычный 3 4 2 3 2 3 3" xfId="6967" xr:uid="{00000000-0005-0000-0000-000018160000}"/>
    <cellStyle name="Обычный 3 4 2 3 2 4" xfId="6968" xr:uid="{00000000-0005-0000-0000-000019160000}"/>
    <cellStyle name="Обычный 3 4 2 3 2 4 2" xfId="6969" xr:uid="{00000000-0005-0000-0000-00001A160000}"/>
    <cellStyle name="Обычный 3 4 2 3 2 5" xfId="6970" xr:uid="{00000000-0005-0000-0000-00001B160000}"/>
    <cellStyle name="Обычный 3 4 2 3 2 6" xfId="6971" xr:uid="{00000000-0005-0000-0000-00001C160000}"/>
    <cellStyle name="Обычный 3 4 2 3 3" xfId="6972" xr:uid="{00000000-0005-0000-0000-00001D160000}"/>
    <cellStyle name="Обычный 3 4 2 3 3 2" xfId="6973" xr:uid="{00000000-0005-0000-0000-00001E160000}"/>
    <cellStyle name="Обычный 3 4 2 3 3 2 2" xfId="6974" xr:uid="{00000000-0005-0000-0000-00001F160000}"/>
    <cellStyle name="Обычный 3 4 2 3 3 2 3" xfId="6975" xr:uid="{00000000-0005-0000-0000-000020160000}"/>
    <cellStyle name="Обычный 3 4 2 3 3 3" xfId="6976" xr:uid="{00000000-0005-0000-0000-000021160000}"/>
    <cellStyle name="Обычный 3 4 2 3 3 4" xfId="6977" xr:uid="{00000000-0005-0000-0000-000022160000}"/>
    <cellStyle name="Обычный 3 4 2 3 4" xfId="6978" xr:uid="{00000000-0005-0000-0000-000023160000}"/>
    <cellStyle name="Обычный 3 4 2 3 4 2" xfId="6979" xr:uid="{00000000-0005-0000-0000-000024160000}"/>
    <cellStyle name="Обычный 3 4 2 3 4 3" xfId="6980" xr:uid="{00000000-0005-0000-0000-000025160000}"/>
    <cellStyle name="Обычный 3 4 2 3 5" xfId="6981" xr:uid="{00000000-0005-0000-0000-000026160000}"/>
    <cellStyle name="Обычный 3 4 2 3 5 2" xfId="6982" xr:uid="{00000000-0005-0000-0000-000027160000}"/>
    <cellStyle name="Обычный 3 4 2 3 6" xfId="6983" xr:uid="{00000000-0005-0000-0000-000028160000}"/>
    <cellStyle name="Обычный 3 4 2 3 7" xfId="6984" xr:uid="{00000000-0005-0000-0000-000029160000}"/>
    <cellStyle name="Обычный 3 4 2 4" xfId="6985" xr:uid="{00000000-0005-0000-0000-00002A160000}"/>
    <cellStyle name="Обычный 3 4 2 4 2" xfId="6986" xr:uid="{00000000-0005-0000-0000-00002B160000}"/>
    <cellStyle name="Обычный 3 4 2 4 2 2" xfId="6987" xr:uid="{00000000-0005-0000-0000-00002C160000}"/>
    <cellStyle name="Обычный 3 4 2 4 2 2 2" xfId="6988" xr:uid="{00000000-0005-0000-0000-00002D160000}"/>
    <cellStyle name="Обычный 3 4 2 4 2 2 3" xfId="6989" xr:uid="{00000000-0005-0000-0000-00002E160000}"/>
    <cellStyle name="Обычный 3 4 2 4 2 3" xfId="6990" xr:uid="{00000000-0005-0000-0000-00002F160000}"/>
    <cellStyle name="Обычный 3 4 2 4 2 4" xfId="6991" xr:uid="{00000000-0005-0000-0000-000030160000}"/>
    <cellStyle name="Обычный 3 4 2 4 3" xfId="6992" xr:uid="{00000000-0005-0000-0000-000031160000}"/>
    <cellStyle name="Обычный 3 4 2 4 3 2" xfId="6993" xr:uid="{00000000-0005-0000-0000-000032160000}"/>
    <cellStyle name="Обычный 3 4 2 4 3 3" xfId="6994" xr:uid="{00000000-0005-0000-0000-000033160000}"/>
    <cellStyle name="Обычный 3 4 2 4 4" xfId="6995" xr:uid="{00000000-0005-0000-0000-000034160000}"/>
    <cellStyle name="Обычный 3 4 2 4 4 2" xfId="6996" xr:uid="{00000000-0005-0000-0000-000035160000}"/>
    <cellStyle name="Обычный 3 4 2 4 5" xfId="6997" xr:uid="{00000000-0005-0000-0000-000036160000}"/>
    <cellStyle name="Обычный 3 4 2 4 6" xfId="6998" xr:uid="{00000000-0005-0000-0000-000037160000}"/>
    <cellStyle name="Обычный 3 4 2 5" xfId="6999" xr:uid="{00000000-0005-0000-0000-000038160000}"/>
    <cellStyle name="Обычный 3 4 2 5 2" xfId="7000" xr:uid="{00000000-0005-0000-0000-000039160000}"/>
    <cellStyle name="Обычный 3 4 2 5 2 2" xfId="7001" xr:uid="{00000000-0005-0000-0000-00003A160000}"/>
    <cellStyle name="Обычный 3 4 2 5 2 3" xfId="7002" xr:uid="{00000000-0005-0000-0000-00003B160000}"/>
    <cellStyle name="Обычный 3 4 2 5 3" xfId="7003" xr:uid="{00000000-0005-0000-0000-00003C160000}"/>
    <cellStyle name="Обычный 3 4 2 5 4" xfId="7004" xr:uid="{00000000-0005-0000-0000-00003D160000}"/>
    <cellStyle name="Обычный 3 4 2 6" xfId="7005" xr:uid="{00000000-0005-0000-0000-00003E160000}"/>
    <cellStyle name="Обычный 3 4 2 6 2" xfId="7006" xr:uid="{00000000-0005-0000-0000-00003F160000}"/>
    <cellStyle name="Обычный 3 4 2 6 3" xfId="7007" xr:uid="{00000000-0005-0000-0000-000040160000}"/>
    <cellStyle name="Обычный 3 4 2 7" xfId="7008" xr:uid="{00000000-0005-0000-0000-000041160000}"/>
    <cellStyle name="Обычный 3 4 2 7 2" xfId="7009" xr:uid="{00000000-0005-0000-0000-000042160000}"/>
    <cellStyle name="Обычный 3 4 2 8" xfId="7010" xr:uid="{00000000-0005-0000-0000-000043160000}"/>
    <cellStyle name="Обычный 3 4 2 9" xfId="7011" xr:uid="{00000000-0005-0000-0000-000044160000}"/>
    <cellStyle name="Обычный 3 4 3" xfId="3652" xr:uid="{00000000-0005-0000-0000-000045160000}"/>
    <cellStyle name="Обычный 3 4 3 2" xfId="7012" xr:uid="{00000000-0005-0000-0000-000046160000}"/>
    <cellStyle name="Обычный 3 4 3 2 2" xfId="7013" xr:uid="{00000000-0005-0000-0000-000047160000}"/>
    <cellStyle name="Обычный 3 4 3 2 2 2" xfId="7014" xr:uid="{00000000-0005-0000-0000-000048160000}"/>
    <cellStyle name="Обычный 3 4 3 2 2 2 2" xfId="7015" xr:uid="{00000000-0005-0000-0000-000049160000}"/>
    <cellStyle name="Обычный 3 4 3 2 2 2 2 2" xfId="7016" xr:uid="{00000000-0005-0000-0000-00004A160000}"/>
    <cellStyle name="Обычный 3 4 3 2 2 2 2 3" xfId="7017" xr:uid="{00000000-0005-0000-0000-00004B160000}"/>
    <cellStyle name="Обычный 3 4 3 2 2 2 3" xfId="7018" xr:uid="{00000000-0005-0000-0000-00004C160000}"/>
    <cellStyle name="Обычный 3 4 3 2 2 2 4" xfId="7019" xr:uid="{00000000-0005-0000-0000-00004D160000}"/>
    <cellStyle name="Обычный 3 4 3 2 2 3" xfId="7020" xr:uid="{00000000-0005-0000-0000-00004E160000}"/>
    <cellStyle name="Обычный 3 4 3 2 2 3 2" xfId="7021" xr:uid="{00000000-0005-0000-0000-00004F160000}"/>
    <cellStyle name="Обычный 3 4 3 2 2 3 3" xfId="7022" xr:uid="{00000000-0005-0000-0000-000050160000}"/>
    <cellStyle name="Обычный 3 4 3 2 2 4" xfId="7023" xr:uid="{00000000-0005-0000-0000-000051160000}"/>
    <cellStyle name="Обычный 3 4 3 2 2 4 2" xfId="7024" xr:uid="{00000000-0005-0000-0000-000052160000}"/>
    <cellStyle name="Обычный 3 4 3 2 2 5" xfId="7025" xr:uid="{00000000-0005-0000-0000-000053160000}"/>
    <cellStyle name="Обычный 3 4 3 2 2 6" xfId="7026" xr:uid="{00000000-0005-0000-0000-000054160000}"/>
    <cellStyle name="Обычный 3 4 3 2 3" xfId="7027" xr:uid="{00000000-0005-0000-0000-000055160000}"/>
    <cellStyle name="Обычный 3 4 3 2 3 2" xfId="7028" xr:uid="{00000000-0005-0000-0000-000056160000}"/>
    <cellStyle name="Обычный 3 4 3 2 3 2 2" xfId="7029" xr:uid="{00000000-0005-0000-0000-000057160000}"/>
    <cellStyle name="Обычный 3 4 3 2 3 2 3" xfId="7030" xr:uid="{00000000-0005-0000-0000-000058160000}"/>
    <cellStyle name="Обычный 3 4 3 2 3 3" xfId="7031" xr:uid="{00000000-0005-0000-0000-000059160000}"/>
    <cellStyle name="Обычный 3 4 3 2 3 4" xfId="7032" xr:uid="{00000000-0005-0000-0000-00005A160000}"/>
    <cellStyle name="Обычный 3 4 3 2 4" xfId="7033" xr:uid="{00000000-0005-0000-0000-00005B160000}"/>
    <cellStyle name="Обычный 3 4 3 2 4 2" xfId="7034" xr:uid="{00000000-0005-0000-0000-00005C160000}"/>
    <cellStyle name="Обычный 3 4 3 2 4 3" xfId="7035" xr:uid="{00000000-0005-0000-0000-00005D160000}"/>
    <cellStyle name="Обычный 3 4 3 2 5" xfId="7036" xr:uid="{00000000-0005-0000-0000-00005E160000}"/>
    <cellStyle name="Обычный 3 4 3 2 5 2" xfId="7037" xr:uid="{00000000-0005-0000-0000-00005F160000}"/>
    <cellStyle name="Обычный 3 4 3 2 6" xfId="7038" xr:uid="{00000000-0005-0000-0000-000060160000}"/>
    <cellStyle name="Обычный 3 4 3 2 7" xfId="7039" xr:uid="{00000000-0005-0000-0000-000061160000}"/>
    <cellStyle name="Обычный 3 4 3 3" xfId="7040" xr:uid="{00000000-0005-0000-0000-000062160000}"/>
    <cellStyle name="Обычный 3 4 3 3 2" xfId="7041" xr:uid="{00000000-0005-0000-0000-000063160000}"/>
    <cellStyle name="Обычный 3 4 3 3 2 2" xfId="7042" xr:uid="{00000000-0005-0000-0000-000064160000}"/>
    <cellStyle name="Обычный 3 4 3 3 2 2 2" xfId="7043" xr:uid="{00000000-0005-0000-0000-000065160000}"/>
    <cellStyle name="Обычный 3 4 3 3 2 2 3" xfId="7044" xr:uid="{00000000-0005-0000-0000-000066160000}"/>
    <cellStyle name="Обычный 3 4 3 3 2 3" xfId="7045" xr:uid="{00000000-0005-0000-0000-000067160000}"/>
    <cellStyle name="Обычный 3 4 3 3 2 4" xfId="7046" xr:uid="{00000000-0005-0000-0000-000068160000}"/>
    <cellStyle name="Обычный 3 4 3 3 3" xfId="7047" xr:uid="{00000000-0005-0000-0000-000069160000}"/>
    <cellStyle name="Обычный 3 4 3 3 3 2" xfId="7048" xr:uid="{00000000-0005-0000-0000-00006A160000}"/>
    <cellStyle name="Обычный 3 4 3 3 3 3" xfId="7049" xr:uid="{00000000-0005-0000-0000-00006B160000}"/>
    <cellStyle name="Обычный 3 4 3 3 4" xfId="7050" xr:uid="{00000000-0005-0000-0000-00006C160000}"/>
    <cellStyle name="Обычный 3 4 3 3 4 2" xfId="7051" xr:uid="{00000000-0005-0000-0000-00006D160000}"/>
    <cellStyle name="Обычный 3 4 3 3 5" xfId="7052" xr:uid="{00000000-0005-0000-0000-00006E160000}"/>
    <cellStyle name="Обычный 3 4 3 3 6" xfId="7053" xr:uid="{00000000-0005-0000-0000-00006F160000}"/>
    <cellStyle name="Обычный 3 4 3 4" xfId="7054" xr:uid="{00000000-0005-0000-0000-000070160000}"/>
    <cellStyle name="Обычный 3 4 3 4 2" xfId="7055" xr:uid="{00000000-0005-0000-0000-000071160000}"/>
    <cellStyle name="Обычный 3 4 3 4 2 2" xfId="7056" xr:uid="{00000000-0005-0000-0000-000072160000}"/>
    <cellStyle name="Обычный 3 4 3 4 2 3" xfId="7057" xr:uid="{00000000-0005-0000-0000-000073160000}"/>
    <cellStyle name="Обычный 3 4 3 4 3" xfId="7058" xr:uid="{00000000-0005-0000-0000-000074160000}"/>
    <cellStyle name="Обычный 3 4 3 4 4" xfId="7059" xr:uid="{00000000-0005-0000-0000-000075160000}"/>
    <cellStyle name="Обычный 3 4 3 5" xfId="7060" xr:uid="{00000000-0005-0000-0000-000076160000}"/>
    <cellStyle name="Обычный 3 4 3 5 2" xfId="7061" xr:uid="{00000000-0005-0000-0000-000077160000}"/>
    <cellStyle name="Обычный 3 4 3 5 3" xfId="7062" xr:uid="{00000000-0005-0000-0000-000078160000}"/>
    <cellStyle name="Обычный 3 4 3 6" xfId="7063" xr:uid="{00000000-0005-0000-0000-000079160000}"/>
    <cellStyle name="Обычный 3 4 3 6 2" xfId="7064" xr:uid="{00000000-0005-0000-0000-00007A160000}"/>
    <cellStyle name="Обычный 3 4 3 7" xfId="7065" xr:uid="{00000000-0005-0000-0000-00007B160000}"/>
    <cellStyle name="Обычный 3 4 3 8" xfId="7066" xr:uid="{00000000-0005-0000-0000-00007C160000}"/>
    <cellStyle name="Обычный 3 4 4" xfId="3653" xr:uid="{00000000-0005-0000-0000-00007D160000}"/>
    <cellStyle name="Обычный 3 4 4 2" xfId="7067" xr:uid="{00000000-0005-0000-0000-00007E160000}"/>
    <cellStyle name="Обычный 3 4 4 2 2" xfId="7068" xr:uid="{00000000-0005-0000-0000-00007F160000}"/>
    <cellStyle name="Обычный 3 4 4 2 2 2" xfId="7069" xr:uid="{00000000-0005-0000-0000-000080160000}"/>
    <cellStyle name="Обычный 3 4 4 2 2 2 2" xfId="7070" xr:uid="{00000000-0005-0000-0000-000081160000}"/>
    <cellStyle name="Обычный 3 4 4 2 2 2 3" xfId="7071" xr:uid="{00000000-0005-0000-0000-000082160000}"/>
    <cellStyle name="Обычный 3 4 4 2 2 3" xfId="7072" xr:uid="{00000000-0005-0000-0000-000083160000}"/>
    <cellStyle name="Обычный 3 4 4 2 2 4" xfId="7073" xr:uid="{00000000-0005-0000-0000-000084160000}"/>
    <cellStyle name="Обычный 3 4 4 2 3" xfId="7074" xr:uid="{00000000-0005-0000-0000-000085160000}"/>
    <cellStyle name="Обычный 3 4 4 2 3 2" xfId="7075" xr:uid="{00000000-0005-0000-0000-000086160000}"/>
    <cellStyle name="Обычный 3 4 4 2 3 3" xfId="7076" xr:uid="{00000000-0005-0000-0000-000087160000}"/>
    <cellStyle name="Обычный 3 4 4 2 4" xfId="7077" xr:uid="{00000000-0005-0000-0000-000088160000}"/>
    <cellStyle name="Обычный 3 4 4 2 4 2" xfId="7078" xr:uid="{00000000-0005-0000-0000-000089160000}"/>
    <cellStyle name="Обычный 3 4 4 2 5" xfId="7079" xr:uid="{00000000-0005-0000-0000-00008A160000}"/>
    <cellStyle name="Обычный 3 4 4 2 6" xfId="7080" xr:uid="{00000000-0005-0000-0000-00008B160000}"/>
    <cellStyle name="Обычный 3 4 4 3" xfId="7081" xr:uid="{00000000-0005-0000-0000-00008C160000}"/>
    <cellStyle name="Обычный 3 4 4 3 2" xfId="7082" xr:uid="{00000000-0005-0000-0000-00008D160000}"/>
    <cellStyle name="Обычный 3 4 4 3 2 2" xfId="7083" xr:uid="{00000000-0005-0000-0000-00008E160000}"/>
    <cellStyle name="Обычный 3 4 4 3 2 3" xfId="7084" xr:uid="{00000000-0005-0000-0000-00008F160000}"/>
    <cellStyle name="Обычный 3 4 4 3 3" xfId="7085" xr:uid="{00000000-0005-0000-0000-000090160000}"/>
    <cellStyle name="Обычный 3 4 4 3 4" xfId="7086" xr:uid="{00000000-0005-0000-0000-000091160000}"/>
    <cellStyle name="Обычный 3 4 4 4" xfId="7087" xr:uid="{00000000-0005-0000-0000-000092160000}"/>
    <cellStyle name="Обычный 3 4 4 4 2" xfId="7088" xr:uid="{00000000-0005-0000-0000-000093160000}"/>
    <cellStyle name="Обычный 3 4 4 4 3" xfId="7089" xr:uid="{00000000-0005-0000-0000-000094160000}"/>
    <cellStyle name="Обычный 3 4 4 5" xfId="7090" xr:uid="{00000000-0005-0000-0000-000095160000}"/>
    <cellStyle name="Обычный 3 4 4 5 2" xfId="7091" xr:uid="{00000000-0005-0000-0000-000096160000}"/>
    <cellStyle name="Обычный 3 4 4 6" xfId="7092" xr:uid="{00000000-0005-0000-0000-000097160000}"/>
    <cellStyle name="Обычный 3 4 4 7" xfId="7093" xr:uid="{00000000-0005-0000-0000-000098160000}"/>
    <cellStyle name="Обычный 3 4 5" xfId="3654" xr:uid="{00000000-0005-0000-0000-000099160000}"/>
    <cellStyle name="Обычный 3 4 5 2" xfId="7094" xr:uid="{00000000-0005-0000-0000-00009A160000}"/>
    <cellStyle name="Обычный 3 4 5 2 2" xfId="7095" xr:uid="{00000000-0005-0000-0000-00009B160000}"/>
    <cellStyle name="Обычный 3 4 5 2 2 2" xfId="7096" xr:uid="{00000000-0005-0000-0000-00009C160000}"/>
    <cellStyle name="Обычный 3 4 5 2 2 3" xfId="7097" xr:uid="{00000000-0005-0000-0000-00009D160000}"/>
    <cellStyle name="Обычный 3 4 5 2 3" xfId="7098" xr:uid="{00000000-0005-0000-0000-00009E160000}"/>
    <cellStyle name="Обычный 3 4 5 2 4" xfId="7099" xr:uid="{00000000-0005-0000-0000-00009F160000}"/>
    <cellStyle name="Обычный 3 4 5 3" xfId="7100" xr:uid="{00000000-0005-0000-0000-0000A0160000}"/>
    <cellStyle name="Обычный 3 4 5 3 2" xfId="7101" xr:uid="{00000000-0005-0000-0000-0000A1160000}"/>
    <cellStyle name="Обычный 3 4 5 3 3" xfId="7102" xr:uid="{00000000-0005-0000-0000-0000A2160000}"/>
    <cellStyle name="Обычный 3 4 5 4" xfId="7103" xr:uid="{00000000-0005-0000-0000-0000A3160000}"/>
    <cellStyle name="Обычный 3 4 5 4 2" xfId="7104" xr:uid="{00000000-0005-0000-0000-0000A4160000}"/>
    <cellStyle name="Обычный 3 4 5 5" xfId="7105" xr:uid="{00000000-0005-0000-0000-0000A5160000}"/>
    <cellStyle name="Обычный 3 4 5 6" xfId="7106" xr:uid="{00000000-0005-0000-0000-0000A6160000}"/>
    <cellStyle name="Обычный 3 4 6" xfId="3655" xr:uid="{00000000-0005-0000-0000-0000A7160000}"/>
    <cellStyle name="Обычный 3 4 6 2" xfId="7107" xr:uid="{00000000-0005-0000-0000-0000A8160000}"/>
    <cellStyle name="Обычный 3 4 6 2 2" xfId="7108" xr:uid="{00000000-0005-0000-0000-0000A9160000}"/>
    <cellStyle name="Обычный 3 4 6 2 3" xfId="7109" xr:uid="{00000000-0005-0000-0000-0000AA160000}"/>
    <cellStyle name="Обычный 3 4 6 3" xfId="7110" xr:uid="{00000000-0005-0000-0000-0000AB160000}"/>
    <cellStyle name="Обычный 3 4 6 4" xfId="7111" xr:uid="{00000000-0005-0000-0000-0000AC160000}"/>
    <cellStyle name="Обычный 3 4 7" xfId="7112" xr:uid="{00000000-0005-0000-0000-0000AD160000}"/>
    <cellStyle name="Обычный 3 4 7 2" xfId="7113" xr:uid="{00000000-0005-0000-0000-0000AE160000}"/>
    <cellStyle name="Обычный 3 4 7 3" xfId="7114" xr:uid="{00000000-0005-0000-0000-0000AF160000}"/>
    <cellStyle name="Обычный 3 4 8" xfId="7115" xr:uid="{00000000-0005-0000-0000-0000B0160000}"/>
    <cellStyle name="Обычный 3 4 8 2" xfId="7116" xr:uid="{00000000-0005-0000-0000-0000B1160000}"/>
    <cellStyle name="Обычный 3 4 9" xfId="7117" xr:uid="{00000000-0005-0000-0000-0000B2160000}"/>
    <cellStyle name="Обычный 3 4_Свод гостин" xfId="3656" xr:uid="{00000000-0005-0000-0000-0000B3160000}"/>
    <cellStyle name="Обычный 3 5" xfId="3657" xr:uid="{00000000-0005-0000-0000-0000B4160000}"/>
    <cellStyle name="Обычный 3 5 10" xfId="7118" xr:uid="{00000000-0005-0000-0000-0000B5160000}"/>
    <cellStyle name="Обычный 3 5 2" xfId="3658" xr:uid="{00000000-0005-0000-0000-0000B6160000}"/>
    <cellStyle name="Обычный 3 5 2 2" xfId="7119" xr:uid="{00000000-0005-0000-0000-0000B7160000}"/>
    <cellStyle name="Обычный 3 5 2 2 2" xfId="7120" xr:uid="{00000000-0005-0000-0000-0000B8160000}"/>
    <cellStyle name="Обычный 3 5 2 2 2 2" xfId="7121" xr:uid="{00000000-0005-0000-0000-0000B9160000}"/>
    <cellStyle name="Обычный 3 5 2 2 2 2 2" xfId="7122" xr:uid="{00000000-0005-0000-0000-0000BA160000}"/>
    <cellStyle name="Обычный 3 5 2 2 2 2 2 2" xfId="7123" xr:uid="{00000000-0005-0000-0000-0000BB160000}"/>
    <cellStyle name="Обычный 3 5 2 2 2 2 2 2 2" xfId="7124" xr:uid="{00000000-0005-0000-0000-0000BC160000}"/>
    <cellStyle name="Обычный 3 5 2 2 2 2 2 2 3" xfId="7125" xr:uid="{00000000-0005-0000-0000-0000BD160000}"/>
    <cellStyle name="Обычный 3 5 2 2 2 2 2 3" xfId="7126" xr:uid="{00000000-0005-0000-0000-0000BE160000}"/>
    <cellStyle name="Обычный 3 5 2 2 2 2 2 4" xfId="7127" xr:uid="{00000000-0005-0000-0000-0000BF160000}"/>
    <cellStyle name="Обычный 3 5 2 2 2 2 3" xfId="7128" xr:uid="{00000000-0005-0000-0000-0000C0160000}"/>
    <cellStyle name="Обычный 3 5 2 2 2 2 3 2" xfId="7129" xr:uid="{00000000-0005-0000-0000-0000C1160000}"/>
    <cellStyle name="Обычный 3 5 2 2 2 2 3 3" xfId="7130" xr:uid="{00000000-0005-0000-0000-0000C2160000}"/>
    <cellStyle name="Обычный 3 5 2 2 2 2 4" xfId="7131" xr:uid="{00000000-0005-0000-0000-0000C3160000}"/>
    <cellStyle name="Обычный 3 5 2 2 2 2 4 2" xfId="7132" xr:uid="{00000000-0005-0000-0000-0000C4160000}"/>
    <cellStyle name="Обычный 3 5 2 2 2 2 5" xfId="7133" xr:uid="{00000000-0005-0000-0000-0000C5160000}"/>
    <cellStyle name="Обычный 3 5 2 2 2 2 6" xfId="7134" xr:uid="{00000000-0005-0000-0000-0000C6160000}"/>
    <cellStyle name="Обычный 3 5 2 2 2 3" xfId="7135" xr:uid="{00000000-0005-0000-0000-0000C7160000}"/>
    <cellStyle name="Обычный 3 5 2 2 2 3 2" xfId="7136" xr:uid="{00000000-0005-0000-0000-0000C8160000}"/>
    <cellStyle name="Обычный 3 5 2 2 2 3 2 2" xfId="7137" xr:uid="{00000000-0005-0000-0000-0000C9160000}"/>
    <cellStyle name="Обычный 3 5 2 2 2 3 2 3" xfId="7138" xr:uid="{00000000-0005-0000-0000-0000CA160000}"/>
    <cellStyle name="Обычный 3 5 2 2 2 3 3" xfId="7139" xr:uid="{00000000-0005-0000-0000-0000CB160000}"/>
    <cellStyle name="Обычный 3 5 2 2 2 3 4" xfId="7140" xr:uid="{00000000-0005-0000-0000-0000CC160000}"/>
    <cellStyle name="Обычный 3 5 2 2 2 4" xfId="7141" xr:uid="{00000000-0005-0000-0000-0000CD160000}"/>
    <cellStyle name="Обычный 3 5 2 2 2 4 2" xfId="7142" xr:uid="{00000000-0005-0000-0000-0000CE160000}"/>
    <cellStyle name="Обычный 3 5 2 2 2 4 3" xfId="7143" xr:uid="{00000000-0005-0000-0000-0000CF160000}"/>
    <cellStyle name="Обычный 3 5 2 2 2 5" xfId="7144" xr:uid="{00000000-0005-0000-0000-0000D0160000}"/>
    <cellStyle name="Обычный 3 5 2 2 2 5 2" xfId="7145" xr:uid="{00000000-0005-0000-0000-0000D1160000}"/>
    <cellStyle name="Обычный 3 5 2 2 2 6" xfId="7146" xr:uid="{00000000-0005-0000-0000-0000D2160000}"/>
    <cellStyle name="Обычный 3 5 2 2 2 7" xfId="7147" xr:uid="{00000000-0005-0000-0000-0000D3160000}"/>
    <cellStyle name="Обычный 3 5 2 2 3" xfId="7148" xr:uid="{00000000-0005-0000-0000-0000D4160000}"/>
    <cellStyle name="Обычный 3 5 2 2 3 2" xfId="7149" xr:uid="{00000000-0005-0000-0000-0000D5160000}"/>
    <cellStyle name="Обычный 3 5 2 2 3 2 2" xfId="7150" xr:uid="{00000000-0005-0000-0000-0000D6160000}"/>
    <cellStyle name="Обычный 3 5 2 2 3 2 2 2" xfId="7151" xr:uid="{00000000-0005-0000-0000-0000D7160000}"/>
    <cellStyle name="Обычный 3 5 2 2 3 2 2 3" xfId="7152" xr:uid="{00000000-0005-0000-0000-0000D8160000}"/>
    <cellStyle name="Обычный 3 5 2 2 3 2 3" xfId="7153" xr:uid="{00000000-0005-0000-0000-0000D9160000}"/>
    <cellStyle name="Обычный 3 5 2 2 3 2 4" xfId="7154" xr:uid="{00000000-0005-0000-0000-0000DA160000}"/>
    <cellStyle name="Обычный 3 5 2 2 3 3" xfId="7155" xr:uid="{00000000-0005-0000-0000-0000DB160000}"/>
    <cellStyle name="Обычный 3 5 2 2 3 3 2" xfId="7156" xr:uid="{00000000-0005-0000-0000-0000DC160000}"/>
    <cellStyle name="Обычный 3 5 2 2 3 3 3" xfId="7157" xr:uid="{00000000-0005-0000-0000-0000DD160000}"/>
    <cellStyle name="Обычный 3 5 2 2 3 4" xfId="7158" xr:uid="{00000000-0005-0000-0000-0000DE160000}"/>
    <cellStyle name="Обычный 3 5 2 2 3 4 2" xfId="7159" xr:uid="{00000000-0005-0000-0000-0000DF160000}"/>
    <cellStyle name="Обычный 3 5 2 2 3 5" xfId="7160" xr:uid="{00000000-0005-0000-0000-0000E0160000}"/>
    <cellStyle name="Обычный 3 5 2 2 3 6" xfId="7161" xr:uid="{00000000-0005-0000-0000-0000E1160000}"/>
    <cellStyle name="Обычный 3 5 2 2 4" xfId="7162" xr:uid="{00000000-0005-0000-0000-0000E2160000}"/>
    <cellStyle name="Обычный 3 5 2 2 4 2" xfId="7163" xr:uid="{00000000-0005-0000-0000-0000E3160000}"/>
    <cellStyle name="Обычный 3 5 2 2 4 2 2" xfId="7164" xr:uid="{00000000-0005-0000-0000-0000E4160000}"/>
    <cellStyle name="Обычный 3 5 2 2 4 2 3" xfId="7165" xr:uid="{00000000-0005-0000-0000-0000E5160000}"/>
    <cellStyle name="Обычный 3 5 2 2 4 3" xfId="7166" xr:uid="{00000000-0005-0000-0000-0000E6160000}"/>
    <cellStyle name="Обычный 3 5 2 2 4 4" xfId="7167" xr:uid="{00000000-0005-0000-0000-0000E7160000}"/>
    <cellStyle name="Обычный 3 5 2 2 5" xfId="7168" xr:uid="{00000000-0005-0000-0000-0000E8160000}"/>
    <cellStyle name="Обычный 3 5 2 2 5 2" xfId="7169" xr:uid="{00000000-0005-0000-0000-0000E9160000}"/>
    <cellStyle name="Обычный 3 5 2 2 5 3" xfId="7170" xr:uid="{00000000-0005-0000-0000-0000EA160000}"/>
    <cellStyle name="Обычный 3 5 2 2 6" xfId="7171" xr:uid="{00000000-0005-0000-0000-0000EB160000}"/>
    <cellStyle name="Обычный 3 5 2 2 6 2" xfId="7172" xr:uid="{00000000-0005-0000-0000-0000EC160000}"/>
    <cellStyle name="Обычный 3 5 2 2 7" xfId="7173" xr:uid="{00000000-0005-0000-0000-0000ED160000}"/>
    <cellStyle name="Обычный 3 5 2 2 8" xfId="7174" xr:uid="{00000000-0005-0000-0000-0000EE160000}"/>
    <cellStyle name="Обычный 3 5 2 3" xfId="7175" xr:uid="{00000000-0005-0000-0000-0000EF160000}"/>
    <cellStyle name="Обычный 3 5 2 3 2" xfId="7176" xr:uid="{00000000-0005-0000-0000-0000F0160000}"/>
    <cellStyle name="Обычный 3 5 2 3 2 2" xfId="7177" xr:uid="{00000000-0005-0000-0000-0000F1160000}"/>
    <cellStyle name="Обычный 3 5 2 3 2 2 2" xfId="7178" xr:uid="{00000000-0005-0000-0000-0000F2160000}"/>
    <cellStyle name="Обычный 3 5 2 3 2 2 2 2" xfId="7179" xr:uid="{00000000-0005-0000-0000-0000F3160000}"/>
    <cellStyle name="Обычный 3 5 2 3 2 2 2 3" xfId="7180" xr:uid="{00000000-0005-0000-0000-0000F4160000}"/>
    <cellStyle name="Обычный 3 5 2 3 2 2 3" xfId="7181" xr:uid="{00000000-0005-0000-0000-0000F5160000}"/>
    <cellStyle name="Обычный 3 5 2 3 2 2 4" xfId="7182" xr:uid="{00000000-0005-0000-0000-0000F6160000}"/>
    <cellStyle name="Обычный 3 5 2 3 2 3" xfId="7183" xr:uid="{00000000-0005-0000-0000-0000F7160000}"/>
    <cellStyle name="Обычный 3 5 2 3 2 3 2" xfId="7184" xr:uid="{00000000-0005-0000-0000-0000F8160000}"/>
    <cellStyle name="Обычный 3 5 2 3 2 3 3" xfId="7185" xr:uid="{00000000-0005-0000-0000-0000F9160000}"/>
    <cellStyle name="Обычный 3 5 2 3 2 4" xfId="7186" xr:uid="{00000000-0005-0000-0000-0000FA160000}"/>
    <cellStyle name="Обычный 3 5 2 3 2 4 2" xfId="7187" xr:uid="{00000000-0005-0000-0000-0000FB160000}"/>
    <cellStyle name="Обычный 3 5 2 3 2 5" xfId="7188" xr:uid="{00000000-0005-0000-0000-0000FC160000}"/>
    <cellStyle name="Обычный 3 5 2 3 2 6" xfId="7189" xr:uid="{00000000-0005-0000-0000-0000FD160000}"/>
    <cellStyle name="Обычный 3 5 2 3 3" xfId="7190" xr:uid="{00000000-0005-0000-0000-0000FE160000}"/>
    <cellStyle name="Обычный 3 5 2 3 3 2" xfId="7191" xr:uid="{00000000-0005-0000-0000-0000FF160000}"/>
    <cellStyle name="Обычный 3 5 2 3 3 2 2" xfId="7192" xr:uid="{00000000-0005-0000-0000-000000170000}"/>
    <cellStyle name="Обычный 3 5 2 3 3 2 3" xfId="7193" xr:uid="{00000000-0005-0000-0000-000001170000}"/>
    <cellStyle name="Обычный 3 5 2 3 3 3" xfId="7194" xr:uid="{00000000-0005-0000-0000-000002170000}"/>
    <cellStyle name="Обычный 3 5 2 3 3 4" xfId="7195" xr:uid="{00000000-0005-0000-0000-000003170000}"/>
    <cellStyle name="Обычный 3 5 2 3 4" xfId="7196" xr:uid="{00000000-0005-0000-0000-000004170000}"/>
    <cellStyle name="Обычный 3 5 2 3 4 2" xfId="7197" xr:uid="{00000000-0005-0000-0000-000005170000}"/>
    <cellStyle name="Обычный 3 5 2 3 4 3" xfId="7198" xr:uid="{00000000-0005-0000-0000-000006170000}"/>
    <cellStyle name="Обычный 3 5 2 3 5" xfId="7199" xr:uid="{00000000-0005-0000-0000-000007170000}"/>
    <cellStyle name="Обычный 3 5 2 3 5 2" xfId="7200" xr:uid="{00000000-0005-0000-0000-000008170000}"/>
    <cellStyle name="Обычный 3 5 2 3 6" xfId="7201" xr:uid="{00000000-0005-0000-0000-000009170000}"/>
    <cellStyle name="Обычный 3 5 2 3 7" xfId="7202" xr:uid="{00000000-0005-0000-0000-00000A170000}"/>
    <cellStyle name="Обычный 3 5 2 4" xfId="7203" xr:uid="{00000000-0005-0000-0000-00000B170000}"/>
    <cellStyle name="Обычный 3 5 2 4 2" xfId="7204" xr:uid="{00000000-0005-0000-0000-00000C170000}"/>
    <cellStyle name="Обычный 3 5 2 4 2 2" xfId="7205" xr:uid="{00000000-0005-0000-0000-00000D170000}"/>
    <cellStyle name="Обычный 3 5 2 4 2 2 2" xfId="7206" xr:uid="{00000000-0005-0000-0000-00000E170000}"/>
    <cellStyle name="Обычный 3 5 2 4 2 2 3" xfId="7207" xr:uid="{00000000-0005-0000-0000-00000F170000}"/>
    <cellStyle name="Обычный 3 5 2 4 2 3" xfId="7208" xr:uid="{00000000-0005-0000-0000-000010170000}"/>
    <cellStyle name="Обычный 3 5 2 4 2 4" xfId="7209" xr:uid="{00000000-0005-0000-0000-000011170000}"/>
    <cellStyle name="Обычный 3 5 2 4 3" xfId="7210" xr:uid="{00000000-0005-0000-0000-000012170000}"/>
    <cellStyle name="Обычный 3 5 2 4 3 2" xfId="7211" xr:uid="{00000000-0005-0000-0000-000013170000}"/>
    <cellStyle name="Обычный 3 5 2 4 3 3" xfId="7212" xr:uid="{00000000-0005-0000-0000-000014170000}"/>
    <cellStyle name="Обычный 3 5 2 4 4" xfId="7213" xr:uid="{00000000-0005-0000-0000-000015170000}"/>
    <cellStyle name="Обычный 3 5 2 4 4 2" xfId="7214" xr:uid="{00000000-0005-0000-0000-000016170000}"/>
    <cellStyle name="Обычный 3 5 2 4 5" xfId="7215" xr:uid="{00000000-0005-0000-0000-000017170000}"/>
    <cellStyle name="Обычный 3 5 2 4 6" xfId="7216" xr:uid="{00000000-0005-0000-0000-000018170000}"/>
    <cellStyle name="Обычный 3 5 2 5" xfId="7217" xr:uid="{00000000-0005-0000-0000-000019170000}"/>
    <cellStyle name="Обычный 3 5 2 5 2" xfId="7218" xr:uid="{00000000-0005-0000-0000-00001A170000}"/>
    <cellStyle name="Обычный 3 5 2 5 2 2" xfId="7219" xr:uid="{00000000-0005-0000-0000-00001B170000}"/>
    <cellStyle name="Обычный 3 5 2 5 2 3" xfId="7220" xr:uid="{00000000-0005-0000-0000-00001C170000}"/>
    <cellStyle name="Обычный 3 5 2 5 3" xfId="7221" xr:uid="{00000000-0005-0000-0000-00001D170000}"/>
    <cellStyle name="Обычный 3 5 2 5 4" xfId="7222" xr:uid="{00000000-0005-0000-0000-00001E170000}"/>
    <cellStyle name="Обычный 3 5 2 6" xfId="7223" xr:uid="{00000000-0005-0000-0000-00001F170000}"/>
    <cellStyle name="Обычный 3 5 2 6 2" xfId="7224" xr:uid="{00000000-0005-0000-0000-000020170000}"/>
    <cellStyle name="Обычный 3 5 2 6 3" xfId="7225" xr:uid="{00000000-0005-0000-0000-000021170000}"/>
    <cellStyle name="Обычный 3 5 2 7" xfId="7226" xr:uid="{00000000-0005-0000-0000-000022170000}"/>
    <cellStyle name="Обычный 3 5 2 7 2" xfId="7227" xr:uid="{00000000-0005-0000-0000-000023170000}"/>
    <cellStyle name="Обычный 3 5 2 8" xfId="7228" xr:uid="{00000000-0005-0000-0000-000024170000}"/>
    <cellStyle name="Обычный 3 5 2 9" xfId="7229" xr:uid="{00000000-0005-0000-0000-000025170000}"/>
    <cellStyle name="Обычный 3 5 3" xfId="7230" xr:uid="{00000000-0005-0000-0000-000026170000}"/>
    <cellStyle name="Обычный 3 5 3 2" xfId="7231" xr:uid="{00000000-0005-0000-0000-000027170000}"/>
    <cellStyle name="Обычный 3 5 3 2 2" xfId="7232" xr:uid="{00000000-0005-0000-0000-000028170000}"/>
    <cellStyle name="Обычный 3 5 3 2 2 2" xfId="7233" xr:uid="{00000000-0005-0000-0000-000029170000}"/>
    <cellStyle name="Обычный 3 5 3 2 2 2 2" xfId="7234" xr:uid="{00000000-0005-0000-0000-00002A170000}"/>
    <cellStyle name="Обычный 3 5 3 2 2 2 2 2" xfId="7235" xr:uid="{00000000-0005-0000-0000-00002B170000}"/>
    <cellStyle name="Обычный 3 5 3 2 2 2 2 3" xfId="7236" xr:uid="{00000000-0005-0000-0000-00002C170000}"/>
    <cellStyle name="Обычный 3 5 3 2 2 2 3" xfId="7237" xr:uid="{00000000-0005-0000-0000-00002D170000}"/>
    <cellStyle name="Обычный 3 5 3 2 2 2 4" xfId="7238" xr:uid="{00000000-0005-0000-0000-00002E170000}"/>
    <cellStyle name="Обычный 3 5 3 2 2 3" xfId="7239" xr:uid="{00000000-0005-0000-0000-00002F170000}"/>
    <cellStyle name="Обычный 3 5 3 2 2 3 2" xfId="7240" xr:uid="{00000000-0005-0000-0000-000030170000}"/>
    <cellStyle name="Обычный 3 5 3 2 2 3 3" xfId="7241" xr:uid="{00000000-0005-0000-0000-000031170000}"/>
    <cellStyle name="Обычный 3 5 3 2 2 4" xfId="7242" xr:uid="{00000000-0005-0000-0000-000032170000}"/>
    <cellStyle name="Обычный 3 5 3 2 2 4 2" xfId="7243" xr:uid="{00000000-0005-0000-0000-000033170000}"/>
    <cellStyle name="Обычный 3 5 3 2 2 5" xfId="7244" xr:uid="{00000000-0005-0000-0000-000034170000}"/>
    <cellStyle name="Обычный 3 5 3 2 2 6" xfId="7245" xr:uid="{00000000-0005-0000-0000-000035170000}"/>
    <cellStyle name="Обычный 3 5 3 2 3" xfId="7246" xr:uid="{00000000-0005-0000-0000-000036170000}"/>
    <cellStyle name="Обычный 3 5 3 2 3 2" xfId="7247" xr:uid="{00000000-0005-0000-0000-000037170000}"/>
    <cellStyle name="Обычный 3 5 3 2 3 2 2" xfId="7248" xr:uid="{00000000-0005-0000-0000-000038170000}"/>
    <cellStyle name="Обычный 3 5 3 2 3 2 3" xfId="7249" xr:uid="{00000000-0005-0000-0000-000039170000}"/>
    <cellStyle name="Обычный 3 5 3 2 3 3" xfId="7250" xr:uid="{00000000-0005-0000-0000-00003A170000}"/>
    <cellStyle name="Обычный 3 5 3 2 3 4" xfId="7251" xr:uid="{00000000-0005-0000-0000-00003B170000}"/>
    <cellStyle name="Обычный 3 5 3 2 4" xfId="7252" xr:uid="{00000000-0005-0000-0000-00003C170000}"/>
    <cellStyle name="Обычный 3 5 3 2 4 2" xfId="7253" xr:uid="{00000000-0005-0000-0000-00003D170000}"/>
    <cellStyle name="Обычный 3 5 3 2 4 3" xfId="7254" xr:uid="{00000000-0005-0000-0000-00003E170000}"/>
    <cellStyle name="Обычный 3 5 3 2 5" xfId="7255" xr:uid="{00000000-0005-0000-0000-00003F170000}"/>
    <cellStyle name="Обычный 3 5 3 2 5 2" xfId="7256" xr:uid="{00000000-0005-0000-0000-000040170000}"/>
    <cellStyle name="Обычный 3 5 3 2 6" xfId="7257" xr:uid="{00000000-0005-0000-0000-000041170000}"/>
    <cellStyle name="Обычный 3 5 3 2 7" xfId="7258" xr:uid="{00000000-0005-0000-0000-000042170000}"/>
    <cellStyle name="Обычный 3 5 3 3" xfId="7259" xr:uid="{00000000-0005-0000-0000-000043170000}"/>
    <cellStyle name="Обычный 3 5 3 3 2" xfId="7260" xr:uid="{00000000-0005-0000-0000-000044170000}"/>
    <cellStyle name="Обычный 3 5 3 3 2 2" xfId="7261" xr:uid="{00000000-0005-0000-0000-000045170000}"/>
    <cellStyle name="Обычный 3 5 3 3 2 2 2" xfId="7262" xr:uid="{00000000-0005-0000-0000-000046170000}"/>
    <cellStyle name="Обычный 3 5 3 3 2 2 3" xfId="7263" xr:uid="{00000000-0005-0000-0000-000047170000}"/>
    <cellStyle name="Обычный 3 5 3 3 2 3" xfId="7264" xr:uid="{00000000-0005-0000-0000-000048170000}"/>
    <cellStyle name="Обычный 3 5 3 3 2 4" xfId="7265" xr:uid="{00000000-0005-0000-0000-000049170000}"/>
    <cellStyle name="Обычный 3 5 3 3 3" xfId="7266" xr:uid="{00000000-0005-0000-0000-00004A170000}"/>
    <cellStyle name="Обычный 3 5 3 3 3 2" xfId="7267" xr:uid="{00000000-0005-0000-0000-00004B170000}"/>
    <cellStyle name="Обычный 3 5 3 3 3 3" xfId="7268" xr:uid="{00000000-0005-0000-0000-00004C170000}"/>
    <cellStyle name="Обычный 3 5 3 3 4" xfId="7269" xr:uid="{00000000-0005-0000-0000-00004D170000}"/>
    <cellStyle name="Обычный 3 5 3 3 4 2" xfId="7270" xr:uid="{00000000-0005-0000-0000-00004E170000}"/>
    <cellStyle name="Обычный 3 5 3 3 5" xfId="7271" xr:uid="{00000000-0005-0000-0000-00004F170000}"/>
    <cellStyle name="Обычный 3 5 3 3 6" xfId="7272" xr:uid="{00000000-0005-0000-0000-000050170000}"/>
    <cellStyle name="Обычный 3 5 3 4" xfId="7273" xr:uid="{00000000-0005-0000-0000-000051170000}"/>
    <cellStyle name="Обычный 3 5 3 4 2" xfId="7274" xr:uid="{00000000-0005-0000-0000-000052170000}"/>
    <cellStyle name="Обычный 3 5 3 4 2 2" xfId="7275" xr:uid="{00000000-0005-0000-0000-000053170000}"/>
    <cellStyle name="Обычный 3 5 3 4 2 3" xfId="7276" xr:uid="{00000000-0005-0000-0000-000054170000}"/>
    <cellStyle name="Обычный 3 5 3 4 3" xfId="7277" xr:uid="{00000000-0005-0000-0000-000055170000}"/>
    <cellStyle name="Обычный 3 5 3 4 4" xfId="7278" xr:uid="{00000000-0005-0000-0000-000056170000}"/>
    <cellStyle name="Обычный 3 5 3 5" xfId="7279" xr:uid="{00000000-0005-0000-0000-000057170000}"/>
    <cellStyle name="Обычный 3 5 3 5 2" xfId="7280" xr:uid="{00000000-0005-0000-0000-000058170000}"/>
    <cellStyle name="Обычный 3 5 3 5 3" xfId="7281" xr:uid="{00000000-0005-0000-0000-000059170000}"/>
    <cellStyle name="Обычный 3 5 3 6" xfId="7282" xr:uid="{00000000-0005-0000-0000-00005A170000}"/>
    <cellStyle name="Обычный 3 5 3 6 2" xfId="7283" xr:uid="{00000000-0005-0000-0000-00005B170000}"/>
    <cellStyle name="Обычный 3 5 3 7" xfId="7284" xr:uid="{00000000-0005-0000-0000-00005C170000}"/>
    <cellStyle name="Обычный 3 5 3 8" xfId="7285" xr:uid="{00000000-0005-0000-0000-00005D170000}"/>
    <cellStyle name="Обычный 3 5 4" xfId="7286" xr:uid="{00000000-0005-0000-0000-00005E170000}"/>
    <cellStyle name="Обычный 3 5 4 2" xfId="7287" xr:uid="{00000000-0005-0000-0000-00005F170000}"/>
    <cellStyle name="Обычный 3 5 4 2 2" xfId="7288" xr:uid="{00000000-0005-0000-0000-000060170000}"/>
    <cellStyle name="Обычный 3 5 4 2 2 2" xfId="7289" xr:uid="{00000000-0005-0000-0000-000061170000}"/>
    <cellStyle name="Обычный 3 5 4 2 2 2 2" xfId="7290" xr:uid="{00000000-0005-0000-0000-000062170000}"/>
    <cellStyle name="Обычный 3 5 4 2 2 2 3" xfId="7291" xr:uid="{00000000-0005-0000-0000-000063170000}"/>
    <cellStyle name="Обычный 3 5 4 2 2 3" xfId="7292" xr:uid="{00000000-0005-0000-0000-000064170000}"/>
    <cellStyle name="Обычный 3 5 4 2 2 4" xfId="7293" xr:uid="{00000000-0005-0000-0000-000065170000}"/>
    <cellStyle name="Обычный 3 5 4 2 3" xfId="7294" xr:uid="{00000000-0005-0000-0000-000066170000}"/>
    <cellStyle name="Обычный 3 5 4 2 3 2" xfId="7295" xr:uid="{00000000-0005-0000-0000-000067170000}"/>
    <cellStyle name="Обычный 3 5 4 2 3 3" xfId="7296" xr:uid="{00000000-0005-0000-0000-000068170000}"/>
    <cellStyle name="Обычный 3 5 4 2 4" xfId="7297" xr:uid="{00000000-0005-0000-0000-000069170000}"/>
    <cellStyle name="Обычный 3 5 4 2 4 2" xfId="7298" xr:uid="{00000000-0005-0000-0000-00006A170000}"/>
    <cellStyle name="Обычный 3 5 4 2 5" xfId="7299" xr:uid="{00000000-0005-0000-0000-00006B170000}"/>
    <cellStyle name="Обычный 3 5 4 2 6" xfId="7300" xr:uid="{00000000-0005-0000-0000-00006C170000}"/>
    <cellStyle name="Обычный 3 5 4 3" xfId="7301" xr:uid="{00000000-0005-0000-0000-00006D170000}"/>
    <cellStyle name="Обычный 3 5 4 3 2" xfId="7302" xr:uid="{00000000-0005-0000-0000-00006E170000}"/>
    <cellStyle name="Обычный 3 5 4 3 2 2" xfId="7303" xr:uid="{00000000-0005-0000-0000-00006F170000}"/>
    <cellStyle name="Обычный 3 5 4 3 2 3" xfId="7304" xr:uid="{00000000-0005-0000-0000-000070170000}"/>
    <cellStyle name="Обычный 3 5 4 3 3" xfId="7305" xr:uid="{00000000-0005-0000-0000-000071170000}"/>
    <cellStyle name="Обычный 3 5 4 3 4" xfId="7306" xr:uid="{00000000-0005-0000-0000-000072170000}"/>
    <cellStyle name="Обычный 3 5 4 4" xfId="7307" xr:uid="{00000000-0005-0000-0000-000073170000}"/>
    <cellStyle name="Обычный 3 5 4 4 2" xfId="7308" xr:uid="{00000000-0005-0000-0000-000074170000}"/>
    <cellStyle name="Обычный 3 5 4 4 3" xfId="7309" xr:uid="{00000000-0005-0000-0000-000075170000}"/>
    <cellStyle name="Обычный 3 5 4 5" xfId="7310" xr:uid="{00000000-0005-0000-0000-000076170000}"/>
    <cellStyle name="Обычный 3 5 4 5 2" xfId="7311" xr:uid="{00000000-0005-0000-0000-000077170000}"/>
    <cellStyle name="Обычный 3 5 4 6" xfId="7312" xr:uid="{00000000-0005-0000-0000-000078170000}"/>
    <cellStyle name="Обычный 3 5 4 7" xfId="7313" xr:uid="{00000000-0005-0000-0000-000079170000}"/>
    <cellStyle name="Обычный 3 5 5" xfId="7314" xr:uid="{00000000-0005-0000-0000-00007A170000}"/>
    <cellStyle name="Обычный 3 5 5 2" xfId="7315" xr:uid="{00000000-0005-0000-0000-00007B170000}"/>
    <cellStyle name="Обычный 3 5 5 2 2" xfId="7316" xr:uid="{00000000-0005-0000-0000-00007C170000}"/>
    <cellStyle name="Обычный 3 5 5 2 2 2" xfId="7317" xr:uid="{00000000-0005-0000-0000-00007D170000}"/>
    <cellStyle name="Обычный 3 5 5 2 2 3" xfId="7318" xr:uid="{00000000-0005-0000-0000-00007E170000}"/>
    <cellStyle name="Обычный 3 5 5 2 3" xfId="7319" xr:uid="{00000000-0005-0000-0000-00007F170000}"/>
    <cellStyle name="Обычный 3 5 5 2 4" xfId="7320" xr:uid="{00000000-0005-0000-0000-000080170000}"/>
    <cellStyle name="Обычный 3 5 5 3" xfId="7321" xr:uid="{00000000-0005-0000-0000-000081170000}"/>
    <cellStyle name="Обычный 3 5 5 3 2" xfId="7322" xr:uid="{00000000-0005-0000-0000-000082170000}"/>
    <cellStyle name="Обычный 3 5 5 3 3" xfId="7323" xr:uid="{00000000-0005-0000-0000-000083170000}"/>
    <cellStyle name="Обычный 3 5 5 4" xfId="7324" xr:uid="{00000000-0005-0000-0000-000084170000}"/>
    <cellStyle name="Обычный 3 5 5 4 2" xfId="7325" xr:uid="{00000000-0005-0000-0000-000085170000}"/>
    <cellStyle name="Обычный 3 5 5 5" xfId="7326" xr:uid="{00000000-0005-0000-0000-000086170000}"/>
    <cellStyle name="Обычный 3 5 5 6" xfId="7327" xr:uid="{00000000-0005-0000-0000-000087170000}"/>
    <cellStyle name="Обычный 3 5 6" xfId="7328" xr:uid="{00000000-0005-0000-0000-000088170000}"/>
    <cellStyle name="Обычный 3 5 6 2" xfId="7329" xr:uid="{00000000-0005-0000-0000-000089170000}"/>
    <cellStyle name="Обычный 3 5 6 2 2" xfId="7330" xr:uid="{00000000-0005-0000-0000-00008A170000}"/>
    <cellStyle name="Обычный 3 5 6 2 3" xfId="7331" xr:uid="{00000000-0005-0000-0000-00008B170000}"/>
    <cellStyle name="Обычный 3 5 6 3" xfId="7332" xr:uid="{00000000-0005-0000-0000-00008C170000}"/>
    <cellStyle name="Обычный 3 5 6 4" xfId="7333" xr:uid="{00000000-0005-0000-0000-00008D170000}"/>
    <cellStyle name="Обычный 3 5 7" xfId="7334" xr:uid="{00000000-0005-0000-0000-00008E170000}"/>
    <cellStyle name="Обычный 3 5 7 2" xfId="7335" xr:uid="{00000000-0005-0000-0000-00008F170000}"/>
    <cellStyle name="Обычный 3 5 7 3" xfId="7336" xr:uid="{00000000-0005-0000-0000-000090170000}"/>
    <cellStyle name="Обычный 3 5 8" xfId="7337" xr:uid="{00000000-0005-0000-0000-000091170000}"/>
    <cellStyle name="Обычный 3 5 8 2" xfId="7338" xr:uid="{00000000-0005-0000-0000-000092170000}"/>
    <cellStyle name="Обычный 3 5 9" xfId="7339" xr:uid="{00000000-0005-0000-0000-000093170000}"/>
    <cellStyle name="Обычный 3 5_Свод гостин" xfId="3659" xr:uid="{00000000-0005-0000-0000-000094170000}"/>
    <cellStyle name="Обычный 3 6" xfId="3660" xr:uid="{00000000-0005-0000-0000-000095170000}"/>
    <cellStyle name="Обычный 3 6 2" xfId="7340" xr:uid="{00000000-0005-0000-0000-000096170000}"/>
    <cellStyle name="Обычный 3 6 2 2" xfId="7341" xr:uid="{00000000-0005-0000-0000-000097170000}"/>
    <cellStyle name="Обычный 3 6 2 2 2" xfId="7342" xr:uid="{00000000-0005-0000-0000-000098170000}"/>
    <cellStyle name="Обычный 3 6 2 2 2 2" xfId="7343" xr:uid="{00000000-0005-0000-0000-000099170000}"/>
    <cellStyle name="Обычный 3 6 2 2 2 2 2" xfId="7344" xr:uid="{00000000-0005-0000-0000-00009A170000}"/>
    <cellStyle name="Обычный 3 6 2 2 2 2 2 2" xfId="7345" xr:uid="{00000000-0005-0000-0000-00009B170000}"/>
    <cellStyle name="Обычный 3 6 2 2 2 2 2 3" xfId="7346" xr:uid="{00000000-0005-0000-0000-00009C170000}"/>
    <cellStyle name="Обычный 3 6 2 2 2 2 3" xfId="7347" xr:uid="{00000000-0005-0000-0000-00009D170000}"/>
    <cellStyle name="Обычный 3 6 2 2 2 2 4" xfId="7348" xr:uid="{00000000-0005-0000-0000-00009E170000}"/>
    <cellStyle name="Обычный 3 6 2 2 2 3" xfId="7349" xr:uid="{00000000-0005-0000-0000-00009F170000}"/>
    <cellStyle name="Обычный 3 6 2 2 2 3 2" xfId="7350" xr:uid="{00000000-0005-0000-0000-0000A0170000}"/>
    <cellStyle name="Обычный 3 6 2 2 2 3 3" xfId="7351" xr:uid="{00000000-0005-0000-0000-0000A1170000}"/>
    <cellStyle name="Обычный 3 6 2 2 2 4" xfId="7352" xr:uid="{00000000-0005-0000-0000-0000A2170000}"/>
    <cellStyle name="Обычный 3 6 2 2 2 4 2" xfId="7353" xr:uid="{00000000-0005-0000-0000-0000A3170000}"/>
    <cellStyle name="Обычный 3 6 2 2 2 5" xfId="7354" xr:uid="{00000000-0005-0000-0000-0000A4170000}"/>
    <cellStyle name="Обычный 3 6 2 2 2 6" xfId="7355" xr:uid="{00000000-0005-0000-0000-0000A5170000}"/>
    <cellStyle name="Обычный 3 6 2 2 3" xfId="7356" xr:uid="{00000000-0005-0000-0000-0000A6170000}"/>
    <cellStyle name="Обычный 3 6 2 2 3 2" xfId="7357" xr:uid="{00000000-0005-0000-0000-0000A7170000}"/>
    <cellStyle name="Обычный 3 6 2 2 3 2 2" xfId="7358" xr:uid="{00000000-0005-0000-0000-0000A8170000}"/>
    <cellStyle name="Обычный 3 6 2 2 3 2 3" xfId="7359" xr:uid="{00000000-0005-0000-0000-0000A9170000}"/>
    <cellStyle name="Обычный 3 6 2 2 3 3" xfId="7360" xr:uid="{00000000-0005-0000-0000-0000AA170000}"/>
    <cellStyle name="Обычный 3 6 2 2 3 4" xfId="7361" xr:uid="{00000000-0005-0000-0000-0000AB170000}"/>
    <cellStyle name="Обычный 3 6 2 2 4" xfId="7362" xr:uid="{00000000-0005-0000-0000-0000AC170000}"/>
    <cellStyle name="Обычный 3 6 2 2 4 2" xfId="7363" xr:uid="{00000000-0005-0000-0000-0000AD170000}"/>
    <cellStyle name="Обычный 3 6 2 2 4 3" xfId="7364" xr:uid="{00000000-0005-0000-0000-0000AE170000}"/>
    <cellStyle name="Обычный 3 6 2 2 5" xfId="7365" xr:uid="{00000000-0005-0000-0000-0000AF170000}"/>
    <cellStyle name="Обычный 3 6 2 2 5 2" xfId="7366" xr:uid="{00000000-0005-0000-0000-0000B0170000}"/>
    <cellStyle name="Обычный 3 6 2 2 6" xfId="7367" xr:uid="{00000000-0005-0000-0000-0000B1170000}"/>
    <cellStyle name="Обычный 3 6 2 2 7" xfId="7368" xr:uid="{00000000-0005-0000-0000-0000B2170000}"/>
    <cellStyle name="Обычный 3 6 2 3" xfId="7369" xr:uid="{00000000-0005-0000-0000-0000B3170000}"/>
    <cellStyle name="Обычный 3 6 2 3 2" xfId="7370" xr:uid="{00000000-0005-0000-0000-0000B4170000}"/>
    <cellStyle name="Обычный 3 6 2 3 2 2" xfId="7371" xr:uid="{00000000-0005-0000-0000-0000B5170000}"/>
    <cellStyle name="Обычный 3 6 2 3 2 2 2" xfId="7372" xr:uid="{00000000-0005-0000-0000-0000B6170000}"/>
    <cellStyle name="Обычный 3 6 2 3 2 2 3" xfId="7373" xr:uid="{00000000-0005-0000-0000-0000B7170000}"/>
    <cellStyle name="Обычный 3 6 2 3 2 3" xfId="7374" xr:uid="{00000000-0005-0000-0000-0000B8170000}"/>
    <cellStyle name="Обычный 3 6 2 3 2 4" xfId="7375" xr:uid="{00000000-0005-0000-0000-0000B9170000}"/>
    <cellStyle name="Обычный 3 6 2 3 3" xfId="7376" xr:uid="{00000000-0005-0000-0000-0000BA170000}"/>
    <cellStyle name="Обычный 3 6 2 3 3 2" xfId="7377" xr:uid="{00000000-0005-0000-0000-0000BB170000}"/>
    <cellStyle name="Обычный 3 6 2 3 3 3" xfId="7378" xr:uid="{00000000-0005-0000-0000-0000BC170000}"/>
    <cellStyle name="Обычный 3 6 2 3 4" xfId="7379" xr:uid="{00000000-0005-0000-0000-0000BD170000}"/>
    <cellStyle name="Обычный 3 6 2 3 4 2" xfId="7380" xr:uid="{00000000-0005-0000-0000-0000BE170000}"/>
    <cellStyle name="Обычный 3 6 2 3 5" xfId="7381" xr:uid="{00000000-0005-0000-0000-0000BF170000}"/>
    <cellStyle name="Обычный 3 6 2 3 6" xfId="7382" xr:uid="{00000000-0005-0000-0000-0000C0170000}"/>
    <cellStyle name="Обычный 3 6 2 4" xfId="7383" xr:uid="{00000000-0005-0000-0000-0000C1170000}"/>
    <cellStyle name="Обычный 3 6 2 4 2" xfId="7384" xr:uid="{00000000-0005-0000-0000-0000C2170000}"/>
    <cellStyle name="Обычный 3 6 2 4 2 2" xfId="7385" xr:uid="{00000000-0005-0000-0000-0000C3170000}"/>
    <cellStyle name="Обычный 3 6 2 4 2 3" xfId="7386" xr:uid="{00000000-0005-0000-0000-0000C4170000}"/>
    <cellStyle name="Обычный 3 6 2 4 3" xfId="7387" xr:uid="{00000000-0005-0000-0000-0000C5170000}"/>
    <cellStyle name="Обычный 3 6 2 4 4" xfId="7388" xr:uid="{00000000-0005-0000-0000-0000C6170000}"/>
    <cellStyle name="Обычный 3 6 2 5" xfId="7389" xr:uid="{00000000-0005-0000-0000-0000C7170000}"/>
    <cellStyle name="Обычный 3 6 2 5 2" xfId="7390" xr:uid="{00000000-0005-0000-0000-0000C8170000}"/>
    <cellStyle name="Обычный 3 6 2 5 3" xfId="7391" xr:uid="{00000000-0005-0000-0000-0000C9170000}"/>
    <cellStyle name="Обычный 3 6 2 6" xfId="7392" xr:uid="{00000000-0005-0000-0000-0000CA170000}"/>
    <cellStyle name="Обычный 3 6 2 6 2" xfId="7393" xr:uid="{00000000-0005-0000-0000-0000CB170000}"/>
    <cellStyle name="Обычный 3 6 2 7" xfId="7394" xr:uid="{00000000-0005-0000-0000-0000CC170000}"/>
    <cellStyle name="Обычный 3 6 2 8" xfId="7395" xr:uid="{00000000-0005-0000-0000-0000CD170000}"/>
    <cellStyle name="Обычный 3 6 3" xfId="7396" xr:uid="{00000000-0005-0000-0000-0000CE170000}"/>
    <cellStyle name="Обычный 3 6 3 2" xfId="7397" xr:uid="{00000000-0005-0000-0000-0000CF170000}"/>
    <cellStyle name="Обычный 3 6 3 2 2" xfId="7398" xr:uid="{00000000-0005-0000-0000-0000D0170000}"/>
    <cellStyle name="Обычный 3 6 3 2 2 2" xfId="7399" xr:uid="{00000000-0005-0000-0000-0000D1170000}"/>
    <cellStyle name="Обычный 3 6 3 2 2 2 2" xfId="7400" xr:uid="{00000000-0005-0000-0000-0000D2170000}"/>
    <cellStyle name="Обычный 3 6 3 2 2 2 3" xfId="7401" xr:uid="{00000000-0005-0000-0000-0000D3170000}"/>
    <cellStyle name="Обычный 3 6 3 2 2 3" xfId="7402" xr:uid="{00000000-0005-0000-0000-0000D4170000}"/>
    <cellStyle name="Обычный 3 6 3 2 2 4" xfId="7403" xr:uid="{00000000-0005-0000-0000-0000D5170000}"/>
    <cellStyle name="Обычный 3 6 3 2 3" xfId="7404" xr:uid="{00000000-0005-0000-0000-0000D6170000}"/>
    <cellStyle name="Обычный 3 6 3 2 3 2" xfId="7405" xr:uid="{00000000-0005-0000-0000-0000D7170000}"/>
    <cellStyle name="Обычный 3 6 3 2 3 3" xfId="7406" xr:uid="{00000000-0005-0000-0000-0000D8170000}"/>
    <cellStyle name="Обычный 3 6 3 2 4" xfId="7407" xr:uid="{00000000-0005-0000-0000-0000D9170000}"/>
    <cellStyle name="Обычный 3 6 3 2 4 2" xfId="7408" xr:uid="{00000000-0005-0000-0000-0000DA170000}"/>
    <cellStyle name="Обычный 3 6 3 2 5" xfId="7409" xr:uid="{00000000-0005-0000-0000-0000DB170000}"/>
    <cellStyle name="Обычный 3 6 3 2 6" xfId="7410" xr:uid="{00000000-0005-0000-0000-0000DC170000}"/>
    <cellStyle name="Обычный 3 6 3 3" xfId="7411" xr:uid="{00000000-0005-0000-0000-0000DD170000}"/>
    <cellStyle name="Обычный 3 6 3 3 2" xfId="7412" xr:uid="{00000000-0005-0000-0000-0000DE170000}"/>
    <cellStyle name="Обычный 3 6 3 3 2 2" xfId="7413" xr:uid="{00000000-0005-0000-0000-0000DF170000}"/>
    <cellStyle name="Обычный 3 6 3 3 2 3" xfId="7414" xr:uid="{00000000-0005-0000-0000-0000E0170000}"/>
    <cellStyle name="Обычный 3 6 3 3 3" xfId="7415" xr:uid="{00000000-0005-0000-0000-0000E1170000}"/>
    <cellStyle name="Обычный 3 6 3 3 4" xfId="7416" xr:uid="{00000000-0005-0000-0000-0000E2170000}"/>
    <cellStyle name="Обычный 3 6 3 4" xfId="7417" xr:uid="{00000000-0005-0000-0000-0000E3170000}"/>
    <cellStyle name="Обычный 3 6 3 4 2" xfId="7418" xr:uid="{00000000-0005-0000-0000-0000E4170000}"/>
    <cellStyle name="Обычный 3 6 3 4 3" xfId="7419" xr:uid="{00000000-0005-0000-0000-0000E5170000}"/>
    <cellStyle name="Обычный 3 6 3 5" xfId="7420" xr:uid="{00000000-0005-0000-0000-0000E6170000}"/>
    <cellStyle name="Обычный 3 6 3 5 2" xfId="7421" xr:uid="{00000000-0005-0000-0000-0000E7170000}"/>
    <cellStyle name="Обычный 3 6 3 6" xfId="7422" xr:uid="{00000000-0005-0000-0000-0000E8170000}"/>
    <cellStyle name="Обычный 3 6 3 7" xfId="7423" xr:uid="{00000000-0005-0000-0000-0000E9170000}"/>
    <cellStyle name="Обычный 3 6 4" xfId="7424" xr:uid="{00000000-0005-0000-0000-0000EA170000}"/>
    <cellStyle name="Обычный 3 6 4 2" xfId="7425" xr:uid="{00000000-0005-0000-0000-0000EB170000}"/>
    <cellStyle name="Обычный 3 6 4 2 2" xfId="7426" xr:uid="{00000000-0005-0000-0000-0000EC170000}"/>
    <cellStyle name="Обычный 3 6 4 2 2 2" xfId="7427" xr:uid="{00000000-0005-0000-0000-0000ED170000}"/>
    <cellStyle name="Обычный 3 6 4 2 2 3" xfId="7428" xr:uid="{00000000-0005-0000-0000-0000EE170000}"/>
    <cellStyle name="Обычный 3 6 4 2 3" xfId="7429" xr:uid="{00000000-0005-0000-0000-0000EF170000}"/>
    <cellStyle name="Обычный 3 6 4 2 4" xfId="7430" xr:uid="{00000000-0005-0000-0000-0000F0170000}"/>
    <cellStyle name="Обычный 3 6 4 3" xfId="7431" xr:uid="{00000000-0005-0000-0000-0000F1170000}"/>
    <cellStyle name="Обычный 3 6 4 3 2" xfId="7432" xr:uid="{00000000-0005-0000-0000-0000F2170000}"/>
    <cellStyle name="Обычный 3 6 4 3 3" xfId="7433" xr:uid="{00000000-0005-0000-0000-0000F3170000}"/>
    <cellStyle name="Обычный 3 6 4 4" xfId="7434" xr:uid="{00000000-0005-0000-0000-0000F4170000}"/>
    <cellStyle name="Обычный 3 6 4 4 2" xfId="7435" xr:uid="{00000000-0005-0000-0000-0000F5170000}"/>
    <cellStyle name="Обычный 3 6 4 5" xfId="7436" xr:uid="{00000000-0005-0000-0000-0000F6170000}"/>
    <cellStyle name="Обычный 3 6 4 6" xfId="7437" xr:uid="{00000000-0005-0000-0000-0000F7170000}"/>
    <cellStyle name="Обычный 3 6 5" xfId="7438" xr:uid="{00000000-0005-0000-0000-0000F8170000}"/>
    <cellStyle name="Обычный 3 6 5 2" xfId="7439" xr:uid="{00000000-0005-0000-0000-0000F9170000}"/>
    <cellStyle name="Обычный 3 6 5 2 2" xfId="7440" xr:uid="{00000000-0005-0000-0000-0000FA170000}"/>
    <cellStyle name="Обычный 3 6 5 2 3" xfId="7441" xr:uid="{00000000-0005-0000-0000-0000FB170000}"/>
    <cellStyle name="Обычный 3 6 5 3" xfId="7442" xr:uid="{00000000-0005-0000-0000-0000FC170000}"/>
    <cellStyle name="Обычный 3 6 5 4" xfId="7443" xr:uid="{00000000-0005-0000-0000-0000FD170000}"/>
    <cellStyle name="Обычный 3 6 6" xfId="7444" xr:uid="{00000000-0005-0000-0000-0000FE170000}"/>
    <cellStyle name="Обычный 3 6 6 2" xfId="7445" xr:uid="{00000000-0005-0000-0000-0000FF170000}"/>
    <cellStyle name="Обычный 3 6 6 3" xfId="7446" xr:uid="{00000000-0005-0000-0000-000000180000}"/>
    <cellStyle name="Обычный 3 6 7" xfId="7447" xr:uid="{00000000-0005-0000-0000-000001180000}"/>
    <cellStyle name="Обычный 3 6 7 2" xfId="7448" xr:uid="{00000000-0005-0000-0000-000002180000}"/>
    <cellStyle name="Обычный 3 6 8" xfId="7449" xr:uid="{00000000-0005-0000-0000-000003180000}"/>
    <cellStyle name="Обычный 3 6 9" xfId="7450" xr:uid="{00000000-0005-0000-0000-000004180000}"/>
    <cellStyle name="Обычный 3 7" xfId="3661" xr:uid="{00000000-0005-0000-0000-000005180000}"/>
    <cellStyle name="Обычный 3 7 2" xfId="3662" xr:uid="{00000000-0005-0000-0000-000006180000}"/>
    <cellStyle name="Обычный 3 7 2 2" xfId="7451" xr:uid="{00000000-0005-0000-0000-000007180000}"/>
    <cellStyle name="Обычный 3 7 2 2 2" xfId="7452" xr:uid="{00000000-0005-0000-0000-000008180000}"/>
    <cellStyle name="Обычный 3 7 2 2 2 2" xfId="7453" xr:uid="{00000000-0005-0000-0000-000009180000}"/>
    <cellStyle name="Обычный 3 7 2 2 2 2 2" xfId="7454" xr:uid="{00000000-0005-0000-0000-00000A180000}"/>
    <cellStyle name="Обычный 3 7 2 2 2 2 3" xfId="7455" xr:uid="{00000000-0005-0000-0000-00000B180000}"/>
    <cellStyle name="Обычный 3 7 2 2 2 3" xfId="7456" xr:uid="{00000000-0005-0000-0000-00000C180000}"/>
    <cellStyle name="Обычный 3 7 2 2 2 4" xfId="7457" xr:uid="{00000000-0005-0000-0000-00000D180000}"/>
    <cellStyle name="Обычный 3 7 2 2 3" xfId="7458" xr:uid="{00000000-0005-0000-0000-00000E180000}"/>
    <cellStyle name="Обычный 3 7 2 2 3 2" xfId="7459" xr:uid="{00000000-0005-0000-0000-00000F180000}"/>
    <cellStyle name="Обычный 3 7 2 2 3 3" xfId="7460" xr:uid="{00000000-0005-0000-0000-000010180000}"/>
    <cellStyle name="Обычный 3 7 2 2 4" xfId="7461" xr:uid="{00000000-0005-0000-0000-000011180000}"/>
    <cellStyle name="Обычный 3 7 2 2 4 2" xfId="7462" xr:uid="{00000000-0005-0000-0000-000012180000}"/>
    <cellStyle name="Обычный 3 7 2 2 5" xfId="7463" xr:uid="{00000000-0005-0000-0000-000013180000}"/>
    <cellStyle name="Обычный 3 7 2 2 6" xfId="7464" xr:uid="{00000000-0005-0000-0000-000014180000}"/>
    <cellStyle name="Обычный 3 7 2 3" xfId="7465" xr:uid="{00000000-0005-0000-0000-000015180000}"/>
    <cellStyle name="Обычный 3 7 2 3 2" xfId="7466" xr:uid="{00000000-0005-0000-0000-000016180000}"/>
    <cellStyle name="Обычный 3 7 2 3 2 2" xfId="7467" xr:uid="{00000000-0005-0000-0000-000017180000}"/>
    <cellStyle name="Обычный 3 7 2 3 2 3" xfId="7468" xr:uid="{00000000-0005-0000-0000-000018180000}"/>
    <cellStyle name="Обычный 3 7 2 3 3" xfId="7469" xr:uid="{00000000-0005-0000-0000-000019180000}"/>
    <cellStyle name="Обычный 3 7 2 3 4" xfId="7470" xr:uid="{00000000-0005-0000-0000-00001A180000}"/>
    <cellStyle name="Обычный 3 7 2 4" xfId="7471" xr:uid="{00000000-0005-0000-0000-00001B180000}"/>
    <cellStyle name="Обычный 3 7 2 4 2" xfId="7472" xr:uid="{00000000-0005-0000-0000-00001C180000}"/>
    <cellStyle name="Обычный 3 7 2 4 3" xfId="7473" xr:uid="{00000000-0005-0000-0000-00001D180000}"/>
    <cellStyle name="Обычный 3 7 2 5" xfId="7474" xr:uid="{00000000-0005-0000-0000-00001E180000}"/>
    <cellStyle name="Обычный 3 7 2 5 2" xfId="7475" xr:uid="{00000000-0005-0000-0000-00001F180000}"/>
    <cellStyle name="Обычный 3 7 2 6" xfId="7476" xr:uid="{00000000-0005-0000-0000-000020180000}"/>
    <cellStyle name="Обычный 3 7 2 7" xfId="7477" xr:uid="{00000000-0005-0000-0000-000021180000}"/>
    <cellStyle name="Обычный 3 7 3" xfId="3663" xr:uid="{00000000-0005-0000-0000-000022180000}"/>
    <cellStyle name="Обычный 3 7 3 2" xfId="7478" xr:uid="{00000000-0005-0000-0000-000023180000}"/>
    <cellStyle name="Обычный 3 7 3 2 2" xfId="7479" xr:uid="{00000000-0005-0000-0000-000024180000}"/>
    <cellStyle name="Обычный 3 7 3 2 2 2" xfId="7480" xr:uid="{00000000-0005-0000-0000-000025180000}"/>
    <cellStyle name="Обычный 3 7 3 2 2 3" xfId="7481" xr:uid="{00000000-0005-0000-0000-000026180000}"/>
    <cellStyle name="Обычный 3 7 3 2 3" xfId="7482" xr:uid="{00000000-0005-0000-0000-000027180000}"/>
    <cellStyle name="Обычный 3 7 3 2 4" xfId="7483" xr:uid="{00000000-0005-0000-0000-000028180000}"/>
    <cellStyle name="Обычный 3 7 3 3" xfId="7484" xr:uid="{00000000-0005-0000-0000-000029180000}"/>
    <cellStyle name="Обычный 3 7 3 3 2" xfId="7485" xr:uid="{00000000-0005-0000-0000-00002A180000}"/>
    <cellStyle name="Обычный 3 7 3 3 3" xfId="7486" xr:uid="{00000000-0005-0000-0000-00002B180000}"/>
    <cellStyle name="Обычный 3 7 3 4" xfId="7487" xr:uid="{00000000-0005-0000-0000-00002C180000}"/>
    <cellStyle name="Обычный 3 7 3 4 2" xfId="7488" xr:uid="{00000000-0005-0000-0000-00002D180000}"/>
    <cellStyle name="Обычный 3 7 3 5" xfId="7489" xr:uid="{00000000-0005-0000-0000-00002E180000}"/>
    <cellStyle name="Обычный 3 7 3 6" xfId="7490" xr:uid="{00000000-0005-0000-0000-00002F180000}"/>
    <cellStyle name="Обычный 3 7 4" xfId="3664" xr:uid="{00000000-0005-0000-0000-000030180000}"/>
    <cellStyle name="Обычный 3 7 4 2" xfId="7491" xr:uid="{00000000-0005-0000-0000-000031180000}"/>
    <cellStyle name="Обычный 3 7 4 2 2" xfId="7492" xr:uid="{00000000-0005-0000-0000-000032180000}"/>
    <cellStyle name="Обычный 3 7 4 2 3" xfId="7493" xr:uid="{00000000-0005-0000-0000-000033180000}"/>
    <cellStyle name="Обычный 3 7 4 3" xfId="7494" xr:uid="{00000000-0005-0000-0000-000034180000}"/>
    <cellStyle name="Обычный 3 7 4 4" xfId="7495" xr:uid="{00000000-0005-0000-0000-000035180000}"/>
    <cellStyle name="Обычный 3 7 5" xfId="7496" xr:uid="{00000000-0005-0000-0000-000036180000}"/>
    <cellStyle name="Обычный 3 7 5 2" xfId="7497" xr:uid="{00000000-0005-0000-0000-000037180000}"/>
    <cellStyle name="Обычный 3 7 5 3" xfId="7498" xr:uid="{00000000-0005-0000-0000-000038180000}"/>
    <cellStyle name="Обычный 3 7 6" xfId="7499" xr:uid="{00000000-0005-0000-0000-000039180000}"/>
    <cellStyle name="Обычный 3 7 6 2" xfId="7500" xr:uid="{00000000-0005-0000-0000-00003A180000}"/>
    <cellStyle name="Обычный 3 7 7" xfId="7501" xr:uid="{00000000-0005-0000-0000-00003B180000}"/>
    <cellStyle name="Обычный 3 7 8" xfId="7502" xr:uid="{00000000-0005-0000-0000-00003C180000}"/>
    <cellStyle name="Обычный 3 7_Свод гостин" xfId="3665" xr:uid="{00000000-0005-0000-0000-00003D180000}"/>
    <cellStyle name="Обычный 3 8" xfId="3666" xr:uid="{00000000-0005-0000-0000-00003E180000}"/>
    <cellStyle name="Обычный 3 8 2" xfId="7503" xr:uid="{00000000-0005-0000-0000-00003F180000}"/>
    <cellStyle name="Обычный 3 8 2 2" xfId="7504" xr:uid="{00000000-0005-0000-0000-000040180000}"/>
    <cellStyle name="Обычный 3 8 2 2 2" xfId="7505" xr:uid="{00000000-0005-0000-0000-000041180000}"/>
    <cellStyle name="Обычный 3 8 2 2 2 2" xfId="7506" xr:uid="{00000000-0005-0000-0000-000042180000}"/>
    <cellStyle name="Обычный 3 8 2 2 2 3" xfId="7507" xr:uid="{00000000-0005-0000-0000-000043180000}"/>
    <cellStyle name="Обычный 3 8 2 2 3" xfId="7508" xr:uid="{00000000-0005-0000-0000-000044180000}"/>
    <cellStyle name="Обычный 3 8 2 2 4" xfId="7509" xr:uid="{00000000-0005-0000-0000-000045180000}"/>
    <cellStyle name="Обычный 3 8 2 3" xfId="7510" xr:uid="{00000000-0005-0000-0000-000046180000}"/>
    <cellStyle name="Обычный 3 8 2 3 2" xfId="7511" xr:uid="{00000000-0005-0000-0000-000047180000}"/>
    <cellStyle name="Обычный 3 8 2 3 3" xfId="7512" xr:uid="{00000000-0005-0000-0000-000048180000}"/>
    <cellStyle name="Обычный 3 8 2 4" xfId="7513" xr:uid="{00000000-0005-0000-0000-000049180000}"/>
    <cellStyle name="Обычный 3 8 2 4 2" xfId="7514" xr:uid="{00000000-0005-0000-0000-00004A180000}"/>
    <cellStyle name="Обычный 3 8 2 5" xfId="7515" xr:uid="{00000000-0005-0000-0000-00004B180000}"/>
    <cellStyle name="Обычный 3 8 2 6" xfId="7516" xr:uid="{00000000-0005-0000-0000-00004C180000}"/>
    <cellStyle name="Обычный 3 8 3" xfId="7517" xr:uid="{00000000-0005-0000-0000-00004D180000}"/>
    <cellStyle name="Обычный 3 8 3 2" xfId="7518" xr:uid="{00000000-0005-0000-0000-00004E180000}"/>
    <cellStyle name="Обычный 3 8 3 2 2" xfId="7519" xr:uid="{00000000-0005-0000-0000-00004F180000}"/>
    <cellStyle name="Обычный 3 8 3 2 3" xfId="7520" xr:uid="{00000000-0005-0000-0000-000050180000}"/>
    <cellStyle name="Обычный 3 8 3 3" xfId="7521" xr:uid="{00000000-0005-0000-0000-000051180000}"/>
    <cellStyle name="Обычный 3 8 3 4" xfId="7522" xr:uid="{00000000-0005-0000-0000-000052180000}"/>
    <cellStyle name="Обычный 3 8 4" xfId="7523" xr:uid="{00000000-0005-0000-0000-000053180000}"/>
    <cellStyle name="Обычный 3 8 4 2" xfId="7524" xr:uid="{00000000-0005-0000-0000-000054180000}"/>
    <cellStyle name="Обычный 3 8 4 3" xfId="7525" xr:uid="{00000000-0005-0000-0000-000055180000}"/>
    <cellStyle name="Обычный 3 8 5" xfId="7526" xr:uid="{00000000-0005-0000-0000-000056180000}"/>
    <cellStyle name="Обычный 3 8 5 2" xfId="7527" xr:uid="{00000000-0005-0000-0000-000057180000}"/>
    <cellStyle name="Обычный 3 8 6" xfId="7528" xr:uid="{00000000-0005-0000-0000-000058180000}"/>
    <cellStyle name="Обычный 3 8 7" xfId="7529" xr:uid="{00000000-0005-0000-0000-000059180000}"/>
    <cellStyle name="Обычный 3 9" xfId="3667" xr:uid="{00000000-0005-0000-0000-00005A180000}"/>
    <cellStyle name="Обычный 3 9 2" xfId="7530" xr:uid="{00000000-0005-0000-0000-00005B180000}"/>
    <cellStyle name="Обычный 3 9 2 2" xfId="7531" xr:uid="{00000000-0005-0000-0000-00005C180000}"/>
    <cellStyle name="Обычный 3 9 2 2 2" xfId="7532" xr:uid="{00000000-0005-0000-0000-00005D180000}"/>
    <cellStyle name="Обычный 3 9 2 2 3" xfId="7533" xr:uid="{00000000-0005-0000-0000-00005E180000}"/>
    <cellStyle name="Обычный 3 9 2 3" xfId="7534" xr:uid="{00000000-0005-0000-0000-00005F180000}"/>
    <cellStyle name="Обычный 3 9 2 4" xfId="7535" xr:uid="{00000000-0005-0000-0000-000060180000}"/>
    <cellStyle name="Обычный 3 9 3" xfId="7536" xr:uid="{00000000-0005-0000-0000-000061180000}"/>
    <cellStyle name="Обычный 3 9 3 2" xfId="7537" xr:uid="{00000000-0005-0000-0000-000062180000}"/>
    <cellStyle name="Обычный 3 9 3 3" xfId="7538" xr:uid="{00000000-0005-0000-0000-000063180000}"/>
    <cellStyle name="Обычный 3 9 4" xfId="7539" xr:uid="{00000000-0005-0000-0000-000064180000}"/>
    <cellStyle name="Обычный 3 9 4 2" xfId="7540" xr:uid="{00000000-0005-0000-0000-000065180000}"/>
    <cellStyle name="Обычный 3 9 5" xfId="7541" xr:uid="{00000000-0005-0000-0000-000066180000}"/>
    <cellStyle name="Обычный 3 9 6" xfId="7542" xr:uid="{00000000-0005-0000-0000-000067180000}"/>
    <cellStyle name="Обычный 3_3FB0480D" xfId="3668" xr:uid="{00000000-0005-0000-0000-000068180000}"/>
    <cellStyle name="Обычный 30" xfId="3669" xr:uid="{00000000-0005-0000-0000-000069180000}"/>
    <cellStyle name="Обычный 30 2" xfId="3670" xr:uid="{00000000-0005-0000-0000-00006A180000}"/>
    <cellStyle name="Обычный 30 2 2" xfId="3671" xr:uid="{00000000-0005-0000-0000-00006B180000}"/>
    <cellStyle name="Обычный 30 3" xfId="7543" xr:uid="{00000000-0005-0000-0000-00006C180000}"/>
    <cellStyle name="Обычный 30_Свод гостин" xfId="3672" xr:uid="{00000000-0005-0000-0000-00006D180000}"/>
    <cellStyle name="Обычный 31" xfId="3673" xr:uid="{00000000-0005-0000-0000-00006E180000}"/>
    <cellStyle name="Обычный 31 2" xfId="3674" xr:uid="{00000000-0005-0000-0000-00006F180000}"/>
    <cellStyle name="Обычный 31 2 2" xfId="3675" xr:uid="{00000000-0005-0000-0000-000070180000}"/>
    <cellStyle name="Обычный 31 3" xfId="7544" xr:uid="{00000000-0005-0000-0000-000071180000}"/>
    <cellStyle name="Обычный 31_Свод гостин" xfId="3676" xr:uid="{00000000-0005-0000-0000-000072180000}"/>
    <cellStyle name="Обычный 32" xfId="3677" xr:uid="{00000000-0005-0000-0000-000073180000}"/>
    <cellStyle name="Обычный 32 2" xfId="3678" xr:uid="{00000000-0005-0000-0000-000074180000}"/>
    <cellStyle name="Обычный 32 2 2" xfId="3679" xr:uid="{00000000-0005-0000-0000-000075180000}"/>
    <cellStyle name="Обычный 32 2 3" xfId="3680" xr:uid="{00000000-0005-0000-0000-000076180000}"/>
    <cellStyle name="Обычный 32 2_Свод гостин" xfId="3681" xr:uid="{00000000-0005-0000-0000-000077180000}"/>
    <cellStyle name="Обычный 32 3" xfId="3682" xr:uid="{00000000-0005-0000-0000-000078180000}"/>
    <cellStyle name="Обычный 32 4" xfId="3683" xr:uid="{00000000-0005-0000-0000-000079180000}"/>
    <cellStyle name="Обычный 32 5" xfId="3684" xr:uid="{00000000-0005-0000-0000-00007A180000}"/>
    <cellStyle name="Обычный 32 6" xfId="3685" xr:uid="{00000000-0005-0000-0000-00007B180000}"/>
    <cellStyle name="Обычный 32 7" xfId="3686" xr:uid="{00000000-0005-0000-0000-00007C180000}"/>
    <cellStyle name="Обычный 32 7 2" xfId="3687" xr:uid="{00000000-0005-0000-0000-00007D180000}"/>
    <cellStyle name="Обычный 32 7_ТУП" xfId="3688" xr:uid="{00000000-0005-0000-0000-00007E180000}"/>
    <cellStyle name="Обычный 32_Свод гостин" xfId="3689" xr:uid="{00000000-0005-0000-0000-00007F180000}"/>
    <cellStyle name="Обычный 33" xfId="3690" xr:uid="{00000000-0005-0000-0000-000080180000}"/>
    <cellStyle name="Обычный 33 10" xfId="7545" xr:uid="{00000000-0005-0000-0000-000081180000}"/>
    <cellStyle name="Обычный 33 10 2" xfId="7546" xr:uid="{00000000-0005-0000-0000-000082180000}"/>
    <cellStyle name="Обычный 33 11" xfId="7547" xr:uid="{00000000-0005-0000-0000-000083180000}"/>
    <cellStyle name="Обычный 33 12" xfId="7548" xr:uid="{00000000-0005-0000-0000-000084180000}"/>
    <cellStyle name="Обычный 33 2" xfId="3691" xr:uid="{00000000-0005-0000-0000-000085180000}"/>
    <cellStyle name="Обычный 33 2 10" xfId="7549" xr:uid="{00000000-0005-0000-0000-000086180000}"/>
    <cellStyle name="Обычный 33 2 2" xfId="3692" xr:uid="{00000000-0005-0000-0000-000087180000}"/>
    <cellStyle name="Обычный 33 2 2 2" xfId="7550" xr:uid="{00000000-0005-0000-0000-000088180000}"/>
    <cellStyle name="Обычный 33 2 2 2 2" xfId="7551" xr:uid="{00000000-0005-0000-0000-000089180000}"/>
    <cellStyle name="Обычный 33 2 2 2 2 2" xfId="7552" xr:uid="{00000000-0005-0000-0000-00008A180000}"/>
    <cellStyle name="Обычный 33 2 2 2 2 2 2" xfId="7553" xr:uid="{00000000-0005-0000-0000-00008B180000}"/>
    <cellStyle name="Обычный 33 2 2 2 2 2 2 2" xfId="7554" xr:uid="{00000000-0005-0000-0000-00008C180000}"/>
    <cellStyle name="Обычный 33 2 2 2 2 2 2 2 2" xfId="7555" xr:uid="{00000000-0005-0000-0000-00008D180000}"/>
    <cellStyle name="Обычный 33 2 2 2 2 2 2 2 3" xfId="7556" xr:uid="{00000000-0005-0000-0000-00008E180000}"/>
    <cellStyle name="Обычный 33 2 2 2 2 2 2 3" xfId="7557" xr:uid="{00000000-0005-0000-0000-00008F180000}"/>
    <cellStyle name="Обычный 33 2 2 2 2 2 2 4" xfId="7558" xr:uid="{00000000-0005-0000-0000-000090180000}"/>
    <cellStyle name="Обычный 33 2 2 2 2 2 3" xfId="7559" xr:uid="{00000000-0005-0000-0000-000091180000}"/>
    <cellStyle name="Обычный 33 2 2 2 2 2 3 2" xfId="7560" xr:uid="{00000000-0005-0000-0000-000092180000}"/>
    <cellStyle name="Обычный 33 2 2 2 2 2 3 3" xfId="7561" xr:uid="{00000000-0005-0000-0000-000093180000}"/>
    <cellStyle name="Обычный 33 2 2 2 2 2 4" xfId="7562" xr:uid="{00000000-0005-0000-0000-000094180000}"/>
    <cellStyle name="Обычный 33 2 2 2 2 2 4 2" xfId="7563" xr:uid="{00000000-0005-0000-0000-000095180000}"/>
    <cellStyle name="Обычный 33 2 2 2 2 2 5" xfId="7564" xr:uid="{00000000-0005-0000-0000-000096180000}"/>
    <cellStyle name="Обычный 33 2 2 2 2 2 6" xfId="7565" xr:uid="{00000000-0005-0000-0000-000097180000}"/>
    <cellStyle name="Обычный 33 2 2 2 2 3" xfId="7566" xr:uid="{00000000-0005-0000-0000-000098180000}"/>
    <cellStyle name="Обычный 33 2 2 2 2 3 2" xfId="7567" xr:uid="{00000000-0005-0000-0000-000099180000}"/>
    <cellStyle name="Обычный 33 2 2 2 2 3 2 2" xfId="7568" xr:uid="{00000000-0005-0000-0000-00009A180000}"/>
    <cellStyle name="Обычный 33 2 2 2 2 3 2 3" xfId="7569" xr:uid="{00000000-0005-0000-0000-00009B180000}"/>
    <cellStyle name="Обычный 33 2 2 2 2 3 3" xfId="7570" xr:uid="{00000000-0005-0000-0000-00009C180000}"/>
    <cellStyle name="Обычный 33 2 2 2 2 3 4" xfId="7571" xr:uid="{00000000-0005-0000-0000-00009D180000}"/>
    <cellStyle name="Обычный 33 2 2 2 2 4" xfId="7572" xr:uid="{00000000-0005-0000-0000-00009E180000}"/>
    <cellStyle name="Обычный 33 2 2 2 2 4 2" xfId="7573" xr:uid="{00000000-0005-0000-0000-00009F180000}"/>
    <cellStyle name="Обычный 33 2 2 2 2 4 3" xfId="7574" xr:uid="{00000000-0005-0000-0000-0000A0180000}"/>
    <cellStyle name="Обычный 33 2 2 2 2 5" xfId="7575" xr:uid="{00000000-0005-0000-0000-0000A1180000}"/>
    <cellStyle name="Обычный 33 2 2 2 2 5 2" xfId="7576" xr:uid="{00000000-0005-0000-0000-0000A2180000}"/>
    <cellStyle name="Обычный 33 2 2 2 2 6" xfId="7577" xr:uid="{00000000-0005-0000-0000-0000A3180000}"/>
    <cellStyle name="Обычный 33 2 2 2 2 7" xfId="7578" xr:uid="{00000000-0005-0000-0000-0000A4180000}"/>
    <cellStyle name="Обычный 33 2 2 2 3" xfId="7579" xr:uid="{00000000-0005-0000-0000-0000A5180000}"/>
    <cellStyle name="Обычный 33 2 2 2 3 2" xfId="7580" xr:uid="{00000000-0005-0000-0000-0000A6180000}"/>
    <cellStyle name="Обычный 33 2 2 2 3 2 2" xfId="7581" xr:uid="{00000000-0005-0000-0000-0000A7180000}"/>
    <cellStyle name="Обычный 33 2 2 2 3 2 2 2" xfId="7582" xr:uid="{00000000-0005-0000-0000-0000A8180000}"/>
    <cellStyle name="Обычный 33 2 2 2 3 2 2 3" xfId="7583" xr:uid="{00000000-0005-0000-0000-0000A9180000}"/>
    <cellStyle name="Обычный 33 2 2 2 3 2 3" xfId="7584" xr:uid="{00000000-0005-0000-0000-0000AA180000}"/>
    <cellStyle name="Обычный 33 2 2 2 3 2 4" xfId="7585" xr:uid="{00000000-0005-0000-0000-0000AB180000}"/>
    <cellStyle name="Обычный 33 2 2 2 3 3" xfId="7586" xr:uid="{00000000-0005-0000-0000-0000AC180000}"/>
    <cellStyle name="Обычный 33 2 2 2 3 3 2" xfId="7587" xr:uid="{00000000-0005-0000-0000-0000AD180000}"/>
    <cellStyle name="Обычный 33 2 2 2 3 3 3" xfId="7588" xr:uid="{00000000-0005-0000-0000-0000AE180000}"/>
    <cellStyle name="Обычный 33 2 2 2 3 4" xfId="7589" xr:uid="{00000000-0005-0000-0000-0000AF180000}"/>
    <cellStyle name="Обычный 33 2 2 2 3 4 2" xfId="7590" xr:uid="{00000000-0005-0000-0000-0000B0180000}"/>
    <cellStyle name="Обычный 33 2 2 2 3 5" xfId="7591" xr:uid="{00000000-0005-0000-0000-0000B1180000}"/>
    <cellStyle name="Обычный 33 2 2 2 3 6" xfId="7592" xr:uid="{00000000-0005-0000-0000-0000B2180000}"/>
    <cellStyle name="Обычный 33 2 2 2 4" xfId="7593" xr:uid="{00000000-0005-0000-0000-0000B3180000}"/>
    <cellStyle name="Обычный 33 2 2 2 4 2" xfId="7594" xr:uid="{00000000-0005-0000-0000-0000B4180000}"/>
    <cellStyle name="Обычный 33 2 2 2 4 2 2" xfId="7595" xr:uid="{00000000-0005-0000-0000-0000B5180000}"/>
    <cellStyle name="Обычный 33 2 2 2 4 2 3" xfId="7596" xr:uid="{00000000-0005-0000-0000-0000B6180000}"/>
    <cellStyle name="Обычный 33 2 2 2 4 3" xfId="7597" xr:uid="{00000000-0005-0000-0000-0000B7180000}"/>
    <cellStyle name="Обычный 33 2 2 2 4 4" xfId="7598" xr:uid="{00000000-0005-0000-0000-0000B8180000}"/>
    <cellStyle name="Обычный 33 2 2 2 5" xfId="7599" xr:uid="{00000000-0005-0000-0000-0000B9180000}"/>
    <cellStyle name="Обычный 33 2 2 2 5 2" xfId="7600" xr:uid="{00000000-0005-0000-0000-0000BA180000}"/>
    <cellStyle name="Обычный 33 2 2 2 5 3" xfId="7601" xr:uid="{00000000-0005-0000-0000-0000BB180000}"/>
    <cellStyle name="Обычный 33 2 2 2 6" xfId="7602" xr:uid="{00000000-0005-0000-0000-0000BC180000}"/>
    <cellStyle name="Обычный 33 2 2 2 6 2" xfId="7603" xr:uid="{00000000-0005-0000-0000-0000BD180000}"/>
    <cellStyle name="Обычный 33 2 2 2 7" xfId="7604" xr:uid="{00000000-0005-0000-0000-0000BE180000}"/>
    <cellStyle name="Обычный 33 2 2 2 8" xfId="7605" xr:uid="{00000000-0005-0000-0000-0000BF180000}"/>
    <cellStyle name="Обычный 33 2 2 3" xfId="7606" xr:uid="{00000000-0005-0000-0000-0000C0180000}"/>
    <cellStyle name="Обычный 33 2 2 3 2" xfId="7607" xr:uid="{00000000-0005-0000-0000-0000C1180000}"/>
    <cellStyle name="Обычный 33 2 2 3 2 2" xfId="7608" xr:uid="{00000000-0005-0000-0000-0000C2180000}"/>
    <cellStyle name="Обычный 33 2 2 3 2 2 2" xfId="7609" xr:uid="{00000000-0005-0000-0000-0000C3180000}"/>
    <cellStyle name="Обычный 33 2 2 3 2 2 2 2" xfId="7610" xr:uid="{00000000-0005-0000-0000-0000C4180000}"/>
    <cellStyle name="Обычный 33 2 2 3 2 2 2 3" xfId="7611" xr:uid="{00000000-0005-0000-0000-0000C5180000}"/>
    <cellStyle name="Обычный 33 2 2 3 2 2 3" xfId="7612" xr:uid="{00000000-0005-0000-0000-0000C6180000}"/>
    <cellStyle name="Обычный 33 2 2 3 2 2 4" xfId="7613" xr:uid="{00000000-0005-0000-0000-0000C7180000}"/>
    <cellStyle name="Обычный 33 2 2 3 2 3" xfId="7614" xr:uid="{00000000-0005-0000-0000-0000C8180000}"/>
    <cellStyle name="Обычный 33 2 2 3 2 3 2" xfId="7615" xr:uid="{00000000-0005-0000-0000-0000C9180000}"/>
    <cellStyle name="Обычный 33 2 2 3 2 3 3" xfId="7616" xr:uid="{00000000-0005-0000-0000-0000CA180000}"/>
    <cellStyle name="Обычный 33 2 2 3 2 4" xfId="7617" xr:uid="{00000000-0005-0000-0000-0000CB180000}"/>
    <cellStyle name="Обычный 33 2 2 3 2 4 2" xfId="7618" xr:uid="{00000000-0005-0000-0000-0000CC180000}"/>
    <cellStyle name="Обычный 33 2 2 3 2 5" xfId="7619" xr:uid="{00000000-0005-0000-0000-0000CD180000}"/>
    <cellStyle name="Обычный 33 2 2 3 2 6" xfId="7620" xr:uid="{00000000-0005-0000-0000-0000CE180000}"/>
    <cellStyle name="Обычный 33 2 2 3 3" xfId="7621" xr:uid="{00000000-0005-0000-0000-0000CF180000}"/>
    <cellStyle name="Обычный 33 2 2 3 3 2" xfId="7622" xr:uid="{00000000-0005-0000-0000-0000D0180000}"/>
    <cellStyle name="Обычный 33 2 2 3 3 2 2" xfId="7623" xr:uid="{00000000-0005-0000-0000-0000D1180000}"/>
    <cellStyle name="Обычный 33 2 2 3 3 2 3" xfId="7624" xr:uid="{00000000-0005-0000-0000-0000D2180000}"/>
    <cellStyle name="Обычный 33 2 2 3 3 3" xfId="7625" xr:uid="{00000000-0005-0000-0000-0000D3180000}"/>
    <cellStyle name="Обычный 33 2 2 3 3 4" xfId="7626" xr:uid="{00000000-0005-0000-0000-0000D4180000}"/>
    <cellStyle name="Обычный 33 2 2 3 4" xfId="7627" xr:uid="{00000000-0005-0000-0000-0000D5180000}"/>
    <cellStyle name="Обычный 33 2 2 3 4 2" xfId="7628" xr:uid="{00000000-0005-0000-0000-0000D6180000}"/>
    <cellStyle name="Обычный 33 2 2 3 4 3" xfId="7629" xr:uid="{00000000-0005-0000-0000-0000D7180000}"/>
    <cellStyle name="Обычный 33 2 2 3 5" xfId="7630" xr:uid="{00000000-0005-0000-0000-0000D8180000}"/>
    <cellStyle name="Обычный 33 2 2 3 5 2" xfId="7631" xr:uid="{00000000-0005-0000-0000-0000D9180000}"/>
    <cellStyle name="Обычный 33 2 2 3 6" xfId="7632" xr:uid="{00000000-0005-0000-0000-0000DA180000}"/>
    <cellStyle name="Обычный 33 2 2 3 7" xfId="7633" xr:uid="{00000000-0005-0000-0000-0000DB180000}"/>
    <cellStyle name="Обычный 33 2 2 4" xfId="7634" xr:uid="{00000000-0005-0000-0000-0000DC180000}"/>
    <cellStyle name="Обычный 33 2 2 4 2" xfId="7635" xr:uid="{00000000-0005-0000-0000-0000DD180000}"/>
    <cellStyle name="Обычный 33 2 2 4 2 2" xfId="7636" xr:uid="{00000000-0005-0000-0000-0000DE180000}"/>
    <cellStyle name="Обычный 33 2 2 4 2 2 2" xfId="7637" xr:uid="{00000000-0005-0000-0000-0000DF180000}"/>
    <cellStyle name="Обычный 33 2 2 4 2 2 3" xfId="7638" xr:uid="{00000000-0005-0000-0000-0000E0180000}"/>
    <cellStyle name="Обычный 33 2 2 4 2 3" xfId="7639" xr:uid="{00000000-0005-0000-0000-0000E1180000}"/>
    <cellStyle name="Обычный 33 2 2 4 2 4" xfId="7640" xr:uid="{00000000-0005-0000-0000-0000E2180000}"/>
    <cellStyle name="Обычный 33 2 2 4 3" xfId="7641" xr:uid="{00000000-0005-0000-0000-0000E3180000}"/>
    <cellStyle name="Обычный 33 2 2 4 3 2" xfId="7642" xr:uid="{00000000-0005-0000-0000-0000E4180000}"/>
    <cellStyle name="Обычный 33 2 2 4 3 3" xfId="7643" xr:uid="{00000000-0005-0000-0000-0000E5180000}"/>
    <cellStyle name="Обычный 33 2 2 4 4" xfId="7644" xr:uid="{00000000-0005-0000-0000-0000E6180000}"/>
    <cellStyle name="Обычный 33 2 2 4 4 2" xfId="7645" xr:uid="{00000000-0005-0000-0000-0000E7180000}"/>
    <cellStyle name="Обычный 33 2 2 4 5" xfId="7646" xr:uid="{00000000-0005-0000-0000-0000E8180000}"/>
    <cellStyle name="Обычный 33 2 2 4 6" xfId="7647" xr:uid="{00000000-0005-0000-0000-0000E9180000}"/>
    <cellStyle name="Обычный 33 2 2 5" xfId="7648" xr:uid="{00000000-0005-0000-0000-0000EA180000}"/>
    <cellStyle name="Обычный 33 2 2 5 2" xfId="7649" xr:uid="{00000000-0005-0000-0000-0000EB180000}"/>
    <cellStyle name="Обычный 33 2 2 5 2 2" xfId="7650" xr:uid="{00000000-0005-0000-0000-0000EC180000}"/>
    <cellStyle name="Обычный 33 2 2 5 2 3" xfId="7651" xr:uid="{00000000-0005-0000-0000-0000ED180000}"/>
    <cellStyle name="Обычный 33 2 2 5 3" xfId="7652" xr:uid="{00000000-0005-0000-0000-0000EE180000}"/>
    <cellStyle name="Обычный 33 2 2 5 4" xfId="7653" xr:uid="{00000000-0005-0000-0000-0000EF180000}"/>
    <cellStyle name="Обычный 33 2 2 6" xfId="7654" xr:uid="{00000000-0005-0000-0000-0000F0180000}"/>
    <cellStyle name="Обычный 33 2 2 6 2" xfId="7655" xr:uid="{00000000-0005-0000-0000-0000F1180000}"/>
    <cellStyle name="Обычный 33 2 2 6 3" xfId="7656" xr:uid="{00000000-0005-0000-0000-0000F2180000}"/>
    <cellStyle name="Обычный 33 2 2 7" xfId="7657" xr:uid="{00000000-0005-0000-0000-0000F3180000}"/>
    <cellStyle name="Обычный 33 2 2 7 2" xfId="7658" xr:uid="{00000000-0005-0000-0000-0000F4180000}"/>
    <cellStyle name="Обычный 33 2 2 8" xfId="7659" xr:uid="{00000000-0005-0000-0000-0000F5180000}"/>
    <cellStyle name="Обычный 33 2 2 9" xfId="7660" xr:uid="{00000000-0005-0000-0000-0000F6180000}"/>
    <cellStyle name="Обычный 33 2 3" xfId="3693" xr:uid="{00000000-0005-0000-0000-0000F7180000}"/>
    <cellStyle name="Обычный 33 2 3 2" xfId="7661" xr:uid="{00000000-0005-0000-0000-0000F8180000}"/>
    <cellStyle name="Обычный 33 2 3 2 2" xfId="7662" xr:uid="{00000000-0005-0000-0000-0000F9180000}"/>
    <cellStyle name="Обычный 33 2 3 2 2 2" xfId="7663" xr:uid="{00000000-0005-0000-0000-0000FA180000}"/>
    <cellStyle name="Обычный 33 2 3 2 2 2 2" xfId="7664" xr:uid="{00000000-0005-0000-0000-0000FB180000}"/>
    <cellStyle name="Обычный 33 2 3 2 2 2 2 2" xfId="7665" xr:uid="{00000000-0005-0000-0000-0000FC180000}"/>
    <cellStyle name="Обычный 33 2 3 2 2 2 2 3" xfId="7666" xr:uid="{00000000-0005-0000-0000-0000FD180000}"/>
    <cellStyle name="Обычный 33 2 3 2 2 2 3" xfId="7667" xr:uid="{00000000-0005-0000-0000-0000FE180000}"/>
    <cellStyle name="Обычный 33 2 3 2 2 2 4" xfId="7668" xr:uid="{00000000-0005-0000-0000-0000FF180000}"/>
    <cellStyle name="Обычный 33 2 3 2 2 3" xfId="7669" xr:uid="{00000000-0005-0000-0000-000000190000}"/>
    <cellStyle name="Обычный 33 2 3 2 2 3 2" xfId="7670" xr:uid="{00000000-0005-0000-0000-000001190000}"/>
    <cellStyle name="Обычный 33 2 3 2 2 3 3" xfId="7671" xr:uid="{00000000-0005-0000-0000-000002190000}"/>
    <cellStyle name="Обычный 33 2 3 2 2 4" xfId="7672" xr:uid="{00000000-0005-0000-0000-000003190000}"/>
    <cellStyle name="Обычный 33 2 3 2 2 4 2" xfId="7673" xr:uid="{00000000-0005-0000-0000-000004190000}"/>
    <cellStyle name="Обычный 33 2 3 2 2 5" xfId="7674" xr:uid="{00000000-0005-0000-0000-000005190000}"/>
    <cellStyle name="Обычный 33 2 3 2 2 6" xfId="7675" xr:uid="{00000000-0005-0000-0000-000006190000}"/>
    <cellStyle name="Обычный 33 2 3 2 3" xfId="7676" xr:uid="{00000000-0005-0000-0000-000007190000}"/>
    <cellStyle name="Обычный 33 2 3 2 3 2" xfId="7677" xr:uid="{00000000-0005-0000-0000-000008190000}"/>
    <cellStyle name="Обычный 33 2 3 2 3 2 2" xfId="7678" xr:uid="{00000000-0005-0000-0000-000009190000}"/>
    <cellStyle name="Обычный 33 2 3 2 3 2 3" xfId="7679" xr:uid="{00000000-0005-0000-0000-00000A190000}"/>
    <cellStyle name="Обычный 33 2 3 2 3 3" xfId="7680" xr:uid="{00000000-0005-0000-0000-00000B190000}"/>
    <cellStyle name="Обычный 33 2 3 2 3 4" xfId="7681" xr:uid="{00000000-0005-0000-0000-00000C190000}"/>
    <cellStyle name="Обычный 33 2 3 2 4" xfId="7682" xr:uid="{00000000-0005-0000-0000-00000D190000}"/>
    <cellStyle name="Обычный 33 2 3 2 4 2" xfId="7683" xr:uid="{00000000-0005-0000-0000-00000E190000}"/>
    <cellStyle name="Обычный 33 2 3 2 4 3" xfId="7684" xr:uid="{00000000-0005-0000-0000-00000F190000}"/>
    <cellStyle name="Обычный 33 2 3 2 5" xfId="7685" xr:uid="{00000000-0005-0000-0000-000010190000}"/>
    <cellStyle name="Обычный 33 2 3 2 5 2" xfId="7686" xr:uid="{00000000-0005-0000-0000-000011190000}"/>
    <cellStyle name="Обычный 33 2 3 2 6" xfId="7687" xr:uid="{00000000-0005-0000-0000-000012190000}"/>
    <cellStyle name="Обычный 33 2 3 2 7" xfId="7688" xr:uid="{00000000-0005-0000-0000-000013190000}"/>
    <cellStyle name="Обычный 33 2 3 3" xfId="7689" xr:uid="{00000000-0005-0000-0000-000014190000}"/>
    <cellStyle name="Обычный 33 2 3 3 2" xfId="7690" xr:uid="{00000000-0005-0000-0000-000015190000}"/>
    <cellStyle name="Обычный 33 2 3 3 2 2" xfId="7691" xr:uid="{00000000-0005-0000-0000-000016190000}"/>
    <cellStyle name="Обычный 33 2 3 3 2 2 2" xfId="7692" xr:uid="{00000000-0005-0000-0000-000017190000}"/>
    <cellStyle name="Обычный 33 2 3 3 2 2 3" xfId="7693" xr:uid="{00000000-0005-0000-0000-000018190000}"/>
    <cellStyle name="Обычный 33 2 3 3 2 3" xfId="7694" xr:uid="{00000000-0005-0000-0000-000019190000}"/>
    <cellStyle name="Обычный 33 2 3 3 2 4" xfId="7695" xr:uid="{00000000-0005-0000-0000-00001A190000}"/>
    <cellStyle name="Обычный 33 2 3 3 3" xfId="7696" xr:uid="{00000000-0005-0000-0000-00001B190000}"/>
    <cellStyle name="Обычный 33 2 3 3 3 2" xfId="7697" xr:uid="{00000000-0005-0000-0000-00001C190000}"/>
    <cellStyle name="Обычный 33 2 3 3 3 3" xfId="7698" xr:uid="{00000000-0005-0000-0000-00001D190000}"/>
    <cellStyle name="Обычный 33 2 3 3 4" xfId="7699" xr:uid="{00000000-0005-0000-0000-00001E190000}"/>
    <cellStyle name="Обычный 33 2 3 3 4 2" xfId="7700" xr:uid="{00000000-0005-0000-0000-00001F190000}"/>
    <cellStyle name="Обычный 33 2 3 3 5" xfId="7701" xr:uid="{00000000-0005-0000-0000-000020190000}"/>
    <cellStyle name="Обычный 33 2 3 3 6" xfId="7702" xr:uid="{00000000-0005-0000-0000-000021190000}"/>
    <cellStyle name="Обычный 33 2 3 4" xfId="7703" xr:uid="{00000000-0005-0000-0000-000022190000}"/>
    <cellStyle name="Обычный 33 2 3 4 2" xfId="7704" xr:uid="{00000000-0005-0000-0000-000023190000}"/>
    <cellStyle name="Обычный 33 2 3 4 2 2" xfId="7705" xr:uid="{00000000-0005-0000-0000-000024190000}"/>
    <cellStyle name="Обычный 33 2 3 4 2 3" xfId="7706" xr:uid="{00000000-0005-0000-0000-000025190000}"/>
    <cellStyle name="Обычный 33 2 3 4 3" xfId="7707" xr:uid="{00000000-0005-0000-0000-000026190000}"/>
    <cellStyle name="Обычный 33 2 3 4 4" xfId="7708" xr:uid="{00000000-0005-0000-0000-000027190000}"/>
    <cellStyle name="Обычный 33 2 3 5" xfId="7709" xr:uid="{00000000-0005-0000-0000-000028190000}"/>
    <cellStyle name="Обычный 33 2 3 5 2" xfId="7710" xr:uid="{00000000-0005-0000-0000-000029190000}"/>
    <cellStyle name="Обычный 33 2 3 5 3" xfId="7711" xr:uid="{00000000-0005-0000-0000-00002A190000}"/>
    <cellStyle name="Обычный 33 2 3 6" xfId="7712" xr:uid="{00000000-0005-0000-0000-00002B190000}"/>
    <cellStyle name="Обычный 33 2 3 6 2" xfId="7713" xr:uid="{00000000-0005-0000-0000-00002C190000}"/>
    <cellStyle name="Обычный 33 2 3 7" xfId="7714" xr:uid="{00000000-0005-0000-0000-00002D190000}"/>
    <cellStyle name="Обычный 33 2 3 8" xfId="7715" xr:uid="{00000000-0005-0000-0000-00002E190000}"/>
    <cellStyle name="Обычный 33 2 4" xfId="7716" xr:uid="{00000000-0005-0000-0000-00002F190000}"/>
    <cellStyle name="Обычный 33 2 4 2" xfId="7717" xr:uid="{00000000-0005-0000-0000-000030190000}"/>
    <cellStyle name="Обычный 33 2 4 2 2" xfId="7718" xr:uid="{00000000-0005-0000-0000-000031190000}"/>
    <cellStyle name="Обычный 33 2 4 2 2 2" xfId="7719" xr:uid="{00000000-0005-0000-0000-000032190000}"/>
    <cellStyle name="Обычный 33 2 4 2 2 2 2" xfId="7720" xr:uid="{00000000-0005-0000-0000-000033190000}"/>
    <cellStyle name="Обычный 33 2 4 2 2 2 3" xfId="7721" xr:uid="{00000000-0005-0000-0000-000034190000}"/>
    <cellStyle name="Обычный 33 2 4 2 2 3" xfId="7722" xr:uid="{00000000-0005-0000-0000-000035190000}"/>
    <cellStyle name="Обычный 33 2 4 2 2 4" xfId="7723" xr:uid="{00000000-0005-0000-0000-000036190000}"/>
    <cellStyle name="Обычный 33 2 4 2 3" xfId="7724" xr:uid="{00000000-0005-0000-0000-000037190000}"/>
    <cellStyle name="Обычный 33 2 4 2 3 2" xfId="7725" xr:uid="{00000000-0005-0000-0000-000038190000}"/>
    <cellStyle name="Обычный 33 2 4 2 3 3" xfId="7726" xr:uid="{00000000-0005-0000-0000-000039190000}"/>
    <cellStyle name="Обычный 33 2 4 2 4" xfId="7727" xr:uid="{00000000-0005-0000-0000-00003A190000}"/>
    <cellStyle name="Обычный 33 2 4 2 4 2" xfId="7728" xr:uid="{00000000-0005-0000-0000-00003B190000}"/>
    <cellStyle name="Обычный 33 2 4 2 5" xfId="7729" xr:uid="{00000000-0005-0000-0000-00003C190000}"/>
    <cellStyle name="Обычный 33 2 4 2 6" xfId="7730" xr:uid="{00000000-0005-0000-0000-00003D190000}"/>
    <cellStyle name="Обычный 33 2 4 3" xfId="7731" xr:uid="{00000000-0005-0000-0000-00003E190000}"/>
    <cellStyle name="Обычный 33 2 4 3 2" xfId="7732" xr:uid="{00000000-0005-0000-0000-00003F190000}"/>
    <cellStyle name="Обычный 33 2 4 3 2 2" xfId="7733" xr:uid="{00000000-0005-0000-0000-000040190000}"/>
    <cellStyle name="Обычный 33 2 4 3 2 3" xfId="7734" xr:uid="{00000000-0005-0000-0000-000041190000}"/>
    <cellStyle name="Обычный 33 2 4 3 3" xfId="7735" xr:uid="{00000000-0005-0000-0000-000042190000}"/>
    <cellStyle name="Обычный 33 2 4 3 4" xfId="7736" xr:uid="{00000000-0005-0000-0000-000043190000}"/>
    <cellStyle name="Обычный 33 2 4 4" xfId="7737" xr:uid="{00000000-0005-0000-0000-000044190000}"/>
    <cellStyle name="Обычный 33 2 4 4 2" xfId="7738" xr:uid="{00000000-0005-0000-0000-000045190000}"/>
    <cellStyle name="Обычный 33 2 4 4 3" xfId="7739" xr:uid="{00000000-0005-0000-0000-000046190000}"/>
    <cellStyle name="Обычный 33 2 4 5" xfId="7740" xr:uid="{00000000-0005-0000-0000-000047190000}"/>
    <cellStyle name="Обычный 33 2 4 5 2" xfId="7741" xr:uid="{00000000-0005-0000-0000-000048190000}"/>
    <cellStyle name="Обычный 33 2 4 6" xfId="7742" xr:uid="{00000000-0005-0000-0000-000049190000}"/>
    <cellStyle name="Обычный 33 2 4 7" xfId="7743" xr:uid="{00000000-0005-0000-0000-00004A190000}"/>
    <cellStyle name="Обычный 33 2 5" xfId="7744" xr:uid="{00000000-0005-0000-0000-00004B190000}"/>
    <cellStyle name="Обычный 33 2 5 2" xfId="7745" xr:uid="{00000000-0005-0000-0000-00004C190000}"/>
    <cellStyle name="Обычный 33 2 5 2 2" xfId="7746" xr:uid="{00000000-0005-0000-0000-00004D190000}"/>
    <cellStyle name="Обычный 33 2 5 2 2 2" xfId="7747" xr:uid="{00000000-0005-0000-0000-00004E190000}"/>
    <cellStyle name="Обычный 33 2 5 2 2 3" xfId="7748" xr:uid="{00000000-0005-0000-0000-00004F190000}"/>
    <cellStyle name="Обычный 33 2 5 2 3" xfId="7749" xr:uid="{00000000-0005-0000-0000-000050190000}"/>
    <cellStyle name="Обычный 33 2 5 2 4" xfId="7750" xr:uid="{00000000-0005-0000-0000-000051190000}"/>
    <cellStyle name="Обычный 33 2 5 3" xfId="7751" xr:uid="{00000000-0005-0000-0000-000052190000}"/>
    <cellStyle name="Обычный 33 2 5 3 2" xfId="7752" xr:uid="{00000000-0005-0000-0000-000053190000}"/>
    <cellStyle name="Обычный 33 2 5 3 3" xfId="7753" xr:uid="{00000000-0005-0000-0000-000054190000}"/>
    <cellStyle name="Обычный 33 2 5 4" xfId="7754" xr:uid="{00000000-0005-0000-0000-000055190000}"/>
    <cellStyle name="Обычный 33 2 5 4 2" xfId="7755" xr:uid="{00000000-0005-0000-0000-000056190000}"/>
    <cellStyle name="Обычный 33 2 5 5" xfId="7756" xr:uid="{00000000-0005-0000-0000-000057190000}"/>
    <cellStyle name="Обычный 33 2 5 6" xfId="7757" xr:uid="{00000000-0005-0000-0000-000058190000}"/>
    <cellStyle name="Обычный 33 2 6" xfId="7758" xr:uid="{00000000-0005-0000-0000-000059190000}"/>
    <cellStyle name="Обычный 33 2 6 2" xfId="7759" xr:uid="{00000000-0005-0000-0000-00005A190000}"/>
    <cellStyle name="Обычный 33 2 6 2 2" xfId="7760" xr:uid="{00000000-0005-0000-0000-00005B190000}"/>
    <cellStyle name="Обычный 33 2 6 2 3" xfId="7761" xr:uid="{00000000-0005-0000-0000-00005C190000}"/>
    <cellStyle name="Обычный 33 2 6 3" xfId="7762" xr:uid="{00000000-0005-0000-0000-00005D190000}"/>
    <cellStyle name="Обычный 33 2 6 4" xfId="7763" xr:uid="{00000000-0005-0000-0000-00005E190000}"/>
    <cellStyle name="Обычный 33 2 7" xfId="7764" xr:uid="{00000000-0005-0000-0000-00005F190000}"/>
    <cellStyle name="Обычный 33 2 7 2" xfId="7765" xr:uid="{00000000-0005-0000-0000-000060190000}"/>
    <cellStyle name="Обычный 33 2 7 3" xfId="7766" xr:uid="{00000000-0005-0000-0000-000061190000}"/>
    <cellStyle name="Обычный 33 2 8" xfId="7767" xr:uid="{00000000-0005-0000-0000-000062190000}"/>
    <cellStyle name="Обычный 33 2 8 2" xfId="7768" xr:uid="{00000000-0005-0000-0000-000063190000}"/>
    <cellStyle name="Обычный 33 2 9" xfId="7769" xr:uid="{00000000-0005-0000-0000-000064190000}"/>
    <cellStyle name="Обычный 33 2_Свод гостин" xfId="3694" xr:uid="{00000000-0005-0000-0000-000065190000}"/>
    <cellStyle name="Обычный 33 3" xfId="3695" xr:uid="{00000000-0005-0000-0000-000066190000}"/>
    <cellStyle name="Обычный 33 3 10" xfId="7770" xr:uid="{00000000-0005-0000-0000-000067190000}"/>
    <cellStyle name="Обычный 33 3 2" xfId="3696" xr:uid="{00000000-0005-0000-0000-000068190000}"/>
    <cellStyle name="Обычный 33 3 2 2" xfId="7771" xr:uid="{00000000-0005-0000-0000-000069190000}"/>
    <cellStyle name="Обычный 33 3 2 2 2" xfId="7772" xr:uid="{00000000-0005-0000-0000-00006A190000}"/>
    <cellStyle name="Обычный 33 3 2 2 2 2" xfId="7773" xr:uid="{00000000-0005-0000-0000-00006B190000}"/>
    <cellStyle name="Обычный 33 3 2 2 2 2 2" xfId="7774" xr:uid="{00000000-0005-0000-0000-00006C190000}"/>
    <cellStyle name="Обычный 33 3 2 2 2 2 2 2" xfId="7775" xr:uid="{00000000-0005-0000-0000-00006D190000}"/>
    <cellStyle name="Обычный 33 3 2 2 2 2 2 2 2" xfId="7776" xr:uid="{00000000-0005-0000-0000-00006E190000}"/>
    <cellStyle name="Обычный 33 3 2 2 2 2 2 2 3" xfId="7777" xr:uid="{00000000-0005-0000-0000-00006F190000}"/>
    <cellStyle name="Обычный 33 3 2 2 2 2 2 3" xfId="7778" xr:uid="{00000000-0005-0000-0000-000070190000}"/>
    <cellStyle name="Обычный 33 3 2 2 2 2 2 4" xfId="7779" xr:uid="{00000000-0005-0000-0000-000071190000}"/>
    <cellStyle name="Обычный 33 3 2 2 2 2 3" xfId="7780" xr:uid="{00000000-0005-0000-0000-000072190000}"/>
    <cellStyle name="Обычный 33 3 2 2 2 2 3 2" xfId="7781" xr:uid="{00000000-0005-0000-0000-000073190000}"/>
    <cellStyle name="Обычный 33 3 2 2 2 2 3 3" xfId="7782" xr:uid="{00000000-0005-0000-0000-000074190000}"/>
    <cellStyle name="Обычный 33 3 2 2 2 2 4" xfId="7783" xr:uid="{00000000-0005-0000-0000-000075190000}"/>
    <cellStyle name="Обычный 33 3 2 2 2 2 4 2" xfId="7784" xr:uid="{00000000-0005-0000-0000-000076190000}"/>
    <cellStyle name="Обычный 33 3 2 2 2 2 5" xfId="7785" xr:uid="{00000000-0005-0000-0000-000077190000}"/>
    <cellStyle name="Обычный 33 3 2 2 2 2 6" xfId="7786" xr:uid="{00000000-0005-0000-0000-000078190000}"/>
    <cellStyle name="Обычный 33 3 2 2 2 3" xfId="7787" xr:uid="{00000000-0005-0000-0000-000079190000}"/>
    <cellStyle name="Обычный 33 3 2 2 2 3 2" xfId="7788" xr:uid="{00000000-0005-0000-0000-00007A190000}"/>
    <cellStyle name="Обычный 33 3 2 2 2 3 2 2" xfId="7789" xr:uid="{00000000-0005-0000-0000-00007B190000}"/>
    <cellStyle name="Обычный 33 3 2 2 2 3 2 3" xfId="7790" xr:uid="{00000000-0005-0000-0000-00007C190000}"/>
    <cellStyle name="Обычный 33 3 2 2 2 3 3" xfId="7791" xr:uid="{00000000-0005-0000-0000-00007D190000}"/>
    <cellStyle name="Обычный 33 3 2 2 2 3 4" xfId="7792" xr:uid="{00000000-0005-0000-0000-00007E190000}"/>
    <cellStyle name="Обычный 33 3 2 2 2 4" xfId="7793" xr:uid="{00000000-0005-0000-0000-00007F190000}"/>
    <cellStyle name="Обычный 33 3 2 2 2 4 2" xfId="7794" xr:uid="{00000000-0005-0000-0000-000080190000}"/>
    <cellStyle name="Обычный 33 3 2 2 2 4 3" xfId="7795" xr:uid="{00000000-0005-0000-0000-000081190000}"/>
    <cellStyle name="Обычный 33 3 2 2 2 5" xfId="7796" xr:uid="{00000000-0005-0000-0000-000082190000}"/>
    <cellStyle name="Обычный 33 3 2 2 2 5 2" xfId="7797" xr:uid="{00000000-0005-0000-0000-000083190000}"/>
    <cellStyle name="Обычный 33 3 2 2 2 6" xfId="7798" xr:uid="{00000000-0005-0000-0000-000084190000}"/>
    <cellStyle name="Обычный 33 3 2 2 2 7" xfId="7799" xr:uid="{00000000-0005-0000-0000-000085190000}"/>
    <cellStyle name="Обычный 33 3 2 2 3" xfId="7800" xr:uid="{00000000-0005-0000-0000-000086190000}"/>
    <cellStyle name="Обычный 33 3 2 2 3 2" xfId="7801" xr:uid="{00000000-0005-0000-0000-000087190000}"/>
    <cellStyle name="Обычный 33 3 2 2 3 2 2" xfId="7802" xr:uid="{00000000-0005-0000-0000-000088190000}"/>
    <cellStyle name="Обычный 33 3 2 2 3 2 2 2" xfId="7803" xr:uid="{00000000-0005-0000-0000-000089190000}"/>
    <cellStyle name="Обычный 33 3 2 2 3 2 2 3" xfId="7804" xr:uid="{00000000-0005-0000-0000-00008A190000}"/>
    <cellStyle name="Обычный 33 3 2 2 3 2 3" xfId="7805" xr:uid="{00000000-0005-0000-0000-00008B190000}"/>
    <cellStyle name="Обычный 33 3 2 2 3 2 4" xfId="7806" xr:uid="{00000000-0005-0000-0000-00008C190000}"/>
    <cellStyle name="Обычный 33 3 2 2 3 3" xfId="7807" xr:uid="{00000000-0005-0000-0000-00008D190000}"/>
    <cellStyle name="Обычный 33 3 2 2 3 3 2" xfId="7808" xr:uid="{00000000-0005-0000-0000-00008E190000}"/>
    <cellStyle name="Обычный 33 3 2 2 3 3 3" xfId="7809" xr:uid="{00000000-0005-0000-0000-00008F190000}"/>
    <cellStyle name="Обычный 33 3 2 2 3 4" xfId="7810" xr:uid="{00000000-0005-0000-0000-000090190000}"/>
    <cellStyle name="Обычный 33 3 2 2 3 4 2" xfId="7811" xr:uid="{00000000-0005-0000-0000-000091190000}"/>
    <cellStyle name="Обычный 33 3 2 2 3 5" xfId="7812" xr:uid="{00000000-0005-0000-0000-000092190000}"/>
    <cellStyle name="Обычный 33 3 2 2 3 6" xfId="7813" xr:uid="{00000000-0005-0000-0000-000093190000}"/>
    <cellStyle name="Обычный 33 3 2 2 4" xfId="7814" xr:uid="{00000000-0005-0000-0000-000094190000}"/>
    <cellStyle name="Обычный 33 3 2 2 4 2" xfId="7815" xr:uid="{00000000-0005-0000-0000-000095190000}"/>
    <cellStyle name="Обычный 33 3 2 2 4 2 2" xfId="7816" xr:uid="{00000000-0005-0000-0000-000096190000}"/>
    <cellStyle name="Обычный 33 3 2 2 4 2 3" xfId="7817" xr:uid="{00000000-0005-0000-0000-000097190000}"/>
    <cellStyle name="Обычный 33 3 2 2 4 3" xfId="7818" xr:uid="{00000000-0005-0000-0000-000098190000}"/>
    <cellStyle name="Обычный 33 3 2 2 4 4" xfId="7819" xr:uid="{00000000-0005-0000-0000-000099190000}"/>
    <cellStyle name="Обычный 33 3 2 2 5" xfId="7820" xr:uid="{00000000-0005-0000-0000-00009A190000}"/>
    <cellStyle name="Обычный 33 3 2 2 5 2" xfId="7821" xr:uid="{00000000-0005-0000-0000-00009B190000}"/>
    <cellStyle name="Обычный 33 3 2 2 5 3" xfId="7822" xr:uid="{00000000-0005-0000-0000-00009C190000}"/>
    <cellStyle name="Обычный 33 3 2 2 6" xfId="7823" xr:uid="{00000000-0005-0000-0000-00009D190000}"/>
    <cellStyle name="Обычный 33 3 2 2 6 2" xfId="7824" xr:uid="{00000000-0005-0000-0000-00009E190000}"/>
    <cellStyle name="Обычный 33 3 2 2 7" xfId="7825" xr:uid="{00000000-0005-0000-0000-00009F190000}"/>
    <cellStyle name="Обычный 33 3 2 2 8" xfId="7826" xr:uid="{00000000-0005-0000-0000-0000A0190000}"/>
    <cellStyle name="Обычный 33 3 2 3" xfId="7827" xr:uid="{00000000-0005-0000-0000-0000A1190000}"/>
    <cellStyle name="Обычный 33 3 2 3 2" xfId="7828" xr:uid="{00000000-0005-0000-0000-0000A2190000}"/>
    <cellStyle name="Обычный 33 3 2 3 2 2" xfId="7829" xr:uid="{00000000-0005-0000-0000-0000A3190000}"/>
    <cellStyle name="Обычный 33 3 2 3 2 2 2" xfId="7830" xr:uid="{00000000-0005-0000-0000-0000A4190000}"/>
    <cellStyle name="Обычный 33 3 2 3 2 2 2 2" xfId="7831" xr:uid="{00000000-0005-0000-0000-0000A5190000}"/>
    <cellStyle name="Обычный 33 3 2 3 2 2 2 3" xfId="7832" xr:uid="{00000000-0005-0000-0000-0000A6190000}"/>
    <cellStyle name="Обычный 33 3 2 3 2 2 3" xfId="7833" xr:uid="{00000000-0005-0000-0000-0000A7190000}"/>
    <cellStyle name="Обычный 33 3 2 3 2 2 4" xfId="7834" xr:uid="{00000000-0005-0000-0000-0000A8190000}"/>
    <cellStyle name="Обычный 33 3 2 3 2 3" xfId="7835" xr:uid="{00000000-0005-0000-0000-0000A9190000}"/>
    <cellStyle name="Обычный 33 3 2 3 2 3 2" xfId="7836" xr:uid="{00000000-0005-0000-0000-0000AA190000}"/>
    <cellStyle name="Обычный 33 3 2 3 2 3 3" xfId="7837" xr:uid="{00000000-0005-0000-0000-0000AB190000}"/>
    <cellStyle name="Обычный 33 3 2 3 2 4" xfId="7838" xr:uid="{00000000-0005-0000-0000-0000AC190000}"/>
    <cellStyle name="Обычный 33 3 2 3 2 4 2" xfId="7839" xr:uid="{00000000-0005-0000-0000-0000AD190000}"/>
    <cellStyle name="Обычный 33 3 2 3 2 5" xfId="7840" xr:uid="{00000000-0005-0000-0000-0000AE190000}"/>
    <cellStyle name="Обычный 33 3 2 3 2 6" xfId="7841" xr:uid="{00000000-0005-0000-0000-0000AF190000}"/>
    <cellStyle name="Обычный 33 3 2 3 3" xfId="7842" xr:uid="{00000000-0005-0000-0000-0000B0190000}"/>
    <cellStyle name="Обычный 33 3 2 3 3 2" xfId="7843" xr:uid="{00000000-0005-0000-0000-0000B1190000}"/>
    <cellStyle name="Обычный 33 3 2 3 3 2 2" xfId="7844" xr:uid="{00000000-0005-0000-0000-0000B2190000}"/>
    <cellStyle name="Обычный 33 3 2 3 3 2 3" xfId="7845" xr:uid="{00000000-0005-0000-0000-0000B3190000}"/>
    <cellStyle name="Обычный 33 3 2 3 3 3" xfId="7846" xr:uid="{00000000-0005-0000-0000-0000B4190000}"/>
    <cellStyle name="Обычный 33 3 2 3 3 4" xfId="7847" xr:uid="{00000000-0005-0000-0000-0000B5190000}"/>
    <cellStyle name="Обычный 33 3 2 3 4" xfId="7848" xr:uid="{00000000-0005-0000-0000-0000B6190000}"/>
    <cellStyle name="Обычный 33 3 2 3 4 2" xfId="7849" xr:uid="{00000000-0005-0000-0000-0000B7190000}"/>
    <cellStyle name="Обычный 33 3 2 3 4 3" xfId="7850" xr:uid="{00000000-0005-0000-0000-0000B8190000}"/>
    <cellStyle name="Обычный 33 3 2 3 5" xfId="7851" xr:uid="{00000000-0005-0000-0000-0000B9190000}"/>
    <cellStyle name="Обычный 33 3 2 3 5 2" xfId="7852" xr:uid="{00000000-0005-0000-0000-0000BA190000}"/>
    <cellStyle name="Обычный 33 3 2 3 6" xfId="7853" xr:uid="{00000000-0005-0000-0000-0000BB190000}"/>
    <cellStyle name="Обычный 33 3 2 3 7" xfId="7854" xr:uid="{00000000-0005-0000-0000-0000BC190000}"/>
    <cellStyle name="Обычный 33 3 2 4" xfId="7855" xr:uid="{00000000-0005-0000-0000-0000BD190000}"/>
    <cellStyle name="Обычный 33 3 2 4 2" xfId="7856" xr:uid="{00000000-0005-0000-0000-0000BE190000}"/>
    <cellStyle name="Обычный 33 3 2 4 2 2" xfId="7857" xr:uid="{00000000-0005-0000-0000-0000BF190000}"/>
    <cellStyle name="Обычный 33 3 2 4 2 2 2" xfId="7858" xr:uid="{00000000-0005-0000-0000-0000C0190000}"/>
    <cellStyle name="Обычный 33 3 2 4 2 2 3" xfId="7859" xr:uid="{00000000-0005-0000-0000-0000C1190000}"/>
    <cellStyle name="Обычный 33 3 2 4 2 3" xfId="7860" xr:uid="{00000000-0005-0000-0000-0000C2190000}"/>
    <cellStyle name="Обычный 33 3 2 4 2 4" xfId="7861" xr:uid="{00000000-0005-0000-0000-0000C3190000}"/>
    <cellStyle name="Обычный 33 3 2 4 3" xfId="7862" xr:uid="{00000000-0005-0000-0000-0000C4190000}"/>
    <cellStyle name="Обычный 33 3 2 4 3 2" xfId="7863" xr:uid="{00000000-0005-0000-0000-0000C5190000}"/>
    <cellStyle name="Обычный 33 3 2 4 3 3" xfId="7864" xr:uid="{00000000-0005-0000-0000-0000C6190000}"/>
    <cellStyle name="Обычный 33 3 2 4 4" xfId="7865" xr:uid="{00000000-0005-0000-0000-0000C7190000}"/>
    <cellStyle name="Обычный 33 3 2 4 4 2" xfId="7866" xr:uid="{00000000-0005-0000-0000-0000C8190000}"/>
    <cellStyle name="Обычный 33 3 2 4 5" xfId="7867" xr:uid="{00000000-0005-0000-0000-0000C9190000}"/>
    <cellStyle name="Обычный 33 3 2 4 6" xfId="7868" xr:uid="{00000000-0005-0000-0000-0000CA190000}"/>
    <cellStyle name="Обычный 33 3 2 5" xfId="7869" xr:uid="{00000000-0005-0000-0000-0000CB190000}"/>
    <cellStyle name="Обычный 33 3 2 5 2" xfId="7870" xr:uid="{00000000-0005-0000-0000-0000CC190000}"/>
    <cellStyle name="Обычный 33 3 2 5 2 2" xfId="7871" xr:uid="{00000000-0005-0000-0000-0000CD190000}"/>
    <cellStyle name="Обычный 33 3 2 5 2 3" xfId="7872" xr:uid="{00000000-0005-0000-0000-0000CE190000}"/>
    <cellStyle name="Обычный 33 3 2 5 3" xfId="7873" xr:uid="{00000000-0005-0000-0000-0000CF190000}"/>
    <cellStyle name="Обычный 33 3 2 5 4" xfId="7874" xr:uid="{00000000-0005-0000-0000-0000D0190000}"/>
    <cellStyle name="Обычный 33 3 2 6" xfId="7875" xr:uid="{00000000-0005-0000-0000-0000D1190000}"/>
    <cellStyle name="Обычный 33 3 2 6 2" xfId="7876" xr:uid="{00000000-0005-0000-0000-0000D2190000}"/>
    <cellStyle name="Обычный 33 3 2 6 3" xfId="7877" xr:uid="{00000000-0005-0000-0000-0000D3190000}"/>
    <cellStyle name="Обычный 33 3 2 7" xfId="7878" xr:uid="{00000000-0005-0000-0000-0000D4190000}"/>
    <cellStyle name="Обычный 33 3 2 7 2" xfId="7879" xr:uid="{00000000-0005-0000-0000-0000D5190000}"/>
    <cellStyle name="Обычный 33 3 2 8" xfId="7880" xr:uid="{00000000-0005-0000-0000-0000D6190000}"/>
    <cellStyle name="Обычный 33 3 2 9" xfId="7881" xr:uid="{00000000-0005-0000-0000-0000D7190000}"/>
    <cellStyle name="Обычный 33 3 3" xfId="7882" xr:uid="{00000000-0005-0000-0000-0000D8190000}"/>
    <cellStyle name="Обычный 33 3 3 2" xfId="7883" xr:uid="{00000000-0005-0000-0000-0000D9190000}"/>
    <cellStyle name="Обычный 33 3 3 2 2" xfId="7884" xr:uid="{00000000-0005-0000-0000-0000DA190000}"/>
    <cellStyle name="Обычный 33 3 3 2 2 2" xfId="7885" xr:uid="{00000000-0005-0000-0000-0000DB190000}"/>
    <cellStyle name="Обычный 33 3 3 2 2 2 2" xfId="7886" xr:uid="{00000000-0005-0000-0000-0000DC190000}"/>
    <cellStyle name="Обычный 33 3 3 2 2 2 2 2" xfId="7887" xr:uid="{00000000-0005-0000-0000-0000DD190000}"/>
    <cellStyle name="Обычный 33 3 3 2 2 2 2 3" xfId="7888" xr:uid="{00000000-0005-0000-0000-0000DE190000}"/>
    <cellStyle name="Обычный 33 3 3 2 2 2 3" xfId="7889" xr:uid="{00000000-0005-0000-0000-0000DF190000}"/>
    <cellStyle name="Обычный 33 3 3 2 2 2 4" xfId="7890" xr:uid="{00000000-0005-0000-0000-0000E0190000}"/>
    <cellStyle name="Обычный 33 3 3 2 2 3" xfId="7891" xr:uid="{00000000-0005-0000-0000-0000E1190000}"/>
    <cellStyle name="Обычный 33 3 3 2 2 3 2" xfId="7892" xr:uid="{00000000-0005-0000-0000-0000E2190000}"/>
    <cellStyle name="Обычный 33 3 3 2 2 3 3" xfId="7893" xr:uid="{00000000-0005-0000-0000-0000E3190000}"/>
    <cellStyle name="Обычный 33 3 3 2 2 4" xfId="7894" xr:uid="{00000000-0005-0000-0000-0000E4190000}"/>
    <cellStyle name="Обычный 33 3 3 2 2 4 2" xfId="7895" xr:uid="{00000000-0005-0000-0000-0000E5190000}"/>
    <cellStyle name="Обычный 33 3 3 2 2 5" xfId="7896" xr:uid="{00000000-0005-0000-0000-0000E6190000}"/>
    <cellStyle name="Обычный 33 3 3 2 2 6" xfId="7897" xr:uid="{00000000-0005-0000-0000-0000E7190000}"/>
    <cellStyle name="Обычный 33 3 3 2 3" xfId="7898" xr:uid="{00000000-0005-0000-0000-0000E8190000}"/>
    <cellStyle name="Обычный 33 3 3 2 3 2" xfId="7899" xr:uid="{00000000-0005-0000-0000-0000E9190000}"/>
    <cellStyle name="Обычный 33 3 3 2 3 2 2" xfId="7900" xr:uid="{00000000-0005-0000-0000-0000EA190000}"/>
    <cellStyle name="Обычный 33 3 3 2 3 2 3" xfId="7901" xr:uid="{00000000-0005-0000-0000-0000EB190000}"/>
    <cellStyle name="Обычный 33 3 3 2 3 3" xfId="7902" xr:uid="{00000000-0005-0000-0000-0000EC190000}"/>
    <cellStyle name="Обычный 33 3 3 2 3 4" xfId="7903" xr:uid="{00000000-0005-0000-0000-0000ED190000}"/>
    <cellStyle name="Обычный 33 3 3 2 4" xfId="7904" xr:uid="{00000000-0005-0000-0000-0000EE190000}"/>
    <cellStyle name="Обычный 33 3 3 2 4 2" xfId="7905" xr:uid="{00000000-0005-0000-0000-0000EF190000}"/>
    <cellStyle name="Обычный 33 3 3 2 4 3" xfId="7906" xr:uid="{00000000-0005-0000-0000-0000F0190000}"/>
    <cellStyle name="Обычный 33 3 3 2 5" xfId="7907" xr:uid="{00000000-0005-0000-0000-0000F1190000}"/>
    <cellStyle name="Обычный 33 3 3 2 5 2" xfId="7908" xr:uid="{00000000-0005-0000-0000-0000F2190000}"/>
    <cellStyle name="Обычный 33 3 3 2 6" xfId="7909" xr:uid="{00000000-0005-0000-0000-0000F3190000}"/>
    <cellStyle name="Обычный 33 3 3 2 7" xfId="7910" xr:uid="{00000000-0005-0000-0000-0000F4190000}"/>
    <cellStyle name="Обычный 33 3 3 3" xfId="7911" xr:uid="{00000000-0005-0000-0000-0000F5190000}"/>
    <cellStyle name="Обычный 33 3 3 3 2" xfId="7912" xr:uid="{00000000-0005-0000-0000-0000F6190000}"/>
    <cellStyle name="Обычный 33 3 3 3 2 2" xfId="7913" xr:uid="{00000000-0005-0000-0000-0000F7190000}"/>
    <cellStyle name="Обычный 33 3 3 3 2 2 2" xfId="7914" xr:uid="{00000000-0005-0000-0000-0000F8190000}"/>
    <cellStyle name="Обычный 33 3 3 3 2 2 3" xfId="7915" xr:uid="{00000000-0005-0000-0000-0000F9190000}"/>
    <cellStyle name="Обычный 33 3 3 3 2 3" xfId="7916" xr:uid="{00000000-0005-0000-0000-0000FA190000}"/>
    <cellStyle name="Обычный 33 3 3 3 2 4" xfId="7917" xr:uid="{00000000-0005-0000-0000-0000FB190000}"/>
    <cellStyle name="Обычный 33 3 3 3 3" xfId="7918" xr:uid="{00000000-0005-0000-0000-0000FC190000}"/>
    <cellStyle name="Обычный 33 3 3 3 3 2" xfId="7919" xr:uid="{00000000-0005-0000-0000-0000FD190000}"/>
    <cellStyle name="Обычный 33 3 3 3 3 3" xfId="7920" xr:uid="{00000000-0005-0000-0000-0000FE190000}"/>
    <cellStyle name="Обычный 33 3 3 3 4" xfId="7921" xr:uid="{00000000-0005-0000-0000-0000FF190000}"/>
    <cellStyle name="Обычный 33 3 3 3 4 2" xfId="7922" xr:uid="{00000000-0005-0000-0000-0000001A0000}"/>
    <cellStyle name="Обычный 33 3 3 3 5" xfId="7923" xr:uid="{00000000-0005-0000-0000-0000011A0000}"/>
    <cellStyle name="Обычный 33 3 3 3 6" xfId="7924" xr:uid="{00000000-0005-0000-0000-0000021A0000}"/>
    <cellStyle name="Обычный 33 3 3 4" xfId="7925" xr:uid="{00000000-0005-0000-0000-0000031A0000}"/>
    <cellStyle name="Обычный 33 3 3 4 2" xfId="7926" xr:uid="{00000000-0005-0000-0000-0000041A0000}"/>
    <cellStyle name="Обычный 33 3 3 4 2 2" xfId="7927" xr:uid="{00000000-0005-0000-0000-0000051A0000}"/>
    <cellStyle name="Обычный 33 3 3 4 2 3" xfId="7928" xr:uid="{00000000-0005-0000-0000-0000061A0000}"/>
    <cellStyle name="Обычный 33 3 3 4 3" xfId="7929" xr:uid="{00000000-0005-0000-0000-0000071A0000}"/>
    <cellStyle name="Обычный 33 3 3 4 4" xfId="7930" xr:uid="{00000000-0005-0000-0000-0000081A0000}"/>
    <cellStyle name="Обычный 33 3 3 5" xfId="7931" xr:uid="{00000000-0005-0000-0000-0000091A0000}"/>
    <cellStyle name="Обычный 33 3 3 5 2" xfId="7932" xr:uid="{00000000-0005-0000-0000-00000A1A0000}"/>
    <cellStyle name="Обычный 33 3 3 5 3" xfId="7933" xr:uid="{00000000-0005-0000-0000-00000B1A0000}"/>
    <cellStyle name="Обычный 33 3 3 6" xfId="7934" xr:uid="{00000000-0005-0000-0000-00000C1A0000}"/>
    <cellStyle name="Обычный 33 3 3 6 2" xfId="7935" xr:uid="{00000000-0005-0000-0000-00000D1A0000}"/>
    <cellStyle name="Обычный 33 3 3 7" xfId="7936" xr:uid="{00000000-0005-0000-0000-00000E1A0000}"/>
    <cellStyle name="Обычный 33 3 3 8" xfId="7937" xr:uid="{00000000-0005-0000-0000-00000F1A0000}"/>
    <cellStyle name="Обычный 33 3 4" xfId="7938" xr:uid="{00000000-0005-0000-0000-0000101A0000}"/>
    <cellStyle name="Обычный 33 3 4 2" xfId="7939" xr:uid="{00000000-0005-0000-0000-0000111A0000}"/>
    <cellStyle name="Обычный 33 3 4 2 2" xfId="7940" xr:uid="{00000000-0005-0000-0000-0000121A0000}"/>
    <cellStyle name="Обычный 33 3 4 2 2 2" xfId="7941" xr:uid="{00000000-0005-0000-0000-0000131A0000}"/>
    <cellStyle name="Обычный 33 3 4 2 2 2 2" xfId="7942" xr:uid="{00000000-0005-0000-0000-0000141A0000}"/>
    <cellStyle name="Обычный 33 3 4 2 2 2 3" xfId="7943" xr:uid="{00000000-0005-0000-0000-0000151A0000}"/>
    <cellStyle name="Обычный 33 3 4 2 2 3" xfId="7944" xr:uid="{00000000-0005-0000-0000-0000161A0000}"/>
    <cellStyle name="Обычный 33 3 4 2 2 4" xfId="7945" xr:uid="{00000000-0005-0000-0000-0000171A0000}"/>
    <cellStyle name="Обычный 33 3 4 2 3" xfId="7946" xr:uid="{00000000-0005-0000-0000-0000181A0000}"/>
    <cellStyle name="Обычный 33 3 4 2 3 2" xfId="7947" xr:uid="{00000000-0005-0000-0000-0000191A0000}"/>
    <cellStyle name="Обычный 33 3 4 2 3 3" xfId="7948" xr:uid="{00000000-0005-0000-0000-00001A1A0000}"/>
    <cellStyle name="Обычный 33 3 4 2 4" xfId="7949" xr:uid="{00000000-0005-0000-0000-00001B1A0000}"/>
    <cellStyle name="Обычный 33 3 4 2 4 2" xfId="7950" xr:uid="{00000000-0005-0000-0000-00001C1A0000}"/>
    <cellStyle name="Обычный 33 3 4 2 5" xfId="7951" xr:uid="{00000000-0005-0000-0000-00001D1A0000}"/>
    <cellStyle name="Обычный 33 3 4 2 6" xfId="7952" xr:uid="{00000000-0005-0000-0000-00001E1A0000}"/>
    <cellStyle name="Обычный 33 3 4 3" xfId="7953" xr:uid="{00000000-0005-0000-0000-00001F1A0000}"/>
    <cellStyle name="Обычный 33 3 4 3 2" xfId="7954" xr:uid="{00000000-0005-0000-0000-0000201A0000}"/>
    <cellStyle name="Обычный 33 3 4 3 2 2" xfId="7955" xr:uid="{00000000-0005-0000-0000-0000211A0000}"/>
    <cellStyle name="Обычный 33 3 4 3 2 3" xfId="7956" xr:uid="{00000000-0005-0000-0000-0000221A0000}"/>
    <cellStyle name="Обычный 33 3 4 3 3" xfId="7957" xr:uid="{00000000-0005-0000-0000-0000231A0000}"/>
    <cellStyle name="Обычный 33 3 4 3 4" xfId="7958" xr:uid="{00000000-0005-0000-0000-0000241A0000}"/>
    <cellStyle name="Обычный 33 3 4 4" xfId="7959" xr:uid="{00000000-0005-0000-0000-0000251A0000}"/>
    <cellStyle name="Обычный 33 3 4 4 2" xfId="7960" xr:uid="{00000000-0005-0000-0000-0000261A0000}"/>
    <cellStyle name="Обычный 33 3 4 4 3" xfId="7961" xr:uid="{00000000-0005-0000-0000-0000271A0000}"/>
    <cellStyle name="Обычный 33 3 4 5" xfId="7962" xr:uid="{00000000-0005-0000-0000-0000281A0000}"/>
    <cellStyle name="Обычный 33 3 4 5 2" xfId="7963" xr:uid="{00000000-0005-0000-0000-0000291A0000}"/>
    <cellStyle name="Обычный 33 3 4 6" xfId="7964" xr:uid="{00000000-0005-0000-0000-00002A1A0000}"/>
    <cellStyle name="Обычный 33 3 4 7" xfId="7965" xr:uid="{00000000-0005-0000-0000-00002B1A0000}"/>
    <cellStyle name="Обычный 33 3 5" xfId="7966" xr:uid="{00000000-0005-0000-0000-00002C1A0000}"/>
    <cellStyle name="Обычный 33 3 5 2" xfId="7967" xr:uid="{00000000-0005-0000-0000-00002D1A0000}"/>
    <cellStyle name="Обычный 33 3 5 2 2" xfId="7968" xr:uid="{00000000-0005-0000-0000-00002E1A0000}"/>
    <cellStyle name="Обычный 33 3 5 2 2 2" xfId="7969" xr:uid="{00000000-0005-0000-0000-00002F1A0000}"/>
    <cellStyle name="Обычный 33 3 5 2 2 3" xfId="7970" xr:uid="{00000000-0005-0000-0000-0000301A0000}"/>
    <cellStyle name="Обычный 33 3 5 2 3" xfId="7971" xr:uid="{00000000-0005-0000-0000-0000311A0000}"/>
    <cellStyle name="Обычный 33 3 5 2 4" xfId="7972" xr:uid="{00000000-0005-0000-0000-0000321A0000}"/>
    <cellStyle name="Обычный 33 3 5 3" xfId="7973" xr:uid="{00000000-0005-0000-0000-0000331A0000}"/>
    <cellStyle name="Обычный 33 3 5 3 2" xfId="7974" xr:uid="{00000000-0005-0000-0000-0000341A0000}"/>
    <cellStyle name="Обычный 33 3 5 3 3" xfId="7975" xr:uid="{00000000-0005-0000-0000-0000351A0000}"/>
    <cellStyle name="Обычный 33 3 5 4" xfId="7976" xr:uid="{00000000-0005-0000-0000-0000361A0000}"/>
    <cellStyle name="Обычный 33 3 5 4 2" xfId="7977" xr:uid="{00000000-0005-0000-0000-0000371A0000}"/>
    <cellStyle name="Обычный 33 3 5 5" xfId="7978" xr:uid="{00000000-0005-0000-0000-0000381A0000}"/>
    <cellStyle name="Обычный 33 3 5 6" xfId="7979" xr:uid="{00000000-0005-0000-0000-0000391A0000}"/>
    <cellStyle name="Обычный 33 3 6" xfId="7980" xr:uid="{00000000-0005-0000-0000-00003A1A0000}"/>
    <cellStyle name="Обычный 33 3 6 2" xfId="7981" xr:uid="{00000000-0005-0000-0000-00003B1A0000}"/>
    <cellStyle name="Обычный 33 3 6 2 2" xfId="7982" xr:uid="{00000000-0005-0000-0000-00003C1A0000}"/>
    <cellStyle name="Обычный 33 3 6 2 3" xfId="7983" xr:uid="{00000000-0005-0000-0000-00003D1A0000}"/>
    <cellStyle name="Обычный 33 3 6 3" xfId="7984" xr:uid="{00000000-0005-0000-0000-00003E1A0000}"/>
    <cellStyle name="Обычный 33 3 6 4" xfId="7985" xr:uid="{00000000-0005-0000-0000-00003F1A0000}"/>
    <cellStyle name="Обычный 33 3 7" xfId="7986" xr:uid="{00000000-0005-0000-0000-0000401A0000}"/>
    <cellStyle name="Обычный 33 3 7 2" xfId="7987" xr:uid="{00000000-0005-0000-0000-0000411A0000}"/>
    <cellStyle name="Обычный 33 3 7 3" xfId="7988" xr:uid="{00000000-0005-0000-0000-0000421A0000}"/>
    <cellStyle name="Обычный 33 3 8" xfId="7989" xr:uid="{00000000-0005-0000-0000-0000431A0000}"/>
    <cellStyle name="Обычный 33 3 8 2" xfId="7990" xr:uid="{00000000-0005-0000-0000-0000441A0000}"/>
    <cellStyle name="Обычный 33 3 9" xfId="7991" xr:uid="{00000000-0005-0000-0000-0000451A0000}"/>
    <cellStyle name="Обычный 33 4" xfId="3697" xr:uid="{00000000-0005-0000-0000-0000461A0000}"/>
    <cellStyle name="Обычный 33 4 2" xfId="7992" xr:uid="{00000000-0005-0000-0000-0000471A0000}"/>
    <cellStyle name="Обычный 33 4 2 2" xfId="7993" xr:uid="{00000000-0005-0000-0000-0000481A0000}"/>
    <cellStyle name="Обычный 33 4 2 2 2" xfId="7994" xr:uid="{00000000-0005-0000-0000-0000491A0000}"/>
    <cellStyle name="Обычный 33 4 2 2 2 2" xfId="7995" xr:uid="{00000000-0005-0000-0000-00004A1A0000}"/>
    <cellStyle name="Обычный 33 4 2 2 2 2 2" xfId="7996" xr:uid="{00000000-0005-0000-0000-00004B1A0000}"/>
    <cellStyle name="Обычный 33 4 2 2 2 2 2 2" xfId="7997" xr:uid="{00000000-0005-0000-0000-00004C1A0000}"/>
    <cellStyle name="Обычный 33 4 2 2 2 2 2 3" xfId="7998" xr:uid="{00000000-0005-0000-0000-00004D1A0000}"/>
    <cellStyle name="Обычный 33 4 2 2 2 2 3" xfId="7999" xr:uid="{00000000-0005-0000-0000-00004E1A0000}"/>
    <cellStyle name="Обычный 33 4 2 2 2 2 4" xfId="8000" xr:uid="{00000000-0005-0000-0000-00004F1A0000}"/>
    <cellStyle name="Обычный 33 4 2 2 2 3" xfId="8001" xr:uid="{00000000-0005-0000-0000-0000501A0000}"/>
    <cellStyle name="Обычный 33 4 2 2 2 3 2" xfId="8002" xr:uid="{00000000-0005-0000-0000-0000511A0000}"/>
    <cellStyle name="Обычный 33 4 2 2 2 3 3" xfId="8003" xr:uid="{00000000-0005-0000-0000-0000521A0000}"/>
    <cellStyle name="Обычный 33 4 2 2 2 4" xfId="8004" xr:uid="{00000000-0005-0000-0000-0000531A0000}"/>
    <cellStyle name="Обычный 33 4 2 2 2 4 2" xfId="8005" xr:uid="{00000000-0005-0000-0000-0000541A0000}"/>
    <cellStyle name="Обычный 33 4 2 2 2 5" xfId="8006" xr:uid="{00000000-0005-0000-0000-0000551A0000}"/>
    <cellStyle name="Обычный 33 4 2 2 2 6" xfId="8007" xr:uid="{00000000-0005-0000-0000-0000561A0000}"/>
    <cellStyle name="Обычный 33 4 2 2 3" xfId="8008" xr:uid="{00000000-0005-0000-0000-0000571A0000}"/>
    <cellStyle name="Обычный 33 4 2 2 3 2" xfId="8009" xr:uid="{00000000-0005-0000-0000-0000581A0000}"/>
    <cellStyle name="Обычный 33 4 2 2 3 2 2" xfId="8010" xr:uid="{00000000-0005-0000-0000-0000591A0000}"/>
    <cellStyle name="Обычный 33 4 2 2 3 2 3" xfId="8011" xr:uid="{00000000-0005-0000-0000-00005A1A0000}"/>
    <cellStyle name="Обычный 33 4 2 2 3 3" xfId="8012" xr:uid="{00000000-0005-0000-0000-00005B1A0000}"/>
    <cellStyle name="Обычный 33 4 2 2 3 4" xfId="8013" xr:uid="{00000000-0005-0000-0000-00005C1A0000}"/>
    <cellStyle name="Обычный 33 4 2 2 4" xfId="8014" xr:uid="{00000000-0005-0000-0000-00005D1A0000}"/>
    <cellStyle name="Обычный 33 4 2 2 4 2" xfId="8015" xr:uid="{00000000-0005-0000-0000-00005E1A0000}"/>
    <cellStyle name="Обычный 33 4 2 2 4 3" xfId="8016" xr:uid="{00000000-0005-0000-0000-00005F1A0000}"/>
    <cellStyle name="Обычный 33 4 2 2 5" xfId="8017" xr:uid="{00000000-0005-0000-0000-0000601A0000}"/>
    <cellStyle name="Обычный 33 4 2 2 5 2" xfId="8018" xr:uid="{00000000-0005-0000-0000-0000611A0000}"/>
    <cellStyle name="Обычный 33 4 2 2 6" xfId="8019" xr:uid="{00000000-0005-0000-0000-0000621A0000}"/>
    <cellStyle name="Обычный 33 4 2 2 7" xfId="8020" xr:uid="{00000000-0005-0000-0000-0000631A0000}"/>
    <cellStyle name="Обычный 33 4 2 3" xfId="8021" xr:uid="{00000000-0005-0000-0000-0000641A0000}"/>
    <cellStyle name="Обычный 33 4 2 3 2" xfId="8022" xr:uid="{00000000-0005-0000-0000-0000651A0000}"/>
    <cellStyle name="Обычный 33 4 2 3 2 2" xfId="8023" xr:uid="{00000000-0005-0000-0000-0000661A0000}"/>
    <cellStyle name="Обычный 33 4 2 3 2 2 2" xfId="8024" xr:uid="{00000000-0005-0000-0000-0000671A0000}"/>
    <cellStyle name="Обычный 33 4 2 3 2 2 3" xfId="8025" xr:uid="{00000000-0005-0000-0000-0000681A0000}"/>
    <cellStyle name="Обычный 33 4 2 3 2 3" xfId="8026" xr:uid="{00000000-0005-0000-0000-0000691A0000}"/>
    <cellStyle name="Обычный 33 4 2 3 2 4" xfId="8027" xr:uid="{00000000-0005-0000-0000-00006A1A0000}"/>
    <cellStyle name="Обычный 33 4 2 3 3" xfId="8028" xr:uid="{00000000-0005-0000-0000-00006B1A0000}"/>
    <cellStyle name="Обычный 33 4 2 3 3 2" xfId="8029" xr:uid="{00000000-0005-0000-0000-00006C1A0000}"/>
    <cellStyle name="Обычный 33 4 2 3 3 3" xfId="8030" xr:uid="{00000000-0005-0000-0000-00006D1A0000}"/>
    <cellStyle name="Обычный 33 4 2 3 4" xfId="8031" xr:uid="{00000000-0005-0000-0000-00006E1A0000}"/>
    <cellStyle name="Обычный 33 4 2 3 4 2" xfId="8032" xr:uid="{00000000-0005-0000-0000-00006F1A0000}"/>
    <cellStyle name="Обычный 33 4 2 3 5" xfId="8033" xr:uid="{00000000-0005-0000-0000-0000701A0000}"/>
    <cellStyle name="Обычный 33 4 2 3 6" xfId="8034" xr:uid="{00000000-0005-0000-0000-0000711A0000}"/>
    <cellStyle name="Обычный 33 4 2 4" xfId="8035" xr:uid="{00000000-0005-0000-0000-0000721A0000}"/>
    <cellStyle name="Обычный 33 4 2 4 2" xfId="8036" xr:uid="{00000000-0005-0000-0000-0000731A0000}"/>
    <cellStyle name="Обычный 33 4 2 4 2 2" xfId="8037" xr:uid="{00000000-0005-0000-0000-0000741A0000}"/>
    <cellStyle name="Обычный 33 4 2 4 2 3" xfId="8038" xr:uid="{00000000-0005-0000-0000-0000751A0000}"/>
    <cellStyle name="Обычный 33 4 2 4 3" xfId="8039" xr:uid="{00000000-0005-0000-0000-0000761A0000}"/>
    <cellStyle name="Обычный 33 4 2 4 4" xfId="8040" xr:uid="{00000000-0005-0000-0000-0000771A0000}"/>
    <cellStyle name="Обычный 33 4 2 5" xfId="8041" xr:uid="{00000000-0005-0000-0000-0000781A0000}"/>
    <cellStyle name="Обычный 33 4 2 5 2" xfId="8042" xr:uid="{00000000-0005-0000-0000-0000791A0000}"/>
    <cellStyle name="Обычный 33 4 2 5 3" xfId="8043" xr:uid="{00000000-0005-0000-0000-00007A1A0000}"/>
    <cellStyle name="Обычный 33 4 2 6" xfId="8044" xr:uid="{00000000-0005-0000-0000-00007B1A0000}"/>
    <cellStyle name="Обычный 33 4 2 6 2" xfId="8045" xr:uid="{00000000-0005-0000-0000-00007C1A0000}"/>
    <cellStyle name="Обычный 33 4 2 7" xfId="8046" xr:uid="{00000000-0005-0000-0000-00007D1A0000}"/>
    <cellStyle name="Обычный 33 4 2 8" xfId="8047" xr:uid="{00000000-0005-0000-0000-00007E1A0000}"/>
    <cellStyle name="Обычный 33 4 3" xfId="8048" xr:uid="{00000000-0005-0000-0000-00007F1A0000}"/>
    <cellStyle name="Обычный 33 4 3 2" xfId="8049" xr:uid="{00000000-0005-0000-0000-0000801A0000}"/>
    <cellStyle name="Обычный 33 4 3 2 2" xfId="8050" xr:uid="{00000000-0005-0000-0000-0000811A0000}"/>
    <cellStyle name="Обычный 33 4 3 2 2 2" xfId="8051" xr:uid="{00000000-0005-0000-0000-0000821A0000}"/>
    <cellStyle name="Обычный 33 4 3 2 2 2 2" xfId="8052" xr:uid="{00000000-0005-0000-0000-0000831A0000}"/>
    <cellStyle name="Обычный 33 4 3 2 2 2 3" xfId="8053" xr:uid="{00000000-0005-0000-0000-0000841A0000}"/>
    <cellStyle name="Обычный 33 4 3 2 2 3" xfId="8054" xr:uid="{00000000-0005-0000-0000-0000851A0000}"/>
    <cellStyle name="Обычный 33 4 3 2 2 4" xfId="8055" xr:uid="{00000000-0005-0000-0000-0000861A0000}"/>
    <cellStyle name="Обычный 33 4 3 2 3" xfId="8056" xr:uid="{00000000-0005-0000-0000-0000871A0000}"/>
    <cellStyle name="Обычный 33 4 3 2 3 2" xfId="8057" xr:uid="{00000000-0005-0000-0000-0000881A0000}"/>
    <cellStyle name="Обычный 33 4 3 2 3 3" xfId="8058" xr:uid="{00000000-0005-0000-0000-0000891A0000}"/>
    <cellStyle name="Обычный 33 4 3 2 4" xfId="8059" xr:uid="{00000000-0005-0000-0000-00008A1A0000}"/>
    <cellStyle name="Обычный 33 4 3 2 4 2" xfId="8060" xr:uid="{00000000-0005-0000-0000-00008B1A0000}"/>
    <cellStyle name="Обычный 33 4 3 2 5" xfId="8061" xr:uid="{00000000-0005-0000-0000-00008C1A0000}"/>
    <cellStyle name="Обычный 33 4 3 2 6" xfId="8062" xr:uid="{00000000-0005-0000-0000-00008D1A0000}"/>
    <cellStyle name="Обычный 33 4 3 3" xfId="8063" xr:uid="{00000000-0005-0000-0000-00008E1A0000}"/>
    <cellStyle name="Обычный 33 4 3 3 2" xfId="8064" xr:uid="{00000000-0005-0000-0000-00008F1A0000}"/>
    <cellStyle name="Обычный 33 4 3 3 2 2" xfId="8065" xr:uid="{00000000-0005-0000-0000-0000901A0000}"/>
    <cellStyle name="Обычный 33 4 3 3 2 3" xfId="8066" xr:uid="{00000000-0005-0000-0000-0000911A0000}"/>
    <cellStyle name="Обычный 33 4 3 3 3" xfId="8067" xr:uid="{00000000-0005-0000-0000-0000921A0000}"/>
    <cellStyle name="Обычный 33 4 3 3 4" xfId="8068" xr:uid="{00000000-0005-0000-0000-0000931A0000}"/>
    <cellStyle name="Обычный 33 4 3 4" xfId="8069" xr:uid="{00000000-0005-0000-0000-0000941A0000}"/>
    <cellStyle name="Обычный 33 4 3 4 2" xfId="8070" xr:uid="{00000000-0005-0000-0000-0000951A0000}"/>
    <cellStyle name="Обычный 33 4 3 4 3" xfId="8071" xr:uid="{00000000-0005-0000-0000-0000961A0000}"/>
    <cellStyle name="Обычный 33 4 3 5" xfId="8072" xr:uid="{00000000-0005-0000-0000-0000971A0000}"/>
    <cellStyle name="Обычный 33 4 3 5 2" xfId="8073" xr:uid="{00000000-0005-0000-0000-0000981A0000}"/>
    <cellStyle name="Обычный 33 4 3 6" xfId="8074" xr:uid="{00000000-0005-0000-0000-0000991A0000}"/>
    <cellStyle name="Обычный 33 4 3 7" xfId="8075" xr:uid="{00000000-0005-0000-0000-00009A1A0000}"/>
    <cellStyle name="Обычный 33 4 4" xfId="8076" xr:uid="{00000000-0005-0000-0000-00009B1A0000}"/>
    <cellStyle name="Обычный 33 4 4 2" xfId="8077" xr:uid="{00000000-0005-0000-0000-00009C1A0000}"/>
    <cellStyle name="Обычный 33 4 4 2 2" xfId="8078" xr:uid="{00000000-0005-0000-0000-00009D1A0000}"/>
    <cellStyle name="Обычный 33 4 4 2 2 2" xfId="8079" xr:uid="{00000000-0005-0000-0000-00009E1A0000}"/>
    <cellStyle name="Обычный 33 4 4 2 2 3" xfId="8080" xr:uid="{00000000-0005-0000-0000-00009F1A0000}"/>
    <cellStyle name="Обычный 33 4 4 2 3" xfId="8081" xr:uid="{00000000-0005-0000-0000-0000A01A0000}"/>
    <cellStyle name="Обычный 33 4 4 2 4" xfId="8082" xr:uid="{00000000-0005-0000-0000-0000A11A0000}"/>
    <cellStyle name="Обычный 33 4 4 3" xfId="8083" xr:uid="{00000000-0005-0000-0000-0000A21A0000}"/>
    <cellStyle name="Обычный 33 4 4 3 2" xfId="8084" xr:uid="{00000000-0005-0000-0000-0000A31A0000}"/>
    <cellStyle name="Обычный 33 4 4 3 3" xfId="8085" xr:uid="{00000000-0005-0000-0000-0000A41A0000}"/>
    <cellStyle name="Обычный 33 4 4 4" xfId="8086" xr:uid="{00000000-0005-0000-0000-0000A51A0000}"/>
    <cellStyle name="Обычный 33 4 4 4 2" xfId="8087" xr:uid="{00000000-0005-0000-0000-0000A61A0000}"/>
    <cellStyle name="Обычный 33 4 4 5" xfId="8088" xr:uid="{00000000-0005-0000-0000-0000A71A0000}"/>
    <cellStyle name="Обычный 33 4 4 6" xfId="8089" xr:uid="{00000000-0005-0000-0000-0000A81A0000}"/>
    <cellStyle name="Обычный 33 4 5" xfId="8090" xr:uid="{00000000-0005-0000-0000-0000A91A0000}"/>
    <cellStyle name="Обычный 33 4 5 2" xfId="8091" xr:uid="{00000000-0005-0000-0000-0000AA1A0000}"/>
    <cellStyle name="Обычный 33 4 5 2 2" xfId="8092" xr:uid="{00000000-0005-0000-0000-0000AB1A0000}"/>
    <cellStyle name="Обычный 33 4 5 2 3" xfId="8093" xr:uid="{00000000-0005-0000-0000-0000AC1A0000}"/>
    <cellStyle name="Обычный 33 4 5 3" xfId="8094" xr:uid="{00000000-0005-0000-0000-0000AD1A0000}"/>
    <cellStyle name="Обычный 33 4 5 4" xfId="8095" xr:uid="{00000000-0005-0000-0000-0000AE1A0000}"/>
    <cellStyle name="Обычный 33 4 6" xfId="8096" xr:uid="{00000000-0005-0000-0000-0000AF1A0000}"/>
    <cellStyle name="Обычный 33 4 6 2" xfId="8097" xr:uid="{00000000-0005-0000-0000-0000B01A0000}"/>
    <cellStyle name="Обычный 33 4 6 3" xfId="8098" xr:uid="{00000000-0005-0000-0000-0000B11A0000}"/>
    <cellStyle name="Обычный 33 4 7" xfId="8099" xr:uid="{00000000-0005-0000-0000-0000B21A0000}"/>
    <cellStyle name="Обычный 33 4 7 2" xfId="8100" xr:uid="{00000000-0005-0000-0000-0000B31A0000}"/>
    <cellStyle name="Обычный 33 4 8" xfId="8101" xr:uid="{00000000-0005-0000-0000-0000B41A0000}"/>
    <cellStyle name="Обычный 33 4 9" xfId="8102" xr:uid="{00000000-0005-0000-0000-0000B51A0000}"/>
    <cellStyle name="Обычный 33 5" xfId="3698" xr:uid="{00000000-0005-0000-0000-0000B61A0000}"/>
    <cellStyle name="Обычный 33 5 2" xfId="8103" xr:uid="{00000000-0005-0000-0000-0000B71A0000}"/>
    <cellStyle name="Обычный 33 5 2 2" xfId="8104" xr:uid="{00000000-0005-0000-0000-0000B81A0000}"/>
    <cellStyle name="Обычный 33 5 2 2 2" xfId="8105" xr:uid="{00000000-0005-0000-0000-0000B91A0000}"/>
    <cellStyle name="Обычный 33 5 2 2 2 2" xfId="8106" xr:uid="{00000000-0005-0000-0000-0000BA1A0000}"/>
    <cellStyle name="Обычный 33 5 2 2 2 2 2" xfId="8107" xr:uid="{00000000-0005-0000-0000-0000BB1A0000}"/>
    <cellStyle name="Обычный 33 5 2 2 2 2 3" xfId="8108" xr:uid="{00000000-0005-0000-0000-0000BC1A0000}"/>
    <cellStyle name="Обычный 33 5 2 2 2 3" xfId="8109" xr:uid="{00000000-0005-0000-0000-0000BD1A0000}"/>
    <cellStyle name="Обычный 33 5 2 2 2 4" xfId="8110" xr:uid="{00000000-0005-0000-0000-0000BE1A0000}"/>
    <cellStyle name="Обычный 33 5 2 2 3" xfId="8111" xr:uid="{00000000-0005-0000-0000-0000BF1A0000}"/>
    <cellStyle name="Обычный 33 5 2 2 3 2" xfId="8112" xr:uid="{00000000-0005-0000-0000-0000C01A0000}"/>
    <cellStyle name="Обычный 33 5 2 2 3 3" xfId="8113" xr:uid="{00000000-0005-0000-0000-0000C11A0000}"/>
    <cellStyle name="Обычный 33 5 2 2 4" xfId="8114" xr:uid="{00000000-0005-0000-0000-0000C21A0000}"/>
    <cellStyle name="Обычный 33 5 2 2 4 2" xfId="8115" xr:uid="{00000000-0005-0000-0000-0000C31A0000}"/>
    <cellStyle name="Обычный 33 5 2 2 5" xfId="8116" xr:uid="{00000000-0005-0000-0000-0000C41A0000}"/>
    <cellStyle name="Обычный 33 5 2 2 6" xfId="8117" xr:uid="{00000000-0005-0000-0000-0000C51A0000}"/>
    <cellStyle name="Обычный 33 5 2 3" xfId="8118" xr:uid="{00000000-0005-0000-0000-0000C61A0000}"/>
    <cellStyle name="Обычный 33 5 2 3 2" xfId="8119" xr:uid="{00000000-0005-0000-0000-0000C71A0000}"/>
    <cellStyle name="Обычный 33 5 2 3 2 2" xfId="8120" xr:uid="{00000000-0005-0000-0000-0000C81A0000}"/>
    <cellStyle name="Обычный 33 5 2 3 2 3" xfId="8121" xr:uid="{00000000-0005-0000-0000-0000C91A0000}"/>
    <cellStyle name="Обычный 33 5 2 3 3" xfId="8122" xr:uid="{00000000-0005-0000-0000-0000CA1A0000}"/>
    <cellStyle name="Обычный 33 5 2 3 4" xfId="8123" xr:uid="{00000000-0005-0000-0000-0000CB1A0000}"/>
    <cellStyle name="Обычный 33 5 2 4" xfId="8124" xr:uid="{00000000-0005-0000-0000-0000CC1A0000}"/>
    <cellStyle name="Обычный 33 5 2 4 2" xfId="8125" xr:uid="{00000000-0005-0000-0000-0000CD1A0000}"/>
    <cellStyle name="Обычный 33 5 2 4 3" xfId="8126" xr:uid="{00000000-0005-0000-0000-0000CE1A0000}"/>
    <cellStyle name="Обычный 33 5 2 5" xfId="8127" xr:uid="{00000000-0005-0000-0000-0000CF1A0000}"/>
    <cellStyle name="Обычный 33 5 2 5 2" xfId="8128" xr:uid="{00000000-0005-0000-0000-0000D01A0000}"/>
    <cellStyle name="Обычный 33 5 2 6" xfId="8129" xr:uid="{00000000-0005-0000-0000-0000D11A0000}"/>
    <cellStyle name="Обычный 33 5 2 7" xfId="8130" xr:uid="{00000000-0005-0000-0000-0000D21A0000}"/>
    <cellStyle name="Обычный 33 5 3" xfId="8131" xr:uid="{00000000-0005-0000-0000-0000D31A0000}"/>
    <cellStyle name="Обычный 33 5 3 2" xfId="8132" xr:uid="{00000000-0005-0000-0000-0000D41A0000}"/>
    <cellStyle name="Обычный 33 5 3 2 2" xfId="8133" xr:uid="{00000000-0005-0000-0000-0000D51A0000}"/>
    <cellStyle name="Обычный 33 5 3 2 2 2" xfId="8134" xr:uid="{00000000-0005-0000-0000-0000D61A0000}"/>
    <cellStyle name="Обычный 33 5 3 2 2 3" xfId="8135" xr:uid="{00000000-0005-0000-0000-0000D71A0000}"/>
    <cellStyle name="Обычный 33 5 3 2 3" xfId="8136" xr:uid="{00000000-0005-0000-0000-0000D81A0000}"/>
    <cellStyle name="Обычный 33 5 3 2 4" xfId="8137" xr:uid="{00000000-0005-0000-0000-0000D91A0000}"/>
    <cellStyle name="Обычный 33 5 3 3" xfId="8138" xr:uid="{00000000-0005-0000-0000-0000DA1A0000}"/>
    <cellStyle name="Обычный 33 5 3 3 2" xfId="8139" xr:uid="{00000000-0005-0000-0000-0000DB1A0000}"/>
    <cellStyle name="Обычный 33 5 3 3 3" xfId="8140" xr:uid="{00000000-0005-0000-0000-0000DC1A0000}"/>
    <cellStyle name="Обычный 33 5 3 4" xfId="8141" xr:uid="{00000000-0005-0000-0000-0000DD1A0000}"/>
    <cellStyle name="Обычный 33 5 3 4 2" xfId="8142" xr:uid="{00000000-0005-0000-0000-0000DE1A0000}"/>
    <cellStyle name="Обычный 33 5 3 5" xfId="8143" xr:uid="{00000000-0005-0000-0000-0000DF1A0000}"/>
    <cellStyle name="Обычный 33 5 3 6" xfId="8144" xr:uid="{00000000-0005-0000-0000-0000E01A0000}"/>
    <cellStyle name="Обычный 33 5 4" xfId="8145" xr:uid="{00000000-0005-0000-0000-0000E11A0000}"/>
    <cellStyle name="Обычный 33 5 4 2" xfId="8146" xr:uid="{00000000-0005-0000-0000-0000E21A0000}"/>
    <cellStyle name="Обычный 33 5 4 2 2" xfId="8147" xr:uid="{00000000-0005-0000-0000-0000E31A0000}"/>
    <cellStyle name="Обычный 33 5 4 2 3" xfId="8148" xr:uid="{00000000-0005-0000-0000-0000E41A0000}"/>
    <cellStyle name="Обычный 33 5 4 3" xfId="8149" xr:uid="{00000000-0005-0000-0000-0000E51A0000}"/>
    <cellStyle name="Обычный 33 5 4 4" xfId="8150" xr:uid="{00000000-0005-0000-0000-0000E61A0000}"/>
    <cellStyle name="Обычный 33 5 5" xfId="8151" xr:uid="{00000000-0005-0000-0000-0000E71A0000}"/>
    <cellStyle name="Обычный 33 5 5 2" xfId="8152" xr:uid="{00000000-0005-0000-0000-0000E81A0000}"/>
    <cellStyle name="Обычный 33 5 5 3" xfId="8153" xr:uid="{00000000-0005-0000-0000-0000E91A0000}"/>
    <cellStyle name="Обычный 33 5 6" xfId="8154" xr:uid="{00000000-0005-0000-0000-0000EA1A0000}"/>
    <cellStyle name="Обычный 33 5 6 2" xfId="8155" xr:uid="{00000000-0005-0000-0000-0000EB1A0000}"/>
    <cellStyle name="Обычный 33 5 7" xfId="8156" xr:uid="{00000000-0005-0000-0000-0000EC1A0000}"/>
    <cellStyle name="Обычный 33 5 8" xfId="8157" xr:uid="{00000000-0005-0000-0000-0000ED1A0000}"/>
    <cellStyle name="Обычный 33 6" xfId="3699" xr:uid="{00000000-0005-0000-0000-0000EE1A0000}"/>
    <cellStyle name="Обычный 33 6 2" xfId="8158" xr:uid="{00000000-0005-0000-0000-0000EF1A0000}"/>
    <cellStyle name="Обычный 33 6 2 2" xfId="8159" xr:uid="{00000000-0005-0000-0000-0000F01A0000}"/>
    <cellStyle name="Обычный 33 6 2 2 2" xfId="8160" xr:uid="{00000000-0005-0000-0000-0000F11A0000}"/>
    <cellStyle name="Обычный 33 6 2 2 2 2" xfId="8161" xr:uid="{00000000-0005-0000-0000-0000F21A0000}"/>
    <cellStyle name="Обычный 33 6 2 2 2 3" xfId="8162" xr:uid="{00000000-0005-0000-0000-0000F31A0000}"/>
    <cellStyle name="Обычный 33 6 2 2 3" xfId="8163" xr:uid="{00000000-0005-0000-0000-0000F41A0000}"/>
    <cellStyle name="Обычный 33 6 2 2 4" xfId="8164" xr:uid="{00000000-0005-0000-0000-0000F51A0000}"/>
    <cellStyle name="Обычный 33 6 2 3" xfId="8165" xr:uid="{00000000-0005-0000-0000-0000F61A0000}"/>
    <cellStyle name="Обычный 33 6 2 3 2" xfId="8166" xr:uid="{00000000-0005-0000-0000-0000F71A0000}"/>
    <cellStyle name="Обычный 33 6 2 3 3" xfId="8167" xr:uid="{00000000-0005-0000-0000-0000F81A0000}"/>
    <cellStyle name="Обычный 33 6 2 4" xfId="8168" xr:uid="{00000000-0005-0000-0000-0000F91A0000}"/>
    <cellStyle name="Обычный 33 6 2 4 2" xfId="8169" xr:uid="{00000000-0005-0000-0000-0000FA1A0000}"/>
    <cellStyle name="Обычный 33 6 2 5" xfId="8170" xr:uid="{00000000-0005-0000-0000-0000FB1A0000}"/>
    <cellStyle name="Обычный 33 6 2 6" xfId="8171" xr:uid="{00000000-0005-0000-0000-0000FC1A0000}"/>
    <cellStyle name="Обычный 33 6 3" xfId="8172" xr:uid="{00000000-0005-0000-0000-0000FD1A0000}"/>
    <cellStyle name="Обычный 33 6 3 2" xfId="8173" xr:uid="{00000000-0005-0000-0000-0000FE1A0000}"/>
    <cellStyle name="Обычный 33 6 3 2 2" xfId="8174" xr:uid="{00000000-0005-0000-0000-0000FF1A0000}"/>
    <cellStyle name="Обычный 33 6 3 2 3" xfId="8175" xr:uid="{00000000-0005-0000-0000-0000001B0000}"/>
    <cellStyle name="Обычный 33 6 3 3" xfId="8176" xr:uid="{00000000-0005-0000-0000-0000011B0000}"/>
    <cellStyle name="Обычный 33 6 3 4" xfId="8177" xr:uid="{00000000-0005-0000-0000-0000021B0000}"/>
    <cellStyle name="Обычный 33 6 4" xfId="8178" xr:uid="{00000000-0005-0000-0000-0000031B0000}"/>
    <cellStyle name="Обычный 33 6 4 2" xfId="8179" xr:uid="{00000000-0005-0000-0000-0000041B0000}"/>
    <cellStyle name="Обычный 33 6 4 3" xfId="8180" xr:uid="{00000000-0005-0000-0000-0000051B0000}"/>
    <cellStyle name="Обычный 33 6 5" xfId="8181" xr:uid="{00000000-0005-0000-0000-0000061B0000}"/>
    <cellStyle name="Обычный 33 6 5 2" xfId="8182" xr:uid="{00000000-0005-0000-0000-0000071B0000}"/>
    <cellStyle name="Обычный 33 6 6" xfId="8183" xr:uid="{00000000-0005-0000-0000-0000081B0000}"/>
    <cellStyle name="Обычный 33 6 7" xfId="8184" xr:uid="{00000000-0005-0000-0000-0000091B0000}"/>
    <cellStyle name="Обычный 33 7" xfId="8185" xr:uid="{00000000-0005-0000-0000-00000A1B0000}"/>
    <cellStyle name="Обычный 33 7 2" xfId="8186" xr:uid="{00000000-0005-0000-0000-00000B1B0000}"/>
    <cellStyle name="Обычный 33 7 2 2" xfId="8187" xr:uid="{00000000-0005-0000-0000-00000C1B0000}"/>
    <cellStyle name="Обычный 33 7 2 2 2" xfId="8188" xr:uid="{00000000-0005-0000-0000-00000D1B0000}"/>
    <cellStyle name="Обычный 33 7 2 2 3" xfId="8189" xr:uid="{00000000-0005-0000-0000-00000E1B0000}"/>
    <cellStyle name="Обычный 33 7 2 3" xfId="8190" xr:uid="{00000000-0005-0000-0000-00000F1B0000}"/>
    <cellStyle name="Обычный 33 7 2 4" xfId="8191" xr:uid="{00000000-0005-0000-0000-0000101B0000}"/>
    <cellStyle name="Обычный 33 7 3" xfId="8192" xr:uid="{00000000-0005-0000-0000-0000111B0000}"/>
    <cellStyle name="Обычный 33 7 3 2" xfId="8193" xr:uid="{00000000-0005-0000-0000-0000121B0000}"/>
    <cellStyle name="Обычный 33 7 3 3" xfId="8194" xr:uid="{00000000-0005-0000-0000-0000131B0000}"/>
    <cellStyle name="Обычный 33 7 4" xfId="8195" xr:uid="{00000000-0005-0000-0000-0000141B0000}"/>
    <cellStyle name="Обычный 33 7 4 2" xfId="8196" xr:uid="{00000000-0005-0000-0000-0000151B0000}"/>
    <cellStyle name="Обычный 33 7 5" xfId="8197" xr:uid="{00000000-0005-0000-0000-0000161B0000}"/>
    <cellStyle name="Обычный 33 7 6" xfId="8198" xr:uid="{00000000-0005-0000-0000-0000171B0000}"/>
    <cellStyle name="Обычный 33 8" xfId="8199" xr:uid="{00000000-0005-0000-0000-0000181B0000}"/>
    <cellStyle name="Обычный 33 8 2" xfId="8200" xr:uid="{00000000-0005-0000-0000-0000191B0000}"/>
    <cellStyle name="Обычный 33 8 2 2" xfId="8201" xr:uid="{00000000-0005-0000-0000-00001A1B0000}"/>
    <cellStyle name="Обычный 33 8 2 3" xfId="8202" xr:uid="{00000000-0005-0000-0000-00001B1B0000}"/>
    <cellStyle name="Обычный 33 8 3" xfId="8203" xr:uid="{00000000-0005-0000-0000-00001C1B0000}"/>
    <cellStyle name="Обычный 33 8 4" xfId="8204" xr:uid="{00000000-0005-0000-0000-00001D1B0000}"/>
    <cellStyle name="Обычный 33 9" xfId="8205" xr:uid="{00000000-0005-0000-0000-00001E1B0000}"/>
    <cellStyle name="Обычный 33 9 2" xfId="8206" xr:uid="{00000000-0005-0000-0000-00001F1B0000}"/>
    <cellStyle name="Обычный 33 9 3" xfId="8207" xr:uid="{00000000-0005-0000-0000-0000201B0000}"/>
    <cellStyle name="Обычный 33_Свод гостин" xfId="3700" xr:uid="{00000000-0005-0000-0000-0000211B0000}"/>
    <cellStyle name="Обычный 34" xfId="3701" xr:uid="{00000000-0005-0000-0000-0000221B0000}"/>
    <cellStyle name="Обычный 34 2" xfId="3702" xr:uid="{00000000-0005-0000-0000-0000231B0000}"/>
    <cellStyle name="Обычный 35" xfId="3703" xr:uid="{00000000-0005-0000-0000-0000241B0000}"/>
    <cellStyle name="Обычный 35 2" xfId="3704" xr:uid="{00000000-0005-0000-0000-0000251B0000}"/>
    <cellStyle name="Обычный 35 2 2" xfId="3705" xr:uid="{00000000-0005-0000-0000-0000261B0000}"/>
    <cellStyle name="Обычный 35_Свод гостин" xfId="3706" xr:uid="{00000000-0005-0000-0000-0000271B0000}"/>
    <cellStyle name="Обычный 36" xfId="3707" xr:uid="{00000000-0005-0000-0000-0000281B0000}"/>
    <cellStyle name="Обычный 36 2" xfId="3708" xr:uid="{00000000-0005-0000-0000-0000291B0000}"/>
    <cellStyle name="Обычный 36 2 2" xfId="3709" xr:uid="{00000000-0005-0000-0000-00002A1B0000}"/>
    <cellStyle name="Обычный 36_Свод гостин" xfId="3710" xr:uid="{00000000-0005-0000-0000-00002B1B0000}"/>
    <cellStyle name="Обычный 37" xfId="3711" xr:uid="{00000000-0005-0000-0000-00002C1B0000}"/>
    <cellStyle name="Обычный 37 2" xfId="3712" xr:uid="{00000000-0005-0000-0000-00002D1B0000}"/>
    <cellStyle name="Обычный 37 2 2" xfId="3713" xr:uid="{00000000-0005-0000-0000-00002E1B0000}"/>
    <cellStyle name="Обычный 37 2 3" xfId="3714" xr:uid="{00000000-0005-0000-0000-00002F1B0000}"/>
    <cellStyle name="Обычный 37 2_ТУП" xfId="3715" xr:uid="{00000000-0005-0000-0000-0000301B0000}"/>
    <cellStyle name="Обычный 37 3" xfId="3716" xr:uid="{00000000-0005-0000-0000-0000311B0000}"/>
    <cellStyle name="Обычный 37 3 2" xfId="11674" xr:uid="{B26D8F18-AB52-4CB1-87FF-BA38F1D19CD5}"/>
    <cellStyle name="Обычный 37 3 3" xfId="11680" xr:uid="{A233F19B-BA7B-4DA3-8AD9-9CAF71AC2D3B}"/>
    <cellStyle name="Обычный 37_Свод гостин" xfId="3717" xr:uid="{00000000-0005-0000-0000-0000321B0000}"/>
    <cellStyle name="Обычный 38" xfId="3718" xr:uid="{00000000-0005-0000-0000-0000331B0000}"/>
    <cellStyle name="Обычный 38 2" xfId="3719" xr:uid="{00000000-0005-0000-0000-0000341B0000}"/>
    <cellStyle name="Обычный 38 3" xfId="8208" xr:uid="{00000000-0005-0000-0000-0000351B0000}"/>
    <cellStyle name="Обычный 39" xfId="3720" xr:uid="{00000000-0005-0000-0000-0000361B0000}"/>
    <cellStyle name="Обычный 39 2" xfId="3721" xr:uid="{00000000-0005-0000-0000-0000371B0000}"/>
    <cellStyle name="Обычный 39 3" xfId="8209" xr:uid="{00000000-0005-0000-0000-0000381B0000}"/>
    <cellStyle name="Обычный 39_Свод гостин" xfId="3722" xr:uid="{00000000-0005-0000-0000-0000391B0000}"/>
    <cellStyle name="Обычный 4" xfId="3723" xr:uid="{00000000-0005-0000-0000-00003A1B0000}"/>
    <cellStyle name="Обычный 4 10" xfId="3724" xr:uid="{00000000-0005-0000-0000-00003B1B0000}"/>
    <cellStyle name="Обычный 4 11" xfId="3725" xr:uid="{00000000-0005-0000-0000-00003C1B0000}"/>
    <cellStyle name="Обычный 4 12" xfId="3726" xr:uid="{00000000-0005-0000-0000-00003D1B0000}"/>
    <cellStyle name="Обычный 4 13" xfId="3727" xr:uid="{00000000-0005-0000-0000-00003E1B0000}"/>
    <cellStyle name="Обычный 4 14" xfId="3728" xr:uid="{00000000-0005-0000-0000-00003F1B0000}"/>
    <cellStyle name="Обычный 4 15" xfId="3729" xr:uid="{00000000-0005-0000-0000-0000401B0000}"/>
    <cellStyle name="Обычный 4 16" xfId="3730" xr:uid="{00000000-0005-0000-0000-0000411B0000}"/>
    <cellStyle name="Обычный 4 17" xfId="3731" xr:uid="{00000000-0005-0000-0000-0000421B0000}"/>
    <cellStyle name="Обычный 4 18" xfId="3732" xr:uid="{00000000-0005-0000-0000-0000431B0000}"/>
    <cellStyle name="Обычный 4 19" xfId="3733" xr:uid="{00000000-0005-0000-0000-0000441B0000}"/>
    <cellStyle name="Обычный 4 2" xfId="3734" xr:uid="{00000000-0005-0000-0000-0000451B0000}"/>
    <cellStyle name="Обычный 4 2 10" xfId="8210" xr:uid="{00000000-0005-0000-0000-0000461B0000}"/>
    <cellStyle name="Обычный 4 2 10 2" xfId="8211" xr:uid="{00000000-0005-0000-0000-0000471B0000}"/>
    <cellStyle name="Обычный 4 2 10 2 2" xfId="8212" xr:uid="{00000000-0005-0000-0000-0000481B0000}"/>
    <cellStyle name="Обычный 4 2 10 2 3" xfId="8213" xr:uid="{00000000-0005-0000-0000-0000491B0000}"/>
    <cellStyle name="Обычный 4 2 10 3" xfId="8214" xr:uid="{00000000-0005-0000-0000-00004A1B0000}"/>
    <cellStyle name="Обычный 4 2 10 4" xfId="8215" xr:uid="{00000000-0005-0000-0000-00004B1B0000}"/>
    <cellStyle name="Обычный 4 2 11" xfId="8216" xr:uid="{00000000-0005-0000-0000-00004C1B0000}"/>
    <cellStyle name="Обычный 4 2 11 2" xfId="8217" xr:uid="{00000000-0005-0000-0000-00004D1B0000}"/>
    <cellStyle name="Обычный 4 2 11 3" xfId="8218" xr:uid="{00000000-0005-0000-0000-00004E1B0000}"/>
    <cellStyle name="Обычный 4 2 12" xfId="8219" xr:uid="{00000000-0005-0000-0000-00004F1B0000}"/>
    <cellStyle name="Обычный 4 2 12 2" xfId="8220" xr:uid="{00000000-0005-0000-0000-0000501B0000}"/>
    <cellStyle name="Обычный 4 2 13" xfId="8221" xr:uid="{00000000-0005-0000-0000-0000511B0000}"/>
    <cellStyle name="Обычный 4 2 14" xfId="8222" xr:uid="{00000000-0005-0000-0000-0000521B0000}"/>
    <cellStyle name="Обычный 4 2 15" xfId="8223" xr:uid="{00000000-0005-0000-0000-0000531B0000}"/>
    <cellStyle name="Обычный 4 2 16" xfId="8224" xr:uid="{00000000-0005-0000-0000-0000541B0000}"/>
    <cellStyle name="Обычный 4 2 17" xfId="11670" xr:uid="{FE1E3769-02B3-4F35-B590-8C7D5B72DFFA}"/>
    <cellStyle name="Обычный 4 2 17 2 2" xfId="11678" xr:uid="{94EE2C09-DD91-4986-B5FE-E8CF788F542B}"/>
    <cellStyle name="Обычный 4 2 17 2 3" xfId="11681" xr:uid="{B3A62AD0-C737-404E-BE53-483B4FB57650}"/>
    <cellStyle name="Обычный 4 2 2" xfId="3735" xr:uid="{00000000-0005-0000-0000-0000551B0000}"/>
    <cellStyle name="Обычный 4 2 2 10" xfId="8225" xr:uid="{00000000-0005-0000-0000-0000561B0000}"/>
    <cellStyle name="Обычный 4 2 2 2" xfId="3736" xr:uid="{00000000-0005-0000-0000-0000571B0000}"/>
    <cellStyle name="Обычный 4 2 2 2 2" xfId="3737" xr:uid="{00000000-0005-0000-0000-0000581B0000}"/>
    <cellStyle name="Обычный 4 2 2 2 2 2" xfId="8226" xr:uid="{00000000-0005-0000-0000-0000591B0000}"/>
    <cellStyle name="Обычный 4 2 2 2 2 2 2" xfId="8227" xr:uid="{00000000-0005-0000-0000-00005A1B0000}"/>
    <cellStyle name="Обычный 4 2 2 2 2 2 2 2" xfId="8228" xr:uid="{00000000-0005-0000-0000-00005B1B0000}"/>
    <cellStyle name="Обычный 4 2 2 2 2 2 2 2 2" xfId="8229" xr:uid="{00000000-0005-0000-0000-00005C1B0000}"/>
    <cellStyle name="Обычный 4 2 2 2 2 2 2 2 2 2" xfId="8230" xr:uid="{00000000-0005-0000-0000-00005D1B0000}"/>
    <cellStyle name="Обычный 4 2 2 2 2 2 2 2 2 3" xfId="8231" xr:uid="{00000000-0005-0000-0000-00005E1B0000}"/>
    <cellStyle name="Обычный 4 2 2 2 2 2 2 2 3" xfId="8232" xr:uid="{00000000-0005-0000-0000-00005F1B0000}"/>
    <cellStyle name="Обычный 4 2 2 2 2 2 2 2 4" xfId="8233" xr:uid="{00000000-0005-0000-0000-0000601B0000}"/>
    <cellStyle name="Обычный 4 2 2 2 2 2 2 3" xfId="8234" xr:uid="{00000000-0005-0000-0000-0000611B0000}"/>
    <cellStyle name="Обычный 4 2 2 2 2 2 2 3 2" xfId="8235" xr:uid="{00000000-0005-0000-0000-0000621B0000}"/>
    <cellStyle name="Обычный 4 2 2 2 2 2 2 3 3" xfId="8236" xr:uid="{00000000-0005-0000-0000-0000631B0000}"/>
    <cellStyle name="Обычный 4 2 2 2 2 2 2 4" xfId="8237" xr:uid="{00000000-0005-0000-0000-0000641B0000}"/>
    <cellStyle name="Обычный 4 2 2 2 2 2 2 4 2" xfId="8238" xr:uid="{00000000-0005-0000-0000-0000651B0000}"/>
    <cellStyle name="Обычный 4 2 2 2 2 2 2 5" xfId="8239" xr:uid="{00000000-0005-0000-0000-0000661B0000}"/>
    <cellStyle name="Обычный 4 2 2 2 2 2 2 6" xfId="8240" xr:uid="{00000000-0005-0000-0000-0000671B0000}"/>
    <cellStyle name="Обычный 4 2 2 2 2 2 3" xfId="8241" xr:uid="{00000000-0005-0000-0000-0000681B0000}"/>
    <cellStyle name="Обычный 4 2 2 2 2 2 3 2" xfId="8242" xr:uid="{00000000-0005-0000-0000-0000691B0000}"/>
    <cellStyle name="Обычный 4 2 2 2 2 2 3 2 2" xfId="8243" xr:uid="{00000000-0005-0000-0000-00006A1B0000}"/>
    <cellStyle name="Обычный 4 2 2 2 2 2 3 2 3" xfId="8244" xr:uid="{00000000-0005-0000-0000-00006B1B0000}"/>
    <cellStyle name="Обычный 4 2 2 2 2 2 3 3" xfId="8245" xr:uid="{00000000-0005-0000-0000-00006C1B0000}"/>
    <cellStyle name="Обычный 4 2 2 2 2 2 3 4" xfId="8246" xr:uid="{00000000-0005-0000-0000-00006D1B0000}"/>
    <cellStyle name="Обычный 4 2 2 2 2 2 4" xfId="8247" xr:uid="{00000000-0005-0000-0000-00006E1B0000}"/>
    <cellStyle name="Обычный 4 2 2 2 2 2 4 2" xfId="8248" xr:uid="{00000000-0005-0000-0000-00006F1B0000}"/>
    <cellStyle name="Обычный 4 2 2 2 2 2 4 3" xfId="8249" xr:uid="{00000000-0005-0000-0000-0000701B0000}"/>
    <cellStyle name="Обычный 4 2 2 2 2 2 5" xfId="8250" xr:uid="{00000000-0005-0000-0000-0000711B0000}"/>
    <cellStyle name="Обычный 4 2 2 2 2 2 5 2" xfId="8251" xr:uid="{00000000-0005-0000-0000-0000721B0000}"/>
    <cellStyle name="Обычный 4 2 2 2 2 2 6" xfId="8252" xr:uid="{00000000-0005-0000-0000-0000731B0000}"/>
    <cellStyle name="Обычный 4 2 2 2 2 2 7" xfId="8253" xr:uid="{00000000-0005-0000-0000-0000741B0000}"/>
    <cellStyle name="Обычный 4 2 2 2 2 3" xfId="8254" xr:uid="{00000000-0005-0000-0000-0000751B0000}"/>
    <cellStyle name="Обычный 4 2 2 2 2 3 2" xfId="8255" xr:uid="{00000000-0005-0000-0000-0000761B0000}"/>
    <cellStyle name="Обычный 4 2 2 2 2 3 2 2" xfId="8256" xr:uid="{00000000-0005-0000-0000-0000771B0000}"/>
    <cellStyle name="Обычный 4 2 2 2 2 3 2 2 2" xfId="8257" xr:uid="{00000000-0005-0000-0000-0000781B0000}"/>
    <cellStyle name="Обычный 4 2 2 2 2 3 2 2 3" xfId="8258" xr:uid="{00000000-0005-0000-0000-0000791B0000}"/>
    <cellStyle name="Обычный 4 2 2 2 2 3 2 3" xfId="8259" xr:uid="{00000000-0005-0000-0000-00007A1B0000}"/>
    <cellStyle name="Обычный 4 2 2 2 2 3 2 4" xfId="8260" xr:uid="{00000000-0005-0000-0000-00007B1B0000}"/>
    <cellStyle name="Обычный 4 2 2 2 2 3 3" xfId="8261" xr:uid="{00000000-0005-0000-0000-00007C1B0000}"/>
    <cellStyle name="Обычный 4 2 2 2 2 3 3 2" xfId="8262" xr:uid="{00000000-0005-0000-0000-00007D1B0000}"/>
    <cellStyle name="Обычный 4 2 2 2 2 3 3 3" xfId="8263" xr:uid="{00000000-0005-0000-0000-00007E1B0000}"/>
    <cellStyle name="Обычный 4 2 2 2 2 3 4" xfId="8264" xr:uid="{00000000-0005-0000-0000-00007F1B0000}"/>
    <cellStyle name="Обычный 4 2 2 2 2 3 4 2" xfId="8265" xr:uid="{00000000-0005-0000-0000-0000801B0000}"/>
    <cellStyle name="Обычный 4 2 2 2 2 3 5" xfId="8266" xr:uid="{00000000-0005-0000-0000-0000811B0000}"/>
    <cellStyle name="Обычный 4 2 2 2 2 3 6" xfId="8267" xr:uid="{00000000-0005-0000-0000-0000821B0000}"/>
    <cellStyle name="Обычный 4 2 2 2 2 4" xfId="8268" xr:uid="{00000000-0005-0000-0000-0000831B0000}"/>
    <cellStyle name="Обычный 4 2 2 2 2 4 2" xfId="8269" xr:uid="{00000000-0005-0000-0000-0000841B0000}"/>
    <cellStyle name="Обычный 4 2 2 2 2 4 2 2" xfId="8270" xr:uid="{00000000-0005-0000-0000-0000851B0000}"/>
    <cellStyle name="Обычный 4 2 2 2 2 4 2 3" xfId="8271" xr:uid="{00000000-0005-0000-0000-0000861B0000}"/>
    <cellStyle name="Обычный 4 2 2 2 2 4 3" xfId="8272" xr:uid="{00000000-0005-0000-0000-0000871B0000}"/>
    <cellStyle name="Обычный 4 2 2 2 2 4 4" xfId="8273" xr:uid="{00000000-0005-0000-0000-0000881B0000}"/>
    <cellStyle name="Обычный 4 2 2 2 2 5" xfId="8274" xr:uid="{00000000-0005-0000-0000-0000891B0000}"/>
    <cellStyle name="Обычный 4 2 2 2 2 5 2" xfId="8275" xr:uid="{00000000-0005-0000-0000-00008A1B0000}"/>
    <cellStyle name="Обычный 4 2 2 2 2 5 3" xfId="8276" xr:uid="{00000000-0005-0000-0000-00008B1B0000}"/>
    <cellStyle name="Обычный 4 2 2 2 2 6" xfId="8277" xr:uid="{00000000-0005-0000-0000-00008C1B0000}"/>
    <cellStyle name="Обычный 4 2 2 2 2 6 2" xfId="8278" xr:uid="{00000000-0005-0000-0000-00008D1B0000}"/>
    <cellStyle name="Обычный 4 2 2 2 2 7" xfId="8279" xr:uid="{00000000-0005-0000-0000-00008E1B0000}"/>
    <cellStyle name="Обычный 4 2 2 2 2 8" xfId="8280" xr:uid="{00000000-0005-0000-0000-00008F1B0000}"/>
    <cellStyle name="Обычный 4 2 2 2 3" xfId="3738" xr:uid="{00000000-0005-0000-0000-0000901B0000}"/>
    <cellStyle name="Обычный 4 2 2 2 3 2" xfId="8281" xr:uid="{00000000-0005-0000-0000-0000911B0000}"/>
    <cellStyle name="Обычный 4 2 2 2 3 2 2" xfId="8282" xr:uid="{00000000-0005-0000-0000-0000921B0000}"/>
    <cellStyle name="Обычный 4 2 2 2 3 2 2 2" xfId="8283" xr:uid="{00000000-0005-0000-0000-0000931B0000}"/>
    <cellStyle name="Обычный 4 2 2 2 3 2 2 2 2" xfId="8284" xr:uid="{00000000-0005-0000-0000-0000941B0000}"/>
    <cellStyle name="Обычный 4 2 2 2 3 2 2 2 3" xfId="8285" xr:uid="{00000000-0005-0000-0000-0000951B0000}"/>
    <cellStyle name="Обычный 4 2 2 2 3 2 2 3" xfId="8286" xr:uid="{00000000-0005-0000-0000-0000961B0000}"/>
    <cellStyle name="Обычный 4 2 2 2 3 2 2 4" xfId="8287" xr:uid="{00000000-0005-0000-0000-0000971B0000}"/>
    <cellStyle name="Обычный 4 2 2 2 3 2 3" xfId="8288" xr:uid="{00000000-0005-0000-0000-0000981B0000}"/>
    <cellStyle name="Обычный 4 2 2 2 3 2 3 2" xfId="8289" xr:uid="{00000000-0005-0000-0000-0000991B0000}"/>
    <cellStyle name="Обычный 4 2 2 2 3 2 3 3" xfId="8290" xr:uid="{00000000-0005-0000-0000-00009A1B0000}"/>
    <cellStyle name="Обычный 4 2 2 2 3 2 4" xfId="8291" xr:uid="{00000000-0005-0000-0000-00009B1B0000}"/>
    <cellStyle name="Обычный 4 2 2 2 3 2 4 2" xfId="8292" xr:uid="{00000000-0005-0000-0000-00009C1B0000}"/>
    <cellStyle name="Обычный 4 2 2 2 3 2 5" xfId="8293" xr:uid="{00000000-0005-0000-0000-00009D1B0000}"/>
    <cellStyle name="Обычный 4 2 2 2 3 2 6" xfId="8294" xr:uid="{00000000-0005-0000-0000-00009E1B0000}"/>
    <cellStyle name="Обычный 4 2 2 2 3 3" xfId="8295" xr:uid="{00000000-0005-0000-0000-00009F1B0000}"/>
    <cellStyle name="Обычный 4 2 2 2 3 3 2" xfId="8296" xr:uid="{00000000-0005-0000-0000-0000A01B0000}"/>
    <cellStyle name="Обычный 4 2 2 2 3 3 2 2" xfId="8297" xr:uid="{00000000-0005-0000-0000-0000A11B0000}"/>
    <cellStyle name="Обычный 4 2 2 2 3 3 2 3" xfId="8298" xr:uid="{00000000-0005-0000-0000-0000A21B0000}"/>
    <cellStyle name="Обычный 4 2 2 2 3 3 3" xfId="8299" xr:uid="{00000000-0005-0000-0000-0000A31B0000}"/>
    <cellStyle name="Обычный 4 2 2 2 3 3 4" xfId="8300" xr:uid="{00000000-0005-0000-0000-0000A41B0000}"/>
    <cellStyle name="Обычный 4 2 2 2 3 4" xfId="8301" xr:uid="{00000000-0005-0000-0000-0000A51B0000}"/>
    <cellStyle name="Обычный 4 2 2 2 3 4 2" xfId="8302" xr:uid="{00000000-0005-0000-0000-0000A61B0000}"/>
    <cellStyle name="Обычный 4 2 2 2 3 4 3" xfId="8303" xr:uid="{00000000-0005-0000-0000-0000A71B0000}"/>
    <cellStyle name="Обычный 4 2 2 2 3 5" xfId="8304" xr:uid="{00000000-0005-0000-0000-0000A81B0000}"/>
    <cellStyle name="Обычный 4 2 2 2 3 5 2" xfId="8305" xr:uid="{00000000-0005-0000-0000-0000A91B0000}"/>
    <cellStyle name="Обычный 4 2 2 2 3 6" xfId="8306" xr:uid="{00000000-0005-0000-0000-0000AA1B0000}"/>
    <cellStyle name="Обычный 4 2 2 2 3 7" xfId="8307" xr:uid="{00000000-0005-0000-0000-0000AB1B0000}"/>
    <cellStyle name="Обычный 4 2 2 2 4" xfId="8308" xr:uid="{00000000-0005-0000-0000-0000AC1B0000}"/>
    <cellStyle name="Обычный 4 2 2 2 4 2" xfId="8309" xr:uid="{00000000-0005-0000-0000-0000AD1B0000}"/>
    <cellStyle name="Обычный 4 2 2 2 4 2 2" xfId="8310" xr:uid="{00000000-0005-0000-0000-0000AE1B0000}"/>
    <cellStyle name="Обычный 4 2 2 2 4 2 2 2" xfId="8311" xr:uid="{00000000-0005-0000-0000-0000AF1B0000}"/>
    <cellStyle name="Обычный 4 2 2 2 4 2 2 3" xfId="8312" xr:uid="{00000000-0005-0000-0000-0000B01B0000}"/>
    <cellStyle name="Обычный 4 2 2 2 4 2 3" xfId="8313" xr:uid="{00000000-0005-0000-0000-0000B11B0000}"/>
    <cellStyle name="Обычный 4 2 2 2 4 2 4" xfId="8314" xr:uid="{00000000-0005-0000-0000-0000B21B0000}"/>
    <cellStyle name="Обычный 4 2 2 2 4 3" xfId="8315" xr:uid="{00000000-0005-0000-0000-0000B31B0000}"/>
    <cellStyle name="Обычный 4 2 2 2 4 3 2" xfId="8316" xr:uid="{00000000-0005-0000-0000-0000B41B0000}"/>
    <cellStyle name="Обычный 4 2 2 2 4 3 3" xfId="8317" xr:uid="{00000000-0005-0000-0000-0000B51B0000}"/>
    <cellStyle name="Обычный 4 2 2 2 4 4" xfId="8318" xr:uid="{00000000-0005-0000-0000-0000B61B0000}"/>
    <cellStyle name="Обычный 4 2 2 2 4 4 2" xfId="8319" xr:uid="{00000000-0005-0000-0000-0000B71B0000}"/>
    <cellStyle name="Обычный 4 2 2 2 4 5" xfId="8320" xr:uid="{00000000-0005-0000-0000-0000B81B0000}"/>
    <cellStyle name="Обычный 4 2 2 2 4 6" xfId="8321" xr:uid="{00000000-0005-0000-0000-0000B91B0000}"/>
    <cellStyle name="Обычный 4 2 2 2 5" xfId="8322" xr:uid="{00000000-0005-0000-0000-0000BA1B0000}"/>
    <cellStyle name="Обычный 4 2 2 2 5 2" xfId="8323" xr:uid="{00000000-0005-0000-0000-0000BB1B0000}"/>
    <cellStyle name="Обычный 4 2 2 2 5 2 2" xfId="8324" xr:uid="{00000000-0005-0000-0000-0000BC1B0000}"/>
    <cellStyle name="Обычный 4 2 2 2 5 2 3" xfId="8325" xr:uid="{00000000-0005-0000-0000-0000BD1B0000}"/>
    <cellStyle name="Обычный 4 2 2 2 5 3" xfId="8326" xr:uid="{00000000-0005-0000-0000-0000BE1B0000}"/>
    <cellStyle name="Обычный 4 2 2 2 5 4" xfId="8327" xr:uid="{00000000-0005-0000-0000-0000BF1B0000}"/>
    <cellStyle name="Обычный 4 2 2 2 6" xfId="8328" xr:uid="{00000000-0005-0000-0000-0000C01B0000}"/>
    <cellStyle name="Обычный 4 2 2 2 6 2" xfId="8329" xr:uid="{00000000-0005-0000-0000-0000C11B0000}"/>
    <cellStyle name="Обычный 4 2 2 2 6 3" xfId="8330" xr:uid="{00000000-0005-0000-0000-0000C21B0000}"/>
    <cellStyle name="Обычный 4 2 2 2 7" xfId="8331" xr:uid="{00000000-0005-0000-0000-0000C31B0000}"/>
    <cellStyle name="Обычный 4 2 2 2 7 2" xfId="8332" xr:uid="{00000000-0005-0000-0000-0000C41B0000}"/>
    <cellStyle name="Обычный 4 2 2 2 8" xfId="8333" xr:uid="{00000000-0005-0000-0000-0000C51B0000}"/>
    <cellStyle name="Обычный 4 2 2 2 9" xfId="8334" xr:uid="{00000000-0005-0000-0000-0000C61B0000}"/>
    <cellStyle name="Обычный 4 2 2 2_ТУП" xfId="3739" xr:uid="{00000000-0005-0000-0000-0000C71B0000}"/>
    <cellStyle name="Обычный 4 2 2 3" xfId="3740" xr:uid="{00000000-0005-0000-0000-0000C81B0000}"/>
    <cellStyle name="Обычный 4 2 2 3 2" xfId="8335" xr:uid="{00000000-0005-0000-0000-0000C91B0000}"/>
    <cellStyle name="Обычный 4 2 2 3 2 2" xfId="8336" xr:uid="{00000000-0005-0000-0000-0000CA1B0000}"/>
    <cellStyle name="Обычный 4 2 2 3 2 2 2" xfId="8337" xr:uid="{00000000-0005-0000-0000-0000CB1B0000}"/>
    <cellStyle name="Обычный 4 2 2 3 2 2 2 2" xfId="8338" xr:uid="{00000000-0005-0000-0000-0000CC1B0000}"/>
    <cellStyle name="Обычный 4 2 2 3 2 2 2 2 2" xfId="8339" xr:uid="{00000000-0005-0000-0000-0000CD1B0000}"/>
    <cellStyle name="Обычный 4 2 2 3 2 2 2 2 3" xfId="8340" xr:uid="{00000000-0005-0000-0000-0000CE1B0000}"/>
    <cellStyle name="Обычный 4 2 2 3 2 2 2 3" xfId="8341" xr:uid="{00000000-0005-0000-0000-0000CF1B0000}"/>
    <cellStyle name="Обычный 4 2 2 3 2 2 2 4" xfId="8342" xr:uid="{00000000-0005-0000-0000-0000D01B0000}"/>
    <cellStyle name="Обычный 4 2 2 3 2 2 3" xfId="8343" xr:uid="{00000000-0005-0000-0000-0000D11B0000}"/>
    <cellStyle name="Обычный 4 2 2 3 2 2 3 2" xfId="8344" xr:uid="{00000000-0005-0000-0000-0000D21B0000}"/>
    <cellStyle name="Обычный 4 2 2 3 2 2 3 3" xfId="8345" xr:uid="{00000000-0005-0000-0000-0000D31B0000}"/>
    <cellStyle name="Обычный 4 2 2 3 2 2 4" xfId="8346" xr:uid="{00000000-0005-0000-0000-0000D41B0000}"/>
    <cellStyle name="Обычный 4 2 2 3 2 2 4 2" xfId="8347" xr:uid="{00000000-0005-0000-0000-0000D51B0000}"/>
    <cellStyle name="Обычный 4 2 2 3 2 2 5" xfId="8348" xr:uid="{00000000-0005-0000-0000-0000D61B0000}"/>
    <cellStyle name="Обычный 4 2 2 3 2 2 6" xfId="8349" xr:uid="{00000000-0005-0000-0000-0000D71B0000}"/>
    <cellStyle name="Обычный 4 2 2 3 2 3" xfId="8350" xr:uid="{00000000-0005-0000-0000-0000D81B0000}"/>
    <cellStyle name="Обычный 4 2 2 3 2 3 2" xfId="8351" xr:uid="{00000000-0005-0000-0000-0000D91B0000}"/>
    <cellStyle name="Обычный 4 2 2 3 2 3 2 2" xfId="8352" xr:uid="{00000000-0005-0000-0000-0000DA1B0000}"/>
    <cellStyle name="Обычный 4 2 2 3 2 3 2 3" xfId="8353" xr:uid="{00000000-0005-0000-0000-0000DB1B0000}"/>
    <cellStyle name="Обычный 4 2 2 3 2 3 3" xfId="8354" xr:uid="{00000000-0005-0000-0000-0000DC1B0000}"/>
    <cellStyle name="Обычный 4 2 2 3 2 3 4" xfId="8355" xr:uid="{00000000-0005-0000-0000-0000DD1B0000}"/>
    <cellStyle name="Обычный 4 2 2 3 2 4" xfId="8356" xr:uid="{00000000-0005-0000-0000-0000DE1B0000}"/>
    <cellStyle name="Обычный 4 2 2 3 2 4 2" xfId="8357" xr:uid="{00000000-0005-0000-0000-0000DF1B0000}"/>
    <cellStyle name="Обычный 4 2 2 3 2 4 3" xfId="8358" xr:uid="{00000000-0005-0000-0000-0000E01B0000}"/>
    <cellStyle name="Обычный 4 2 2 3 2 5" xfId="8359" xr:uid="{00000000-0005-0000-0000-0000E11B0000}"/>
    <cellStyle name="Обычный 4 2 2 3 2 5 2" xfId="8360" xr:uid="{00000000-0005-0000-0000-0000E21B0000}"/>
    <cellStyle name="Обычный 4 2 2 3 2 6" xfId="8361" xr:uid="{00000000-0005-0000-0000-0000E31B0000}"/>
    <cellStyle name="Обычный 4 2 2 3 2 7" xfId="8362" xr:uid="{00000000-0005-0000-0000-0000E41B0000}"/>
    <cellStyle name="Обычный 4 2 2 3 3" xfId="8363" xr:uid="{00000000-0005-0000-0000-0000E51B0000}"/>
    <cellStyle name="Обычный 4 2 2 3 3 2" xfId="8364" xr:uid="{00000000-0005-0000-0000-0000E61B0000}"/>
    <cellStyle name="Обычный 4 2 2 3 3 2 2" xfId="8365" xr:uid="{00000000-0005-0000-0000-0000E71B0000}"/>
    <cellStyle name="Обычный 4 2 2 3 3 2 2 2" xfId="8366" xr:uid="{00000000-0005-0000-0000-0000E81B0000}"/>
    <cellStyle name="Обычный 4 2 2 3 3 2 2 3" xfId="8367" xr:uid="{00000000-0005-0000-0000-0000E91B0000}"/>
    <cellStyle name="Обычный 4 2 2 3 3 2 3" xfId="8368" xr:uid="{00000000-0005-0000-0000-0000EA1B0000}"/>
    <cellStyle name="Обычный 4 2 2 3 3 2 4" xfId="8369" xr:uid="{00000000-0005-0000-0000-0000EB1B0000}"/>
    <cellStyle name="Обычный 4 2 2 3 3 3" xfId="8370" xr:uid="{00000000-0005-0000-0000-0000EC1B0000}"/>
    <cellStyle name="Обычный 4 2 2 3 3 3 2" xfId="8371" xr:uid="{00000000-0005-0000-0000-0000ED1B0000}"/>
    <cellStyle name="Обычный 4 2 2 3 3 3 3" xfId="8372" xr:uid="{00000000-0005-0000-0000-0000EE1B0000}"/>
    <cellStyle name="Обычный 4 2 2 3 3 4" xfId="8373" xr:uid="{00000000-0005-0000-0000-0000EF1B0000}"/>
    <cellStyle name="Обычный 4 2 2 3 3 4 2" xfId="8374" xr:uid="{00000000-0005-0000-0000-0000F01B0000}"/>
    <cellStyle name="Обычный 4 2 2 3 3 5" xfId="8375" xr:uid="{00000000-0005-0000-0000-0000F11B0000}"/>
    <cellStyle name="Обычный 4 2 2 3 3 6" xfId="8376" xr:uid="{00000000-0005-0000-0000-0000F21B0000}"/>
    <cellStyle name="Обычный 4 2 2 3 4" xfId="8377" xr:uid="{00000000-0005-0000-0000-0000F31B0000}"/>
    <cellStyle name="Обычный 4 2 2 3 4 2" xfId="8378" xr:uid="{00000000-0005-0000-0000-0000F41B0000}"/>
    <cellStyle name="Обычный 4 2 2 3 4 2 2" xfId="8379" xr:uid="{00000000-0005-0000-0000-0000F51B0000}"/>
    <cellStyle name="Обычный 4 2 2 3 4 2 3" xfId="8380" xr:uid="{00000000-0005-0000-0000-0000F61B0000}"/>
    <cellStyle name="Обычный 4 2 2 3 4 3" xfId="8381" xr:uid="{00000000-0005-0000-0000-0000F71B0000}"/>
    <cellStyle name="Обычный 4 2 2 3 4 4" xfId="8382" xr:uid="{00000000-0005-0000-0000-0000F81B0000}"/>
    <cellStyle name="Обычный 4 2 2 3 5" xfId="8383" xr:uid="{00000000-0005-0000-0000-0000F91B0000}"/>
    <cellStyle name="Обычный 4 2 2 3 5 2" xfId="8384" xr:uid="{00000000-0005-0000-0000-0000FA1B0000}"/>
    <cellStyle name="Обычный 4 2 2 3 5 3" xfId="8385" xr:uid="{00000000-0005-0000-0000-0000FB1B0000}"/>
    <cellStyle name="Обычный 4 2 2 3 6" xfId="8386" xr:uid="{00000000-0005-0000-0000-0000FC1B0000}"/>
    <cellStyle name="Обычный 4 2 2 3 6 2" xfId="8387" xr:uid="{00000000-0005-0000-0000-0000FD1B0000}"/>
    <cellStyle name="Обычный 4 2 2 3 7" xfId="8388" xr:uid="{00000000-0005-0000-0000-0000FE1B0000}"/>
    <cellStyle name="Обычный 4 2 2 3 8" xfId="8389" xr:uid="{00000000-0005-0000-0000-0000FF1B0000}"/>
    <cellStyle name="Обычный 4 2 2 4" xfId="3741" xr:uid="{00000000-0005-0000-0000-0000001C0000}"/>
    <cellStyle name="Обычный 4 2 2 4 2" xfId="8390" xr:uid="{00000000-0005-0000-0000-0000011C0000}"/>
    <cellStyle name="Обычный 4 2 2 4 2 2" xfId="8391" xr:uid="{00000000-0005-0000-0000-0000021C0000}"/>
    <cellStyle name="Обычный 4 2 2 4 2 2 2" xfId="8392" xr:uid="{00000000-0005-0000-0000-0000031C0000}"/>
    <cellStyle name="Обычный 4 2 2 4 2 2 2 2" xfId="8393" xr:uid="{00000000-0005-0000-0000-0000041C0000}"/>
    <cellStyle name="Обычный 4 2 2 4 2 2 2 3" xfId="8394" xr:uid="{00000000-0005-0000-0000-0000051C0000}"/>
    <cellStyle name="Обычный 4 2 2 4 2 2 3" xfId="8395" xr:uid="{00000000-0005-0000-0000-0000061C0000}"/>
    <cellStyle name="Обычный 4 2 2 4 2 2 4" xfId="8396" xr:uid="{00000000-0005-0000-0000-0000071C0000}"/>
    <cellStyle name="Обычный 4 2 2 4 2 3" xfId="8397" xr:uid="{00000000-0005-0000-0000-0000081C0000}"/>
    <cellStyle name="Обычный 4 2 2 4 2 3 2" xfId="8398" xr:uid="{00000000-0005-0000-0000-0000091C0000}"/>
    <cellStyle name="Обычный 4 2 2 4 2 3 3" xfId="8399" xr:uid="{00000000-0005-0000-0000-00000A1C0000}"/>
    <cellStyle name="Обычный 4 2 2 4 2 4" xfId="8400" xr:uid="{00000000-0005-0000-0000-00000B1C0000}"/>
    <cellStyle name="Обычный 4 2 2 4 2 4 2" xfId="8401" xr:uid="{00000000-0005-0000-0000-00000C1C0000}"/>
    <cellStyle name="Обычный 4 2 2 4 2 5" xfId="8402" xr:uid="{00000000-0005-0000-0000-00000D1C0000}"/>
    <cellStyle name="Обычный 4 2 2 4 2 6" xfId="8403" xr:uid="{00000000-0005-0000-0000-00000E1C0000}"/>
    <cellStyle name="Обычный 4 2 2 4 3" xfId="8404" xr:uid="{00000000-0005-0000-0000-00000F1C0000}"/>
    <cellStyle name="Обычный 4 2 2 4 3 2" xfId="8405" xr:uid="{00000000-0005-0000-0000-0000101C0000}"/>
    <cellStyle name="Обычный 4 2 2 4 3 2 2" xfId="8406" xr:uid="{00000000-0005-0000-0000-0000111C0000}"/>
    <cellStyle name="Обычный 4 2 2 4 3 2 3" xfId="8407" xr:uid="{00000000-0005-0000-0000-0000121C0000}"/>
    <cellStyle name="Обычный 4 2 2 4 3 3" xfId="8408" xr:uid="{00000000-0005-0000-0000-0000131C0000}"/>
    <cellStyle name="Обычный 4 2 2 4 3 4" xfId="8409" xr:uid="{00000000-0005-0000-0000-0000141C0000}"/>
    <cellStyle name="Обычный 4 2 2 4 4" xfId="8410" xr:uid="{00000000-0005-0000-0000-0000151C0000}"/>
    <cellStyle name="Обычный 4 2 2 4 4 2" xfId="8411" xr:uid="{00000000-0005-0000-0000-0000161C0000}"/>
    <cellStyle name="Обычный 4 2 2 4 4 3" xfId="8412" xr:uid="{00000000-0005-0000-0000-0000171C0000}"/>
    <cellStyle name="Обычный 4 2 2 4 5" xfId="8413" xr:uid="{00000000-0005-0000-0000-0000181C0000}"/>
    <cellStyle name="Обычный 4 2 2 4 5 2" xfId="8414" xr:uid="{00000000-0005-0000-0000-0000191C0000}"/>
    <cellStyle name="Обычный 4 2 2 4 6" xfId="8415" xr:uid="{00000000-0005-0000-0000-00001A1C0000}"/>
    <cellStyle name="Обычный 4 2 2 4 7" xfId="8416" xr:uid="{00000000-0005-0000-0000-00001B1C0000}"/>
    <cellStyle name="Обычный 4 2 2 5" xfId="3742" xr:uid="{00000000-0005-0000-0000-00001C1C0000}"/>
    <cellStyle name="Обычный 4 2 2 5 2" xfId="8417" xr:uid="{00000000-0005-0000-0000-00001D1C0000}"/>
    <cellStyle name="Обычный 4 2 2 5 2 2" xfId="8418" xr:uid="{00000000-0005-0000-0000-00001E1C0000}"/>
    <cellStyle name="Обычный 4 2 2 5 2 2 2" xfId="8419" xr:uid="{00000000-0005-0000-0000-00001F1C0000}"/>
    <cellStyle name="Обычный 4 2 2 5 2 2 3" xfId="8420" xr:uid="{00000000-0005-0000-0000-0000201C0000}"/>
    <cellStyle name="Обычный 4 2 2 5 2 3" xfId="8421" xr:uid="{00000000-0005-0000-0000-0000211C0000}"/>
    <cellStyle name="Обычный 4 2 2 5 2 4" xfId="8422" xr:uid="{00000000-0005-0000-0000-0000221C0000}"/>
    <cellStyle name="Обычный 4 2 2 5 3" xfId="8423" xr:uid="{00000000-0005-0000-0000-0000231C0000}"/>
    <cellStyle name="Обычный 4 2 2 5 3 2" xfId="8424" xr:uid="{00000000-0005-0000-0000-0000241C0000}"/>
    <cellStyle name="Обычный 4 2 2 5 3 3" xfId="8425" xr:uid="{00000000-0005-0000-0000-0000251C0000}"/>
    <cellStyle name="Обычный 4 2 2 5 4" xfId="8426" xr:uid="{00000000-0005-0000-0000-0000261C0000}"/>
    <cellStyle name="Обычный 4 2 2 5 4 2" xfId="8427" xr:uid="{00000000-0005-0000-0000-0000271C0000}"/>
    <cellStyle name="Обычный 4 2 2 5 5" xfId="8428" xr:uid="{00000000-0005-0000-0000-0000281C0000}"/>
    <cellStyle name="Обычный 4 2 2 5 6" xfId="8429" xr:uid="{00000000-0005-0000-0000-0000291C0000}"/>
    <cellStyle name="Обычный 4 2 2 6" xfId="3743" xr:uid="{00000000-0005-0000-0000-00002A1C0000}"/>
    <cellStyle name="Обычный 4 2 2 6 2" xfId="8430" xr:uid="{00000000-0005-0000-0000-00002B1C0000}"/>
    <cellStyle name="Обычный 4 2 2 6 2 2" xfId="8431" xr:uid="{00000000-0005-0000-0000-00002C1C0000}"/>
    <cellStyle name="Обычный 4 2 2 6 2 3" xfId="8432" xr:uid="{00000000-0005-0000-0000-00002D1C0000}"/>
    <cellStyle name="Обычный 4 2 2 6 3" xfId="8433" xr:uid="{00000000-0005-0000-0000-00002E1C0000}"/>
    <cellStyle name="Обычный 4 2 2 6 4" xfId="8434" xr:uid="{00000000-0005-0000-0000-00002F1C0000}"/>
    <cellStyle name="Обычный 4 2 2 7" xfId="8435" xr:uid="{00000000-0005-0000-0000-0000301C0000}"/>
    <cellStyle name="Обычный 4 2 2 7 2" xfId="8436" xr:uid="{00000000-0005-0000-0000-0000311C0000}"/>
    <cellStyle name="Обычный 4 2 2 7 3" xfId="8437" xr:uid="{00000000-0005-0000-0000-0000321C0000}"/>
    <cellStyle name="Обычный 4 2 2 8" xfId="8438" xr:uid="{00000000-0005-0000-0000-0000331C0000}"/>
    <cellStyle name="Обычный 4 2 2 8 2" xfId="8439" xr:uid="{00000000-0005-0000-0000-0000341C0000}"/>
    <cellStyle name="Обычный 4 2 2 9" xfId="8440" xr:uid="{00000000-0005-0000-0000-0000351C0000}"/>
    <cellStyle name="Обычный 4 2 2_Свод гостин" xfId="3744" xr:uid="{00000000-0005-0000-0000-0000361C0000}"/>
    <cellStyle name="Обычный 4 2 3" xfId="3745" xr:uid="{00000000-0005-0000-0000-0000371C0000}"/>
    <cellStyle name="Обычный 4 2 3 10" xfId="8441" xr:uid="{00000000-0005-0000-0000-0000381C0000}"/>
    <cellStyle name="Обычный 4 2 3 2" xfId="3746" xr:uid="{00000000-0005-0000-0000-0000391C0000}"/>
    <cellStyle name="Обычный 4 2 3 2 2" xfId="8442" xr:uid="{00000000-0005-0000-0000-00003A1C0000}"/>
    <cellStyle name="Обычный 4 2 3 2 2 2" xfId="8443" xr:uid="{00000000-0005-0000-0000-00003B1C0000}"/>
    <cellStyle name="Обычный 4 2 3 2 2 2 2" xfId="8444" xr:uid="{00000000-0005-0000-0000-00003C1C0000}"/>
    <cellStyle name="Обычный 4 2 3 2 2 2 2 2" xfId="8445" xr:uid="{00000000-0005-0000-0000-00003D1C0000}"/>
    <cellStyle name="Обычный 4 2 3 2 2 2 2 2 2" xfId="8446" xr:uid="{00000000-0005-0000-0000-00003E1C0000}"/>
    <cellStyle name="Обычный 4 2 3 2 2 2 2 2 2 2" xfId="8447" xr:uid="{00000000-0005-0000-0000-00003F1C0000}"/>
    <cellStyle name="Обычный 4 2 3 2 2 2 2 2 2 3" xfId="8448" xr:uid="{00000000-0005-0000-0000-0000401C0000}"/>
    <cellStyle name="Обычный 4 2 3 2 2 2 2 2 3" xfId="8449" xr:uid="{00000000-0005-0000-0000-0000411C0000}"/>
    <cellStyle name="Обычный 4 2 3 2 2 2 2 2 4" xfId="8450" xr:uid="{00000000-0005-0000-0000-0000421C0000}"/>
    <cellStyle name="Обычный 4 2 3 2 2 2 2 3" xfId="8451" xr:uid="{00000000-0005-0000-0000-0000431C0000}"/>
    <cellStyle name="Обычный 4 2 3 2 2 2 2 3 2" xfId="8452" xr:uid="{00000000-0005-0000-0000-0000441C0000}"/>
    <cellStyle name="Обычный 4 2 3 2 2 2 2 3 3" xfId="8453" xr:uid="{00000000-0005-0000-0000-0000451C0000}"/>
    <cellStyle name="Обычный 4 2 3 2 2 2 2 4" xfId="8454" xr:uid="{00000000-0005-0000-0000-0000461C0000}"/>
    <cellStyle name="Обычный 4 2 3 2 2 2 2 4 2" xfId="8455" xr:uid="{00000000-0005-0000-0000-0000471C0000}"/>
    <cellStyle name="Обычный 4 2 3 2 2 2 2 5" xfId="8456" xr:uid="{00000000-0005-0000-0000-0000481C0000}"/>
    <cellStyle name="Обычный 4 2 3 2 2 2 2 6" xfId="8457" xr:uid="{00000000-0005-0000-0000-0000491C0000}"/>
    <cellStyle name="Обычный 4 2 3 2 2 2 3" xfId="8458" xr:uid="{00000000-0005-0000-0000-00004A1C0000}"/>
    <cellStyle name="Обычный 4 2 3 2 2 2 3 2" xfId="8459" xr:uid="{00000000-0005-0000-0000-00004B1C0000}"/>
    <cellStyle name="Обычный 4 2 3 2 2 2 3 2 2" xfId="8460" xr:uid="{00000000-0005-0000-0000-00004C1C0000}"/>
    <cellStyle name="Обычный 4 2 3 2 2 2 3 2 3" xfId="8461" xr:uid="{00000000-0005-0000-0000-00004D1C0000}"/>
    <cellStyle name="Обычный 4 2 3 2 2 2 3 3" xfId="8462" xr:uid="{00000000-0005-0000-0000-00004E1C0000}"/>
    <cellStyle name="Обычный 4 2 3 2 2 2 3 4" xfId="8463" xr:uid="{00000000-0005-0000-0000-00004F1C0000}"/>
    <cellStyle name="Обычный 4 2 3 2 2 2 4" xfId="8464" xr:uid="{00000000-0005-0000-0000-0000501C0000}"/>
    <cellStyle name="Обычный 4 2 3 2 2 2 4 2" xfId="8465" xr:uid="{00000000-0005-0000-0000-0000511C0000}"/>
    <cellStyle name="Обычный 4 2 3 2 2 2 4 3" xfId="8466" xr:uid="{00000000-0005-0000-0000-0000521C0000}"/>
    <cellStyle name="Обычный 4 2 3 2 2 2 5" xfId="8467" xr:uid="{00000000-0005-0000-0000-0000531C0000}"/>
    <cellStyle name="Обычный 4 2 3 2 2 2 5 2" xfId="8468" xr:uid="{00000000-0005-0000-0000-0000541C0000}"/>
    <cellStyle name="Обычный 4 2 3 2 2 2 6" xfId="8469" xr:uid="{00000000-0005-0000-0000-0000551C0000}"/>
    <cellStyle name="Обычный 4 2 3 2 2 2 7" xfId="8470" xr:uid="{00000000-0005-0000-0000-0000561C0000}"/>
    <cellStyle name="Обычный 4 2 3 2 2 3" xfId="8471" xr:uid="{00000000-0005-0000-0000-0000571C0000}"/>
    <cellStyle name="Обычный 4 2 3 2 2 3 2" xfId="8472" xr:uid="{00000000-0005-0000-0000-0000581C0000}"/>
    <cellStyle name="Обычный 4 2 3 2 2 3 2 2" xfId="8473" xr:uid="{00000000-0005-0000-0000-0000591C0000}"/>
    <cellStyle name="Обычный 4 2 3 2 2 3 2 2 2" xfId="8474" xr:uid="{00000000-0005-0000-0000-00005A1C0000}"/>
    <cellStyle name="Обычный 4 2 3 2 2 3 2 2 3" xfId="8475" xr:uid="{00000000-0005-0000-0000-00005B1C0000}"/>
    <cellStyle name="Обычный 4 2 3 2 2 3 2 3" xfId="8476" xr:uid="{00000000-0005-0000-0000-00005C1C0000}"/>
    <cellStyle name="Обычный 4 2 3 2 2 3 2 4" xfId="8477" xr:uid="{00000000-0005-0000-0000-00005D1C0000}"/>
    <cellStyle name="Обычный 4 2 3 2 2 3 3" xfId="8478" xr:uid="{00000000-0005-0000-0000-00005E1C0000}"/>
    <cellStyle name="Обычный 4 2 3 2 2 3 3 2" xfId="8479" xr:uid="{00000000-0005-0000-0000-00005F1C0000}"/>
    <cellStyle name="Обычный 4 2 3 2 2 3 3 3" xfId="8480" xr:uid="{00000000-0005-0000-0000-0000601C0000}"/>
    <cellStyle name="Обычный 4 2 3 2 2 3 4" xfId="8481" xr:uid="{00000000-0005-0000-0000-0000611C0000}"/>
    <cellStyle name="Обычный 4 2 3 2 2 3 4 2" xfId="8482" xr:uid="{00000000-0005-0000-0000-0000621C0000}"/>
    <cellStyle name="Обычный 4 2 3 2 2 3 5" xfId="8483" xr:uid="{00000000-0005-0000-0000-0000631C0000}"/>
    <cellStyle name="Обычный 4 2 3 2 2 3 6" xfId="8484" xr:uid="{00000000-0005-0000-0000-0000641C0000}"/>
    <cellStyle name="Обычный 4 2 3 2 2 4" xfId="8485" xr:uid="{00000000-0005-0000-0000-0000651C0000}"/>
    <cellStyle name="Обычный 4 2 3 2 2 4 2" xfId="8486" xr:uid="{00000000-0005-0000-0000-0000661C0000}"/>
    <cellStyle name="Обычный 4 2 3 2 2 4 2 2" xfId="8487" xr:uid="{00000000-0005-0000-0000-0000671C0000}"/>
    <cellStyle name="Обычный 4 2 3 2 2 4 2 3" xfId="8488" xr:uid="{00000000-0005-0000-0000-0000681C0000}"/>
    <cellStyle name="Обычный 4 2 3 2 2 4 3" xfId="8489" xr:uid="{00000000-0005-0000-0000-0000691C0000}"/>
    <cellStyle name="Обычный 4 2 3 2 2 4 4" xfId="8490" xr:uid="{00000000-0005-0000-0000-00006A1C0000}"/>
    <cellStyle name="Обычный 4 2 3 2 2 5" xfId="8491" xr:uid="{00000000-0005-0000-0000-00006B1C0000}"/>
    <cellStyle name="Обычный 4 2 3 2 2 5 2" xfId="8492" xr:uid="{00000000-0005-0000-0000-00006C1C0000}"/>
    <cellStyle name="Обычный 4 2 3 2 2 5 3" xfId="8493" xr:uid="{00000000-0005-0000-0000-00006D1C0000}"/>
    <cellStyle name="Обычный 4 2 3 2 2 6" xfId="8494" xr:uid="{00000000-0005-0000-0000-00006E1C0000}"/>
    <cellStyle name="Обычный 4 2 3 2 2 6 2" xfId="8495" xr:uid="{00000000-0005-0000-0000-00006F1C0000}"/>
    <cellStyle name="Обычный 4 2 3 2 2 7" xfId="8496" xr:uid="{00000000-0005-0000-0000-0000701C0000}"/>
    <cellStyle name="Обычный 4 2 3 2 2 8" xfId="8497" xr:uid="{00000000-0005-0000-0000-0000711C0000}"/>
    <cellStyle name="Обычный 4 2 3 2 3" xfId="8498" xr:uid="{00000000-0005-0000-0000-0000721C0000}"/>
    <cellStyle name="Обычный 4 2 3 2 3 2" xfId="8499" xr:uid="{00000000-0005-0000-0000-0000731C0000}"/>
    <cellStyle name="Обычный 4 2 3 2 3 2 2" xfId="8500" xr:uid="{00000000-0005-0000-0000-0000741C0000}"/>
    <cellStyle name="Обычный 4 2 3 2 3 2 2 2" xfId="8501" xr:uid="{00000000-0005-0000-0000-0000751C0000}"/>
    <cellStyle name="Обычный 4 2 3 2 3 2 2 2 2" xfId="8502" xr:uid="{00000000-0005-0000-0000-0000761C0000}"/>
    <cellStyle name="Обычный 4 2 3 2 3 2 2 2 3" xfId="8503" xr:uid="{00000000-0005-0000-0000-0000771C0000}"/>
    <cellStyle name="Обычный 4 2 3 2 3 2 2 3" xfId="8504" xr:uid="{00000000-0005-0000-0000-0000781C0000}"/>
    <cellStyle name="Обычный 4 2 3 2 3 2 2 4" xfId="8505" xr:uid="{00000000-0005-0000-0000-0000791C0000}"/>
    <cellStyle name="Обычный 4 2 3 2 3 2 3" xfId="8506" xr:uid="{00000000-0005-0000-0000-00007A1C0000}"/>
    <cellStyle name="Обычный 4 2 3 2 3 2 3 2" xfId="8507" xr:uid="{00000000-0005-0000-0000-00007B1C0000}"/>
    <cellStyle name="Обычный 4 2 3 2 3 2 3 3" xfId="8508" xr:uid="{00000000-0005-0000-0000-00007C1C0000}"/>
    <cellStyle name="Обычный 4 2 3 2 3 2 4" xfId="8509" xr:uid="{00000000-0005-0000-0000-00007D1C0000}"/>
    <cellStyle name="Обычный 4 2 3 2 3 2 4 2" xfId="8510" xr:uid="{00000000-0005-0000-0000-00007E1C0000}"/>
    <cellStyle name="Обычный 4 2 3 2 3 2 5" xfId="8511" xr:uid="{00000000-0005-0000-0000-00007F1C0000}"/>
    <cellStyle name="Обычный 4 2 3 2 3 2 6" xfId="8512" xr:uid="{00000000-0005-0000-0000-0000801C0000}"/>
    <cellStyle name="Обычный 4 2 3 2 3 3" xfId="8513" xr:uid="{00000000-0005-0000-0000-0000811C0000}"/>
    <cellStyle name="Обычный 4 2 3 2 3 3 2" xfId="8514" xr:uid="{00000000-0005-0000-0000-0000821C0000}"/>
    <cellStyle name="Обычный 4 2 3 2 3 3 2 2" xfId="8515" xr:uid="{00000000-0005-0000-0000-0000831C0000}"/>
    <cellStyle name="Обычный 4 2 3 2 3 3 2 3" xfId="8516" xr:uid="{00000000-0005-0000-0000-0000841C0000}"/>
    <cellStyle name="Обычный 4 2 3 2 3 3 3" xfId="8517" xr:uid="{00000000-0005-0000-0000-0000851C0000}"/>
    <cellStyle name="Обычный 4 2 3 2 3 3 4" xfId="8518" xr:uid="{00000000-0005-0000-0000-0000861C0000}"/>
    <cellStyle name="Обычный 4 2 3 2 3 4" xfId="8519" xr:uid="{00000000-0005-0000-0000-0000871C0000}"/>
    <cellStyle name="Обычный 4 2 3 2 3 4 2" xfId="8520" xr:uid="{00000000-0005-0000-0000-0000881C0000}"/>
    <cellStyle name="Обычный 4 2 3 2 3 4 3" xfId="8521" xr:uid="{00000000-0005-0000-0000-0000891C0000}"/>
    <cellStyle name="Обычный 4 2 3 2 3 5" xfId="8522" xr:uid="{00000000-0005-0000-0000-00008A1C0000}"/>
    <cellStyle name="Обычный 4 2 3 2 3 5 2" xfId="8523" xr:uid="{00000000-0005-0000-0000-00008B1C0000}"/>
    <cellStyle name="Обычный 4 2 3 2 3 6" xfId="8524" xr:uid="{00000000-0005-0000-0000-00008C1C0000}"/>
    <cellStyle name="Обычный 4 2 3 2 3 7" xfId="8525" xr:uid="{00000000-0005-0000-0000-00008D1C0000}"/>
    <cellStyle name="Обычный 4 2 3 2 4" xfId="8526" xr:uid="{00000000-0005-0000-0000-00008E1C0000}"/>
    <cellStyle name="Обычный 4 2 3 2 4 2" xfId="8527" xr:uid="{00000000-0005-0000-0000-00008F1C0000}"/>
    <cellStyle name="Обычный 4 2 3 2 4 2 2" xfId="8528" xr:uid="{00000000-0005-0000-0000-0000901C0000}"/>
    <cellStyle name="Обычный 4 2 3 2 4 2 2 2" xfId="8529" xr:uid="{00000000-0005-0000-0000-0000911C0000}"/>
    <cellStyle name="Обычный 4 2 3 2 4 2 2 3" xfId="8530" xr:uid="{00000000-0005-0000-0000-0000921C0000}"/>
    <cellStyle name="Обычный 4 2 3 2 4 2 3" xfId="8531" xr:uid="{00000000-0005-0000-0000-0000931C0000}"/>
    <cellStyle name="Обычный 4 2 3 2 4 2 4" xfId="8532" xr:uid="{00000000-0005-0000-0000-0000941C0000}"/>
    <cellStyle name="Обычный 4 2 3 2 4 3" xfId="8533" xr:uid="{00000000-0005-0000-0000-0000951C0000}"/>
    <cellStyle name="Обычный 4 2 3 2 4 3 2" xfId="8534" xr:uid="{00000000-0005-0000-0000-0000961C0000}"/>
    <cellStyle name="Обычный 4 2 3 2 4 3 3" xfId="8535" xr:uid="{00000000-0005-0000-0000-0000971C0000}"/>
    <cellStyle name="Обычный 4 2 3 2 4 4" xfId="8536" xr:uid="{00000000-0005-0000-0000-0000981C0000}"/>
    <cellStyle name="Обычный 4 2 3 2 4 4 2" xfId="8537" xr:uid="{00000000-0005-0000-0000-0000991C0000}"/>
    <cellStyle name="Обычный 4 2 3 2 4 5" xfId="8538" xr:uid="{00000000-0005-0000-0000-00009A1C0000}"/>
    <cellStyle name="Обычный 4 2 3 2 4 6" xfId="8539" xr:uid="{00000000-0005-0000-0000-00009B1C0000}"/>
    <cellStyle name="Обычный 4 2 3 2 5" xfId="8540" xr:uid="{00000000-0005-0000-0000-00009C1C0000}"/>
    <cellStyle name="Обычный 4 2 3 2 5 2" xfId="8541" xr:uid="{00000000-0005-0000-0000-00009D1C0000}"/>
    <cellStyle name="Обычный 4 2 3 2 5 2 2" xfId="8542" xr:uid="{00000000-0005-0000-0000-00009E1C0000}"/>
    <cellStyle name="Обычный 4 2 3 2 5 2 3" xfId="8543" xr:uid="{00000000-0005-0000-0000-00009F1C0000}"/>
    <cellStyle name="Обычный 4 2 3 2 5 3" xfId="8544" xr:uid="{00000000-0005-0000-0000-0000A01C0000}"/>
    <cellStyle name="Обычный 4 2 3 2 5 4" xfId="8545" xr:uid="{00000000-0005-0000-0000-0000A11C0000}"/>
    <cellStyle name="Обычный 4 2 3 2 6" xfId="8546" xr:uid="{00000000-0005-0000-0000-0000A21C0000}"/>
    <cellStyle name="Обычный 4 2 3 2 6 2" xfId="8547" xr:uid="{00000000-0005-0000-0000-0000A31C0000}"/>
    <cellStyle name="Обычный 4 2 3 2 6 3" xfId="8548" xr:uid="{00000000-0005-0000-0000-0000A41C0000}"/>
    <cellStyle name="Обычный 4 2 3 2 7" xfId="8549" xr:uid="{00000000-0005-0000-0000-0000A51C0000}"/>
    <cellStyle name="Обычный 4 2 3 2 7 2" xfId="8550" xr:uid="{00000000-0005-0000-0000-0000A61C0000}"/>
    <cellStyle name="Обычный 4 2 3 2 8" xfId="8551" xr:uid="{00000000-0005-0000-0000-0000A71C0000}"/>
    <cellStyle name="Обычный 4 2 3 2 9" xfId="8552" xr:uid="{00000000-0005-0000-0000-0000A81C0000}"/>
    <cellStyle name="Обычный 4 2 3 3" xfId="3747" xr:uid="{00000000-0005-0000-0000-0000A91C0000}"/>
    <cellStyle name="Обычный 4 2 3 3 2" xfId="8553" xr:uid="{00000000-0005-0000-0000-0000AA1C0000}"/>
    <cellStyle name="Обычный 4 2 3 3 2 2" xfId="8554" xr:uid="{00000000-0005-0000-0000-0000AB1C0000}"/>
    <cellStyle name="Обычный 4 2 3 3 2 2 2" xfId="8555" xr:uid="{00000000-0005-0000-0000-0000AC1C0000}"/>
    <cellStyle name="Обычный 4 2 3 3 2 2 2 2" xfId="8556" xr:uid="{00000000-0005-0000-0000-0000AD1C0000}"/>
    <cellStyle name="Обычный 4 2 3 3 2 2 2 2 2" xfId="8557" xr:uid="{00000000-0005-0000-0000-0000AE1C0000}"/>
    <cellStyle name="Обычный 4 2 3 3 2 2 2 2 3" xfId="8558" xr:uid="{00000000-0005-0000-0000-0000AF1C0000}"/>
    <cellStyle name="Обычный 4 2 3 3 2 2 2 3" xfId="8559" xr:uid="{00000000-0005-0000-0000-0000B01C0000}"/>
    <cellStyle name="Обычный 4 2 3 3 2 2 2 4" xfId="8560" xr:uid="{00000000-0005-0000-0000-0000B11C0000}"/>
    <cellStyle name="Обычный 4 2 3 3 2 2 3" xfId="8561" xr:uid="{00000000-0005-0000-0000-0000B21C0000}"/>
    <cellStyle name="Обычный 4 2 3 3 2 2 3 2" xfId="8562" xr:uid="{00000000-0005-0000-0000-0000B31C0000}"/>
    <cellStyle name="Обычный 4 2 3 3 2 2 3 3" xfId="8563" xr:uid="{00000000-0005-0000-0000-0000B41C0000}"/>
    <cellStyle name="Обычный 4 2 3 3 2 2 4" xfId="8564" xr:uid="{00000000-0005-0000-0000-0000B51C0000}"/>
    <cellStyle name="Обычный 4 2 3 3 2 2 4 2" xfId="8565" xr:uid="{00000000-0005-0000-0000-0000B61C0000}"/>
    <cellStyle name="Обычный 4 2 3 3 2 2 5" xfId="8566" xr:uid="{00000000-0005-0000-0000-0000B71C0000}"/>
    <cellStyle name="Обычный 4 2 3 3 2 2 6" xfId="8567" xr:uid="{00000000-0005-0000-0000-0000B81C0000}"/>
    <cellStyle name="Обычный 4 2 3 3 2 3" xfId="8568" xr:uid="{00000000-0005-0000-0000-0000B91C0000}"/>
    <cellStyle name="Обычный 4 2 3 3 2 3 2" xfId="8569" xr:uid="{00000000-0005-0000-0000-0000BA1C0000}"/>
    <cellStyle name="Обычный 4 2 3 3 2 3 2 2" xfId="8570" xr:uid="{00000000-0005-0000-0000-0000BB1C0000}"/>
    <cellStyle name="Обычный 4 2 3 3 2 3 2 3" xfId="8571" xr:uid="{00000000-0005-0000-0000-0000BC1C0000}"/>
    <cellStyle name="Обычный 4 2 3 3 2 3 3" xfId="8572" xr:uid="{00000000-0005-0000-0000-0000BD1C0000}"/>
    <cellStyle name="Обычный 4 2 3 3 2 3 4" xfId="8573" xr:uid="{00000000-0005-0000-0000-0000BE1C0000}"/>
    <cellStyle name="Обычный 4 2 3 3 2 4" xfId="8574" xr:uid="{00000000-0005-0000-0000-0000BF1C0000}"/>
    <cellStyle name="Обычный 4 2 3 3 2 4 2" xfId="8575" xr:uid="{00000000-0005-0000-0000-0000C01C0000}"/>
    <cellStyle name="Обычный 4 2 3 3 2 4 3" xfId="8576" xr:uid="{00000000-0005-0000-0000-0000C11C0000}"/>
    <cellStyle name="Обычный 4 2 3 3 2 5" xfId="8577" xr:uid="{00000000-0005-0000-0000-0000C21C0000}"/>
    <cellStyle name="Обычный 4 2 3 3 2 5 2" xfId="8578" xr:uid="{00000000-0005-0000-0000-0000C31C0000}"/>
    <cellStyle name="Обычный 4 2 3 3 2 6" xfId="8579" xr:uid="{00000000-0005-0000-0000-0000C41C0000}"/>
    <cellStyle name="Обычный 4 2 3 3 2 7" xfId="8580" xr:uid="{00000000-0005-0000-0000-0000C51C0000}"/>
    <cellStyle name="Обычный 4 2 3 3 3" xfId="8581" xr:uid="{00000000-0005-0000-0000-0000C61C0000}"/>
    <cellStyle name="Обычный 4 2 3 3 3 2" xfId="8582" xr:uid="{00000000-0005-0000-0000-0000C71C0000}"/>
    <cellStyle name="Обычный 4 2 3 3 3 2 2" xfId="8583" xr:uid="{00000000-0005-0000-0000-0000C81C0000}"/>
    <cellStyle name="Обычный 4 2 3 3 3 2 2 2" xfId="8584" xr:uid="{00000000-0005-0000-0000-0000C91C0000}"/>
    <cellStyle name="Обычный 4 2 3 3 3 2 2 3" xfId="8585" xr:uid="{00000000-0005-0000-0000-0000CA1C0000}"/>
    <cellStyle name="Обычный 4 2 3 3 3 2 3" xfId="8586" xr:uid="{00000000-0005-0000-0000-0000CB1C0000}"/>
    <cellStyle name="Обычный 4 2 3 3 3 2 4" xfId="8587" xr:uid="{00000000-0005-0000-0000-0000CC1C0000}"/>
    <cellStyle name="Обычный 4 2 3 3 3 3" xfId="8588" xr:uid="{00000000-0005-0000-0000-0000CD1C0000}"/>
    <cellStyle name="Обычный 4 2 3 3 3 3 2" xfId="8589" xr:uid="{00000000-0005-0000-0000-0000CE1C0000}"/>
    <cellStyle name="Обычный 4 2 3 3 3 3 3" xfId="8590" xr:uid="{00000000-0005-0000-0000-0000CF1C0000}"/>
    <cellStyle name="Обычный 4 2 3 3 3 4" xfId="8591" xr:uid="{00000000-0005-0000-0000-0000D01C0000}"/>
    <cellStyle name="Обычный 4 2 3 3 3 4 2" xfId="8592" xr:uid="{00000000-0005-0000-0000-0000D11C0000}"/>
    <cellStyle name="Обычный 4 2 3 3 3 5" xfId="8593" xr:uid="{00000000-0005-0000-0000-0000D21C0000}"/>
    <cellStyle name="Обычный 4 2 3 3 3 6" xfId="8594" xr:uid="{00000000-0005-0000-0000-0000D31C0000}"/>
    <cellStyle name="Обычный 4 2 3 3 4" xfId="8595" xr:uid="{00000000-0005-0000-0000-0000D41C0000}"/>
    <cellStyle name="Обычный 4 2 3 3 4 2" xfId="8596" xr:uid="{00000000-0005-0000-0000-0000D51C0000}"/>
    <cellStyle name="Обычный 4 2 3 3 4 2 2" xfId="8597" xr:uid="{00000000-0005-0000-0000-0000D61C0000}"/>
    <cellStyle name="Обычный 4 2 3 3 4 2 3" xfId="8598" xr:uid="{00000000-0005-0000-0000-0000D71C0000}"/>
    <cellStyle name="Обычный 4 2 3 3 4 3" xfId="8599" xr:uid="{00000000-0005-0000-0000-0000D81C0000}"/>
    <cellStyle name="Обычный 4 2 3 3 4 4" xfId="8600" xr:uid="{00000000-0005-0000-0000-0000D91C0000}"/>
    <cellStyle name="Обычный 4 2 3 3 5" xfId="8601" xr:uid="{00000000-0005-0000-0000-0000DA1C0000}"/>
    <cellStyle name="Обычный 4 2 3 3 5 2" xfId="8602" xr:uid="{00000000-0005-0000-0000-0000DB1C0000}"/>
    <cellStyle name="Обычный 4 2 3 3 5 3" xfId="8603" xr:uid="{00000000-0005-0000-0000-0000DC1C0000}"/>
    <cellStyle name="Обычный 4 2 3 3 6" xfId="8604" xr:uid="{00000000-0005-0000-0000-0000DD1C0000}"/>
    <cellStyle name="Обычный 4 2 3 3 6 2" xfId="8605" xr:uid="{00000000-0005-0000-0000-0000DE1C0000}"/>
    <cellStyle name="Обычный 4 2 3 3 7" xfId="8606" xr:uid="{00000000-0005-0000-0000-0000DF1C0000}"/>
    <cellStyle name="Обычный 4 2 3 3 8" xfId="8607" xr:uid="{00000000-0005-0000-0000-0000E01C0000}"/>
    <cellStyle name="Обычный 4 2 3 4" xfId="8608" xr:uid="{00000000-0005-0000-0000-0000E11C0000}"/>
    <cellStyle name="Обычный 4 2 3 4 2" xfId="8609" xr:uid="{00000000-0005-0000-0000-0000E21C0000}"/>
    <cellStyle name="Обычный 4 2 3 4 2 2" xfId="8610" xr:uid="{00000000-0005-0000-0000-0000E31C0000}"/>
    <cellStyle name="Обычный 4 2 3 4 2 2 2" xfId="8611" xr:uid="{00000000-0005-0000-0000-0000E41C0000}"/>
    <cellStyle name="Обычный 4 2 3 4 2 2 2 2" xfId="8612" xr:uid="{00000000-0005-0000-0000-0000E51C0000}"/>
    <cellStyle name="Обычный 4 2 3 4 2 2 2 3" xfId="8613" xr:uid="{00000000-0005-0000-0000-0000E61C0000}"/>
    <cellStyle name="Обычный 4 2 3 4 2 2 3" xfId="8614" xr:uid="{00000000-0005-0000-0000-0000E71C0000}"/>
    <cellStyle name="Обычный 4 2 3 4 2 2 4" xfId="8615" xr:uid="{00000000-0005-0000-0000-0000E81C0000}"/>
    <cellStyle name="Обычный 4 2 3 4 2 3" xfId="8616" xr:uid="{00000000-0005-0000-0000-0000E91C0000}"/>
    <cellStyle name="Обычный 4 2 3 4 2 3 2" xfId="8617" xr:uid="{00000000-0005-0000-0000-0000EA1C0000}"/>
    <cellStyle name="Обычный 4 2 3 4 2 3 3" xfId="8618" xr:uid="{00000000-0005-0000-0000-0000EB1C0000}"/>
    <cellStyle name="Обычный 4 2 3 4 2 4" xfId="8619" xr:uid="{00000000-0005-0000-0000-0000EC1C0000}"/>
    <cellStyle name="Обычный 4 2 3 4 2 4 2" xfId="8620" xr:uid="{00000000-0005-0000-0000-0000ED1C0000}"/>
    <cellStyle name="Обычный 4 2 3 4 2 5" xfId="8621" xr:uid="{00000000-0005-0000-0000-0000EE1C0000}"/>
    <cellStyle name="Обычный 4 2 3 4 2 6" xfId="8622" xr:uid="{00000000-0005-0000-0000-0000EF1C0000}"/>
    <cellStyle name="Обычный 4 2 3 4 3" xfId="8623" xr:uid="{00000000-0005-0000-0000-0000F01C0000}"/>
    <cellStyle name="Обычный 4 2 3 4 3 2" xfId="8624" xr:uid="{00000000-0005-0000-0000-0000F11C0000}"/>
    <cellStyle name="Обычный 4 2 3 4 3 2 2" xfId="8625" xr:uid="{00000000-0005-0000-0000-0000F21C0000}"/>
    <cellStyle name="Обычный 4 2 3 4 3 2 3" xfId="8626" xr:uid="{00000000-0005-0000-0000-0000F31C0000}"/>
    <cellStyle name="Обычный 4 2 3 4 3 3" xfId="8627" xr:uid="{00000000-0005-0000-0000-0000F41C0000}"/>
    <cellStyle name="Обычный 4 2 3 4 3 4" xfId="8628" xr:uid="{00000000-0005-0000-0000-0000F51C0000}"/>
    <cellStyle name="Обычный 4 2 3 4 4" xfId="8629" xr:uid="{00000000-0005-0000-0000-0000F61C0000}"/>
    <cellStyle name="Обычный 4 2 3 4 4 2" xfId="8630" xr:uid="{00000000-0005-0000-0000-0000F71C0000}"/>
    <cellStyle name="Обычный 4 2 3 4 4 3" xfId="8631" xr:uid="{00000000-0005-0000-0000-0000F81C0000}"/>
    <cellStyle name="Обычный 4 2 3 4 5" xfId="8632" xr:uid="{00000000-0005-0000-0000-0000F91C0000}"/>
    <cellStyle name="Обычный 4 2 3 4 5 2" xfId="8633" xr:uid="{00000000-0005-0000-0000-0000FA1C0000}"/>
    <cellStyle name="Обычный 4 2 3 4 6" xfId="8634" xr:uid="{00000000-0005-0000-0000-0000FB1C0000}"/>
    <cellStyle name="Обычный 4 2 3 4 7" xfId="8635" xr:uid="{00000000-0005-0000-0000-0000FC1C0000}"/>
    <cellStyle name="Обычный 4 2 3 5" xfId="8636" xr:uid="{00000000-0005-0000-0000-0000FD1C0000}"/>
    <cellStyle name="Обычный 4 2 3 5 2" xfId="8637" xr:uid="{00000000-0005-0000-0000-0000FE1C0000}"/>
    <cellStyle name="Обычный 4 2 3 5 2 2" xfId="8638" xr:uid="{00000000-0005-0000-0000-0000FF1C0000}"/>
    <cellStyle name="Обычный 4 2 3 5 2 2 2" xfId="8639" xr:uid="{00000000-0005-0000-0000-0000001D0000}"/>
    <cellStyle name="Обычный 4 2 3 5 2 2 3" xfId="8640" xr:uid="{00000000-0005-0000-0000-0000011D0000}"/>
    <cellStyle name="Обычный 4 2 3 5 2 3" xfId="8641" xr:uid="{00000000-0005-0000-0000-0000021D0000}"/>
    <cellStyle name="Обычный 4 2 3 5 2 4" xfId="8642" xr:uid="{00000000-0005-0000-0000-0000031D0000}"/>
    <cellStyle name="Обычный 4 2 3 5 3" xfId="8643" xr:uid="{00000000-0005-0000-0000-0000041D0000}"/>
    <cellStyle name="Обычный 4 2 3 5 3 2" xfId="8644" xr:uid="{00000000-0005-0000-0000-0000051D0000}"/>
    <cellStyle name="Обычный 4 2 3 5 3 3" xfId="8645" xr:uid="{00000000-0005-0000-0000-0000061D0000}"/>
    <cellStyle name="Обычный 4 2 3 5 4" xfId="8646" xr:uid="{00000000-0005-0000-0000-0000071D0000}"/>
    <cellStyle name="Обычный 4 2 3 5 4 2" xfId="8647" xr:uid="{00000000-0005-0000-0000-0000081D0000}"/>
    <cellStyle name="Обычный 4 2 3 5 5" xfId="8648" xr:uid="{00000000-0005-0000-0000-0000091D0000}"/>
    <cellStyle name="Обычный 4 2 3 5 6" xfId="8649" xr:uid="{00000000-0005-0000-0000-00000A1D0000}"/>
    <cellStyle name="Обычный 4 2 3 6" xfId="8650" xr:uid="{00000000-0005-0000-0000-00000B1D0000}"/>
    <cellStyle name="Обычный 4 2 3 6 2" xfId="8651" xr:uid="{00000000-0005-0000-0000-00000C1D0000}"/>
    <cellStyle name="Обычный 4 2 3 6 2 2" xfId="8652" xr:uid="{00000000-0005-0000-0000-00000D1D0000}"/>
    <cellStyle name="Обычный 4 2 3 6 2 3" xfId="8653" xr:uid="{00000000-0005-0000-0000-00000E1D0000}"/>
    <cellStyle name="Обычный 4 2 3 6 3" xfId="8654" xr:uid="{00000000-0005-0000-0000-00000F1D0000}"/>
    <cellStyle name="Обычный 4 2 3 6 4" xfId="8655" xr:uid="{00000000-0005-0000-0000-0000101D0000}"/>
    <cellStyle name="Обычный 4 2 3 7" xfId="8656" xr:uid="{00000000-0005-0000-0000-0000111D0000}"/>
    <cellStyle name="Обычный 4 2 3 7 2" xfId="8657" xr:uid="{00000000-0005-0000-0000-0000121D0000}"/>
    <cellStyle name="Обычный 4 2 3 7 3" xfId="8658" xr:uid="{00000000-0005-0000-0000-0000131D0000}"/>
    <cellStyle name="Обычный 4 2 3 8" xfId="8659" xr:uid="{00000000-0005-0000-0000-0000141D0000}"/>
    <cellStyle name="Обычный 4 2 3 8 2" xfId="8660" xr:uid="{00000000-0005-0000-0000-0000151D0000}"/>
    <cellStyle name="Обычный 4 2 3 9" xfId="8661" xr:uid="{00000000-0005-0000-0000-0000161D0000}"/>
    <cellStyle name="Обычный 4 2 3_Свод гостин" xfId="3748" xr:uid="{00000000-0005-0000-0000-0000171D0000}"/>
    <cellStyle name="Обычный 4 2 4" xfId="3749" xr:uid="{00000000-0005-0000-0000-0000181D0000}"/>
    <cellStyle name="Обычный 4 2 4 10" xfId="8662" xr:uid="{00000000-0005-0000-0000-0000191D0000}"/>
    <cellStyle name="Обычный 4 2 4 11" xfId="8663" xr:uid="{00000000-0005-0000-0000-00001A1D0000}"/>
    <cellStyle name="Обычный 4 2 4 2" xfId="3750" xr:uid="{00000000-0005-0000-0000-00001B1D0000}"/>
    <cellStyle name="Обычный 4 2 4 2 2" xfId="8664" xr:uid="{00000000-0005-0000-0000-00001C1D0000}"/>
    <cellStyle name="Обычный 4 2 4 2 2 2" xfId="8665" xr:uid="{00000000-0005-0000-0000-00001D1D0000}"/>
    <cellStyle name="Обычный 4 2 4 2 2 2 2" xfId="8666" xr:uid="{00000000-0005-0000-0000-00001E1D0000}"/>
    <cellStyle name="Обычный 4 2 4 2 2 2 2 2" xfId="8667" xr:uid="{00000000-0005-0000-0000-00001F1D0000}"/>
    <cellStyle name="Обычный 4 2 4 2 2 2 2 2 2" xfId="8668" xr:uid="{00000000-0005-0000-0000-0000201D0000}"/>
    <cellStyle name="Обычный 4 2 4 2 2 2 2 2 2 2" xfId="8669" xr:uid="{00000000-0005-0000-0000-0000211D0000}"/>
    <cellStyle name="Обычный 4 2 4 2 2 2 2 2 2 3" xfId="8670" xr:uid="{00000000-0005-0000-0000-0000221D0000}"/>
    <cellStyle name="Обычный 4 2 4 2 2 2 2 2 3" xfId="8671" xr:uid="{00000000-0005-0000-0000-0000231D0000}"/>
    <cellStyle name="Обычный 4 2 4 2 2 2 2 2 4" xfId="8672" xr:uid="{00000000-0005-0000-0000-0000241D0000}"/>
    <cellStyle name="Обычный 4 2 4 2 2 2 2 3" xfId="8673" xr:uid="{00000000-0005-0000-0000-0000251D0000}"/>
    <cellStyle name="Обычный 4 2 4 2 2 2 2 3 2" xfId="8674" xr:uid="{00000000-0005-0000-0000-0000261D0000}"/>
    <cellStyle name="Обычный 4 2 4 2 2 2 2 3 3" xfId="8675" xr:uid="{00000000-0005-0000-0000-0000271D0000}"/>
    <cellStyle name="Обычный 4 2 4 2 2 2 2 4" xfId="8676" xr:uid="{00000000-0005-0000-0000-0000281D0000}"/>
    <cellStyle name="Обычный 4 2 4 2 2 2 2 4 2" xfId="8677" xr:uid="{00000000-0005-0000-0000-0000291D0000}"/>
    <cellStyle name="Обычный 4 2 4 2 2 2 2 5" xfId="8678" xr:uid="{00000000-0005-0000-0000-00002A1D0000}"/>
    <cellStyle name="Обычный 4 2 4 2 2 2 2 6" xfId="8679" xr:uid="{00000000-0005-0000-0000-00002B1D0000}"/>
    <cellStyle name="Обычный 4 2 4 2 2 2 3" xfId="8680" xr:uid="{00000000-0005-0000-0000-00002C1D0000}"/>
    <cellStyle name="Обычный 4 2 4 2 2 2 3 2" xfId="8681" xr:uid="{00000000-0005-0000-0000-00002D1D0000}"/>
    <cellStyle name="Обычный 4 2 4 2 2 2 3 2 2" xfId="8682" xr:uid="{00000000-0005-0000-0000-00002E1D0000}"/>
    <cellStyle name="Обычный 4 2 4 2 2 2 3 2 3" xfId="8683" xr:uid="{00000000-0005-0000-0000-00002F1D0000}"/>
    <cellStyle name="Обычный 4 2 4 2 2 2 3 3" xfId="8684" xr:uid="{00000000-0005-0000-0000-0000301D0000}"/>
    <cellStyle name="Обычный 4 2 4 2 2 2 3 4" xfId="8685" xr:uid="{00000000-0005-0000-0000-0000311D0000}"/>
    <cellStyle name="Обычный 4 2 4 2 2 2 4" xfId="8686" xr:uid="{00000000-0005-0000-0000-0000321D0000}"/>
    <cellStyle name="Обычный 4 2 4 2 2 2 4 2" xfId="8687" xr:uid="{00000000-0005-0000-0000-0000331D0000}"/>
    <cellStyle name="Обычный 4 2 4 2 2 2 4 3" xfId="8688" xr:uid="{00000000-0005-0000-0000-0000341D0000}"/>
    <cellStyle name="Обычный 4 2 4 2 2 2 5" xfId="8689" xr:uid="{00000000-0005-0000-0000-0000351D0000}"/>
    <cellStyle name="Обычный 4 2 4 2 2 2 5 2" xfId="8690" xr:uid="{00000000-0005-0000-0000-0000361D0000}"/>
    <cellStyle name="Обычный 4 2 4 2 2 2 6" xfId="8691" xr:uid="{00000000-0005-0000-0000-0000371D0000}"/>
    <cellStyle name="Обычный 4 2 4 2 2 2 7" xfId="8692" xr:uid="{00000000-0005-0000-0000-0000381D0000}"/>
    <cellStyle name="Обычный 4 2 4 2 2 3" xfId="8693" xr:uid="{00000000-0005-0000-0000-0000391D0000}"/>
    <cellStyle name="Обычный 4 2 4 2 2 3 2" xfId="8694" xr:uid="{00000000-0005-0000-0000-00003A1D0000}"/>
    <cellStyle name="Обычный 4 2 4 2 2 3 2 2" xfId="8695" xr:uid="{00000000-0005-0000-0000-00003B1D0000}"/>
    <cellStyle name="Обычный 4 2 4 2 2 3 2 2 2" xfId="8696" xr:uid="{00000000-0005-0000-0000-00003C1D0000}"/>
    <cellStyle name="Обычный 4 2 4 2 2 3 2 2 3" xfId="8697" xr:uid="{00000000-0005-0000-0000-00003D1D0000}"/>
    <cellStyle name="Обычный 4 2 4 2 2 3 2 3" xfId="8698" xr:uid="{00000000-0005-0000-0000-00003E1D0000}"/>
    <cellStyle name="Обычный 4 2 4 2 2 3 2 4" xfId="8699" xr:uid="{00000000-0005-0000-0000-00003F1D0000}"/>
    <cellStyle name="Обычный 4 2 4 2 2 3 3" xfId="8700" xr:uid="{00000000-0005-0000-0000-0000401D0000}"/>
    <cellStyle name="Обычный 4 2 4 2 2 3 3 2" xfId="8701" xr:uid="{00000000-0005-0000-0000-0000411D0000}"/>
    <cellStyle name="Обычный 4 2 4 2 2 3 3 3" xfId="8702" xr:uid="{00000000-0005-0000-0000-0000421D0000}"/>
    <cellStyle name="Обычный 4 2 4 2 2 3 4" xfId="8703" xr:uid="{00000000-0005-0000-0000-0000431D0000}"/>
    <cellStyle name="Обычный 4 2 4 2 2 3 4 2" xfId="8704" xr:uid="{00000000-0005-0000-0000-0000441D0000}"/>
    <cellStyle name="Обычный 4 2 4 2 2 3 5" xfId="8705" xr:uid="{00000000-0005-0000-0000-0000451D0000}"/>
    <cellStyle name="Обычный 4 2 4 2 2 3 6" xfId="8706" xr:uid="{00000000-0005-0000-0000-0000461D0000}"/>
    <cellStyle name="Обычный 4 2 4 2 2 4" xfId="8707" xr:uid="{00000000-0005-0000-0000-0000471D0000}"/>
    <cellStyle name="Обычный 4 2 4 2 2 4 2" xfId="8708" xr:uid="{00000000-0005-0000-0000-0000481D0000}"/>
    <cellStyle name="Обычный 4 2 4 2 2 4 2 2" xfId="8709" xr:uid="{00000000-0005-0000-0000-0000491D0000}"/>
    <cellStyle name="Обычный 4 2 4 2 2 4 2 3" xfId="8710" xr:uid="{00000000-0005-0000-0000-00004A1D0000}"/>
    <cellStyle name="Обычный 4 2 4 2 2 4 3" xfId="8711" xr:uid="{00000000-0005-0000-0000-00004B1D0000}"/>
    <cellStyle name="Обычный 4 2 4 2 2 4 4" xfId="8712" xr:uid="{00000000-0005-0000-0000-00004C1D0000}"/>
    <cellStyle name="Обычный 4 2 4 2 2 5" xfId="8713" xr:uid="{00000000-0005-0000-0000-00004D1D0000}"/>
    <cellStyle name="Обычный 4 2 4 2 2 5 2" xfId="8714" xr:uid="{00000000-0005-0000-0000-00004E1D0000}"/>
    <cellStyle name="Обычный 4 2 4 2 2 5 3" xfId="8715" xr:uid="{00000000-0005-0000-0000-00004F1D0000}"/>
    <cellStyle name="Обычный 4 2 4 2 2 6" xfId="8716" xr:uid="{00000000-0005-0000-0000-0000501D0000}"/>
    <cellStyle name="Обычный 4 2 4 2 2 6 2" xfId="8717" xr:uid="{00000000-0005-0000-0000-0000511D0000}"/>
    <cellStyle name="Обычный 4 2 4 2 2 7" xfId="8718" xr:uid="{00000000-0005-0000-0000-0000521D0000}"/>
    <cellStyle name="Обычный 4 2 4 2 2 8" xfId="8719" xr:uid="{00000000-0005-0000-0000-0000531D0000}"/>
    <cellStyle name="Обычный 4 2 4 2 3" xfId="8720" xr:uid="{00000000-0005-0000-0000-0000541D0000}"/>
    <cellStyle name="Обычный 4 2 4 2 3 2" xfId="8721" xr:uid="{00000000-0005-0000-0000-0000551D0000}"/>
    <cellStyle name="Обычный 4 2 4 2 3 2 2" xfId="8722" xr:uid="{00000000-0005-0000-0000-0000561D0000}"/>
    <cellStyle name="Обычный 4 2 4 2 3 2 2 2" xfId="8723" xr:uid="{00000000-0005-0000-0000-0000571D0000}"/>
    <cellStyle name="Обычный 4 2 4 2 3 2 2 2 2" xfId="8724" xr:uid="{00000000-0005-0000-0000-0000581D0000}"/>
    <cellStyle name="Обычный 4 2 4 2 3 2 2 2 3" xfId="8725" xr:uid="{00000000-0005-0000-0000-0000591D0000}"/>
    <cellStyle name="Обычный 4 2 4 2 3 2 2 3" xfId="8726" xr:uid="{00000000-0005-0000-0000-00005A1D0000}"/>
    <cellStyle name="Обычный 4 2 4 2 3 2 2 4" xfId="8727" xr:uid="{00000000-0005-0000-0000-00005B1D0000}"/>
    <cellStyle name="Обычный 4 2 4 2 3 2 3" xfId="8728" xr:uid="{00000000-0005-0000-0000-00005C1D0000}"/>
    <cellStyle name="Обычный 4 2 4 2 3 2 3 2" xfId="8729" xr:uid="{00000000-0005-0000-0000-00005D1D0000}"/>
    <cellStyle name="Обычный 4 2 4 2 3 2 3 3" xfId="8730" xr:uid="{00000000-0005-0000-0000-00005E1D0000}"/>
    <cellStyle name="Обычный 4 2 4 2 3 2 4" xfId="8731" xr:uid="{00000000-0005-0000-0000-00005F1D0000}"/>
    <cellStyle name="Обычный 4 2 4 2 3 2 4 2" xfId="8732" xr:uid="{00000000-0005-0000-0000-0000601D0000}"/>
    <cellStyle name="Обычный 4 2 4 2 3 2 5" xfId="8733" xr:uid="{00000000-0005-0000-0000-0000611D0000}"/>
    <cellStyle name="Обычный 4 2 4 2 3 2 6" xfId="8734" xr:uid="{00000000-0005-0000-0000-0000621D0000}"/>
    <cellStyle name="Обычный 4 2 4 2 3 3" xfId="8735" xr:uid="{00000000-0005-0000-0000-0000631D0000}"/>
    <cellStyle name="Обычный 4 2 4 2 3 3 2" xfId="8736" xr:uid="{00000000-0005-0000-0000-0000641D0000}"/>
    <cellStyle name="Обычный 4 2 4 2 3 3 2 2" xfId="8737" xr:uid="{00000000-0005-0000-0000-0000651D0000}"/>
    <cellStyle name="Обычный 4 2 4 2 3 3 2 3" xfId="8738" xr:uid="{00000000-0005-0000-0000-0000661D0000}"/>
    <cellStyle name="Обычный 4 2 4 2 3 3 3" xfId="8739" xr:uid="{00000000-0005-0000-0000-0000671D0000}"/>
    <cellStyle name="Обычный 4 2 4 2 3 3 4" xfId="8740" xr:uid="{00000000-0005-0000-0000-0000681D0000}"/>
    <cellStyle name="Обычный 4 2 4 2 3 4" xfId="8741" xr:uid="{00000000-0005-0000-0000-0000691D0000}"/>
    <cellStyle name="Обычный 4 2 4 2 3 4 2" xfId="8742" xr:uid="{00000000-0005-0000-0000-00006A1D0000}"/>
    <cellStyle name="Обычный 4 2 4 2 3 4 3" xfId="8743" xr:uid="{00000000-0005-0000-0000-00006B1D0000}"/>
    <cellStyle name="Обычный 4 2 4 2 3 5" xfId="8744" xr:uid="{00000000-0005-0000-0000-00006C1D0000}"/>
    <cellStyle name="Обычный 4 2 4 2 3 5 2" xfId="8745" xr:uid="{00000000-0005-0000-0000-00006D1D0000}"/>
    <cellStyle name="Обычный 4 2 4 2 3 6" xfId="8746" xr:uid="{00000000-0005-0000-0000-00006E1D0000}"/>
    <cellStyle name="Обычный 4 2 4 2 3 7" xfId="8747" xr:uid="{00000000-0005-0000-0000-00006F1D0000}"/>
    <cellStyle name="Обычный 4 2 4 2 4" xfId="8748" xr:uid="{00000000-0005-0000-0000-0000701D0000}"/>
    <cellStyle name="Обычный 4 2 4 2 4 2" xfId="8749" xr:uid="{00000000-0005-0000-0000-0000711D0000}"/>
    <cellStyle name="Обычный 4 2 4 2 4 2 2" xfId="8750" xr:uid="{00000000-0005-0000-0000-0000721D0000}"/>
    <cellStyle name="Обычный 4 2 4 2 4 2 2 2" xfId="8751" xr:uid="{00000000-0005-0000-0000-0000731D0000}"/>
    <cellStyle name="Обычный 4 2 4 2 4 2 2 3" xfId="8752" xr:uid="{00000000-0005-0000-0000-0000741D0000}"/>
    <cellStyle name="Обычный 4 2 4 2 4 2 3" xfId="8753" xr:uid="{00000000-0005-0000-0000-0000751D0000}"/>
    <cellStyle name="Обычный 4 2 4 2 4 2 4" xfId="8754" xr:uid="{00000000-0005-0000-0000-0000761D0000}"/>
    <cellStyle name="Обычный 4 2 4 2 4 3" xfId="8755" xr:uid="{00000000-0005-0000-0000-0000771D0000}"/>
    <cellStyle name="Обычный 4 2 4 2 4 3 2" xfId="8756" xr:uid="{00000000-0005-0000-0000-0000781D0000}"/>
    <cellStyle name="Обычный 4 2 4 2 4 3 3" xfId="8757" xr:uid="{00000000-0005-0000-0000-0000791D0000}"/>
    <cellStyle name="Обычный 4 2 4 2 4 4" xfId="8758" xr:uid="{00000000-0005-0000-0000-00007A1D0000}"/>
    <cellStyle name="Обычный 4 2 4 2 4 4 2" xfId="8759" xr:uid="{00000000-0005-0000-0000-00007B1D0000}"/>
    <cellStyle name="Обычный 4 2 4 2 4 5" xfId="8760" xr:uid="{00000000-0005-0000-0000-00007C1D0000}"/>
    <cellStyle name="Обычный 4 2 4 2 4 6" xfId="8761" xr:uid="{00000000-0005-0000-0000-00007D1D0000}"/>
    <cellStyle name="Обычный 4 2 4 2 5" xfId="8762" xr:uid="{00000000-0005-0000-0000-00007E1D0000}"/>
    <cellStyle name="Обычный 4 2 4 2 5 2" xfId="8763" xr:uid="{00000000-0005-0000-0000-00007F1D0000}"/>
    <cellStyle name="Обычный 4 2 4 2 5 2 2" xfId="8764" xr:uid="{00000000-0005-0000-0000-0000801D0000}"/>
    <cellStyle name="Обычный 4 2 4 2 5 2 3" xfId="8765" xr:uid="{00000000-0005-0000-0000-0000811D0000}"/>
    <cellStyle name="Обычный 4 2 4 2 5 3" xfId="8766" xr:uid="{00000000-0005-0000-0000-0000821D0000}"/>
    <cellStyle name="Обычный 4 2 4 2 5 4" xfId="8767" xr:uid="{00000000-0005-0000-0000-0000831D0000}"/>
    <cellStyle name="Обычный 4 2 4 2 6" xfId="8768" xr:uid="{00000000-0005-0000-0000-0000841D0000}"/>
    <cellStyle name="Обычный 4 2 4 2 6 2" xfId="8769" xr:uid="{00000000-0005-0000-0000-0000851D0000}"/>
    <cellStyle name="Обычный 4 2 4 2 6 3" xfId="8770" xr:uid="{00000000-0005-0000-0000-0000861D0000}"/>
    <cellStyle name="Обычный 4 2 4 2 7" xfId="8771" xr:uid="{00000000-0005-0000-0000-0000871D0000}"/>
    <cellStyle name="Обычный 4 2 4 2 7 2" xfId="8772" xr:uid="{00000000-0005-0000-0000-0000881D0000}"/>
    <cellStyle name="Обычный 4 2 4 2 8" xfId="8773" xr:uid="{00000000-0005-0000-0000-0000891D0000}"/>
    <cellStyle name="Обычный 4 2 4 2 9" xfId="8774" xr:uid="{00000000-0005-0000-0000-00008A1D0000}"/>
    <cellStyle name="Обычный 4 2 4 3" xfId="3751" xr:uid="{00000000-0005-0000-0000-00008B1D0000}"/>
    <cellStyle name="Обычный 4 2 4 3 2" xfId="8775" xr:uid="{00000000-0005-0000-0000-00008C1D0000}"/>
    <cellStyle name="Обычный 4 2 4 3 2 2" xfId="8776" xr:uid="{00000000-0005-0000-0000-00008D1D0000}"/>
    <cellStyle name="Обычный 4 2 4 3 2 2 2" xfId="8777" xr:uid="{00000000-0005-0000-0000-00008E1D0000}"/>
    <cellStyle name="Обычный 4 2 4 3 2 2 2 2" xfId="8778" xr:uid="{00000000-0005-0000-0000-00008F1D0000}"/>
    <cellStyle name="Обычный 4 2 4 3 2 2 2 2 2" xfId="8779" xr:uid="{00000000-0005-0000-0000-0000901D0000}"/>
    <cellStyle name="Обычный 4 2 4 3 2 2 2 2 2 2" xfId="8780" xr:uid="{00000000-0005-0000-0000-0000911D0000}"/>
    <cellStyle name="Обычный 4 2 4 3 2 2 2 2 2 3" xfId="8781" xr:uid="{00000000-0005-0000-0000-0000921D0000}"/>
    <cellStyle name="Обычный 4 2 4 3 2 2 2 2 3" xfId="8782" xr:uid="{00000000-0005-0000-0000-0000931D0000}"/>
    <cellStyle name="Обычный 4 2 4 3 2 2 2 2 4" xfId="8783" xr:uid="{00000000-0005-0000-0000-0000941D0000}"/>
    <cellStyle name="Обычный 4 2 4 3 2 2 2 3" xfId="8784" xr:uid="{00000000-0005-0000-0000-0000951D0000}"/>
    <cellStyle name="Обычный 4 2 4 3 2 2 2 3 2" xfId="8785" xr:uid="{00000000-0005-0000-0000-0000961D0000}"/>
    <cellStyle name="Обычный 4 2 4 3 2 2 2 3 3" xfId="8786" xr:uid="{00000000-0005-0000-0000-0000971D0000}"/>
    <cellStyle name="Обычный 4 2 4 3 2 2 2 4" xfId="8787" xr:uid="{00000000-0005-0000-0000-0000981D0000}"/>
    <cellStyle name="Обычный 4 2 4 3 2 2 2 4 2" xfId="8788" xr:uid="{00000000-0005-0000-0000-0000991D0000}"/>
    <cellStyle name="Обычный 4 2 4 3 2 2 2 5" xfId="8789" xr:uid="{00000000-0005-0000-0000-00009A1D0000}"/>
    <cellStyle name="Обычный 4 2 4 3 2 2 2 6" xfId="8790" xr:uid="{00000000-0005-0000-0000-00009B1D0000}"/>
    <cellStyle name="Обычный 4 2 4 3 2 2 3" xfId="8791" xr:uid="{00000000-0005-0000-0000-00009C1D0000}"/>
    <cellStyle name="Обычный 4 2 4 3 2 2 3 2" xfId="8792" xr:uid="{00000000-0005-0000-0000-00009D1D0000}"/>
    <cellStyle name="Обычный 4 2 4 3 2 2 3 2 2" xfId="8793" xr:uid="{00000000-0005-0000-0000-00009E1D0000}"/>
    <cellStyle name="Обычный 4 2 4 3 2 2 3 2 3" xfId="8794" xr:uid="{00000000-0005-0000-0000-00009F1D0000}"/>
    <cellStyle name="Обычный 4 2 4 3 2 2 3 3" xfId="8795" xr:uid="{00000000-0005-0000-0000-0000A01D0000}"/>
    <cellStyle name="Обычный 4 2 4 3 2 2 3 4" xfId="8796" xr:uid="{00000000-0005-0000-0000-0000A11D0000}"/>
    <cellStyle name="Обычный 4 2 4 3 2 2 4" xfId="8797" xr:uid="{00000000-0005-0000-0000-0000A21D0000}"/>
    <cellStyle name="Обычный 4 2 4 3 2 2 4 2" xfId="8798" xr:uid="{00000000-0005-0000-0000-0000A31D0000}"/>
    <cellStyle name="Обычный 4 2 4 3 2 2 4 3" xfId="8799" xr:uid="{00000000-0005-0000-0000-0000A41D0000}"/>
    <cellStyle name="Обычный 4 2 4 3 2 2 5" xfId="8800" xr:uid="{00000000-0005-0000-0000-0000A51D0000}"/>
    <cellStyle name="Обычный 4 2 4 3 2 2 5 2" xfId="8801" xr:uid="{00000000-0005-0000-0000-0000A61D0000}"/>
    <cellStyle name="Обычный 4 2 4 3 2 2 6" xfId="8802" xr:uid="{00000000-0005-0000-0000-0000A71D0000}"/>
    <cellStyle name="Обычный 4 2 4 3 2 2 7" xfId="8803" xr:uid="{00000000-0005-0000-0000-0000A81D0000}"/>
    <cellStyle name="Обычный 4 2 4 3 2 3" xfId="8804" xr:uid="{00000000-0005-0000-0000-0000A91D0000}"/>
    <cellStyle name="Обычный 4 2 4 3 2 3 2" xfId="8805" xr:uid="{00000000-0005-0000-0000-0000AA1D0000}"/>
    <cellStyle name="Обычный 4 2 4 3 2 3 2 2" xfId="8806" xr:uid="{00000000-0005-0000-0000-0000AB1D0000}"/>
    <cellStyle name="Обычный 4 2 4 3 2 3 2 2 2" xfId="8807" xr:uid="{00000000-0005-0000-0000-0000AC1D0000}"/>
    <cellStyle name="Обычный 4 2 4 3 2 3 2 2 3" xfId="8808" xr:uid="{00000000-0005-0000-0000-0000AD1D0000}"/>
    <cellStyle name="Обычный 4 2 4 3 2 3 2 3" xfId="8809" xr:uid="{00000000-0005-0000-0000-0000AE1D0000}"/>
    <cellStyle name="Обычный 4 2 4 3 2 3 2 4" xfId="8810" xr:uid="{00000000-0005-0000-0000-0000AF1D0000}"/>
    <cellStyle name="Обычный 4 2 4 3 2 3 3" xfId="8811" xr:uid="{00000000-0005-0000-0000-0000B01D0000}"/>
    <cellStyle name="Обычный 4 2 4 3 2 3 3 2" xfId="8812" xr:uid="{00000000-0005-0000-0000-0000B11D0000}"/>
    <cellStyle name="Обычный 4 2 4 3 2 3 3 3" xfId="8813" xr:uid="{00000000-0005-0000-0000-0000B21D0000}"/>
    <cellStyle name="Обычный 4 2 4 3 2 3 4" xfId="8814" xr:uid="{00000000-0005-0000-0000-0000B31D0000}"/>
    <cellStyle name="Обычный 4 2 4 3 2 3 4 2" xfId="8815" xr:uid="{00000000-0005-0000-0000-0000B41D0000}"/>
    <cellStyle name="Обычный 4 2 4 3 2 3 5" xfId="8816" xr:uid="{00000000-0005-0000-0000-0000B51D0000}"/>
    <cellStyle name="Обычный 4 2 4 3 2 3 6" xfId="8817" xr:uid="{00000000-0005-0000-0000-0000B61D0000}"/>
    <cellStyle name="Обычный 4 2 4 3 2 4" xfId="8818" xr:uid="{00000000-0005-0000-0000-0000B71D0000}"/>
    <cellStyle name="Обычный 4 2 4 3 2 4 2" xfId="8819" xr:uid="{00000000-0005-0000-0000-0000B81D0000}"/>
    <cellStyle name="Обычный 4 2 4 3 2 4 2 2" xfId="8820" xr:uid="{00000000-0005-0000-0000-0000B91D0000}"/>
    <cellStyle name="Обычный 4 2 4 3 2 4 2 3" xfId="8821" xr:uid="{00000000-0005-0000-0000-0000BA1D0000}"/>
    <cellStyle name="Обычный 4 2 4 3 2 4 3" xfId="8822" xr:uid="{00000000-0005-0000-0000-0000BB1D0000}"/>
    <cellStyle name="Обычный 4 2 4 3 2 4 4" xfId="8823" xr:uid="{00000000-0005-0000-0000-0000BC1D0000}"/>
    <cellStyle name="Обычный 4 2 4 3 2 5" xfId="8824" xr:uid="{00000000-0005-0000-0000-0000BD1D0000}"/>
    <cellStyle name="Обычный 4 2 4 3 2 5 2" xfId="8825" xr:uid="{00000000-0005-0000-0000-0000BE1D0000}"/>
    <cellStyle name="Обычный 4 2 4 3 2 5 3" xfId="8826" xr:uid="{00000000-0005-0000-0000-0000BF1D0000}"/>
    <cellStyle name="Обычный 4 2 4 3 2 6" xfId="8827" xr:uid="{00000000-0005-0000-0000-0000C01D0000}"/>
    <cellStyle name="Обычный 4 2 4 3 2 6 2" xfId="8828" xr:uid="{00000000-0005-0000-0000-0000C11D0000}"/>
    <cellStyle name="Обычный 4 2 4 3 2 7" xfId="8829" xr:uid="{00000000-0005-0000-0000-0000C21D0000}"/>
    <cellStyle name="Обычный 4 2 4 3 2 8" xfId="8830" xr:uid="{00000000-0005-0000-0000-0000C31D0000}"/>
    <cellStyle name="Обычный 4 2 4 3 3" xfId="8831" xr:uid="{00000000-0005-0000-0000-0000C41D0000}"/>
    <cellStyle name="Обычный 4 2 4 3 3 2" xfId="8832" xr:uid="{00000000-0005-0000-0000-0000C51D0000}"/>
    <cellStyle name="Обычный 4 2 4 3 3 2 2" xfId="8833" xr:uid="{00000000-0005-0000-0000-0000C61D0000}"/>
    <cellStyle name="Обычный 4 2 4 3 3 2 2 2" xfId="8834" xr:uid="{00000000-0005-0000-0000-0000C71D0000}"/>
    <cellStyle name="Обычный 4 2 4 3 3 2 2 2 2" xfId="8835" xr:uid="{00000000-0005-0000-0000-0000C81D0000}"/>
    <cellStyle name="Обычный 4 2 4 3 3 2 2 2 3" xfId="8836" xr:uid="{00000000-0005-0000-0000-0000C91D0000}"/>
    <cellStyle name="Обычный 4 2 4 3 3 2 2 3" xfId="8837" xr:uid="{00000000-0005-0000-0000-0000CA1D0000}"/>
    <cellStyle name="Обычный 4 2 4 3 3 2 2 4" xfId="8838" xr:uid="{00000000-0005-0000-0000-0000CB1D0000}"/>
    <cellStyle name="Обычный 4 2 4 3 3 2 3" xfId="8839" xr:uid="{00000000-0005-0000-0000-0000CC1D0000}"/>
    <cellStyle name="Обычный 4 2 4 3 3 2 3 2" xfId="8840" xr:uid="{00000000-0005-0000-0000-0000CD1D0000}"/>
    <cellStyle name="Обычный 4 2 4 3 3 2 3 3" xfId="8841" xr:uid="{00000000-0005-0000-0000-0000CE1D0000}"/>
    <cellStyle name="Обычный 4 2 4 3 3 2 4" xfId="8842" xr:uid="{00000000-0005-0000-0000-0000CF1D0000}"/>
    <cellStyle name="Обычный 4 2 4 3 3 2 4 2" xfId="8843" xr:uid="{00000000-0005-0000-0000-0000D01D0000}"/>
    <cellStyle name="Обычный 4 2 4 3 3 2 5" xfId="8844" xr:uid="{00000000-0005-0000-0000-0000D11D0000}"/>
    <cellStyle name="Обычный 4 2 4 3 3 2 6" xfId="8845" xr:uid="{00000000-0005-0000-0000-0000D21D0000}"/>
    <cellStyle name="Обычный 4 2 4 3 3 3" xfId="8846" xr:uid="{00000000-0005-0000-0000-0000D31D0000}"/>
    <cellStyle name="Обычный 4 2 4 3 3 3 2" xfId="8847" xr:uid="{00000000-0005-0000-0000-0000D41D0000}"/>
    <cellStyle name="Обычный 4 2 4 3 3 3 2 2" xfId="8848" xr:uid="{00000000-0005-0000-0000-0000D51D0000}"/>
    <cellStyle name="Обычный 4 2 4 3 3 3 2 3" xfId="8849" xr:uid="{00000000-0005-0000-0000-0000D61D0000}"/>
    <cellStyle name="Обычный 4 2 4 3 3 3 3" xfId="8850" xr:uid="{00000000-0005-0000-0000-0000D71D0000}"/>
    <cellStyle name="Обычный 4 2 4 3 3 3 4" xfId="8851" xr:uid="{00000000-0005-0000-0000-0000D81D0000}"/>
    <cellStyle name="Обычный 4 2 4 3 3 4" xfId="8852" xr:uid="{00000000-0005-0000-0000-0000D91D0000}"/>
    <cellStyle name="Обычный 4 2 4 3 3 4 2" xfId="8853" xr:uid="{00000000-0005-0000-0000-0000DA1D0000}"/>
    <cellStyle name="Обычный 4 2 4 3 3 4 3" xfId="8854" xr:uid="{00000000-0005-0000-0000-0000DB1D0000}"/>
    <cellStyle name="Обычный 4 2 4 3 3 5" xfId="8855" xr:uid="{00000000-0005-0000-0000-0000DC1D0000}"/>
    <cellStyle name="Обычный 4 2 4 3 3 5 2" xfId="8856" xr:uid="{00000000-0005-0000-0000-0000DD1D0000}"/>
    <cellStyle name="Обычный 4 2 4 3 3 6" xfId="8857" xr:uid="{00000000-0005-0000-0000-0000DE1D0000}"/>
    <cellStyle name="Обычный 4 2 4 3 3 7" xfId="8858" xr:uid="{00000000-0005-0000-0000-0000DF1D0000}"/>
    <cellStyle name="Обычный 4 2 4 3 4" xfId="8859" xr:uid="{00000000-0005-0000-0000-0000E01D0000}"/>
    <cellStyle name="Обычный 4 2 4 3 4 2" xfId="8860" xr:uid="{00000000-0005-0000-0000-0000E11D0000}"/>
    <cellStyle name="Обычный 4 2 4 3 4 2 2" xfId="8861" xr:uid="{00000000-0005-0000-0000-0000E21D0000}"/>
    <cellStyle name="Обычный 4 2 4 3 4 2 2 2" xfId="8862" xr:uid="{00000000-0005-0000-0000-0000E31D0000}"/>
    <cellStyle name="Обычный 4 2 4 3 4 2 2 3" xfId="8863" xr:uid="{00000000-0005-0000-0000-0000E41D0000}"/>
    <cellStyle name="Обычный 4 2 4 3 4 2 3" xfId="8864" xr:uid="{00000000-0005-0000-0000-0000E51D0000}"/>
    <cellStyle name="Обычный 4 2 4 3 4 2 4" xfId="8865" xr:uid="{00000000-0005-0000-0000-0000E61D0000}"/>
    <cellStyle name="Обычный 4 2 4 3 4 3" xfId="8866" xr:uid="{00000000-0005-0000-0000-0000E71D0000}"/>
    <cellStyle name="Обычный 4 2 4 3 4 3 2" xfId="8867" xr:uid="{00000000-0005-0000-0000-0000E81D0000}"/>
    <cellStyle name="Обычный 4 2 4 3 4 3 3" xfId="8868" xr:uid="{00000000-0005-0000-0000-0000E91D0000}"/>
    <cellStyle name="Обычный 4 2 4 3 4 4" xfId="8869" xr:uid="{00000000-0005-0000-0000-0000EA1D0000}"/>
    <cellStyle name="Обычный 4 2 4 3 4 4 2" xfId="8870" xr:uid="{00000000-0005-0000-0000-0000EB1D0000}"/>
    <cellStyle name="Обычный 4 2 4 3 4 5" xfId="8871" xr:uid="{00000000-0005-0000-0000-0000EC1D0000}"/>
    <cellStyle name="Обычный 4 2 4 3 4 6" xfId="8872" xr:uid="{00000000-0005-0000-0000-0000ED1D0000}"/>
    <cellStyle name="Обычный 4 2 4 3 5" xfId="8873" xr:uid="{00000000-0005-0000-0000-0000EE1D0000}"/>
    <cellStyle name="Обычный 4 2 4 3 5 2" xfId="8874" xr:uid="{00000000-0005-0000-0000-0000EF1D0000}"/>
    <cellStyle name="Обычный 4 2 4 3 5 2 2" xfId="8875" xr:uid="{00000000-0005-0000-0000-0000F01D0000}"/>
    <cellStyle name="Обычный 4 2 4 3 5 2 3" xfId="8876" xr:uid="{00000000-0005-0000-0000-0000F11D0000}"/>
    <cellStyle name="Обычный 4 2 4 3 5 3" xfId="8877" xr:uid="{00000000-0005-0000-0000-0000F21D0000}"/>
    <cellStyle name="Обычный 4 2 4 3 5 4" xfId="8878" xr:uid="{00000000-0005-0000-0000-0000F31D0000}"/>
    <cellStyle name="Обычный 4 2 4 3 6" xfId="8879" xr:uid="{00000000-0005-0000-0000-0000F41D0000}"/>
    <cellStyle name="Обычный 4 2 4 3 6 2" xfId="8880" xr:uid="{00000000-0005-0000-0000-0000F51D0000}"/>
    <cellStyle name="Обычный 4 2 4 3 6 3" xfId="8881" xr:uid="{00000000-0005-0000-0000-0000F61D0000}"/>
    <cellStyle name="Обычный 4 2 4 3 7" xfId="8882" xr:uid="{00000000-0005-0000-0000-0000F71D0000}"/>
    <cellStyle name="Обычный 4 2 4 3 7 2" xfId="8883" xr:uid="{00000000-0005-0000-0000-0000F81D0000}"/>
    <cellStyle name="Обычный 4 2 4 3 8" xfId="8884" xr:uid="{00000000-0005-0000-0000-0000F91D0000}"/>
    <cellStyle name="Обычный 4 2 4 3 9" xfId="8885" xr:uid="{00000000-0005-0000-0000-0000FA1D0000}"/>
    <cellStyle name="Обычный 4 2 4 4" xfId="3752" xr:uid="{00000000-0005-0000-0000-0000FB1D0000}"/>
    <cellStyle name="Обычный 4 2 4 4 2" xfId="8886" xr:uid="{00000000-0005-0000-0000-0000FC1D0000}"/>
    <cellStyle name="Обычный 4 2 4 4 2 2" xfId="8887" xr:uid="{00000000-0005-0000-0000-0000FD1D0000}"/>
    <cellStyle name="Обычный 4 2 4 4 2 2 2" xfId="8888" xr:uid="{00000000-0005-0000-0000-0000FE1D0000}"/>
    <cellStyle name="Обычный 4 2 4 4 2 2 2 2" xfId="8889" xr:uid="{00000000-0005-0000-0000-0000FF1D0000}"/>
    <cellStyle name="Обычный 4 2 4 4 2 2 2 2 2" xfId="8890" xr:uid="{00000000-0005-0000-0000-0000001E0000}"/>
    <cellStyle name="Обычный 4 2 4 4 2 2 2 2 3" xfId="8891" xr:uid="{00000000-0005-0000-0000-0000011E0000}"/>
    <cellStyle name="Обычный 4 2 4 4 2 2 2 3" xfId="8892" xr:uid="{00000000-0005-0000-0000-0000021E0000}"/>
    <cellStyle name="Обычный 4 2 4 4 2 2 2 4" xfId="8893" xr:uid="{00000000-0005-0000-0000-0000031E0000}"/>
    <cellStyle name="Обычный 4 2 4 4 2 2 3" xfId="8894" xr:uid="{00000000-0005-0000-0000-0000041E0000}"/>
    <cellStyle name="Обычный 4 2 4 4 2 2 3 2" xfId="8895" xr:uid="{00000000-0005-0000-0000-0000051E0000}"/>
    <cellStyle name="Обычный 4 2 4 4 2 2 3 3" xfId="8896" xr:uid="{00000000-0005-0000-0000-0000061E0000}"/>
    <cellStyle name="Обычный 4 2 4 4 2 2 4" xfId="8897" xr:uid="{00000000-0005-0000-0000-0000071E0000}"/>
    <cellStyle name="Обычный 4 2 4 4 2 2 4 2" xfId="8898" xr:uid="{00000000-0005-0000-0000-0000081E0000}"/>
    <cellStyle name="Обычный 4 2 4 4 2 2 5" xfId="8899" xr:uid="{00000000-0005-0000-0000-0000091E0000}"/>
    <cellStyle name="Обычный 4 2 4 4 2 2 6" xfId="8900" xr:uid="{00000000-0005-0000-0000-00000A1E0000}"/>
    <cellStyle name="Обычный 4 2 4 4 2 3" xfId="8901" xr:uid="{00000000-0005-0000-0000-00000B1E0000}"/>
    <cellStyle name="Обычный 4 2 4 4 2 3 2" xfId="8902" xr:uid="{00000000-0005-0000-0000-00000C1E0000}"/>
    <cellStyle name="Обычный 4 2 4 4 2 3 2 2" xfId="8903" xr:uid="{00000000-0005-0000-0000-00000D1E0000}"/>
    <cellStyle name="Обычный 4 2 4 4 2 3 2 3" xfId="8904" xr:uid="{00000000-0005-0000-0000-00000E1E0000}"/>
    <cellStyle name="Обычный 4 2 4 4 2 3 3" xfId="8905" xr:uid="{00000000-0005-0000-0000-00000F1E0000}"/>
    <cellStyle name="Обычный 4 2 4 4 2 3 4" xfId="8906" xr:uid="{00000000-0005-0000-0000-0000101E0000}"/>
    <cellStyle name="Обычный 4 2 4 4 2 4" xfId="8907" xr:uid="{00000000-0005-0000-0000-0000111E0000}"/>
    <cellStyle name="Обычный 4 2 4 4 2 4 2" xfId="8908" xr:uid="{00000000-0005-0000-0000-0000121E0000}"/>
    <cellStyle name="Обычный 4 2 4 4 2 4 3" xfId="8909" xr:uid="{00000000-0005-0000-0000-0000131E0000}"/>
    <cellStyle name="Обычный 4 2 4 4 2 5" xfId="8910" xr:uid="{00000000-0005-0000-0000-0000141E0000}"/>
    <cellStyle name="Обычный 4 2 4 4 2 5 2" xfId="8911" xr:uid="{00000000-0005-0000-0000-0000151E0000}"/>
    <cellStyle name="Обычный 4 2 4 4 2 6" xfId="8912" xr:uid="{00000000-0005-0000-0000-0000161E0000}"/>
    <cellStyle name="Обычный 4 2 4 4 2 7" xfId="8913" xr:uid="{00000000-0005-0000-0000-0000171E0000}"/>
    <cellStyle name="Обычный 4 2 4 4 3" xfId="8914" xr:uid="{00000000-0005-0000-0000-0000181E0000}"/>
    <cellStyle name="Обычный 4 2 4 4 3 2" xfId="8915" xr:uid="{00000000-0005-0000-0000-0000191E0000}"/>
    <cellStyle name="Обычный 4 2 4 4 3 2 2" xfId="8916" xr:uid="{00000000-0005-0000-0000-00001A1E0000}"/>
    <cellStyle name="Обычный 4 2 4 4 3 2 2 2" xfId="8917" xr:uid="{00000000-0005-0000-0000-00001B1E0000}"/>
    <cellStyle name="Обычный 4 2 4 4 3 2 2 3" xfId="8918" xr:uid="{00000000-0005-0000-0000-00001C1E0000}"/>
    <cellStyle name="Обычный 4 2 4 4 3 2 3" xfId="8919" xr:uid="{00000000-0005-0000-0000-00001D1E0000}"/>
    <cellStyle name="Обычный 4 2 4 4 3 2 4" xfId="8920" xr:uid="{00000000-0005-0000-0000-00001E1E0000}"/>
    <cellStyle name="Обычный 4 2 4 4 3 3" xfId="8921" xr:uid="{00000000-0005-0000-0000-00001F1E0000}"/>
    <cellStyle name="Обычный 4 2 4 4 3 3 2" xfId="8922" xr:uid="{00000000-0005-0000-0000-0000201E0000}"/>
    <cellStyle name="Обычный 4 2 4 4 3 3 3" xfId="8923" xr:uid="{00000000-0005-0000-0000-0000211E0000}"/>
    <cellStyle name="Обычный 4 2 4 4 3 4" xfId="8924" xr:uid="{00000000-0005-0000-0000-0000221E0000}"/>
    <cellStyle name="Обычный 4 2 4 4 3 4 2" xfId="8925" xr:uid="{00000000-0005-0000-0000-0000231E0000}"/>
    <cellStyle name="Обычный 4 2 4 4 3 5" xfId="8926" xr:uid="{00000000-0005-0000-0000-0000241E0000}"/>
    <cellStyle name="Обычный 4 2 4 4 3 6" xfId="8927" xr:uid="{00000000-0005-0000-0000-0000251E0000}"/>
    <cellStyle name="Обычный 4 2 4 4 4" xfId="8928" xr:uid="{00000000-0005-0000-0000-0000261E0000}"/>
    <cellStyle name="Обычный 4 2 4 4 4 2" xfId="8929" xr:uid="{00000000-0005-0000-0000-0000271E0000}"/>
    <cellStyle name="Обычный 4 2 4 4 4 2 2" xfId="8930" xr:uid="{00000000-0005-0000-0000-0000281E0000}"/>
    <cellStyle name="Обычный 4 2 4 4 4 2 3" xfId="8931" xr:uid="{00000000-0005-0000-0000-0000291E0000}"/>
    <cellStyle name="Обычный 4 2 4 4 4 3" xfId="8932" xr:uid="{00000000-0005-0000-0000-00002A1E0000}"/>
    <cellStyle name="Обычный 4 2 4 4 4 4" xfId="8933" xr:uid="{00000000-0005-0000-0000-00002B1E0000}"/>
    <cellStyle name="Обычный 4 2 4 4 5" xfId="8934" xr:uid="{00000000-0005-0000-0000-00002C1E0000}"/>
    <cellStyle name="Обычный 4 2 4 4 5 2" xfId="8935" xr:uid="{00000000-0005-0000-0000-00002D1E0000}"/>
    <cellStyle name="Обычный 4 2 4 4 5 3" xfId="8936" xr:uid="{00000000-0005-0000-0000-00002E1E0000}"/>
    <cellStyle name="Обычный 4 2 4 4 6" xfId="8937" xr:uid="{00000000-0005-0000-0000-00002F1E0000}"/>
    <cellStyle name="Обычный 4 2 4 4 6 2" xfId="8938" xr:uid="{00000000-0005-0000-0000-0000301E0000}"/>
    <cellStyle name="Обычный 4 2 4 4 7" xfId="8939" xr:uid="{00000000-0005-0000-0000-0000311E0000}"/>
    <cellStyle name="Обычный 4 2 4 4 8" xfId="8940" xr:uid="{00000000-0005-0000-0000-0000321E0000}"/>
    <cellStyle name="Обычный 4 2 4 5" xfId="8941" xr:uid="{00000000-0005-0000-0000-0000331E0000}"/>
    <cellStyle name="Обычный 4 2 4 5 2" xfId="8942" xr:uid="{00000000-0005-0000-0000-0000341E0000}"/>
    <cellStyle name="Обычный 4 2 4 5 2 2" xfId="8943" xr:uid="{00000000-0005-0000-0000-0000351E0000}"/>
    <cellStyle name="Обычный 4 2 4 5 2 2 2" xfId="8944" xr:uid="{00000000-0005-0000-0000-0000361E0000}"/>
    <cellStyle name="Обычный 4 2 4 5 2 2 2 2" xfId="8945" xr:uid="{00000000-0005-0000-0000-0000371E0000}"/>
    <cellStyle name="Обычный 4 2 4 5 2 2 2 3" xfId="8946" xr:uid="{00000000-0005-0000-0000-0000381E0000}"/>
    <cellStyle name="Обычный 4 2 4 5 2 2 3" xfId="8947" xr:uid="{00000000-0005-0000-0000-0000391E0000}"/>
    <cellStyle name="Обычный 4 2 4 5 2 2 4" xfId="8948" xr:uid="{00000000-0005-0000-0000-00003A1E0000}"/>
    <cellStyle name="Обычный 4 2 4 5 2 3" xfId="8949" xr:uid="{00000000-0005-0000-0000-00003B1E0000}"/>
    <cellStyle name="Обычный 4 2 4 5 2 3 2" xfId="8950" xr:uid="{00000000-0005-0000-0000-00003C1E0000}"/>
    <cellStyle name="Обычный 4 2 4 5 2 3 3" xfId="8951" xr:uid="{00000000-0005-0000-0000-00003D1E0000}"/>
    <cellStyle name="Обычный 4 2 4 5 2 4" xfId="8952" xr:uid="{00000000-0005-0000-0000-00003E1E0000}"/>
    <cellStyle name="Обычный 4 2 4 5 2 4 2" xfId="8953" xr:uid="{00000000-0005-0000-0000-00003F1E0000}"/>
    <cellStyle name="Обычный 4 2 4 5 2 5" xfId="8954" xr:uid="{00000000-0005-0000-0000-0000401E0000}"/>
    <cellStyle name="Обычный 4 2 4 5 2 6" xfId="8955" xr:uid="{00000000-0005-0000-0000-0000411E0000}"/>
    <cellStyle name="Обычный 4 2 4 5 3" xfId="8956" xr:uid="{00000000-0005-0000-0000-0000421E0000}"/>
    <cellStyle name="Обычный 4 2 4 5 3 2" xfId="8957" xr:uid="{00000000-0005-0000-0000-0000431E0000}"/>
    <cellStyle name="Обычный 4 2 4 5 3 2 2" xfId="8958" xr:uid="{00000000-0005-0000-0000-0000441E0000}"/>
    <cellStyle name="Обычный 4 2 4 5 3 2 3" xfId="8959" xr:uid="{00000000-0005-0000-0000-0000451E0000}"/>
    <cellStyle name="Обычный 4 2 4 5 3 3" xfId="8960" xr:uid="{00000000-0005-0000-0000-0000461E0000}"/>
    <cellStyle name="Обычный 4 2 4 5 3 4" xfId="8961" xr:uid="{00000000-0005-0000-0000-0000471E0000}"/>
    <cellStyle name="Обычный 4 2 4 5 4" xfId="8962" xr:uid="{00000000-0005-0000-0000-0000481E0000}"/>
    <cellStyle name="Обычный 4 2 4 5 4 2" xfId="8963" xr:uid="{00000000-0005-0000-0000-0000491E0000}"/>
    <cellStyle name="Обычный 4 2 4 5 4 3" xfId="8964" xr:uid="{00000000-0005-0000-0000-00004A1E0000}"/>
    <cellStyle name="Обычный 4 2 4 5 5" xfId="8965" xr:uid="{00000000-0005-0000-0000-00004B1E0000}"/>
    <cellStyle name="Обычный 4 2 4 5 5 2" xfId="8966" xr:uid="{00000000-0005-0000-0000-00004C1E0000}"/>
    <cellStyle name="Обычный 4 2 4 5 6" xfId="8967" xr:uid="{00000000-0005-0000-0000-00004D1E0000}"/>
    <cellStyle name="Обычный 4 2 4 5 7" xfId="8968" xr:uid="{00000000-0005-0000-0000-00004E1E0000}"/>
    <cellStyle name="Обычный 4 2 4 6" xfId="8969" xr:uid="{00000000-0005-0000-0000-00004F1E0000}"/>
    <cellStyle name="Обычный 4 2 4 6 2" xfId="8970" xr:uid="{00000000-0005-0000-0000-0000501E0000}"/>
    <cellStyle name="Обычный 4 2 4 6 2 2" xfId="8971" xr:uid="{00000000-0005-0000-0000-0000511E0000}"/>
    <cellStyle name="Обычный 4 2 4 6 2 2 2" xfId="8972" xr:uid="{00000000-0005-0000-0000-0000521E0000}"/>
    <cellStyle name="Обычный 4 2 4 6 2 2 3" xfId="8973" xr:uid="{00000000-0005-0000-0000-0000531E0000}"/>
    <cellStyle name="Обычный 4 2 4 6 2 3" xfId="8974" xr:uid="{00000000-0005-0000-0000-0000541E0000}"/>
    <cellStyle name="Обычный 4 2 4 6 2 4" xfId="8975" xr:uid="{00000000-0005-0000-0000-0000551E0000}"/>
    <cellStyle name="Обычный 4 2 4 6 3" xfId="8976" xr:uid="{00000000-0005-0000-0000-0000561E0000}"/>
    <cellStyle name="Обычный 4 2 4 6 3 2" xfId="8977" xr:uid="{00000000-0005-0000-0000-0000571E0000}"/>
    <cellStyle name="Обычный 4 2 4 6 3 3" xfId="8978" xr:uid="{00000000-0005-0000-0000-0000581E0000}"/>
    <cellStyle name="Обычный 4 2 4 6 4" xfId="8979" xr:uid="{00000000-0005-0000-0000-0000591E0000}"/>
    <cellStyle name="Обычный 4 2 4 6 4 2" xfId="8980" xr:uid="{00000000-0005-0000-0000-00005A1E0000}"/>
    <cellStyle name="Обычный 4 2 4 6 5" xfId="8981" xr:uid="{00000000-0005-0000-0000-00005B1E0000}"/>
    <cellStyle name="Обычный 4 2 4 6 6" xfId="8982" xr:uid="{00000000-0005-0000-0000-00005C1E0000}"/>
    <cellStyle name="Обычный 4 2 4 7" xfId="8983" xr:uid="{00000000-0005-0000-0000-00005D1E0000}"/>
    <cellStyle name="Обычный 4 2 4 7 2" xfId="8984" xr:uid="{00000000-0005-0000-0000-00005E1E0000}"/>
    <cellStyle name="Обычный 4 2 4 7 2 2" xfId="8985" xr:uid="{00000000-0005-0000-0000-00005F1E0000}"/>
    <cellStyle name="Обычный 4 2 4 7 2 3" xfId="8986" xr:uid="{00000000-0005-0000-0000-0000601E0000}"/>
    <cellStyle name="Обычный 4 2 4 7 3" xfId="8987" xr:uid="{00000000-0005-0000-0000-0000611E0000}"/>
    <cellStyle name="Обычный 4 2 4 7 4" xfId="8988" xr:uid="{00000000-0005-0000-0000-0000621E0000}"/>
    <cellStyle name="Обычный 4 2 4 8" xfId="8989" xr:uid="{00000000-0005-0000-0000-0000631E0000}"/>
    <cellStyle name="Обычный 4 2 4 8 2" xfId="8990" xr:uid="{00000000-0005-0000-0000-0000641E0000}"/>
    <cellStyle name="Обычный 4 2 4 8 3" xfId="8991" xr:uid="{00000000-0005-0000-0000-0000651E0000}"/>
    <cellStyle name="Обычный 4 2 4 9" xfId="8992" xr:uid="{00000000-0005-0000-0000-0000661E0000}"/>
    <cellStyle name="Обычный 4 2 4 9 2" xfId="8993" xr:uid="{00000000-0005-0000-0000-0000671E0000}"/>
    <cellStyle name="Обычный 4 2 5" xfId="3753" xr:uid="{00000000-0005-0000-0000-0000681E0000}"/>
    <cellStyle name="Обычный 4 2 5 10" xfId="8994" xr:uid="{00000000-0005-0000-0000-0000691E0000}"/>
    <cellStyle name="Обычный 4 2 5 2" xfId="3754" xr:uid="{00000000-0005-0000-0000-00006A1E0000}"/>
    <cellStyle name="Обычный 4 2 5 2 2" xfId="8995" xr:uid="{00000000-0005-0000-0000-00006B1E0000}"/>
    <cellStyle name="Обычный 4 2 5 2 2 2" xfId="8996" xr:uid="{00000000-0005-0000-0000-00006C1E0000}"/>
    <cellStyle name="Обычный 4 2 5 2 2 2 2" xfId="8997" xr:uid="{00000000-0005-0000-0000-00006D1E0000}"/>
    <cellStyle name="Обычный 4 2 5 2 2 2 2 2" xfId="8998" xr:uid="{00000000-0005-0000-0000-00006E1E0000}"/>
    <cellStyle name="Обычный 4 2 5 2 2 2 2 2 2" xfId="8999" xr:uid="{00000000-0005-0000-0000-00006F1E0000}"/>
    <cellStyle name="Обычный 4 2 5 2 2 2 2 2 2 2" xfId="9000" xr:uid="{00000000-0005-0000-0000-0000701E0000}"/>
    <cellStyle name="Обычный 4 2 5 2 2 2 2 2 2 3" xfId="9001" xr:uid="{00000000-0005-0000-0000-0000711E0000}"/>
    <cellStyle name="Обычный 4 2 5 2 2 2 2 2 3" xfId="9002" xr:uid="{00000000-0005-0000-0000-0000721E0000}"/>
    <cellStyle name="Обычный 4 2 5 2 2 2 2 2 4" xfId="9003" xr:uid="{00000000-0005-0000-0000-0000731E0000}"/>
    <cellStyle name="Обычный 4 2 5 2 2 2 2 3" xfId="9004" xr:uid="{00000000-0005-0000-0000-0000741E0000}"/>
    <cellStyle name="Обычный 4 2 5 2 2 2 2 3 2" xfId="9005" xr:uid="{00000000-0005-0000-0000-0000751E0000}"/>
    <cellStyle name="Обычный 4 2 5 2 2 2 2 3 3" xfId="9006" xr:uid="{00000000-0005-0000-0000-0000761E0000}"/>
    <cellStyle name="Обычный 4 2 5 2 2 2 2 4" xfId="9007" xr:uid="{00000000-0005-0000-0000-0000771E0000}"/>
    <cellStyle name="Обычный 4 2 5 2 2 2 2 4 2" xfId="9008" xr:uid="{00000000-0005-0000-0000-0000781E0000}"/>
    <cellStyle name="Обычный 4 2 5 2 2 2 2 5" xfId="9009" xr:uid="{00000000-0005-0000-0000-0000791E0000}"/>
    <cellStyle name="Обычный 4 2 5 2 2 2 2 6" xfId="9010" xr:uid="{00000000-0005-0000-0000-00007A1E0000}"/>
    <cellStyle name="Обычный 4 2 5 2 2 2 3" xfId="9011" xr:uid="{00000000-0005-0000-0000-00007B1E0000}"/>
    <cellStyle name="Обычный 4 2 5 2 2 2 3 2" xfId="9012" xr:uid="{00000000-0005-0000-0000-00007C1E0000}"/>
    <cellStyle name="Обычный 4 2 5 2 2 2 3 2 2" xfId="9013" xr:uid="{00000000-0005-0000-0000-00007D1E0000}"/>
    <cellStyle name="Обычный 4 2 5 2 2 2 3 2 3" xfId="9014" xr:uid="{00000000-0005-0000-0000-00007E1E0000}"/>
    <cellStyle name="Обычный 4 2 5 2 2 2 3 3" xfId="9015" xr:uid="{00000000-0005-0000-0000-00007F1E0000}"/>
    <cellStyle name="Обычный 4 2 5 2 2 2 3 4" xfId="9016" xr:uid="{00000000-0005-0000-0000-0000801E0000}"/>
    <cellStyle name="Обычный 4 2 5 2 2 2 4" xfId="9017" xr:uid="{00000000-0005-0000-0000-0000811E0000}"/>
    <cellStyle name="Обычный 4 2 5 2 2 2 4 2" xfId="9018" xr:uid="{00000000-0005-0000-0000-0000821E0000}"/>
    <cellStyle name="Обычный 4 2 5 2 2 2 4 3" xfId="9019" xr:uid="{00000000-0005-0000-0000-0000831E0000}"/>
    <cellStyle name="Обычный 4 2 5 2 2 2 5" xfId="9020" xr:uid="{00000000-0005-0000-0000-0000841E0000}"/>
    <cellStyle name="Обычный 4 2 5 2 2 2 5 2" xfId="9021" xr:uid="{00000000-0005-0000-0000-0000851E0000}"/>
    <cellStyle name="Обычный 4 2 5 2 2 2 6" xfId="9022" xr:uid="{00000000-0005-0000-0000-0000861E0000}"/>
    <cellStyle name="Обычный 4 2 5 2 2 2 7" xfId="9023" xr:uid="{00000000-0005-0000-0000-0000871E0000}"/>
    <cellStyle name="Обычный 4 2 5 2 2 3" xfId="9024" xr:uid="{00000000-0005-0000-0000-0000881E0000}"/>
    <cellStyle name="Обычный 4 2 5 2 2 3 2" xfId="9025" xr:uid="{00000000-0005-0000-0000-0000891E0000}"/>
    <cellStyle name="Обычный 4 2 5 2 2 3 2 2" xfId="9026" xr:uid="{00000000-0005-0000-0000-00008A1E0000}"/>
    <cellStyle name="Обычный 4 2 5 2 2 3 2 2 2" xfId="9027" xr:uid="{00000000-0005-0000-0000-00008B1E0000}"/>
    <cellStyle name="Обычный 4 2 5 2 2 3 2 2 3" xfId="9028" xr:uid="{00000000-0005-0000-0000-00008C1E0000}"/>
    <cellStyle name="Обычный 4 2 5 2 2 3 2 3" xfId="9029" xr:uid="{00000000-0005-0000-0000-00008D1E0000}"/>
    <cellStyle name="Обычный 4 2 5 2 2 3 2 4" xfId="9030" xr:uid="{00000000-0005-0000-0000-00008E1E0000}"/>
    <cellStyle name="Обычный 4 2 5 2 2 3 3" xfId="9031" xr:uid="{00000000-0005-0000-0000-00008F1E0000}"/>
    <cellStyle name="Обычный 4 2 5 2 2 3 3 2" xfId="9032" xr:uid="{00000000-0005-0000-0000-0000901E0000}"/>
    <cellStyle name="Обычный 4 2 5 2 2 3 3 3" xfId="9033" xr:uid="{00000000-0005-0000-0000-0000911E0000}"/>
    <cellStyle name="Обычный 4 2 5 2 2 3 4" xfId="9034" xr:uid="{00000000-0005-0000-0000-0000921E0000}"/>
    <cellStyle name="Обычный 4 2 5 2 2 3 4 2" xfId="9035" xr:uid="{00000000-0005-0000-0000-0000931E0000}"/>
    <cellStyle name="Обычный 4 2 5 2 2 3 5" xfId="9036" xr:uid="{00000000-0005-0000-0000-0000941E0000}"/>
    <cellStyle name="Обычный 4 2 5 2 2 3 6" xfId="9037" xr:uid="{00000000-0005-0000-0000-0000951E0000}"/>
    <cellStyle name="Обычный 4 2 5 2 2 4" xfId="9038" xr:uid="{00000000-0005-0000-0000-0000961E0000}"/>
    <cellStyle name="Обычный 4 2 5 2 2 4 2" xfId="9039" xr:uid="{00000000-0005-0000-0000-0000971E0000}"/>
    <cellStyle name="Обычный 4 2 5 2 2 4 2 2" xfId="9040" xr:uid="{00000000-0005-0000-0000-0000981E0000}"/>
    <cellStyle name="Обычный 4 2 5 2 2 4 2 3" xfId="9041" xr:uid="{00000000-0005-0000-0000-0000991E0000}"/>
    <cellStyle name="Обычный 4 2 5 2 2 4 3" xfId="9042" xr:uid="{00000000-0005-0000-0000-00009A1E0000}"/>
    <cellStyle name="Обычный 4 2 5 2 2 4 4" xfId="9043" xr:uid="{00000000-0005-0000-0000-00009B1E0000}"/>
    <cellStyle name="Обычный 4 2 5 2 2 5" xfId="9044" xr:uid="{00000000-0005-0000-0000-00009C1E0000}"/>
    <cellStyle name="Обычный 4 2 5 2 2 5 2" xfId="9045" xr:uid="{00000000-0005-0000-0000-00009D1E0000}"/>
    <cellStyle name="Обычный 4 2 5 2 2 5 3" xfId="9046" xr:uid="{00000000-0005-0000-0000-00009E1E0000}"/>
    <cellStyle name="Обычный 4 2 5 2 2 6" xfId="9047" xr:uid="{00000000-0005-0000-0000-00009F1E0000}"/>
    <cellStyle name="Обычный 4 2 5 2 2 6 2" xfId="9048" xr:uid="{00000000-0005-0000-0000-0000A01E0000}"/>
    <cellStyle name="Обычный 4 2 5 2 2 7" xfId="9049" xr:uid="{00000000-0005-0000-0000-0000A11E0000}"/>
    <cellStyle name="Обычный 4 2 5 2 2 8" xfId="9050" xr:uid="{00000000-0005-0000-0000-0000A21E0000}"/>
    <cellStyle name="Обычный 4 2 5 2 3" xfId="9051" xr:uid="{00000000-0005-0000-0000-0000A31E0000}"/>
    <cellStyle name="Обычный 4 2 5 2 3 2" xfId="9052" xr:uid="{00000000-0005-0000-0000-0000A41E0000}"/>
    <cellStyle name="Обычный 4 2 5 2 3 2 2" xfId="9053" xr:uid="{00000000-0005-0000-0000-0000A51E0000}"/>
    <cellStyle name="Обычный 4 2 5 2 3 2 2 2" xfId="9054" xr:uid="{00000000-0005-0000-0000-0000A61E0000}"/>
    <cellStyle name="Обычный 4 2 5 2 3 2 2 2 2" xfId="9055" xr:uid="{00000000-0005-0000-0000-0000A71E0000}"/>
    <cellStyle name="Обычный 4 2 5 2 3 2 2 2 3" xfId="9056" xr:uid="{00000000-0005-0000-0000-0000A81E0000}"/>
    <cellStyle name="Обычный 4 2 5 2 3 2 2 3" xfId="9057" xr:uid="{00000000-0005-0000-0000-0000A91E0000}"/>
    <cellStyle name="Обычный 4 2 5 2 3 2 2 4" xfId="9058" xr:uid="{00000000-0005-0000-0000-0000AA1E0000}"/>
    <cellStyle name="Обычный 4 2 5 2 3 2 3" xfId="9059" xr:uid="{00000000-0005-0000-0000-0000AB1E0000}"/>
    <cellStyle name="Обычный 4 2 5 2 3 2 3 2" xfId="9060" xr:uid="{00000000-0005-0000-0000-0000AC1E0000}"/>
    <cellStyle name="Обычный 4 2 5 2 3 2 3 3" xfId="9061" xr:uid="{00000000-0005-0000-0000-0000AD1E0000}"/>
    <cellStyle name="Обычный 4 2 5 2 3 2 4" xfId="9062" xr:uid="{00000000-0005-0000-0000-0000AE1E0000}"/>
    <cellStyle name="Обычный 4 2 5 2 3 2 4 2" xfId="9063" xr:uid="{00000000-0005-0000-0000-0000AF1E0000}"/>
    <cellStyle name="Обычный 4 2 5 2 3 2 5" xfId="9064" xr:uid="{00000000-0005-0000-0000-0000B01E0000}"/>
    <cellStyle name="Обычный 4 2 5 2 3 2 6" xfId="9065" xr:uid="{00000000-0005-0000-0000-0000B11E0000}"/>
    <cellStyle name="Обычный 4 2 5 2 3 3" xfId="9066" xr:uid="{00000000-0005-0000-0000-0000B21E0000}"/>
    <cellStyle name="Обычный 4 2 5 2 3 3 2" xfId="9067" xr:uid="{00000000-0005-0000-0000-0000B31E0000}"/>
    <cellStyle name="Обычный 4 2 5 2 3 3 2 2" xfId="9068" xr:uid="{00000000-0005-0000-0000-0000B41E0000}"/>
    <cellStyle name="Обычный 4 2 5 2 3 3 2 3" xfId="9069" xr:uid="{00000000-0005-0000-0000-0000B51E0000}"/>
    <cellStyle name="Обычный 4 2 5 2 3 3 3" xfId="9070" xr:uid="{00000000-0005-0000-0000-0000B61E0000}"/>
    <cellStyle name="Обычный 4 2 5 2 3 3 4" xfId="9071" xr:uid="{00000000-0005-0000-0000-0000B71E0000}"/>
    <cellStyle name="Обычный 4 2 5 2 3 4" xfId="9072" xr:uid="{00000000-0005-0000-0000-0000B81E0000}"/>
    <cellStyle name="Обычный 4 2 5 2 3 4 2" xfId="9073" xr:uid="{00000000-0005-0000-0000-0000B91E0000}"/>
    <cellStyle name="Обычный 4 2 5 2 3 4 3" xfId="9074" xr:uid="{00000000-0005-0000-0000-0000BA1E0000}"/>
    <cellStyle name="Обычный 4 2 5 2 3 5" xfId="9075" xr:uid="{00000000-0005-0000-0000-0000BB1E0000}"/>
    <cellStyle name="Обычный 4 2 5 2 3 5 2" xfId="9076" xr:uid="{00000000-0005-0000-0000-0000BC1E0000}"/>
    <cellStyle name="Обычный 4 2 5 2 3 6" xfId="9077" xr:uid="{00000000-0005-0000-0000-0000BD1E0000}"/>
    <cellStyle name="Обычный 4 2 5 2 3 7" xfId="9078" xr:uid="{00000000-0005-0000-0000-0000BE1E0000}"/>
    <cellStyle name="Обычный 4 2 5 2 4" xfId="9079" xr:uid="{00000000-0005-0000-0000-0000BF1E0000}"/>
    <cellStyle name="Обычный 4 2 5 2 4 2" xfId="9080" xr:uid="{00000000-0005-0000-0000-0000C01E0000}"/>
    <cellStyle name="Обычный 4 2 5 2 4 2 2" xfId="9081" xr:uid="{00000000-0005-0000-0000-0000C11E0000}"/>
    <cellStyle name="Обычный 4 2 5 2 4 2 2 2" xfId="9082" xr:uid="{00000000-0005-0000-0000-0000C21E0000}"/>
    <cellStyle name="Обычный 4 2 5 2 4 2 2 3" xfId="9083" xr:uid="{00000000-0005-0000-0000-0000C31E0000}"/>
    <cellStyle name="Обычный 4 2 5 2 4 2 3" xfId="9084" xr:uid="{00000000-0005-0000-0000-0000C41E0000}"/>
    <cellStyle name="Обычный 4 2 5 2 4 2 4" xfId="9085" xr:uid="{00000000-0005-0000-0000-0000C51E0000}"/>
    <cellStyle name="Обычный 4 2 5 2 4 3" xfId="9086" xr:uid="{00000000-0005-0000-0000-0000C61E0000}"/>
    <cellStyle name="Обычный 4 2 5 2 4 3 2" xfId="9087" xr:uid="{00000000-0005-0000-0000-0000C71E0000}"/>
    <cellStyle name="Обычный 4 2 5 2 4 3 3" xfId="9088" xr:uid="{00000000-0005-0000-0000-0000C81E0000}"/>
    <cellStyle name="Обычный 4 2 5 2 4 4" xfId="9089" xr:uid="{00000000-0005-0000-0000-0000C91E0000}"/>
    <cellStyle name="Обычный 4 2 5 2 4 4 2" xfId="9090" xr:uid="{00000000-0005-0000-0000-0000CA1E0000}"/>
    <cellStyle name="Обычный 4 2 5 2 4 5" xfId="9091" xr:uid="{00000000-0005-0000-0000-0000CB1E0000}"/>
    <cellStyle name="Обычный 4 2 5 2 4 6" xfId="9092" xr:uid="{00000000-0005-0000-0000-0000CC1E0000}"/>
    <cellStyle name="Обычный 4 2 5 2 5" xfId="9093" xr:uid="{00000000-0005-0000-0000-0000CD1E0000}"/>
    <cellStyle name="Обычный 4 2 5 2 5 2" xfId="9094" xr:uid="{00000000-0005-0000-0000-0000CE1E0000}"/>
    <cellStyle name="Обычный 4 2 5 2 5 2 2" xfId="9095" xr:uid="{00000000-0005-0000-0000-0000CF1E0000}"/>
    <cellStyle name="Обычный 4 2 5 2 5 2 3" xfId="9096" xr:uid="{00000000-0005-0000-0000-0000D01E0000}"/>
    <cellStyle name="Обычный 4 2 5 2 5 3" xfId="9097" xr:uid="{00000000-0005-0000-0000-0000D11E0000}"/>
    <cellStyle name="Обычный 4 2 5 2 5 4" xfId="9098" xr:uid="{00000000-0005-0000-0000-0000D21E0000}"/>
    <cellStyle name="Обычный 4 2 5 2 6" xfId="9099" xr:uid="{00000000-0005-0000-0000-0000D31E0000}"/>
    <cellStyle name="Обычный 4 2 5 2 6 2" xfId="9100" xr:uid="{00000000-0005-0000-0000-0000D41E0000}"/>
    <cellStyle name="Обычный 4 2 5 2 6 3" xfId="9101" xr:uid="{00000000-0005-0000-0000-0000D51E0000}"/>
    <cellStyle name="Обычный 4 2 5 2 7" xfId="9102" xr:uid="{00000000-0005-0000-0000-0000D61E0000}"/>
    <cellStyle name="Обычный 4 2 5 2 7 2" xfId="9103" xr:uid="{00000000-0005-0000-0000-0000D71E0000}"/>
    <cellStyle name="Обычный 4 2 5 2 8" xfId="9104" xr:uid="{00000000-0005-0000-0000-0000D81E0000}"/>
    <cellStyle name="Обычный 4 2 5 2 9" xfId="9105" xr:uid="{00000000-0005-0000-0000-0000D91E0000}"/>
    <cellStyle name="Обычный 4 2 5 3" xfId="9106" xr:uid="{00000000-0005-0000-0000-0000DA1E0000}"/>
    <cellStyle name="Обычный 4 2 5 3 2" xfId="9107" xr:uid="{00000000-0005-0000-0000-0000DB1E0000}"/>
    <cellStyle name="Обычный 4 2 5 3 2 2" xfId="9108" xr:uid="{00000000-0005-0000-0000-0000DC1E0000}"/>
    <cellStyle name="Обычный 4 2 5 3 2 2 2" xfId="9109" xr:uid="{00000000-0005-0000-0000-0000DD1E0000}"/>
    <cellStyle name="Обычный 4 2 5 3 2 2 2 2" xfId="9110" xr:uid="{00000000-0005-0000-0000-0000DE1E0000}"/>
    <cellStyle name="Обычный 4 2 5 3 2 2 2 2 2" xfId="9111" xr:uid="{00000000-0005-0000-0000-0000DF1E0000}"/>
    <cellStyle name="Обычный 4 2 5 3 2 2 2 2 3" xfId="9112" xr:uid="{00000000-0005-0000-0000-0000E01E0000}"/>
    <cellStyle name="Обычный 4 2 5 3 2 2 2 3" xfId="9113" xr:uid="{00000000-0005-0000-0000-0000E11E0000}"/>
    <cellStyle name="Обычный 4 2 5 3 2 2 2 4" xfId="9114" xr:uid="{00000000-0005-0000-0000-0000E21E0000}"/>
    <cellStyle name="Обычный 4 2 5 3 2 2 3" xfId="9115" xr:uid="{00000000-0005-0000-0000-0000E31E0000}"/>
    <cellStyle name="Обычный 4 2 5 3 2 2 3 2" xfId="9116" xr:uid="{00000000-0005-0000-0000-0000E41E0000}"/>
    <cellStyle name="Обычный 4 2 5 3 2 2 3 3" xfId="9117" xr:uid="{00000000-0005-0000-0000-0000E51E0000}"/>
    <cellStyle name="Обычный 4 2 5 3 2 2 4" xfId="9118" xr:uid="{00000000-0005-0000-0000-0000E61E0000}"/>
    <cellStyle name="Обычный 4 2 5 3 2 2 4 2" xfId="9119" xr:uid="{00000000-0005-0000-0000-0000E71E0000}"/>
    <cellStyle name="Обычный 4 2 5 3 2 2 5" xfId="9120" xr:uid="{00000000-0005-0000-0000-0000E81E0000}"/>
    <cellStyle name="Обычный 4 2 5 3 2 2 6" xfId="9121" xr:uid="{00000000-0005-0000-0000-0000E91E0000}"/>
    <cellStyle name="Обычный 4 2 5 3 2 3" xfId="9122" xr:uid="{00000000-0005-0000-0000-0000EA1E0000}"/>
    <cellStyle name="Обычный 4 2 5 3 2 3 2" xfId="9123" xr:uid="{00000000-0005-0000-0000-0000EB1E0000}"/>
    <cellStyle name="Обычный 4 2 5 3 2 3 2 2" xfId="9124" xr:uid="{00000000-0005-0000-0000-0000EC1E0000}"/>
    <cellStyle name="Обычный 4 2 5 3 2 3 2 3" xfId="9125" xr:uid="{00000000-0005-0000-0000-0000ED1E0000}"/>
    <cellStyle name="Обычный 4 2 5 3 2 3 3" xfId="9126" xr:uid="{00000000-0005-0000-0000-0000EE1E0000}"/>
    <cellStyle name="Обычный 4 2 5 3 2 3 4" xfId="9127" xr:uid="{00000000-0005-0000-0000-0000EF1E0000}"/>
    <cellStyle name="Обычный 4 2 5 3 2 4" xfId="9128" xr:uid="{00000000-0005-0000-0000-0000F01E0000}"/>
    <cellStyle name="Обычный 4 2 5 3 2 4 2" xfId="9129" xr:uid="{00000000-0005-0000-0000-0000F11E0000}"/>
    <cellStyle name="Обычный 4 2 5 3 2 4 3" xfId="9130" xr:uid="{00000000-0005-0000-0000-0000F21E0000}"/>
    <cellStyle name="Обычный 4 2 5 3 2 5" xfId="9131" xr:uid="{00000000-0005-0000-0000-0000F31E0000}"/>
    <cellStyle name="Обычный 4 2 5 3 2 5 2" xfId="9132" xr:uid="{00000000-0005-0000-0000-0000F41E0000}"/>
    <cellStyle name="Обычный 4 2 5 3 2 6" xfId="9133" xr:uid="{00000000-0005-0000-0000-0000F51E0000}"/>
    <cellStyle name="Обычный 4 2 5 3 2 7" xfId="9134" xr:uid="{00000000-0005-0000-0000-0000F61E0000}"/>
    <cellStyle name="Обычный 4 2 5 3 3" xfId="9135" xr:uid="{00000000-0005-0000-0000-0000F71E0000}"/>
    <cellStyle name="Обычный 4 2 5 3 3 2" xfId="9136" xr:uid="{00000000-0005-0000-0000-0000F81E0000}"/>
    <cellStyle name="Обычный 4 2 5 3 3 2 2" xfId="9137" xr:uid="{00000000-0005-0000-0000-0000F91E0000}"/>
    <cellStyle name="Обычный 4 2 5 3 3 2 2 2" xfId="9138" xr:uid="{00000000-0005-0000-0000-0000FA1E0000}"/>
    <cellStyle name="Обычный 4 2 5 3 3 2 2 3" xfId="9139" xr:uid="{00000000-0005-0000-0000-0000FB1E0000}"/>
    <cellStyle name="Обычный 4 2 5 3 3 2 3" xfId="9140" xr:uid="{00000000-0005-0000-0000-0000FC1E0000}"/>
    <cellStyle name="Обычный 4 2 5 3 3 2 4" xfId="9141" xr:uid="{00000000-0005-0000-0000-0000FD1E0000}"/>
    <cellStyle name="Обычный 4 2 5 3 3 3" xfId="9142" xr:uid="{00000000-0005-0000-0000-0000FE1E0000}"/>
    <cellStyle name="Обычный 4 2 5 3 3 3 2" xfId="9143" xr:uid="{00000000-0005-0000-0000-0000FF1E0000}"/>
    <cellStyle name="Обычный 4 2 5 3 3 3 3" xfId="9144" xr:uid="{00000000-0005-0000-0000-0000001F0000}"/>
    <cellStyle name="Обычный 4 2 5 3 3 4" xfId="9145" xr:uid="{00000000-0005-0000-0000-0000011F0000}"/>
    <cellStyle name="Обычный 4 2 5 3 3 4 2" xfId="9146" xr:uid="{00000000-0005-0000-0000-0000021F0000}"/>
    <cellStyle name="Обычный 4 2 5 3 3 5" xfId="9147" xr:uid="{00000000-0005-0000-0000-0000031F0000}"/>
    <cellStyle name="Обычный 4 2 5 3 3 6" xfId="9148" xr:uid="{00000000-0005-0000-0000-0000041F0000}"/>
    <cellStyle name="Обычный 4 2 5 3 4" xfId="9149" xr:uid="{00000000-0005-0000-0000-0000051F0000}"/>
    <cellStyle name="Обычный 4 2 5 3 4 2" xfId="9150" xr:uid="{00000000-0005-0000-0000-0000061F0000}"/>
    <cellStyle name="Обычный 4 2 5 3 4 2 2" xfId="9151" xr:uid="{00000000-0005-0000-0000-0000071F0000}"/>
    <cellStyle name="Обычный 4 2 5 3 4 2 3" xfId="9152" xr:uid="{00000000-0005-0000-0000-0000081F0000}"/>
    <cellStyle name="Обычный 4 2 5 3 4 3" xfId="9153" xr:uid="{00000000-0005-0000-0000-0000091F0000}"/>
    <cellStyle name="Обычный 4 2 5 3 4 4" xfId="9154" xr:uid="{00000000-0005-0000-0000-00000A1F0000}"/>
    <cellStyle name="Обычный 4 2 5 3 5" xfId="9155" xr:uid="{00000000-0005-0000-0000-00000B1F0000}"/>
    <cellStyle name="Обычный 4 2 5 3 5 2" xfId="9156" xr:uid="{00000000-0005-0000-0000-00000C1F0000}"/>
    <cellStyle name="Обычный 4 2 5 3 5 3" xfId="9157" xr:uid="{00000000-0005-0000-0000-00000D1F0000}"/>
    <cellStyle name="Обычный 4 2 5 3 6" xfId="9158" xr:uid="{00000000-0005-0000-0000-00000E1F0000}"/>
    <cellStyle name="Обычный 4 2 5 3 6 2" xfId="9159" xr:uid="{00000000-0005-0000-0000-00000F1F0000}"/>
    <cellStyle name="Обычный 4 2 5 3 7" xfId="9160" xr:uid="{00000000-0005-0000-0000-0000101F0000}"/>
    <cellStyle name="Обычный 4 2 5 3 8" xfId="9161" xr:uid="{00000000-0005-0000-0000-0000111F0000}"/>
    <cellStyle name="Обычный 4 2 5 4" xfId="9162" xr:uid="{00000000-0005-0000-0000-0000121F0000}"/>
    <cellStyle name="Обычный 4 2 5 4 2" xfId="9163" xr:uid="{00000000-0005-0000-0000-0000131F0000}"/>
    <cellStyle name="Обычный 4 2 5 4 2 2" xfId="9164" xr:uid="{00000000-0005-0000-0000-0000141F0000}"/>
    <cellStyle name="Обычный 4 2 5 4 2 2 2" xfId="9165" xr:uid="{00000000-0005-0000-0000-0000151F0000}"/>
    <cellStyle name="Обычный 4 2 5 4 2 2 2 2" xfId="9166" xr:uid="{00000000-0005-0000-0000-0000161F0000}"/>
    <cellStyle name="Обычный 4 2 5 4 2 2 2 3" xfId="9167" xr:uid="{00000000-0005-0000-0000-0000171F0000}"/>
    <cellStyle name="Обычный 4 2 5 4 2 2 3" xfId="9168" xr:uid="{00000000-0005-0000-0000-0000181F0000}"/>
    <cellStyle name="Обычный 4 2 5 4 2 2 4" xfId="9169" xr:uid="{00000000-0005-0000-0000-0000191F0000}"/>
    <cellStyle name="Обычный 4 2 5 4 2 3" xfId="9170" xr:uid="{00000000-0005-0000-0000-00001A1F0000}"/>
    <cellStyle name="Обычный 4 2 5 4 2 3 2" xfId="9171" xr:uid="{00000000-0005-0000-0000-00001B1F0000}"/>
    <cellStyle name="Обычный 4 2 5 4 2 3 3" xfId="9172" xr:uid="{00000000-0005-0000-0000-00001C1F0000}"/>
    <cellStyle name="Обычный 4 2 5 4 2 4" xfId="9173" xr:uid="{00000000-0005-0000-0000-00001D1F0000}"/>
    <cellStyle name="Обычный 4 2 5 4 2 4 2" xfId="9174" xr:uid="{00000000-0005-0000-0000-00001E1F0000}"/>
    <cellStyle name="Обычный 4 2 5 4 2 5" xfId="9175" xr:uid="{00000000-0005-0000-0000-00001F1F0000}"/>
    <cellStyle name="Обычный 4 2 5 4 2 6" xfId="9176" xr:uid="{00000000-0005-0000-0000-0000201F0000}"/>
    <cellStyle name="Обычный 4 2 5 4 3" xfId="9177" xr:uid="{00000000-0005-0000-0000-0000211F0000}"/>
    <cellStyle name="Обычный 4 2 5 4 3 2" xfId="9178" xr:uid="{00000000-0005-0000-0000-0000221F0000}"/>
    <cellStyle name="Обычный 4 2 5 4 3 2 2" xfId="9179" xr:uid="{00000000-0005-0000-0000-0000231F0000}"/>
    <cellStyle name="Обычный 4 2 5 4 3 2 3" xfId="9180" xr:uid="{00000000-0005-0000-0000-0000241F0000}"/>
    <cellStyle name="Обычный 4 2 5 4 3 3" xfId="9181" xr:uid="{00000000-0005-0000-0000-0000251F0000}"/>
    <cellStyle name="Обычный 4 2 5 4 3 4" xfId="9182" xr:uid="{00000000-0005-0000-0000-0000261F0000}"/>
    <cellStyle name="Обычный 4 2 5 4 4" xfId="9183" xr:uid="{00000000-0005-0000-0000-0000271F0000}"/>
    <cellStyle name="Обычный 4 2 5 4 4 2" xfId="9184" xr:uid="{00000000-0005-0000-0000-0000281F0000}"/>
    <cellStyle name="Обычный 4 2 5 4 4 3" xfId="9185" xr:uid="{00000000-0005-0000-0000-0000291F0000}"/>
    <cellStyle name="Обычный 4 2 5 4 5" xfId="9186" xr:uid="{00000000-0005-0000-0000-00002A1F0000}"/>
    <cellStyle name="Обычный 4 2 5 4 5 2" xfId="9187" xr:uid="{00000000-0005-0000-0000-00002B1F0000}"/>
    <cellStyle name="Обычный 4 2 5 4 6" xfId="9188" xr:uid="{00000000-0005-0000-0000-00002C1F0000}"/>
    <cellStyle name="Обычный 4 2 5 4 7" xfId="9189" xr:uid="{00000000-0005-0000-0000-00002D1F0000}"/>
    <cellStyle name="Обычный 4 2 5 5" xfId="9190" xr:uid="{00000000-0005-0000-0000-00002E1F0000}"/>
    <cellStyle name="Обычный 4 2 5 5 2" xfId="9191" xr:uid="{00000000-0005-0000-0000-00002F1F0000}"/>
    <cellStyle name="Обычный 4 2 5 5 2 2" xfId="9192" xr:uid="{00000000-0005-0000-0000-0000301F0000}"/>
    <cellStyle name="Обычный 4 2 5 5 2 2 2" xfId="9193" xr:uid="{00000000-0005-0000-0000-0000311F0000}"/>
    <cellStyle name="Обычный 4 2 5 5 2 2 3" xfId="9194" xr:uid="{00000000-0005-0000-0000-0000321F0000}"/>
    <cellStyle name="Обычный 4 2 5 5 2 3" xfId="9195" xr:uid="{00000000-0005-0000-0000-0000331F0000}"/>
    <cellStyle name="Обычный 4 2 5 5 2 4" xfId="9196" xr:uid="{00000000-0005-0000-0000-0000341F0000}"/>
    <cellStyle name="Обычный 4 2 5 5 3" xfId="9197" xr:uid="{00000000-0005-0000-0000-0000351F0000}"/>
    <cellStyle name="Обычный 4 2 5 5 3 2" xfId="9198" xr:uid="{00000000-0005-0000-0000-0000361F0000}"/>
    <cellStyle name="Обычный 4 2 5 5 3 3" xfId="9199" xr:uid="{00000000-0005-0000-0000-0000371F0000}"/>
    <cellStyle name="Обычный 4 2 5 5 4" xfId="9200" xr:uid="{00000000-0005-0000-0000-0000381F0000}"/>
    <cellStyle name="Обычный 4 2 5 5 4 2" xfId="9201" xr:uid="{00000000-0005-0000-0000-0000391F0000}"/>
    <cellStyle name="Обычный 4 2 5 5 5" xfId="9202" xr:uid="{00000000-0005-0000-0000-00003A1F0000}"/>
    <cellStyle name="Обычный 4 2 5 5 6" xfId="9203" xr:uid="{00000000-0005-0000-0000-00003B1F0000}"/>
    <cellStyle name="Обычный 4 2 5 6" xfId="9204" xr:uid="{00000000-0005-0000-0000-00003C1F0000}"/>
    <cellStyle name="Обычный 4 2 5 6 2" xfId="9205" xr:uid="{00000000-0005-0000-0000-00003D1F0000}"/>
    <cellStyle name="Обычный 4 2 5 6 2 2" xfId="9206" xr:uid="{00000000-0005-0000-0000-00003E1F0000}"/>
    <cellStyle name="Обычный 4 2 5 6 2 3" xfId="9207" xr:uid="{00000000-0005-0000-0000-00003F1F0000}"/>
    <cellStyle name="Обычный 4 2 5 6 3" xfId="9208" xr:uid="{00000000-0005-0000-0000-0000401F0000}"/>
    <cellStyle name="Обычный 4 2 5 6 4" xfId="9209" xr:uid="{00000000-0005-0000-0000-0000411F0000}"/>
    <cellStyle name="Обычный 4 2 5 7" xfId="9210" xr:uid="{00000000-0005-0000-0000-0000421F0000}"/>
    <cellStyle name="Обычный 4 2 5 7 2" xfId="9211" xr:uid="{00000000-0005-0000-0000-0000431F0000}"/>
    <cellStyle name="Обычный 4 2 5 7 3" xfId="9212" xr:uid="{00000000-0005-0000-0000-0000441F0000}"/>
    <cellStyle name="Обычный 4 2 5 8" xfId="9213" xr:uid="{00000000-0005-0000-0000-0000451F0000}"/>
    <cellStyle name="Обычный 4 2 5 8 2" xfId="9214" xr:uid="{00000000-0005-0000-0000-0000461F0000}"/>
    <cellStyle name="Обычный 4 2 5 9" xfId="9215" xr:uid="{00000000-0005-0000-0000-0000471F0000}"/>
    <cellStyle name="Обычный 4 2 6" xfId="3755" xr:uid="{00000000-0005-0000-0000-0000481F0000}"/>
    <cellStyle name="Обычный 4 2 6 2" xfId="9216" xr:uid="{00000000-0005-0000-0000-0000491F0000}"/>
    <cellStyle name="Обычный 4 2 6 2 2" xfId="9217" xr:uid="{00000000-0005-0000-0000-00004A1F0000}"/>
    <cellStyle name="Обычный 4 2 6 2 2 2" xfId="9218" xr:uid="{00000000-0005-0000-0000-00004B1F0000}"/>
    <cellStyle name="Обычный 4 2 6 2 2 2 2" xfId="9219" xr:uid="{00000000-0005-0000-0000-00004C1F0000}"/>
    <cellStyle name="Обычный 4 2 6 2 2 2 2 2" xfId="9220" xr:uid="{00000000-0005-0000-0000-00004D1F0000}"/>
    <cellStyle name="Обычный 4 2 6 2 2 2 2 2 2" xfId="9221" xr:uid="{00000000-0005-0000-0000-00004E1F0000}"/>
    <cellStyle name="Обычный 4 2 6 2 2 2 2 2 3" xfId="9222" xr:uid="{00000000-0005-0000-0000-00004F1F0000}"/>
    <cellStyle name="Обычный 4 2 6 2 2 2 2 3" xfId="9223" xr:uid="{00000000-0005-0000-0000-0000501F0000}"/>
    <cellStyle name="Обычный 4 2 6 2 2 2 2 4" xfId="9224" xr:uid="{00000000-0005-0000-0000-0000511F0000}"/>
    <cellStyle name="Обычный 4 2 6 2 2 2 3" xfId="9225" xr:uid="{00000000-0005-0000-0000-0000521F0000}"/>
    <cellStyle name="Обычный 4 2 6 2 2 2 3 2" xfId="9226" xr:uid="{00000000-0005-0000-0000-0000531F0000}"/>
    <cellStyle name="Обычный 4 2 6 2 2 2 3 3" xfId="9227" xr:uid="{00000000-0005-0000-0000-0000541F0000}"/>
    <cellStyle name="Обычный 4 2 6 2 2 2 4" xfId="9228" xr:uid="{00000000-0005-0000-0000-0000551F0000}"/>
    <cellStyle name="Обычный 4 2 6 2 2 2 4 2" xfId="9229" xr:uid="{00000000-0005-0000-0000-0000561F0000}"/>
    <cellStyle name="Обычный 4 2 6 2 2 2 5" xfId="9230" xr:uid="{00000000-0005-0000-0000-0000571F0000}"/>
    <cellStyle name="Обычный 4 2 6 2 2 2 6" xfId="9231" xr:uid="{00000000-0005-0000-0000-0000581F0000}"/>
    <cellStyle name="Обычный 4 2 6 2 2 3" xfId="9232" xr:uid="{00000000-0005-0000-0000-0000591F0000}"/>
    <cellStyle name="Обычный 4 2 6 2 2 3 2" xfId="9233" xr:uid="{00000000-0005-0000-0000-00005A1F0000}"/>
    <cellStyle name="Обычный 4 2 6 2 2 3 2 2" xfId="9234" xr:uid="{00000000-0005-0000-0000-00005B1F0000}"/>
    <cellStyle name="Обычный 4 2 6 2 2 3 2 3" xfId="9235" xr:uid="{00000000-0005-0000-0000-00005C1F0000}"/>
    <cellStyle name="Обычный 4 2 6 2 2 3 3" xfId="9236" xr:uid="{00000000-0005-0000-0000-00005D1F0000}"/>
    <cellStyle name="Обычный 4 2 6 2 2 3 4" xfId="9237" xr:uid="{00000000-0005-0000-0000-00005E1F0000}"/>
    <cellStyle name="Обычный 4 2 6 2 2 4" xfId="9238" xr:uid="{00000000-0005-0000-0000-00005F1F0000}"/>
    <cellStyle name="Обычный 4 2 6 2 2 4 2" xfId="9239" xr:uid="{00000000-0005-0000-0000-0000601F0000}"/>
    <cellStyle name="Обычный 4 2 6 2 2 4 3" xfId="9240" xr:uid="{00000000-0005-0000-0000-0000611F0000}"/>
    <cellStyle name="Обычный 4 2 6 2 2 5" xfId="9241" xr:uid="{00000000-0005-0000-0000-0000621F0000}"/>
    <cellStyle name="Обычный 4 2 6 2 2 5 2" xfId="9242" xr:uid="{00000000-0005-0000-0000-0000631F0000}"/>
    <cellStyle name="Обычный 4 2 6 2 2 6" xfId="9243" xr:uid="{00000000-0005-0000-0000-0000641F0000}"/>
    <cellStyle name="Обычный 4 2 6 2 2 7" xfId="9244" xr:uid="{00000000-0005-0000-0000-0000651F0000}"/>
    <cellStyle name="Обычный 4 2 6 2 3" xfId="9245" xr:uid="{00000000-0005-0000-0000-0000661F0000}"/>
    <cellStyle name="Обычный 4 2 6 2 3 2" xfId="9246" xr:uid="{00000000-0005-0000-0000-0000671F0000}"/>
    <cellStyle name="Обычный 4 2 6 2 3 2 2" xfId="9247" xr:uid="{00000000-0005-0000-0000-0000681F0000}"/>
    <cellStyle name="Обычный 4 2 6 2 3 2 2 2" xfId="9248" xr:uid="{00000000-0005-0000-0000-0000691F0000}"/>
    <cellStyle name="Обычный 4 2 6 2 3 2 2 3" xfId="9249" xr:uid="{00000000-0005-0000-0000-00006A1F0000}"/>
    <cellStyle name="Обычный 4 2 6 2 3 2 3" xfId="9250" xr:uid="{00000000-0005-0000-0000-00006B1F0000}"/>
    <cellStyle name="Обычный 4 2 6 2 3 2 4" xfId="9251" xr:uid="{00000000-0005-0000-0000-00006C1F0000}"/>
    <cellStyle name="Обычный 4 2 6 2 3 3" xfId="9252" xr:uid="{00000000-0005-0000-0000-00006D1F0000}"/>
    <cellStyle name="Обычный 4 2 6 2 3 3 2" xfId="9253" xr:uid="{00000000-0005-0000-0000-00006E1F0000}"/>
    <cellStyle name="Обычный 4 2 6 2 3 3 3" xfId="9254" xr:uid="{00000000-0005-0000-0000-00006F1F0000}"/>
    <cellStyle name="Обычный 4 2 6 2 3 4" xfId="9255" xr:uid="{00000000-0005-0000-0000-0000701F0000}"/>
    <cellStyle name="Обычный 4 2 6 2 3 4 2" xfId="9256" xr:uid="{00000000-0005-0000-0000-0000711F0000}"/>
    <cellStyle name="Обычный 4 2 6 2 3 5" xfId="9257" xr:uid="{00000000-0005-0000-0000-0000721F0000}"/>
    <cellStyle name="Обычный 4 2 6 2 3 6" xfId="9258" xr:uid="{00000000-0005-0000-0000-0000731F0000}"/>
    <cellStyle name="Обычный 4 2 6 2 4" xfId="9259" xr:uid="{00000000-0005-0000-0000-0000741F0000}"/>
    <cellStyle name="Обычный 4 2 6 2 4 2" xfId="9260" xr:uid="{00000000-0005-0000-0000-0000751F0000}"/>
    <cellStyle name="Обычный 4 2 6 2 4 2 2" xfId="9261" xr:uid="{00000000-0005-0000-0000-0000761F0000}"/>
    <cellStyle name="Обычный 4 2 6 2 4 2 3" xfId="9262" xr:uid="{00000000-0005-0000-0000-0000771F0000}"/>
    <cellStyle name="Обычный 4 2 6 2 4 3" xfId="9263" xr:uid="{00000000-0005-0000-0000-0000781F0000}"/>
    <cellStyle name="Обычный 4 2 6 2 4 4" xfId="9264" xr:uid="{00000000-0005-0000-0000-0000791F0000}"/>
    <cellStyle name="Обычный 4 2 6 2 5" xfId="9265" xr:uid="{00000000-0005-0000-0000-00007A1F0000}"/>
    <cellStyle name="Обычный 4 2 6 2 5 2" xfId="9266" xr:uid="{00000000-0005-0000-0000-00007B1F0000}"/>
    <cellStyle name="Обычный 4 2 6 2 5 3" xfId="9267" xr:uid="{00000000-0005-0000-0000-00007C1F0000}"/>
    <cellStyle name="Обычный 4 2 6 2 6" xfId="9268" xr:uid="{00000000-0005-0000-0000-00007D1F0000}"/>
    <cellStyle name="Обычный 4 2 6 2 6 2" xfId="9269" xr:uid="{00000000-0005-0000-0000-00007E1F0000}"/>
    <cellStyle name="Обычный 4 2 6 2 7" xfId="9270" xr:uid="{00000000-0005-0000-0000-00007F1F0000}"/>
    <cellStyle name="Обычный 4 2 6 2 8" xfId="9271" xr:uid="{00000000-0005-0000-0000-0000801F0000}"/>
    <cellStyle name="Обычный 4 2 6 3" xfId="9272" xr:uid="{00000000-0005-0000-0000-0000811F0000}"/>
    <cellStyle name="Обычный 4 2 6 3 2" xfId="9273" xr:uid="{00000000-0005-0000-0000-0000821F0000}"/>
    <cellStyle name="Обычный 4 2 6 3 2 2" xfId="9274" xr:uid="{00000000-0005-0000-0000-0000831F0000}"/>
    <cellStyle name="Обычный 4 2 6 3 2 2 2" xfId="9275" xr:uid="{00000000-0005-0000-0000-0000841F0000}"/>
    <cellStyle name="Обычный 4 2 6 3 2 2 2 2" xfId="9276" xr:uid="{00000000-0005-0000-0000-0000851F0000}"/>
    <cellStyle name="Обычный 4 2 6 3 2 2 2 3" xfId="9277" xr:uid="{00000000-0005-0000-0000-0000861F0000}"/>
    <cellStyle name="Обычный 4 2 6 3 2 2 3" xfId="9278" xr:uid="{00000000-0005-0000-0000-0000871F0000}"/>
    <cellStyle name="Обычный 4 2 6 3 2 2 4" xfId="9279" xr:uid="{00000000-0005-0000-0000-0000881F0000}"/>
    <cellStyle name="Обычный 4 2 6 3 2 3" xfId="9280" xr:uid="{00000000-0005-0000-0000-0000891F0000}"/>
    <cellStyle name="Обычный 4 2 6 3 2 3 2" xfId="9281" xr:uid="{00000000-0005-0000-0000-00008A1F0000}"/>
    <cellStyle name="Обычный 4 2 6 3 2 3 3" xfId="9282" xr:uid="{00000000-0005-0000-0000-00008B1F0000}"/>
    <cellStyle name="Обычный 4 2 6 3 2 4" xfId="9283" xr:uid="{00000000-0005-0000-0000-00008C1F0000}"/>
    <cellStyle name="Обычный 4 2 6 3 2 4 2" xfId="9284" xr:uid="{00000000-0005-0000-0000-00008D1F0000}"/>
    <cellStyle name="Обычный 4 2 6 3 2 5" xfId="9285" xr:uid="{00000000-0005-0000-0000-00008E1F0000}"/>
    <cellStyle name="Обычный 4 2 6 3 2 6" xfId="9286" xr:uid="{00000000-0005-0000-0000-00008F1F0000}"/>
    <cellStyle name="Обычный 4 2 6 3 3" xfId="9287" xr:uid="{00000000-0005-0000-0000-0000901F0000}"/>
    <cellStyle name="Обычный 4 2 6 3 3 2" xfId="9288" xr:uid="{00000000-0005-0000-0000-0000911F0000}"/>
    <cellStyle name="Обычный 4 2 6 3 3 2 2" xfId="9289" xr:uid="{00000000-0005-0000-0000-0000921F0000}"/>
    <cellStyle name="Обычный 4 2 6 3 3 2 3" xfId="9290" xr:uid="{00000000-0005-0000-0000-0000931F0000}"/>
    <cellStyle name="Обычный 4 2 6 3 3 3" xfId="9291" xr:uid="{00000000-0005-0000-0000-0000941F0000}"/>
    <cellStyle name="Обычный 4 2 6 3 3 4" xfId="9292" xr:uid="{00000000-0005-0000-0000-0000951F0000}"/>
    <cellStyle name="Обычный 4 2 6 3 4" xfId="9293" xr:uid="{00000000-0005-0000-0000-0000961F0000}"/>
    <cellStyle name="Обычный 4 2 6 3 4 2" xfId="9294" xr:uid="{00000000-0005-0000-0000-0000971F0000}"/>
    <cellStyle name="Обычный 4 2 6 3 4 3" xfId="9295" xr:uid="{00000000-0005-0000-0000-0000981F0000}"/>
    <cellStyle name="Обычный 4 2 6 3 5" xfId="9296" xr:uid="{00000000-0005-0000-0000-0000991F0000}"/>
    <cellStyle name="Обычный 4 2 6 3 5 2" xfId="9297" xr:uid="{00000000-0005-0000-0000-00009A1F0000}"/>
    <cellStyle name="Обычный 4 2 6 3 6" xfId="9298" xr:uid="{00000000-0005-0000-0000-00009B1F0000}"/>
    <cellStyle name="Обычный 4 2 6 3 7" xfId="9299" xr:uid="{00000000-0005-0000-0000-00009C1F0000}"/>
    <cellStyle name="Обычный 4 2 6 4" xfId="9300" xr:uid="{00000000-0005-0000-0000-00009D1F0000}"/>
    <cellStyle name="Обычный 4 2 6 4 2" xfId="9301" xr:uid="{00000000-0005-0000-0000-00009E1F0000}"/>
    <cellStyle name="Обычный 4 2 6 4 2 2" xfId="9302" xr:uid="{00000000-0005-0000-0000-00009F1F0000}"/>
    <cellStyle name="Обычный 4 2 6 4 2 2 2" xfId="9303" xr:uid="{00000000-0005-0000-0000-0000A01F0000}"/>
    <cellStyle name="Обычный 4 2 6 4 2 2 3" xfId="9304" xr:uid="{00000000-0005-0000-0000-0000A11F0000}"/>
    <cellStyle name="Обычный 4 2 6 4 2 3" xfId="9305" xr:uid="{00000000-0005-0000-0000-0000A21F0000}"/>
    <cellStyle name="Обычный 4 2 6 4 2 4" xfId="9306" xr:uid="{00000000-0005-0000-0000-0000A31F0000}"/>
    <cellStyle name="Обычный 4 2 6 4 3" xfId="9307" xr:uid="{00000000-0005-0000-0000-0000A41F0000}"/>
    <cellStyle name="Обычный 4 2 6 4 3 2" xfId="9308" xr:uid="{00000000-0005-0000-0000-0000A51F0000}"/>
    <cellStyle name="Обычный 4 2 6 4 3 3" xfId="9309" xr:uid="{00000000-0005-0000-0000-0000A61F0000}"/>
    <cellStyle name="Обычный 4 2 6 4 4" xfId="9310" xr:uid="{00000000-0005-0000-0000-0000A71F0000}"/>
    <cellStyle name="Обычный 4 2 6 4 4 2" xfId="9311" xr:uid="{00000000-0005-0000-0000-0000A81F0000}"/>
    <cellStyle name="Обычный 4 2 6 4 5" xfId="9312" xr:uid="{00000000-0005-0000-0000-0000A91F0000}"/>
    <cellStyle name="Обычный 4 2 6 4 6" xfId="9313" xr:uid="{00000000-0005-0000-0000-0000AA1F0000}"/>
    <cellStyle name="Обычный 4 2 6 5" xfId="9314" xr:uid="{00000000-0005-0000-0000-0000AB1F0000}"/>
    <cellStyle name="Обычный 4 2 6 5 2" xfId="9315" xr:uid="{00000000-0005-0000-0000-0000AC1F0000}"/>
    <cellStyle name="Обычный 4 2 6 5 2 2" xfId="9316" xr:uid="{00000000-0005-0000-0000-0000AD1F0000}"/>
    <cellStyle name="Обычный 4 2 6 5 2 3" xfId="9317" xr:uid="{00000000-0005-0000-0000-0000AE1F0000}"/>
    <cellStyle name="Обычный 4 2 6 5 3" xfId="9318" xr:uid="{00000000-0005-0000-0000-0000AF1F0000}"/>
    <cellStyle name="Обычный 4 2 6 5 4" xfId="9319" xr:uid="{00000000-0005-0000-0000-0000B01F0000}"/>
    <cellStyle name="Обычный 4 2 6 6" xfId="9320" xr:uid="{00000000-0005-0000-0000-0000B11F0000}"/>
    <cellStyle name="Обычный 4 2 6 6 2" xfId="9321" xr:uid="{00000000-0005-0000-0000-0000B21F0000}"/>
    <cellStyle name="Обычный 4 2 6 6 3" xfId="9322" xr:uid="{00000000-0005-0000-0000-0000B31F0000}"/>
    <cellStyle name="Обычный 4 2 6 7" xfId="9323" xr:uid="{00000000-0005-0000-0000-0000B41F0000}"/>
    <cellStyle name="Обычный 4 2 6 7 2" xfId="9324" xr:uid="{00000000-0005-0000-0000-0000B51F0000}"/>
    <cellStyle name="Обычный 4 2 6 8" xfId="9325" xr:uid="{00000000-0005-0000-0000-0000B61F0000}"/>
    <cellStyle name="Обычный 4 2 6 9" xfId="9326" xr:uid="{00000000-0005-0000-0000-0000B71F0000}"/>
    <cellStyle name="Обычный 4 2 7" xfId="3756" xr:uid="{00000000-0005-0000-0000-0000B81F0000}"/>
    <cellStyle name="Обычный 4 2 7 2" xfId="9327" xr:uid="{00000000-0005-0000-0000-0000B91F0000}"/>
    <cellStyle name="Обычный 4 2 7 2 2" xfId="9328" xr:uid="{00000000-0005-0000-0000-0000BA1F0000}"/>
    <cellStyle name="Обычный 4 2 7 2 2 2" xfId="9329" xr:uid="{00000000-0005-0000-0000-0000BB1F0000}"/>
    <cellStyle name="Обычный 4 2 7 2 2 2 2" xfId="9330" xr:uid="{00000000-0005-0000-0000-0000BC1F0000}"/>
    <cellStyle name="Обычный 4 2 7 2 2 2 2 2" xfId="9331" xr:uid="{00000000-0005-0000-0000-0000BD1F0000}"/>
    <cellStyle name="Обычный 4 2 7 2 2 2 2 3" xfId="9332" xr:uid="{00000000-0005-0000-0000-0000BE1F0000}"/>
    <cellStyle name="Обычный 4 2 7 2 2 2 3" xfId="9333" xr:uid="{00000000-0005-0000-0000-0000BF1F0000}"/>
    <cellStyle name="Обычный 4 2 7 2 2 2 4" xfId="9334" xr:uid="{00000000-0005-0000-0000-0000C01F0000}"/>
    <cellStyle name="Обычный 4 2 7 2 2 3" xfId="9335" xr:uid="{00000000-0005-0000-0000-0000C11F0000}"/>
    <cellStyle name="Обычный 4 2 7 2 2 3 2" xfId="9336" xr:uid="{00000000-0005-0000-0000-0000C21F0000}"/>
    <cellStyle name="Обычный 4 2 7 2 2 3 3" xfId="9337" xr:uid="{00000000-0005-0000-0000-0000C31F0000}"/>
    <cellStyle name="Обычный 4 2 7 2 2 4" xfId="9338" xr:uid="{00000000-0005-0000-0000-0000C41F0000}"/>
    <cellStyle name="Обычный 4 2 7 2 2 4 2" xfId="9339" xr:uid="{00000000-0005-0000-0000-0000C51F0000}"/>
    <cellStyle name="Обычный 4 2 7 2 2 5" xfId="9340" xr:uid="{00000000-0005-0000-0000-0000C61F0000}"/>
    <cellStyle name="Обычный 4 2 7 2 2 6" xfId="9341" xr:uid="{00000000-0005-0000-0000-0000C71F0000}"/>
    <cellStyle name="Обычный 4 2 7 2 3" xfId="9342" xr:uid="{00000000-0005-0000-0000-0000C81F0000}"/>
    <cellStyle name="Обычный 4 2 7 2 3 2" xfId="9343" xr:uid="{00000000-0005-0000-0000-0000C91F0000}"/>
    <cellStyle name="Обычный 4 2 7 2 3 2 2" xfId="9344" xr:uid="{00000000-0005-0000-0000-0000CA1F0000}"/>
    <cellStyle name="Обычный 4 2 7 2 3 2 3" xfId="9345" xr:uid="{00000000-0005-0000-0000-0000CB1F0000}"/>
    <cellStyle name="Обычный 4 2 7 2 3 3" xfId="9346" xr:uid="{00000000-0005-0000-0000-0000CC1F0000}"/>
    <cellStyle name="Обычный 4 2 7 2 3 4" xfId="9347" xr:uid="{00000000-0005-0000-0000-0000CD1F0000}"/>
    <cellStyle name="Обычный 4 2 7 2 4" xfId="9348" xr:uid="{00000000-0005-0000-0000-0000CE1F0000}"/>
    <cellStyle name="Обычный 4 2 7 2 4 2" xfId="9349" xr:uid="{00000000-0005-0000-0000-0000CF1F0000}"/>
    <cellStyle name="Обычный 4 2 7 2 4 3" xfId="9350" xr:uid="{00000000-0005-0000-0000-0000D01F0000}"/>
    <cellStyle name="Обычный 4 2 7 2 5" xfId="9351" xr:uid="{00000000-0005-0000-0000-0000D11F0000}"/>
    <cellStyle name="Обычный 4 2 7 2 5 2" xfId="9352" xr:uid="{00000000-0005-0000-0000-0000D21F0000}"/>
    <cellStyle name="Обычный 4 2 7 2 6" xfId="9353" xr:uid="{00000000-0005-0000-0000-0000D31F0000}"/>
    <cellStyle name="Обычный 4 2 7 2 7" xfId="9354" xr:uid="{00000000-0005-0000-0000-0000D41F0000}"/>
    <cellStyle name="Обычный 4 2 7 3" xfId="9355" xr:uid="{00000000-0005-0000-0000-0000D51F0000}"/>
    <cellStyle name="Обычный 4 2 7 3 2" xfId="9356" xr:uid="{00000000-0005-0000-0000-0000D61F0000}"/>
    <cellStyle name="Обычный 4 2 7 3 2 2" xfId="9357" xr:uid="{00000000-0005-0000-0000-0000D71F0000}"/>
    <cellStyle name="Обычный 4 2 7 3 2 2 2" xfId="9358" xr:uid="{00000000-0005-0000-0000-0000D81F0000}"/>
    <cellStyle name="Обычный 4 2 7 3 2 2 3" xfId="9359" xr:uid="{00000000-0005-0000-0000-0000D91F0000}"/>
    <cellStyle name="Обычный 4 2 7 3 2 3" xfId="9360" xr:uid="{00000000-0005-0000-0000-0000DA1F0000}"/>
    <cellStyle name="Обычный 4 2 7 3 2 4" xfId="9361" xr:uid="{00000000-0005-0000-0000-0000DB1F0000}"/>
    <cellStyle name="Обычный 4 2 7 3 3" xfId="9362" xr:uid="{00000000-0005-0000-0000-0000DC1F0000}"/>
    <cellStyle name="Обычный 4 2 7 3 3 2" xfId="9363" xr:uid="{00000000-0005-0000-0000-0000DD1F0000}"/>
    <cellStyle name="Обычный 4 2 7 3 3 3" xfId="9364" xr:uid="{00000000-0005-0000-0000-0000DE1F0000}"/>
    <cellStyle name="Обычный 4 2 7 3 4" xfId="9365" xr:uid="{00000000-0005-0000-0000-0000DF1F0000}"/>
    <cellStyle name="Обычный 4 2 7 3 4 2" xfId="9366" xr:uid="{00000000-0005-0000-0000-0000E01F0000}"/>
    <cellStyle name="Обычный 4 2 7 3 5" xfId="9367" xr:uid="{00000000-0005-0000-0000-0000E11F0000}"/>
    <cellStyle name="Обычный 4 2 7 3 6" xfId="9368" xr:uid="{00000000-0005-0000-0000-0000E21F0000}"/>
    <cellStyle name="Обычный 4 2 7 4" xfId="9369" xr:uid="{00000000-0005-0000-0000-0000E31F0000}"/>
    <cellStyle name="Обычный 4 2 7 4 2" xfId="9370" xr:uid="{00000000-0005-0000-0000-0000E41F0000}"/>
    <cellStyle name="Обычный 4 2 7 4 2 2" xfId="9371" xr:uid="{00000000-0005-0000-0000-0000E51F0000}"/>
    <cellStyle name="Обычный 4 2 7 4 2 3" xfId="9372" xr:uid="{00000000-0005-0000-0000-0000E61F0000}"/>
    <cellStyle name="Обычный 4 2 7 4 3" xfId="9373" xr:uid="{00000000-0005-0000-0000-0000E71F0000}"/>
    <cellStyle name="Обычный 4 2 7 4 4" xfId="9374" xr:uid="{00000000-0005-0000-0000-0000E81F0000}"/>
    <cellStyle name="Обычный 4 2 7 5" xfId="9375" xr:uid="{00000000-0005-0000-0000-0000E91F0000}"/>
    <cellStyle name="Обычный 4 2 7 5 2" xfId="9376" xr:uid="{00000000-0005-0000-0000-0000EA1F0000}"/>
    <cellStyle name="Обычный 4 2 7 5 3" xfId="9377" xr:uid="{00000000-0005-0000-0000-0000EB1F0000}"/>
    <cellStyle name="Обычный 4 2 7 6" xfId="9378" xr:uid="{00000000-0005-0000-0000-0000EC1F0000}"/>
    <cellStyle name="Обычный 4 2 7 6 2" xfId="9379" xr:uid="{00000000-0005-0000-0000-0000ED1F0000}"/>
    <cellStyle name="Обычный 4 2 7 7" xfId="9380" xr:uid="{00000000-0005-0000-0000-0000EE1F0000}"/>
    <cellStyle name="Обычный 4 2 7 8" xfId="9381" xr:uid="{00000000-0005-0000-0000-0000EF1F0000}"/>
    <cellStyle name="Обычный 4 2 8" xfId="3757" xr:uid="{00000000-0005-0000-0000-0000F01F0000}"/>
    <cellStyle name="Обычный 4 2 8 2" xfId="9382" xr:uid="{00000000-0005-0000-0000-0000F11F0000}"/>
    <cellStyle name="Обычный 4 2 8 2 2" xfId="9383" xr:uid="{00000000-0005-0000-0000-0000F21F0000}"/>
    <cellStyle name="Обычный 4 2 8 2 2 2" xfId="9384" xr:uid="{00000000-0005-0000-0000-0000F31F0000}"/>
    <cellStyle name="Обычный 4 2 8 2 2 2 2" xfId="9385" xr:uid="{00000000-0005-0000-0000-0000F41F0000}"/>
    <cellStyle name="Обычный 4 2 8 2 2 2 3" xfId="9386" xr:uid="{00000000-0005-0000-0000-0000F51F0000}"/>
    <cellStyle name="Обычный 4 2 8 2 2 3" xfId="9387" xr:uid="{00000000-0005-0000-0000-0000F61F0000}"/>
    <cellStyle name="Обычный 4 2 8 2 2 4" xfId="9388" xr:uid="{00000000-0005-0000-0000-0000F71F0000}"/>
    <cellStyle name="Обычный 4 2 8 2 3" xfId="9389" xr:uid="{00000000-0005-0000-0000-0000F81F0000}"/>
    <cellStyle name="Обычный 4 2 8 2 3 2" xfId="9390" xr:uid="{00000000-0005-0000-0000-0000F91F0000}"/>
    <cellStyle name="Обычный 4 2 8 2 3 3" xfId="9391" xr:uid="{00000000-0005-0000-0000-0000FA1F0000}"/>
    <cellStyle name="Обычный 4 2 8 2 4" xfId="9392" xr:uid="{00000000-0005-0000-0000-0000FB1F0000}"/>
    <cellStyle name="Обычный 4 2 8 2 4 2" xfId="9393" xr:uid="{00000000-0005-0000-0000-0000FC1F0000}"/>
    <cellStyle name="Обычный 4 2 8 2 5" xfId="9394" xr:uid="{00000000-0005-0000-0000-0000FD1F0000}"/>
    <cellStyle name="Обычный 4 2 8 2 6" xfId="9395" xr:uid="{00000000-0005-0000-0000-0000FE1F0000}"/>
    <cellStyle name="Обычный 4 2 8 3" xfId="9396" xr:uid="{00000000-0005-0000-0000-0000FF1F0000}"/>
    <cellStyle name="Обычный 4 2 8 3 2" xfId="9397" xr:uid="{00000000-0005-0000-0000-000000200000}"/>
    <cellStyle name="Обычный 4 2 8 3 2 2" xfId="9398" xr:uid="{00000000-0005-0000-0000-000001200000}"/>
    <cellStyle name="Обычный 4 2 8 3 2 3" xfId="9399" xr:uid="{00000000-0005-0000-0000-000002200000}"/>
    <cellStyle name="Обычный 4 2 8 3 3" xfId="9400" xr:uid="{00000000-0005-0000-0000-000003200000}"/>
    <cellStyle name="Обычный 4 2 8 3 4" xfId="9401" xr:uid="{00000000-0005-0000-0000-000004200000}"/>
    <cellStyle name="Обычный 4 2 8 4" xfId="9402" xr:uid="{00000000-0005-0000-0000-000005200000}"/>
    <cellStyle name="Обычный 4 2 8 4 2" xfId="9403" xr:uid="{00000000-0005-0000-0000-000006200000}"/>
    <cellStyle name="Обычный 4 2 8 4 3" xfId="9404" xr:uid="{00000000-0005-0000-0000-000007200000}"/>
    <cellStyle name="Обычный 4 2 8 5" xfId="9405" xr:uid="{00000000-0005-0000-0000-000008200000}"/>
    <cellStyle name="Обычный 4 2 8 5 2" xfId="9406" xr:uid="{00000000-0005-0000-0000-000009200000}"/>
    <cellStyle name="Обычный 4 2 8 6" xfId="9407" xr:uid="{00000000-0005-0000-0000-00000A200000}"/>
    <cellStyle name="Обычный 4 2 8 7" xfId="9408" xr:uid="{00000000-0005-0000-0000-00000B200000}"/>
    <cellStyle name="Обычный 4 2 9" xfId="3758" xr:uid="{00000000-0005-0000-0000-00000C200000}"/>
    <cellStyle name="Обычный 4 2 9 2" xfId="9409" xr:uid="{00000000-0005-0000-0000-00000D200000}"/>
    <cellStyle name="Обычный 4 2 9 2 2" xfId="9410" xr:uid="{00000000-0005-0000-0000-00000E200000}"/>
    <cellStyle name="Обычный 4 2 9 2 2 2" xfId="9411" xr:uid="{00000000-0005-0000-0000-00000F200000}"/>
    <cellStyle name="Обычный 4 2 9 2 2 3" xfId="9412" xr:uid="{00000000-0005-0000-0000-000010200000}"/>
    <cellStyle name="Обычный 4 2 9 2 3" xfId="9413" xr:uid="{00000000-0005-0000-0000-000011200000}"/>
    <cellStyle name="Обычный 4 2 9 2 4" xfId="9414" xr:uid="{00000000-0005-0000-0000-000012200000}"/>
    <cellStyle name="Обычный 4 2 9 3" xfId="9415" xr:uid="{00000000-0005-0000-0000-000013200000}"/>
    <cellStyle name="Обычный 4 2 9 3 2" xfId="9416" xr:uid="{00000000-0005-0000-0000-000014200000}"/>
    <cellStyle name="Обычный 4 2 9 3 3" xfId="9417" xr:uid="{00000000-0005-0000-0000-000015200000}"/>
    <cellStyle name="Обычный 4 2 9 4" xfId="9418" xr:uid="{00000000-0005-0000-0000-000016200000}"/>
    <cellStyle name="Обычный 4 2 9 4 2" xfId="9419" xr:uid="{00000000-0005-0000-0000-000017200000}"/>
    <cellStyle name="Обычный 4 2 9 5" xfId="9420" xr:uid="{00000000-0005-0000-0000-000018200000}"/>
    <cellStyle name="Обычный 4 2 9 6" xfId="9421" xr:uid="{00000000-0005-0000-0000-000019200000}"/>
    <cellStyle name="Обычный 4 2_бюджет 2013 МБ" xfId="3759" xr:uid="{00000000-0005-0000-0000-00001A200000}"/>
    <cellStyle name="Обычный 4 20" xfId="3760" xr:uid="{00000000-0005-0000-0000-00001B200000}"/>
    <cellStyle name="Обычный 4 21" xfId="3761" xr:uid="{00000000-0005-0000-0000-00001C200000}"/>
    <cellStyle name="Обычный 4 22" xfId="3762" xr:uid="{00000000-0005-0000-0000-00001D200000}"/>
    <cellStyle name="Обычный 4 3" xfId="3763" xr:uid="{00000000-0005-0000-0000-00001E200000}"/>
    <cellStyle name="Обычный 4 3 2" xfId="3764" xr:uid="{00000000-0005-0000-0000-00001F200000}"/>
    <cellStyle name="Обычный 4 3 3" xfId="3765" xr:uid="{00000000-0005-0000-0000-000020200000}"/>
    <cellStyle name="Обычный 4 3 4" xfId="3766" xr:uid="{00000000-0005-0000-0000-000021200000}"/>
    <cellStyle name="Обычный 4 3 5" xfId="3767" xr:uid="{00000000-0005-0000-0000-000022200000}"/>
    <cellStyle name="Обычный 4 3_Свод гостин" xfId="3768" xr:uid="{00000000-0005-0000-0000-000023200000}"/>
    <cellStyle name="Обычный 4 4" xfId="3769" xr:uid="{00000000-0005-0000-0000-000024200000}"/>
    <cellStyle name="Обычный 4 4 2" xfId="3770" xr:uid="{00000000-0005-0000-0000-000025200000}"/>
    <cellStyle name="Обычный 4 4 3" xfId="3771" xr:uid="{00000000-0005-0000-0000-000026200000}"/>
    <cellStyle name="Обычный 4 5" xfId="3772" xr:uid="{00000000-0005-0000-0000-000027200000}"/>
    <cellStyle name="Обычный 4 5 2" xfId="3773" xr:uid="{00000000-0005-0000-0000-000028200000}"/>
    <cellStyle name="Обычный 4 5 3" xfId="3774" xr:uid="{00000000-0005-0000-0000-000029200000}"/>
    <cellStyle name="Обычный 4 6" xfId="3775" xr:uid="{00000000-0005-0000-0000-00002A200000}"/>
    <cellStyle name="Обычный 4 6 2" xfId="3776" xr:uid="{00000000-0005-0000-0000-00002B200000}"/>
    <cellStyle name="Обычный 4 6 3" xfId="3777" xr:uid="{00000000-0005-0000-0000-00002C200000}"/>
    <cellStyle name="Обычный 4 7" xfId="3778" xr:uid="{00000000-0005-0000-0000-00002D200000}"/>
    <cellStyle name="Обычный 4 7 2" xfId="3779" xr:uid="{00000000-0005-0000-0000-00002E200000}"/>
    <cellStyle name="Обычный 4 7 3" xfId="3780" xr:uid="{00000000-0005-0000-0000-00002F200000}"/>
    <cellStyle name="Обычный 4 8" xfId="3781" xr:uid="{00000000-0005-0000-0000-000030200000}"/>
    <cellStyle name="Обычный 4 8 2" xfId="9422" xr:uid="{00000000-0005-0000-0000-000031200000}"/>
    <cellStyle name="Обычный 4 9" xfId="3782" xr:uid="{00000000-0005-0000-0000-000032200000}"/>
    <cellStyle name="Обычный 4_Свод гостин" xfId="3783" xr:uid="{00000000-0005-0000-0000-000033200000}"/>
    <cellStyle name="Обычный 40" xfId="3784" xr:uid="{00000000-0005-0000-0000-000034200000}"/>
    <cellStyle name="Обычный 40 2" xfId="3785" xr:uid="{00000000-0005-0000-0000-000035200000}"/>
    <cellStyle name="Обычный 40_Свод гостин" xfId="3786" xr:uid="{00000000-0005-0000-0000-000036200000}"/>
    <cellStyle name="Обычный 41" xfId="3787" xr:uid="{00000000-0005-0000-0000-000037200000}"/>
    <cellStyle name="Обычный 41 2" xfId="3788" xr:uid="{00000000-0005-0000-0000-000038200000}"/>
    <cellStyle name="Обычный 41_Свод гостин" xfId="3789" xr:uid="{00000000-0005-0000-0000-000039200000}"/>
    <cellStyle name="Обычный 42" xfId="3790" xr:uid="{00000000-0005-0000-0000-00003A200000}"/>
    <cellStyle name="Обычный 42 2" xfId="3791" xr:uid="{00000000-0005-0000-0000-00003B200000}"/>
    <cellStyle name="Обычный 42 2 2" xfId="9423" xr:uid="{00000000-0005-0000-0000-00003C200000}"/>
    <cellStyle name="Обычный 42 3" xfId="3792" xr:uid="{00000000-0005-0000-0000-00003D200000}"/>
    <cellStyle name="Обычный 42 4" xfId="3793" xr:uid="{00000000-0005-0000-0000-00003E200000}"/>
    <cellStyle name="Обычный 42 5" xfId="3794" xr:uid="{00000000-0005-0000-0000-00003F200000}"/>
    <cellStyle name="Обычный 42_Свод гостин" xfId="3795" xr:uid="{00000000-0005-0000-0000-000040200000}"/>
    <cellStyle name="Обычный 43" xfId="3796" xr:uid="{00000000-0005-0000-0000-000041200000}"/>
    <cellStyle name="Обычный 43 2" xfId="3797" xr:uid="{00000000-0005-0000-0000-000042200000}"/>
    <cellStyle name="Обычный 43 2 2" xfId="9424" xr:uid="{00000000-0005-0000-0000-000043200000}"/>
    <cellStyle name="Обычный 43 3" xfId="3798" xr:uid="{00000000-0005-0000-0000-000044200000}"/>
    <cellStyle name="Обычный 43 4" xfId="3799" xr:uid="{00000000-0005-0000-0000-000045200000}"/>
    <cellStyle name="Обычный 43_Свод гостин" xfId="3800" xr:uid="{00000000-0005-0000-0000-000046200000}"/>
    <cellStyle name="Обычный 44" xfId="3801" xr:uid="{00000000-0005-0000-0000-000047200000}"/>
    <cellStyle name="Обычный 44 2" xfId="3802" xr:uid="{00000000-0005-0000-0000-000048200000}"/>
    <cellStyle name="Обычный 44 3" xfId="3803" xr:uid="{00000000-0005-0000-0000-000049200000}"/>
    <cellStyle name="Обычный 44 4" xfId="3804" xr:uid="{00000000-0005-0000-0000-00004A200000}"/>
    <cellStyle name="Обычный 44_Свод гостин" xfId="3805" xr:uid="{00000000-0005-0000-0000-00004B200000}"/>
    <cellStyle name="Обычный 45" xfId="3806" xr:uid="{00000000-0005-0000-0000-00004C200000}"/>
    <cellStyle name="Обычный 45 2" xfId="3807" xr:uid="{00000000-0005-0000-0000-00004D200000}"/>
    <cellStyle name="Обычный 45 2 2" xfId="9425" xr:uid="{00000000-0005-0000-0000-00004E200000}"/>
    <cellStyle name="Обычный 45 3" xfId="3808" xr:uid="{00000000-0005-0000-0000-00004F200000}"/>
    <cellStyle name="Обычный 46" xfId="3809" xr:uid="{00000000-0005-0000-0000-000050200000}"/>
    <cellStyle name="Обычный 46 2" xfId="3810" xr:uid="{00000000-0005-0000-0000-000051200000}"/>
    <cellStyle name="Обычный 46 2 2" xfId="3811" xr:uid="{00000000-0005-0000-0000-000052200000}"/>
    <cellStyle name="Обычный 46 2 3" xfId="3812" xr:uid="{00000000-0005-0000-0000-000053200000}"/>
    <cellStyle name="Обычный 46 2 4" xfId="3813" xr:uid="{00000000-0005-0000-0000-000054200000}"/>
    <cellStyle name="Обычный 46 2_Свод гостин" xfId="3814" xr:uid="{00000000-0005-0000-0000-000055200000}"/>
    <cellStyle name="Обычный 46 3" xfId="3815" xr:uid="{00000000-0005-0000-0000-000056200000}"/>
    <cellStyle name="Обычный 46 4" xfId="3816" xr:uid="{00000000-0005-0000-0000-000057200000}"/>
    <cellStyle name="Обычный 46_Свод гостин" xfId="3817" xr:uid="{00000000-0005-0000-0000-000058200000}"/>
    <cellStyle name="Обычный 47" xfId="3818" xr:uid="{00000000-0005-0000-0000-000059200000}"/>
    <cellStyle name="Обычный 47 2" xfId="3819" xr:uid="{00000000-0005-0000-0000-00005A200000}"/>
    <cellStyle name="Обычный 47 2 2" xfId="3820" xr:uid="{00000000-0005-0000-0000-00005B200000}"/>
    <cellStyle name="Обычный 47 3" xfId="3821" xr:uid="{00000000-0005-0000-0000-00005C200000}"/>
    <cellStyle name="Обычный 47 4" xfId="3822" xr:uid="{00000000-0005-0000-0000-00005D200000}"/>
    <cellStyle name="Обычный 47 5" xfId="3823" xr:uid="{00000000-0005-0000-0000-00005E200000}"/>
    <cellStyle name="Обычный 47 6" xfId="9426" xr:uid="{00000000-0005-0000-0000-00005F200000}"/>
    <cellStyle name="Обычный 47 7" xfId="3824" xr:uid="{00000000-0005-0000-0000-000060200000}"/>
    <cellStyle name="Обычный 47 8" xfId="9427" xr:uid="{00000000-0005-0000-0000-000061200000}"/>
    <cellStyle name="Обычный 47_Свод гостин" xfId="3825" xr:uid="{00000000-0005-0000-0000-000062200000}"/>
    <cellStyle name="Обычный 48" xfId="3826" xr:uid="{00000000-0005-0000-0000-000063200000}"/>
    <cellStyle name="Обычный 48 2" xfId="3827" xr:uid="{00000000-0005-0000-0000-000064200000}"/>
    <cellStyle name="Обычный 48_Свод гостин" xfId="3828" xr:uid="{00000000-0005-0000-0000-000065200000}"/>
    <cellStyle name="Обычный 49" xfId="3829" xr:uid="{00000000-0005-0000-0000-000066200000}"/>
    <cellStyle name="Обычный 49 2" xfId="3830" xr:uid="{00000000-0005-0000-0000-000067200000}"/>
    <cellStyle name="Обычный 49 2 2" xfId="3831" xr:uid="{00000000-0005-0000-0000-000068200000}"/>
    <cellStyle name="Обычный 49 3" xfId="9428" xr:uid="{00000000-0005-0000-0000-000069200000}"/>
    <cellStyle name="Обычный 49_Свод гостин" xfId="3832" xr:uid="{00000000-0005-0000-0000-00006A200000}"/>
    <cellStyle name="Обычный 5" xfId="3833" xr:uid="{00000000-0005-0000-0000-00006B200000}"/>
    <cellStyle name="Обычный 5 10" xfId="3834" xr:uid="{00000000-0005-0000-0000-00006C200000}"/>
    <cellStyle name="Обычный 5 10 2" xfId="9429" xr:uid="{00000000-0005-0000-0000-00006D200000}"/>
    <cellStyle name="Обычный 5 10 2 2" xfId="9430" xr:uid="{00000000-0005-0000-0000-00006E200000}"/>
    <cellStyle name="Обычный 5 10 2 2 2" xfId="9431" xr:uid="{00000000-0005-0000-0000-00006F200000}"/>
    <cellStyle name="Обычный 5 10 2 2 3" xfId="9432" xr:uid="{00000000-0005-0000-0000-000070200000}"/>
    <cellStyle name="Обычный 5 10 2 3" xfId="9433" xr:uid="{00000000-0005-0000-0000-000071200000}"/>
    <cellStyle name="Обычный 5 10 2 4" xfId="9434" xr:uid="{00000000-0005-0000-0000-000072200000}"/>
    <cellStyle name="Обычный 5 10 3" xfId="9435" xr:uid="{00000000-0005-0000-0000-000073200000}"/>
    <cellStyle name="Обычный 5 10 3 2" xfId="9436" xr:uid="{00000000-0005-0000-0000-000074200000}"/>
    <cellStyle name="Обычный 5 10 3 3" xfId="9437" xr:uid="{00000000-0005-0000-0000-000075200000}"/>
    <cellStyle name="Обычный 5 10 4" xfId="9438" xr:uid="{00000000-0005-0000-0000-000076200000}"/>
    <cellStyle name="Обычный 5 10 4 2" xfId="9439" xr:uid="{00000000-0005-0000-0000-000077200000}"/>
    <cellStyle name="Обычный 5 10 5" xfId="9440" xr:uid="{00000000-0005-0000-0000-000078200000}"/>
    <cellStyle name="Обычный 5 10 6" xfId="9441" xr:uid="{00000000-0005-0000-0000-000079200000}"/>
    <cellStyle name="Обычный 5 11" xfId="3835" xr:uid="{00000000-0005-0000-0000-00007A200000}"/>
    <cellStyle name="Обычный 5 11 2" xfId="9442" xr:uid="{00000000-0005-0000-0000-00007B200000}"/>
    <cellStyle name="Обычный 5 11 2 2" xfId="9443" xr:uid="{00000000-0005-0000-0000-00007C200000}"/>
    <cellStyle name="Обычный 5 11 2 3" xfId="9444" xr:uid="{00000000-0005-0000-0000-00007D200000}"/>
    <cellStyle name="Обычный 5 11 3" xfId="9445" xr:uid="{00000000-0005-0000-0000-00007E200000}"/>
    <cellStyle name="Обычный 5 11 4" xfId="9446" xr:uid="{00000000-0005-0000-0000-00007F200000}"/>
    <cellStyle name="Обычный 5 12" xfId="3836" xr:uid="{00000000-0005-0000-0000-000080200000}"/>
    <cellStyle name="Обычный 5 12 2" xfId="9447" xr:uid="{00000000-0005-0000-0000-000081200000}"/>
    <cellStyle name="Обычный 5 12 3" xfId="9448" xr:uid="{00000000-0005-0000-0000-000082200000}"/>
    <cellStyle name="Обычный 5 13" xfId="9449" xr:uid="{00000000-0005-0000-0000-000083200000}"/>
    <cellStyle name="Обычный 5 13 2" xfId="9450" xr:uid="{00000000-0005-0000-0000-000084200000}"/>
    <cellStyle name="Обычный 5 14" xfId="9451" xr:uid="{00000000-0005-0000-0000-000085200000}"/>
    <cellStyle name="Обычный 5 15" xfId="9452" xr:uid="{00000000-0005-0000-0000-000086200000}"/>
    <cellStyle name="Обычный 5 16" xfId="9453" xr:uid="{00000000-0005-0000-0000-000087200000}"/>
    <cellStyle name="Обычный 5 17" xfId="9454" xr:uid="{00000000-0005-0000-0000-000088200000}"/>
    <cellStyle name="Обычный 5 2" xfId="3837" xr:uid="{00000000-0005-0000-0000-000089200000}"/>
    <cellStyle name="Обычный 5 3" xfId="3838" xr:uid="{00000000-0005-0000-0000-00008A200000}"/>
    <cellStyle name="Обычный 5 4" xfId="3839" xr:uid="{00000000-0005-0000-0000-00008B200000}"/>
    <cellStyle name="Обычный 5 5" xfId="3840" xr:uid="{00000000-0005-0000-0000-00008C200000}"/>
    <cellStyle name="Обычный 5 5 10" xfId="9455" xr:uid="{00000000-0005-0000-0000-00008D200000}"/>
    <cellStyle name="Обычный 5 5 11" xfId="9456" xr:uid="{00000000-0005-0000-0000-00008E200000}"/>
    <cellStyle name="Обычный 5 5 2" xfId="3841" xr:uid="{00000000-0005-0000-0000-00008F200000}"/>
    <cellStyle name="Обычный 5 5 2 2" xfId="9457" xr:uid="{00000000-0005-0000-0000-000090200000}"/>
    <cellStyle name="Обычный 5 5 2 2 2" xfId="9458" xr:uid="{00000000-0005-0000-0000-000091200000}"/>
    <cellStyle name="Обычный 5 5 2 2 2 2" xfId="9459" xr:uid="{00000000-0005-0000-0000-000092200000}"/>
    <cellStyle name="Обычный 5 5 2 2 2 2 2" xfId="9460" xr:uid="{00000000-0005-0000-0000-000093200000}"/>
    <cellStyle name="Обычный 5 5 2 2 2 2 2 2" xfId="9461" xr:uid="{00000000-0005-0000-0000-000094200000}"/>
    <cellStyle name="Обычный 5 5 2 2 2 2 2 2 2" xfId="9462" xr:uid="{00000000-0005-0000-0000-000095200000}"/>
    <cellStyle name="Обычный 5 5 2 2 2 2 2 2 3" xfId="9463" xr:uid="{00000000-0005-0000-0000-000096200000}"/>
    <cellStyle name="Обычный 5 5 2 2 2 2 2 3" xfId="9464" xr:uid="{00000000-0005-0000-0000-000097200000}"/>
    <cellStyle name="Обычный 5 5 2 2 2 2 2 4" xfId="9465" xr:uid="{00000000-0005-0000-0000-000098200000}"/>
    <cellStyle name="Обычный 5 5 2 2 2 2 3" xfId="9466" xr:uid="{00000000-0005-0000-0000-000099200000}"/>
    <cellStyle name="Обычный 5 5 2 2 2 2 3 2" xfId="9467" xr:uid="{00000000-0005-0000-0000-00009A200000}"/>
    <cellStyle name="Обычный 5 5 2 2 2 2 3 3" xfId="9468" xr:uid="{00000000-0005-0000-0000-00009B200000}"/>
    <cellStyle name="Обычный 5 5 2 2 2 2 4" xfId="9469" xr:uid="{00000000-0005-0000-0000-00009C200000}"/>
    <cellStyle name="Обычный 5 5 2 2 2 2 4 2" xfId="9470" xr:uid="{00000000-0005-0000-0000-00009D200000}"/>
    <cellStyle name="Обычный 5 5 2 2 2 2 5" xfId="9471" xr:uid="{00000000-0005-0000-0000-00009E200000}"/>
    <cellStyle name="Обычный 5 5 2 2 2 2 6" xfId="9472" xr:uid="{00000000-0005-0000-0000-00009F200000}"/>
    <cellStyle name="Обычный 5 5 2 2 2 3" xfId="9473" xr:uid="{00000000-0005-0000-0000-0000A0200000}"/>
    <cellStyle name="Обычный 5 5 2 2 2 3 2" xfId="9474" xr:uid="{00000000-0005-0000-0000-0000A1200000}"/>
    <cellStyle name="Обычный 5 5 2 2 2 3 2 2" xfId="9475" xr:uid="{00000000-0005-0000-0000-0000A2200000}"/>
    <cellStyle name="Обычный 5 5 2 2 2 3 2 3" xfId="9476" xr:uid="{00000000-0005-0000-0000-0000A3200000}"/>
    <cellStyle name="Обычный 5 5 2 2 2 3 3" xfId="9477" xr:uid="{00000000-0005-0000-0000-0000A4200000}"/>
    <cellStyle name="Обычный 5 5 2 2 2 3 4" xfId="9478" xr:uid="{00000000-0005-0000-0000-0000A5200000}"/>
    <cellStyle name="Обычный 5 5 2 2 2 4" xfId="9479" xr:uid="{00000000-0005-0000-0000-0000A6200000}"/>
    <cellStyle name="Обычный 5 5 2 2 2 4 2" xfId="9480" xr:uid="{00000000-0005-0000-0000-0000A7200000}"/>
    <cellStyle name="Обычный 5 5 2 2 2 4 3" xfId="9481" xr:uid="{00000000-0005-0000-0000-0000A8200000}"/>
    <cellStyle name="Обычный 5 5 2 2 2 5" xfId="9482" xr:uid="{00000000-0005-0000-0000-0000A9200000}"/>
    <cellStyle name="Обычный 5 5 2 2 2 5 2" xfId="9483" xr:uid="{00000000-0005-0000-0000-0000AA200000}"/>
    <cellStyle name="Обычный 5 5 2 2 2 6" xfId="9484" xr:uid="{00000000-0005-0000-0000-0000AB200000}"/>
    <cellStyle name="Обычный 5 5 2 2 2 7" xfId="9485" xr:uid="{00000000-0005-0000-0000-0000AC200000}"/>
    <cellStyle name="Обычный 5 5 2 2 3" xfId="9486" xr:uid="{00000000-0005-0000-0000-0000AD200000}"/>
    <cellStyle name="Обычный 5 5 2 2 3 2" xfId="9487" xr:uid="{00000000-0005-0000-0000-0000AE200000}"/>
    <cellStyle name="Обычный 5 5 2 2 3 2 2" xfId="9488" xr:uid="{00000000-0005-0000-0000-0000AF200000}"/>
    <cellStyle name="Обычный 5 5 2 2 3 2 2 2" xfId="9489" xr:uid="{00000000-0005-0000-0000-0000B0200000}"/>
    <cellStyle name="Обычный 5 5 2 2 3 2 2 3" xfId="9490" xr:uid="{00000000-0005-0000-0000-0000B1200000}"/>
    <cellStyle name="Обычный 5 5 2 2 3 2 3" xfId="9491" xr:uid="{00000000-0005-0000-0000-0000B2200000}"/>
    <cellStyle name="Обычный 5 5 2 2 3 2 4" xfId="9492" xr:uid="{00000000-0005-0000-0000-0000B3200000}"/>
    <cellStyle name="Обычный 5 5 2 2 3 3" xfId="9493" xr:uid="{00000000-0005-0000-0000-0000B4200000}"/>
    <cellStyle name="Обычный 5 5 2 2 3 3 2" xfId="9494" xr:uid="{00000000-0005-0000-0000-0000B5200000}"/>
    <cellStyle name="Обычный 5 5 2 2 3 3 3" xfId="9495" xr:uid="{00000000-0005-0000-0000-0000B6200000}"/>
    <cellStyle name="Обычный 5 5 2 2 3 4" xfId="9496" xr:uid="{00000000-0005-0000-0000-0000B7200000}"/>
    <cellStyle name="Обычный 5 5 2 2 3 4 2" xfId="9497" xr:uid="{00000000-0005-0000-0000-0000B8200000}"/>
    <cellStyle name="Обычный 5 5 2 2 3 5" xfId="9498" xr:uid="{00000000-0005-0000-0000-0000B9200000}"/>
    <cellStyle name="Обычный 5 5 2 2 3 6" xfId="9499" xr:uid="{00000000-0005-0000-0000-0000BA200000}"/>
    <cellStyle name="Обычный 5 5 2 2 4" xfId="9500" xr:uid="{00000000-0005-0000-0000-0000BB200000}"/>
    <cellStyle name="Обычный 5 5 2 2 4 2" xfId="9501" xr:uid="{00000000-0005-0000-0000-0000BC200000}"/>
    <cellStyle name="Обычный 5 5 2 2 4 2 2" xfId="9502" xr:uid="{00000000-0005-0000-0000-0000BD200000}"/>
    <cellStyle name="Обычный 5 5 2 2 4 2 3" xfId="9503" xr:uid="{00000000-0005-0000-0000-0000BE200000}"/>
    <cellStyle name="Обычный 5 5 2 2 4 3" xfId="9504" xr:uid="{00000000-0005-0000-0000-0000BF200000}"/>
    <cellStyle name="Обычный 5 5 2 2 4 4" xfId="9505" xr:uid="{00000000-0005-0000-0000-0000C0200000}"/>
    <cellStyle name="Обычный 5 5 2 2 5" xfId="9506" xr:uid="{00000000-0005-0000-0000-0000C1200000}"/>
    <cellStyle name="Обычный 5 5 2 2 5 2" xfId="9507" xr:uid="{00000000-0005-0000-0000-0000C2200000}"/>
    <cellStyle name="Обычный 5 5 2 2 5 3" xfId="9508" xr:uid="{00000000-0005-0000-0000-0000C3200000}"/>
    <cellStyle name="Обычный 5 5 2 2 6" xfId="9509" xr:uid="{00000000-0005-0000-0000-0000C4200000}"/>
    <cellStyle name="Обычный 5 5 2 2 6 2" xfId="9510" xr:uid="{00000000-0005-0000-0000-0000C5200000}"/>
    <cellStyle name="Обычный 5 5 2 2 7" xfId="9511" xr:uid="{00000000-0005-0000-0000-0000C6200000}"/>
    <cellStyle name="Обычный 5 5 2 2 8" xfId="9512" xr:uid="{00000000-0005-0000-0000-0000C7200000}"/>
    <cellStyle name="Обычный 5 5 2 3" xfId="9513" xr:uid="{00000000-0005-0000-0000-0000C8200000}"/>
    <cellStyle name="Обычный 5 5 2 3 2" xfId="9514" xr:uid="{00000000-0005-0000-0000-0000C9200000}"/>
    <cellStyle name="Обычный 5 5 2 3 2 2" xfId="9515" xr:uid="{00000000-0005-0000-0000-0000CA200000}"/>
    <cellStyle name="Обычный 5 5 2 3 2 2 2" xfId="9516" xr:uid="{00000000-0005-0000-0000-0000CB200000}"/>
    <cellStyle name="Обычный 5 5 2 3 2 2 2 2" xfId="9517" xr:uid="{00000000-0005-0000-0000-0000CC200000}"/>
    <cellStyle name="Обычный 5 5 2 3 2 2 2 3" xfId="9518" xr:uid="{00000000-0005-0000-0000-0000CD200000}"/>
    <cellStyle name="Обычный 5 5 2 3 2 2 3" xfId="9519" xr:uid="{00000000-0005-0000-0000-0000CE200000}"/>
    <cellStyle name="Обычный 5 5 2 3 2 2 4" xfId="9520" xr:uid="{00000000-0005-0000-0000-0000CF200000}"/>
    <cellStyle name="Обычный 5 5 2 3 2 3" xfId="9521" xr:uid="{00000000-0005-0000-0000-0000D0200000}"/>
    <cellStyle name="Обычный 5 5 2 3 2 3 2" xfId="9522" xr:uid="{00000000-0005-0000-0000-0000D1200000}"/>
    <cellStyle name="Обычный 5 5 2 3 2 3 3" xfId="9523" xr:uid="{00000000-0005-0000-0000-0000D2200000}"/>
    <cellStyle name="Обычный 5 5 2 3 2 4" xfId="9524" xr:uid="{00000000-0005-0000-0000-0000D3200000}"/>
    <cellStyle name="Обычный 5 5 2 3 2 4 2" xfId="9525" xr:uid="{00000000-0005-0000-0000-0000D4200000}"/>
    <cellStyle name="Обычный 5 5 2 3 2 5" xfId="9526" xr:uid="{00000000-0005-0000-0000-0000D5200000}"/>
    <cellStyle name="Обычный 5 5 2 3 2 6" xfId="9527" xr:uid="{00000000-0005-0000-0000-0000D6200000}"/>
    <cellStyle name="Обычный 5 5 2 3 3" xfId="9528" xr:uid="{00000000-0005-0000-0000-0000D7200000}"/>
    <cellStyle name="Обычный 5 5 2 3 3 2" xfId="9529" xr:uid="{00000000-0005-0000-0000-0000D8200000}"/>
    <cellStyle name="Обычный 5 5 2 3 3 2 2" xfId="9530" xr:uid="{00000000-0005-0000-0000-0000D9200000}"/>
    <cellStyle name="Обычный 5 5 2 3 3 2 3" xfId="9531" xr:uid="{00000000-0005-0000-0000-0000DA200000}"/>
    <cellStyle name="Обычный 5 5 2 3 3 3" xfId="9532" xr:uid="{00000000-0005-0000-0000-0000DB200000}"/>
    <cellStyle name="Обычный 5 5 2 3 3 4" xfId="9533" xr:uid="{00000000-0005-0000-0000-0000DC200000}"/>
    <cellStyle name="Обычный 5 5 2 3 4" xfId="9534" xr:uid="{00000000-0005-0000-0000-0000DD200000}"/>
    <cellStyle name="Обычный 5 5 2 3 4 2" xfId="9535" xr:uid="{00000000-0005-0000-0000-0000DE200000}"/>
    <cellStyle name="Обычный 5 5 2 3 4 3" xfId="9536" xr:uid="{00000000-0005-0000-0000-0000DF200000}"/>
    <cellStyle name="Обычный 5 5 2 3 5" xfId="9537" xr:uid="{00000000-0005-0000-0000-0000E0200000}"/>
    <cellStyle name="Обычный 5 5 2 3 5 2" xfId="9538" xr:uid="{00000000-0005-0000-0000-0000E1200000}"/>
    <cellStyle name="Обычный 5 5 2 3 6" xfId="9539" xr:uid="{00000000-0005-0000-0000-0000E2200000}"/>
    <cellStyle name="Обычный 5 5 2 3 7" xfId="9540" xr:uid="{00000000-0005-0000-0000-0000E3200000}"/>
    <cellStyle name="Обычный 5 5 2 4" xfId="9541" xr:uid="{00000000-0005-0000-0000-0000E4200000}"/>
    <cellStyle name="Обычный 5 5 2 4 2" xfId="9542" xr:uid="{00000000-0005-0000-0000-0000E5200000}"/>
    <cellStyle name="Обычный 5 5 2 4 2 2" xfId="9543" xr:uid="{00000000-0005-0000-0000-0000E6200000}"/>
    <cellStyle name="Обычный 5 5 2 4 2 2 2" xfId="9544" xr:uid="{00000000-0005-0000-0000-0000E7200000}"/>
    <cellStyle name="Обычный 5 5 2 4 2 2 3" xfId="9545" xr:uid="{00000000-0005-0000-0000-0000E8200000}"/>
    <cellStyle name="Обычный 5 5 2 4 2 3" xfId="9546" xr:uid="{00000000-0005-0000-0000-0000E9200000}"/>
    <cellStyle name="Обычный 5 5 2 4 2 4" xfId="9547" xr:uid="{00000000-0005-0000-0000-0000EA200000}"/>
    <cellStyle name="Обычный 5 5 2 4 3" xfId="9548" xr:uid="{00000000-0005-0000-0000-0000EB200000}"/>
    <cellStyle name="Обычный 5 5 2 4 3 2" xfId="9549" xr:uid="{00000000-0005-0000-0000-0000EC200000}"/>
    <cellStyle name="Обычный 5 5 2 4 3 3" xfId="9550" xr:uid="{00000000-0005-0000-0000-0000ED200000}"/>
    <cellStyle name="Обычный 5 5 2 4 4" xfId="9551" xr:uid="{00000000-0005-0000-0000-0000EE200000}"/>
    <cellStyle name="Обычный 5 5 2 4 4 2" xfId="9552" xr:uid="{00000000-0005-0000-0000-0000EF200000}"/>
    <cellStyle name="Обычный 5 5 2 4 5" xfId="9553" xr:uid="{00000000-0005-0000-0000-0000F0200000}"/>
    <cellStyle name="Обычный 5 5 2 4 6" xfId="9554" xr:uid="{00000000-0005-0000-0000-0000F1200000}"/>
    <cellStyle name="Обычный 5 5 2 5" xfId="9555" xr:uid="{00000000-0005-0000-0000-0000F2200000}"/>
    <cellStyle name="Обычный 5 5 2 5 2" xfId="9556" xr:uid="{00000000-0005-0000-0000-0000F3200000}"/>
    <cellStyle name="Обычный 5 5 2 5 2 2" xfId="9557" xr:uid="{00000000-0005-0000-0000-0000F4200000}"/>
    <cellStyle name="Обычный 5 5 2 5 2 3" xfId="9558" xr:uid="{00000000-0005-0000-0000-0000F5200000}"/>
    <cellStyle name="Обычный 5 5 2 5 3" xfId="9559" xr:uid="{00000000-0005-0000-0000-0000F6200000}"/>
    <cellStyle name="Обычный 5 5 2 5 4" xfId="9560" xr:uid="{00000000-0005-0000-0000-0000F7200000}"/>
    <cellStyle name="Обычный 5 5 2 6" xfId="9561" xr:uid="{00000000-0005-0000-0000-0000F8200000}"/>
    <cellStyle name="Обычный 5 5 2 6 2" xfId="9562" xr:uid="{00000000-0005-0000-0000-0000F9200000}"/>
    <cellStyle name="Обычный 5 5 2 6 3" xfId="9563" xr:uid="{00000000-0005-0000-0000-0000FA200000}"/>
    <cellStyle name="Обычный 5 5 2 7" xfId="9564" xr:uid="{00000000-0005-0000-0000-0000FB200000}"/>
    <cellStyle name="Обычный 5 5 2 7 2" xfId="9565" xr:uid="{00000000-0005-0000-0000-0000FC200000}"/>
    <cellStyle name="Обычный 5 5 2 8" xfId="9566" xr:uid="{00000000-0005-0000-0000-0000FD200000}"/>
    <cellStyle name="Обычный 5 5 2 9" xfId="9567" xr:uid="{00000000-0005-0000-0000-0000FE200000}"/>
    <cellStyle name="Обычный 5 5 3" xfId="9568" xr:uid="{00000000-0005-0000-0000-0000FF200000}"/>
    <cellStyle name="Обычный 5 5 3 2" xfId="9569" xr:uid="{00000000-0005-0000-0000-000000210000}"/>
    <cellStyle name="Обычный 5 5 3 2 2" xfId="9570" xr:uid="{00000000-0005-0000-0000-000001210000}"/>
    <cellStyle name="Обычный 5 5 3 2 2 2" xfId="9571" xr:uid="{00000000-0005-0000-0000-000002210000}"/>
    <cellStyle name="Обычный 5 5 3 2 2 2 2" xfId="9572" xr:uid="{00000000-0005-0000-0000-000003210000}"/>
    <cellStyle name="Обычный 5 5 3 2 2 2 2 2" xfId="9573" xr:uid="{00000000-0005-0000-0000-000004210000}"/>
    <cellStyle name="Обычный 5 5 3 2 2 2 2 3" xfId="9574" xr:uid="{00000000-0005-0000-0000-000005210000}"/>
    <cellStyle name="Обычный 5 5 3 2 2 2 3" xfId="9575" xr:uid="{00000000-0005-0000-0000-000006210000}"/>
    <cellStyle name="Обычный 5 5 3 2 2 2 4" xfId="9576" xr:uid="{00000000-0005-0000-0000-000007210000}"/>
    <cellStyle name="Обычный 5 5 3 2 2 3" xfId="9577" xr:uid="{00000000-0005-0000-0000-000008210000}"/>
    <cellStyle name="Обычный 5 5 3 2 2 3 2" xfId="9578" xr:uid="{00000000-0005-0000-0000-000009210000}"/>
    <cellStyle name="Обычный 5 5 3 2 2 3 3" xfId="9579" xr:uid="{00000000-0005-0000-0000-00000A210000}"/>
    <cellStyle name="Обычный 5 5 3 2 2 4" xfId="9580" xr:uid="{00000000-0005-0000-0000-00000B210000}"/>
    <cellStyle name="Обычный 5 5 3 2 2 4 2" xfId="9581" xr:uid="{00000000-0005-0000-0000-00000C210000}"/>
    <cellStyle name="Обычный 5 5 3 2 2 5" xfId="9582" xr:uid="{00000000-0005-0000-0000-00000D210000}"/>
    <cellStyle name="Обычный 5 5 3 2 2 6" xfId="9583" xr:uid="{00000000-0005-0000-0000-00000E210000}"/>
    <cellStyle name="Обычный 5 5 3 2 3" xfId="9584" xr:uid="{00000000-0005-0000-0000-00000F210000}"/>
    <cellStyle name="Обычный 5 5 3 2 3 2" xfId="9585" xr:uid="{00000000-0005-0000-0000-000010210000}"/>
    <cellStyle name="Обычный 5 5 3 2 3 2 2" xfId="9586" xr:uid="{00000000-0005-0000-0000-000011210000}"/>
    <cellStyle name="Обычный 5 5 3 2 3 2 3" xfId="9587" xr:uid="{00000000-0005-0000-0000-000012210000}"/>
    <cellStyle name="Обычный 5 5 3 2 3 3" xfId="9588" xr:uid="{00000000-0005-0000-0000-000013210000}"/>
    <cellStyle name="Обычный 5 5 3 2 3 4" xfId="9589" xr:uid="{00000000-0005-0000-0000-000014210000}"/>
    <cellStyle name="Обычный 5 5 3 2 4" xfId="9590" xr:uid="{00000000-0005-0000-0000-000015210000}"/>
    <cellStyle name="Обычный 5 5 3 2 4 2" xfId="9591" xr:uid="{00000000-0005-0000-0000-000016210000}"/>
    <cellStyle name="Обычный 5 5 3 2 4 3" xfId="9592" xr:uid="{00000000-0005-0000-0000-000017210000}"/>
    <cellStyle name="Обычный 5 5 3 2 5" xfId="9593" xr:uid="{00000000-0005-0000-0000-000018210000}"/>
    <cellStyle name="Обычный 5 5 3 2 5 2" xfId="9594" xr:uid="{00000000-0005-0000-0000-000019210000}"/>
    <cellStyle name="Обычный 5 5 3 2 6" xfId="9595" xr:uid="{00000000-0005-0000-0000-00001A210000}"/>
    <cellStyle name="Обычный 5 5 3 2 7" xfId="9596" xr:uid="{00000000-0005-0000-0000-00001B210000}"/>
    <cellStyle name="Обычный 5 5 3 3" xfId="9597" xr:uid="{00000000-0005-0000-0000-00001C210000}"/>
    <cellStyle name="Обычный 5 5 3 3 2" xfId="9598" xr:uid="{00000000-0005-0000-0000-00001D210000}"/>
    <cellStyle name="Обычный 5 5 3 3 2 2" xfId="9599" xr:uid="{00000000-0005-0000-0000-00001E210000}"/>
    <cellStyle name="Обычный 5 5 3 3 2 2 2" xfId="9600" xr:uid="{00000000-0005-0000-0000-00001F210000}"/>
    <cellStyle name="Обычный 5 5 3 3 2 2 3" xfId="9601" xr:uid="{00000000-0005-0000-0000-000020210000}"/>
    <cellStyle name="Обычный 5 5 3 3 2 3" xfId="9602" xr:uid="{00000000-0005-0000-0000-000021210000}"/>
    <cellStyle name="Обычный 5 5 3 3 2 4" xfId="9603" xr:uid="{00000000-0005-0000-0000-000022210000}"/>
    <cellStyle name="Обычный 5 5 3 3 3" xfId="9604" xr:uid="{00000000-0005-0000-0000-000023210000}"/>
    <cellStyle name="Обычный 5 5 3 3 3 2" xfId="9605" xr:uid="{00000000-0005-0000-0000-000024210000}"/>
    <cellStyle name="Обычный 5 5 3 3 3 3" xfId="9606" xr:uid="{00000000-0005-0000-0000-000025210000}"/>
    <cellStyle name="Обычный 5 5 3 3 4" xfId="9607" xr:uid="{00000000-0005-0000-0000-000026210000}"/>
    <cellStyle name="Обычный 5 5 3 3 4 2" xfId="9608" xr:uid="{00000000-0005-0000-0000-000027210000}"/>
    <cellStyle name="Обычный 5 5 3 3 5" xfId="9609" xr:uid="{00000000-0005-0000-0000-000028210000}"/>
    <cellStyle name="Обычный 5 5 3 3 6" xfId="9610" xr:uid="{00000000-0005-0000-0000-000029210000}"/>
    <cellStyle name="Обычный 5 5 3 4" xfId="9611" xr:uid="{00000000-0005-0000-0000-00002A210000}"/>
    <cellStyle name="Обычный 5 5 3 4 2" xfId="9612" xr:uid="{00000000-0005-0000-0000-00002B210000}"/>
    <cellStyle name="Обычный 5 5 3 4 2 2" xfId="9613" xr:uid="{00000000-0005-0000-0000-00002C210000}"/>
    <cellStyle name="Обычный 5 5 3 4 2 3" xfId="9614" xr:uid="{00000000-0005-0000-0000-00002D210000}"/>
    <cellStyle name="Обычный 5 5 3 4 3" xfId="9615" xr:uid="{00000000-0005-0000-0000-00002E210000}"/>
    <cellStyle name="Обычный 5 5 3 4 4" xfId="9616" xr:uid="{00000000-0005-0000-0000-00002F210000}"/>
    <cellStyle name="Обычный 5 5 3 5" xfId="9617" xr:uid="{00000000-0005-0000-0000-000030210000}"/>
    <cellStyle name="Обычный 5 5 3 5 2" xfId="9618" xr:uid="{00000000-0005-0000-0000-000031210000}"/>
    <cellStyle name="Обычный 5 5 3 5 3" xfId="9619" xr:uid="{00000000-0005-0000-0000-000032210000}"/>
    <cellStyle name="Обычный 5 5 3 6" xfId="9620" xr:uid="{00000000-0005-0000-0000-000033210000}"/>
    <cellStyle name="Обычный 5 5 3 6 2" xfId="9621" xr:uid="{00000000-0005-0000-0000-000034210000}"/>
    <cellStyle name="Обычный 5 5 3 7" xfId="9622" xr:uid="{00000000-0005-0000-0000-000035210000}"/>
    <cellStyle name="Обычный 5 5 3 8" xfId="9623" xr:uid="{00000000-0005-0000-0000-000036210000}"/>
    <cellStyle name="Обычный 5 5 4" xfId="9624" xr:uid="{00000000-0005-0000-0000-000037210000}"/>
    <cellStyle name="Обычный 5 5 4 2" xfId="9625" xr:uid="{00000000-0005-0000-0000-000038210000}"/>
    <cellStyle name="Обычный 5 5 4 2 2" xfId="9626" xr:uid="{00000000-0005-0000-0000-000039210000}"/>
    <cellStyle name="Обычный 5 5 4 2 2 2" xfId="9627" xr:uid="{00000000-0005-0000-0000-00003A210000}"/>
    <cellStyle name="Обычный 5 5 4 2 2 2 2" xfId="9628" xr:uid="{00000000-0005-0000-0000-00003B210000}"/>
    <cellStyle name="Обычный 5 5 4 2 2 2 3" xfId="9629" xr:uid="{00000000-0005-0000-0000-00003C210000}"/>
    <cellStyle name="Обычный 5 5 4 2 2 3" xfId="9630" xr:uid="{00000000-0005-0000-0000-00003D210000}"/>
    <cellStyle name="Обычный 5 5 4 2 2 4" xfId="9631" xr:uid="{00000000-0005-0000-0000-00003E210000}"/>
    <cellStyle name="Обычный 5 5 4 2 3" xfId="9632" xr:uid="{00000000-0005-0000-0000-00003F210000}"/>
    <cellStyle name="Обычный 5 5 4 2 3 2" xfId="9633" xr:uid="{00000000-0005-0000-0000-000040210000}"/>
    <cellStyle name="Обычный 5 5 4 2 3 3" xfId="9634" xr:uid="{00000000-0005-0000-0000-000041210000}"/>
    <cellStyle name="Обычный 5 5 4 2 4" xfId="9635" xr:uid="{00000000-0005-0000-0000-000042210000}"/>
    <cellStyle name="Обычный 5 5 4 2 4 2" xfId="9636" xr:uid="{00000000-0005-0000-0000-000043210000}"/>
    <cellStyle name="Обычный 5 5 4 2 5" xfId="9637" xr:uid="{00000000-0005-0000-0000-000044210000}"/>
    <cellStyle name="Обычный 5 5 4 2 6" xfId="9638" xr:uid="{00000000-0005-0000-0000-000045210000}"/>
    <cellStyle name="Обычный 5 5 4 3" xfId="9639" xr:uid="{00000000-0005-0000-0000-000046210000}"/>
    <cellStyle name="Обычный 5 5 4 3 2" xfId="9640" xr:uid="{00000000-0005-0000-0000-000047210000}"/>
    <cellStyle name="Обычный 5 5 4 3 2 2" xfId="9641" xr:uid="{00000000-0005-0000-0000-000048210000}"/>
    <cellStyle name="Обычный 5 5 4 3 2 3" xfId="9642" xr:uid="{00000000-0005-0000-0000-000049210000}"/>
    <cellStyle name="Обычный 5 5 4 3 3" xfId="9643" xr:uid="{00000000-0005-0000-0000-00004A210000}"/>
    <cellStyle name="Обычный 5 5 4 3 4" xfId="9644" xr:uid="{00000000-0005-0000-0000-00004B210000}"/>
    <cellStyle name="Обычный 5 5 4 4" xfId="9645" xr:uid="{00000000-0005-0000-0000-00004C210000}"/>
    <cellStyle name="Обычный 5 5 4 4 2" xfId="9646" xr:uid="{00000000-0005-0000-0000-00004D210000}"/>
    <cellStyle name="Обычный 5 5 4 4 3" xfId="9647" xr:uid="{00000000-0005-0000-0000-00004E210000}"/>
    <cellStyle name="Обычный 5 5 4 5" xfId="9648" xr:uid="{00000000-0005-0000-0000-00004F210000}"/>
    <cellStyle name="Обычный 5 5 4 5 2" xfId="9649" xr:uid="{00000000-0005-0000-0000-000050210000}"/>
    <cellStyle name="Обычный 5 5 4 6" xfId="9650" xr:uid="{00000000-0005-0000-0000-000051210000}"/>
    <cellStyle name="Обычный 5 5 4 7" xfId="9651" xr:uid="{00000000-0005-0000-0000-000052210000}"/>
    <cellStyle name="Обычный 5 5 5" xfId="9652" xr:uid="{00000000-0005-0000-0000-000053210000}"/>
    <cellStyle name="Обычный 5 5 5 2" xfId="9653" xr:uid="{00000000-0005-0000-0000-000054210000}"/>
    <cellStyle name="Обычный 5 5 5 2 2" xfId="9654" xr:uid="{00000000-0005-0000-0000-000055210000}"/>
    <cellStyle name="Обычный 5 5 5 2 2 2" xfId="9655" xr:uid="{00000000-0005-0000-0000-000056210000}"/>
    <cellStyle name="Обычный 5 5 5 2 2 3" xfId="9656" xr:uid="{00000000-0005-0000-0000-000057210000}"/>
    <cellStyle name="Обычный 5 5 5 2 3" xfId="9657" xr:uid="{00000000-0005-0000-0000-000058210000}"/>
    <cellStyle name="Обычный 5 5 5 2 4" xfId="9658" xr:uid="{00000000-0005-0000-0000-000059210000}"/>
    <cellStyle name="Обычный 5 5 5 3" xfId="9659" xr:uid="{00000000-0005-0000-0000-00005A210000}"/>
    <cellStyle name="Обычный 5 5 5 3 2" xfId="9660" xr:uid="{00000000-0005-0000-0000-00005B210000}"/>
    <cellStyle name="Обычный 5 5 5 3 3" xfId="9661" xr:uid="{00000000-0005-0000-0000-00005C210000}"/>
    <cellStyle name="Обычный 5 5 5 4" xfId="9662" xr:uid="{00000000-0005-0000-0000-00005D210000}"/>
    <cellStyle name="Обычный 5 5 5 4 2" xfId="9663" xr:uid="{00000000-0005-0000-0000-00005E210000}"/>
    <cellStyle name="Обычный 5 5 5 5" xfId="9664" xr:uid="{00000000-0005-0000-0000-00005F210000}"/>
    <cellStyle name="Обычный 5 5 5 6" xfId="9665" xr:uid="{00000000-0005-0000-0000-000060210000}"/>
    <cellStyle name="Обычный 5 5 6" xfId="9666" xr:uid="{00000000-0005-0000-0000-000061210000}"/>
    <cellStyle name="Обычный 5 5 6 2" xfId="9667" xr:uid="{00000000-0005-0000-0000-000062210000}"/>
    <cellStyle name="Обычный 5 5 6 2 2" xfId="9668" xr:uid="{00000000-0005-0000-0000-000063210000}"/>
    <cellStyle name="Обычный 5 5 6 2 3" xfId="9669" xr:uid="{00000000-0005-0000-0000-000064210000}"/>
    <cellStyle name="Обычный 5 5 6 3" xfId="9670" xr:uid="{00000000-0005-0000-0000-000065210000}"/>
    <cellStyle name="Обычный 5 5 6 4" xfId="9671" xr:uid="{00000000-0005-0000-0000-000066210000}"/>
    <cellStyle name="Обычный 5 5 7" xfId="9672" xr:uid="{00000000-0005-0000-0000-000067210000}"/>
    <cellStyle name="Обычный 5 5 7 2" xfId="9673" xr:uid="{00000000-0005-0000-0000-000068210000}"/>
    <cellStyle name="Обычный 5 5 7 3" xfId="9674" xr:uid="{00000000-0005-0000-0000-000069210000}"/>
    <cellStyle name="Обычный 5 5 8" xfId="9675" xr:uid="{00000000-0005-0000-0000-00006A210000}"/>
    <cellStyle name="Обычный 5 5 8 2" xfId="9676" xr:uid="{00000000-0005-0000-0000-00006B210000}"/>
    <cellStyle name="Обычный 5 5 9" xfId="9677" xr:uid="{00000000-0005-0000-0000-00006C210000}"/>
    <cellStyle name="Обычный 5 5_Свод гостин" xfId="3842" xr:uid="{00000000-0005-0000-0000-00006D210000}"/>
    <cellStyle name="Обычный 5 6" xfId="3843" xr:uid="{00000000-0005-0000-0000-00006E210000}"/>
    <cellStyle name="Обычный 5 6 10" xfId="9678" xr:uid="{00000000-0005-0000-0000-00006F210000}"/>
    <cellStyle name="Обычный 5 6 2" xfId="3844" xr:uid="{00000000-0005-0000-0000-000070210000}"/>
    <cellStyle name="Обычный 5 6 2 2" xfId="9679" xr:uid="{00000000-0005-0000-0000-000071210000}"/>
    <cellStyle name="Обычный 5 6 2 2 2" xfId="9680" xr:uid="{00000000-0005-0000-0000-000072210000}"/>
    <cellStyle name="Обычный 5 6 2 2 2 2" xfId="9681" xr:uid="{00000000-0005-0000-0000-000073210000}"/>
    <cellStyle name="Обычный 5 6 2 2 2 2 2" xfId="9682" xr:uid="{00000000-0005-0000-0000-000074210000}"/>
    <cellStyle name="Обычный 5 6 2 2 2 2 2 2" xfId="9683" xr:uid="{00000000-0005-0000-0000-000075210000}"/>
    <cellStyle name="Обычный 5 6 2 2 2 2 2 2 2" xfId="9684" xr:uid="{00000000-0005-0000-0000-000076210000}"/>
    <cellStyle name="Обычный 5 6 2 2 2 2 2 2 3" xfId="9685" xr:uid="{00000000-0005-0000-0000-000077210000}"/>
    <cellStyle name="Обычный 5 6 2 2 2 2 2 3" xfId="9686" xr:uid="{00000000-0005-0000-0000-000078210000}"/>
    <cellStyle name="Обычный 5 6 2 2 2 2 2 4" xfId="9687" xr:uid="{00000000-0005-0000-0000-000079210000}"/>
    <cellStyle name="Обычный 5 6 2 2 2 2 3" xfId="9688" xr:uid="{00000000-0005-0000-0000-00007A210000}"/>
    <cellStyle name="Обычный 5 6 2 2 2 2 3 2" xfId="9689" xr:uid="{00000000-0005-0000-0000-00007B210000}"/>
    <cellStyle name="Обычный 5 6 2 2 2 2 3 3" xfId="9690" xr:uid="{00000000-0005-0000-0000-00007C210000}"/>
    <cellStyle name="Обычный 5 6 2 2 2 2 4" xfId="9691" xr:uid="{00000000-0005-0000-0000-00007D210000}"/>
    <cellStyle name="Обычный 5 6 2 2 2 2 4 2" xfId="9692" xr:uid="{00000000-0005-0000-0000-00007E210000}"/>
    <cellStyle name="Обычный 5 6 2 2 2 2 5" xfId="9693" xr:uid="{00000000-0005-0000-0000-00007F210000}"/>
    <cellStyle name="Обычный 5 6 2 2 2 2 6" xfId="9694" xr:uid="{00000000-0005-0000-0000-000080210000}"/>
    <cellStyle name="Обычный 5 6 2 2 2 3" xfId="9695" xr:uid="{00000000-0005-0000-0000-000081210000}"/>
    <cellStyle name="Обычный 5 6 2 2 2 3 2" xfId="9696" xr:uid="{00000000-0005-0000-0000-000082210000}"/>
    <cellStyle name="Обычный 5 6 2 2 2 3 2 2" xfId="9697" xr:uid="{00000000-0005-0000-0000-000083210000}"/>
    <cellStyle name="Обычный 5 6 2 2 2 3 2 3" xfId="9698" xr:uid="{00000000-0005-0000-0000-000084210000}"/>
    <cellStyle name="Обычный 5 6 2 2 2 3 3" xfId="9699" xr:uid="{00000000-0005-0000-0000-000085210000}"/>
    <cellStyle name="Обычный 5 6 2 2 2 3 4" xfId="9700" xr:uid="{00000000-0005-0000-0000-000086210000}"/>
    <cellStyle name="Обычный 5 6 2 2 2 4" xfId="9701" xr:uid="{00000000-0005-0000-0000-000087210000}"/>
    <cellStyle name="Обычный 5 6 2 2 2 4 2" xfId="9702" xr:uid="{00000000-0005-0000-0000-000088210000}"/>
    <cellStyle name="Обычный 5 6 2 2 2 4 3" xfId="9703" xr:uid="{00000000-0005-0000-0000-000089210000}"/>
    <cellStyle name="Обычный 5 6 2 2 2 5" xfId="9704" xr:uid="{00000000-0005-0000-0000-00008A210000}"/>
    <cellStyle name="Обычный 5 6 2 2 2 5 2" xfId="9705" xr:uid="{00000000-0005-0000-0000-00008B210000}"/>
    <cellStyle name="Обычный 5 6 2 2 2 6" xfId="9706" xr:uid="{00000000-0005-0000-0000-00008C210000}"/>
    <cellStyle name="Обычный 5 6 2 2 2 7" xfId="9707" xr:uid="{00000000-0005-0000-0000-00008D210000}"/>
    <cellStyle name="Обычный 5 6 2 2 3" xfId="9708" xr:uid="{00000000-0005-0000-0000-00008E210000}"/>
    <cellStyle name="Обычный 5 6 2 2 3 2" xfId="9709" xr:uid="{00000000-0005-0000-0000-00008F210000}"/>
    <cellStyle name="Обычный 5 6 2 2 3 2 2" xfId="9710" xr:uid="{00000000-0005-0000-0000-000090210000}"/>
    <cellStyle name="Обычный 5 6 2 2 3 2 2 2" xfId="9711" xr:uid="{00000000-0005-0000-0000-000091210000}"/>
    <cellStyle name="Обычный 5 6 2 2 3 2 2 3" xfId="9712" xr:uid="{00000000-0005-0000-0000-000092210000}"/>
    <cellStyle name="Обычный 5 6 2 2 3 2 3" xfId="9713" xr:uid="{00000000-0005-0000-0000-000093210000}"/>
    <cellStyle name="Обычный 5 6 2 2 3 2 4" xfId="9714" xr:uid="{00000000-0005-0000-0000-000094210000}"/>
    <cellStyle name="Обычный 5 6 2 2 3 3" xfId="9715" xr:uid="{00000000-0005-0000-0000-000095210000}"/>
    <cellStyle name="Обычный 5 6 2 2 3 3 2" xfId="9716" xr:uid="{00000000-0005-0000-0000-000096210000}"/>
    <cellStyle name="Обычный 5 6 2 2 3 3 3" xfId="9717" xr:uid="{00000000-0005-0000-0000-000097210000}"/>
    <cellStyle name="Обычный 5 6 2 2 3 4" xfId="9718" xr:uid="{00000000-0005-0000-0000-000098210000}"/>
    <cellStyle name="Обычный 5 6 2 2 3 4 2" xfId="9719" xr:uid="{00000000-0005-0000-0000-000099210000}"/>
    <cellStyle name="Обычный 5 6 2 2 3 5" xfId="9720" xr:uid="{00000000-0005-0000-0000-00009A210000}"/>
    <cellStyle name="Обычный 5 6 2 2 3 6" xfId="9721" xr:uid="{00000000-0005-0000-0000-00009B210000}"/>
    <cellStyle name="Обычный 5 6 2 2 4" xfId="9722" xr:uid="{00000000-0005-0000-0000-00009C210000}"/>
    <cellStyle name="Обычный 5 6 2 2 4 2" xfId="9723" xr:uid="{00000000-0005-0000-0000-00009D210000}"/>
    <cellStyle name="Обычный 5 6 2 2 4 2 2" xfId="9724" xr:uid="{00000000-0005-0000-0000-00009E210000}"/>
    <cellStyle name="Обычный 5 6 2 2 4 2 3" xfId="9725" xr:uid="{00000000-0005-0000-0000-00009F210000}"/>
    <cellStyle name="Обычный 5 6 2 2 4 3" xfId="9726" xr:uid="{00000000-0005-0000-0000-0000A0210000}"/>
    <cellStyle name="Обычный 5 6 2 2 4 4" xfId="9727" xr:uid="{00000000-0005-0000-0000-0000A1210000}"/>
    <cellStyle name="Обычный 5 6 2 2 5" xfId="9728" xr:uid="{00000000-0005-0000-0000-0000A2210000}"/>
    <cellStyle name="Обычный 5 6 2 2 5 2" xfId="9729" xr:uid="{00000000-0005-0000-0000-0000A3210000}"/>
    <cellStyle name="Обычный 5 6 2 2 5 3" xfId="9730" xr:uid="{00000000-0005-0000-0000-0000A4210000}"/>
    <cellStyle name="Обычный 5 6 2 2 6" xfId="9731" xr:uid="{00000000-0005-0000-0000-0000A5210000}"/>
    <cellStyle name="Обычный 5 6 2 2 6 2" xfId="9732" xr:uid="{00000000-0005-0000-0000-0000A6210000}"/>
    <cellStyle name="Обычный 5 6 2 2 7" xfId="9733" xr:uid="{00000000-0005-0000-0000-0000A7210000}"/>
    <cellStyle name="Обычный 5 6 2 2 8" xfId="9734" xr:uid="{00000000-0005-0000-0000-0000A8210000}"/>
    <cellStyle name="Обычный 5 6 2 3" xfId="9735" xr:uid="{00000000-0005-0000-0000-0000A9210000}"/>
    <cellStyle name="Обычный 5 6 2 3 2" xfId="9736" xr:uid="{00000000-0005-0000-0000-0000AA210000}"/>
    <cellStyle name="Обычный 5 6 2 3 2 2" xfId="9737" xr:uid="{00000000-0005-0000-0000-0000AB210000}"/>
    <cellStyle name="Обычный 5 6 2 3 2 2 2" xfId="9738" xr:uid="{00000000-0005-0000-0000-0000AC210000}"/>
    <cellStyle name="Обычный 5 6 2 3 2 2 2 2" xfId="9739" xr:uid="{00000000-0005-0000-0000-0000AD210000}"/>
    <cellStyle name="Обычный 5 6 2 3 2 2 2 3" xfId="9740" xr:uid="{00000000-0005-0000-0000-0000AE210000}"/>
    <cellStyle name="Обычный 5 6 2 3 2 2 3" xfId="9741" xr:uid="{00000000-0005-0000-0000-0000AF210000}"/>
    <cellStyle name="Обычный 5 6 2 3 2 2 4" xfId="9742" xr:uid="{00000000-0005-0000-0000-0000B0210000}"/>
    <cellStyle name="Обычный 5 6 2 3 2 3" xfId="9743" xr:uid="{00000000-0005-0000-0000-0000B1210000}"/>
    <cellStyle name="Обычный 5 6 2 3 2 3 2" xfId="9744" xr:uid="{00000000-0005-0000-0000-0000B2210000}"/>
    <cellStyle name="Обычный 5 6 2 3 2 3 3" xfId="9745" xr:uid="{00000000-0005-0000-0000-0000B3210000}"/>
    <cellStyle name="Обычный 5 6 2 3 2 4" xfId="9746" xr:uid="{00000000-0005-0000-0000-0000B4210000}"/>
    <cellStyle name="Обычный 5 6 2 3 2 4 2" xfId="9747" xr:uid="{00000000-0005-0000-0000-0000B5210000}"/>
    <cellStyle name="Обычный 5 6 2 3 2 5" xfId="9748" xr:uid="{00000000-0005-0000-0000-0000B6210000}"/>
    <cellStyle name="Обычный 5 6 2 3 2 6" xfId="9749" xr:uid="{00000000-0005-0000-0000-0000B7210000}"/>
    <cellStyle name="Обычный 5 6 2 3 3" xfId="9750" xr:uid="{00000000-0005-0000-0000-0000B8210000}"/>
    <cellStyle name="Обычный 5 6 2 3 3 2" xfId="9751" xr:uid="{00000000-0005-0000-0000-0000B9210000}"/>
    <cellStyle name="Обычный 5 6 2 3 3 2 2" xfId="9752" xr:uid="{00000000-0005-0000-0000-0000BA210000}"/>
    <cellStyle name="Обычный 5 6 2 3 3 2 3" xfId="9753" xr:uid="{00000000-0005-0000-0000-0000BB210000}"/>
    <cellStyle name="Обычный 5 6 2 3 3 3" xfId="9754" xr:uid="{00000000-0005-0000-0000-0000BC210000}"/>
    <cellStyle name="Обычный 5 6 2 3 3 4" xfId="9755" xr:uid="{00000000-0005-0000-0000-0000BD210000}"/>
    <cellStyle name="Обычный 5 6 2 3 4" xfId="9756" xr:uid="{00000000-0005-0000-0000-0000BE210000}"/>
    <cellStyle name="Обычный 5 6 2 3 4 2" xfId="9757" xr:uid="{00000000-0005-0000-0000-0000BF210000}"/>
    <cellStyle name="Обычный 5 6 2 3 4 3" xfId="9758" xr:uid="{00000000-0005-0000-0000-0000C0210000}"/>
    <cellStyle name="Обычный 5 6 2 3 5" xfId="9759" xr:uid="{00000000-0005-0000-0000-0000C1210000}"/>
    <cellStyle name="Обычный 5 6 2 3 5 2" xfId="9760" xr:uid="{00000000-0005-0000-0000-0000C2210000}"/>
    <cellStyle name="Обычный 5 6 2 3 6" xfId="9761" xr:uid="{00000000-0005-0000-0000-0000C3210000}"/>
    <cellStyle name="Обычный 5 6 2 3 7" xfId="9762" xr:uid="{00000000-0005-0000-0000-0000C4210000}"/>
    <cellStyle name="Обычный 5 6 2 4" xfId="9763" xr:uid="{00000000-0005-0000-0000-0000C5210000}"/>
    <cellStyle name="Обычный 5 6 2 4 2" xfId="9764" xr:uid="{00000000-0005-0000-0000-0000C6210000}"/>
    <cellStyle name="Обычный 5 6 2 4 2 2" xfId="9765" xr:uid="{00000000-0005-0000-0000-0000C7210000}"/>
    <cellStyle name="Обычный 5 6 2 4 2 2 2" xfId="9766" xr:uid="{00000000-0005-0000-0000-0000C8210000}"/>
    <cellStyle name="Обычный 5 6 2 4 2 2 3" xfId="9767" xr:uid="{00000000-0005-0000-0000-0000C9210000}"/>
    <cellStyle name="Обычный 5 6 2 4 2 3" xfId="9768" xr:uid="{00000000-0005-0000-0000-0000CA210000}"/>
    <cellStyle name="Обычный 5 6 2 4 2 4" xfId="9769" xr:uid="{00000000-0005-0000-0000-0000CB210000}"/>
    <cellStyle name="Обычный 5 6 2 4 3" xfId="9770" xr:uid="{00000000-0005-0000-0000-0000CC210000}"/>
    <cellStyle name="Обычный 5 6 2 4 3 2" xfId="9771" xr:uid="{00000000-0005-0000-0000-0000CD210000}"/>
    <cellStyle name="Обычный 5 6 2 4 3 3" xfId="9772" xr:uid="{00000000-0005-0000-0000-0000CE210000}"/>
    <cellStyle name="Обычный 5 6 2 4 4" xfId="9773" xr:uid="{00000000-0005-0000-0000-0000CF210000}"/>
    <cellStyle name="Обычный 5 6 2 4 4 2" xfId="9774" xr:uid="{00000000-0005-0000-0000-0000D0210000}"/>
    <cellStyle name="Обычный 5 6 2 4 5" xfId="9775" xr:uid="{00000000-0005-0000-0000-0000D1210000}"/>
    <cellStyle name="Обычный 5 6 2 4 6" xfId="9776" xr:uid="{00000000-0005-0000-0000-0000D2210000}"/>
    <cellStyle name="Обычный 5 6 2 5" xfId="9777" xr:uid="{00000000-0005-0000-0000-0000D3210000}"/>
    <cellStyle name="Обычный 5 6 2 5 2" xfId="9778" xr:uid="{00000000-0005-0000-0000-0000D4210000}"/>
    <cellStyle name="Обычный 5 6 2 5 2 2" xfId="9779" xr:uid="{00000000-0005-0000-0000-0000D5210000}"/>
    <cellStyle name="Обычный 5 6 2 5 2 3" xfId="9780" xr:uid="{00000000-0005-0000-0000-0000D6210000}"/>
    <cellStyle name="Обычный 5 6 2 5 3" xfId="9781" xr:uid="{00000000-0005-0000-0000-0000D7210000}"/>
    <cellStyle name="Обычный 5 6 2 5 4" xfId="9782" xr:uid="{00000000-0005-0000-0000-0000D8210000}"/>
    <cellStyle name="Обычный 5 6 2 6" xfId="9783" xr:uid="{00000000-0005-0000-0000-0000D9210000}"/>
    <cellStyle name="Обычный 5 6 2 6 2" xfId="9784" xr:uid="{00000000-0005-0000-0000-0000DA210000}"/>
    <cellStyle name="Обычный 5 6 2 6 3" xfId="9785" xr:uid="{00000000-0005-0000-0000-0000DB210000}"/>
    <cellStyle name="Обычный 5 6 2 7" xfId="9786" xr:uid="{00000000-0005-0000-0000-0000DC210000}"/>
    <cellStyle name="Обычный 5 6 2 7 2" xfId="9787" xr:uid="{00000000-0005-0000-0000-0000DD210000}"/>
    <cellStyle name="Обычный 5 6 2 8" xfId="9788" xr:uid="{00000000-0005-0000-0000-0000DE210000}"/>
    <cellStyle name="Обычный 5 6 2 9" xfId="9789" xr:uid="{00000000-0005-0000-0000-0000DF210000}"/>
    <cellStyle name="Обычный 5 6 3" xfId="3845" xr:uid="{00000000-0005-0000-0000-0000E0210000}"/>
    <cellStyle name="Обычный 5 6 3 2" xfId="9790" xr:uid="{00000000-0005-0000-0000-0000E1210000}"/>
    <cellStyle name="Обычный 5 6 3 2 2" xfId="9791" xr:uid="{00000000-0005-0000-0000-0000E2210000}"/>
    <cellStyle name="Обычный 5 6 3 2 2 2" xfId="9792" xr:uid="{00000000-0005-0000-0000-0000E3210000}"/>
    <cellStyle name="Обычный 5 6 3 2 2 2 2" xfId="9793" xr:uid="{00000000-0005-0000-0000-0000E4210000}"/>
    <cellStyle name="Обычный 5 6 3 2 2 2 2 2" xfId="9794" xr:uid="{00000000-0005-0000-0000-0000E5210000}"/>
    <cellStyle name="Обычный 5 6 3 2 2 2 2 3" xfId="9795" xr:uid="{00000000-0005-0000-0000-0000E6210000}"/>
    <cellStyle name="Обычный 5 6 3 2 2 2 3" xfId="9796" xr:uid="{00000000-0005-0000-0000-0000E7210000}"/>
    <cellStyle name="Обычный 5 6 3 2 2 2 4" xfId="9797" xr:uid="{00000000-0005-0000-0000-0000E8210000}"/>
    <cellStyle name="Обычный 5 6 3 2 2 3" xfId="9798" xr:uid="{00000000-0005-0000-0000-0000E9210000}"/>
    <cellStyle name="Обычный 5 6 3 2 2 3 2" xfId="9799" xr:uid="{00000000-0005-0000-0000-0000EA210000}"/>
    <cellStyle name="Обычный 5 6 3 2 2 3 3" xfId="9800" xr:uid="{00000000-0005-0000-0000-0000EB210000}"/>
    <cellStyle name="Обычный 5 6 3 2 2 4" xfId="9801" xr:uid="{00000000-0005-0000-0000-0000EC210000}"/>
    <cellStyle name="Обычный 5 6 3 2 2 4 2" xfId="9802" xr:uid="{00000000-0005-0000-0000-0000ED210000}"/>
    <cellStyle name="Обычный 5 6 3 2 2 5" xfId="9803" xr:uid="{00000000-0005-0000-0000-0000EE210000}"/>
    <cellStyle name="Обычный 5 6 3 2 2 6" xfId="9804" xr:uid="{00000000-0005-0000-0000-0000EF210000}"/>
    <cellStyle name="Обычный 5 6 3 2 3" xfId="9805" xr:uid="{00000000-0005-0000-0000-0000F0210000}"/>
    <cellStyle name="Обычный 5 6 3 2 3 2" xfId="9806" xr:uid="{00000000-0005-0000-0000-0000F1210000}"/>
    <cellStyle name="Обычный 5 6 3 2 3 2 2" xfId="9807" xr:uid="{00000000-0005-0000-0000-0000F2210000}"/>
    <cellStyle name="Обычный 5 6 3 2 3 2 3" xfId="9808" xr:uid="{00000000-0005-0000-0000-0000F3210000}"/>
    <cellStyle name="Обычный 5 6 3 2 3 3" xfId="9809" xr:uid="{00000000-0005-0000-0000-0000F4210000}"/>
    <cellStyle name="Обычный 5 6 3 2 3 4" xfId="9810" xr:uid="{00000000-0005-0000-0000-0000F5210000}"/>
    <cellStyle name="Обычный 5 6 3 2 4" xfId="9811" xr:uid="{00000000-0005-0000-0000-0000F6210000}"/>
    <cellStyle name="Обычный 5 6 3 2 4 2" xfId="9812" xr:uid="{00000000-0005-0000-0000-0000F7210000}"/>
    <cellStyle name="Обычный 5 6 3 2 4 3" xfId="9813" xr:uid="{00000000-0005-0000-0000-0000F8210000}"/>
    <cellStyle name="Обычный 5 6 3 2 5" xfId="9814" xr:uid="{00000000-0005-0000-0000-0000F9210000}"/>
    <cellStyle name="Обычный 5 6 3 2 5 2" xfId="9815" xr:uid="{00000000-0005-0000-0000-0000FA210000}"/>
    <cellStyle name="Обычный 5 6 3 2 6" xfId="9816" xr:uid="{00000000-0005-0000-0000-0000FB210000}"/>
    <cellStyle name="Обычный 5 6 3 2 7" xfId="9817" xr:uid="{00000000-0005-0000-0000-0000FC210000}"/>
    <cellStyle name="Обычный 5 6 3 3" xfId="9818" xr:uid="{00000000-0005-0000-0000-0000FD210000}"/>
    <cellStyle name="Обычный 5 6 3 3 2" xfId="9819" xr:uid="{00000000-0005-0000-0000-0000FE210000}"/>
    <cellStyle name="Обычный 5 6 3 3 2 2" xfId="9820" xr:uid="{00000000-0005-0000-0000-0000FF210000}"/>
    <cellStyle name="Обычный 5 6 3 3 2 2 2" xfId="9821" xr:uid="{00000000-0005-0000-0000-000000220000}"/>
    <cellStyle name="Обычный 5 6 3 3 2 2 3" xfId="9822" xr:uid="{00000000-0005-0000-0000-000001220000}"/>
    <cellStyle name="Обычный 5 6 3 3 2 3" xfId="9823" xr:uid="{00000000-0005-0000-0000-000002220000}"/>
    <cellStyle name="Обычный 5 6 3 3 2 4" xfId="9824" xr:uid="{00000000-0005-0000-0000-000003220000}"/>
    <cellStyle name="Обычный 5 6 3 3 3" xfId="9825" xr:uid="{00000000-0005-0000-0000-000004220000}"/>
    <cellStyle name="Обычный 5 6 3 3 3 2" xfId="9826" xr:uid="{00000000-0005-0000-0000-000005220000}"/>
    <cellStyle name="Обычный 5 6 3 3 3 3" xfId="9827" xr:uid="{00000000-0005-0000-0000-000006220000}"/>
    <cellStyle name="Обычный 5 6 3 3 4" xfId="9828" xr:uid="{00000000-0005-0000-0000-000007220000}"/>
    <cellStyle name="Обычный 5 6 3 3 4 2" xfId="9829" xr:uid="{00000000-0005-0000-0000-000008220000}"/>
    <cellStyle name="Обычный 5 6 3 3 5" xfId="9830" xr:uid="{00000000-0005-0000-0000-000009220000}"/>
    <cellStyle name="Обычный 5 6 3 3 6" xfId="9831" xr:uid="{00000000-0005-0000-0000-00000A220000}"/>
    <cellStyle name="Обычный 5 6 3 4" xfId="9832" xr:uid="{00000000-0005-0000-0000-00000B220000}"/>
    <cellStyle name="Обычный 5 6 3 4 2" xfId="9833" xr:uid="{00000000-0005-0000-0000-00000C220000}"/>
    <cellStyle name="Обычный 5 6 3 4 2 2" xfId="9834" xr:uid="{00000000-0005-0000-0000-00000D220000}"/>
    <cellStyle name="Обычный 5 6 3 4 2 3" xfId="9835" xr:uid="{00000000-0005-0000-0000-00000E220000}"/>
    <cellStyle name="Обычный 5 6 3 4 3" xfId="9836" xr:uid="{00000000-0005-0000-0000-00000F220000}"/>
    <cellStyle name="Обычный 5 6 3 4 4" xfId="9837" xr:uid="{00000000-0005-0000-0000-000010220000}"/>
    <cellStyle name="Обычный 5 6 3 5" xfId="9838" xr:uid="{00000000-0005-0000-0000-000011220000}"/>
    <cellStyle name="Обычный 5 6 3 5 2" xfId="9839" xr:uid="{00000000-0005-0000-0000-000012220000}"/>
    <cellStyle name="Обычный 5 6 3 5 3" xfId="9840" xr:uid="{00000000-0005-0000-0000-000013220000}"/>
    <cellStyle name="Обычный 5 6 3 6" xfId="9841" xr:uid="{00000000-0005-0000-0000-000014220000}"/>
    <cellStyle name="Обычный 5 6 3 6 2" xfId="9842" xr:uid="{00000000-0005-0000-0000-000015220000}"/>
    <cellStyle name="Обычный 5 6 3 7" xfId="9843" xr:uid="{00000000-0005-0000-0000-000016220000}"/>
    <cellStyle name="Обычный 5 6 3 8" xfId="9844" xr:uid="{00000000-0005-0000-0000-000017220000}"/>
    <cellStyle name="Обычный 5 6 4" xfId="9845" xr:uid="{00000000-0005-0000-0000-000018220000}"/>
    <cellStyle name="Обычный 5 6 4 2" xfId="9846" xr:uid="{00000000-0005-0000-0000-000019220000}"/>
    <cellStyle name="Обычный 5 6 4 2 2" xfId="9847" xr:uid="{00000000-0005-0000-0000-00001A220000}"/>
    <cellStyle name="Обычный 5 6 4 2 2 2" xfId="9848" xr:uid="{00000000-0005-0000-0000-00001B220000}"/>
    <cellStyle name="Обычный 5 6 4 2 2 2 2" xfId="9849" xr:uid="{00000000-0005-0000-0000-00001C220000}"/>
    <cellStyle name="Обычный 5 6 4 2 2 2 3" xfId="9850" xr:uid="{00000000-0005-0000-0000-00001D220000}"/>
    <cellStyle name="Обычный 5 6 4 2 2 3" xfId="9851" xr:uid="{00000000-0005-0000-0000-00001E220000}"/>
    <cellStyle name="Обычный 5 6 4 2 2 4" xfId="9852" xr:uid="{00000000-0005-0000-0000-00001F220000}"/>
    <cellStyle name="Обычный 5 6 4 2 3" xfId="9853" xr:uid="{00000000-0005-0000-0000-000020220000}"/>
    <cellStyle name="Обычный 5 6 4 2 3 2" xfId="9854" xr:uid="{00000000-0005-0000-0000-000021220000}"/>
    <cellStyle name="Обычный 5 6 4 2 3 3" xfId="9855" xr:uid="{00000000-0005-0000-0000-000022220000}"/>
    <cellStyle name="Обычный 5 6 4 2 4" xfId="9856" xr:uid="{00000000-0005-0000-0000-000023220000}"/>
    <cellStyle name="Обычный 5 6 4 2 4 2" xfId="9857" xr:uid="{00000000-0005-0000-0000-000024220000}"/>
    <cellStyle name="Обычный 5 6 4 2 5" xfId="9858" xr:uid="{00000000-0005-0000-0000-000025220000}"/>
    <cellStyle name="Обычный 5 6 4 2 6" xfId="9859" xr:uid="{00000000-0005-0000-0000-000026220000}"/>
    <cellStyle name="Обычный 5 6 4 3" xfId="9860" xr:uid="{00000000-0005-0000-0000-000027220000}"/>
    <cellStyle name="Обычный 5 6 4 3 2" xfId="9861" xr:uid="{00000000-0005-0000-0000-000028220000}"/>
    <cellStyle name="Обычный 5 6 4 3 2 2" xfId="9862" xr:uid="{00000000-0005-0000-0000-000029220000}"/>
    <cellStyle name="Обычный 5 6 4 3 2 3" xfId="9863" xr:uid="{00000000-0005-0000-0000-00002A220000}"/>
    <cellStyle name="Обычный 5 6 4 3 3" xfId="9864" xr:uid="{00000000-0005-0000-0000-00002B220000}"/>
    <cellStyle name="Обычный 5 6 4 3 4" xfId="9865" xr:uid="{00000000-0005-0000-0000-00002C220000}"/>
    <cellStyle name="Обычный 5 6 4 4" xfId="9866" xr:uid="{00000000-0005-0000-0000-00002D220000}"/>
    <cellStyle name="Обычный 5 6 4 4 2" xfId="9867" xr:uid="{00000000-0005-0000-0000-00002E220000}"/>
    <cellStyle name="Обычный 5 6 4 4 3" xfId="9868" xr:uid="{00000000-0005-0000-0000-00002F220000}"/>
    <cellStyle name="Обычный 5 6 4 5" xfId="9869" xr:uid="{00000000-0005-0000-0000-000030220000}"/>
    <cellStyle name="Обычный 5 6 4 5 2" xfId="9870" xr:uid="{00000000-0005-0000-0000-000031220000}"/>
    <cellStyle name="Обычный 5 6 4 6" xfId="9871" xr:uid="{00000000-0005-0000-0000-000032220000}"/>
    <cellStyle name="Обычный 5 6 4 7" xfId="9872" xr:uid="{00000000-0005-0000-0000-000033220000}"/>
    <cellStyle name="Обычный 5 6 5" xfId="9873" xr:uid="{00000000-0005-0000-0000-000034220000}"/>
    <cellStyle name="Обычный 5 6 5 2" xfId="9874" xr:uid="{00000000-0005-0000-0000-000035220000}"/>
    <cellStyle name="Обычный 5 6 5 2 2" xfId="9875" xr:uid="{00000000-0005-0000-0000-000036220000}"/>
    <cellStyle name="Обычный 5 6 5 2 2 2" xfId="9876" xr:uid="{00000000-0005-0000-0000-000037220000}"/>
    <cellStyle name="Обычный 5 6 5 2 2 3" xfId="9877" xr:uid="{00000000-0005-0000-0000-000038220000}"/>
    <cellStyle name="Обычный 5 6 5 2 3" xfId="9878" xr:uid="{00000000-0005-0000-0000-000039220000}"/>
    <cellStyle name="Обычный 5 6 5 2 4" xfId="9879" xr:uid="{00000000-0005-0000-0000-00003A220000}"/>
    <cellStyle name="Обычный 5 6 5 3" xfId="9880" xr:uid="{00000000-0005-0000-0000-00003B220000}"/>
    <cellStyle name="Обычный 5 6 5 3 2" xfId="9881" xr:uid="{00000000-0005-0000-0000-00003C220000}"/>
    <cellStyle name="Обычный 5 6 5 3 3" xfId="9882" xr:uid="{00000000-0005-0000-0000-00003D220000}"/>
    <cellStyle name="Обычный 5 6 5 4" xfId="9883" xr:uid="{00000000-0005-0000-0000-00003E220000}"/>
    <cellStyle name="Обычный 5 6 5 4 2" xfId="9884" xr:uid="{00000000-0005-0000-0000-00003F220000}"/>
    <cellStyle name="Обычный 5 6 5 5" xfId="9885" xr:uid="{00000000-0005-0000-0000-000040220000}"/>
    <cellStyle name="Обычный 5 6 5 6" xfId="9886" xr:uid="{00000000-0005-0000-0000-000041220000}"/>
    <cellStyle name="Обычный 5 6 6" xfId="9887" xr:uid="{00000000-0005-0000-0000-000042220000}"/>
    <cellStyle name="Обычный 5 6 6 2" xfId="9888" xr:uid="{00000000-0005-0000-0000-000043220000}"/>
    <cellStyle name="Обычный 5 6 6 2 2" xfId="9889" xr:uid="{00000000-0005-0000-0000-000044220000}"/>
    <cellStyle name="Обычный 5 6 6 2 3" xfId="9890" xr:uid="{00000000-0005-0000-0000-000045220000}"/>
    <cellStyle name="Обычный 5 6 6 3" xfId="9891" xr:uid="{00000000-0005-0000-0000-000046220000}"/>
    <cellStyle name="Обычный 5 6 6 4" xfId="9892" xr:uid="{00000000-0005-0000-0000-000047220000}"/>
    <cellStyle name="Обычный 5 6 7" xfId="9893" xr:uid="{00000000-0005-0000-0000-000048220000}"/>
    <cellStyle name="Обычный 5 6 7 2" xfId="9894" xr:uid="{00000000-0005-0000-0000-000049220000}"/>
    <cellStyle name="Обычный 5 6 7 3" xfId="9895" xr:uid="{00000000-0005-0000-0000-00004A220000}"/>
    <cellStyle name="Обычный 5 6 8" xfId="9896" xr:uid="{00000000-0005-0000-0000-00004B220000}"/>
    <cellStyle name="Обычный 5 6 8 2" xfId="9897" xr:uid="{00000000-0005-0000-0000-00004C220000}"/>
    <cellStyle name="Обычный 5 6 9" xfId="9898" xr:uid="{00000000-0005-0000-0000-00004D220000}"/>
    <cellStyle name="Обычный 5 6_Свод гостин" xfId="3846" xr:uid="{00000000-0005-0000-0000-00004E220000}"/>
    <cellStyle name="Обычный 5 7" xfId="3847" xr:uid="{00000000-0005-0000-0000-00004F220000}"/>
    <cellStyle name="Обычный 5 7 2" xfId="9899" xr:uid="{00000000-0005-0000-0000-000050220000}"/>
    <cellStyle name="Обычный 5 7 2 2" xfId="9900" xr:uid="{00000000-0005-0000-0000-000051220000}"/>
    <cellStyle name="Обычный 5 7 2 2 2" xfId="9901" xr:uid="{00000000-0005-0000-0000-000052220000}"/>
    <cellStyle name="Обычный 5 7 2 2 2 2" xfId="9902" xr:uid="{00000000-0005-0000-0000-000053220000}"/>
    <cellStyle name="Обычный 5 7 2 2 2 2 2" xfId="9903" xr:uid="{00000000-0005-0000-0000-000054220000}"/>
    <cellStyle name="Обычный 5 7 2 2 2 2 2 2" xfId="9904" xr:uid="{00000000-0005-0000-0000-000055220000}"/>
    <cellStyle name="Обычный 5 7 2 2 2 2 2 3" xfId="9905" xr:uid="{00000000-0005-0000-0000-000056220000}"/>
    <cellStyle name="Обычный 5 7 2 2 2 2 3" xfId="9906" xr:uid="{00000000-0005-0000-0000-000057220000}"/>
    <cellStyle name="Обычный 5 7 2 2 2 2 4" xfId="9907" xr:uid="{00000000-0005-0000-0000-000058220000}"/>
    <cellStyle name="Обычный 5 7 2 2 2 3" xfId="9908" xr:uid="{00000000-0005-0000-0000-000059220000}"/>
    <cellStyle name="Обычный 5 7 2 2 2 3 2" xfId="9909" xr:uid="{00000000-0005-0000-0000-00005A220000}"/>
    <cellStyle name="Обычный 5 7 2 2 2 3 3" xfId="9910" xr:uid="{00000000-0005-0000-0000-00005B220000}"/>
    <cellStyle name="Обычный 5 7 2 2 2 4" xfId="9911" xr:uid="{00000000-0005-0000-0000-00005C220000}"/>
    <cellStyle name="Обычный 5 7 2 2 2 4 2" xfId="9912" xr:uid="{00000000-0005-0000-0000-00005D220000}"/>
    <cellStyle name="Обычный 5 7 2 2 2 5" xfId="9913" xr:uid="{00000000-0005-0000-0000-00005E220000}"/>
    <cellStyle name="Обычный 5 7 2 2 2 6" xfId="9914" xr:uid="{00000000-0005-0000-0000-00005F220000}"/>
    <cellStyle name="Обычный 5 7 2 2 3" xfId="9915" xr:uid="{00000000-0005-0000-0000-000060220000}"/>
    <cellStyle name="Обычный 5 7 2 2 3 2" xfId="9916" xr:uid="{00000000-0005-0000-0000-000061220000}"/>
    <cellStyle name="Обычный 5 7 2 2 3 2 2" xfId="9917" xr:uid="{00000000-0005-0000-0000-000062220000}"/>
    <cellStyle name="Обычный 5 7 2 2 3 2 3" xfId="9918" xr:uid="{00000000-0005-0000-0000-000063220000}"/>
    <cellStyle name="Обычный 5 7 2 2 3 3" xfId="9919" xr:uid="{00000000-0005-0000-0000-000064220000}"/>
    <cellStyle name="Обычный 5 7 2 2 3 4" xfId="9920" xr:uid="{00000000-0005-0000-0000-000065220000}"/>
    <cellStyle name="Обычный 5 7 2 2 4" xfId="9921" xr:uid="{00000000-0005-0000-0000-000066220000}"/>
    <cellStyle name="Обычный 5 7 2 2 4 2" xfId="9922" xr:uid="{00000000-0005-0000-0000-000067220000}"/>
    <cellStyle name="Обычный 5 7 2 2 4 3" xfId="9923" xr:uid="{00000000-0005-0000-0000-000068220000}"/>
    <cellStyle name="Обычный 5 7 2 2 5" xfId="9924" xr:uid="{00000000-0005-0000-0000-000069220000}"/>
    <cellStyle name="Обычный 5 7 2 2 5 2" xfId="9925" xr:uid="{00000000-0005-0000-0000-00006A220000}"/>
    <cellStyle name="Обычный 5 7 2 2 6" xfId="9926" xr:uid="{00000000-0005-0000-0000-00006B220000}"/>
    <cellStyle name="Обычный 5 7 2 2 7" xfId="9927" xr:uid="{00000000-0005-0000-0000-00006C220000}"/>
    <cellStyle name="Обычный 5 7 2 3" xfId="9928" xr:uid="{00000000-0005-0000-0000-00006D220000}"/>
    <cellStyle name="Обычный 5 7 2 3 2" xfId="9929" xr:uid="{00000000-0005-0000-0000-00006E220000}"/>
    <cellStyle name="Обычный 5 7 2 3 2 2" xfId="9930" xr:uid="{00000000-0005-0000-0000-00006F220000}"/>
    <cellStyle name="Обычный 5 7 2 3 2 2 2" xfId="9931" xr:uid="{00000000-0005-0000-0000-000070220000}"/>
    <cellStyle name="Обычный 5 7 2 3 2 2 3" xfId="9932" xr:uid="{00000000-0005-0000-0000-000071220000}"/>
    <cellStyle name="Обычный 5 7 2 3 2 3" xfId="9933" xr:uid="{00000000-0005-0000-0000-000072220000}"/>
    <cellStyle name="Обычный 5 7 2 3 2 4" xfId="9934" xr:uid="{00000000-0005-0000-0000-000073220000}"/>
    <cellStyle name="Обычный 5 7 2 3 3" xfId="9935" xr:uid="{00000000-0005-0000-0000-000074220000}"/>
    <cellStyle name="Обычный 5 7 2 3 3 2" xfId="9936" xr:uid="{00000000-0005-0000-0000-000075220000}"/>
    <cellStyle name="Обычный 5 7 2 3 3 3" xfId="9937" xr:uid="{00000000-0005-0000-0000-000076220000}"/>
    <cellStyle name="Обычный 5 7 2 3 4" xfId="9938" xr:uid="{00000000-0005-0000-0000-000077220000}"/>
    <cellStyle name="Обычный 5 7 2 3 4 2" xfId="9939" xr:uid="{00000000-0005-0000-0000-000078220000}"/>
    <cellStyle name="Обычный 5 7 2 3 5" xfId="9940" xr:uid="{00000000-0005-0000-0000-000079220000}"/>
    <cellStyle name="Обычный 5 7 2 3 6" xfId="9941" xr:uid="{00000000-0005-0000-0000-00007A220000}"/>
    <cellStyle name="Обычный 5 7 2 4" xfId="9942" xr:uid="{00000000-0005-0000-0000-00007B220000}"/>
    <cellStyle name="Обычный 5 7 2 4 2" xfId="9943" xr:uid="{00000000-0005-0000-0000-00007C220000}"/>
    <cellStyle name="Обычный 5 7 2 4 2 2" xfId="9944" xr:uid="{00000000-0005-0000-0000-00007D220000}"/>
    <cellStyle name="Обычный 5 7 2 4 2 3" xfId="9945" xr:uid="{00000000-0005-0000-0000-00007E220000}"/>
    <cellStyle name="Обычный 5 7 2 4 3" xfId="9946" xr:uid="{00000000-0005-0000-0000-00007F220000}"/>
    <cellStyle name="Обычный 5 7 2 4 4" xfId="9947" xr:uid="{00000000-0005-0000-0000-000080220000}"/>
    <cellStyle name="Обычный 5 7 2 5" xfId="9948" xr:uid="{00000000-0005-0000-0000-000081220000}"/>
    <cellStyle name="Обычный 5 7 2 5 2" xfId="9949" xr:uid="{00000000-0005-0000-0000-000082220000}"/>
    <cellStyle name="Обычный 5 7 2 5 3" xfId="9950" xr:uid="{00000000-0005-0000-0000-000083220000}"/>
    <cellStyle name="Обычный 5 7 2 6" xfId="9951" xr:uid="{00000000-0005-0000-0000-000084220000}"/>
    <cellStyle name="Обычный 5 7 2 6 2" xfId="9952" xr:uid="{00000000-0005-0000-0000-000085220000}"/>
    <cellStyle name="Обычный 5 7 2 7" xfId="9953" xr:uid="{00000000-0005-0000-0000-000086220000}"/>
    <cellStyle name="Обычный 5 7 2 8" xfId="9954" xr:uid="{00000000-0005-0000-0000-000087220000}"/>
    <cellStyle name="Обычный 5 7 3" xfId="9955" xr:uid="{00000000-0005-0000-0000-000088220000}"/>
    <cellStyle name="Обычный 5 7 3 2" xfId="9956" xr:uid="{00000000-0005-0000-0000-000089220000}"/>
    <cellStyle name="Обычный 5 7 3 2 2" xfId="9957" xr:uid="{00000000-0005-0000-0000-00008A220000}"/>
    <cellStyle name="Обычный 5 7 3 2 2 2" xfId="9958" xr:uid="{00000000-0005-0000-0000-00008B220000}"/>
    <cellStyle name="Обычный 5 7 3 2 2 2 2" xfId="9959" xr:uid="{00000000-0005-0000-0000-00008C220000}"/>
    <cellStyle name="Обычный 5 7 3 2 2 2 3" xfId="9960" xr:uid="{00000000-0005-0000-0000-00008D220000}"/>
    <cellStyle name="Обычный 5 7 3 2 2 3" xfId="9961" xr:uid="{00000000-0005-0000-0000-00008E220000}"/>
    <cellStyle name="Обычный 5 7 3 2 2 4" xfId="9962" xr:uid="{00000000-0005-0000-0000-00008F220000}"/>
    <cellStyle name="Обычный 5 7 3 2 3" xfId="9963" xr:uid="{00000000-0005-0000-0000-000090220000}"/>
    <cellStyle name="Обычный 5 7 3 2 3 2" xfId="9964" xr:uid="{00000000-0005-0000-0000-000091220000}"/>
    <cellStyle name="Обычный 5 7 3 2 3 3" xfId="9965" xr:uid="{00000000-0005-0000-0000-000092220000}"/>
    <cellStyle name="Обычный 5 7 3 2 4" xfId="9966" xr:uid="{00000000-0005-0000-0000-000093220000}"/>
    <cellStyle name="Обычный 5 7 3 2 4 2" xfId="9967" xr:uid="{00000000-0005-0000-0000-000094220000}"/>
    <cellStyle name="Обычный 5 7 3 2 5" xfId="9968" xr:uid="{00000000-0005-0000-0000-000095220000}"/>
    <cellStyle name="Обычный 5 7 3 2 6" xfId="9969" xr:uid="{00000000-0005-0000-0000-000096220000}"/>
    <cellStyle name="Обычный 5 7 3 3" xfId="9970" xr:uid="{00000000-0005-0000-0000-000097220000}"/>
    <cellStyle name="Обычный 5 7 3 3 2" xfId="9971" xr:uid="{00000000-0005-0000-0000-000098220000}"/>
    <cellStyle name="Обычный 5 7 3 3 2 2" xfId="9972" xr:uid="{00000000-0005-0000-0000-000099220000}"/>
    <cellStyle name="Обычный 5 7 3 3 2 3" xfId="9973" xr:uid="{00000000-0005-0000-0000-00009A220000}"/>
    <cellStyle name="Обычный 5 7 3 3 3" xfId="9974" xr:uid="{00000000-0005-0000-0000-00009B220000}"/>
    <cellStyle name="Обычный 5 7 3 3 4" xfId="9975" xr:uid="{00000000-0005-0000-0000-00009C220000}"/>
    <cellStyle name="Обычный 5 7 3 4" xfId="9976" xr:uid="{00000000-0005-0000-0000-00009D220000}"/>
    <cellStyle name="Обычный 5 7 3 4 2" xfId="9977" xr:uid="{00000000-0005-0000-0000-00009E220000}"/>
    <cellStyle name="Обычный 5 7 3 4 3" xfId="9978" xr:uid="{00000000-0005-0000-0000-00009F220000}"/>
    <cellStyle name="Обычный 5 7 3 5" xfId="9979" xr:uid="{00000000-0005-0000-0000-0000A0220000}"/>
    <cellStyle name="Обычный 5 7 3 5 2" xfId="9980" xr:uid="{00000000-0005-0000-0000-0000A1220000}"/>
    <cellStyle name="Обычный 5 7 3 6" xfId="9981" xr:uid="{00000000-0005-0000-0000-0000A2220000}"/>
    <cellStyle name="Обычный 5 7 3 7" xfId="9982" xr:uid="{00000000-0005-0000-0000-0000A3220000}"/>
    <cellStyle name="Обычный 5 7 4" xfId="9983" xr:uid="{00000000-0005-0000-0000-0000A4220000}"/>
    <cellStyle name="Обычный 5 7 4 2" xfId="9984" xr:uid="{00000000-0005-0000-0000-0000A5220000}"/>
    <cellStyle name="Обычный 5 7 4 2 2" xfId="9985" xr:uid="{00000000-0005-0000-0000-0000A6220000}"/>
    <cellStyle name="Обычный 5 7 4 2 2 2" xfId="9986" xr:uid="{00000000-0005-0000-0000-0000A7220000}"/>
    <cellStyle name="Обычный 5 7 4 2 2 3" xfId="9987" xr:uid="{00000000-0005-0000-0000-0000A8220000}"/>
    <cellStyle name="Обычный 5 7 4 2 3" xfId="9988" xr:uid="{00000000-0005-0000-0000-0000A9220000}"/>
    <cellStyle name="Обычный 5 7 4 2 4" xfId="9989" xr:uid="{00000000-0005-0000-0000-0000AA220000}"/>
    <cellStyle name="Обычный 5 7 4 3" xfId="9990" xr:uid="{00000000-0005-0000-0000-0000AB220000}"/>
    <cellStyle name="Обычный 5 7 4 3 2" xfId="9991" xr:uid="{00000000-0005-0000-0000-0000AC220000}"/>
    <cellStyle name="Обычный 5 7 4 3 3" xfId="9992" xr:uid="{00000000-0005-0000-0000-0000AD220000}"/>
    <cellStyle name="Обычный 5 7 4 4" xfId="9993" xr:uid="{00000000-0005-0000-0000-0000AE220000}"/>
    <cellStyle name="Обычный 5 7 4 4 2" xfId="9994" xr:uid="{00000000-0005-0000-0000-0000AF220000}"/>
    <cellStyle name="Обычный 5 7 4 5" xfId="9995" xr:uid="{00000000-0005-0000-0000-0000B0220000}"/>
    <cellStyle name="Обычный 5 7 4 6" xfId="9996" xr:uid="{00000000-0005-0000-0000-0000B1220000}"/>
    <cellStyle name="Обычный 5 7 5" xfId="9997" xr:uid="{00000000-0005-0000-0000-0000B2220000}"/>
    <cellStyle name="Обычный 5 7 5 2" xfId="9998" xr:uid="{00000000-0005-0000-0000-0000B3220000}"/>
    <cellStyle name="Обычный 5 7 5 2 2" xfId="9999" xr:uid="{00000000-0005-0000-0000-0000B4220000}"/>
    <cellStyle name="Обычный 5 7 5 2 3" xfId="10000" xr:uid="{00000000-0005-0000-0000-0000B5220000}"/>
    <cellStyle name="Обычный 5 7 5 3" xfId="10001" xr:uid="{00000000-0005-0000-0000-0000B6220000}"/>
    <cellStyle name="Обычный 5 7 5 4" xfId="10002" xr:uid="{00000000-0005-0000-0000-0000B7220000}"/>
    <cellStyle name="Обычный 5 7 6" xfId="10003" xr:uid="{00000000-0005-0000-0000-0000B8220000}"/>
    <cellStyle name="Обычный 5 7 6 2" xfId="10004" xr:uid="{00000000-0005-0000-0000-0000B9220000}"/>
    <cellStyle name="Обычный 5 7 6 3" xfId="10005" xr:uid="{00000000-0005-0000-0000-0000BA220000}"/>
    <cellStyle name="Обычный 5 7 7" xfId="10006" xr:uid="{00000000-0005-0000-0000-0000BB220000}"/>
    <cellStyle name="Обычный 5 7 7 2" xfId="10007" xr:uid="{00000000-0005-0000-0000-0000BC220000}"/>
    <cellStyle name="Обычный 5 7 8" xfId="10008" xr:uid="{00000000-0005-0000-0000-0000BD220000}"/>
    <cellStyle name="Обычный 5 7 9" xfId="10009" xr:uid="{00000000-0005-0000-0000-0000BE220000}"/>
    <cellStyle name="Обычный 5 8" xfId="3848" xr:uid="{00000000-0005-0000-0000-0000BF220000}"/>
    <cellStyle name="Обычный 5 8 2" xfId="10010" xr:uid="{00000000-0005-0000-0000-0000C0220000}"/>
    <cellStyle name="Обычный 5 8 2 2" xfId="10011" xr:uid="{00000000-0005-0000-0000-0000C1220000}"/>
    <cellStyle name="Обычный 5 8 2 2 2" xfId="10012" xr:uid="{00000000-0005-0000-0000-0000C2220000}"/>
    <cellStyle name="Обычный 5 8 2 2 2 2" xfId="10013" xr:uid="{00000000-0005-0000-0000-0000C3220000}"/>
    <cellStyle name="Обычный 5 8 2 2 2 2 2" xfId="10014" xr:uid="{00000000-0005-0000-0000-0000C4220000}"/>
    <cellStyle name="Обычный 5 8 2 2 2 2 3" xfId="10015" xr:uid="{00000000-0005-0000-0000-0000C5220000}"/>
    <cellStyle name="Обычный 5 8 2 2 2 3" xfId="10016" xr:uid="{00000000-0005-0000-0000-0000C6220000}"/>
    <cellStyle name="Обычный 5 8 2 2 2 4" xfId="10017" xr:uid="{00000000-0005-0000-0000-0000C7220000}"/>
    <cellStyle name="Обычный 5 8 2 2 3" xfId="10018" xr:uid="{00000000-0005-0000-0000-0000C8220000}"/>
    <cellStyle name="Обычный 5 8 2 2 3 2" xfId="10019" xr:uid="{00000000-0005-0000-0000-0000C9220000}"/>
    <cellStyle name="Обычный 5 8 2 2 3 3" xfId="10020" xr:uid="{00000000-0005-0000-0000-0000CA220000}"/>
    <cellStyle name="Обычный 5 8 2 2 4" xfId="10021" xr:uid="{00000000-0005-0000-0000-0000CB220000}"/>
    <cellStyle name="Обычный 5 8 2 2 4 2" xfId="10022" xr:uid="{00000000-0005-0000-0000-0000CC220000}"/>
    <cellStyle name="Обычный 5 8 2 2 5" xfId="10023" xr:uid="{00000000-0005-0000-0000-0000CD220000}"/>
    <cellStyle name="Обычный 5 8 2 2 6" xfId="10024" xr:uid="{00000000-0005-0000-0000-0000CE220000}"/>
    <cellStyle name="Обычный 5 8 2 3" xfId="10025" xr:uid="{00000000-0005-0000-0000-0000CF220000}"/>
    <cellStyle name="Обычный 5 8 2 3 2" xfId="10026" xr:uid="{00000000-0005-0000-0000-0000D0220000}"/>
    <cellStyle name="Обычный 5 8 2 3 2 2" xfId="10027" xr:uid="{00000000-0005-0000-0000-0000D1220000}"/>
    <cellStyle name="Обычный 5 8 2 3 2 3" xfId="10028" xr:uid="{00000000-0005-0000-0000-0000D2220000}"/>
    <cellStyle name="Обычный 5 8 2 3 3" xfId="10029" xr:uid="{00000000-0005-0000-0000-0000D3220000}"/>
    <cellStyle name="Обычный 5 8 2 3 4" xfId="10030" xr:uid="{00000000-0005-0000-0000-0000D4220000}"/>
    <cellStyle name="Обычный 5 8 2 4" xfId="10031" xr:uid="{00000000-0005-0000-0000-0000D5220000}"/>
    <cellStyle name="Обычный 5 8 2 4 2" xfId="10032" xr:uid="{00000000-0005-0000-0000-0000D6220000}"/>
    <cellStyle name="Обычный 5 8 2 4 3" xfId="10033" xr:uid="{00000000-0005-0000-0000-0000D7220000}"/>
    <cellStyle name="Обычный 5 8 2 5" xfId="10034" xr:uid="{00000000-0005-0000-0000-0000D8220000}"/>
    <cellStyle name="Обычный 5 8 2 5 2" xfId="10035" xr:uid="{00000000-0005-0000-0000-0000D9220000}"/>
    <cellStyle name="Обычный 5 8 2 6" xfId="10036" xr:uid="{00000000-0005-0000-0000-0000DA220000}"/>
    <cellStyle name="Обычный 5 8 2 7" xfId="10037" xr:uid="{00000000-0005-0000-0000-0000DB220000}"/>
    <cellStyle name="Обычный 5 8 3" xfId="10038" xr:uid="{00000000-0005-0000-0000-0000DC220000}"/>
    <cellStyle name="Обычный 5 8 3 2" xfId="10039" xr:uid="{00000000-0005-0000-0000-0000DD220000}"/>
    <cellStyle name="Обычный 5 8 3 2 2" xfId="10040" xr:uid="{00000000-0005-0000-0000-0000DE220000}"/>
    <cellStyle name="Обычный 5 8 3 2 2 2" xfId="10041" xr:uid="{00000000-0005-0000-0000-0000DF220000}"/>
    <cellStyle name="Обычный 5 8 3 2 2 3" xfId="10042" xr:uid="{00000000-0005-0000-0000-0000E0220000}"/>
    <cellStyle name="Обычный 5 8 3 2 3" xfId="10043" xr:uid="{00000000-0005-0000-0000-0000E1220000}"/>
    <cellStyle name="Обычный 5 8 3 2 4" xfId="10044" xr:uid="{00000000-0005-0000-0000-0000E2220000}"/>
    <cellStyle name="Обычный 5 8 3 3" xfId="10045" xr:uid="{00000000-0005-0000-0000-0000E3220000}"/>
    <cellStyle name="Обычный 5 8 3 3 2" xfId="10046" xr:uid="{00000000-0005-0000-0000-0000E4220000}"/>
    <cellStyle name="Обычный 5 8 3 3 3" xfId="10047" xr:uid="{00000000-0005-0000-0000-0000E5220000}"/>
    <cellStyle name="Обычный 5 8 3 4" xfId="10048" xr:uid="{00000000-0005-0000-0000-0000E6220000}"/>
    <cellStyle name="Обычный 5 8 3 4 2" xfId="10049" xr:uid="{00000000-0005-0000-0000-0000E7220000}"/>
    <cellStyle name="Обычный 5 8 3 5" xfId="10050" xr:uid="{00000000-0005-0000-0000-0000E8220000}"/>
    <cellStyle name="Обычный 5 8 3 6" xfId="10051" xr:uid="{00000000-0005-0000-0000-0000E9220000}"/>
    <cellStyle name="Обычный 5 8 4" xfId="10052" xr:uid="{00000000-0005-0000-0000-0000EA220000}"/>
    <cellStyle name="Обычный 5 8 4 2" xfId="10053" xr:uid="{00000000-0005-0000-0000-0000EB220000}"/>
    <cellStyle name="Обычный 5 8 4 2 2" xfId="10054" xr:uid="{00000000-0005-0000-0000-0000EC220000}"/>
    <cellStyle name="Обычный 5 8 4 2 3" xfId="10055" xr:uid="{00000000-0005-0000-0000-0000ED220000}"/>
    <cellStyle name="Обычный 5 8 4 3" xfId="10056" xr:uid="{00000000-0005-0000-0000-0000EE220000}"/>
    <cellStyle name="Обычный 5 8 4 4" xfId="10057" xr:uid="{00000000-0005-0000-0000-0000EF220000}"/>
    <cellStyle name="Обычный 5 8 5" xfId="10058" xr:uid="{00000000-0005-0000-0000-0000F0220000}"/>
    <cellStyle name="Обычный 5 8 5 2" xfId="10059" xr:uid="{00000000-0005-0000-0000-0000F1220000}"/>
    <cellStyle name="Обычный 5 8 5 3" xfId="10060" xr:uid="{00000000-0005-0000-0000-0000F2220000}"/>
    <cellStyle name="Обычный 5 8 6" xfId="10061" xr:uid="{00000000-0005-0000-0000-0000F3220000}"/>
    <cellStyle name="Обычный 5 8 6 2" xfId="10062" xr:uid="{00000000-0005-0000-0000-0000F4220000}"/>
    <cellStyle name="Обычный 5 8 7" xfId="10063" xr:uid="{00000000-0005-0000-0000-0000F5220000}"/>
    <cellStyle name="Обычный 5 8 8" xfId="10064" xr:uid="{00000000-0005-0000-0000-0000F6220000}"/>
    <cellStyle name="Обычный 5 9" xfId="3849" xr:uid="{00000000-0005-0000-0000-0000F7220000}"/>
    <cellStyle name="Обычный 5 9 2" xfId="10065" xr:uid="{00000000-0005-0000-0000-0000F8220000}"/>
    <cellStyle name="Обычный 5 9 2 2" xfId="10066" xr:uid="{00000000-0005-0000-0000-0000F9220000}"/>
    <cellStyle name="Обычный 5 9 2 2 2" xfId="10067" xr:uid="{00000000-0005-0000-0000-0000FA220000}"/>
    <cellStyle name="Обычный 5 9 2 2 2 2" xfId="10068" xr:uid="{00000000-0005-0000-0000-0000FB220000}"/>
    <cellStyle name="Обычный 5 9 2 2 2 3" xfId="10069" xr:uid="{00000000-0005-0000-0000-0000FC220000}"/>
    <cellStyle name="Обычный 5 9 2 2 3" xfId="10070" xr:uid="{00000000-0005-0000-0000-0000FD220000}"/>
    <cellStyle name="Обычный 5 9 2 2 4" xfId="10071" xr:uid="{00000000-0005-0000-0000-0000FE220000}"/>
    <cellStyle name="Обычный 5 9 2 3" xfId="10072" xr:uid="{00000000-0005-0000-0000-0000FF220000}"/>
    <cellStyle name="Обычный 5 9 2 3 2" xfId="10073" xr:uid="{00000000-0005-0000-0000-000000230000}"/>
    <cellStyle name="Обычный 5 9 2 3 3" xfId="10074" xr:uid="{00000000-0005-0000-0000-000001230000}"/>
    <cellStyle name="Обычный 5 9 2 4" xfId="10075" xr:uid="{00000000-0005-0000-0000-000002230000}"/>
    <cellStyle name="Обычный 5 9 2 4 2" xfId="10076" xr:uid="{00000000-0005-0000-0000-000003230000}"/>
    <cellStyle name="Обычный 5 9 2 5" xfId="10077" xr:uid="{00000000-0005-0000-0000-000004230000}"/>
    <cellStyle name="Обычный 5 9 2 6" xfId="10078" xr:uid="{00000000-0005-0000-0000-000005230000}"/>
    <cellStyle name="Обычный 5 9 3" xfId="10079" xr:uid="{00000000-0005-0000-0000-000006230000}"/>
    <cellStyle name="Обычный 5 9 3 2" xfId="10080" xr:uid="{00000000-0005-0000-0000-000007230000}"/>
    <cellStyle name="Обычный 5 9 3 2 2" xfId="10081" xr:uid="{00000000-0005-0000-0000-000008230000}"/>
    <cellStyle name="Обычный 5 9 3 2 3" xfId="10082" xr:uid="{00000000-0005-0000-0000-000009230000}"/>
    <cellStyle name="Обычный 5 9 3 3" xfId="10083" xr:uid="{00000000-0005-0000-0000-00000A230000}"/>
    <cellStyle name="Обычный 5 9 3 4" xfId="10084" xr:uid="{00000000-0005-0000-0000-00000B230000}"/>
    <cellStyle name="Обычный 5 9 4" xfId="10085" xr:uid="{00000000-0005-0000-0000-00000C230000}"/>
    <cellStyle name="Обычный 5 9 4 2" xfId="10086" xr:uid="{00000000-0005-0000-0000-00000D230000}"/>
    <cellStyle name="Обычный 5 9 4 3" xfId="10087" xr:uid="{00000000-0005-0000-0000-00000E230000}"/>
    <cellStyle name="Обычный 5 9 5" xfId="10088" xr:uid="{00000000-0005-0000-0000-00000F230000}"/>
    <cellStyle name="Обычный 5 9 5 2" xfId="10089" xr:uid="{00000000-0005-0000-0000-000010230000}"/>
    <cellStyle name="Обычный 5 9 6" xfId="10090" xr:uid="{00000000-0005-0000-0000-000011230000}"/>
    <cellStyle name="Обычный 5 9 7" xfId="10091" xr:uid="{00000000-0005-0000-0000-000012230000}"/>
    <cellStyle name="Обычный 5_Свод гостин" xfId="3850" xr:uid="{00000000-0005-0000-0000-000013230000}"/>
    <cellStyle name="Обычный 50" xfId="3851" xr:uid="{00000000-0005-0000-0000-000014230000}"/>
    <cellStyle name="Обычный 50 2" xfId="3852" xr:uid="{00000000-0005-0000-0000-000015230000}"/>
    <cellStyle name="Обычный 50 3" xfId="3853" xr:uid="{00000000-0005-0000-0000-000016230000}"/>
    <cellStyle name="Обычный 50_Свод гостин" xfId="3854" xr:uid="{00000000-0005-0000-0000-000017230000}"/>
    <cellStyle name="Обычный 51" xfId="3855" xr:uid="{00000000-0005-0000-0000-000018230000}"/>
    <cellStyle name="Обычный 51 2" xfId="3856" xr:uid="{00000000-0005-0000-0000-000019230000}"/>
    <cellStyle name="Обычный 51_Свод гостин" xfId="3857" xr:uid="{00000000-0005-0000-0000-00001A230000}"/>
    <cellStyle name="Обычный 52" xfId="3858" xr:uid="{00000000-0005-0000-0000-00001B230000}"/>
    <cellStyle name="Обычный 52 10" xfId="10092" xr:uid="{00000000-0005-0000-0000-00001C230000}"/>
    <cellStyle name="Обычный 52 11" xfId="10093" xr:uid="{00000000-0005-0000-0000-00001D230000}"/>
    <cellStyle name="Обычный 52 2" xfId="3859" xr:uid="{00000000-0005-0000-0000-00001E230000}"/>
    <cellStyle name="Обычный 52 2 2" xfId="10094" xr:uid="{00000000-0005-0000-0000-00001F230000}"/>
    <cellStyle name="Обычный 52 2 2 2" xfId="10095" xr:uid="{00000000-0005-0000-0000-000020230000}"/>
    <cellStyle name="Обычный 52 2 2 2 2" xfId="10096" xr:uid="{00000000-0005-0000-0000-000021230000}"/>
    <cellStyle name="Обычный 52 2 2 2 2 2" xfId="10097" xr:uid="{00000000-0005-0000-0000-000022230000}"/>
    <cellStyle name="Обычный 52 2 2 2 2 2 2" xfId="10098" xr:uid="{00000000-0005-0000-0000-000023230000}"/>
    <cellStyle name="Обычный 52 2 2 2 2 2 2 2" xfId="10099" xr:uid="{00000000-0005-0000-0000-000024230000}"/>
    <cellStyle name="Обычный 52 2 2 2 2 2 2 3" xfId="10100" xr:uid="{00000000-0005-0000-0000-000025230000}"/>
    <cellStyle name="Обычный 52 2 2 2 2 2 3" xfId="10101" xr:uid="{00000000-0005-0000-0000-000026230000}"/>
    <cellStyle name="Обычный 52 2 2 2 2 2 4" xfId="10102" xr:uid="{00000000-0005-0000-0000-000027230000}"/>
    <cellStyle name="Обычный 52 2 2 2 2 3" xfId="10103" xr:uid="{00000000-0005-0000-0000-000028230000}"/>
    <cellStyle name="Обычный 52 2 2 2 2 3 2" xfId="10104" xr:uid="{00000000-0005-0000-0000-000029230000}"/>
    <cellStyle name="Обычный 52 2 2 2 2 3 3" xfId="10105" xr:uid="{00000000-0005-0000-0000-00002A230000}"/>
    <cellStyle name="Обычный 52 2 2 2 2 4" xfId="10106" xr:uid="{00000000-0005-0000-0000-00002B230000}"/>
    <cellStyle name="Обычный 52 2 2 2 2 4 2" xfId="10107" xr:uid="{00000000-0005-0000-0000-00002C230000}"/>
    <cellStyle name="Обычный 52 2 2 2 2 5" xfId="10108" xr:uid="{00000000-0005-0000-0000-00002D230000}"/>
    <cellStyle name="Обычный 52 2 2 2 2 6" xfId="10109" xr:uid="{00000000-0005-0000-0000-00002E230000}"/>
    <cellStyle name="Обычный 52 2 2 2 3" xfId="10110" xr:uid="{00000000-0005-0000-0000-00002F230000}"/>
    <cellStyle name="Обычный 52 2 2 2 3 2" xfId="10111" xr:uid="{00000000-0005-0000-0000-000030230000}"/>
    <cellStyle name="Обычный 52 2 2 2 3 2 2" xfId="10112" xr:uid="{00000000-0005-0000-0000-000031230000}"/>
    <cellStyle name="Обычный 52 2 2 2 3 2 3" xfId="10113" xr:uid="{00000000-0005-0000-0000-000032230000}"/>
    <cellStyle name="Обычный 52 2 2 2 3 3" xfId="10114" xr:uid="{00000000-0005-0000-0000-000033230000}"/>
    <cellStyle name="Обычный 52 2 2 2 3 4" xfId="10115" xr:uid="{00000000-0005-0000-0000-000034230000}"/>
    <cellStyle name="Обычный 52 2 2 2 4" xfId="10116" xr:uid="{00000000-0005-0000-0000-000035230000}"/>
    <cellStyle name="Обычный 52 2 2 2 4 2" xfId="10117" xr:uid="{00000000-0005-0000-0000-000036230000}"/>
    <cellStyle name="Обычный 52 2 2 2 4 3" xfId="10118" xr:uid="{00000000-0005-0000-0000-000037230000}"/>
    <cellStyle name="Обычный 52 2 2 2 5" xfId="10119" xr:uid="{00000000-0005-0000-0000-000038230000}"/>
    <cellStyle name="Обычный 52 2 2 2 5 2" xfId="10120" xr:uid="{00000000-0005-0000-0000-000039230000}"/>
    <cellStyle name="Обычный 52 2 2 2 6" xfId="10121" xr:uid="{00000000-0005-0000-0000-00003A230000}"/>
    <cellStyle name="Обычный 52 2 2 2 7" xfId="10122" xr:uid="{00000000-0005-0000-0000-00003B230000}"/>
    <cellStyle name="Обычный 52 2 2 3" xfId="10123" xr:uid="{00000000-0005-0000-0000-00003C230000}"/>
    <cellStyle name="Обычный 52 2 2 3 2" xfId="10124" xr:uid="{00000000-0005-0000-0000-00003D230000}"/>
    <cellStyle name="Обычный 52 2 2 3 2 2" xfId="10125" xr:uid="{00000000-0005-0000-0000-00003E230000}"/>
    <cellStyle name="Обычный 52 2 2 3 2 2 2" xfId="10126" xr:uid="{00000000-0005-0000-0000-00003F230000}"/>
    <cellStyle name="Обычный 52 2 2 3 2 2 3" xfId="10127" xr:uid="{00000000-0005-0000-0000-000040230000}"/>
    <cellStyle name="Обычный 52 2 2 3 2 3" xfId="10128" xr:uid="{00000000-0005-0000-0000-000041230000}"/>
    <cellStyle name="Обычный 52 2 2 3 2 4" xfId="10129" xr:uid="{00000000-0005-0000-0000-000042230000}"/>
    <cellStyle name="Обычный 52 2 2 3 3" xfId="10130" xr:uid="{00000000-0005-0000-0000-000043230000}"/>
    <cellStyle name="Обычный 52 2 2 3 3 2" xfId="10131" xr:uid="{00000000-0005-0000-0000-000044230000}"/>
    <cellStyle name="Обычный 52 2 2 3 3 3" xfId="10132" xr:uid="{00000000-0005-0000-0000-000045230000}"/>
    <cellStyle name="Обычный 52 2 2 3 4" xfId="10133" xr:uid="{00000000-0005-0000-0000-000046230000}"/>
    <cellStyle name="Обычный 52 2 2 3 4 2" xfId="10134" xr:uid="{00000000-0005-0000-0000-000047230000}"/>
    <cellStyle name="Обычный 52 2 2 3 5" xfId="10135" xr:uid="{00000000-0005-0000-0000-000048230000}"/>
    <cellStyle name="Обычный 52 2 2 3 6" xfId="10136" xr:uid="{00000000-0005-0000-0000-000049230000}"/>
    <cellStyle name="Обычный 52 2 2 4" xfId="10137" xr:uid="{00000000-0005-0000-0000-00004A230000}"/>
    <cellStyle name="Обычный 52 2 2 4 2" xfId="10138" xr:uid="{00000000-0005-0000-0000-00004B230000}"/>
    <cellStyle name="Обычный 52 2 2 4 2 2" xfId="10139" xr:uid="{00000000-0005-0000-0000-00004C230000}"/>
    <cellStyle name="Обычный 52 2 2 4 2 3" xfId="10140" xr:uid="{00000000-0005-0000-0000-00004D230000}"/>
    <cellStyle name="Обычный 52 2 2 4 3" xfId="10141" xr:uid="{00000000-0005-0000-0000-00004E230000}"/>
    <cellStyle name="Обычный 52 2 2 4 4" xfId="10142" xr:uid="{00000000-0005-0000-0000-00004F230000}"/>
    <cellStyle name="Обычный 52 2 2 5" xfId="10143" xr:uid="{00000000-0005-0000-0000-000050230000}"/>
    <cellStyle name="Обычный 52 2 2 5 2" xfId="10144" xr:uid="{00000000-0005-0000-0000-000051230000}"/>
    <cellStyle name="Обычный 52 2 2 5 3" xfId="10145" xr:uid="{00000000-0005-0000-0000-000052230000}"/>
    <cellStyle name="Обычный 52 2 2 6" xfId="10146" xr:uid="{00000000-0005-0000-0000-000053230000}"/>
    <cellStyle name="Обычный 52 2 2 6 2" xfId="10147" xr:uid="{00000000-0005-0000-0000-000054230000}"/>
    <cellStyle name="Обычный 52 2 2 7" xfId="10148" xr:uid="{00000000-0005-0000-0000-000055230000}"/>
    <cellStyle name="Обычный 52 2 2 8" xfId="10149" xr:uid="{00000000-0005-0000-0000-000056230000}"/>
    <cellStyle name="Обычный 52 2 3" xfId="10150" xr:uid="{00000000-0005-0000-0000-000057230000}"/>
    <cellStyle name="Обычный 52 2 3 2" xfId="10151" xr:uid="{00000000-0005-0000-0000-000058230000}"/>
    <cellStyle name="Обычный 52 2 3 2 2" xfId="10152" xr:uid="{00000000-0005-0000-0000-000059230000}"/>
    <cellStyle name="Обычный 52 2 3 2 2 2" xfId="10153" xr:uid="{00000000-0005-0000-0000-00005A230000}"/>
    <cellStyle name="Обычный 52 2 3 2 2 2 2" xfId="10154" xr:uid="{00000000-0005-0000-0000-00005B230000}"/>
    <cellStyle name="Обычный 52 2 3 2 2 2 3" xfId="10155" xr:uid="{00000000-0005-0000-0000-00005C230000}"/>
    <cellStyle name="Обычный 52 2 3 2 2 3" xfId="10156" xr:uid="{00000000-0005-0000-0000-00005D230000}"/>
    <cellStyle name="Обычный 52 2 3 2 2 4" xfId="10157" xr:uid="{00000000-0005-0000-0000-00005E230000}"/>
    <cellStyle name="Обычный 52 2 3 2 3" xfId="10158" xr:uid="{00000000-0005-0000-0000-00005F230000}"/>
    <cellStyle name="Обычный 52 2 3 2 3 2" xfId="10159" xr:uid="{00000000-0005-0000-0000-000060230000}"/>
    <cellStyle name="Обычный 52 2 3 2 3 3" xfId="10160" xr:uid="{00000000-0005-0000-0000-000061230000}"/>
    <cellStyle name="Обычный 52 2 3 2 4" xfId="10161" xr:uid="{00000000-0005-0000-0000-000062230000}"/>
    <cellStyle name="Обычный 52 2 3 2 4 2" xfId="10162" xr:uid="{00000000-0005-0000-0000-000063230000}"/>
    <cellStyle name="Обычный 52 2 3 2 5" xfId="10163" xr:uid="{00000000-0005-0000-0000-000064230000}"/>
    <cellStyle name="Обычный 52 2 3 2 6" xfId="10164" xr:uid="{00000000-0005-0000-0000-000065230000}"/>
    <cellStyle name="Обычный 52 2 3 3" xfId="10165" xr:uid="{00000000-0005-0000-0000-000066230000}"/>
    <cellStyle name="Обычный 52 2 3 3 2" xfId="10166" xr:uid="{00000000-0005-0000-0000-000067230000}"/>
    <cellStyle name="Обычный 52 2 3 3 2 2" xfId="10167" xr:uid="{00000000-0005-0000-0000-000068230000}"/>
    <cellStyle name="Обычный 52 2 3 3 2 3" xfId="10168" xr:uid="{00000000-0005-0000-0000-000069230000}"/>
    <cellStyle name="Обычный 52 2 3 3 3" xfId="10169" xr:uid="{00000000-0005-0000-0000-00006A230000}"/>
    <cellStyle name="Обычный 52 2 3 3 4" xfId="10170" xr:uid="{00000000-0005-0000-0000-00006B230000}"/>
    <cellStyle name="Обычный 52 2 3 4" xfId="10171" xr:uid="{00000000-0005-0000-0000-00006C230000}"/>
    <cellStyle name="Обычный 52 2 3 4 2" xfId="10172" xr:uid="{00000000-0005-0000-0000-00006D230000}"/>
    <cellStyle name="Обычный 52 2 3 4 3" xfId="10173" xr:uid="{00000000-0005-0000-0000-00006E230000}"/>
    <cellStyle name="Обычный 52 2 3 5" xfId="10174" xr:uid="{00000000-0005-0000-0000-00006F230000}"/>
    <cellStyle name="Обычный 52 2 3 5 2" xfId="10175" xr:uid="{00000000-0005-0000-0000-000070230000}"/>
    <cellStyle name="Обычный 52 2 3 6" xfId="10176" xr:uid="{00000000-0005-0000-0000-000071230000}"/>
    <cellStyle name="Обычный 52 2 3 7" xfId="10177" xr:uid="{00000000-0005-0000-0000-000072230000}"/>
    <cellStyle name="Обычный 52 2 4" xfId="10178" xr:uid="{00000000-0005-0000-0000-000073230000}"/>
    <cellStyle name="Обычный 52 2 4 2" xfId="10179" xr:uid="{00000000-0005-0000-0000-000074230000}"/>
    <cellStyle name="Обычный 52 2 4 2 2" xfId="10180" xr:uid="{00000000-0005-0000-0000-000075230000}"/>
    <cellStyle name="Обычный 52 2 4 2 2 2" xfId="10181" xr:uid="{00000000-0005-0000-0000-000076230000}"/>
    <cellStyle name="Обычный 52 2 4 2 2 3" xfId="10182" xr:uid="{00000000-0005-0000-0000-000077230000}"/>
    <cellStyle name="Обычный 52 2 4 2 3" xfId="10183" xr:uid="{00000000-0005-0000-0000-000078230000}"/>
    <cellStyle name="Обычный 52 2 4 2 4" xfId="10184" xr:uid="{00000000-0005-0000-0000-000079230000}"/>
    <cellStyle name="Обычный 52 2 4 3" xfId="10185" xr:uid="{00000000-0005-0000-0000-00007A230000}"/>
    <cellStyle name="Обычный 52 2 4 3 2" xfId="10186" xr:uid="{00000000-0005-0000-0000-00007B230000}"/>
    <cellStyle name="Обычный 52 2 4 3 3" xfId="10187" xr:uid="{00000000-0005-0000-0000-00007C230000}"/>
    <cellStyle name="Обычный 52 2 4 4" xfId="10188" xr:uid="{00000000-0005-0000-0000-00007D230000}"/>
    <cellStyle name="Обычный 52 2 4 4 2" xfId="10189" xr:uid="{00000000-0005-0000-0000-00007E230000}"/>
    <cellStyle name="Обычный 52 2 4 5" xfId="10190" xr:uid="{00000000-0005-0000-0000-00007F230000}"/>
    <cellStyle name="Обычный 52 2 4 6" xfId="10191" xr:uid="{00000000-0005-0000-0000-000080230000}"/>
    <cellStyle name="Обычный 52 2 5" xfId="10192" xr:uid="{00000000-0005-0000-0000-000081230000}"/>
    <cellStyle name="Обычный 52 2 5 2" xfId="10193" xr:uid="{00000000-0005-0000-0000-000082230000}"/>
    <cellStyle name="Обычный 52 2 5 2 2" xfId="10194" xr:uid="{00000000-0005-0000-0000-000083230000}"/>
    <cellStyle name="Обычный 52 2 5 2 3" xfId="10195" xr:uid="{00000000-0005-0000-0000-000084230000}"/>
    <cellStyle name="Обычный 52 2 5 3" xfId="10196" xr:uid="{00000000-0005-0000-0000-000085230000}"/>
    <cellStyle name="Обычный 52 2 5 4" xfId="10197" xr:uid="{00000000-0005-0000-0000-000086230000}"/>
    <cellStyle name="Обычный 52 2 6" xfId="10198" xr:uid="{00000000-0005-0000-0000-000087230000}"/>
    <cellStyle name="Обычный 52 2 6 2" xfId="10199" xr:uid="{00000000-0005-0000-0000-000088230000}"/>
    <cellStyle name="Обычный 52 2 6 3" xfId="10200" xr:uid="{00000000-0005-0000-0000-000089230000}"/>
    <cellStyle name="Обычный 52 2 7" xfId="10201" xr:uid="{00000000-0005-0000-0000-00008A230000}"/>
    <cellStyle name="Обычный 52 2 7 2" xfId="10202" xr:uid="{00000000-0005-0000-0000-00008B230000}"/>
    <cellStyle name="Обычный 52 2 8" xfId="10203" xr:uid="{00000000-0005-0000-0000-00008C230000}"/>
    <cellStyle name="Обычный 52 2 9" xfId="10204" xr:uid="{00000000-0005-0000-0000-00008D230000}"/>
    <cellStyle name="Обычный 52 3" xfId="10205" xr:uid="{00000000-0005-0000-0000-00008E230000}"/>
    <cellStyle name="Обычный 52 3 2" xfId="10206" xr:uid="{00000000-0005-0000-0000-00008F230000}"/>
    <cellStyle name="Обычный 52 3 2 2" xfId="10207" xr:uid="{00000000-0005-0000-0000-000090230000}"/>
    <cellStyle name="Обычный 52 3 2 2 2" xfId="10208" xr:uid="{00000000-0005-0000-0000-000091230000}"/>
    <cellStyle name="Обычный 52 3 2 2 2 2" xfId="10209" xr:uid="{00000000-0005-0000-0000-000092230000}"/>
    <cellStyle name="Обычный 52 3 2 2 2 2 2" xfId="10210" xr:uid="{00000000-0005-0000-0000-000093230000}"/>
    <cellStyle name="Обычный 52 3 2 2 2 2 2 2" xfId="10211" xr:uid="{00000000-0005-0000-0000-000094230000}"/>
    <cellStyle name="Обычный 52 3 2 2 2 2 2 3" xfId="10212" xr:uid="{00000000-0005-0000-0000-000095230000}"/>
    <cellStyle name="Обычный 52 3 2 2 2 2 3" xfId="10213" xr:uid="{00000000-0005-0000-0000-000096230000}"/>
    <cellStyle name="Обычный 52 3 2 2 2 2 4" xfId="10214" xr:uid="{00000000-0005-0000-0000-000097230000}"/>
    <cellStyle name="Обычный 52 3 2 2 2 3" xfId="10215" xr:uid="{00000000-0005-0000-0000-000098230000}"/>
    <cellStyle name="Обычный 52 3 2 2 2 3 2" xfId="10216" xr:uid="{00000000-0005-0000-0000-000099230000}"/>
    <cellStyle name="Обычный 52 3 2 2 2 3 3" xfId="10217" xr:uid="{00000000-0005-0000-0000-00009A230000}"/>
    <cellStyle name="Обычный 52 3 2 2 2 4" xfId="10218" xr:uid="{00000000-0005-0000-0000-00009B230000}"/>
    <cellStyle name="Обычный 52 3 2 2 2 4 2" xfId="10219" xr:uid="{00000000-0005-0000-0000-00009C230000}"/>
    <cellStyle name="Обычный 52 3 2 2 2 5" xfId="10220" xr:uid="{00000000-0005-0000-0000-00009D230000}"/>
    <cellStyle name="Обычный 52 3 2 2 2 6" xfId="10221" xr:uid="{00000000-0005-0000-0000-00009E230000}"/>
    <cellStyle name="Обычный 52 3 2 2 3" xfId="10222" xr:uid="{00000000-0005-0000-0000-00009F230000}"/>
    <cellStyle name="Обычный 52 3 2 2 3 2" xfId="10223" xr:uid="{00000000-0005-0000-0000-0000A0230000}"/>
    <cellStyle name="Обычный 52 3 2 2 3 2 2" xfId="10224" xr:uid="{00000000-0005-0000-0000-0000A1230000}"/>
    <cellStyle name="Обычный 52 3 2 2 3 2 3" xfId="10225" xr:uid="{00000000-0005-0000-0000-0000A2230000}"/>
    <cellStyle name="Обычный 52 3 2 2 3 3" xfId="10226" xr:uid="{00000000-0005-0000-0000-0000A3230000}"/>
    <cellStyle name="Обычный 52 3 2 2 3 4" xfId="10227" xr:uid="{00000000-0005-0000-0000-0000A4230000}"/>
    <cellStyle name="Обычный 52 3 2 2 4" xfId="10228" xr:uid="{00000000-0005-0000-0000-0000A5230000}"/>
    <cellStyle name="Обычный 52 3 2 2 4 2" xfId="10229" xr:uid="{00000000-0005-0000-0000-0000A6230000}"/>
    <cellStyle name="Обычный 52 3 2 2 4 3" xfId="10230" xr:uid="{00000000-0005-0000-0000-0000A7230000}"/>
    <cellStyle name="Обычный 52 3 2 2 5" xfId="10231" xr:uid="{00000000-0005-0000-0000-0000A8230000}"/>
    <cellStyle name="Обычный 52 3 2 2 5 2" xfId="10232" xr:uid="{00000000-0005-0000-0000-0000A9230000}"/>
    <cellStyle name="Обычный 52 3 2 2 6" xfId="10233" xr:uid="{00000000-0005-0000-0000-0000AA230000}"/>
    <cellStyle name="Обычный 52 3 2 2 7" xfId="10234" xr:uid="{00000000-0005-0000-0000-0000AB230000}"/>
    <cellStyle name="Обычный 52 3 2 3" xfId="10235" xr:uid="{00000000-0005-0000-0000-0000AC230000}"/>
    <cellStyle name="Обычный 52 3 2 3 2" xfId="10236" xr:uid="{00000000-0005-0000-0000-0000AD230000}"/>
    <cellStyle name="Обычный 52 3 2 3 2 2" xfId="10237" xr:uid="{00000000-0005-0000-0000-0000AE230000}"/>
    <cellStyle name="Обычный 52 3 2 3 2 2 2" xfId="10238" xr:uid="{00000000-0005-0000-0000-0000AF230000}"/>
    <cellStyle name="Обычный 52 3 2 3 2 2 3" xfId="10239" xr:uid="{00000000-0005-0000-0000-0000B0230000}"/>
    <cellStyle name="Обычный 52 3 2 3 2 3" xfId="10240" xr:uid="{00000000-0005-0000-0000-0000B1230000}"/>
    <cellStyle name="Обычный 52 3 2 3 2 4" xfId="10241" xr:uid="{00000000-0005-0000-0000-0000B2230000}"/>
    <cellStyle name="Обычный 52 3 2 3 3" xfId="10242" xr:uid="{00000000-0005-0000-0000-0000B3230000}"/>
    <cellStyle name="Обычный 52 3 2 3 3 2" xfId="10243" xr:uid="{00000000-0005-0000-0000-0000B4230000}"/>
    <cellStyle name="Обычный 52 3 2 3 3 3" xfId="10244" xr:uid="{00000000-0005-0000-0000-0000B5230000}"/>
    <cellStyle name="Обычный 52 3 2 3 4" xfId="10245" xr:uid="{00000000-0005-0000-0000-0000B6230000}"/>
    <cellStyle name="Обычный 52 3 2 3 4 2" xfId="10246" xr:uid="{00000000-0005-0000-0000-0000B7230000}"/>
    <cellStyle name="Обычный 52 3 2 3 5" xfId="10247" xr:uid="{00000000-0005-0000-0000-0000B8230000}"/>
    <cellStyle name="Обычный 52 3 2 3 6" xfId="10248" xr:uid="{00000000-0005-0000-0000-0000B9230000}"/>
    <cellStyle name="Обычный 52 3 2 4" xfId="10249" xr:uid="{00000000-0005-0000-0000-0000BA230000}"/>
    <cellStyle name="Обычный 52 3 2 4 2" xfId="10250" xr:uid="{00000000-0005-0000-0000-0000BB230000}"/>
    <cellStyle name="Обычный 52 3 2 4 2 2" xfId="10251" xr:uid="{00000000-0005-0000-0000-0000BC230000}"/>
    <cellStyle name="Обычный 52 3 2 4 2 3" xfId="10252" xr:uid="{00000000-0005-0000-0000-0000BD230000}"/>
    <cellStyle name="Обычный 52 3 2 4 3" xfId="10253" xr:uid="{00000000-0005-0000-0000-0000BE230000}"/>
    <cellStyle name="Обычный 52 3 2 4 4" xfId="10254" xr:uid="{00000000-0005-0000-0000-0000BF230000}"/>
    <cellStyle name="Обычный 52 3 2 5" xfId="10255" xr:uid="{00000000-0005-0000-0000-0000C0230000}"/>
    <cellStyle name="Обычный 52 3 2 5 2" xfId="10256" xr:uid="{00000000-0005-0000-0000-0000C1230000}"/>
    <cellStyle name="Обычный 52 3 2 5 3" xfId="10257" xr:uid="{00000000-0005-0000-0000-0000C2230000}"/>
    <cellStyle name="Обычный 52 3 2 6" xfId="10258" xr:uid="{00000000-0005-0000-0000-0000C3230000}"/>
    <cellStyle name="Обычный 52 3 2 6 2" xfId="10259" xr:uid="{00000000-0005-0000-0000-0000C4230000}"/>
    <cellStyle name="Обычный 52 3 2 7" xfId="10260" xr:uid="{00000000-0005-0000-0000-0000C5230000}"/>
    <cellStyle name="Обычный 52 3 2 8" xfId="10261" xr:uid="{00000000-0005-0000-0000-0000C6230000}"/>
    <cellStyle name="Обычный 52 3 3" xfId="10262" xr:uid="{00000000-0005-0000-0000-0000C7230000}"/>
    <cellStyle name="Обычный 52 3 3 2" xfId="10263" xr:uid="{00000000-0005-0000-0000-0000C8230000}"/>
    <cellStyle name="Обычный 52 3 3 2 2" xfId="10264" xr:uid="{00000000-0005-0000-0000-0000C9230000}"/>
    <cellStyle name="Обычный 52 3 3 2 2 2" xfId="10265" xr:uid="{00000000-0005-0000-0000-0000CA230000}"/>
    <cellStyle name="Обычный 52 3 3 2 2 2 2" xfId="10266" xr:uid="{00000000-0005-0000-0000-0000CB230000}"/>
    <cellStyle name="Обычный 52 3 3 2 2 2 3" xfId="10267" xr:uid="{00000000-0005-0000-0000-0000CC230000}"/>
    <cellStyle name="Обычный 52 3 3 2 2 3" xfId="10268" xr:uid="{00000000-0005-0000-0000-0000CD230000}"/>
    <cellStyle name="Обычный 52 3 3 2 2 4" xfId="10269" xr:uid="{00000000-0005-0000-0000-0000CE230000}"/>
    <cellStyle name="Обычный 52 3 3 2 3" xfId="10270" xr:uid="{00000000-0005-0000-0000-0000CF230000}"/>
    <cellStyle name="Обычный 52 3 3 2 3 2" xfId="10271" xr:uid="{00000000-0005-0000-0000-0000D0230000}"/>
    <cellStyle name="Обычный 52 3 3 2 3 3" xfId="10272" xr:uid="{00000000-0005-0000-0000-0000D1230000}"/>
    <cellStyle name="Обычный 52 3 3 2 4" xfId="10273" xr:uid="{00000000-0005-0000-0000-0000D2230000}"/>
    <cellStyle name="Обычный 52 3 3 2 4 2" xfId="10274" xr:uid="{00000000-0005-0000-0000-0000D3230000}"/>
    <cellStyle name="Обычный 52 3 3 2 5" xfId="10275" xr:uid="{00000000-0005-0000-0000-0000D4230000}"/>
    <cellStyle name="Обычный 52 3 3 2 6" xfId="10276" xr:uid="{00000000-0005-0000-0000-0000D5230000}"/>
    <cellStyle name="Обычный 52 3 3 3" xfId="10277" xr:uid="{00000000-0005-0000-0000-0000D6230000}"/>
    <cellStyle name="Обычный 52 3 3 3 2" xfId="10278" xr:uid="{00000000-0005-0000-0000-0000D7230000}"/>
    <cellStyle name="Обычный 52 3 3 3 2 2" xfId="10279" xr:uid="{00000000-0005-0000-0000-0000D8230000}"/>
    <cellStyle name="Обычный 52 3 3 3 2 3" xfId="10280" xr:uid="{00000000-0005-0000-0000-0000D9230000}"/>
    <cellStyle name="Обычный 52 3 3 3 3" xfId="10281" xr:uid="{00000000-0005-0000-0000-0000DA230000}"/>
    <cellStyle name="Обычный 52 3 3 3 4" xfId="10282" xr:uid="{00000000-0005-0000-0000-0000DB230000}"/>
    <cellStyle name="Обычный 52 3 3 4" xfId="10283" xr:uid="{00000000-0005-0000-0000-0000DC230000}"/>
    <cellStyle name="Обычный 52 3 3 4 2" xfId="10284" xr:uid="{00000000-0005-0000-0000-0000DD230000}"/>
    <cellStyle name="Обычный 52 3 3 4 3" xfId="10285" xr:uid="{00000000-0005-0000-0000-0000DE230000}"/>
    <cellStyle name="Обычный 52 3 3 5" xfId="10286" xr:uid="{00000000-0005-0000-0000-0000DF230000}"/>
    <cellStyle name="Обычный 52 3 3 5 2" xfId="10287" xr:uid="{00000000-0005-0000-0000-0000E0230000}"/>
    <cellStyle name="Обычный 52 3 3 6" xfId="10288" xr:uid="{00000000-0005-0000-0000-0000E1230000}"/>
    <cellStyle name="Обычный 52 3 3 7" xfId="10289" xr:uid="{00000000-0005-0000-0000-0000E2230000}"/>
    <cellStyle name="Обычный 52 3 4" xfId="10290" xr:uid="{00000000-0005-0000-0000-0000E3230000}"/>
    <cellStyle name="Обычный 52 3 4 2" xfId="10291" xr:uid="{00000000-0005-0000-0000-0000E4230000}"/>
    <cellStyle name="Обычный 52 3 4 2 2" xfId="10292" xr:uid="{00000000-0005-0000-0000-0000E5230000}"/>
    <cellStyle name="Обычный 52 3 4 2 2 2" xfId="10293" xr:uid="{00000000-0005-0000-0000-0000E6230000}"/>
    <cellStyle name="Обычный 52 3 4 2 2 3" xfId="10294" xr:uid="{00000000-0005-0000-0000-0000E7230000}"/>
    <cellStyle name="Обычный 52 3 4 2 3" xfId="10295" xr:uid="{00000000-0005-0000-0000-0000E8230000}"/>
    <cellStyle name="Обычный 52 3 4 2 4" xfId="10296" xr:uid="{00000000-0005-0000-0000-0000E9230000}"/>
    <cellStyle name="Обычный 52 3 4 3" xfId="10297" xr:uid="{00000000-0005-0000-0000-0000EA230000}"/>
    <cellStyle name="Обычный 52 3 4 3 2" xfId="10298" xr:uid="{00000000-0005-0000-0000-0000EB230000}"/>
    <cellStyle name="Обычный 52 3 4 3 3" xfId="10299" xr:uid="{00000000-0005-0000-0000-0000EC230000}"/>
    <cellStyle name="Обычный 52 3 4 4" xfId="10300" xr:uid="{00000000-0005-0000-0000-0000ED230000}"/>
    <cellStyle name="Обычный 52 3 4 4 2" xfId="10301" xr:uid="{00000000-0005-0000-0000-0000EE230000}"/>
    <cellStyle name="Обычный 52 3 4 5" xfId="10302" xr:uid="{00000000-0005-0000-0000-0000EF230000}"/>
    <cellStyle name="Обычный 52 3 4 6" xfId="10303" xr:uid="{00000000-0005-0000-0000-0000F0230000}"/>
    <cellStyle name="Обычный 52 3 5" xfId="10304" xr:uid="{00000000-0005-0000-0000-0000F1230000}"/>
    <cellStyle name="Обычный 52 3 5 2" xfId="10305" xr:uid="{00000000-0005-0000-0000-0000F2230000}"/>
    <cellStyle name="Обычный 52 3 5 2 2" xfId="10306" xr:uid="{00000000-0005-0000-0000-0000F3230000}"/>
    <cellStyle name="Обычный 52 3 5 2 3" xfId="10307" xr:uid="{00000000-0005-0000-0000-0000F4230000}"/>
    <cellStyle name="Обычный 52 3 5 3" xfId="10308" xr:uid="{00000000-0005-0000-0000-0000F5230000}"/>
    <cellStyle name="Обычный 52 3 5 4" xfId="10309" xr:uid="{00000000-0005-0000-0000-0000F6230000}"/>
    <cellStyle name="Обычный 52 3 6" xfId="10310" xr:uid="{00000000-0005-0000-0000-0000F7230000}"/>
    <cellStyle name="Обычный 52 3 6 2" xfId="10311" xr:uid="{00000000-0005-0000-0000-0000F8230000}"/>
    <cellStyle name="Обычный 52 3 6 3" xfId="10312" xr:uid="{00000000-0005-0000-0000-0000F9230000}"/>
    <cellStyle name="Обычный 52 3 7" xfId="10313" xr:uid="{00000000-0005-0000-0000-0000FA230000}"/>
    <cellStyle name="Обычный 52 3 7 2" xfId="10314" xr:uid="{00000000-0005-0000-0000-0000FB230000}"/>
    <cellStyle name="Обычный 52 3 8" xfId="10315" xr:uid="{00000000-0005-0000-0000-0000FC230000}"/>
    <cellStyle name="Обычный 52 3 9" xfId="10316" xr:uid="{00000000-0005-0000-0000-0000FD230000}"/>
    <cellStyle name="Обычный 52 4" xfId="10317" xr:uid="{00000000-0005-0000-0000-0000FE230000}"/>
    <cellStyle name="Обычный 52 4 2" xfId="10318" xr:uid="{00000000-0005-0000-0000-0000FF230000}"/>
    <cellStyle name="Обычный 52 4 2 2" xfId="10319" xr:uid="{00000000-0005-0000-0000-000000240000}"/>
    <cellStyle name="Обычный 52 4 2 2 2" xfId="10320" xr:uid="{00000000-0005-0000-0000-000001240000}"/>
    <cellStyle name="Обычный 52 4 2 2 2 2" xfId="10321" xr:uid="{00000000-0005-0000-0000-000002240000}"/>
    <cellStyle name="Обычный 52 4 2 2 2 2 2" xfId="10322" xr:uid="{00000000-0005-0000-0000-000003240000}"/>
    <cellStyle name="Обычный 52 4 2 2 2 2 3" xfId="10323" xr:uid="{00000000-0005-0000-0000-000004240000}"/>
    <cellStyle name="Обычный 52 4 2 2 2 3" xfId="10324" xr:uid="{00000000-0005-0000-0000-000005240000}"/>
    <cellStyle name="Обычный 52 4 2 2 2 4" xfId="10325" xr:uid="{00000000-0005-0000-0000-000006240000}"/>
    <cellStyle name="Обычный 52 4 2 2 3" xfId="10326" xr:uid="{00000000-0005-0000-0000-000007240000}"/>
    <cellStyle name="Обычный 52 4 2 2 3 2" xfId="10327" xr:uid="{00000000-0005-0000-0000-000008240000}"/>
    <cellStyle name="Обычный 52 4 2 2 3 3" xfId="10328" xr:uid="{00000000-0005-0000-0000-000009240000}"/>
    <cellStyle name="Обычный 52 4 2 2 4" xfId="10329" xr:uid="{00000000-0005-0000-0000-00000A240000}"/>
    <cellStyle name="Обычный 52 4 2 2 4 2" xfId="10330" xr:uid="{00000000-0005-0000-0000-00000B240000}"/>
    <cellStyle name="Обычный 52 4 2 2 5" xfId="10331" xr:uid="{00000000-0005-0000-0000-00000C240000}"/>
    <cellStyle name="Обычный 52 4 2 2 6" xfId="10332" xr:uid="{00000000-0005-0000-0000-00000D240000}"/>
    <cellStyle name="Обычный 52 4 2 3" xfId="10333" xr:uid="{00000000-0005-0000-0000-00000E240000}"/>
    <cellStyle name="Обычный 52 4 2 3 2" xfId="10334" xr:uid="{00000000-0005-0000-0000-00000F240000}"/>
    <cellStyle name="Обычный 52 4 2 3 2 2" xfId="10335" xr:uid="{00000000-0005-0000-0000-000010240000}"/>
    <cellStyle name="Обычный 52 4 2 3 2 3" xfId="10336" xr:uid="{00000000-0005-0000-0000-000011240000}"/>
    <cellStyle name="Обычный 52 4 2 3 3" xfId="10337" xr:uid="{00000000-0005-0000-0000-000012240000}"/>
    <cellStyle name="Обычный 52 4 2 3 4" xfId="10338" xr:uid="{00000000-0005-0000-0000-000013240000}"/>
    <cellStyle name="Обычный 52 4 2 4" xfId="10339" xr:uid="{00000000-0005-0000-0000-000014240000}"/>
    <cellStyle name="Обычный 52 4 2 4 2" xfId="10340" xr:uid="{00000000-0005-0000-0000-000015240000}"/>
    <cellStyle name="Обычный 52 4 2 4 3" xfId="10341" xr:uid="{00000000-0005-0000-0000-000016240000}"/>
    <cellStyle name="Обычный 52 4 2 5" xfId="10342" xr:uid="{00000000-0005-0000-0000-000017240000}"/>
    <cellStyle name="Обычный 52 4 2 5 2" xfId="10343" xr:uid="{00000000-0005-0000-0000-000018240000}"/>
    <cellStyle name="Обычный 52 4 2 6" xfId="10344" xr:uid="{00000000-0005-0000-0000-000019240000}"/>
    <cellStyle name="Обычный 52 4 2 7" xfId="10345" xr:uid="{00000000-0005-0000-0000-00001A240000}"/>
    <cellStyle name="Обычный 52 4 3" xfId="10346" xr:uid="{00000000-0005-0000-0000-00001B240000}"/>
    <cellStyle name="Обычный 52 4 3 2" xfId="10347" xr:uid="{00000000-0005-0000-0000-00001C240000}"/>
    <cellStyle name="Обычный 52 4 3 2 2" xfId="10348" xr:uid="{00000000-0005-0000-0000-00001D240000}"/>
    <cellStyle name="Обычный 52 4 3 2 2 2" xfId="10349" xr:uid="{00000000-0005-0000-0000-00001E240000}"/>
    <cellStyle name="Обычный 52 4 3 2 2 3" xfId="10350" xr:uid="{00000000-0005-0000-0000-00001F240000}"/>
    <cellStyle name="Обычный 52 4 3 2 3" xfId="10351" xr:uid="{00000000-0005-0000-0000-000020240000}"/>
    <cellStyle name="Обычный 52 4 3 2 4" xfId="10352" xr:uid="{00000000-0005-0000-0000-000021240000}"/>
    <cellStyle name="Обычный 52 4 3 3" xfId="10353" xr:uid="{00000000-0005-0000-0000-000022240000}"/>
    <cellStyle name="Обычный 52 4 3 3 2" xfId="10354" xr:uid="{00000000-0005-0000-0000-000023240000}"/>
    <cellStyle name="Обычный 52 4 3 3 3" xfId="10355" xr:uid="{00000000-0005-0000-0000-000024240000}"/>
    <cellStyle name="Обычный 52 4 3 4" xfId="10356" xr:uid="{00000000-0005-0000-0000-000025240000}"/>
    <cellStyle name="Обычный 52 4 3 4 2" xfId="10357" xr:uid="{00000000-0005-0000-0000-000026240000}"/>
    <cellStyle name="Обычный 52 4 3 5" xfId="10358" xr:uid="{00000000-0005-0000-0000-000027240000}"/>
    <cellStyle name="Обычный 52 4 3 6" xfId="10359" xr:uid="{00000000-0005-0000-0000-000028240000}"/>
    <cellStyle name="Обычный 52 4 4" xfId="10360" xr:uid="{00000000-0005-0000-0000-000029240000}"/>
    <cellStyle name="Обычный 52 4 4 2" xfId="10361" xr:uid="{00000000-0005-0000-0000-00002A240000}"/>
    <cellStyle name="Обычный 52 4 4 2 2" xfId="10362" xr:uid="{00000000-0005-0000-0000-00002B240000}"/>
    <cellStyle name="Обычный 52 4 4 2 3" xfId="10363" xr:uid="{00000000-0005-0000-0000-00002C240000}"/>
    <cellStyle name="Обычный 52 4 4 3" xfId="10364" xr:uid="{00000000-0005-0000-0000-00002D240000}"/>
    <cellStyle name="Обычный 52 4 4 4" xfId="10365" xr:uid="{00000000-0005-0000-0000-00002E240000}"/>
    <cellStyle name="Обычный 52 4 5" xfId="10366" xr:uid="{00000000-0005-0000-0000-00002F240000}"/>
    <cellStyle name="Обычный 52 4 5 2" xfId="10367" xr:uid="{00000000-0005-0000-0000-000030240000}"/>
    <cellStyle name="Обычный 52 4 5 3" xfId="10368" xr:uid="{00000000-0005-0000-0000-000031240000}"/>
    <cellStyle name="Обычный 52 4 6" xfId="10369" xr:uid="{00000000-0005-0000-0000-000032240000}"/>
    <cellStyle name="Обычный 52 4 6 2" xfId="10370" xr:uid="{00000000-0005-0000-0000-000033240000}"/>
    <cellStyle name="Обычный 52 4 7" xfId="10371" xr:uid="{00000000-0005-0000-0000-000034240000}"/>
    <cellStyle name="Обычный 52 4 8" xfId="10372" xr:uid="{00000000-0005-0000-0000-000035240000}"/>
    <cellStyle name="Обычный 52 5" xfId="10373" xr:uid="{00000000-0005-0000-0000-000036240000}"/>
    <cellStyle name="Обычный 52 5 2" xfId="10374" xr:uid="{00000000-0005-0000-0000-000037240000}"/>
    <cellStyle name="Обычный 52 5 2 2" xfId="10375" xr:uid="{00000000-0005-0000-0000-000038240000}"/>
    <cellStyle name="Обычный 52 5 2 2 2" xfId="10376" xr:uid="{00000000-0005-0000-0000-000039240000}"/>
    <cellStyle name="Обычный 52 5 2 2 2 2" xfId="10377" xr:uid="{00000000-0005-0000-0000-00003A240000}"/>
    <cellStyle name="Обычный 52 5 2 2 2 3" xfId="10378" xr:uid="{00000000-0005-0000-0000-00003B240000}"/>
    <cellStyle name="Обычный 52 5 2 2 3" xfId="10379" xr:uid="{00000000-0005-0000-0000-00003C240000}"/>
    <cellStyle name="Обычный 52 5 2 2 4" xfId="10380" xr:uid="{00000000-0005-0000-0000-00003D240000}"/>
    <cellStyle name="Обычный 52 5 2 3" xfId="10381" xr:uid="{00000000-0005-0000-0000-00003E240000}"/>
    <cellStyle name="Обычный 52 5 2 3 2" xfId="10382" xr:uid="{00000000-0005-0000-0000-00003F240000}"/>
    <cellStyle name="Обычный 52 5 2 3 3" xfId="10383" xr:uid="{00000000-0005-0000-0000-000040240000}"/>
    <cellStyle name="Обычный 52 5 2 4" xfId="10384" xr:uid="{00000000-0005-0000-0000-000041240000}"/>
    <cellStyle name="Обычный 52 5 2 4 2" xfId="10385" xr:uid="{00000000-0005-0000-0000-000042240000}"/>
    <cellStyle name="Обычный 52 5 2 5" xfId="10386" xr:uid="{00000000-0005-0000-0000-000043240000}"/>
    <cellStyle name="Обычный 52 5 2 6" xfId="10387" xr:uid="{00000000-0005-0000-0000-000044240000}"/>
    <cellStyle name="Обычный 52 5 3" xfId="10388" xr:uid="{00000000-0005-0000-0000-000045240000}"/>
    <cellStyle name="Обычный 52 5 3 2" xfId="10389" xr:uid="{00000000-0005-0000-0000-000046240000}"/>
    <cellStyle name="Обычный 52 5 3 2 2" xfId="10390" xr:uid="{00000000-0005-0000-0000-000047240000}"/>
    <cellStyle name="Обычный 52 5 3 2 3" xfId="10391" xr:uid="{00000000-0005-0000-0000-000048240000}"/>
    <cellStyle name="Обычный 52 5 3 3" xfId="10392" xr:uid="{00000000-0005-0000-0000-000049240000}"/>
    <cellStyle name="Обычный 52 5 3 4" xfId="10393" xr:uid="{00000000-0005-0000-0000-00004A240000}"/>
    <cellStyle name="Обычный 52 5 4" xfId="10394" xr:uid="{00000000-0005-0000-0000-00004B240000}"/>
    <cellStyle name="Обычный 52 5 4 2" xfId="10395" xr:uid="{00000000-0005-0000-0000-00004C240000}"/>
    <cellStyle name="Обычный 52 5 4 3" xfId="10396" xr:uid="{00000000-0005-0000-0000-00004D240000}"/>
    <cellStyle name="Обычный 52 5 5" xfId="10397" xr:uid="{00000000-0005-0000-0000-00004E240000}"/>
    <cellStyle name="Обычный 52 5 5 2" xfId="10398" xr:uid="{00000000-0005-0000-0000-00004F240000}"/>
    <cellStyle name="Обычный 52 5 6" xfId="10399" xr:uid="{00000000-0005-0000-0000-000050240000}"/>
    <cellStyle name="Обычный 52 5 7" xfId="10400" xr:uid="{00000000-0005-0000-0000-000051240000}"/>
    <cellStyle name="Обычный 52 6" xfId="10401" xr:uid="{00000000-0005-0000-0000-000052240000}"/>
    <cellStyle name="Обычный 52 6 2" xfId="10402" xr:uid="{00000000-0005-0000-0000-000053240000}"/>
    <cellStyle name="Обычный 52 6 2 2" xfId="10403" xr:uid="{00000000-0005-0000-0000-000054240000}"/>
    <cellStyle name="Обычный 52 6 2 2 2" xfId="10404" xr:uid="{00000000-0005-0000-0000-000055240000}"/>
    <cellStyle name="Обычный 52 6 2 2 3" xfId="10405" xr:uid="{00000000-0005-0000-0000-000056240000}"/>
    <cellStyle name="Обычный 52 6 2 3" xfId="10406" xr:uid="{00000000-0005-0000-0000-000057240000}"/>
    <cellStyle name="Обычный 52 6 2 4" xfId="10407" xr:uid="{00000000-0005-0000-0000-000058240000}"/>
    <cellStyle name="Обычный 52 6 3" xfId="10408" xr:uid="{00000000-0005-0000-0000-000059240000}"/>
    <cellStyle name="Обычный 52 6 3 2" xfId="10409" xr:uid="{00000000-0005-0000-0000-00005A240000}"/>
    <cellStyle name="Обычный 52 6 3 3" xfId="10410" xr:uid="{00000000-0005-0000-0000-00005B240000}"/>
    <cellStyle name="Обычный 52 6 4" xfId="10411" xr:uid="{00000000-0005-0000-0000-00005C240000}"/>
    <cellStyle name="Обычный 52 6 4 2" xfId="10412" xr:uid="{00000000-0005-0000-0000-00005D240000}"/>
    <cellStyle name="Обычный 52 6 5" xfId="10413" xr:uid="{00000000-0005-0000-0000-00005E240000}"/>
    <cellStyle name="Обычный 52 6 6" xfId="10414" xr:uid="{00000000-0005-0000-0000-00005F240000}"/>
    <cellStyle name="Обычный 52 7" xfId="10415" xr:uid="{00000000-0005-0000-0000-000060240000}"/>
    <cellStyle name="Обычный 52 7 2" xfId="10416" xr:uid="{00000000-0005-0000-0000-000061240000}"/>
    <cellStyle name="Обычный 52 7 2 2" xfId="10417" xr:uid="{00000000-0005-0000-0000-000062240000}"/>
    <cellStyle name="Обычный 52 7 2 3" xfId="10418" xr:uid="{00000000-0005-0000-0000-000063240000}"/>
    <cellStyle name="Обычный 52 7 3" xfId="10419" xr:uid="{00000000-0005-0000-0000-000064240000}"/>
    <cellStyle name="Обычный 52 7 4" xfId="10420" xr:uid="{00000000-0005-0000-0000-000065240000}"/>
    <cellStyle name="Обычный 52 8" xfId="10421" xr:uid="{00000000-0005-0000-0000-000066240000}"/>
    <cellStyle name="Обычный 52 8 2" xfId="10422" xr:uid="{00000000-0005-0000-0000-000067240000}"/>
    <cellStyle name="Обычный 52 8 3" xfId="10423" xr:uid="{00000000-0005-0000-0000-000068240000}"/>
    <cellStyle name="Обычный 52 9" xfId="10424" xr:uid="{00000000-0005-0000-0000-000069240000}"/>
    <cellStyle name="Обычный 52 9 2" xfId="10425" xr:uid="{00000000-0005-0000-0000-00006A240000}"/>
    <cellStyle name="Обычный 52_Свод гостин" xfId="3860" xr:uid="{00000000-0005-0000-0000-00006B240000}"/>
    <cellStyle name="Обычный 53" xfId="3861" xr:uid="{00000000-0005-0000-0000-00006C240000}"/>
    <cellStyle name="Обычный 53 10" xfId="3862" xr:uid="{00000000-0005-0000-0000-00006D240000}"/>
    <cellStyle name="Обычный 53 10 2" xfId="10426" xr:uid="{00000000-0005-0000-0000-00006E240000}"/>
    <cellStyle name="Обычный 53 10 2 2" xfId="10427" xr:uid="{00000000-0005-0000-0000-00006F240000}"/>
    <cellStyle name="Обычный 53 10 2 3" xfId="10428" xr:uid="{00000000-0005-0000-0000-000070240000}"/>
    <cellStyle name="Обычный 53 10 2 3 2" xfId="10429" xr:uid="{00000000-0005-0000-0000-000071240000}"/>
    <cellStyle name="Обычный 53 10 2 3 3" xfId="10430" xr:uid="{00000000-0005-0000-0000-000072240000}"/>
    <cellStyle name="Обычный 53 11" xfId="10431" xr:uid="{00000000-0005-0000-0000-000073240000}"/>
    <cellStyle name="Обычный 53 2" xfId="3863" xr:uid="{00000000-0005-0000-0000-000074240000}"/>
    <cellStyle name="Обычный 53 2 2" xfId="3864" xr:uid="{00000000-0005-0000-0000-000075240000}"/>
    <cellStyle name="Обычный 53 2 2 2" xfId="10432" xr:uid="{00000000-0005-0000-0000-000076240000}"/>
    <cellStyle name="Обычный 53 2 2 2 2" xfId="10433" xr:uid="{00000000-0005-0000-0000-000077240000}"/>
    <cellStyle name="Обычный 53 2 2 2 2 2" xfId="10434" xr:uid="{00000000-0005-0000-0000-000078240000}"/>
    <cellStyle name="Обычный 53 2 2 2 2 2 2" xfId="10435" xr:uid="{00000000-0005-0000-0000-000079240000}"/>
    <cellStyle name="Обычный 53 2 2 2 2 2 2 2" xfId="10436" xr:uid="{00000000-0005-0000-0000-00007A240000}"/>
    <cellStyle name="Обычный 53 2 2 2 2 2 2 3" xfId="10437" xr:uid="{00000000-0005-0000-0000-00007B240000}"/>
    <cellStyle name="Обычный 53 2 2 2 2 2 3" xfId="10438" xr:uid="{00000000-0005-0000-0000-00007C240000}"/>
    <cellStyle name="Обычный 53 2 2 2 2 2 4" xfId="10439" xr:uid="{00000000-0005-0000-0000-00007D240000}"/>
    <cellStyle name="Обычный 53 2 2 2 2 3" xfId="10440" xr:uid="{00000000-0005-0000-0000-00007E240000}"/>
    <cellStyle name="Обычный 53 2 2 2 2 3 2" xfId="10441" xr:uid="{00000000-0005-0000-0000-00007F240000}"/>
    <cellStyle name="Обычный 53 2 2 2 2 3 3" xfId="10442" xr:uid="{00000000-0005-0000-0000-000080240000}"/>
    <cellStyle name="Обычный 53 2 2 2 2 4" xfId="10443" xr:uid="{00000000-0005-0000-0000-000081240000}"/>
    <cellStyle name="Обычный 53 2 2 2 2 4 2" xfId="10444" xr:uid="{00000000-0005-0000-0000-000082240000}"/>
    <cellStyle name="Обычный 53 2 2 2 2 5" xfId="10445" xr:uid="{00000000-0005-0000-0000-000083240000}"/>
    <cellStyle name="Обычный 53 2 2 2 2 6" xfId="10446" xr:uid="{00000000-0005-0000-0000-000084240000}"/>
    <cellStyle name="Обычный 53 2 2 2 3" xfId="10447" xr:uid="{00000000-0005-0000-0000-000085240000}"/>
    <cellStyle name="Обычный 53 2 2 2 3 2" xfId="10448" xr:uid="{00000000-0005-0000-0000-000086240000}"/>
    <cellStyle name="Обычный 53 2 2 2 3 2 2" xfId="10449" xr:uid="{00000000-0005-0000-0000-000087240000}"/>
    <cellStyle name="Обычный 53 2 2 2 3 2 3" xfId="10450" xr:uid="{00000000-0005-0000-0000-000088240000}"/>
    <cellStyle name="Обычный 53 2 2 2 3 3" xfId="10451" xr:uid="{00000000-0005-0000-0000-000089240000}"/>
    <cellStyle name="Обычный 53 2 2 2 3 4" xfId="10452" xr:uid="{00000000-0005-0000-0000-00008A240000}"/>
    <cellStyle name="Обычный 53 2 2 2 4" xfId="10453" xr:uid="{00000000-0005-0000-0000-00008B240000}"/>
    <cellStyle name="Обычный 53 2 2 2 4 2" xfId="10454" xr:uid="{00000000-0005-0000-0000-00008C240000}"/>
    <cellStyle name="Обычный 53 2 2 2 4 3" xfId="10455" xr:uid="{00000000-0005-0000-0000-00008D240000}"/>
    <cellStyle name="Обычный 53 2 2 2 5" xfId="10456" xr:uid="{00000000-0005-0000-0000-00008E240000}"/>
    <cellStyle name="Обычный 53 2 2 2 5 2" xfId="10457" xr:uid="{00000000-0005-0000-0000-00008F240000}"/>
    <cellStyle name="Обычный 53 2 2 2 6" xfId="10458" xr:uid="{00000000-0005-0000-0000-000090240000}"/>
    <cellStyle name="Обычный 53 2 2 2 7" xfId="10459" xr:uid="{00000000-0005-0000-0000-000091240000}"/>
    <cellStyle name="Обычный 53 2 2 3" xfId="10460" xr:uid="{00000000-0005-0000-0000-000092240000}"/>
    <cellStyle name="Обычный 53 2 2 3 2" xfId="10461" xr:uid="{00000000-0005-0000-0000-000093240000}"/>
    <cellStyle name="Обычный 53 2 2 3 2 2" xfId="10462" xr:uid="{00000000-0005-0000-0000-000094240000}"/>
    <cellStyle name="Обычный 53 2 2 3 2 2 2" xfId="10463" xr:uid="{00000000-0005-0000-0000-000095240000}"/>
    <cellStyle name="Обычный 53 2 2 3 2 2 3" xfId="10464" xr:uid="{00000000-0005-0000-0000-000096240000}"/>
    <cellStyle name="Обычный 53 2 2 3 2 3" xfId="10465" xr:uid="{00000000-0005-0000-0000-000097240000}"/>
    <cellStyle name="Обычный 53 2 2 3 2 4" xfId="10466" xr:uid="{00000000-0005-0000-0000-000098240000}"/>
    <cellStyle name="Обычный 53 2 2 3 3" xfId="10467" xr:uid="{00000000-0005-0000-0000-000099240000}"/>
    <cellStyle name="Обычный 53 2 2 3 3 2" xfId="10468" xr:uid="{00000000-0005-0000-0000-00009A240000}"/>
    <cellStyle name="Обычный 53 2 2 3 3 3" xfId="10469" xr:uid="{00000000-0005-0000-0000-00009B240000}"/>
    <cellStyle name="Обычный 53 2 2 3 4" xfId="10470" xr:uid="{00000000-0005-0000-0000-00009C240000}"/>
    <cellStyle name="Обычный 53 2 2 3 4 2" xfId="10471" xr:uid="{00000000-0005-0000-0000-00009D240000}"/>
    <cellStyle name="Обычный 53 2 2 3 5" xfId="10472" xr:uid="{00000000-0005-0000-0000-00009E240000}"/>
    <cellStyle name="Обычный 53 2 2 3 6" xfId="10473" xr:uid="{00000000-0005-0000-0000-00009F240000}"/>
    <cellStyle name="Обычный 53 2 2 4" xfId="10474" xr:uid="{00000000-0005-0000-0000-0000A0240000}"/>
    <cellStyle name="Обычный 53 2 2 4 2" xfId="10475" xr:uid="{00000000-0005-0000-0000-0000A1240000}"/>
    <cellStyle name="Обычный 53 2 2 4 2 2" xfId="10476" xr:uid="{00000000-0005-0000-0000-0000A2240000}"/>
    <cellStyle name="Обычный 53 2 2 4 2 3" xfId="10477" xr:uid="{00000000-0005-0000-0000-0000A3240000}"/>
    <cellStyle name="Обычный 53 2 2 4 3" xfId="10478" xr:uid="{00000000-0005-0000-0000-0000A4240000}"/>
    <cellStyle name="Обычный 53 2 2 4 4" xfId="10479" xr:uid="{00000000-0005-0000-0000-0000A5240000}"/>
    <cellStyle name="Обычный 53 2 2 5" xfId="10480" xr:uid="{00000000-0005-0000-0000-0000A6240000}"/>
    <cellStyle name="Обычный 53 2 2 5 2" xfId="10481" xr:uid="{00000000-0005-0000-0000-0000A7240000}"/>
    <cellStyle name="Обычный 53 2 2 5 3" xfId="10482" xr:uid="{00000000-0005-0000-0000-0000A8240000}"/>
    <cellStyle name="Обычный 53 2 2 6" xfId="10483" xr:uid="{00000000-0005-0000-0000-0000A9240000}"/>
    <cellStyle name="Обычный 53 2 2 6 2" xfId="10484" xr:uid="{00000000-0005-0000-0000-0000AA240000}"/>
    <cellStyle name="Обычный 53 2 2 7" xfId="10485" xr:uid="{00000000-0005-0000-0000-0000AB240000}"/>
    <cellStyle name="Обычный 53 2 2 8" xfId="10486" xr:uid="{00000000-0005-0000-0000-0000AC240000}"/>
    <cellStyle name="Обычный 53 2 3" xfId="10487" xr:uid="{00000000-0005-0000-0000-0000AD240000}"/>
    <cellStyle name="Обычный 53 2 3 2" xfId="10488" xr:uid="{00000000-0005-0000-0000-0000AE240000}"/>
    <cellStyle name="Обычный 53 2 3 2 2" xfId="10489" xr:uid="{00000000-0005-0000-0000-0000AF240000}"/>
    <cellStyle name="Обычный 53 2 3 2 2 2" xfId="10490" xr:uid="{00000000-0005-0000-0000-0000B0240000}"/>
    <cellStyle name="Обычный 53 2 3 2 2 2 2" xfId="10491" xr:uid="{00000000-0005-0000-0000-0000B1240000}"/>
    <cellStyle name="Обычный 53 2 3 2 2 2 3" xfId="10492" xr:uid="{00000000-0005-0000-0000-0000B2240000}"/>
    <cellStyle name="Обычный 53 2 3 2 2 3" xfId="10493" xr:uid="{00000000-0005-0000-0000-0000B3240000}"/>
    <cellStyle name="Обычный 53 2 3 2 2 4" xfId="10494" xr:uid="{00000000-0005-0000-0000-0000B4240000}"/>
    <cellStyle name="Обычный 53 2 3 2 3" xfId="10495" xr:uid="{00000000-0005-0000-0000-0000B5240000}"/>
    <cellStyle name="Обычный 53 2 3 2 3 2" xfId="10496" xr:uid="{00000000-0005-0000-0000-0000B6240000}"/>
    <cellStyle name="Обычный 53 2 3 2 3 3" xfId="10497" xr:uid="{00000000-0005-0000-0000-0000B7240000}"/>
    <cellStyle name="Обычный 53 2 3 2 4" xfId="10498" xr:uid="{00000000-0005-0000-0000-0000B8240000}"/>
    <cellStyle name="Обычный 53 2 3 2 4 2" xfId="10499" xr:uid="{00000000-0005-0000-0000-0000B9240000}"/>
    <cellStyle name="Обычный 53 2 3 2 5" xfId="10500" xr:uid="{00000000-0005-0000-0000-0000BA240000}"/>
    <cellStyle name="Обычный 53 2 3 2 6" xfId="10501" xr:uid="{00000000-0005-0000-0000-0000BB240000}"/>
    <cellStyle name="Обычный 53 2 3 3" xfId="10502" xr:uid="{00000000-0005-0000-0000-0000BC240000}"/>
    <cellStyle name="Обычный 53 2 3 3 2" xfId="10503" xr:uid="{00000000-0005-0000-0000-0000BD240000}"/>
    <cellStyle name="Обычный 53 2 3 3 2 2" xfId="10504" xr:uid="{00000000-0005-0000-0000-0000BE240000}"/>
    <cellStyle name="Обычный 53 2 3 3 2 3" xfId="10505" xr:uid="{00000000-0005-0000-0000-0000BF240000}"/>
    <cellStyle name="Обычный 53 2 3 3 3" xfId="10506" xr:uid="{00000000-0005-0000-0000-0000C0240000}"/>
    <cellStyle name="Обычный 53 2 3 3 4" xfId="10507" xr:uid="{00000000-0005-0000-0000-0000C1240000}"/>
    <cellStyle name="Обычный 53 2 3 4" xfId="10508" xr:uid="{00000000-0005-0000-0000-0000C2240000}"/>
    <cellStyle name="Обычный 53 2 3 4 2" xfId="10509" xr:uid="{00000000-0005-0000-0000-0000C3240000}"/>
    <cellStyle name="Обычный 53 2 3 4 3" xfId="10510" xr:uid="{00000000-0005-0000-0000-0000C4240000}"/>
    <cellStyle name="Обычный 53 2 3 5" xfId="10511" xr:uid="{00000000-0005-0000-0000-0000C5240000}"/>
    <cellStyle name="Обычный 53 2 3 5 2" xfId="10512" xr:uid="{00000000-0005-0000-0000-0000C6240000}"/>
    <cellStyle name="Обычный 53 2 3 6" xfId="10513" xr:uid="{00000000-0005-0000-0000-0000C7240000}"/>
    <cellStyle name="Обычный 53 2 3 7" xfId="10514" xr:uid="{00000000-0005-0000-0000-0000C8240000}"/>
    <cellStyle name="Обычный 53 2 4" xfId="10515" xr:uid="{00000000-0005-0000-0000-0000C9240000}"/>
    <cellStyle name="Обычный 53 2 4 2" xfId="3865" xr:uid="{00000000-0005-0000-0000-0000CA240000}"/>
    <cellStyle name="Обычный 53 2 4 2 2" xfId="10516" xr:uid="{00000000-0005-0000-0000-0000CB240000}"/>
    <cellStyle name="Обычный 53 2 4 2 2 2" xfId="10517" xr:uid="{00000000-0005-0000-0000-0000CC240000}"/>
    <cellStyle name="Обычный 53 2 4 2 2 3" xfId="10518" xr:uid="{00000000-0005-0000-0000-0000CD240000}"/>
    <cellStyle name="Обычный 53 2 4 2 3" xfId="10519" xr:uid="{00000000-0005-0000-0000-0000CE240000}"/>
    <cellStyle name="Обычный 53 2 4 2 4" xfId="10520" xr:uid="{00000000-0005-0000-0000-0000CF240000}"/>
    <cellStyle name="Обычный 53 2 4 3" xfId="10521" xr:uid="{00000000-0005-0000-0000-0000D0240000}"/>
    <cellStyle name="Обычный 53 2 4 3 2" xfId="10522" xr:uid="{00000000-0005-0000-0000-0000D1240000}"/>
    <cellStyle name="Обычный 53 2 4 3 3" xfId="10523" xr:uid="{00000000-0005-0000-0000-0000D2240000}"/>
    <cellStyle name="Обычный 53 2 4 4" xfId="10524" xr:uid="{00000000-0005-0000-0000-0000D3240000}"/>
    <cellStyle name="Обычный 53 2 4 4 2" xfId="10525" xr:uid="{00000000-0005-0000-0000-0000D4240000}"/>
    <cellStyle name="Обычный 53 2 4 5" xfId="10526" xr:uid="{00000000-0005-0000-0000-0000D5240000}"/>
    <cellStyle name="Обычный 53 2 4 6" xfId="10527" xr:uid="{00000000-0005-0000-0000-0000D6240000}"/>
    <cellStyle name="Обычный 53 2 5" xfId="10528" xr:uid="{00000000-0005-0000-0000-0000D7240000}"/>
    <cellStyle name="Обычный 53 2 5 2" xfId="10529" xr:uid="{00000000-0005-0000-0000-0000D8240000}"/>
    <cellStyle name="Обычный 53 2 5 2 2" xfId="10530" xr:uid="{00000000-0005-0000-0000-0000D9240000}"/>
    <cellStyle name="Обычный 53 2 5 2 3" xfId="10531" xr:uid="{00000000-0005-0000-0000-0000DA240000}"/>
    <cellStyle name="Обычный 53 2 5 3" xfId="10532" xr:uid="{00000000-0005-0000-0000-0000DB240000}"/>
    <cellStyle name="Обычный 53 2 5 4" xfId="10533" xr:uid="{00000000-0005-0000-0000-0000DC240000}"/>
    <cellStyle name="Обычный 53 2 6" xfId="10534" xr:uid="{00000000-0005-0000-0000-0000DD240000}"/>
    <cellStyle name="Обычный 53 2 6 2" xfId="10535" xr:uid="{00000000-0005-0000-0000-0000DE240000}"/>
    <cellStyle name="Обычный 53 2 6 3" xfId="10536" xr:uid="{00000000-0005-0000-0000-0000DF240000}"/>
    <cellStyle name="Обычный 53 2 7" xfId="10537" xr:uid="{00000000-0005-0000-0000-0000E0240000}"/>
    <cellStyle name="Обычный 53 2 7 2" xfId="10538" xr:uid="{00000000-0005-0000-0000-0000E1240000}"/>
    <cellStyle name="Обычный 53 2 8" xfId="10539" xr:uid="{00000000-0005-0000-0000-0000E2240000}"/>
    <cellStyle name="Обычный 53 2 9" xfId="10540" xr:uid="{00000000-0005-0000-0000-0000E3240000}"/>
    <cellStyle name="Обычный 53 3" xfId="3866" xr:uid="{00000000-0005-0000-0000-0000E4240000}"/>
    <cellStyle name="Обычный 53 3 2" xfId="10541" xr:uid="{00000000-0005-0000-0000-0000E5240000}"/>
    <cellStyle name="Обычный 53 3 2 2" xfId="10542" xr:uid="{00000000-0005-0000-0000-0000E6240000}"/>
    <cellStyle name="Обычный 53 3 2 2 2" xfId="10543" xr:uid="{00000000-0005-0000-0000-0000E7240000}"/>
    <cellStyle name="Обычный 53 3 2 2 2 2" xfId="10544" xr:uid="{00000000-0005-0000-0000-0000E8240000}"/>
    <cellStyle name="Обычный 53 3 2 2 2 2 2" xfId="10545" xr:uid="{00000000-0005-0000-0000-0000E9240000}"/>
    <cellStyle name="Обычный 53 3 2 2 2 2 3" xfId="10546" xr:uid="{00000000-0005-0000-0000-0000EA240000}"/>
    <cellStyle name="Обычный 53 3 2 2 2 3" xfId="10547" xr:uid="{00000000-0005-0000-0000-0000EB240000}"/>
    <cellStyle name="Обычный 53 3 2 2 2 4" xfId="10548" xr:uid="{00000000-0005-0000-0000-0000EC240000}"/>
    <cellStyle name="Обычный 53 3 2 2 3" xfId="10549" xr:uid="{00000000-0005-0000-0000-0000ED240000}"/>
    <cellStyle name="Обычный 53 3 2 2 3 2" xfId="10550" xr:uid="{00000000-0005-0000-0000-0000EE240000}"/>
    <cellStyle name="Обычный 53 3 2 2 3 3" xfId="10551" xr:uid="{00000000-0005-0000-0000-0000EF240000}"/>
    <cellStyle name="Обычный 53 3 2 2 4" xfId="10552" xr:uid="{00000000-0005-0000-0000-0000F0240000}"/>
    <cellStyle name="Обычный 53 3 2 2 4 2" xfId="10553" xr:uid="{00000000-0005-0000-0000-0000F1240000}"/>
    <cellStyle name="Обычный 53 3 2 2 5" xfId="10554" xr:uid="{00000000-0005-0000-0000-0000F2240000}"/>
    <cellStyle name="Обычный 53 3 2 2 6" xfId="10555" xr:uid="{00000000-0005-0000-0000-0000F3240000}"/>
    <cellStyle name="Обычный 53 3 2 3" xfId="10556" xr:uid="{00000000-0005-0000-0000-0000F4240000}"/>
    <cellStyle name="Обычный 53 3 2 3 2" xfId="10557" xr:uid="{00000000-0005-0000-0000-0000F5240000}"/>
    <cellStyle name="Обычный 53 3 2 3 2 2" xfId="10558" xr:uid="{00000000-0005-0000-0000-0000F6240000}"/>
    <cellStyle name="Обычный 53 3 2 3 2 3" xfId="10559" xr:uid="{00000000-0005-0000-0000-0000F7240000}"/>
    <cellStyle name="Обычный 53 3 2 3 3" xfId="10560" xr:uid="{00000000-0005-0000-0000-0000F8240000}"/>
    <cellStyle name="Обычный 53 3 2 3 4" xfId="10561" xr:uid="{00000000-0005-0000-0000-0000F9240000}"/>
    <cellStyle name="Обычный 53 3 2 4" xfId="10562" xr:uid="{00000000-0005-0000-0000-0000FA240000}"/>
    <cellStyle name="Обычный 53 3 2 4 2" xfId="10563" xr:uid="{00000000-0005-0000-0000-0000FB240000}"/>
    <cellStyle name="Обычный 53 3 2 4 3" xfId="10564" xr:uid="{00000000-0005-0000-0000-0000FC240000}"/>
    <cellStyle name="Обычный 53 3 2 5" xfId="10565" xr:uid="{00000000-0005-0000-0000-0000FD240000}"/>
    <cellStyle name="Обычный 53 3 2 5 2" xfId="10566" xr:uid="{00000000-0005-0000-0000-0000FE240000}"/>
    <cellStyle name="Обычный 53 3 2 6" xfId="10567" xr:uid="{00000000-0005-0000-0000-0000FF240000}"/>
    <cellStyle name="Обычный 53 3 2 7" xfId="10568" xr:uid="{00000000-0005-0000-0000-000000250000}"/>
    <cellStyle name="Обычный 53 3 3" xfId="10569" xr:uid="{00000000-0005-0000-0000-000001250000}"/>
    <cellStyle name="Обычный 53 3 3 2" xfId="10570" xr:uid="{00000000-0005-0000-0000-000002250000}"/>
    <cellStyle name="Обычный 53 3 3 2 2" xfId="10571" xr:uid="{00000000-0005-0000-0000-000003250000}"/>
    <cellStyle name="Обычный 53 3 3 2 2 2" xfId="10572" xr:uid="{00000000-0005-0000-0000-000004250000}"/>
    <cellStyle name="Обычный 53 3 3 2 2 3" xfId="10573" xr:uid="{00000000-0005-0000-0000-000005250000}"/>
    <cellStyle name="Обычный 53 3 3 2 3" xfId="10574" xr:uid="{00000000-0005-0000-0000-000006250000}"/>
    <cellStyle name="Обычный 53 3 3 2 4" xfId="10575" xr:uid="{00000000-0005-0000-0000-000007250000}"/>
    <cellStyle name="Обычный 53 3 3 3" xfId="10576" xr:uid="{00000000-0005-0000-0000-000008250000}"/>
    <cellStyle name="Обычный 53 3 3 3 2" xfId="10577" xr:uid="{00000000-0005-0000-0000-000009250000}"/>
    <cellStyle name="Обычный 53 3 3 3 3" xfId="10578" xr:uid="{00000000-0005-0000-0000-00000A250000}"/>
    <cellStyle name="Обычный 53 3 3 4" xfId="10579" xr:uid="{00000000-0005-0000-0000-00000B250000}"/>
    <cellStyle name="Обычный 53 3 3 4 2" xfId="10580" xr:uid="{00000000-0005-0000-0000-00000C250000}"/>
    <cellStyle name="Обычный 53 3 3 5" xfId="10581" xr:uid="{00000000-0005-0000-0000-00000D250000}"/>
    <cellStyle name="Обычный 53 3 3 6" xfId="10582" xr:uid="{00000000-0005-0000-0000-00000E250000}"/>
    <cellStyle name="Обычный 53 3 4" xfId="10583" xr:uid="{00000000-0005-0000-0000-00000F250000}"/>
    <cellStyle name="Обычный 53 3 4 2" xfId="10584" xr:uid="{00000000-0005-0000-0000-000010250000}"/>
    <cellStyle name="Обычный 53 3 4 2 2" xfId="10585" xr:uid="{00000000-0005-0000-0000-000011250000}"/>
    <cellStyle name="Обычный 53 3 4 2 3" xfId="10586" xr:uid="{00000000-0005-0000-0000-000012250000}"/>
    <cellStyle name="Обычный 53 3 4 3" xfId="10587" xr:uid="{00000000-0005-0000-0000-000013250000}"/>
    <cellStyle name="Обычный 53 3 4 4" xfId="10588" xr:uid="{00000000-0005-0000-0000-000014250000}"/>
    <cellStyle name="Обычный 53 3 5" xfId="10589" xr:uid="{00000000-0005-0000-0000-000015250000}"/>
    <cellStyle name="Обычный 53 3 5 2" xfId="10590" xr:uid="{00000000-0005-0000-0000-000016250000}"/>
    <cellStyle name="Обычный 53 3 5 3" xfId="10591" xr:uid="{00000000-0005-0000-0000-000017250000}"/>
    <cellStyle name="Обычный 53 3 6" xfId="10592" xr:uid="{00000000-0005-0000-0000-000018250000}"/>
    <cellStyle name="Обычный 53 3 6 2" xfId="10593" xr:uid="{00000000-0005-0000-0000-000019250000}"/>
    <cellStyle name="Обычный 53 3 7" xfId="10594" xr:uid="{00000000-0005-0000-0000-00001A250000}"/>
    <cellStyle name="Обычный 53 3 8" xfId="10595" xr:uid="{00000000-0005-0000-0000-00001B250000}"/>
    <cellStyle name="Обычный 53 4" xfId="3867" xr:uid="{00000000-0005-0000-0000-00001C250000}"/>
    <cellStyle name="Обычный 53 4 2" xfId="10596" xr:uid="{00000000-0005-0000-0000-00001D250000}"/>
    <cellStyle name="Обычный 53 4 2 2" xfId="10597" xr:uid="{00000000-0005-0000-0000-00001E250000}"/>
    <cellStyle name="Обычный 53 4 2 2 2" xfId="10598" xr:uid="{00000000-0005-0000-0000-00001F250000}"/>
    <cellStyle name="Обычный 53 4 2 2 2 2" xfId="10599" xr:uid="{00000000-0005-0000-0000-000020250000}"/>
    <cellStyle name="Обычный 53 4 2 2 2 3" xfId="10600" xr:uid="{00000000-0005-0000-0000-000021250000}"/>
    <cellStyle name="Обычный 53 4 2 2 3" xfId="10601" xr:uid="{00000000-0005-0000-0000-000022250000}"/>
    <cellStyle name="Обычный 53 4 2 2 4" xfId="10602" xr:uid="{00000000-0005-0000-0000-000023250000}"/>
    <cellStyle name="Обычный 53 4 2 3" xfId="10603" xr:uid="{00000000-0005-0000-0000-000024250000}"/>
    <cellStyle name="Обычный 53 4 2 3 2" xfId="10604" xr:uid="{00000000-0005-0000-0000-000025250000}"/>
    <cellStyle name="Обычный 53 4 2 3 3" xfId="10605" xr:uid="{00000000-0005-0000-0000-000026250000}"/>
    <cellStyle name="Обычный 53 4 2 4" xfId="10606" xr:uid="{00000000-0005-0000-0000-000027250000}"/>
    <cellStyle name="Обычный 53 4 2 4 2" xfId="10607" xr:uid="{00000000-0005-0000-0000-000028250000}"/>
    <cellStyle name="Обычный 53 4 2 5" xfId="10608" xr:uid="{00000000-0005-0000-0000-000029250000}"/>
    <cellStyle name="Обычный 53 4 2 6" xfId="10609" xr:uid="{00000000-0005-0000-0000-00002A250000}"/>
    <cellStyle name="Обычный 53 4 3" xfId="10610" xr:uid="{00000000-0005-0000-0000-00002B250000}"/>
    <cellStyle name="Обычный 53 4 3 2" xfId="10611" xr:uid="{00000000-0005-0000-0000-00002C250000}"/>
    <cellStyle name="Обычный 53 4 3 2 2" xfId="10612" xr:uid="{00000000-0005-0000-0000-00002D250000}"/>
    <cellStyle name="Обычный 53 4 3 2 3" xfId="10613" xr:uid="{00000000-0005-0000-0000-00002E250000}"/>
    <cellStyle name="Обычный 53 4 3 3" xfId="10614" xr:uid="{00000000-0005-0000-0000-00002F250000}"/>
    <cellStyle name="Обычный 53 4 3 4" xfId="10615" xr:uid="{00000000-0005-0000-0000-000030250000}"/>
    <cellStyle name="Обычный 53 4 4" xfId="10616" xr:uid="{00000000-0005-0000-0000-000031250000}"/>
    <cellStyle name="Обычный 53 4 4 2" xfId="10617" xr:uid="{00000000-0005-0000-0000-000032250000}"/>
    <cellStyle name="Обычный 53 4 4 3" xfId="10618" xr:uid="{00000000-0005-0000-0000-000033250000}"/>
    <cellStyle name="Обычный 53 4 5" xfId="10619" xr:uid="{00000000-0005-0000-0000-000034250000}"/>
    <cellStyle name="Обычный 53 4 5 2" xfId="10620" xr:uid="{00000000-0005-0000-0000-000035250000}"/>
    <cellStyle name="Обычный 53 4 6" xfId="10621" xr:uid="{00000000-0005-0000-0000-000036250000}"/>
    <cellStyle name="Обычный 53 4 7" xfId="10622" xr:uid="{00000000-0005-0000-0000-000037250000}"/>
    <cellStyle name="Обычный 53 5" xfId="10623" xr:uid="{00000000-0005-0000-0000-000038250000}"/>
    <cellStyle name="Обычный 53 5 2" xfId="10624" xr:uid="{00000000-0005-0000-0000-000039250000}"/>
    <cellStyle name="Обычный 53 5 2 2" xfId="10625" xr:uid="{00000000-0005-0000-0000-00003A250000}"/>
    <cellStyle name="Обычный 53 5 2 2 2" xfId="10626" xr:uid="{00000000-0005-0000-0000-00003B250000}"/>
    <cellStyle name="Обычный 53 5 2 2 3" xfId="10627" xr:uid="{00000000-0005-0000-0000-00003C250000}"/>
    <cellStyle name="Обычный 53 5 2 3" xfId="10628" xr:uid="{00000000-0005-0000-0000-00003D250000}"/>
    <cellStyle name="Обычный 53 5 2 4" xfId="10629" xr:uid="{00000000-0005-0000-0000-00003E250000}"/>
    <cellStyle name="Обычный 53 5 3" xfId="10630" xr:uid="{00000000-0005-0000-0000-00003F250000}"/>
    <cellStyle name="Обычный 53 5 3 2" xfId="10631" xr:uid="{00000000-0005-0000-0000-000040250000}"/>
    <cellStyle name="Обычный 53 5 3 3" xfId="10632" xr:uid="{00000000-0005-0000-0000-000041250000}"/>
    <cellStyle name="Обычный 53 5 4" xfId="10633" xr:uid="{00000000-0005-0000-0000-000042250000}"/>
    <cellStyle name="Обычный 53 5 4 2" xfId="10634" xr:uid="{00000000-0005-0000-0000-000043250000}"/>
    <cellStyle name="Обычный 53 5 5" xfId="10635" xr:uid="{00000000-0005-0000-0000-000044250000}"/>
    <cellStyle name="Обычный 53 5 6" xfId="10636" xr:uid="{00000000-0005-0000-0000-000045250000}"/>
    <cellStyle name="Обычный 53 6" xfId="10637" xr:uid="{00000000-0005-0000-0000-000046250000}"/>
    <cellStyle name="Обычный 53 6 2" xfId="10638" xr:uid="{00000000-0005-0000-0000-000047250000}"/>
    <cellStyle name="Обычный 53 6 2 2" xfId="10639" xr:uid="{00000000-0005-0000-0000-000048250000}"/>
    <cellStyle name="Обычный 53 6 2 3" xfId="10640" xr:uid="{00000000-0005-0000-0000-000049250000}"/>
    <cellStyle name="Обычный 53 6 3" xfId="10641" xr:uid="{00000000-0005-0000-0000-00004A250000}"/>
    <cellStyle name="Обычный 53 6 4" xfId="10642" xr:uid="{00000000-0005-0000-0000-00004B250000}"/>
    <cellStyle name="Обычный 53 7" xfId="3868" xr:uid="{00000000-0005-0000-0000-00004C250000}"/>
    <cellStyle name="Обычный 53 7 2" xfId="10643" xr:uid="{00000000-0005-0000-0000-00004D250000}"/>
    <cellStyle name="Обычный 53 7 2 2" xfId="10644" xr:uid="{00000000-0005-0000-0000-00004E250000}"/>
    <cellStyle name="Обычный 53 7 3" xfId="10645" xr:uid="{00000000-0005-0000-0000-00004F250000}"/>
    <cellStyle name="Обычный 53 8" xfId="10646" xr:uid="{00000000-0005-0000-0000-000050250000}"/>
    <cellStyle name="Обычный 53 8 2" xfId="10647" xr:uid="{00000000-0005-0000-0000-000051250000}"/>
    <cellStyle name="Обычный 53 9" xfId="3869" xr:uid="{00000000-0005-0000-0000-000052250000}"/>
    <cellStyle name="Обычный 53_Свод гостин" xfId="3870" xr:uid="{00000000-0005-0000-0000-000053250000}"/>
    <cellStyle name="Обычный 54" xfId="3871" xr:uid="{00000000-0005-0000-0000-000054250000}"/>
    <cellStyle name="Обычный 54 10" xfId="10648" xr:uid="{00000000-0005-0000-0000-000055250000}"/>
    <cellStyle name="Обычный 54 2" xfId="3872" xr:uid="{00000000-0005-0000-0000-000056250000}"/>
    <cellStyle name="Обычный 54 2 2" xfId="10649" xr:uid="{00000000-0005-0000-0000-000057250000}"/>
    <cellStyle name="Обычный 54 2 2 2" xfId="10650" xr:uid="{00000000-0005-0000-0000-000058250000}"/>
    <cellStyle name="Обычный 54 2 2 2 2" xfId="10651" xr:uid="{00000000-0005-0000-0000-000059250000}"/>
    <cellStyle name="Обычный 54 2 2 2 2 2" xfId="10652" xr:uid="{00000000-0005-0000-0000-00005A250000}"/>
    <cellStyle name="Обычный 54 2 2 2 2 2 2" xfId="10653" xr:uid="{00000000-0005-0000-0000-00005B250000}"/>
    <cellStyle name="Обычный 54 2 2 2 2 2 2 2" xfId="10654" xr:uid="{00000000-0005-0000-0000-00005C250000}"/>
    <cellStyle name="Обычный 54 2 2 2 2 2 2 3" xfId="10655" xr:uid="{00000000-0005-0000-0000-00005D250000}"/>
    <cellStyle name="Обычный 54 2 2 2 2 2 3" xfId="10656" xr:uid="{00000000-0005-0000-0000-00005E250000}"/>
    <cellStyle name="Обычный 54 2 2 2 2 2 4" xfId="10657" xr:uid="{00000000-0005-0000-0000-00005F250000}"/>
    <cellStyle name="Обычный 54 2 2 2 2 3" xfId="10658" xr:uid="{00000000-0005-0000-0000-000060250000}"/>
    <cellStyle name="Обычный 54 2 2 2 2 3 2" xfId="10659" xr:uid="{00000000-0005-0000-0000-000061250000}"/>
    <cellStyle name="Обычный 54 2 2 2 2 3 3" xfId="10660" xr:uid="{00000000-0005-0000-0000-000062250000}"/>
    <cellStyle name="Обычный 54 2 2 2 2 4" xfId="10661" xr:uid="{00000000-0005-0000-0000-000063250000}"/>
    <cellStyle name="Обычный 54 2 2 2 2 4 2" xfId="10662" xr:uid="{00000000-0005-0000-0000-000064250000}"/>
    <cellStyle name="Обычный 54 2 2 2 2 5" xfId="10663" xr:uid="{00000000-0005-0000-0000-000065250000}"/>
    <cellStyle name="Обычный 54 2 2 2 2 6" xfId="10664" xr:uid="{00000000-0005-0000-0000-000066250000}"/>
    <cellStyle name="Обычный 54 2 2 2 3" xfId="10665" xr:uid="{00000000-0005-0000-0000-000067250000}"/>
    <cellStyle name="Обычный 54 2 2 2 3 2" xfId="10666" xr:uid="{00000000-0005-0000-0000-000068250000}"/>
    <cellStyle name="Обычный 54 2 2 2 3 2 2" xfId="10667" xr:uid="{00000000-0005-0000-0000-000069250000}"/>
    <cellStyle name="Обычный 54 2 2 2 3 2 3" xfId="10668" xr:uid="{00000000-0005-0000-0000-00006A250000}"/>
    <cellStyle name="Обычный 54 2 2 2 3 3" xfId="10669" xr:uid="{00000000-0005-0000-0000-00006B250000}"/>
    <cellStyle name="Обычный 54 2 2 2 3 4" xfId="10670" xr:uid="{00000000-0005-0000-0000-00006C250000}"/>
    <cellStyle name="Обычный 54 2 2 2 4" xfId="10671" xr:uid="{00000000-0005-0000-0000-00006D250000}"/>
    <cellStyle name="Обычный 54 2 2 2 4 2" xfId="10672" xr:uid="{00000000-0005-0000-0000-00006E250000}"/>
    <cellStyle name="Обычный 54 2 2 2 4 3" xfId="10673" xr:uid="{00000000-0005-0000-0000-00006F250000}"/>
    <cellStyle name="Обычный 54 2 2 2 5" xfId="10674" xr:uid="{00000000-0005-0000-0000-000070250000}"/>
    <cellStyle name="Обычный 54 2 2 2 5 2" xfId="10675" xr:uid="{00000000-0005-0000-0000-000071250000}"/>
    <cellStyle name="Обычный 54 2 2 2 6" xfId="10676" xr:uid="{00000000-0005-0000-0000-000072250000}"/>
    <cellStyle name="Обычный 54 2 2 2 7" xfId="10677" xr:uid="{00000000-0005-0000-0000-000073250000}"/>
    <cellStyle name="Обычный 54 2 2 3" xfId="10678" xr:uid="{00000000-0005-0000-0000-000074250000}"/>
    <cellStyle name="Обычный 54 2 2 3 2" xfId="10679" xr:uid="{00000000-0005-0000-0000-000075250000}"/>
    <cellStyle name="Обычный 54 2 2 3 2 2" xfId="10680" xr:uid="{00000000-0005-0000-0000-000076250000}"/>
    <cellStyle name="Обычный 54 2 2 3 2 2 2" xfId="10681" xr:uid="{00000000-0005-0000-0000-000077250000}"/>
    <cellStyle name="Обычный 54 2 2 3 2 2 3" xfId="10682" xr:uid="{00000000-0005-0000-0000-000078250000}"/>
    <cellStyle name="Обычный 54 2 2 3 2 3" xfId="10683" xr:uid="{00000000-0005-0000-0000-000079250000}"/>
    <cellStyle name="Обычный 54 2 2 3 2 4" xfId="10684" xr:uid="{00000000-0005-0000-0000-00007A250000}"/>
    <cellStyle name="Обычный 54 2 2 3 3" xfId="10685" xr:uid="{00000000-0005-0000-0000-00007B250000}"/>
    <cellStyle name="Обычный 54 2 2 3 3 2" xfId="10686" xr:uid="{00000000-0005-0000-0000-00007C250000}"/>
    <cellStyle name="Обычный 54 2 2 3 3 3" xfId="10687" xr:uid="{00000000-0005-0000-0000-00007D250000}"/>
    <cellStyle name="Обычный 54 2 2 3 4" xfId="10688" xr:uid="{00000000-0005-0000-0000-00007E250000}"/>
    <cellStyle name="Обычный 54 2 2 3 4 2" xfId="10689" xr:uid="{00000000-0005-0000-0000-00007F250000}"/>
    <cellStyle name="Обычный 54 2 2 3 5" xfId="10690" xr:uid="{00000000-0005-0000-0000-000080250000}"/>
    <cellStyle name="Обычный 54 2 2 3 6" xfId="10691" xr:uid="{00000000-0005-0000-0000-000081250000}"/>
    <cellStyle name="Обычный 54 2 2 4" xfId="10692" xr:uid="{00000000-0005-0000-0000-000082250000}"/>
    <cellStyle name="Обычный 54 2 2 4 2" xfId="10693" xr:uid="{00000000-0005-0000-0000-000083250000}"/>
    <cellStyle name="Обычный 54 2 2 4 2 2" xfId="10694" xr:uid="{00000000-0005-0000-0000-000084250000}"/>
    <cellStyle name="Обычный 54 2 2 4 2 3" xfId="10695" xr:uid="{00000000-0005-0000-0000-000085250000}"/>
    <cellStyle name="Обычный 54 2 2 4 3" xfId="10696" xr:uid="{00000000-0005-0000-0000-000086250000}"/>
    <cellStyle name="Обычный 54 2 2 4 4" xfId="10697" xr:uid="{00000000-0005-0000-0000-000087250000}"/>
    <cellStyle name="Обычный 54 2 2 5" xfId="10698" xr:uid="{00000000-0005-0000-0000-000088250000}"/>
    <cellStyle name="Обычный 54 2 2 5 2" xfId="10699" xr:uid="{00000000-0005-0000-0000-000089250000}"/>
    <cellStyle name="Обычный 54 2 2 5 3" xfId="10700" xr:uid="{00000000-0005-0000-0000-00008A250000}"/>
    <cellStyle name="Обычный 54 2 2 6" xfId="10701" xr:uid="{00000000-0005-0000-0000-00008B250000}"/>
    <cellStyle name="Обычный 54 2 2 6 2" xfId="10702" xr:uid="{00000000-0005-0000-0000-00008C250000}"/>
    <cellStyle name="Обычный 54 2 2 7" xfId="10703" xr:uid="{00000000-0005-0000-0000-00008D250000}"/>
    <cellStyle name="Обычный 54 2 2 8" xfId="10704" xr:uid="{00000000-0005-0000-0000-00008E250000}"/>
    <cellStyle name="Обычный 54 2 3" xfId="10705" xr:uid="{00000000-0005-0000-0000-00008F250000}"/>
    <cellStyle name="Обычный 54 2 3 2" xfId="10706" xr:uid="{00000000-0005-0000-0000-000090250000}"/>
    <cellStyle name="Обычный 54 2 3 2 2" xfId="10707" xr:uid="{00000000-0005-0000-0000-000091250000}"/>
    <cellStyle name="Обычный 54 2 3 2 2 2" xfId="10708" xr:uid="{00000000-0005-0000-0000-000092250000}"/>
    <cellStyle name="Обычный 54 2 3 2 2 2 2" xfId="10709" xr:uid="{00000000-0005-0000-0000-000093250000}"/>
    <cellStyle name="Обычный 54 2 3 2 2 2 3" xfId="10710" xr:uid="{00000000-0005-0000-0000-000094250000}"/>
    <cellStyle name="Обычный 54 2 3 2 2 3" xfId="10711" xr:uid="{00000000-0005-0000-0000-000095250000}"/>
    <cellStyle name="Обычный 54 2 3 2 2 4" xfId="10712" xr:uid="{00000000-0005-0000-0000-000096250000}"/>
    <cellStyle name="Обычный 54 2 3 2 3" xfId="10713" xr:uid="{00000000-0005-0000-0000-000097250000}"/>
    <cellStyle name="Обычный 54 2 3 2 3 2" xfId="10714" xr:uid="{00000000-0005-0000-0000-000098250000}"/>
    <cellStyle name="Обычный 54 2 3 2 3 3" xfId="10715" xr:uid="{00000000-0005-0000-0000-000099250000}"/>
    <cellStyle name="Обычный 54 2 3 2 4" xfId="10716" xr:uid="{00000000-0005-0000-0000-00009A250000}"/>
    <cellStyle name="Обычный 54 2 3 2 4 2" xfId="10717" xr:uid="{00000000-0005-0000-0000-00009B250000}"/>
    <cellStyle name="Обычный 54 2 3 2 5" xfId="10718" xr:uid="{00000000-0005-0000-0000-00009C250000}"/>
    <cellStyle name="Обычный 54 2 3 2 6" xfId="10719" xr:uid="{00000000-0005-0000-0000-00009D250000}"/>
    <cellStyle name="Обычный 54 2 3 3" xfId="10720" xr:uid="{00000000-0005-0000-0000-00009E250000}"/>
    <cellStyle name="Обычный 54 2 3 3 2" xfId="10721" xr:uid="{00000000-0005-0000-0000-00009F250000}"/>
    <cellStyle name="Обычный 54 2 3 3 2 2" xfId="10722" xr:uid="{00000000-0005-0000-0000-0000A0250000}"/>
    <cellStyle name="Обычный 54 2 3 3 2 3" xfId="10723" xr:uid="{00000000-0005-0000-0000-0000A1250000}"/>
    <cellStyle name="Обычный 54 2 3 3 3" xfId="10724" xr:uid="{00000000-0005-0000-0000-0000A2250000}"/>
    <cellStyle name="Обычный 54 2 3 3 4" xfId="10725" xr:uid="{00000000-0005-0000-0000-0000A3250000}"/>
    <cellStyle name="Обычный 54 2 3 4" xfId="10726" xr:uid="{00000000-0005-0000-0000-0000A4250000}"/>
    <cellStyle name="Обычный 54 2 3 4 2" xfId="10727" xr:uid="{00000000-0005-0000-0000-0000A5250000}"/>
    <cellStyle name="Обычный 54 2 3 4 3" xfId="10728" xr:uid="{00000000-0005-0000-0000-0000A6250000}"/>
    <cellStyle name="Обычный 54 2 3 5" xfId="10729" xr:uid="{00000000-0005-0000-0000-0000A7250000}"/>
    <cellStyle name="Обычный 54 2 3 5 2" xfId="10730" xr:uid="{00000000-0005-0000-0000-0000A8250000}"/>
    <cellStyle name="Обычный 54 2 3 6" xfId="10731" xr:uid="{00000000-0005-0000-0000-0000A9250000}"/>
    <cellStyle name="Обычный 54 2 3 7" xfId="10732" xr:uid="{00000000-0005-0000-0000-0000AA250000}"/>
    <cellStyle name="Обычный 54 2 4" xfId="10733" xr:uid="{00000000-0005-0000-0000-0000AB250000}"/>
    <cellStyle name="Обычный 54 2 4 2" xfId="10734" xr:uid="{00000000-0005-0000-0000-0000AC250000}"/>
    <cellStyle name="Обычный 54 2 4 2 2" xfId="10735" xr:uid="{00000000-0005-0000-0000-0000AD250000}"/>
    <cellStyle name="Обычный 54 2 4 2 2 2" xfId="10736" xr:uid="{00000000-0005-0000-0000-0000AE250000}"/>
    <cellStyle name="Обычный 54 2 4 2 2 3" xfId="10737" xr:uid="{00000000-0005-0000-0000-0000AF250000}"/>
    <cellStyle name="Обычный 54 2 4 2 3" xfId="10738" xr:uid="{00000000-0005-0000-0000-0000B0250000}"/>
    <cellStyle name="Обычный 54 2 4 2 4" xfId="10739" xr:uid="{00000000-0005-0000-0000-0000B1250000}"/>
    <cellStyle name="Обычный 54 2 4 3" xfId="10740" xr:uid="{00000000-0005-0000-0000-0000B2250000}"/>
    <cellStyle name="Обычный 54 2 4 3 2" xfId="10741" xr:uid="{00000000-0005-0000-0000-0000B3250000}"/>
    <cellStyle name="Обычный 54 2 4 3 3" xfId="10742" xr:uid="{00000000-0005-0000-0000-0000B4250000}"/>
    <cellStyle name="Обычный 54 2 4 4" xfId="10743" xr:uid="{00000000-0005-0000-0000-0000B5250000}"/>
    <cellStyle name="Обычный 54 2 4 4 2" xfId="10744" xr:uid="{00000000-0005-0000-0000-0000B6250000}"/>
    <cellStyle name="Обычный 54 2 4 5" xfId="10745" xr:uid="{00000000-0005-0000-0000-0000B7250000}"/>
    <cellStyle name="Обычный 54 2 4 6" xfId="10746" xr:uid="{00000000-0005-0000-0000-0000B8250000}"/>
    <cellStyle name="Обычный 54 2 5" xfId="10747" xr:uid="{00000000-0005-0000-0000-0000B9250000}"/>
    <cellStyle name="Обычный 54 2 5 2" xfId="10748" xr:uid="{00000000-0005-0000-0000-0000BA250000}"/>
    <cellStyle name="Обычный 54 2 5 2 2" xfId="10749" xr:uid="{00000000-0005-0000-0000-0000BB250000}"/>
    <cellStyle name="Обычный 54 2 5 2 3" xfId="10750" xr:uid="{00000000-0005-0000-0000-0000BC250000}"/>
    <cellStyle name="Обычный 54 2 5 3" xfId="10751" xr:uid="{00000000-0005-0000-0000-0000BD250000}"/>
    <cellStyle name="Обычный 54 2 5 4" xfId="10752" xr:uid="{00000000-0005-0000-0000-0000BE250000}"/>
    <cellStyle name="Обычный 54 2 6" xfId="10753" xr:uid="{00000000-0005-0000-0000-0000BF250000}"/>
    <cellStyle name="Обычный 54 2 6 2" xfId="10754" xr:uid="{00000000-0005-0000-0000-0000C0250000}"/>
    <cellStyle name="Обычный 54 2 6 3" xfId="10755" xr:uid="{00000000-0005-0000-0000-0000C1250000}"/>
    <cellStyle name="Обычный 54 2 7" xfId="10756" xr:uid="{00000000-0005-0000-0000-0000C2250000}"/>
    <cellStyle name="Обычный 54 2 7 2" xfId="10757" xr:uid="{00000000-0005-0000-0000-0000C3250000}"/>
    <cellStyle name="Обычный 54 2 8" xfId="10758" xr:uid="{00000000-0005-0000-0000-0000C4250000}"/>
    <cellStyle name="Обычный 54 2 9" xfId="10759" xr:uid="{00000000-0005-0000-0000-0000C5250000}"/>
    <cellStyle name="Обычный 54 3" xfId="10760" xr:uid="{00000000-0005-0000-0000-0000C6250000}"/>
    <cellStyle name="Обычный 54 3 2" xfId="10761" xr:uid="{00000000-0005-0000-0000-0000C7250000}"/>
    <cellStyle name="Обычный 54 3 2 2" xfId="10762" xr:uid="{00000000-0005-0000-0000-0000C8250000}"/>
    <cellStyle name="Обычный 54 3 2 2 2" xfId="10763" xr:uid="{00000000-0005-0000-0000-0000C9250000}"/>
    <cellStyle name="Обычный 54 3 2 2 2 2" xfId="10764" xr:uid="{00000000-0005-0000-0000-0000CA250000}"/>
    <cellStyle name="Обычный 54 3 2 2 2 2 2" xfId="10765" xr:uid="{00000000-0005-0000-0000-0000CB250000}"/>
    <cellStyle name="Обычный 54 3 2 2 2 2 3" xfId="10766" xr:uid="{00000000-0005-0000-0000-0000CC250000}"/>
    <cellStyle name="Обычный 54 3 2 2 2 3" xfId="10767" xr:uid="{00000000-0005-0000-0000-0000CD250000}"/>
    <cellStyle name="Обычный 54 3 2 2 2 4" xfId="10768" xr:uid="{00000000-0005-0000-0000-0000CE250000}"/>
    <cellStyle name="Обычный 54 3 2 2 3" xfId="10769" xr:uid="{00000000-0005-0000-0000-0000CF250000}"/>
    <cellStyle name="Обычный 54 3 2 2 3 2" xfId="10770" xr:uid="{00000000-0005-0000-0000-0000D0250000}"/>
    <cellStyle name="Обычный 54 3 2 2 3 3" xfId="10771" xr:uid="{00000000-0005-0000-0000-0000D1250000}"/>
    <cellStyle name="Обычный 54 3 2 2 4" xfId="10772" xr:uid="{00000000-0005-0000-0000-0000D2250000}"/>
    <cellStyle name="Обычный 54 3 2 2 4 2" xfId="10773" xr:uid="{00000000-0005-0000-0000-0000D3250000}"/>
    <cellStyle name="Обычный 54 3 2 2 5" xfId="10774" xr:uid="{00000000-0005-0000-0000-0000D4250000}"/>
    <cellStyle name="Обычный 54 3 2 2 6" xfId="10775" xr:uid="{00000000-0005-0000-0000-0000D5250000}"/>
    <cellStyle name="Обычный 54 3 2 3" xfId="10776" xr:uid="{00000000-0005-0000-0000-0000D6250000}"/>
    <cellStyle name="Обычный 54 3 2 3 2" xfId="10777" xr:uid="{00000000-0005-0000-0000-0000D7250000}"/>
    <cellStyle name="Обычный 54 3 2 3 2 2" xfId="10778" xr:uid="{00000000-0005-0000-0000-0000D8250000}"/>
    <cellStyle name="Обычный 54 3 2 3 2 3" xfId="10779" xr:uid="{00000000-0005-0000-0000-0000D9250000}"/>
    <cellStyle name="Обычный 54 3 2 3 3" xfId="10780" xr:uid="{00000000-0005-0000-0000-0000DA250000}"/>
    <cellStyle name="Обычный 54 3 2 3 4" xfId="10781" xr:uid="{00000000-0005-0000-0000-0000DB250000}"/>
    <cellStyle name="Обычный 54 3 2 4" xfId="10782" xr:uid="{00000000-0005-0000-0000-0000DC250000}"/>
    <cellStyle name="Обычный 54 3 2 4 2" xfId="10783" xr:uid="{00000000-0005-0000-0000-0000DD250000}"/>
    <cellStyle name="Обычный 54 3 2 4 3" xfId="10784" xr:uid="{00000000-0005-0000-0000-0000DE250000}"/>
    <cellStyle name="Обычный 54 3 2 5" xfId="10785" xr:uid="{00000000-0005-0000-0000-0000DF250000}"/>
    <cellStyle name="Обычный 54 3 2 5 2" xfId="10786" xr:uid="{00000000-0005-0000-0000-0000E0250000}"/>
    <cellStyle name="Обычный 54 3 2 6" xfId="10787" xr:uid="{00000000-0005-0000-0000-0000E1250000}"/>
    <cellStyle name="Обычный 54 3 2 7" xfId="10788" xr:uid="{00000000-0005-0000-0000-0000E2250000}"/>
    <cellStyle name="Обычный 54 3 3" xfId="10789" xr:uid="{00000000-0005-0000-0000-0000E3250000}"/>
    <cellStyle name="Обычный 54 3 3 2" xfId="10790" xr:uid="{00000000-0005-0000-0000-0000E4250000}"/>
    <cellStyle name="Обычный 54 3 3 2 2" xfId="10791" xr:uid="{00000000-0005-0000-0000-0000E5250000}"/>
    <cellStyle name="Обычный 54 3 3 2 2 2" xfId="10792" xr:uid="{00000000-0005-0000-0000-0000E6250000}"/>
    <cellStyle name="Обычный 54 3 3 2 2 3" xfId="10793" xr:uid="{00000000-0005-0000-0000-0000E7250000}"/>
    <cellStyle name="Обычный 54 3 3 2 3" xfId="10794" xr:uid="{00000000-0005-0000-0000-0000E8250000}"/>
    <cellStyle name="Обычный 54 3 3 2 4" xfId="10795" xr:uid="{00000000-0005-0000-0000-0000E9250000}"/>
    <cellStyle name="Обычный 54 3 3 3" xfId="10796" xr:uid="{00000000-0005-0000-0000-0000EA250000}"/>
    <cellStyle name="Обычный 54 3 3 3 2" xfId="10797" xr:uid="{00000000-0005-0000-0000-0000EB250000}"/>
    <cellStyle name="Обычный 54 3 3 3 3" xfId="10798" xr:uid="{00000000-0005-0000-0000-0000EC250000}"/>
    <cellStyle name="Обычный 54 3 3 4" xfId="10799" xr:uid="{00000000-0005-0000-0000-0000ED250000}"/>
    <cellStyle name="Обычный 54 3 3 4 2" xfId="10800" xr:uid="{00000000-0005-0000-0000-0000EE250000}"/>
    <cellStyle name="Обычный 54 3 3 5" xfId="10801" xr:uid="{00000000-0005-0000-0000-0000EF250000}"/>
    <cellStyle name="Обычный 54 3 3 6" xfId="10802" xr:uid="{00000000-0005-0000-0000-0000F0250000}"/>
    <cellStyle name="Обычный 54 3 4" xfId="10803" xr:uid="{00000000-0005-0000-0000-0000F1250000}"/>
    <cellStyle name="Обычный 54 3 4 2" xfId="10804" xr:uid="{00000000-0005-0000-0000-0000F2250000}"/>
    <cellStyle name="Обычный 54 3 4 2 2" xfId="10805" xr:uid="{00000000-0005-0000-0000-0000F3250000}"/>
    <cellStyle name="Обычный 54 3 4 2 3" xfId="10806" xr:uid="{00000000-0005-0000-0000-0000F4250000}"/>
    <cellStyle name="Обычный 54 3 4 3" xfId="10807" xr:uid="{00000000-0005-0000-0000-0000F5250000}"/>
    <cellStyle name="Обычный 54 3 4 4" xfId="10808" xr:uid="{00000000-0005-0000-0000-0000F6250000}"/>
    <cellStyle name="Обычный 54 3 5" xfId="10809" xr:uid="{00000000-0005-0000-0000-0000F7250000}"/>
    <cellStyle name="Обычный 54 3 5 2" xfId="10810" xr:uid="{00000000-0005-0000-0000-0000F8250000}"/>
    <cellStyle name="Обычный 54 3 5 3" xfId="10811" xr:uid="{00000000-0005-0000-0000-0000F9250000}"/>
    <cellStyle name="Обычный 54 3 6" xfId="10812" xr:uid="{00000000-0005-0000-0000-0000FA250000}"/>
    <cellStyle name="Обычный 54 3 6 2" xfId="10813" xr:uid="{00000000-0005-0000-0000-0000FB250000}"/>
    <cellStyle name="Обычный 54 3 7" xfId="10814" xr:uid="{00000000-0005-0000-0000-0000FC250000}"/>
    <cellStyle name="Обычный 54 3 8" xfId="10815" xr:uid="{00000000-0005-0000-0000-0000FD250000}"/>
    <cellStyle name="Обычный 54 4" xfId="10816" xr:uid="{00000000-0005-0000-0000-0000FE250000}"/>
    <cellStyle name="Обычный 54 4 2" xfId="10817" xr:uid="{00000000-0005-0000-0000-0000FF250000}"/>
    <cellStyle name="Обычный 54 4 2 2" xfId="10818" xr:uid="{00000000-0005-0000-0000-000000260000}"/>
    <cellStyle name="Обычный 54 4 2 2 2" xfId="10819" xr:uid="{00000000-0005-0000-0000-000001260000}"/>
    <cellStyle name="Обычный 54 4 2 2 2 2" xfId="10820" xr:uid="{00000000-0005-0000-0000-000002260000}"/>
    <cellStyle name="Обычный 54 4 2 2 2 3" xfId="10821" xr:uid="{00000000-0005-0000-0000-000003260000}"/>
    <cellStyle name="Обычный 54 4 2 2 3" xfId="10822" xr:uid="{00000000-0005-0000-0000-000004260000}"/>
    <cellStyle name="Обычный 54 4 2 2 4" xfId="10823" xr:uid="{00000000-0005-0000-0000-000005260000}"/>
    <cellStyle name="Обычный 54 4 2 3" xfId="10824" xr:uid="{00000000-0005-0000-0000-000006260000}"/>
    <cellStyle name="Обычный 54 4 2 3 2" xfId="10825" xr:uid="{00000000-0005-0000-0000-000007260000}"/>
    <cellStyle name="Обычный 54 4 2 3 3" xfId="10826" xr:uid="{00000000-0005-0000-0000-000008260000}"/>
    <cellStyle name="Обычный 54 4 2 4" xfId="10827" xr:uid="{00000000-0005-0000-0000-000009260000}"/>
    <cellStyle name="Обычный 54 4 2 4 2" xfId="10828" xr:uid="{00000000-0005-0000-0000-00000A260000}"/>
    <cellStyle name="Обычный 54 4 2 5" xfId="10829" xr:uid="{00000000-0005-0000-0000-00000B260000}"/>
    <cellStyle name="Обычный 54 4 2 6" xfId="10830" xr:uid="{00000000-0005-0000-0000-00000C260000}"/>
    <cellStyle name="Обычный 54 4 3" xfId="10831" xr:uid="{00000000-0005-0000-0000-00000D260000}"/>
    <cellStyle name="Обычный 54 4 3 2" xfId="10832" xr:uid="{00000000-0005-0000-0000-00000E260000}"/>
    <cellStyle name="Обычный 54 4 3 2 2" xfId="10833" xr:uid="{00000000-0005-0000-0000-00000F260000}"/>
    <cellStyle name="Обычный 54 4 3 2 3" xfId="10834" xr:uid="{00000000-0005-0000-0000-000010260000}"/>
    <cellStyle name="Обычный 54 4 3 3" xfId="10835" xr:uid="{00000000-0005-0000-0000-000011260000}"/>
    <cellStyle name="Обычный 54 4 3 4" xfId="10836" xr:uid="{00000000-0005-0000-0000-000012260000}"/>
    <cellStyle name="Обычный 54 4 4" xfId="10837" xr:uid="{00000000-0005-0000-0000-000013260000}"/>
    <cellStyle name="Обычный 54 4 4 2" xfId="10838" xr:uid="{00000000-0005-0000-0000-000014260000}"/>
    <cellStyle name="Обычный 54 4 4 3" xfId="10839" xr:uid="{00000000-0005-0000-0000-000015260000}"/>
    <cellStyle name="Обычный 54 4 5" xfId="10840" xr:uid="{00000000-0005-0000-0000-000016260000}"/>
    <cellStyle name="Обычный 54 4 5 2" xfId="10841" xr:uid="{00000000-0005-0000-0000-000017260000}"/>
    <cellStyle name="Обычный 54 4 6" xfId="10842" xr:uid="{00000000-0005-0000-0000-000018260000}"/>
    <cellStyle name="Обычный 54 4 7" xfId="10843" xr:uid="{00000000-0005-0000-0000-000019260000}"/>
    <cellStyle name="Обычный 54 5" xfId="10844" xr:uid="{00000000-0005-0000-0000-00001A260000}"/>
    <cellStyle name="Обычный 54 5 2" xfId="10845" xr:uid="{00000000-0005-0000-0000-00001B260000}"/>
    <cellStyle name="Обычный 54 5 2 2" xfId="10846" xr:uid="{00000000-0005-0000-0000-00001C260000}"/>
    <cellStyle name="Обычный 54 5 2 2 2" xfId="10847" xr:uid="{00000000-0005-0000-0000-00001D260000}"/>
    <cellStyle name="Обычный 54 5 2 2 3" xfId="10848" xr:uid="{00000000-0005-0000-0000-00001E260000}"/>
    <cellStyle name="Обычный 54 5 2 3" xfId="10849" xr:uid="{00000000-0005-0000-0000-00001F260000}"/>
    <cellStyle name="Обычный 54 5 2 4" xfId="10850" xr:uid="{00000000-0005-0000-0000-000020260000}"/>
    <cellStyle name="Обычный 54 5 3" xfId="10851" xr:uid="{00000000-0005-0000-0000-000021260000}"/>
    <cellStyle name="Обычный 54 5 3 2" xfId="10852" xr:uid="{00000000-0005-0000-0000-000022260000}"/>
    <cellStyle name="Обычный 54 5 3 3" xfId="10853" xr:uid="{00000000-0005-0000-0000-000023260000}"/>
    <cellStyle name="Обычный 54 5 4" xfId="10854" xr:uid="{00000000-0005-0000-0000-000024260000}"/>
    <cellStyle name="Обычный 54 5 4 2" xfId="10855" xr:uid="{00000000-0005-0000-0000-000025260000}"/>
    <cellStyle name="Обычный 54 5 5" xfId="10856" xr:uid="{00000000-0005-0000-0000-000026260000}"/>
    <cellStyle name="Обычный 54 5 6" xfId="10857" xr:uid="{00000000-0005-0000-0000-000027260000}"/>
    <cellStyle name="Обычный 54 6" xfId="10858" xr:uid="{00000000-0005-0000-0000-000028260000}"/>
    <cellStyle name="Обычный 54 6 2" xfId="10859" xr:uid="{00000000-0005-0000-0000-000029260000}"/>
    <cellStyle name="Обычный 54 6 2 2" xfId="10860" xr:uid="{00000000-0005-0000-0000-00002A260000}"/>
    <cellStyle name="Обычный 54 6 2 3" xfId="10861" xr:uid="{00000000-0005-0000-0000-00002B260000}"/>
    <cellStyle name="Обычный 54 6 3" xfId="10862" xr:uid="{00000000-0005-0000-0000-00002C260000}"/>
    <cellStyle name="Обычный 54 6 4" xfId="10863" xr:uid="{00000000-0005-0000-0000-00002D260000}"/>
    <cellStyle name="Обычный 54 7" xfId="10864" xr:uid="{00000000-0005-0000-0000-00002E260000}"/>
    <cellStyle name="Обычный 54 7 2" xfId="10865" xr:uid="{00000000-0005-0000-0000-00002F260000}"/>
    <cellStyle name="Обычный 54 7 3" xfId="10866" xr:uid="{00000000-0005-0000-0000-000030260000}"/>
    <cellStyle name="Обычный 54 8" xfId="10867" xr:uid="{00000000-0005-0000-0000-000031260000}"/>
    <cellStyle name="Обычный 54 8 2" xfId="10868" xr:uid="{00000000-0005-0000-0000-000032260000}"/>
    <cellStyle name="Обычный 54 9" xfId="10869" xr:uid="{00000000-0005-0000-0000-000033260000}"/>
    <cellStyle name="Обычный 54_Свод гостин" xfId="3873" xr:uid="{00000000-0005-0000-0000-000034260000}"/>
    <cellStyle name="Обычный 55" xfId="3874" xr:uid="{00000000-0005-0000-0000-000035260000}"/>
    <cellStyle name="Обычный 55 10" xfId="10870" xr:uid="{00000000-0005-0000-0000-000036260000}"/>
    <cellStyle name="Обычный 55 2" xfId="3875" xr:uid="{00000000-0005-0000-0000-000037260000}"/>
    <cellStyle name="Обычный 55 2 2" xfId="10871" xr:uid="{00000000-0005-0000-0000-000038260000}"/>
    <cellStyle name="Обычный 55 2 2 2" xfId="10872" xr:uid="{00000000-0005-0000-0000-000039260000}"/>
    <cellStyle name="Обычный 55 2 2 2 2" xfId="10873" xr:uid="{00000000-0005-0000-0000-00003A260000}"/>
    <cellStyle name="Обычный 55 2 2 2 2 2" xfId="10874" xr:uid="{00000000-0005-0000-0000-00003B260000}"/>
    <cellStyle name="Обычный 55 2 2 2 2 2 2" xfId="10875" xr:uid="{00000000-0005-0000-0000-00003C260000}"/>
    <cellStyle name="Обычный 55 2 2 2 2 2 2 2" xfId="10876" xr:uid="{00000000-0005-0000-0000-00003D260000}"/>
    <cellStyle name="Обычный 55 2 2 2 2 2 2 3" xfId="10877" xr:uid="{00000000-0005-0000-0000-00003E260000}"/>
    <cellStyle name="Обычный 55 2 2 2 2 2 3" xfId="10878" xr:uid="{00000000-0005-0000-0000-00003F260000}"/>
    <cellStyle name="Обычный 55 2 2 2 2 2 4" xfId="10879" xr:uid="{00000000-0005-0000-0000-000040260000}"/>
    <cellStyle name="Обычный 55 2 2 2 2 3" xfId="10880" xr:uid="{00000000-0005-0000-0000-000041260000}"/>
    <cellStyle name="Обычный 55 2 2 2 2 3 2" xfId="10881" xr:uid="{00000000-0005-0000-0000-000042260000}"/>
    <cellStyle name="Обычный 55 2 2 2 2 3 3" xfId="10882" xr:uid="{00000000-0005-0000-0000-000043260000}"/>
    <cellStyle name="Обычный 55 2 2 2 2 4" xfId="10883" xr:uid="{00000000-0005-0000-0000-000044260000}"/>
    <cellStyle name="Обычный 55 2 2 2 2 4 2" xfId="10884" xr:uid="{00000000-0005-0000-0000-000045260000}"/>
    <cellStyle name="Обычный 55 2 2 2 2 5" xfId="10885" xr:uid="{00000000-0005-0000-0000-000046260000}"/>
    <cellStyle name="Обычный 55 2 2 2 2 6" xfId="10886" xr:uid="{00000000-0005-0000-0000-000047260000}"/>
    <cellStyle name="Обычный 55 2 2 2 3" xfId="10887" xr:uid="{00000000-0005-0000-0000-000048260000}"/>
    <cellStyle name="Обычный 55 2 2 2 3 2" xfId="10888" xr:uid="{00000000-0005-0000-0000-000049260000}"/>
    <cellStyle name="Обычный 55 2 2 2 3 2 2" xfId="10889" xr:uid="{00000000-0005-0000-0000-00004A260000}"/>
    <cellStyle name="Обычный 55 2 2 2 3 2 3" xfId="10890" xr:uid="{00000000-0005-0000-0000-00004B260000}"/>
    <cellStyle name="Обычный 55 2 2 2 3 3" xfId="10891" xr:uid="{00000000-0005-0000-0000-00004C260000}"/>
    <cellStyle name="Обычный 55 2 2 2 3 4" xfId="10892" xr:uid="{00000000-0005-0000-0000-00004D260000}"/>
    <cellStyle name="Обычный 55 2 2 2 4" xfId="10893" xr:uid="{00000000-0005-0000-0000-00004E260000}"/>
    <cellStyle name="Обычный 55 2 2 2 4 2" xfId="10894" xr:uid="{00000000-0005-0000-0000-00004F260000}"/>
    <cellStyle name="Обычный 55 2 2 2 4 3" xfId="10895" xr:uid="{00000000-0005-0000-0000-000050260000}"/>
    <cellStyle name="Обычный 55 2 2 2 5" xfId="10896" xr:uid="{00000000-0005-0000-0000-000051260000}"/>
    <cellStyle name="Обычный 55 2 2 2 5 2" xfId="10897" xr:uid="{00000000-0005-0000-0000-000052260000}"/>
    <cellStyle name="Обычный 55 2 2 2 6" xfId="10898" xr:uid="{00000000-0005-0000-0000-000053260000}"/>
    <cellStyle name="Обычный 55 2 2 2 7" xfId="10899" xr:uid="{00000000-0005-0000-0000-000054260000}"/>
    <cellStyle name="Обычный 55 2 2 3" xfId="10900" xr:uid="{00000000-0005-0000-0000-000055260000}"/>
    <cellStyle name="Обычный 55 2 2 3 2" xfId="10901" xr:uid="{00000000-0005-0000-0000-000056260000}"/>
    <cellStyle name="Обычный 55 2 2 3 2 2" xfId="10902" xr:uid="{00000000-0005-0000-0000-000057260000}"/>
    <cellStyle name="Обычный 55 2 2 3 2 2 2" xfId="10903" xr:uid="{00000000-0005-0000-0000-000058260000}"/>
    <cellStyle name="Обычный 55 2 2 3 2 2 3" xfId="10904" xr:uid="{00000000-0005-0000-0000-000059260000}"/>
    <cellStyle name="Обычный 55 2 2 3 2 3" xfId="10905" xr:uid="{00000000-0005-0000-0000-00005A260000}"/>
    <cellStyle name="Обычный 55 2 2 3 2 4" xfId="10906" xr:uid="{00000000-0005-0000-0000-00005B260000}"/>
    <cellStyle name="Обычный 55 2 2 3 3" xfId="10907" xr:uid="{00000000-0005-0000-0000-00005C260000}"/>
    <cellStyle name="Обычный 55 2 2 3 3 2" xfId="10908" xr:uid="{00000000-0005-0000-0000-00005D260000}"/>
    <cellStyle name="Обычный 55 2 2 3 3 3" xfId="10909" xr:uid="{00000000-0005-0000-0000-00005E260000}"/>
    <cellStyle name="Обычный 55 2 2 3 4" xfId="10910" xr:uid="{00000000-0005-0000-0000-00005F260000}"/>
    <cellStyle name="Обычный 55 2 2 3 4 2" xfId="10911" xr:uid="{00000000-0005-0000-0000-000060260000}"/>
    <cellStyle name="Обычный 55 2 2 3 5" xfId="10912" xr:uid="{00000000-0005-0000-0000-000061260000}"/>
    <cellStyle name="Обычный 55 2 2 3 6" xfId="10913" xr:uid="{00000000-0005-0000-0000-000062260000}"/>
    <cellStyle name="Обычный 55 2 2 4" xfId="10914" xr:uid="{00000000-0005-0000-0000-000063260000}"/>
    <cellStyle name="Обычный 55 2 2 4 2" xfId="10915" xr:uid="{00000000-0005-0000-0000-000064260000}"/>
    <cellStyle name="Обычный 55 2 2 4 2 2" xfId="10916" xr:uid="{00000000-0005-0000-0000-000065260000}"/>
    <cellStyle name="Обычный 55 2 2 4 2 3" xfId="10917" xr:uid="{00000000-0005-0000-0000-000066260000}"/>
    <cellStyle name="Обычный 55 2 2 4 3" xfId="10918" xr:uid="{00000000-0005-0000-0000-000067260000}"/>
    <cellStyle name="Обычный 55 2 2 4 4" xfId="10919" xr:uid="{00000000-0005-0000-0000-000068260000}"/>
    <cellStyle name="Обычный 55 2 2 5" xfId="10920" xr:uid="{00000000-0005-0000-0000-000069260000}"/>
    <cellStyle name="Обычный 55 2 2 5 2" xfId="10921" xr:uid="{00000000-0005-0000-0000-00006A260000}"/>
    <cellStyle name="Обычный 55 2 2 5 3" xfId="10922" xr:uid="{00000000-0005-0000-0000-00006B260000}"/>
    <cellStyle name="Обычный 55 2 2 6" xfId="10923" xr:uid="{00000000-0005-0000-0000-00006C260000}"/>
    <cellStyle name="Обычный 55 2 2 6 2" xfId="10924" xr:uid="{00000000-0005-0000-0000-00006D260000}"/>
    <cellStyle name="Обычный 55 2 2 7" xfId="10925" xr:uid="{00000000-0005-0000-0000-00006E260000}"/>
    <cellStyle name="Обычный 55 2 2 8" xfId="10926" xr:uid="{00000000-0005-0000-0000-00006F260000}"/>
    <cellStyle name="Обычный 55 2 3" xfId="10927" xr:uid="{00000000-0005-0000-0000-000070260000}"/>
    <cellStyle name="Обычный 55 2 3 2" xfId="10928" xr:uid="{00000000-0005-0000-0000-000071260000}"/>
    <cellStyle name="Обычный 55 2 3 2 2" xfId="10929" xr:uid="{00000000-0005-0000-0000-000072260000}"/>
    <cellStyle name="Обычный 55 2 3 2 2 2" xfId="10930" xr:uid="{00000000-0005-0000-0000-000073260000}"/>
    <cellStyle name="Обычный 55 2 3 2 2 2 2" xfId="10931" xr:uid="{00000000-0005-0000-0000-000074260000}"/>
    <cellStyle name="Обычный 55 2 3 2 2 2 3" xfId="10932" xr:uid="{00000000-0005-0000-0000-000075260000}"/>
    <cellStyle name="Обычный 55 2 3 2 2 3" xfId="10933" xr:uid="{00000000-0005-0000-0000-000076260000}"/>
    <cellStyle name="Обычный 55 2 3 2 2 4" xfId="10934" xr:uid="{00000000-0005-0000-0000-000077260000}"/>
    <cellStyle name="Обычный 55 2 3 2 3" xfId="10935" xr:uid="{00000000-0005-0000-0000-000078260000}"/>
    <cellStyle name="Обычный 55 2 3 2 3 2" xfId="10936" xr:uid="{00000000-0005-0000-0000-000079260000}"/>
    <cellStyle name="Обычный 55 2 3 2 3 3" xfId="10937" xr:uid="{00000000-0005-0000-0000-00007A260000}"/>
    <cellStyle name="Обычный 55 2 3 2 4" xfId="10938" xr:uid="{00000000-0005-0000-0000-00007B260000}"/>
    <cellStyle name="Обычный 55 2 3 2 4 2" xfId="10939" xr:uid="{00000000-0005-0000-0000-00007C260000}"/>
    <cellStyle name="Обычный 55 2 3 2 5" xfId="10940" xr:uid="{00000000-0005-0000-0000-00007D260000}"/>
    <cellStyle name="Обычный 55 2 3 2 6" xfId="10941" xr:uid="{00000000-0005-0000-0000-00007E260000}"/>
    <cellStyle name="Обычный 55 2 3 3" xfId="10942" xr:uid="{00000000-0005-0000-0000-00007F260000}"/>
    <cellStyle name="Обычный 55 2 3 3 2" xfId="10943" xr:uid="{00000000-0005-0000-0000-000080260000}"/>
    <cellStyle name="Обычный 55 2 3 3 2 2" xfId="10944" xr:uid="{00000000-0005-0000-0000-000081260000}"/>
    <cellStyle name="Обычный 55 2 3 3 2 3" xfId="10945" xr:uid="{00000000-0005-0000-0000-000082260000}"/>
    <cellStyle name="Обычный 55 2 3 3 3" xfId="10946" xr:uid="{00000000-0005-0000-0000-000083260000}"/>
    <cellStyle name="Обычный 55 2 3 3 4" xfId="10947" xr:uid="{00000000-0005-0000-0000-000084260000}"/>
    <cellStyle name="Обычный 55 2 3 4" xfId="10948" xr:uid="{00000000-0005-0000-0000-000085260000}"/>
    <cellStyle name="Обычный 55 2 3 4 2" xfId="10949" xr:uid="{00000000-0005-0000-0000-000086260000}"/>
    <cellStyle name="Обычный 55 2 3 4 3" xfId="10950" xr:uid="{00000000-0005-0000-0000-000087260000}"/>
    <cellStyle name="Обычный 55 2 3 5" xfId="10951" xr:uid="{00000000-0005-0000-0000-000088260000}"/>
    <cellStyle name="Обычный 55 2 3 5 2" xfId="10952" xr:uid="{00000000-0005-0000-0000-000089260000}"/>
    <cellStyle name="Обычный 55 2 3 6" xfId="10953" xr:uid="{00000000-0005-0000-0000-00008A260000}"/>
    <cellStyle name="Обычный 55 2 3 7" xfId="10954" xr:uid="{00000000-0005-0000-0000-00008B260000}"/>
    <cellStyle name="Обычный 55 2 4" xfId="10955" xr:uid="{00000000-0005-0000-0000-00008C260000}"/>
    <cellStyle name="Обычный 55 2 4 2" xfId="10956" xr:uid="{00000000-0005-0000-0000-00008D260000}"/>
    <cellStyle name="Обычный 55 2 4 2 2" xfId="10957" xr:uid="{00000000-0005-0000-0000-00008E260000}"/>
    <cellStyle name="Обычный 55 2 4 2 2 2" xfId="10958" xr:uid="{00000000-0005-0000-0000-00008F260000}"/>
    <cellStyle name="Обычный 55 2 4 2 2 3" xfId="10959" xr:uid="{00000000-0005-0000-0000-000090260000}"/>
    <cellStyle name="Обычный 55 2 4 2 3" xfId="10960" xr:uid="{00000000-0005-0000-0000-000091260000}"/>
    <cellStyle name="Обычный 55 2 4 2 4" xfId="10961" xr:uid="{00000000-0005-0000-0000-000092260000}"/>
    <cellStyle name="Обычный 55 2 4 3" xfId="10962" xr:uid="{00000000-0005-0000-0000-000093260000}"/>
    <cellStyle name="Обычный 55 2 4 3 2" xfId="10963" xr:uid="{00000000-0005-0000-0000-000094260000}"/>
    <cellStyle name="Обычный 55 2 4 3 3" xfId="10964" xr:uid="{00000000-0005-0000-0000-000095260000}"/>
    <cellStyle name="Обычный 55 2 4 4" xfId="10965" xr:uid="{00000000-0005-0000-0000-000096260000}"/>
    <cellStyle name="Обычный 55 2 4 4 2" xfId="10966" xr:uid="{00000000-0005-0000-0000-000097260000}"/>
    <cellStyle name="Обычный 55 2 4 5" xfId="10967" xr:uid="{00000000-0005-0000-0000-000098260000}"/>
    <cellStyle name="Обычный 55 2 4 6" xfId="10968" xr:uid="{00000000-0005-0000-0000-000099260000}"/>
    <cellStyle name="Обычный 55 2 5" xfId="10969" xr:uid="{00000000-0005-0000-0000-00009A260000}"/>
    <cellStyle name="Обычный 55 2 5 2" xfId="10970" xr:uid="{00000000-0005-0000-0000-00009B260000}"/>
    <cellStyle name="Обычный 55 2 5 2 2" xfId="10971" xr:uid="{00000000-0005-0000-0000-00009C260000}"/>
    <cellStyle name="Обычный 55 2 5 2 3" xfId="10972" xr:uid="{00000000-0005-0000-0000-00009D260000}"/>
    <cellStyle name="Обычный 55 2 5 3" xfId="10973" xr:uid="{00000000-0005-0000-0000-00009E260000}"/>
    <cellStyle name="Обычный 55 2 5 4" xfId="10974" xr:uid="{00000000-0005-0000-0000-00009F260000}"/>
    <cellStyle name="Обычный 55 2 6" xfId="10975" xr:uid="{00000000-0005-0000-0000-0000A0260000}"/>
    <cellStyle name="Обычный 55 2 6 2" xfId="10976" xr:uid="{00000000-0005-0000-0000-0000A1260000}"/>
    <cellStyle name="Обычный 55 2 6 3" xfId="10977" xr:uid="{00000000-0005-0000-0000-0000A2260000}"/>
    <cellStyle name="Обычный 55 2 7" xfId="10978" xr:uid="{00000000-0005-0000-0000-0000A3260000}"/>
    <cellStyle name="Обычный 55 2 7 2" xfId="10979" xr:uid="{00000000-0005-0000-0000-0000A4260000}"/>
    <cellStyle name="Обычный 55 2 8" xfId="10980" xr:uid="{00000000-0005-0000-0000-0000A5260000}"/>
    <cellStyle name="Обычный 55 2 9" xfId="10981" xr:uid="{00000000-0005-0000-0000-0000A6260000}"/>
    <cellStyle name="Обычный 55 3" xfId="10982" xr:uid="{00000000-0005-0000-0000-0000A7260000}"/>
    <cellStyle name="Обычный 55 3 2" xfId="10983" xr:uid="{00000000-0005-0000-0000-0000A8260000}"/>
    <cellStyle name="Обычный 55 3 2 2" xfId="10984" xr:uid="{00000000-0005-0000-0000-0000A9260000}"/>
    <cellStyle name="Обычный 55 3 2 2 2" xfId="10985" xr:uid="{00000000-0005-0000-0000-0000AA260000}"/>
    <cellStyle name="Обычный 55 3 2 2 2 2" xfId="10986" xr:uid="{00000000-0005-0000-0000-0000AB260000}"/>
    <cellStyle name="Обычный 55 3 2 2 2 2 2" xfId="10987" xr:uid="{00000000-0005-0000-0000-0000AC260000}"/>
    <cellStyle name="Обычный 55 3 2 2 2 2 3" xfId="10988" xr:uid="{00000000-0005-0000-0000-0000AD260000}"/>
    <cellStyle name="Обычный 55 3 2 2 2 3" xfId="10989" xr:uid="{00000000-0005-0000-0000-0000AE260000}"/>
    <cellStyle name="Обычный 55 3 2 2 2 4" xfId="10990" xr:uid="{00000000-0005-0000-0000-0000AF260000}"/>
    <cellStyle name="Обычный 55 3 2 2 3" xfId="10991" xr:uid="{00000000-0005-0000-0000-0000B0260000}"/>
    <cellStyle name="Обычный 55 3 2 2 3 2" xfId="10992" xr:uid="{00000000-0005-0000-0000-0000B1260000}"/>
    <cellStyle name="Обычный 55 3 2 2 3 3" xfId="10993" xr:uid="{00000000-0005-0000-0000-0000B2260000}"/>
    <cellStyle name="Обычный 55 3 2 2 4" xfId="10994" xr:uid="{00000000-0005-0000-0000-0000B3260000}"/>
    <cellStyle name="Обычный 55 3 2 2 4 2" xfId="10995" xr:uid="{00000000-0005-0000-0000-0000B4260000}"/>
    <cellStyle name="Обычный 55 3 2 2 5" xfId="10996" xr:uid="{00000000-0005-0000-0000-0000B5260000}"/>
    <cellStyle name="Обычный 55 3 2 2 6" xfId="10997" xr:uid="{00000000-0005-0000-0000-0000B6260000}"/>
    <cellStyle name="Обычный 55 3 2 3" xfId="10998" xr:uid="{00000000-0005-0000-0000-0000B7260000}"/>
    <cellStyle name="Обычный 55 3 2 3 2" xfId="10999" xr:uid="{00000000-0005-0000-0000-0000B8260000}"/>
    <cellStyle name="Обычный 55 3 2 3 2 2" xfId="11000" xr:uid="{00000000-0005-0000-0000-0000B9260000}"/>
    <cellStyle name="Обычный 55 3 2 3 2 3" xfId="11001" xr:uid="{00000000-0005-0000-0000-0000BA260000}"/>
    <cellStyle name="Обычный 55 3 2 3 3" xfId="11002" xr:uid="{00000000-0005-0000-0000-0000BB260000}"/>
    <cellStyle name="Обычный 55 3 2 3 4" xfId="11003" xr:uid="{00000000-0005-0000-0000-0000BC260000}"/>
    <cellStyle name="Обычный 55 3 2 4" xfId="11004" xr:uid="{00000000-0005-0000-0000-0000BD260000}"/>
    <cellStyle name="Обычный 55 3 2 4 2" xfId="11005" xr:uid="{00000000-0005-0000-0000-0000BE260000}"/>
    <cellStyle name="Обычный 55 3 2 4 3" xfId="11006" xr:uid="{00000000-0005-0000-0000-0000BF260000}"/>
    <cellStyle name="Обычный 55 3 2 5" xfId="11007" xr:uid="{00000000-0005-0000-0000-0000C0260000}"/>
    <cellStyle name="Обычный 55 3 2 5 2" xfId="11008" xr:uid="{00000000-0005-0000-0000-0000C1260000}"/>
    <cellStyle name="Обычный 55 3 2 6" xfId="11009" xr:uid="{00000000-0005-0000-0000-0000C2260000}"/>
    <cellStyle name="Обычный 55 3 2 7" xfId="11010" xr:uid="{00000000-0005-0000-0000-0000C3260000}"/>
    <cellStyle name="Обычный 55 3 3" xfId="11011" xr:uid="{00000000-0005-0000-0000-0000C4260000}"/>
    <cellStyle name="Обычный 55 3 3 2" xfId="11012" xr:uid="{00000000-0005-0000-0000-0000C5260000}"/>
    <cellStyle name="Обычный 55 3 3 2 2" xfId="11013" xr:uid="{00000000-0005-0000-0000-0000C6260000}"/>
    <cellStyle name="Обычный 55 3 3 2 2 2" xfId="11014" xr:uid="{00000000-0005-0000-0000-0000C7260000}"/>
    <cellStyle name="Обычный 55 3 3 2 2 3" xfId="11015" xr:uid="{00000000-0005-0000-0000-0000C8260000}"/>
    <cellStyle name="Обычный 55 3 3 2 3" xfId="11016" xr:uid="{00000000-0005-0000-0000-0000C9260000}"/>
    <cellStyle name="Обычный 55 3 3 2 4" xfId="11017" xr:uid="{00000000-0005-0000-0000-0000CA260000}"/>
    <cellStyle name="Обычный 55 3 3 3" xfId="11018" xr:uid="{00000000-0005-0000-0000-0000CB260000}"/>
    <cellStyle name="Обычный 55 3 3 3 2" xfId="11019" xr:uid="{00000000-0005-0000-0000-0000CC260000}"/>
    <cellStyle name="Обычный 55 3 3 3 3" xfId="11020" xr:uid="{00000000-0005-0000-0000-0000CD260000}"/>
    <cellStyle name="Обычный 55 3 3 4" xfId="11021" xr:uid="{00000000-0005-0000-0000-0000CE260000}"/>
    <cellStyle name="Обычный 55 3 3 4 2" xfId="11022" xr:uid="{00000000-0005-0000-0000-0000CF260000}"/>
    <cellStyle name="Обычный 55 3 3 5" xfId="11023" xr:uid="{00000000-0005-0000-0000-0000D0260000}"/>
    <cellStyle name="Обычный 55 3 3 6" xfId="11024" xr:uid="{00000000-0005-0000-0000-0000D1260000}"/>
    <cellStyle name="Обычный 55 3 4" xfId="11025" xr:uid="{00000000-0005-0000-0000-0000D2260000}"/>
    <cellStyle name="Обычный 55 3 4 2" xfId="11026" xr:uid="{00000000-0005-0000-0000-0000D3260000}"/>
    <cellStyle name="Обычный 55 3 4 2 2" xfId="11027" xr:uid="{00000000-0005-0000-0000-0000D4260000}"/>
    <cellStyle name="Обычный 55 3 4 2 3" xfId="11028" xr:uid="{00000000-0005-0000-0000-0000D5260000}"/>
    <cellStyle name="Обычный 55 3 4 3" xfId="11029" xr:uid="{00000000-0005-0000-0000-0000D6260000}"/>
    <cellStyle name="Обычный 55 3 4 4" xfId="11030" xr:uid="{00000000-0005-0000-0000-0000D7260000}"/>
    <cellStyle name="Обычный 55 3 5" xfId="11031" xr:uid="{00000000-0005-0000-0000-0000D8260000}"/>
    <cellStyle name="Обычный 55 3 5 2" xfId="11032" xr:uid="{00000000-0005-0000-0000-0000D9260000}"/>
    <cellStyle name="Обычный 55 3 5 3" xfId="11033" xr:uid="{00000000-0005-0000-0000-0000DA260000}"/>
    <cellStyle name="Обычный 55 3 6" xfId="11034" xr:uid="{00000000-0005-0000-0000-0000DB260000}"/>
    <cellStyle name="Обычный 55 3 6 2" xfId="11035" xr:uid="{00000000-0005-0000-0000-0000DC260000}"/>
    <cellStyle name="Обычный 55 3 7" xfId="11036" xr:uid="{00000000-0005-0000-0000-0000DD260000}"/>
    <cellStyle name="Обычный 55 3 8" xfId="11037" xr:uid="{00000000-0005-0000-0000-0000DE260000}"/>
    <cellStyle name="Обычный 55 4" xfId="11038" xr:uid="{00000000-0005-0000-0000-0000DF260000}"/>
    <cellStyle name="Обычный 55 4 2" xfId="11039" xr:uid="{00000000-0005-0000-0000-0000E0260000}"/>
    <cellStyle name="Обычный 55 4 2 2" xfId="11040" xr:uid="{00000000-0005-0000-0000-0000E1260000}"/>
    <cellStyle name="Обычный 55 4 2 2 2" xfId="11041" xr:uid="{00000000-0005-0000-0000-0000E2260000}"/>
    <cellStyle name="Обычный 55 4 2 2 2 2" xfId="11042" xr:uid="{00000000-0005-0000-0000-0000E3260000}"/>
    <cellStyle name="Обычный 55 4 2 2 2 3" xfId="11043" xr:uid="{00000000-0005-0000-0000-0000E4260000}"/>
    <cellStyle name="Обычный 55 4 2 2 3" xfId="11044" xr:uid="{00000000-0005-0000-0000-0000E5260000}"/>
    <cellStyle name="Обычный 55 4 2 2 4" xfId="11045" xr:uid="{00000000-0005-0000-0000-0000E6260000}"/>
    <cellStyle name="Обычный 55 4 2 3" xfId="11046" xr:uid="{00000000-0005-0000-0000-0000E7260000}"/>
    <cellStyle name="Обычный 55 4 2 3 2" xfId="11047" xr:uid="{00000000-0005-0000-0000-0000E8260000}"/>
    <cellStyle name="Обычный 55 4 2 3 3" xfId="11048" xr:uid="{00000000-0005-0000-0000-0000E9260000}"/>
    <cellStyle name="Обычный 55 4 2 4" xfId="11049" xr:uid="{00000000-0005-0000-0000-0000EA260000}"/>
    <cellStyle name="Обычный 55 4 2 4 2" xfId="11050" xr:uid="{00000000-0005-0000-0000-0000EB260000}"/>
    <cellStyle name="Обычный 55 4 2 5" xfId="11051" xr:uid="{00000000-0005-0000-0000-0000EC260000}"/>
    <cellStyle name="Обычный 55 4 2 6" xfId="11052" xr:uid="{00000000-0005-0000-0000-0000ED260000}"/>
    <cellStyle name="Обычный 55 4 3" xfId="11053" xr:uid="{00000000-0005-0000-0000-0000EE260000}"/>
    <cellStyle name="Обычный 55 4 3 2" xfId="11054" xr:uid="{00000000-0005-0000-0000-0000EF260000}"/>
    <cellStyle name="Обычный 55 4 3 2 2" xfId="11055" xr:uid="{00000000-0005-0000-0000-0000F0260000}"/>
    <cellStyle name="Обычный 55 4 3 2 3" xfId="11056" xr:uid="{00000000-0005-0000-0000-0000F1260000}"/>
    <cellStyle name="Обычный 55 4 3 3" xfId="11057" xr:uid="{00000000-0005-0000-0000-0000F2260000}"/>
    <cellStyle name="Обычный 55 4 3 4" xfId="11058" xr:uid="{00000000-0005-0000-0000-0000F3260000}"/>
    <cellStyle name="Обычный 55 4 4" xfId="11059" xr:uid="{00000000-0005-0000-0000-0000F4260000}"/>
    <cellStyle name="Обычный 55 4 4 2" xfId="11060" xr:uid="{00000000-0005-0000-0000-0000F5260000}"/>
    <cellStyle name="Обычный 55 4 4 3" xfId="11061" xr:uid="{00000000-0005-0000-0000-0000F6260000}"/>
    <cellStyle name="Обычный 55 4 5" xfId="11062" xr:uid="{00000000-0005-0000-0000-0000F7260000}"/>
    <cellStyle name="Обычный 55 4 5 2" xfId="11063" xr:uid="{00000000-0005-0000-0000-0000F8260000}"/>
    <cellStyle name="Обычный 55 4 6" xfId="11064" xr:uid="{00000000-0005-0000-0000-0000F9260000}"/>
    <cellStyle name="Обычный 55 4 7" xfId="11065" xr:uid="{00000000-0005-0000-0000-0000FA260000}"/>
    <cellStyle name="Обычный 55 5" xfId="11066" xr:uid="{00000000-0005-0000-0000-0000FB260000}"/>
    <cellStyle name="Обычный 55 5 2" xfId="11067" xr:uid="{00000000-0005-0000-0000-0000FC260000}"/>
    <cellStyle name="Обычный 55 5 2 2" xfId="11068" xr:uid="{00000000-0005-0000-0000-0000FD260000}"/>
    <cellStyle name="Обычный 55 5 2 2 2" xfId="11069" xr:uid="{00000000-0005-0000-0000-0000FE260000}"/>
    <cellStyle name="Обычный 55 5 2 2 3" xfId="11070" xr:uid="{00000000-0005-0000-0000-0000FF260000}"/>
    <cellStyle name="Обычный 55 5 2 3" xfId="11071" xr:uid="{00000000-0005-0000-0000-000000270000}"/>
    <cellStyle name="Обычный 55 5 2 4" xfId="11072" xr:uid="{00000000-0005-0000-0000-000001270000}"/>
    <cellStyle name="Обычный 55 5 3" xfId="11073" xr:uid="{00000000-0005-0000-0000-000002270000}"/>
    <cellStyle name="Обычный 55 5 3 2" xfId="11074" xr:uid="{00000000-0005-0000-0000-000003270000}"/>
    <cellStyle name="Обычный 55 5 3 3" xfId="11075" xr:uid="{00000000-0005-0000-0000-000004270000}"/>
    <cellStyle name="Обычный 55 5 4" xfId="11076" xr:uid="{00000000-0005-0000-0000-000005270000}"/>
    <cellStyle name="Обычный 55 5 4 2" xfId="11077" xr:uid="{00000000-0005-0000-0000-000006270000}"/>
    <cellStyle name="Обычный 55 5 5" xfId="11078" xr:uid="{00000000-0005-0000-0000-000007270000}"/>
    <cellStyle name="Обычный 55 5 6" xfId="11079" xr:uid="{00000000-0005-0000-0000-000008270000}"/>
    <cellStyle name="Обычный 55 6" xfId="11080" xr:uid="{00000000-0005-0000-0000-000009270000}"/>
    <cellStyle name="Обычный 55 6 2" xfId="11081" xr:uid="{00000000-0005-0000-0000-00000A270000}"/>
    <cellStyle name="Обычный 55 6 2 2" xfId="11082" xr:uid="{00000000-0005-0000-0000-00000B270000}"/>
    <cellStyle name="Обычный 55 6 2 3" xfId="11083" xr:uid="{00000000-0005-0000-0000-00000C270000}"/>
    <cellStyle name="Обычный 55 6 3" xfId="11084" xr:uid="{00000000-0005-0000-0000-00000D270000}"/>
    <cellStyle name="Обычный 55 6 4" xfId="11085" xr:uid="{00000000-0005-0000-0000-00000E270000}"/>
    <cellStyle name="Обычный 55 7" xfId="11086" xr:uid="{00000000-0005-0000-0000-00000F270000}"/>
    <cellStyle name="Обычный 55 7 2" xfId="11087" xr:uid="{00000000-0005-0000-0000-000010270000}"/>
    <cellStyle name="Обычный 55 7 3" xfId="11088" xr:uid="{00000000-0005-0000-0000-000011270000}"/>
    <cellStyle name="Обычный 55 8" xfId="11089" xr:uid="{00000000-0005-0000-0000-000012270000}"/>
    <cellStyle name="Обычный 55 8 2" xfId="11090" xr:uid="{00000000-0005-0000-0000-000013270000}"/>
    <cellStyle name="Обычный 55 9" xfId="11091" xr:uid="{00000000-0005-0000-0000-000014270000}"/>
    <cellStyle name="Обычный 55_Свод гостин" xfId="3876" xr:uid="{00000000-0005-0000-0000-000015270000}"/>
    <cellStyle name="Обычный 56" xfId="3877" xr:uid="{00000000-0005-0000-0000-000016270000}"/>
    <cellStyle name="Обычный 56 10" xfId="11092" xr:uid="{00000000-0005-0000-0000-000017270000}"/>
    <cellStyle name="Обычный 56 2" xfId="3878" xr:uid="{00000000-0005-0000-0000-000018270000}"/>
    <cellStyle name="Обычный 56 2 2" xfId="11093" xr:uid="{00000000-0005-0000-0000-000019270000}"/>
    <cellStyle name="Обычный 56 2 2 2" xfId="11094" xr:uid="{00000000-0005-0000-0000-00001A270000}"/>
    <cellStyle name="Обычный 56 2 2 2 2" xfId="11095" xr:uid="{00000000-0005-0000-0000-00001B270000}"/>
    <cellStyle name="Обычный 56 2 2 2 2 2" xfId="11096" xr:uid="{00000000-0005-0000-0000-00001C270000}"/>
    <cellStyle name="Обычный 56 2 2 2 2 2 2" xfId="11097" xr:uid="{00000000-0005-0000-0000-00001D270000}"/>
    <cellStyle name="Обычный 56 2 2 2 2 2 2 2" xfId="11098" xr:uid="{00000000-0005-0000-0000-00001E270000}"/>
    <cellStyle name="Обычный 56 2 2 2 2 2 2 3" xfId="11099" xr:uid="{00000000-0005-0000-0000-00001F270000}"/>
    <cellStyle name="Обычный 56 2 2 2 2 2 3" xfId="11100" xr:uid="{00000000-0005-0000-0000-000020270000}"/>
    <cellStyle name="Обычный 56 2 2 2 2 2 4" xfId="11101" xr:uid="{00000000-0005-0000-0000-000021270000}"/>
    <cellStyle name="Обычный 56 2 2 2 2 3" xfId="11102" xr:uid="{00000000-0005-0000-0000-000022270000}"/>
    <cellStyle name="Обычный 56 2 2 2 2 3 2" xfId="11103" xr:uid="{00000000-0005-0000-0000-000023270000}"/>
    <cellStyle name="Обычный 56 2 2 2 2 3 3" xfId="11104" xr:uid="{00000000-0005-0000-0000-000024270000}"/>
    <cellStyle name="Обычный 56 2 2 2 2 4" xfId="11105" xr:uid="{00000000-0005-0000-0000-000025270000}"/>
    <cellStyle name="Обычный 56 2 2 2 2 4 2" xfId="11106" xr:uid="{00000000-0005-0000-0000-000026270000}"/>
    <cellStyle name="Обычный 56 2 2 2 2 5" xfId="11107" xr:uid="{00000000-0005-0000-0000-000027270000}"/>
    <cellStyle name="Обычный 56 2 2 2 2 6" xfId="11108" xr:uid="{00000000-0005-0000-0000-000028270000}"/>
    <cellStyle name="Обычный 56 2 2 2 3" xfId="11109" xr:uid="{00000000-0005-0000-0000-000029270000}"/>
    <cellStyle name="Обычный 56 2 2 2 3 2" xfId="11110" xr:uid="{00000000-0005-0000-0000-00002A270000}"/>
    <cellStyle name="Обычный 56 2 2 2 3 2 2" xfId="11111" xr:uid="{00000000-0005-0000-0000-00002B270000}"/>
    <cellStyle name="Обычный 56 2 2 2 3 2 3" xfId="11112" xr:uid="{00000000-0005-0000-0000-00002C270000}"/>
    <cellStyle name="Обычный 56 2 2 2 3 3" xfId="11113" xr:uid="{00000000-0005-0000-0000-00002D270000}"/>
    <cellStyle name="Обычный 56 2 2 2 3 4" xfId="11114" xr:uid="{00000000-0005-0000-0000-00002E270000}"/>
    <cellStyle name="Обычный 56 2 2 2 4" xfId="11115" xr:uid="{00000000-0005-0000-0000-00002F270000}"/>
    <cellStyle name="Обычный 56 2 2 2 4 2" xfId="11116" xr:uid="{00000000-0005-0000-0000-000030270000}"/>
    <cellStyle name="Обычный 56 2 2 2 4 3" xfId="11117" xr:uid="{00000000-0005-0000-0000-000031270000}"/>
    <cellStyle name="Обычный 56 2 2 2 5" xfId="11118" xr:uid="{00000000-0005-0000-0000-000032270000}"/>
    <cellStyle name="Обычный 56 2 2 2 5 2" xfId="11119" xr:uid="{00000000-0005-0000-0000-000033270000}"/>
    <cellStyle name="Обычный 56 2 2 2 6" xfId="11120" xr:uid="{00000000-0005-0000-0000-000034270000}"/>
    <cellStyle name="Обычный 56 2 2 2 7" xfId="11121" xr:uid="{00000000-0005-0000-0000-000035270000}"/>
    <cellStyle name="Обычный 56 2 2 3" xfId="11122" xr:uid="{00000000-0005-0000-0000-000036270000}"/>
    <cellStyle name="Обычный 56 2 2 3 2" xfId="11123" xr:uid="{00000000-0005-0000-0000-000037270000}"/>
    <cellStyle name="Обычный 56 2 2 3 2 2" xfId="11124" xr:uid="{00000000-0005-0000-0000-000038270000}"/>
    <cellStyle name="Обычный 56 2 2 3 2 2 2" xfId="11125" xr:uid="{00000000-0005-0000-0000-000039270000}"/>
    <cellStyle name="Обычный 56 2 2 3 2 2 3" xfId="11126" xr:uid="{00000000-0005-0000-0000-00003A270000}"/>
    <cellStyle name="Обычный 56 2 2 3 2 3" xfId="11127" xr:uid="{00000000-0005-0000-0000-00003B270000}"/>
    <cellStyle name="Обычный 56 2 2 3 2 4" xfId="11128" xr:uid="{00000000-0005-0000-0000-00003C270000}"/>
    <cellStyle name="Обычный 56 2 2 3 3" xfId="11129" xr:uid="{00000000-0005-0000-0000-00003D270000}"/>
    <cellStyle name="Обычный 56 2 2 3 3 2" xfId="11130" xr:uid="{00000000-0005-0000-0000-00003E270000}"/>
    <cellStyle name="Обычный 56 2 2 3 3 3" xfId="11131" xr:uid="{00000000-0005-0000-0000-00003F270000}"/>
    <cellStyle name="Обычный 56 2 2 3 4" xfId="11132" xr:uid="{00000000-0005-0000-0000-000040270000}"/>
    <cellStyle name="Обычный 56 2 2 3 4 2" xfId="11133" xr:uid="{00000000-0005-0000-0000-000041270000}"/>
    <cellStyle name="Обычный 56 2 2 3 5" xfId="11134" xr:uid="{00000000-0005-0000-0000-000042270000}"/>
    <cellStyle name="Обычный 56 2 2 3 6" xfId="11135" xr:uid="{00000000-0005-0000-0000-000043270000}"/>
    <cellStyle name="Обычный 56 2 2 4" xfId="11136" xr:uid="{00000000-0005-0000-0000-000044270000}"/>
    <cellStyle name="Обычный 56 2 2 4 2" xfId="11137" xr:uid="{00000000-0005-0000-0000-000045270000}"/>
    <cellStyle name="Обычный 56 2 2 4 2 2" xfId="11138" xr:uid="{00000000-0005-0000-0000-000046270000}"/>
    <cellStyle name="Обычный 56 2 2 4 2 3" xfId="11139" xr:uid="{00000000-0005-0000-0000-000047270000}"/>
    <cellStyle name="Обычный 56 2 2 4 3" xfId="11140" xr:uid="{00000000-0005-0000-0000-000048270000}"/>
    <cellStyle name="Обычный 56 2 2 4 4" xfId="11141" xr:uid="{00000000-0005-0000-0000-000049270000}"/>
    <cellStyle name="Обычный 56 2 2 5" xfId="11142" xr:uid="{00000000-0005-0000-0000-00004A270000}"/>
    <cellStyle name="Обычный 56 2 2 5 2" xfId="11143" xr:uid="{00000000-0005-0000-0000-00004B270000}"/>
    <cellStyle name="Обычный 56 2 2 5 3" xfId="11144" xr:uid="{00000000-0005-0000-0000-00004C270000}"/>
    <cellStyle name="Обычный 56 2 2 6" xfId="11145" xr:uid="{00000000-0005-0000-0000-00004D270000}"/>
    <cellStyle name="Обычный 56 2 2 6 2" xfId="11146" xr:uid="{00000000-0005-0000-0000-00004E270000}"/>
    <cellStyle name="Обычный 56 2 2 7" xfId="11147" xr:uid="{00000000-0005-0000-0000-00004F270000}"/>
    <cellStyle name="Обычный 56 2 2 8" xfId="11148" xr:uid="{00000000-0005-0000-0000-000050270000}"/>
    <cellStyle name="Обычный 56 2 3" xfId="11149" xr:uid="{00000000-0005-0000-0000-000051270000}"/>
    <cellStyle name="Обычный 56 2 3 2" xfId="11150" xr:uid="{00000000-0005-0000-0000-000052270000}"/>
    <cellStyle name="Обычный 56 2 3 2 2" xfId="11151" xr:uid="{00000000-0005-0000-0000-000053270000}"/>
    <cellStyle name="Обычный 56 2 3 2 2 2" xfId="11152" xr:uid="{00000000-0005-0000-0000-000054270000}"/>
    <cellStyle name="Обычный 56 2 3 2 2 2 2" xfId="11153" xr:uid="{00000000-0005-0000-0000-000055270000}"/>
    <cellStyle name="Обычный 56 2 3 2 2 2 3" xfId="11154" xr:uid="{00000000-0005-0000-0000-000056270000}"/>
    <cellStyle name="Обычный 56 2 3 2 2 3" xfId="11155" xr:uid="{00000000-0005-0000-0000-000057270000}"/>
    <cellStyle name="Обычный 56 2 3 2 2 4" xfId="11156" xr:uid="{00000000-0005-0000-0000-000058270000}"/>
    <cellStyle name="Обычный 56 2 3 2 3" xfId="11157" xr:uid="{00000000-0005-0000-0000-000059270000}"/>
    <cellStyle name="Обычный 56 2 3 2 3 2" xfId="11158" xr:uid="{00000000-0005-0000-0000-00005A270000}"/>
    <cellStyle name="Обычный 56 2 3 2 3 3" xfId="11159" xr:uid="{00000000-0005-0000-0000-00005B270000}"/>
    <cellStyle name="Обычный 56 2 3 2 4" xfId="11160" xr:uid="{00000000-0005-0000-0000-00005C270000}"/>
    <cellStyle name="Обычный 56 2 3 2 4 2" xfId="11161" xr:uid="{00000000-0005-0000-0000-00005D270000}"/>
    <cellStyle name="Обычный 56 2 3 2 5" xfId="11162" xr:uid="{00000000-0005-0000-0000-00005E270000}"/>
    <cellStyle name="Обычный 56 2 3 2 6" xfId="11163" xr:uid="{00000000-0005-0000-0000-00005F270000}"/>
    <cellStyle name="Обычный 56 2 3 3" xfId="11164" xr:uid="{00000000-0005-0000-0000-000060270000}"/>
    <cellStyle name="Обычный 56 2 3 3 2" xfId="11165" xr:uid="{00000000-0005-0000-0000-000061270000}"/>
    <cellStyle name="Обычный 56 2 3 3 2 2" xfId="11166" xr:uid="{00000000-0005-0000-0000-000062270000}"/>
    <cellStyle name="Обычный 56 2 3 3 2 3" xfId="11167" xr:uid="{00000000-0005-0000-0000-000063270000}"/>
    <cellStyle name="Обычный 56 2 3 3 3" xfId="11168" xr:uid="{00000000-0005-0000-0000-000064270000}"/>
    <cellStyle name="Обычный 56 2 3 3 4" xfId="11169" xr:uid="{00000000-0005-0000-0000-000065270000}"/>
    <cellStyle name="Обычный 56 2 3 4" xfId="11170" xr:uid="{00000000-0005-0000-0000-000066270000}"/>
    <cellStyle name="Обычный 56 2 3 4 2" xfId="11171" xr:uid="{00000000-0005-0000-0000-000067270000}"/>
    <cellStyle name="Обычный 56 2 3 4 3" xfId="11172" xr:uid="{00000000-0005-0000-0000-000068270000}"/>
    <cellStyle name="Обычный 56 2 3 5" xfId="11173" xr:uid="{00000000-0005-0000-0000-000069270000}"/>
    <cellStyle name="Обычный 56 2 3 5 2" xfId="11174" xr:uid="{00000000-0005-0000-0000-00006A270000}"/>
    <cellStyle name="Обычный 56 2 3 6" xfId="11175" xr:uid="{00000000-0005-0000-0000-00006B270000}"/>
    <cellStyle name="Обычный 56 2 3 7" xfId="11176" xr:uid="{00000000-0005-0000-0000-00006C270000}"/>
    <cellStyle name="Обычный 56 2 4" xfId="11177" xr:uid="{00000000-0005-0000-0000-00006D270000}"/>
    <cellStyle name="Обычный 56 2 4 2" xfId="11178" xr:uid="{00000000-0005-0000-0000-00006E270000}"/>
    <cellStyle name="Обычный 56 2 4 2 2" xfId="11179" xr:uid="{00000000-0005-0000-0000-00006F270000}"/>
    <cellStyle name="Обычный 56 2 4 2 2 2" xfId="11180" xr:uid="{00000000-0005-0000-0000-000070270000}"/>
    <cellStyle name="Обычный 56 2 4 2 2 3" xfId="11181" xr:uid="{00000000-0005-0000-0000-000071270000}"/>
    <cellStyle name="Обычный 56 2 4 2 3" xfId="11182" xr:uid="{00000000-0005-0000-0000-000072270000}"/>
    <cellStyle name="Обычный 56 2 4 2 4" xfId="11183" xr:uid="{00000000-0005-0000-0000-000073270000}"/>
    <cellStyle name="Обычный 56 2 4 3" xfId="11184" xr:uid="{00000000-0005-0000-0000-000074270000}"/>
    <cellStyle name="Обычный 56 2 4 3 2" xfId="11185" xr:uid="{00000000-0005-0000-0000-000075270000}"/>
    <cellStyle name="Обычный 56 2 4 3 3" xfId="11186" xr:uid="{00000000-0005-0000-0000-000076270000}"/>
    <cellStyle name="Обычный 56 2 4 4" xfId="11187" xr:uid="{00000000-0005-0000-0000-000077270000}"/>
    <cellStyle name="Обычный 56 2 4 4 2" xfId="11188" xr:uid="{00000000-0005-0000-0000-000078270000}"/>
    <cellStyle name="Обычный 56 2 4 5" xfId="11189" xr:uid="{00000000-0005-0000-0000-000079270000}"/>
    <cellStyle name="Обычный 56 2 4 6" xfId="11190" xr:uid="{00000000-0005-0000-0000-00007A270000}"/>
    <cellStyle name="Обычный 56 2 5" xfId="11191" xr:uid="{00000000-0005-0000-0000-00007B270000}"/>
    <cellStyle name="Обычный 56 2 5 2" xfId="11192" xr:uid="{00000000-0005-0000-0000-00007C270000}"/>
    <cellStyle name="Обычный 56 2 5 2 2" xfId="11193" xr:uid="{00000000-0005-0000-0000-00007D270000}"/>
    <cellStyle name="Обычный 56 2 5 2 3" xfId="11194" xr:uid="{00000000-0005-0000-0000-00007E270000}"/>
    <cellStyle name="Обычный 56 2 5 3" xfId="11195" xr:uid="{00000000-0005-0000-0000-00007F270000}"/>
    <cellStyle name="Обычный 56 2 5 4" xfId="11196" xr:uid="{00000000-0005-0000-0000-000080270000}"/>
    <cellStyle name="Обычный 56 2 6" xfId="11197" xr:uid="{00000000-0005-0000-0000-000081270000}"/>
    <cellStyle name="Обычный 56 2 6 2" xfId="11198" xr:uid="{00000000-0005-0000-0000-000082270000}"/>
    <cellStyle name="Обычный 56 2 6 3" xfId="11199" xr:uid="{00000000-0005-0000-0000-000083270000}"/>
    <cellStyle name="Обычный 56 2 7" xfId="11200" xr:uid="{00000000-0005-0000-0000-000084270000}"/>
    <cellStyle name="Обычный 56 2 7 2" xfId="11201" xr:uid="{00000000-0005-0000-0000-000085270000}"/>
    <cellStyle name="Обычный 56 2 8" xfId="11202" xr:uid="{00000000-0005-0000-0000-000086270000}"/>
    <cellStyle name="Обычный 56 2 9" xfId="11203" xr:uid="{00000000-0005-0000-0000-000087270000}"/>
    <cellStyle name="Обычный 56 3" xfId="3879" xr:uid="{00000000-0005-0000-0000-000088270000}"/>
    <cellStyle name="Обычный 56 3 2" xfId="11204" xr:uid="{00000000-0005-0000-0000-000089270000}"/>
    <cellStyle name="Обычный 56 3 2 2" xfId="11205" xr:uid="{00000000-0005-0000-0000-00008A270000}"/>
    <cellStyle name="Обычный 56 3 2 2 2" xfId="11206" xr:uid="{00000000-0005-0000-0000-00008B270000}"/>
    <cellStyle name="Обычный 56 3 2 2 2 2" xfId="11207" xr:uid="{00000000-0005-0000-0000-00008C270000}"/>
    <cellStyle name="Обычный 56 3 2 2 2 2 2" xfId="11208" xr:uid="{00000000-0005-0000-0000-00008D270000}"/>
    <cellStyle name="Обычный 56 3 2 2 2 2 3" xfId="11209" xr:uid="{00000000-0005-0000-0000-00008E270000}"/>
    <cellStyle name="Обычный 56 3 2 2 2 3" xfId="11210" xr:uid="{00000000-0005-0000-0000-00008F270000}"/>
    <cellStyle name="Обычный 56 3 2 2 2 4" xfId="11211" xr:uid="{00000000-0005-0000-0000-000090270000}"/>
    <cellStyle name="Обычный 56 3 2 2 3" xfId="11212" xr:uid="{00000000-0005-0000-0000-000091270000}"/>
    <cellStyle name="Обычный 56 3 2 2 3 2" xfId="11213" xr:uid="{00000000-0005-0000-0000-000092270000}"/>
    <cellStyle name="Обычный 56 3 2 2 3 3" xfId="11214" xr:uid="{00000000-0005-0000-0000-000093270000}"/>
    <cellStyle name="Обычный 56 3 2 2 4" xfId="11215" xr:uid="{00000000-0005-0000-0000-000094270000}"/>
    <cellStyle name="Обычный 56 3 2 2 4 2" xfId="11216" xr:uid="{00000000-0005-0000-0000-000095270000}"/>
    <cellStyle name="Обычный 56 3 2 2 5" xfId="11217" xr:uid="{00000000-0005-0000-0000-000096270000}"/>
    <cellStyle name="Обычный 56 3 2 2 6" xfId="11218" xr:uid="{00000000-0005-0000-0000-000097270000}"/>
    <cellStyle name="Обычный 56 3 2 3" xfId="11219" xr:uid="{00000000-0005-0000-0000-000098270000}"/>
    <cellStyle name="Обычный 56 3 2 3 2" xfId="11220" xr:uid="{00000000-0005-0000-0000-000099270000}"/>
    <cellStyle name="Обычный 56 3 2 3 2 2" xfId="11221" xr:uid="{00000000-0005-0000-0000-00009A270000}"/>
    <cellStyle name="Обычный 56 3 2 3 2 3" xfId="11222" xr:uid="{00000000-0005-0000-0000-00009B270000}"/>
    <cellStyle name="Обычный 56 3 2 3 3" xfId="11223" xr:uid="{00000000-0005-0000-0000-00009C270000}"/>
    <cellStyle name="Обычный 56 3 2 3 4" xfId="11224" xr:uid="{00000000-0005-0000-0000-00009D270000}"/>
    <cellStyle name="Обычный 56 3 2 4" xfId="11225" xr:uid="{00000000-0005-0000-0000-00009E270000}"/>
    <cellStyle name="Обычный 56 3 2 4 2" xfId="11226" xr:uid="{00000000-0005-0000-0000-00009F270000}"/>
    <cellStyle name="Обычный 56 3 2 4 3" xfId="11227" xr:uid="{00000000-0005-0000-0000-0000A0270000}"/>
    <cellStyle name="Обычный 56 3 2 5" xfId="11228" xr:uid="{00000000-0005-0000-0000-0000A1270000}"/>
    <cellStyle name="Обычный 56 3 2 5 2" xfId="11229" xr:uid="{00000000-0005-0000-0000-0000A2270000}"/>
    <cellStyle name="Обычный 56 3 2 6" xfId="11230" xr:uid="{00000000-0005-0000-0000-0000A3270000}"/>
    <cellStyle name="Обычный 56 3 2 7" xfId="11231" xr:uid="{00000000-0005-0000-0000-0000A4270000}"/>
    <cellStyle name="Обычный 56 3 3" xfId="11232" xr:uid="{00000000-0005-0000-0000-0000A5270000}"/>
    <cellStyle name="Обычный 56 3 3 2" xfId="11233" xr:uid="{00000000-0005-0000-0000-0000A6270000}"/>
    <cellStyle name="Обычный 56 3 3 2 2" xfId="11234" xr:uid="{00000000-0005-0000-0000-0000A7270000}"/>
    <cellStyle name="Обычный 56 3 3 2 2 2" xfId="11235" xr:uid="{00000000-0005-0000-0000-0000A8270000}"/>
    <cellStyle name="Обычный 56 3 3 2 2 3" xfId="11236" xr:uid="{00000000-0005-0000-0000-0000A9270000}"/>
    <cellStyle name="Обычный 56 3 3 2 3" xfId="11237" xr:uid="{00000000-0005-0000-0000-0000AA270000}"/>
    <cellStyle name="Обычный 56 3 3 2 4" xfId="11238" xr:uid="{00000000-0005-0000-0000-0000AB270000}"/>
    <cellStyle name="Обычный 56 3 3 3" xfId="11239" xr:uid="{00000000-0005-0000-0000-0000AC270000}"/>
    <cellStyle name="Обычный 56 3 3 3 2" xfId="11240" xr:uid="{00000000-0005-0000-0000-0000AD270000}"/>
    <cellStyle name="Обычный 56 3 3 3 3" xfId="11241" xr:uid="{00000000-0005-0000-0000-0000AE270000}"/>
    <cellStyle name="Обычный 56 3 3 4" xfId="11242" xr:uid="{00000000-0005-0000-0000-0000AF270000}"/>
    <cellStyle name="Обычный 56 3 3 4 2" xfId="11243" xr:uid="{00000000-0005-0000-0000-0000B0270000}"/>
    <cellStyle name="Обычный 56 3 3 5" xfId="11244" xr:uid="{00000000-0005-0000-0000-0000B1270000}"/>
    <cellStyle name="Обычный 56 3 3 6" xfId="11245" xr:uid="{00000000-0005-0000-0000-0000B2270000}"/>
    <cellStyle name="Обычный 56 3 4" xfId="11246" xr:uid="{00000000-0005-0000-0000-0000B3270000}"/>
    <cellStyle name="Обычный 56 3 4 2" xfId="11247" xr:uid="{00000000-0005-0000-0000-0000B4270000}"/>
    <cellStyle name="Обычный 56 3 4 2 2" xfId="11248" xr:uid="{00000000-0005-0000-0000-0000B5270000}"/>
    <cellStyle name="Обычный 56 3 4 2 3" xfId="11249" xr:uid="{00000000-0005-0000-0000-0000B6270000}"/>
    <cellStyle name="Обычный 56 3 4 3" xfId="11250" xr:uid="{00000000-0005-0000-0000-0000B7270000}"/>
    <cellStyle name="Обычный 56 3 4 4" xfId="11251" xr:uid="{00000000-0005-0000-0000-0000B8270000}"/>
    <cellStyle name="Обычный 56 3 5" xfId="11252" xr:uid="{00000000-0005-0000-0000-0000B9270000}"/>
    <cellStyle name="Обычный 56 3 5 2" xfId="11253" xr:uid="{00000000-0005-0000-0000-0000BA270000}"/>
    <cellStyle name="Обычный 56 3 5 3" xfId="11254" xr:uid="{00000000-0005-0000-0000-0000BB270000}"/>
    <cellStyle name="Обычный 56 3 6" xfId="11255" xr:uid="{00000000-0005-0000-0000-0000BC270000}"/>
    <cellStyle name="Обычный 56 3 6 2" xfId="11256" xr:uid="{00000000-0005-0000-0000-0000BD270000}"/>
    <cellStyle name="Обычный 56 3 7" xfId="11257" xr:uid="{00000000-0005-0000-0000-0000BE270000}"/>
    <cellStyle name="Обычный 56 3 8" xfId="11258" xr:uid="{00000000-0005-0000-0000-0000BF270000}"/>
    <cellStyle name="Обычный 56 4" xfId="11259" xr:uid="{00000000-0005-0000-0000-0000C0270000}"/>
    <cellStyle name="Обычный 56 4 2" xfId="11260" xr:uid="{00000000-0005-0000-0000-0000C1270000}"/>
    <cellStyle name="Обычный 56 4 2 2" xfId="11261" xr:uid="{00000000-0005-0000-0000-0000C2270000}"/>
    <cellStyle name="Обычный 56 4 2 2 2" xfId="11262" xr:uid="{00000000-0005-0000-0000-0000C3270000}"/>
    <cellStyle name="Обычный 56 4 2 2 2 2" xfId="11263" xr:uid="{00000000-0005-0000-0000-0000C4270000}"/>
    <cellStyle name="Обычный 56 4 2 2 2 3" xfId="11264" xr:uid="{00000000-0005-0000-0000-0000C5270000}"/>
    <cellStyle name="Обычный 56 4 2 2 3" xfId="11265" xr:uid="{00000000-0005-0000-0000-0000C6270000}"/>
    <cellStyle name="Обычный 56 4 2 2 4" xfId="11266" xr:uid="{00000000-0005-0000-0000-0000C7270000}"/>
    <cellStyle name="Обычный 56 4 2 3" xfId="11267" xr:uid="{00000000-0005-0000-0000-0000C8270000}"/>
    <cellStyle name="Обычный 56 4 2 3 2" xfId="11268" xr:uid="{00000000-0005-0000-0000-0000C9270000}"/>
    <cellStyle name="Обычный 56 4 2 3 3" xfId="11269" xr:uid="{00000000-0005-0000-0000-0000CA270000}"/>
    <cellStyle name="Обычный 56 4 2 4" xfId="11270" xr:uid="{00000000-0005-0000-0000-0000CB270000}"/>
    <cellStyle name="Обычный 56 4 2 4 2" xfId="11271" xr:uid="{00000000-0005-0000-0000-0000CC270000}"/>
    <cellStyle name="Обычный 56 4 2 5" xfId="11272" xr:uid="{00000000-0005-0000-0000-0000CD270000}"/>
    <cellStyle name="Обычный 56 4 2 6" xfId="11273" xr:uid="{00000000-0005-0000-0000-0000CE270000}"/>
    <cellStyle name="Обычный 56 4 3" xfId="11274" xr:uid="{00000000-0005-0000-0000-0000CF270000}"/>
    <cellStyle name="Обычный 56 4 3 2" xfId="11275" xr:uid="{00000000-0005-0000-0000-0000D0270000}"/>
    <cellStyle name="Обычный 56 4 3 2 2" xfId="11276" xr:uid="{00000000-0005-0000-0000-0000D1270000}"/>
    <cellStyle name="Обычный 56 4 3 2 3" xfId="11277" xr:uid="{00000000-0005-0000-0000-0000D2270000}"/>
    <cellStyle name="Обычный 56 4 3 3" xfId="11278" xr:uid="{00000000-0005-0000-0000-0000D3270000}"/>
    <cellStyle name="Обычный 56 4 3 4" xfId="11279" xr:uid="{00000000-0005-0000-0000-0000D4270000}"/>
    <cellStyle name="Обычный 56 4 4" xfId="11280" xr:uid="{00000000-0005-0000-0000-0000D5270000}"/>
    <cellStyle name="Обычный 56 4 4 2" xfId="11281" xr:uid="{00000000-0005-0000-0000-0000D6270000}"/>
    <cellStyle name="Обычный 56 4 4 3" xfId="11282" xr:uid="{00000000-0005-0000-0000-0000D7270000}"/>
    <cellStyle name="Обычный 56 4 5" xfId="11283" xr:uid="{00000000-0005-0000-0000-0000D8270000}"/>
    <cellStyle name="Обычный 56 4 5 2" xfId="11284" xr:uid="{00000000-0005-0000-0000-0000D9270000}"/>
    <cellStyle name="Обычный 56 4 6" xfId="11285" xr:uid="{00000000-0005-0000-0000-0000DA270000}"/>
    <cellStyle name="Обычный 56 4 7" xfId="11286" xr:uid="{00000000-0005-0000-0000-0000DB270000}"/>
    <cellStyle name="Обычный 56 5" xfId="11287" xr:uid="{00000000-0005-0000-0000-0000DC270000}"/>
    <cellStyle name="Обычный 56 5 2" xfId="11288" xr:uid="{00000000-0005-0000-0000-0000DD270000}"/>
    <cellStyle name="Обычный 56 5 2 2" xfId="11289" xr:uid="{00000000-0005-0000-0000-0000DE270000}"/>
    <cellStyle name="Обычный 56 5 2 2 2" xfId="11290" xr:uid="{00000000-0005-0000-0000-0000DF270000}"/>
    <cellStyle name="Обычный 56 5 2 2 3" xfId="11291" xr:uid="{00000000-0005-0000-0000-0000E0270000}"/>
    <cellStyle name="Обычный 56 5 2 3" xfId="11292" xr:uid="{00000000-0005-0000-0000-0000E1270000}"/>
    <cellStyle name="Обычный 56 5 2 4" xfId="11293" xr:uid="{00000000-0005-0000-0000-0000E2270000}"/>
    <cellStyle name="Обычный 56 5 3" xfId="11294" xr:uid="{00000000-0005-0000-0000-0000E3270000}"/>
    <cellStyle name="Обычный 56 5 3 2" xfId="11295" xr:uid="{00000000-0005-0000-0000-0000E4270000}"/>
    <cellStyle name="Обычный 56 5 3 3" xfId="11296" xr:uid="{00000000-0005-0000-0000-0000E5270000}"/>
    <cellStyle name="Обычный 56 5 4" xfId="11297" xr:uid="{00000000-0005-0000-0000-0000E6270000}"/>
    <cellStyle name="Обычный 56 5 4 2" xfId="11298" xr:uid="{00000000-0005-0000-0000-0000E7270000}"/>
    <cellStyle name="Обычный 56 5 5" xfId="11299" xr:uid="{00000000-0005-0000-0000-0000E8270000}"/>
    <cellStyle name="Обычный 56 5 6" xfId="11300" xr:uid="{00000000-0005-0000-0000-0000E9270000}"/>
    <cellStyle name="Обычный 56 6" xfId="11301" xr:uid="{00000000-0005-0000-0000-0000EA270000}"/>
    <cellStyle name="Обычный 56 6 2" xfId="11302" xr:uid="{00000000-0005-0000-0000-0000EB270000}"/>
    <cellStyle name="Обычный 56 6 2 2" xfId="11303" xr:uid="{00000000-0005-0000-0000-0000EC270000}"/>
    <cellStyle name="Обычный 56 6 2 3" xfId="11304" xr:uid="{00000000-0005-0000-0000-0000ED270000}"/>
    <cellStyle name="Обычный 56 6 3" xfId="11305" xr:uid="{00000000-0005-0000-0000-0000EE270000}"/>
    <cellStyle name="Обычный 56 6 4" xfId="11306" xr:uid="{00000000-0005-0000-0000-0000EF270000}"/>
    <cellStyle name="Обычный 56 7" xfId="11307" xr:uid="{00000000-0005-0000-0000-0000F0270000}"/>
    <cellStyle name="Обычный 56 7 2" xfId="11308" xr:uid="{00000000-0005-0000-0000-0000F1270000}"/>
    <cellStyle name="Обычный 56 7 3" xfId="11309" xr:uid="{00000000-0005-0000-0000-0000F2270000}"/>
    <cellStyle name="Обычный 56 8" xfId="11310" xr:uid="{00000000-0005-0000-0000-0000F3270000}"/>
    <cellStyle name="Обычный 56 8 2" xfId="11311" xr:uid="{00000000-0005-0000-0000-0000F4270000}"/>
    <cellStyle name="Обычный 56 9" xfId="11312" xr:uid="{00000000-0005-0000-0000-0000F5270000}"/>
    <cellStyle name="Обычный 56_Свод гостин" xfId="3880" xr:uid="{00000000-0005-0000-0000-0000F6270000}"/>
    <cellStyle name="Обычный 57" xfId="3881" xr:uid="{00000000-0005-0000-0000-0000F7270000}"/>
    <cellStyle name="Обычный 57 2" xfId="3882" xr:uid="{00000000-0005-0000-0000-0000F8270000}"/>
    <cellStyle name="Обычный 57 2 2" xfId="11313" xr:uid="{00000000-0005-0000-0000-0000F9270000}"/>
    <cellStyle name="Обычный 57 3" xfId="3883" xr:uid="{00000000-0005-0000-0000-0000FA270000}"/>
    <cellStyle name="Обычный 57_Свод гостин" xfId="3884" xr:uid="{00000000-0005-0000-0000-0000FB270000}"/>
    <cellStyle name="Обычный 58" xfId="3885" xr:uid="{00000000-0005-0000-0000-0000FC270000}"/>
    <cellStyle name="Обычный 58 2" xfId="3886" xr:uid="{00000000-0005-0000-0000-0000FD270000}"/>
    <cellStyle name="Обычный 58 2 2" xfId="11314" xr:uid="{00000000-0005-0000-0000-0000FE270000}"/>
    <cellStyle name="Обычный 58 3" xfId="11315" xr:uid="{00000000-0005-0000-0000-0000FF270000}"/>
    <cellStyle name="Обычный 58 9" xfId="3887" xr:uid="{00000000-0005-0000-0000-000000280000}"/>
    <cellStyle name="Обычный 58_Свод гостин" xfId="3888" xr:uid="{00000000-0005-0000-0000-000001280000}"/>
    <cellStyle name="Обычный 59" xfId="3889" xr:uid="{00000000-0005-0000-0000-000002280000}"/>
    <cellStyle name="Обычный 59 2" xfId="3890" xr:uid="{00000000-0005-0000-0000-000003280000}"/>
    <cellStyle name="Обычный 59 3" xfId="3891" xr:uid="{00000000-0005-0000-0000-000004280000}"/>
    <cellStyle name="Обычный 59_Свод гостин" xfId="3892" xr:uid="{00000000-0005-0000-0000-000005280000}"/>
    <cellStyle name="Обычный 6" xfId="3893" xr:uid="{00000000-0005-0000-0000-000006280000}"/>
    <cellStyle name="Обычный 6 10" xfId="3894" xr:uid="{00000000-0005-0000-0000-000007280000}"/>
    <cellStyle name="Обычный 6 11" xfId="3895" xr:uid="{00000000-0005-0000-0000-000008280000}"/>
    <cellStyle name="Обычный 6 2" xfId="3896" xr:uid="{00000000-0005-0000-0000-000009280000}"/>
    <cellStyle name="Обычный 6 2 2" xfId="3897" xr:uid="{00000000-0005-0000-0000-00000A280000}"/>
    <cellStyle name="Обычный 6 2_Свод гостин" xfId="3898" xr:uid="{00000000-0005-0000-0000-00000B280000}"/>
    <cellStyle name="Обычный 6 3" xfId="3899" xr:uid="{00000000-0005-0000-0000-00000C280000}"/>
    <cellStyle name="Обычный 6 3 2" xfId="3900" xr:uid="{00000000-0005-0000-0000-00000D280000}"/>
    <cellStyle name="Обычный 6 3_Свод гостин" xfId="3901" xr:uid="{00000000-0005-0000-0000-00000E280000}"/>
    <cellStyle name="Обычный 6 4" xfId="3902" xr:uid="{00000000-0005-0000-0000-00000F280000}"/>
    <cellStyle name="Обычный 6 4 2" xfId="3903" xr:uid="{00000000-0005-0000-0000-000010280000}"/>
    <cellStyle name="Обычный 6 4_Свод гостин" xfId="3904" xr:uid="{00000000-0005-0000-0000-000011280000}"/>
    <cellStyle name="Обычный 6 5" xfId="3905" xr:uid="{00000000-0005-0000-0000-000012280000}"/>
    <cellStyle name="Обычный 6 6" xfId="3906" xr:uid="{00000000-0005-0000-0000-000013280000}"/>
    <cellStyle name="Обычный 6 7" xfId="3907" xr:uid="{00000000-0005-0000-0000-000014280000}"/>
    <cellStyle name="Обычный 6 8" xfId="3908" xr:uid="{00000000-0005-0000-0000-000015280000}"/>
    <cellStyle name="Обычный 6 9" xfId="3909" xr:uid="{00000000-0005-0000-0000-000016280000}"/>
    <cellStyle name="Обычный 6_Свод гостин" xfId="3910" xr:uid="{00000000-0005-0000-0000-000017280000}"/>
    <cellStyle name="Обычный 60" xfId="3911" xr:uid="{00000000-0005-0000-0000-000018280000}"/>
    <cellStyle name="Обычный 60 2" xfId="3912" xr:uid="{00000000-0005-0000-0000-000019280000}"/>
    <cellStyle name="Обычный 60_Свод гостин" xfId="3913" xr:uid="{00000000-0005-0000-0000-00001A280000}"/>
    <cellStyle name="Обычный 61" xfId="3914" xr:uid="{00000000-0005-0000-0000-00001B280000}"/>
    <cellStyle name="Обычный 61 2" xfId="3915" xr:uid="{00000000-0005-0000-0000-00001C280000}"/>
    <cellStyle name="Обычный 61 3" xfId="11316" xr:uid="{00000000-0005-0000-0000-00001D280000}"/>
    <cellStyle name="Обычный 61_Свод гостин" xfId="3916" xr:uid="{00000000-0005-0000-0000-00001E280000}"/>
    <cellStyle name="Обычный 62" xfId="3917" xr:uid="{00000000-0005-0000-0000-00001F280000}"/>
    <cellStyle name="Обычный 62 2" xfId="3918" xr:uid="{00000000-0005-0000-0000-000020280000}"/>
    <cellStyle name="Обычный 62 3" xfId="11317" xr:uid="{00000000-0005-0000-0000-000021280000}"/>
    <cellStyle name="Обычный 62_Свод гостин" xfId="3919" xr:uid="{00000000-0005-0000-0000-000022280000}"/>
    <cellStyle name="Обычный 63" xfId="3920" xr:uid="{00000000-0005-0000-0000-000023280000}"/>
    <cellStyle name="Обычный 63 2" xfId="3921" xr:uid="{00000000-0005-0000-0000-000024280000}"/>
    <cellStyle name="Обычный 63 3" xfId="11318" xr:uid="{00000000-0005-0000-0000-000025280000}"/>
    <cellStyle name="Обычный 63_Свод гостин" xfId="3922" xr:uid="{00000000-0005-0000-0000-000026280000}"/>
    <cellStyle name="Обычный 64" xfId="3923" xr:uid="{00000000-0005-0000-0000-000027280000}"/>
    <cellStyle name="Обычный 64 2" xfId="11319" xr:uid="{00000000-0005-0000-0000-000028280000}"/>
    <cellStyle name="Обычный 65" xfId="3924" xr:uid="{00000000-0005-0000-0000-000029280000}"/>
    <cellStyle name="Обычный 66" xfId="3925" xr:uid="{00000000-0005-0000-0000-00002A280000}"/>
    <cellStyle name="Обычный 67" xfId="3926" xr:uid="{00000000-0005-0000-0000-00002B280000}"/>
    <cellStyle name="Обычный 68" xfId="3927" xr:uid="{00000000-0005-0000-0000-00002C280000}"/>
    <cellStyle name="Обычный 68 2" xfId="3928" xr:uid="{00000000-0005-0000-0000-00002D280000}"/>
    <cellStyle name="Обычный 68 3" xfId="3929" xr:uid="{00000000-0005-0000-0000-00002E280000}"/>
    <cellStyle name="Обычный 68 5" xfId="3930" xr:uid="{00000000-0005-0000-0000-00002F280000}"/>
    <cellStyle name="Обычный 69" xfId="3931" xr:uid="{00000000-0005-0000-0000-000030280000}"/>
    <cellStyle name="Обычный 7" xfId="3932" xr:uid="{00000000-0005-0000-0000-000031280000}"/>
    <cellStyle name="Обычный 7 2" xfId="3933" xr:uid="{00000000-0005-0000-0000-000032280000}"/>
    <cellStyle name="Обычный 7 2 2" xfId="3934" xr:uid="{00000000-0005-0000-0000-000033280000}"/>
    <cellStyle name="Обычный 7 2 3" xfId="3935" xr:uid="{00000000-0005-0000-0000-000034280000}"/>
    <cellStyle name="Обычный 7 2 4" xfId="3936" xr:uid="{00000000-0005-0000-0000-000035280000}"/>
    <cellStyle name="Обычный 7 2_Свод гостин" xfId="3937" xr:uid="{00000000-0005-0000-0000-000036280000}"/>
    <cellStyle name="Обычный 7 3" xfId="3938" xr:uid="{00000000-0005-0000-0000-000037280000}"/>
    <cellStyle name="Обычный 7 3 2" xfId="3939" xr:uid="{00000000-0005-0000-0000-000038280000}"/>
    <cellStyle name="Обычный 7 3_Свод гостин" xfId="3940" xr:uid="{00000000-0005-0000-0000-000039280000}"/>
    <cellStyle name="Обычный 7 4" xfId="3941" xr:uid="{00000000-0005-0000-0000-00003A280000}"/>
    <cellStyle name="Обычный 7 5" xfId="3942" xr:uid="{00000000-0005-0000-0000-00003B280000}"/>
    <cellStyle name="Обычный 7 6" xfId="3943" xr:uid="{00000000-0005-0000-0000-00003C280000}"/>
    <cellStyle name="Обычный 7 7" xfId="3944" xr:uid="{00000000-0005-0000-0000-00003D280000}"/>
    <cellStyle name="Обычный 7_Свод гостин" xfId="3945" xr:uid="{00000000-0005-0000-0000-00003E280000}"/>
    <cellStyle name="Обычный 70" xfId="3946" xr:uid="{00000000-0005-0000-0000-00003F280000}"/>
    <cellStyle name="Обычный 71" xfId="3947" xr:uid="{00000000-0005-0000-0000-000040280000}"/>
    <cellStyle name="Обычный 72" xfId="3948" xr:uid="{00000000-0005-0000-0000-000041280000}"/>
    <cellStyle name="Обычный 73" xfId="3949" xr:uid="{00000000-0005-0000-0000-000042280000}"/>
    <cellStyle name="Обычный 73 2" xfId="11320" xr:uid="{00000000-0005-0000-0000-000043280000}"/>
    <cellStyle name="Обычный 74" xfId="3950" xr:uid="{00000000-0005-0000-0000-000044280000}"/>
    <cellStyle name="Обычный 75" xfId="3951" xr:uid="{00000000-0005-0000-0000-000045280000}"/>
    <cellStyle name="Обычный 76" xfId="3952" xr:uid="{00000000-0005-0000-0000-000046280000}"/>
    <cellStyle name="Обычный 77" xfId="3953" xr:uid="{00000000-0005-0000-0000-000047280000}"/>
    <cellStyle name="Обычный 78" xfId="3954" xr:uid="{00000000-0005-0000-0000-000048280000}"/>
    <cellStyle name="Обычный 79" xfId="3955" xr:uid="{00000000-0005-0000-0000-000049280000}"/>
    <cellStyle name="Обычный 8" xfId="3956" xr:uid="{00000000-0005-0000-0000-00004A280000}"/>
    <cellStyle name="Обычный 8 10" xfId="3957" xr:uid="{00000000-0005-0000-0000-00004B280000}"/>
    <cellStyle name="Обычный 8 2" xfId="3958" xr:uid="{00000000-0005-0000-0000-00004C280000}"/>
    <cellStyle name="Обычный 8 2 2" xfId="3959" xr:uid="{00000000-0005-0000-0000-00004D280000}"/>
    <cellStyle name="Обычный 8 2 2 2" xfId="3960" xr:uid="{00000000-0005-0000-0000-00004E280000}"/>
    <cellStyle name="Обычный 8 2 2 3" xfId="3961" xr:uid="{00000000-0005-0000-0000-00004F280000}"/>
    <cellStyle name="Обычный 8 2 2_ТУП" xfId="3962" xr:uid="{00000000-0005-0000-0000-000050280000}"/>
    <cellStyle name="Обычный 8 2 3" xfId="3963" xr:uid="{00000000-0005-0000-0000-000051280000}"/>
    <cellStyle name="Обычный 8 2 4" xfId="3964" xr:uid="{00000000-0005-0000-0000-000052280000}"/>
    <cellStyle name="Обычный 8 2 5" xfId="3965" xr:uid="{00000000-0005-0000-0000-000053280000}"/>
    <cellStyle name="Обычный 8 2 6" xfId="3966" xr:uid="{00000000-0005-0000-0000-000054280000}"/>
    <cellStyle name="Обычный 8 2_Свод гостин" xfId="3967" xr:uid="{00000000-0005-0000-0000-000055280000}"/>
    <cellStyle name="Обычный 8 3" xfId="3968" xr:uid="{00000000-0005-0000-0000-000056280000}"/>
    <cellStyle name="Обычный 8 3 2" xfId="3969" xr:uid="{00000000-0005-0000-0000-000057280000}"/>
    <cellStyle name="Обычный 8 3 3" xfId="3970" xr:uid="{00000000-0005-0000-0000-000058280000}"/>
    <cellStyle name="Обычный 8 3_ТУП" xfId="3971" xr:uid="{00000000-0005-0000-0000-000059280000}"/>
    <cellStyle name="Обычный 8 4" xfId="3972" xr:uid="{00000000-0005-0000-0000-00005A280000}"/>
    <cellStyle name="Обычный 8 5" xfId="3973" xr:uid="{00000000-0005-0000-0000-00005B280000}"/>
    <cellStyle name="Обычный 8 6" xfId="3974" xr:uid="{00000000-0005-0000-0000-00005C280000}"/>
    <cellStyle name="Обычный 8 7" xfId="3975" xr:uid="{00000000-0005-0000-0000-00005D280000}"/>
    <cellStyle name="Обычный 8 8" xfId="3976" xr:uid="{00000000-0005-0000-0000-00005E280000}"/>
    <cellStyle name="Обычный 8 9" xfId="3977" xr:uid="{00000000-0005-0000-0000-00005F280000}"/>
    <cellStyle name="Обычный 8_Свод гостин" xfId="3978" xr:uid="{00000000-0005-0000-0000-000060280000}"/>
    <cellStyle name="Обычный 80" xfId="3979" xr:uid="{00000000-0005-0000-0000-000061280000}"/>
    <cellStyle name="Обычный 81" xfId="3980" xr:uid="{00000000-0005-0000-0000-000062280000}"/>
    <cellStyle name="Обычный 82" xfId="3981" xr:uid="{00000000-0005-0000-0000-000063280000}"/>
    <cellStyle name="Обычный 83" xfId="3982" xr:uid="{00000000-0005-0000-0000-000064280000}"/>
    <cellStyle name="Обычный 84" xfId="3983" xr:uid="{00000000-0005-0000-0000-000065280000}"/>
    <cellStyle name="Обычный 85" xfId="3984" xr:uid="{00000000-0005-0000-0000-000066280000}"/>
    <cellStyle name="Обычный 85 2" xfId="11321" xr:uid="{00000000-0005-0000-0000-000067280000}"/>
    <cellStyle name="Обычный 86" xfId="3985" xr:uid="{00000000-0005-0000-0000-000068280000}"/>
    <cellStyle name="Обычный 87" xfId="3986" xr:uid="{00000000-0005-0000-0000-000069280000}"/>
    <cellStyle name="Обычный 88" xfId="3987" xr:uid="{00000000-0005-0000-0000-00006A280000}"/>
    <cellStyle name="Обычный 89" xfId="3988" xr:uid="{00000000-0005-0000-0000-00006B280000}"/>
    <cellStyle name="Обычный 9" xfId="3989" xr:uid="{00000000-0005-0000-0000-00006C280000}"/>
    <cellStyle name="Обычный 9 2" xfId="3990" xr:uid="{00000000-0005-0000-0000-00006D280000}"/>
    <cellStyle name="Обычный 9 3" xfId="3991" xr:uid="{00000000-0005-0000-0000-00006E280000}"/>
    <cellStyle name="Обычный 9 4" xfId="3992" xr:uid="{00000000-0005-0000-0000-00006F280000}"/>
    <cellStyle name="Обычный 9_Свод гостин" xfId="3993" xr:uid="{00000000-0005-0000-0000-000070280000}"/>
    <cellStyle name="Обычный 90" xfId="3994" xr:uid="{00000000-0005-0000-0000-000071280000}"/>
    <cellStyle name="Обычный 91" xfId="3995" xr:uid="{00000000-0005-0000-0000-000072280000}"/>
    <cellStyle name="Обычный 92" xfId="3996" xr:uid="{00000000-0005-0000-0000-000073280000}"/>
    <cellStyle name="Обычный 93" xfId="3997" xr:uid="{00000000-0005-0000-0000-000074280000}"/>
    <cellStyle name="Обычный 94" xfId="3998" xr:uid="{00000000-0005-0000-0000-000075280000}"/>
    <cellStyle name="Обычный 95" xfId="3999" xr:uid="{00000000-0005-0000-0000-000076280000}"/>
    <cellStyle name="Обычный 96" xfId="4000" xr:uid="{00000000-0005-0000-0000-000077280000}"/>
    <cellStyle name="Обычный 96 2" xfId="11322" xr:uid="{00000000-0005-0000-0000-000078280000}"/>
    <cellStyle name="Обычный 96 2 2" xfId="11323" xr:uid="{00000000-0005-0000-0000-000079280000}"/>
    <cellStyle name="Обычный 97" xfId="4001" xr:uid="{00000000-0005-0000-0000-00007A280000}"/>
    <cellStyle name="Обычный 97 2" xfId="11324" xr:uid="{00000000-0005-0000-0000-00007B280000}"/>
    <cellStyle name="Обычный 98" xfId="4002" xr:uid="{00000000-0005-0000-0000-00007C280000}"/>
    <cellStyle name="Обычный 99" xfId="4003" xr:uid="{00000000-0005-0000-0000-00007D280000}"/>
    <cellStyle name="основное" xfId="4004" xr:uid="{00000000-0005-0000-0000-00007E280000}"/>
    <cellStyle name="основное 2" xfId="4005" xr:uid="{00000000-0005-0000-0000-00007F280000}"/>
    <cellStyle name="основное 2 2" xfId="4006" xr:uid="{00000000-0005-0000-0000-000080280000}"/>
    <cellStyle name="основное 3" xfId="4007" xr:uid="{00000000-0005-0000-0000-000081280000}"/>
    <cellStyle name="Плохой 2" xfId="4008" xr:uid="{00000000-0005-0000-0000-000082280000}"/>
    <cellStyle name="Примечание 10" xfId="4009" xr:uid="{00000000-0005-0000-0000-000083280000}"/>
    <cellStyle name="Примечание 10 2" xfId="4010" xr:uid="{00000000-0005-0000-0000-000084280000}"/>
    <cellStyle name="Примечание 10 2 2" xfId="4011" xr:uid="{00000000-0005-0000-0000-000085280000}"/>
    <cellStyle name="Примечание 10 2 3" xfId="4012" xr:uid="{00000000-0005-0000-0000-000086280000}"/>
    <cellStyle name="Примечание 10 2 4" xfId="4013" xr:uid="{00000000-0005-0000-0000-000087280000}"/>
    <cellStyle name="Примечание 10 3" xfId="4014" xr:uid="{00000000-0005-0000-0000-000088280000}"/>
    <cellStyle name="Примечание 10 4" xfId="4015" xr:uid="{00000000-0005-0000-0000-000089280000}"/>
    <cellStyle name="Примечание 10 5" xfId="4016" xr:uid="{00000000-0005-0000-0000-00008A280000}"/>
    <cellStyle name="Примечание 10_Свод гостин" xfId="4017" xr:uid="{00000000-0005-0000-0000-00008B280000}"/>
    <cellStyle name="Примечание 11" xfId="4018" xr:uid="{00000000-0005-0000-0000-00008C280000}"/>
    <cellStyle name="Примечание 11 2" xfId="4019" xr:uid="{00000000-0005-0000-0000-00008D280000}"/>
    <cellStyle name="Примечание 11 2 2" xfId="4020" xr:uid="{00000000-0005-0000-0000-00008E280000}"/>
    <cellStyle name="Примечание 11 2 3" xfId="4021" xr:uid="{00000000-0005-0000-0000-00008F280000}"/>
    <cellStyle name="Примечание 11 2 4" xfId="4022" xr:uid="{00000000-0005-0000-0000-000090280000}"/>
    <cellStyle name="Примечание 11 3" xfId="4023" xr:uid="{00000000-0005-0000-0000-000091280000}"/>
    <cellStyle name="Примечание 11 4" xfId="4024" xr:uid="{00000000-0005-0000-0000-000092280000}"/>
    <cellStyle name="Примечание 11 5" xfId="4025" xr:uid="{00000000-0005-0000-0000-000093280000}"/>
    <cellStyle name="Примечание 11_Свод гостин" xfId="4026" xr:uid="{00000000-0005-0000-0000-000094280000}"/>
    <cellStyle name="Примечание 12" xfId="4027" xr:uid="{00000000-0005-0000-0000-000095280000}"/>
    <cellStyle name="Примечание 12 2" xfId="4028" xr:uid="{00000000-0005-0000-0000-000096280000}"/>
    <cellStyle name="Примечание 12 2 2" xfId="4029" xr:uid="{00000000-0005-0000-0000-000097280000}"/>
    <cellStyle name="Примечание 12 2 3" xfId="4030" xr:uid="{00000000-0005-0000-0000-000098280000}"/>
    <cellStyle name="Примечание 12 2 4" xfId="4031" xr:uid="{00000000-0005-0000-0000-000099280000}"/>
    <cellStyle name="Примечание 12 3" xfId="4032" xr:uid="{00000000-0005-0000-0000-00009A280000}"/>
    <cellStyle name="Примечание 12 4" xfId="4033" xr:uid="{00000000-0005-0000-0000-00009B280000}"/>
    <cellStyle name="Примечание 12 5" xfId="4034" xr:uid="{00000000-0005-0000-0000-00009C280000}"/>
    <cellStyle name="Примечание 12_Свод гостин" xfId="4035" xr:uid="{00000000-0005-0000-0000-00009D280000}"/>
    <cellStyle name="Примечание 13" xfId="4036" xr:uid="{00000000-0005-0000-0000-00009E280000}"/>
    <cellStyle name="Примечание 13 2" xfId="4037" xr:uid="{00000000-0005-0000-0000-00009F280000}"/>
    <cellStyle name="Примечание 13 2 2" xfId="4038" xr:uid="{00000000-0005-0000-0000-0000A0280000}"/>
    <cellStyle name="Примечание 13 2 3" xfId="4039" xr:uid="{00000000-0005-0000-0000-0000A1280000}"/>
    <cellStyle name="Примечание 13 2 4" xfId="4040" xr:uid="{00000000-0005-0000-0000-0000A2280000}"/>
    <cellStyle name="Примечание 13 3" xfId="4041" xr:uid="{00000000-0005-0000-0000-0000A3280000}"/>
    <cellStyle name="Примечание 13 4" xfId="4042" xr:uid="{00000000-0005-0000-0000-0000A4280000}"/>
    <cellStyle name="Примечание 13 5" xfId="4043" xr:uid="{00000000-0005-0000-0000-0000A5280000}"/>
    <cellStyle name="Примечание 13_Свод гостин" xfId="4044" xr:uid="{00000000-0005-0000-0000-0000A6280000}"/>
    <cellStyle name="Примечание 14" xfId="4045" xr:uid="{00000000-0005-0000-0000-0000A7280000}"/>
    <cellStyle name="Примечание 14 2" xfId="4046" xr:uid="{00000000-0005-0000-0000-0000A8280000}"/>
    <cellStyle name="Примечание 14 2 2" xfId="4047" xr:uid="{00000000-0005-0000-0000-0000A9280000}"/>
    <cellStyle name="Примечание 14 2 3" xfId="4048" xr:uid="{00000000-0005-0000-0000-0000AA280000}"/>
    <cellStyle name="Примечание 14 2 4" xfId="4049" xr:uid="{00000000-0005-0000-0000-0000AB280000}"/>
    <cellStyle name="Примечание 14 3" xfId="4050" xr:uid="{00000000-0005-0000-0000-0000AC280000}"/>
    <cellStyle name="Примечание 14 4" xfId="4051" xr:uid="{00000000-0005-0000-0000-0000AD280000}"/>
    <cellStyle name="Примечание 14 5" xfId="4052" xr:uid="{00000000-0005-0000-0000-0000AE280000}"/>
    <cellStyle name="Примечание 14_Свод гостин" xfId="4053" xr:uid="{00000000-0005-0000-0000-0000AF280000}"/>
    <cellStyle name="Примечание 15" xfId="4054" xr:uid="{00000000-0005-0000-0000-0000B0280000}"/>
    <cellStyle name="Примечание 15 2" xfId="4055" xr:uid="{00000000-0005-0000-0000-0000B1280000}"/>
    <cellStyle name="Примечание 15 2 2" xfId="4056" xr:uid="{00000000-0005-0000-0000-0000B2280000}"/>
    <cellStyle name="Примечание 15 2 3" xfId="4057" xr:uid="{00000000-0005-0000-0000-0000B3280000}"/>
    <cellStyle name="Примечание 15 2 4" xfId="4058" xr:uid="{00000000-0005-0000-0000-0000B4280000}"/>
    <cellStyle name="Примечание 15 3" xfId="4059" xr:uid="{00000000-0005-0000-0000-0000B5280000}"/>
    <cellStyle name="Примечание 15 4" xfId="4060" xr:uid="{00000000-0005-0000-0000-0000B6280000}"/>
    <cellStyle name="Примечание 15 5" xfId="4061" xr:uid="{00000000-0005-0000-0000-0000B7280000}"/>
    <cellStyle name="Примечание 15_Свод гостин" xfId="4062" xr:uid="{00000000-0005-0000-0000-0000B8280000}"/>
    <cellStyle name="Примечание 16" xfId="4063" xr:uid="{00000000-0005-0000-0000-0000B9280000}"/>
    <cellStyle name="Примечание 16 2" xfId="4064" xr:uid="{00000000-0005-0000-0000-0000BA280000}"/>
    <cellStyle name="Примечание 16 2 2" xfId="4065" xr:uid="{00000000-0005-0000-0000-0000BB280000}"/>
    <cellStyle name="Примечание 16 2 3" xfId="4066" xr:uid="{00000000-0005-0000-0000-0000BC280000}"/>
    <cellStyle name="Примечание 16 2 4" xfId="4067" xr:uid="{00000000-0005-0000-0000-0000BD280000}"/>
    <cellStyle name="Примечание 16 3" xfId="4068" xr:uid="{00000000-0005-0000-0000-0000BE280000}"/>
    <cellStyle name="Примечание 16 4" xfId="4069" xr:uid="{00000000-0005-0000-0000-0000BF280000}"/>
    <cellStyle name="Примечание 16 5" xfId="4070" xr:uid="{00000000-0005-0000-0000-0000C0280000}"/>
    <cellStyle name="Примечание 16_Свод гостин" xfId="4071" xr:uid="{00000000-0005-0000-0000-0000C1280000}"/>
    <cellStyle name="Примечание 17" xfId="4072" xr:uid="{00000000-0005-0000-0000-0000C2280000}"/>
    <cellStyle name="Примечание 17 2" xfId="4073" xr:uid="{00000000-0005-0000-0000-0000C3280000}"/>
    <cellStyle name="Примечание 17 2 2" xfId="4074" xr:uid="{00000000-0005-0000-0000-0000C4280000}"/>
    <cellStyle name="Примечание 17 2 3" xfId="4075" xr:uid="{00000000-0005-0000-0000-0000C5280000}"/>
    <cellStyle name="Примечание 17 2 4" xfId="4076" xr:uid="{00000000-0005-0000-0000-0000C6280000}"/>
    <cellStyle name="Примечание 17 3" xfId="4077" xr:uid="{00000000-0005-0000-0000-0000C7280000}"/>
    <cellStyle name="Примечание 17 4" xfId="4078" xr:uid="{00000000-0005-0000-0000-0000C8280000}"/>
    <cellStyle name="Примечание 17 5" xfId="4079" xr:uid="{00000000-0005-0000-0000-0000C9280000}"/>
    <cellStyle name="Примечание 17_Свод гостин" xfId="4080" xr:uid="{00000000-0005-0000-0000-0000CA280000}"/>
    <cellStyle name="Примечание 18" xfId="4081" xr:uid="{00000000-0005-0000-0000-0000CB280000}"/>
    <cellStyle name="Примечание 18 2" xfId="4082" xr:uid="{00000000-0005-0000-0000-0000CC280000}"/>
    <cellStyle name="Примечание 18 2 2" xfId="4083" xr:uid="{00000000-0005-0000-0000-0000CD280000}"/>
    <cellStyle name="Примечание 18 2 3" xfId="4084" xr:uid="{00000000-0005-0000-0000-0000CE280000}"/>
    <cellStyle name="Примечание 18 2 4" xfId="4085" xr:uid="{00000000-0005-0000-0000-0000CF280000}"/>
    <cellStyle name="Примечание 18 3" xfId="4086" xr:uid="{00000000-0005-0000-0000-0000D0280000}"/>
    <cellStyle name="Примечание 18 4" xfId="4087" xr:uid="{00000000-0005-0000-0000-0000D1280000}"/>
    <cellStyle name="Примечание 18 5" xfId="4088" xr:uid="{00000000-0005-0000-0000-0000D2280000}"/>
    <cellStyle name="Примечание 18_Свод гостин" xfId="4089" xr:uid="{00000000-0005-0000-0000-0000D3280000}"/>
    <cellStyle name="Примечание 19" xfId="4090" xr:uid="{00000000-0005-0000-0000-0000D4280000}"/>
    <cellStyle name="Примечание 19 2" xfId="4091" xr:uid="{00000000-0005-0000-0000-0000D5280000}"/>
    <cellStyle name="Примечание 19 2 2" xfId="4092" xr:uid="{00000000-0005-0000-0000-0000D6280000}"/>
    <cellStyle name="Примечание 19 2 3" xfId="4093" xr:uid="{00000000-0005-0000-0000-0000D7280000}"/>
    <cellStyle name="Примечание 19 2 4" xfId="4094" xr:uid="{00000000-0005-0000-0000-0000D8280000}"/>
    <cellStyle name="Примечание 19 3" xfId="4095" xr:uid="{00000000-0005-0000-0000-0000D9280000}"/>
    <cellStyle name="Примечание 19 4" xfId="4096" xr:uid="{00000000-0005-0000-0000-0000DA280000}"/>
    <cellStyle name="Примечание 19 5" xfId="4097" xr:uid="{00000000-0005-0000-0000-0000DB280000}"/>
    <cellStyle name="Примечание 19_Свод гостин" xfId="4098" xr:uid="{00000000-0005-0000-0000-0000DC280000}"/>
    <cellStyle name="Примечание 2" xfId="4099" xr:uid="{00000000-0005-0000-0000-0000DD280000}"/>
    <cellStyle name="Примечание 2 2" xfId="11325" xr:uid="{00000000-0005-0000-0000-0000DE280000}"/>
    <cellStyle name="Примечание 20" xfId="4100" xr:uid="{00000000-0005-0000-0000-0000DF280000}"/>
    <cellStyle name="Примечание 20 2" xfId="4101" xr:uid="{00000000-0005-0000-0000-0000E0280000}"/>
    <cellStyle name="Примечание 20 2 2" xfId="4102" xr:uid="{00000000-0005-0000-0000-0000E1280000}"/>
    <cellStyle name="Примечание 20 2 3" xfId="4103" xr:uid="{00000000-0005-0000-0000-0000E2280000}"/>
    <cellStyle name="Примечание 20 2 4" xfId="4104" xr:uid="{00000000-0005-0000-0000-0000E3280000}"/>
    <cellStyle name="Примечание 20 3" xfId="4105" xr:uid="{00000000-0005-0000-0000-0000E4280000}"/>
    <cellStyle name="Примечание 20 4" xfId="4106" xr:uid="{00000000-0005-0000-0000-0000E5280000}"/>
    <cellStyle name="Примечание 20 5" xfId="4107" xr:uid="{00000000-0005-0000-0000-0000E6280000}"/>
    <cellStyle name="Примечание 20_Свод гостин" xfId="4108" xr:uid="{00000000-0005-0000-0000-0000E7280000}"/>
    <cellStyle name="Примечание 21" xfId="4109" xr:uid="{00000000-0005-0000-0000-0000E8280000}"/>
    <cellStyle name="Примечание 21 2" xfId="4110" xr:uid="{00000000-0005-0000-0000-0000E9280000}"/>
    <cellStyle name="Примечание 21 2 2" xfId="4111" xr:uid="{00000000-0005-0000-0000-0000EA280000}"/>
    <cellStyle name="Примечание 21 2 3" xfId="4112" xr:uid="{00000000-0005-0000-0000-0000EB280000}"/>
    <cellStyle name="Примечание 21 2 4" xfId="4113" xr:uid="{00000000-0005-0000-0000-0000EC280000}"/>
    <cellStyle name="Примечание 21 3" xfId="4114" xr:uid="{00000000-0005-0000-0000-0000ED280000}"/>
    <cellStyle name="Примечание 21 4" xfId="4115" xr:uid="{00000000-0005-0000-0000-0000EE280000}"/>
    <cellStyle name="Примечание 21 5" xfId="4116" xr:uid="{00000000-0005-0000-0000-0000EF280000}"/>
    <cellStyle name="Примечание 21_Свод гостин" xfId="4117" xr:uid="{00000000-0005-0000-0000-0000F0280000}"/>
    <cellStyle name="Примечание 22" xfId="4118" xr:uid="{00000000-0005-0000-0000-0000F1280000}"/>
    <cellStyle name="Примечание 22 2" xfId="4119" xr:uid="{00000000-0005-0000-0000-0000F2280000}"/>
    <cellStyle name="Примечание 22 2 2" xfId="4120" xr:uid="{00000000-0005-0000-0000-0000F3280000}"/>
    <cellStyle name="Примечание 22 2 3" xfId="4121" xr:uid="{00000000-0005-0000-0000-0000F4280000}"/>
    <cellStyle name="Примечание 22 2 4" xfId="4122" xr:uid="{00000000-0005-0000-0000-0000F5280000}"/>
    <cellStyle name="Примечание 22 3" xfId="4123" xr:uid="{00000000-0005-0000-0000-0000F6280000}"/>
    <cellStyle name="Примечание 22 4" xfId="4124" xr:uid="{00000000-0005-0000-0000-0000F7280000}"/>
    <cellStyle name="Примечание 22 5" xfId="4125" xr:uid="{00000000-0005-0000-0000-0000F8280000}"/>
    <cellStyle name="Примечание 22_Свод гостин" xfId="4126" xr:uid="{00000000-0005-0000-0000-0000F9280000}"/>
    <cellStyle name="Примечание 23" xfId="4127" xr:uid="{00000000-0005-0000-0000-0000FA280000}"/>
    <cellStyle name="Примечание 23 2" xfId="4128" xr:uid="{00000000-0005-0000-0000-0000FB280000}"/>
    <cellStyle name="Примечание 23 2 2" xfId="4129" xr:uid="{00000000-0005-0000-0000-0000FC280000}"/>
    <cellStyle name="Примечание 23 2 3" xfId="4130" xr:uid="{00000000-0005-0000-0000-0000FD280000}"/>
    <cellStyle name="Примечание 23 2 4" xfId="4131" xr:uid="{00000000-0005-0000-0000-0000FE280000}"/>
    <cellStyle name="Примечание 23 3" xfId="4132" xr:uid="{00000000-0005-0000-0000-0000FF280000}"/>
    <cellStyle name="Примечание 23 4" xfId="4133" xr:uid="{00000000-0005-0000-0000-000000290000}"/>
    <cellStyle name="Примечание 23 5" xfId="4134" xr:uid="{00000000-0005-0000-0000-000001290000}"/>
    <cellStyle name="Примечание 23_Свод гостин" xfId="4135" xr:uid="{00000000-0005-0000-0000-000002290000}"/>
    <cellStyle name="Примечание 24" xfId="4136" xr:uid="{00000000-0005-0000-0000-000003290000}"/>
    <cellStyle name="Примечание 24 2" xfId="4137" xr:uid="{00000000-0005-0000-0000-000004290000}"/>
    <cellStyle name="Примечание 24 2 2" xfId="4138" xr:uid="{00000000-0005-0000-0000-000005290000}"/>
    <cellStyle name="Примечание 24 2 3" xfId="4139" xr:uid="{00000000-0005-0000-0000-000006290000}"/>
    <cellStyle name="Примечание 24 2 4" xfId="4140" xr:uid="{00000000-0005-0000-0000-000007290000}"/>
    <cellStyle name="Примечание 24 3" xfId="4141" xr:uid="{00000000-0005-0000-0000-000008290000}"/>
    <cellStyle name="Примечание 24 4" xfId="4142" xr:uid="{00000000-0005-0000-0000-000009290000}"/>
    <cellStyle name="Примечание 24 5" xfId="4143" xr:uid="{00000000-0005-0000-0000-00000A290000}"/>
    <cellStyle name="Примечание 24_Свод гостин" xfId="4144" xr:uid="{00000000-0005-0000-0000-00000B290000}"/>
    <cellStyle name="Примечание 25" xfId="4145" xr:uid="{00000000-0005-0000-0000-00000C290000}"/>
    <cellStyle name="Примечание 25 2" xfId="4146" xr:uid="{00000000-0005-0000-0000-00000D290000}"/>
    <cellStyle name="Примечание 25 2 2" xfId="4147" xr:uid="{00000000-0005-0000-0000-00000E290000}"/>
    <cellStyle name="Примечание 25 2 3" xfId="4148" xr:uid="{00000000-0005-0000-0000-00000F290000}"/>
    <cellStyle name="Примечание 25 2 4" xfId="4149" xr:uid="{00000000-0005-0000-0000-000010290000}"/>
    <cellStyle name="Примечание 25 3" xfId="4150" xr:uid="{00000000-0005-0000-0000-000011290000}"/>
    <cellStyle name="Примечание 25 4" xfId="4151" xr:uid="{00000000-0005-0000-0000-000012290000}"/>
    <cellStyle name="Примечание 25 5" xfId="4152" xr:uid="{00000000-0005-0000-0000-000013290000}"/>
    <cellStyle name="Примечание 25_Свод гостин" xfId="4153" xr:uid="{00000000-0005-0000-0000-000014290000}"/>
    <cellStyle name="Примечание 26" xfId="4154" xr:uid="{00000000-0005-0000-0000-000015290000}"/>
    <cellStyle name="Примечание 26 2" xfId="4155" xr:uid="{00000000-0005-0000-0000-000016290000}"/>
    <cellStyle name="Примечание 26 2 2" xfId="4156" xr:uid="{00000000-0005-0000-0000-000017290000}"/>
    <cellStyle name="Примечание 26 2 3" xfId="4157" xr:uid="{00000000-0005-0000-0000-000018290000}"/>
    <cellStyle name="Примечание 26 2 4" xfId="4158" xr:uid="{00000000-0005-0000-0000-000019290000}"/>
    <cellStyle name="Примечание 26 3" xfId="4159" xr:uid="{00000000-0005-0000-0000-00001A290000}"/>
    <cellStyle name="Примечание 26 4" xfId="4160" xr:uid="{00000000-0005-0000-0000-00001B290000}"/>
    <cellStyle name="Примечание 26 5" xfId="4161" xr:uid="{00000000-0005-0000-0000-00001C290000}"/>
    <cellStyle name="Примечание 26_Свод гостин" xfId="4162" xr:uid="{00000000-0005-0000-0000-00001D290000}"/>
    <cellStyle name="Примечание 27" xfId="4163" xr:uid="{00000000-0005-0000-0000-00001E290000}"/>
    <cellStyle name="Примечание 27 2" xfId="4164" xr:uid="{00000000-0005-0000-0000-00001F290000}"/>
    <cellStyle name="Примечание 27 2 2" xfId="4165" xr:uid="{00000000-0005-0000-0000-000020290000}"/>
    <cellStyle name="Примечание 27 2 3" xfId="4166" xr:uid="{00000000-0005-0000-0000-000021290000}"/>
    <cellStyle name="Примечание 27 2 4" xfId="4167" xr:uid="{00000000-0005-0000-0000-000022290000}"/>
    <cellStyle name="Примечание 27 3" xfId="4168" xr:uid="{00000000-0005-0000-0000-000023290000}"/>
    <cellStyle name="Примечание 27 4" xfId="4169" xr:uid="{00000000-0005-0000-0000-000024290000}"/>
    <cellStyle name="Примечание 27 5" xfId="4170" xr:uid="{00000000-0005-0000-0000-000025290000}"/>
    <cellStyle name="Примечание 27_Свод гостин" xfId="4171" xr:uid="{00000000-0005-0000-0000-000026290000}"/>
    <cellStyle name="Примечание 28" xfId="4172" xr:uid="{00000000-0005-0000-0000-000027290000}"/>
    <cellStyle name="Примечание 28 2" xfId="4173" xr:uid="{00000000-0005-0000-0000-000028290000}"/>
    <cellStyle name="Примечание 28 2 2" xfId="4174" xr:uid="{00000000-0005-0000-0000-000029290000}"/>
    <cellStyle name="Примечание 28 2 3" xfId="4175" xr:uid="{00000000-0005-0000-0000-00002A290000}"/>
    <cellStyle name="Примечание 28 2 4" xfId="4176" xr:uid="{00000000-0005-0000-0000-00002B290000}"/>
    <cellStyle name="Примечание 28 3" xfId="4177" xr:uid="{00000000-0005-0000-0000-00002C290000}"/>
    <cellStyle name="Примечание 28 4" xfId="4178" xr:uid="{00000000-0005-0000-0000-00002D290000}"/>
    <cellStyle name="Примечание 28 5" xfId="4179" xr:uid="{00000000-0005-0000-0000-00002E290000}"/>
    <cellStyle name="Примечание 28_Свод гостин" xfId="4180" xr:uid="{00000000-0005-0000-0000-00002F290000}"/>
    <cellStyle name="Примечание 29" xfId="4181" xr:uid="{00000000-0005-0000-0000-000030290000}"/>
    <cellStyle name="Примечание 29 2" xfId="4182" xr:uid="{00000000-0005-0000-0000-000031290000}"/>
    <cellStyle name="Примечание 29 2 2" xfId="4183" xr:uid="{00000000-0005-0000-0000-000032290000}"/>
    <cellStyle name="Примечание 29 2 3" xfId="4184" xr:uid="{00000000-0005-0000-0000-000033290000}"/>
    <cellStyle name="Примечание 29 2 4" xfId="4185" xr:uid="{00000000-0005-0000-0000-000034290000}"/>
    <cellStyle name="Примечание 29 3" xfId="4186" xr:uid="{00000000-0005-0000-0000-000035290000}"/>
    <cellStyle name="Примечание 29 4" xfId="4187" xr:uid="{00000000-0005-0000-0000-000036290000}"/>
    <cellStyle name="Примечание 29 5" xfId="4188" xr:uid="{00000000-0005-0000-0000-000037290000}"/>
    <cellStyle name="Примечание 29_Свод гостин" xfId="4189" xr:uid="{00000000-0005-0000-0000-000038290000}"/>
    <cellStyle name="Примечание 3" xfId="4190" xr:uid="{00000000-0005-0000-0000-000039290000}"/>
    <cellStyle name="Примечание 3 2" xfId="11326" xr:uid="{00000000-0005-0000-0000-00003A290000}"/>
    <cellStyle name="Примечание 30" xfId="4191" xr:uid="{00000000-0005-0000-0000-00003B290000}"/>
    <cellStyle name="Примечание 30 2" xfId="4192" xr:uid="{00000000-0005-0000-0000-00003C290000}"/>
    <cellStyle name="Примечание 30 2 2" xfId="4193" xr:uid="{00000000-0005-0000-0000-00003D290000}"/>
    <cellStyle name="Примечание 30 2 3" xfId="4194" xr:uid="{00000000-0005-0000-0000-00003E290000}"/>
    <cellStyle name="Примечание 30 2 4" xfId="4195" xr:uid="{00000000-0005-0000-0000-00003F290000}"/>
    <cellStyle name="Примечание 30 3" xfId="4196" xr:uid="{00000000-0005-0000-0000-000040290000}"/>
    <cellStyle name="Примечание 30 4" xfId="4197" xr:uid="{00000000-0005-0000-0000-000041290000}"/>
    <cellStyle name="Примечание 30 5" xfId="4198" xr:uid="{00000000-0005-0000-0000-000042290000}"/>
    <cellStyle name="Примечание 30_Свод гостин" xfId="4199" xr:uid="{00000000-0005-0000-0000-000043290000}"/>
    <cellStyle name="Примечание 31" xfId="4200" xr:uid="{00000000-0005-0000-0000-000044290000}"/>
    <cellStyle name="Примечание 31 2" xfId="4201" xr:uid="{00000000-0005-0000-0000-000045290000}"/>
    <cellStyle name="Примечание 31 2 2" xfId="4202" xr:uid="{00000000-0005-0000-0000-000046290000}"/>
    <cellStyle name="Примечание 31 2 3" xfId="4203" xr:uid="{00000000-0005-0000-0000-000047290000}"/>
    <cellStyle name="Примечание 31 2 4" xfId="4204" xr:uid="{00000000-0005-0000-0000-000048290000}"/>
    <cellStyle name="Примечание 31 3" xfId="4205" xr:uid="{00000000-0005-0000-0000-000049290000}"/>
    <cellStyle name="Примечание 31 4" xfId="4206" xr:uid="{00000000-0005-0000-0000-00004A290000}"/>
    <cellStyle name="Примечание 31 5" xfId="4207" xr:uid="{00000000-0005-0000-0000-00004B290000}"/>
    <cellStyle name="Примечание 31_Свод гостин" xfId="4208" xr:uid="{00000000-0005-0000-0000-00004C290000}"/>
    <cellStyle name="Примечание 32" xfId="4209" xr:uid="{00000000-0005-0000-0000-00004D290000}"/>
    <cellStyle name="Примечание 32 2" xfId="4210" xr:uid="{00000000-0005-0000-0000-00004E290000}"/>
    <cellStyle name="Примечание 32 2 2" xfId="4211" xr:uid="{00000000-0005-0000-0000-00004F290000}"/>
    <cellStyle name="Примечание 32 2 3" xfId="4212" xr:uid="{00000000-0005-0000-0000-000050290000}"/>
    <cellStyle name="Примечание 32 2 4" xfId="4213" xr:uid="{00000000-0005-0000-0000-000051290000}"/>
    <cellStyle name="Примечание 32 3" xfId="4214" xr:uid="{00000000-0005-0000-0000-000052290000}"/>
    <cellStyle name="Примечание 32 4" xfId="4215" xr:uid="{00000000-0005-0000-0000-000053290000}"/>
    <cellStyle name="Примечание 32 5" xfId="4216" xr:uid="{00000000-0005-0000-0000-000054290000}"/>
    <cellStyle name="Примечание 32_Свод гостин" xfId="4217" xr:uid="{00000000-0005-0000-0000-000055290000}"/>
    <cellStyle name="Примечание 33" xfId="4218" xr:uid="{00000000-0005-0000-0000-000056290000}"/>
    <cellStyle name="Примечание 33 2" xfId="4219" xr:uid="{00000000-0005-0000-0000-000057290000}"/>
    <cellStyle name="Примечание 33 2 2" xfId="4220" xr:uid="{00000000-0005-0000-0000-000058290000}"/>
    <cellStyle name="Примечание 33 2 3" xfId="4221" xr:uid="{00000000-0005-0000-0000-000059290000}"/>
    <cellStyle name="Примечание 33 2 4" xfId="4222" xr:uid="{00000000-0005-0000-0000-00005A290000}"/>
    <cellStyle name="Примечание 33 3" xfId="4223" xr:uid="{00000000-0005-0000-0000-00005B290000}"/>
    <cellStyle name="Примечание 33 4" xfId="4224" xr:uid="{00000000-0005-0000-0000-00005C290000}"/>
    <cellStyle name="Примечание 33 5" xfId="4225" xr:uid="{00000000-0005-0000-0000-00005D290000}"/>
    <cellStyle name="Примечание 33_Свод гостин" xfId="4226" xr:uid="{00000000-0005-0000-0000-00005E290000}"/>
    <cellStyle name="Примечание 34" xfId="4227" xr:uid="{00000000-0005-0000-0000-00005F290000}"/>
    <cellStyle name="Примечание 34 2" xfId="4228" xr:uid="{00000000-0005-0000-0000-000060290000}"/>
    <cellStyle name="Примечание 34 2 2" xfId="4229" xr:uid="{00000000-0005-0000-0000-000061290000}"/>
    <cellStyle name="Примечание 34 2 3" xfId="4230" xr:uid="{00000000-0005-0000-0000-000062290000}"/>
    <cellStyle name="Примечание 34 2 4" xfId="4231" xr:uid="{00000000-0005-0000-0000-000063290000}"/>
    <cellStyle name="Примечание 34 3" xfId="4232" xr:uid="{00000000-0005-0000-0000-000064290000}"/>
    <cellStyle name="Примечание 34 4" xfId="4233" xr:uid="{00000000-0005-0000-0000-000065290000}"/>
    <cellStyle name="Примечание 34 5" xfId="4234" xr:uid="{00000000-0005-0000-0000-000066290000}"/>
    <cellStyle name="Примечание 34_Свод гостин" xfId="4235" xr:uid="{00000000-0005-0000-0000-000067290000}"/>
    <cellStyle name="Примечание 35" xfId="4236" xr:uid="{00000000-0005-0000-0000-000068290000}"/>
    <cellStyle name="Примечание 35 2" xfId="4237" xr:uid="{00000000-0005-0000-0000-000069290000}"/>
    <cellStyle name="Примечание 35 2 2" xfId="4238" xr:uid="{00000000-0005-0000-0000-00006A290000}"/>
    <cellStyle name="Примечание 35 2 3" xfId="4239" xr:uid="{00000000-0005-0000-0000-00006B290000}"/>
    <cellStyle name="Примечание 35 2 4" xfId="4240" xr:uid="{00000000-0005-0000-0000-00006C290000}"/>
    <cellStyle name="Примечание 35 3" xfId="4241" xr:uid="{00000000-0005-0000-0000-00006D290000}"/>
    <cellStyle name="Примечание 35 4" xfId="4242" xr:uid="{00000000-0005-0000-0000-00006E290000}"/>
    <cellStyle name="Примечание 35 5" xfId="4243" xr:uid="{00000000-0005-0000-0000-00006F290000}"/>
    <cellStyle name="Примечание 35_Свод гостин" xfId="4244" xr:uid="{00000000-0005-0000-0000-000070290000}"/>
    <cellStyle name="Примечание 36" xfId="4245" xr:uid="{00000000-0005-0000-0000-000071290000}"/>
    <cellStyle name="Примечание 36 2" xfId="4246" xr:uid="{00000000-0005-0000-0000-000072290000}"/>
    <cellStyle name="Примечание 36 2 2" xfId="4247" xr:uid="{00000000-0005-0000-0000-000073290000}"/>
    <cellStyle name="Примечание 36 2 3" xfId="4248" xr:uid="{00000000-0005-0000-0000-000074290000}"/>
    <cellStyle name="Примечание 36 2 4" xfId="4249" xr:uid="{00000000-0005-0000-0000-000075290000}"/>
    <cellStyle name="Примечание 36 3" xfId="4250" xr:uid="{00000000-0005-0000-0000-000076290000}"/>
    <cellStyle name="Примечание 36 4" xfId="4251" xr:uid="{00000000-0005-0000-0000-000077290000}"/>
    <cellStyle name="Примечание 36 5" xfId="4252" xr:uid="{00000000-0005-0000-0000-000078290000}"/>
    <cellStyle name="Примечание 36_Свод гостин" xfId="4253" xr:uid="{00000000-0005-0000-0000-000079290000}"/>
    <cellStyle name="Примечание 37" xfId="4254" xr:uid="{00000000-0005-0000-0000-00007A290000}"/>
    <cellStyle name="Примечание 37 2" xfId="4255" xr:uid="{00000000-0005-0000-0000-00007B290000}"/>
    <cellStyle name="Примечание 37 2 2" xfId="4256" xr:uid="{00000000-0005-0000-0000-00007C290000}"/>
    <cellStyle name="Примечание 37 2 3" xfId="4257" xr:uid="{00000000-0005-0000-0000-00007D290000}"/>
    <cellStyle name="Примечание 37 2 4" xfId="4258" xr:uid="{00000000-0005-0000-0000-00007E290000}"/>
    <cellStyle name="Примечание 37 3" xfId="4259" xr:uid="{00000000-0005-0000-0000-00007F290000}"/>
    <cellStyle name="Примечание 37 4" xfId="4260" xr:uid="{00000000-0005-0000-0000-000080290000}"/>
    <cellStyle name="Примечание 37 5" xfId="4261" xr:uid="{00000000-0005-0000-0000-000081290000}"/>
    <cellStyle name="Примечание 37_Свод гостин" xfId="4262" xr:uid="{00000000-0005-0000-0000-000082290000}"/>
    <cellStyle name="Примечание 38" xfId="4263" xr:uid="{00000000-0005-0000-0000-000083290000}"/>
    <cellStyle name="Примечание 38 2" xfId="4264" xr:uid="{00000000-0005-0000-0000-000084290000}"/>
    <cellStyle name="Примечание 38 2 2" xfId="4265" xr:uid="{00000000-0005-0000-0000-000085290000}"/>
    <cellStyle name="Примечание 38 2 3" xfId="4266" xr:uid="{00000000-0005-0000-0000-000086290000}"/>
    <cellStyle name="Примечание 38 2 4" xfId="4267" xr:uid="{00000000-0005-0000-0000-000087290000}"/>
    <cellStyle name="Примечание 38 3" xfId="4268" xr:uid="{00000000-0005-0000-0000-000088290000}"/>
    <cellStyle name="Примечание 38 4" xfId="4269" xr:uid="{00000000-0005-0000-0000-000089290000}"/>
    <cellStyle name="Примечание 38 5" xfId="4270" xr:uid="{00000000-0005-0000-0000-00008A290000}"/>
    <cellStyle name="Примечание 38_Свод гостин" xfId="4271" xr:uid="{00000000-0005-0000-0000-00008B290000}"/>
    <cellStyle name="Примечание 39" xfId="4272" xr:uid="{00000000-0005-0000-0000-00008C290000}"/>
    <cellStyle name="Примечание 39 2" xfId="4273" xr:uid="{00000000-0005-0000-0000-00008D290000}"/>
    <cellStyle name="Примечание 39 2 2" xfId="4274" xr:uid="{00000000-0005-0000-0000-00008E290000}"/>
    <cellStyle name="Примечание 39 2 3" xfId="4275" xr:uid="{00000000-0005-0000-0000-00008F290000}"/>
    <cellStyle name="Примечание 39 2 4" xfId="4276" xr:uid="{00000000-0005-0000-0000-000090290000}"/>
    <cellStyle name="Примечание 39 3" xfId="4277" xr:uid="{00000000-0005-0000-0000-000091290000}"/>
    <cellStyle name="Примечание 39 4" xfId="4278" xr:uid="{00000000-0005-0000-0000-000092290000}"/>
    <cellStyle name="Примечание 39 5" xfId="4279" xr:uid="{00000000-0005-0000-0000-000093290000}"/>
    <cellStyle name="Примечание 39_Свод гостин" xfId="4280" xr:uid="{00000000-0005-0000-0000-000094290000}"/>
    <cellStyle name="Примечание 4" xfId="4281" xr:uid="{00000000-0005-0000-0000-000095290000}"/>
    <cellStyle name="Примечание 4 2" xfId="4282" xr:uid="{00000000-0005-0000-0000-000096290000}"/>
    <cellStyle name="Примечание 4 3" xfId="4283" xr:uid="{00000000-0005-0000-0000-000097290000}"/>
    <cellStyle name="Примечание 40" xfId="4284" xr:uid="{00000000-0005-0000-0000-000098290000}"/>
    <cellStyle name="Примечание 40 2" xfId="4285" xr:uid="{00000000-0005-0000-0000-000099290000}"/>
    <cellStyle name="Примечание 40 2 2" xfId="4286" xr:uid="{00000000-0005-0000-0000-00009A290000}"/>
    <cellStyle name="Примечание 40 2 3" xfId="4287" xr:uid="{00000000-0005-0000-0000-00009B290000}"/>
    <cellStyle name="Примечание 40 2 4" xfId="4288" xr:uid="{00000000-0005-0000-0000-00009C290000}"/>
    <cellStyle name="Примечание 40 3" xfId="4289" xr:uid="{00000000-0005-0000-0000-00009D290000}"/>
    <cellStyle name="Примечание 40 4" xfId="4290" xr:uid="{00000000-0005-0000-0000-00009E290000}"/>
    <cellStyle name="Примечание 40 5" xfId="4291" xr:uid="{00000000-0005-0000-0000-00009F290000}"/>
    <cellStyle name="Примечание 40_Свод гостин" xfId="4292" xr:uid="{00000000-0005-0000-0000-0000A0290000}"/>
    <cellStyle name="Примечание 41" xfId="4293" xr:uid="{00000000-0005-0000-0000-0000A1290000}"/>
    <cellStyle name="Примечание 41 2" xfId="4294" xr:uid="{00000000-0005-0000-0000-0000A2290000}"/>
    <cellStyle name="Примечание 41 2 2" xfId="4295" xr:uid="{00000000-0005-0000-0000-0000A3290000}"/>
    <cellStyle name="Примечание 41 2 3" xfId="4296" xr:uid="{00000000-0005-0000-0000-0000A4290000}"/>
    <cellStyle name="Примечание 41 2 4" xfId="4297" xr:uid="{00000000-0005-0000-0000-0000A5290000}"/>
    <cellStyle name="Примечание 41 3" xfId="4298" xr:uid="{00000000-0005-0000-0000-0000A6290000}"/>
    <cellStyle name="Примечание 41 4" xfId="4299" xr:uid="{00000000-0005-0000-0000-0000A7290000}"/>
    <cellStyle name="Примечание 41 5" xfId="4300" xr:uid="{00000000-0005-0000-0000-0000A8290000}"/>
    <cellStyle name="Примечание 41_Свод гостин" xfId="4301" xr:uid="{00000000-0005-0000-0000-0000A9290000}"/>
    <cellStyle name="Примечание 42" xfId="4302" xr:uid="{00000000-0005-0000-0000-0000AA290000}"/>
    <cellStyle name="Примечание 42 2" xfId="4303" xr:uid="{00000000-0005-0000-0000-0000AB290000}"/>
    <cellStyle name="Примечание 42 2 2" xfId="4304" xr:uid="{00000000-0005-0000-0000-0000AC290000}"/>
    <cellStyle name="Примечание 42 2 3" xfId="4305" xr:uid="{00000000-0005-0000-0000-0000AD290000}"/>
    <cellStyle name="Примечание 42 2 4" xfId="4306" xr:uid="{00000000-0005-0000-0000-0000AE290000}"/>
    <cellStyle name="Примечание 42 3" xfId="4307" xr:uid="{00000000-0005-0000-0000-0000AF290000}"/>
    <cellStyle name="Примечание 42 4" xfId="4308" xr:uid="{00000000-0005-0000-0000-0000B0290000}"/>
    <cellStyle name="Примечание 42 5" xfId="4309" xr:uid="{00000000-0005-0000-0000-0000B1290000}"/>
    <cellStyle name="Примечание 42_Свод гостин" xfId="4310" xr:uid="{00000000-0005-0000-0000-0000B2290000}"/>
    <cellStyle name="Примечание 43" xfId="4311" xr:uid="{00000000-0005-0000-0000-0000B3290000}"/>
    <cellStyle name="Примечание 43 2" xfId="4312" xr:uid="{00000000-0005-0000-0000-0000B4290000}"/>
    <cellStyle name="Примечание 43 2 2" xfId="4313" xr:uid="{00000000-0005-0000-0000-0000B5290000}"/>
    <cellStyle name="Примечание 43 2 3" xfId="4314" xr:uid="{00000000-0005-0000-0000-0000B6290000}"/>
    <cellStyle name="Примечание 43 2 4" xfId="4315" xr:uid="{00000000-0005-0000-0000-0000B7290000}"/>
    <cellStyle name="Примечание 43 3" xfId="4316" xr:uid="{00000000-0005-0000-0000-0000B8290000}"/>
    <cellStyle name="Примечание 43 4" xfId="4317" xr:uid="{00000000-0005-0000-0000-0000B9290000}"/>
    <cellStyle name="Примечание 43 5" xfId="4318" xr:uid="{00000000-0005-0000-0000-0000BA290000}"/>
    <cellStyle name="Примечание 43_Свод гостин" xfId="4319" xr:uid="{00000000-0005-0000-0000-0000BB290000}"/>
    <cellStyle name="Примечание 44" xfId="4320" xr:uid="{00000000-0005-0000-0000-0000BC290000}"/>
    <cellStyle name="Примечание 44 2" xfId="4321" xr:uid="{00000000-0005-0000-0000-0000BD290000}"/>
    <cellStyle name="Примечание 44 2 2" xfId="4322" xr:uid="{00000000-0005-0000-0000-0000BE290000}"/>
    <cellStyle name="Примечание 44 2 3" xfId="4323" xr:uid="{00000000-0005-0000-0000-0000BF290000}"/>
    <cellStyle name="Примечание 44 2 4" xfId="4324" xr:uid="{00000000-0005-0000-0000-0000C0290000}"/>
    <cellStyle name="Примечание 44 3" xfId="4325" xr:uid="{00000000-0005-0000-0000-0000C1290000}"/>
    <cellStyle name="Примечание 44 4" xfId="4326" xr:uid="{00000000-0005-0000-0000-0000C2290000}"/>
    <cellStyle name="Примечание 44 5" xfId="4327" xr:uid="{00000000-0005-0000-0000-0000C3290000}"/>
    <cellStyle name="Примечание 44_Свод гостин" xfId="4328" xr:uid="{00000000-0005-0000-0000-0000C4290000}"/>
    <cellStyle name="Примечание 45" xfId="4329" xr:uid="{00000000-0005-0000-0000-0000C5290000}"/>
    <cellStyle name="Примечание 45 2" xfId="4330" xr:uid="{00000000-0005-0000-0000-0000C6290000}"/>
    <cellStyle name="Примечание 45 2 2" xfId="4331" xr:uid="{00000000-0005-0000-0000-0000C7290000}"/>
    <cellStyle name="Примечание 45 2 3" xfId="4332" xr:uid="{00000000-0005-0000-0000-0000C8290000}"/>
    <cellStyle name="Примечание 45 2 4" xfId="4333" xr:uid="{00000000-0005-0000-0000-0000C9290000}"/>
    <cellStyle name="Примечание 45 3" xfId="4334" xr:uid="{00000000-0005-0000-0000-0000CA290000}"/>
    <cellStyle name="Примечание 45 4" xfId="4335" xr:uid="{00000000-0005-0000-0000-0000CB290000}"/>
    <cellStyle name="Примечание 45 5" xfId="4336" xr:uid="{00000000-0005-0000-0000-0000CC290000}"/>
    <cellStyle name="Примечание 45_Свод гостин" xfId="4337" xr:uid="{00000000-0005-0000-0000-0000CD290000}"/>
    <cellStyle name="Примечание 46" xfId="4338" xr:uid="{00000000-0005-0000-0000-0000CE290000}"/>
    <cellStyle name="Примечание 46 2" xfId="4339" xr:uid="{00000000-0005-0000-0000-0000CF290000}"/>
    <cellStyle name="Примечание 46 2 2" xfId="4340" xr:uid="{00000000-0005-0000-0000-0000D0290000}"/>
    <cellStyle name="Примечание 46 2 3" xfId="4341" xr:uid="{00000000-0005-0000-0000-0000D1290000}"/>
    <cellStyle name="Примечание 46 2 4" xfId="4342" xr:uid="{00000000-0005-0000-0000-0000D2290000}"/>
    <cellStyle name="Примечание 46 3" xfId="4343" xr:uid="{00000000-0005-0000-0000-0000D3290000}"/>
    <cellStyle name="Примечание 46 4" xfId="4344" xr:uid="{00000000-0005-0000-0000-0000D4290000}"/>
    <cellStyle name="Примечание 46 5" xfId="4345" xr:uid="{00000000-0005-0000-0000-0000D5290000}"/>
    <cellStyle name="Примечание 46_Свод гостин" xfId="4346" xr:uid="{00000000-0005-0000-0000-0000D6290000}"/>
    <cellStyle name="Примечание 47" xfId="4347" xr:uid="{00000000-0005-0000-0000-0000D7290000}"/>
    <cellStyle name="Примечание 47 2" xfId="4348" xr:uid="{00000000-0005-0000-0000-0000D8290000}"/>
    <cellStyle name="Примечание 47 2 2" xfId="4349" xr:uid="{00000000-0005-0000-0000-0000D9290000}"/>
    <cellStyle name="Примечание 47 2 3" xfId="4350" xr:uid="{00000000-0005-0000-0000-0000DA290000}"/>
    <cellStyle name="Примечание 47 2 4" xfId="4351" xr:uid="{00000000-0005-0000-0000-0000DB290000}"/>
    <cellStyle name="Примечание 47 3" xfId="4352" xr:uid="{00000000-0005-0000-0000-0000DC290000}"/>
    <cellStyle name="Примечание 47 4" xfId="4353" xr:uid="{00000000-0005-0000-0000-0000DD290000}"/>
    <cellStyle name="Примечание 47 5" xfId="4354" xr:uid="{00000000-0005-0000-0000-0000DE290000}"/>
    <cellStyle name="Примечание 47_Свод гостин" xfId="4355" xr:uid="{00000000-0005-0000-0000-0000DF290000}"/>
    <cellStyle name="Примечание 48" xfId="4356" xr:uid="{00000000-0005-0000-0000-0000E0290000}"/>
    <cellStyle name="Примечание 48 2" xfId="4357" xr:uid="{00000000-0005-0000-0000-0000E1290000}"/>
    <cellStyle name="Примечание 48 2 2" xfId="4358" xr:uid="{00000000-0005-0000-0000-0000E2290000}"/>
    <cellStyle name="Примечание 48 2 3" xfId="4359" xr:uid="{00000000-0005-0000-0000-0000E3290000}"/>
    <cellStyle name="Примечание 48 2 4" xfId="4360" xr:uid="{00000000-0005-0000-0000-0000E4290000}"/>
    <cellStyle name="Примечание 48 3" xfId="4361" xr:uid="{00000000-0005-0000-0000-0000E5290000}"/>
    <cellStyle name="Примечание 48 4" xfId="4362" xr:uid="{00000000-0005-0000-0000-0000E6290000}"/>
    <cellStyle name="Примечание 48 5" xfId="4363" xr:uid="{00000000-0005-0000-0000-0000E7290000}"/>
    <cellStyle name="Примечание 48_Свод гостин" xfId="4364" xr:uid="{00000000-0005-0000-0000-0000E8290000}"/>
    <cellStyle name="Примечание 49" xfId="4365" xr:uid="{00000000-0005-0000-0000-0000E9290000}"/>
    <cellStyle name="Примечание 49 2" xfId="4366" xr:uid="{00000000-0005-0000-0000-0000EA290000}"/>
    <cellStyle name="Примечание 49 2 2" xfId="4367" xr:uid="{00000000-0005-0000-0000-0000EB290000}"/>
    <cellStyle name="Примечание 49 2 3" xfId="4368" xr:uid="{00000000-0005-0000-0000-0000EC290000}"/>
    <cellStyle name="Примечание 49 2 4" xfId="4369" xr:uid="{00000000-0005-0000-0000-0000ED290000}"/>
    <cellStyle name="Примечание 49 3" xfId="4370" xr:uid="{00000000-0005-0000-0000-0000EE290000}"/>
    <cellStyle name="Примечание 49 4" xfId="4371" xr:uid="{00000000-0005-0000-0000-0000EF290000}"/>
    <cellStyle name="Примечание 49 5" xfId="4372" xr:uid="{00000000-0005-0000-0000-0000F0290000}"/>
    <cellStyle name="Примечание 49_Свод гостин" xfId="4373" xr:uid="{00000000-0005-0000-0000-0000F1290000}"/>
    <cellStyle name="Примечание 5" xfId="4374" xr:uid="{00000000-0005-0000-0000-0000F2290000}"/>
    <cellStyle name="Примечание 5 2" xfId="4375" xr:uid="{00000000-0005-0000-0000-0000F3290000}"/>
    <cellStyle name="Примечание 5 3" xfId="4376" xr:uid="{00000000-0005-0000-0000-0000F4290000}"/>
    <cellStyle name="Примечание 50" xfId="4377" xr:uid="{00000000-0005-0000-0000-0000F5290000}"/>
    <cellStyle name="Примечание 50 2" xfId="4378" xr:uid="{00000000-0005-0000-0000-0000F6290000}"/>
    <cellStyle name="Примечание 50 2 2" xfId="4379" xr:uid="{00000000-0005-0000-0000-0000F7290000}"/>
    <cellStyle name="Примечание 50 2 3" xfId="4380" xr:uid="{00000000-0005-0000-0000-0000F8290000}"/>
    <cellStyle name="Примечание 50 2 4" xfId="4381" xr:uid="{00000000-0005-0000-0000-0000F9290000}"/>
    <cellStyle name="Примечание 50 3" xfId="4382" xr:uid="{00000000-0005-0000-0000-0000FA290000}"/>
    <cellStyle name="Примечание 50 4" xfId="4383" xr:uid="{00000000-0005-0000-0000-0000FB290000}"/>
    <cellStyle name="Примечание 50 5" xfId="4384" xr:uid="{00000000-0005-0000-0000-0000FC290000}"/>
    <cellStyle name="Примечание 50_Свод гостин" xfId="4385" xr:uid="{00000000-0005-0000-0000-0000FD290000}"/>
    <cellStyle name="Примечание 51" xfId="4386" xr:uid="{00000000-0005-0000-0000-0000FE290000}"/>
    <cellStyle name="Примечание 51 2" xfId="4387" xr:uid="{00000000-0005-0000-0000-0000FF290000}"/>
    <cellStyle name="Примечание 51 2 2" xfId="4388" xr:uid="{00000000-0005-0000-0000-0000002A0000}"/>
    <cellStyle name="Примечание 51 2 3" xfId="4389" xr:uid="{00000000-0005-0000-0000-0000012A0000}"/>
    <cellStyle name="Примечание 51 2 4" xfId="4390" xr:uid="{00000000-0005-0000-0000-0000022A0000}"/>
    <cellStyle name="Примечание 51 3" xfId="4391" xr:uid="{00000000-0005-0000-0000-0000032A0000}"/>
    <cellStyle name="Примечание 51 4" xfId="4392" xr:uid="{00000000-0005-0000-0000-0000042A0000}"/>
    <cellStyle name="Примечание 51 5" xfId="4393" xr:uid="{00000000-0005-0000-0000-0000052A0000}"/>
    <cellStyle name="Примечание 51_Свод гостин" xfId="4394" xr:uid="{00000000-0005-0000-0000-0000062A0000}"/>
    <cellStyle name="Примечание 52" xfId="4395" xr:uid="{00000000-0005-0000-0000-0000072A0000}"/>
    <cellStyle name="Примечание 52 2" xfId="4396" xr:uid="{00000000-0005-0000-0000-0000082A0000}"/>
    <cellStyle name="Примечание 52 2 2" xfId="4397" xr:uid="{00000000-0005-0000-0000-0000092A0000}"/>
    <cellStyle name="Примечание 52 2 3" xfId="4398" xr:uid="{00000000-0005-0000-0000-00000A2A0000}"/>
    <cellStyle name="Примечание 52 2 4" xfId="4399" xr:uid="{00000000-0005-0000-0000-00000B2A0000}"/>
    <cellStyle name="Примечание 52 3" xfId="4400" xr:uid="{00000000-0005-0000-0000-00000C2A0000}"/>
    <cellStyle name="Примечание 52 4" xfId="4401" xr:uid="{00000000-0005-0000-0000-00000D2A0000}"/>
    <cellStyle name="Примечание 52 5" xfId="4402" xr:uid="{00000000-0005-0000-0000-00000E2A0000}"/>
    <cellStyle name="Примечание 52_Свод гостин" xfId="4403" xr:uid="{00000000-0005-0000-0000-00000F2A0000}"/>
    <cellStyle name="Примечание 53" xfId="4404" xr:uid="{00000000-0005-0000-0000-0000102A0000}"/>
    <cellStyle name="Примечание 53 2" xfId="4405" xr:uid="{00000000-0005-0000-0000-0000112A0000}"/>
    <cellStyle name="Примечание 53 2 2" xfId="4406" xr:uid="{00000000-0005-0000-0000-0000122A0000}"/>
    <cellStyle name="Примечание 53 2 3" xfId="4407" xr:uid="{00000000-0005-0000-0000-0000132A0000}"/>
    <cellStyle name="Примечание 53 2 4" xfId="4408" xr:uid="{00000000-0005-0000-0000-0000142A0000}"/>
    <cellStyle name="Примечание 53 3" xfId="4409" xr:uid="{00000000-0005-0000-0000-0000152A0000}"/>
    <cellStyle name="Примечание 53 4" xfId="4410" xr:uid="{00000000-0005-0000-0000-0000162A0000}"/>
    <cellStyle name="Примечание 53 5" xfId="4411" xr:uid="{00000000-0005-0000-0000-0000172A0000}"/>
    <cellStyle name="Примечание 53_Свод гостин" xfId="4412" xr:uid="{00000000-0005-0000-0000-0000182A0000}"/>
    <cellStyle name="Примечание 54" xfId="4413" xr:uid="{00000000-0005-0000-0000-0000192A0000}"/>
    <cellStyle name="Примечание 54 2" xfId="4414" xr:uid="{00000000-0005-0000-0000-00001A2A0000}"/>
    <cellStyle name="Примечание 54 2 2" xfId="4415" xr:uid="{00000000-0005-0000-0000-00001B2A0000}"/>
    <cellStyle name="Примечание 54 2 3" xfId="4416" xr:uid="{00000000-0005-0000-0000-00001C2A0000}"/>
    <cellStyle name="Примечание 54 2 4" xfId="4417" xr:uid="{00000000-0005-0000-0000-00001D2A0000}"/>
    <cellStyle name="Примечание 54 3" xfId="4418" xr:uid="{00000000-0005-0000-0000-00001E2A0000}"/>
    <cellStyle name="Примечание 54 4" xfId="4419" xr:uid="{00000000-0005-0000-0000-00001F2A0000}"/>
    <cellStyle name="Примечание 54 5" xfId="4420" xr:uid="{00000000-0005-0000-0000-0000202A0000}"/>
    <cellStyle name="Примечание 54_Свод гостин" xfId="4421" xr:uid="{00000000-0005-0000-0000-0000212A0000}"/>
    <cellStyle name="Примечание 55" xfId="4422" xr:uid="{00000000-0005-0000-0000-0000222A0000}"/>
    <cellStyle name="Примечание 55 2" xfId="4423" xr:uid="{00000000-0005-0000-0000-0000232A0000}"/>
    <cellStyle name="Примечание 55 2 2" xfId="4424" xr:uid="{00000000-0005-0000-0000-0000242A0000}"/>
    <cellStyle name="Примечание 55 2 3" xfId="4425" xr:uid="{00000000-0005-0000-0000-0000252A0000}"/>
    <cellStyle name="Примечание 55 2 4" xfId="4426" xr:uid="{00000000-0005-0000-0000-0000262A0000}"/>
    <cellStyle name="Примечание 55 3" xfId="4427" xr:uid="{00000000-0005-0000-0000-0000272A0000}"/>
    <cellStyle name="Примечание 55 4" xfId="4428" xr:uid="{00000000-0005-0000-0000-0000282A0000}"/>
    <cellStyle name="Примечание 55 5" xfId="4429" xr:uid="{00000000-0005-0000-0000-0000292A0000}"/>
    <cellStyle name="Примечание 55_Свод гостин" xfId="4430" xr:uid="{00000000-0005-0000-0000-00002A2A0000}"/>
    <cellStyle name="Примечание 56" xfId="4431" xr:uid="{00000000-0005-0000-0000-00002B2A0000}"/>
    <cellStyle name="Примечание 56 2" xfId="4432" xr:uid="{00000000-0005-0000-0000-00002C2A0000}"/>
    <cellStyle name="Примечание 56 2 2" xfId="4433" xr:uid="{00000000-0005-0000-0000-00002D2A0000}"/>
    <cellStyle name="Примечание 56 2 3" xfId="4434" xr:uid="{00000000-0005-0000-0000-00002E2A0000}"/>
    <cellStyle name="Примечание 56 2 4" xfId="4435" xr:uid="{00000000-0005-0000-0000-00002F2A0000}"/>
    <cellStyle name="Примечание 56 3" xfId="4436" xr:uid="{00000000-0005-0000-0000-0000302A0000}"/>
    <cellStyle name="Примечание 56 4" xfId="4437" xr:uid="{00000000-0005-0000-0000-0000312A0000}"/>
    <cellStyle name="Примечание 56 5" xfId="4438" xr:uid="{00000000-0005-0000-0000-0000322A0000}"/>
    <cellStyle name="Примечание 56_Свод гостин" xfId="4439" xr:uid="{00000000-0005-0000-0000-0000332A0000}"/>
    <cellStyle name="Примечание 57" xfId="4440" xr:uid="{00000000-0005-0000-0000-0000342A0000}"/>
    <cellStyle name="Примечание 57 2" xfId="4441" xr:uid="{00000000-0005-0000-0000-0000352A0000}"/>
    <cellStyle name="Примечание 57 2 2" xfId="4442" xr:uid="{00000000-0005-0000-0000-0000362A0000}"/>
    <cellStyle name="Примечание 57 2 3" xfId="4443" xr:uid="{00000000-0005-0000-0000-0000372A0000}"/>
    <cellStyle name="Примечание 57 2 4" xfId="4444" xr:uid="{00000000-0005-0000-0000-0000382A0000}"/>
    <cellStyle name="Примечание 57 3" xfId="4445" xr:uid="{00000000-0005-0000-0000-0000392A0000}"/>
    <cellStyle name="Примечание 57 4" xfId="4446" xr:uid="{00000000-0005-0000-0000-00003A2A0000}"/>
    <cellStyle name="Примечание 57 5" xfId="4447" xr:uid="{00000000-0005-0000-0000-00003B2A0000}"/>
    <cellStyle name="Примечание 57_Свод гостин" xfId="4448" xr:uid="{00000000-0005-0000-0000-00003C2A0000}"/>
    <cellStyle name="Примечание 58" xfId="4449" xr:uid="{00000000-0005-0000-0000-00003D2A0000}"/>
    <cellStyle name="Примечание 58 2" xfId="4450" xr:uid="{00000000-0005-0000-0000-00003E2A0000}"/>
    <cellStyle name="Примечание 58 2 2" xfId="4451" xr:uid="{00000000-0005-0000-0000-00003F2A0000}"/>
    <cellStyle name="Примечание 58 2 3" xfId="4452" xr:uid="{00000000-0005-0000-0000-0000402A0000}"/>
    <cellStyle name="Примечание 58 2 4" xfId="4453" xr:uid="{00000000-0005-0000-0000-0000412A0000}"/>
    <cellStyle name="Примечание 58 3" xfId="4454" xr:uid="{00000000-0005-0000-0000-0000422A0000}"/>
    <cellStyle name="Примечание 58 4" xfId="4455" xr:uid="{00000000-0005-0000-0000-0000432A0000}"/>
    <cellStyle name="Примечание 58 5" xfId="4456" xr:uid="{00000000-0005-0000-0000-0000442A0000}"/>
    <cellStyle name="Примечание 58_Свод гостин" xfId="4457" xr:uid="{00000000-0005-0000-0000-0000452A0000}"/>
    <cellStyle name="Примечание 59" xfId="4458" xr:uid="{00000000-0005-0000-0000-0000462A0000}"/>
    <cellStyle name="Примечание 59 2" xfId="4459" xr:uid="{00000000-0005-0000-0000-0000472A0000}"/>
    <cellStyle name="Примечание 59 2 2" xfId="4460" xr:uid="{00000000-0005-0000-0000-0000482A0000}"/>
    <cellStyle name="Примечание 59 2 3" xfId="4461" xr:uid="{00000000-0005-0000-0000-0000492A0000}"/>
    <cellStyle name="Примечание 59 2 4" xfId="4462" xr:uid="{00000000-0005-0000-0000-00004A2A0000}"/>
    <cellStyle name="Примечание 59 3" xfId="4463" xr:uid="{00000000-0005-0000-0000-00004B2A0000}"/>
    <cellStyle name="Примечание 59 4" xfId="4464" xr:uid="{00000000-0005-0000-0000-00004C2A0000}"/>
    <cellStyle name="Примечание 59 5" xfId="4465" xr:uid="{00000000-0005-0000-0000-00004D2A0000}"/>
    <cellStyle name="Примечание 59_Свод гостин" xfId="4466" xr:uid="{00000000-0005-0000-0000-00004E2A0000}"/>
    <cellStyle name="Примечание 6" xfId="4467" xr:uid="{00000000-0005-0000-0000-00004F2A0000}"/>
    <cellStyle name="Примечание 6 2" xfId="4468" xr:uid="{00000000-0005-0000-0000-0000502A0000}"/>
    <cellStyle name="Примечание 6 3" xfId="4469" xr:uid="{00000000-0005-0000-0000-0000512A0000}"/>
    <cellStyle name="Примечание 60" xfId="4470" xr:uid="{00000000-0005-0000-0000-0000522A0000}"/>
    <cellStyle name="Примечание 60 2" xfId="4471" xr:uid="{00000000-0005-0000-0000-0000532A0000}"/>
    <cellStyle name="Примечание 60 2 2" xfId="4472" xr:uid="{00000000-0005-0000-0000-0000542A0000}"/>
    <cellStyle name="Примечание 60 2 3" xfId="4473" xr:uid="{00000000-0005-0000-0000-0000552A0000}"/>
    <cellStyle name="Примечание 60 2 4" xfId="4474" xr:uid="{00000000-0005-0000-0000-0000562A0000}"/>
    <cellStyle name="Примечание 60 3" xfId="4475" xr:uid="{00000000-0005-0000-0000-0000572A0000}"/>
    <cellStyle name="Примечание 60 4" xfId="4476" xr:uid="{00000000-0005-0000-0000-0000582A0000}"/>
    <cellStyle name="Примечание 60 5" xfId="4477" xr:uid="{00000000-0005-0000-0000-0000592A0000}"/>
    <cellStyle name="Примечание 60_Свод гостин" xfId="4478" xr:uid="{00000000-0005-0000-0000-00005A2A0000}"/>
    <cellStyle name="Примечание 61" xfId="4479" xr:uid="{00000000-0005-0000-0000-00005B2A0000}"/>
    <cellStyle name="Примечание 61 2" xfId="4480" xr:uid="{00000000-0005-0000-0000-00005C2A0000}"/>
    <cellStyle name="Примечание 61 2 2" xfId="4481" xr:uid="{00000000-0005-0000-0000-00005D2A0000}"/>
    <cellStyle name="Примечание 61 2 3" xfId="4482" xr:uid="{00000000-0005-0000-0000-00005E2A0000}"/>
    <cellStyle name="Примечание 61 2 4" xfId="4483" xr:uid="{00000000-0005-0000-0000-00005F2A0000}"/>
    <cellStyle name="Примечание 61 3" xfId="4484" xr:uid="{00000000-0005-0000-0000-0000602A0000}"/>
    <cellStyle name="Примечание 61 4" xfId="4485" xr:uid="{00000000-0005-0000-0000-0000612A0000}"/>
    <cellStyle name="Примечание 61 5" xfId="4486" xr:uid="{00000000-0005-0000-0000-0000622A0000}"/>
    <cellStyle name="Примечание 61_Свод гостин" xfId="4487" xr:uid="{00000000-0005-0000-0000-0000632A0000}"/>
    <cellStyle name="Примечание 62" xfId="4488" xr:uid="{00000000-0005-0000-0000-0000642A0000}"/>
    <cellStyle name="Примечание 62 2" xfId="4489" xr:uid="{00000000-0005-0000-0000-0000652A0000}"/>
    <cellStyle name="Примечание 62 2 2" xfId="4490" xr:uid="{00000000-0005-0000-0000-0000662A0000}"/>
    <cellStyle name="Примечание 62 2 3" xfId="4491" xr:uid="{00000000-0005-0000-0000-0000672A0000}"/>
    <cellStyle name="Примечание 62 2 4" xfId="4492" xr:uid="{00000000-0005-0000-0000-0000682A0000}"/>
    <cellStyle name="Примечание 62 3" xfId="4493" xr:uid="{00000000-0005-0000-0000-0000692A0000}"/>
    <cellStyle name="Примечание 62 4" xfId="4494" xr:uid="{00000000-0005-0000-0000-00006A2A0000}"/>
    <cellStyle name="Примечание 62 5" xfId="4495" xr:uid="{00000000-0005-0000-0000-00006B2A0000}"/>
    <cellStyle name="Примечание 62_Свод гостин" xfId="4496" xr:uid="{00000000-0005-0000-0000-00006C2A0000}"/>
    <cellStyle name="Примечание 63" xfId="4497" xr:uid="{00000000-0005-0000-0000-00006D2A0000}"/>
    <cellStyle name="Примечание 63 2" xfId="4498" xr:uid="{00000000-0005-0000-0000-00006E2A0000}"/>
    <cellStyle name="Примечание 63 2 2" xfId="4499" xr:uid="{00000000-0005-0000-0000-00006F2A0000}"/>
    <cellStyle name="Примечание 63 2 3" xfId="4500" xr:uid="{00000000-0005-0000-0000-0000702A0000}"/>
    <cellStyle name="Примечание 63 2 4" xfId="4501" xr:uid="{00000000-0005-0000-0000-0000712A0000}"/>
    <cellStyle name="Примечание 63 3" xfId="4502" xr:uid="{00000000-0005-0000-0000-0000722A0000}"/>
    <cellStyle name="Примечание 63 4" xfId="4503" xr:uid="{00000000-0005-0000-0000-0000732A0000}"/>
    <cellStyle name="Примечание 63 5" xfId="4504" xr:uid="{00000000-0005-0000-0000-0000742A0000}"/>
    <cellStyle name="Примечание 63_Свод гостин" xfId="4505" xr:uid="{00000000-0005-0000-0000-0000752A0000}"/>
    <cellStyle name="Примечание 64" xfId="4506" xr:uid="{00000000-0005-0000-0000-0000762A0000}"/>
    <cellStyle name="Примечание 64 2" xfId="4507" xr:uid="{00000000-0005-0000-0000-0000772A0000}"/>
    <cellStyle name="Примечание 64 2 2" xfId="4508" xr:uid="{00000000-0005-0000-0000-0000782A0000}"/>
    <cellStyle name="Примечание 64 2 3" xfId="4509" xr:uid="{00000000-0005-0000-0000-0000792A0000}"/>
    <cellStyle name="Примечание 64 2 4" xfId="4510" xr:uid="{00000000-0005-0000-0000-00007A2A0000}"/>
    <cellStyle name="Примечание 64 3" xfId="4511" xr:uid="{00000000-0005-0000-0000-00007B2A0000}"/>
    <cellStyle name="Примечание 64 4" xfId="4512" xr:uid="{00000000-0005-0000-0000-00007C2A0000}"/>
    <cellStyle name="Примечание 64 5" xfId="4513" xr:uid="{00000000-0005-0000-0000-00007D2A0000}"/>
    <cellStyle name="Примечание 64_Свод гостин" xfId="4514" xr:uid="{00000000-0005-0000-0000-00007E2A0000}"/>
    <cellStyle name="Примечание 65" xfId="4515" xr:uid="{00000000-0005-0000-0000-00007F2A0000}"/>
    <cellStyle name="Примечание 65 2" xfId="4516" xr:uid="{00000000-0005-0000-0000-0000802A0000}"/>
    <cellStyle name="Примечание 65 2 2" xfId="4517" xr:uid="{00000000-0005-0000-0000-0000812A0000}"/>
    <cellStyle name="Примечание 65 2 3" xfId="4518" xr:uid="{00000000-0005-0000-0000-0000822A0000}"/>
    <cellStyle name="Примечание 65 2 4" xfId="4519" xr:uid="{00000000-0005-0000-0000-0000832A0000}"/>
    <cellStyle name="Примечание 65 3" xfId="4520" xr:uid="{00000000-0005-0000-0000-0000842A0000}"/>
    <cellStyle name="Примечание 65 4" xfId="4521" xr:uid="{00000000-0005-0000-0000-0000852A0000}"/>
    <cellStyle name="Примечание 65 5" xfId="4522" xr:uid="{00000000-0005-0000-0000-0000862A0000}"/>
    <cellStyle name="Примечание 65_Свод гостин" xfId="4523" xr:uid="{00000000-0005-0000-0000-0000872A0000}"/>
    <cellStyle name="Примечание 66" xfId="4524" xr:uid="{00000000-0005-0000-0000-0000882A0000}"/>
    <cellStyle name="Примечание 66 2" xfId="4525" xr:uid="{00000000-0005-0000-0000-0000892A0000}"/>
    <cellStyle name="Примечание 66 2 2" xfId="4526" xr:uid="{00000000-0005-0000-0000-00008A2A0000}"/>
    <cellStyle name="Примечание 66 2 3" xfId="4527" xr:uid="{00000000-0005-0000-0000-00008B2A0000}"/>
    <cellStyle name="Примечание 66 2 4" xfId="4528" xr:uid="{00000000-0005-0000-0000-00008C2A0000}"/>
    <cellStyle name="Примечание 66 3" xfId="4529" xr:uid="{00000000-0005-0000-0000-00008D2A0000}"/>
    <cellStyle name="Примечание 66 4" xfId="4530" xr:uid="{00000000-0005-0000-0000-00008E2A0000}"/>
    <cellStyle name="Примечание 66 5" xfId="4531" xr:uid="{00000000-0005-0000-0000-00008F2A0000}"/>
    <cellStyle name="Примечание 66_Свод гостин" xfId="4532" xr:uid="{00000000-0005-0000-0000-0000902A0000}"/>
    <cellStyle name="Примечание 67" xfId="4533" xr:uid="{00000000-0005-0000-0000-0000912A0000}"/>
    <cellStyle name="Примечание 67 2" xfId="4534" xr:uid="{00000000-0005-0000-0000-0000922A0000}"/>
    <cellStyle name="Примечание 67 2 2" xfId="4535" xr:uid="{00000000-0005-0000-0000-0000932A0000}"/>
    <cellStyle name="Примечание 67 2 3" xfId="4536" xr:uid="{00000000-0005-0000-0000-0000942A0000}"/>
    <cellStyle name="Примечание 67 2 4" xfId="4537" xr:uid="{00000000-0005-0000-0000-0000952A0000}"/>
    <cellStyle name="Примечание 67 3" xfId="4538" xr:uid="{00000000-0005-0000-0000-0000962A0000}"/>
    <cellStyle name="Примечание 67 4" xfId="4539" xr:uid="{00000000-0005-0000-0000-0000972A0000}"/>
    <cellStyle name="Примечание 67 5" xfId="4540" xr:uid="{00000000-0005-0000-0000-0000982A0000}"/>
    <cellStyle name="Примечание 67_Свод гостин" xfId="4541" xr:uid="{00000000-0005-0000-0000-0000992A0000}"/>
    <cellStyle name="Примечание 68" xfId="4542" xr:uid="{00000000-0005-0000-0000-00009A2A0000}"/>
    <cellStyle name="Примечание 68 2" xfId="4543" xr:uid="{00000000-0005-0000-0000-00009B2A0000}"/>
    <cellStyle name="Примечание 68 2 2" xfId="4544" xr:uid="{00000000-0005-0000-0000-00009C2A0000}"/>
    <cellStyle name="Примечание 68 2 3" xfId="4545" xr:uid="{00000000-0005-0000-0000-00009D2A0000}"/>
    <cellStyle name="Примечание 68 2 4" xfId="4546" xr:uid="{00000000-0005-0000-0000-00009E2A0000}"/>
    <cellStyle name="Примечание 68 3" xfId="4547" xr:uid="{00000000-0005-0000-0000-00009F2A0000}"/>
    <cellStyle name="Примечание 68 4" xfId="4548" xr:uid="{00000000-0005-0000-0000-0000A02A0000}"/>
    <cellStyle name="Примечание 68 5" xfId="4549" xr:uid="{00000000-0005-0000-0000-0000A12A0000}"/>
    <cellStyle name="Примечание 68_Свод гостин" xfId="4550" xr:uid="{00000000-0005-0000-0000-0000A22A0000}"/>
    <cellStyle name="Примечание 69" xfId="4551" xr:uid="{00000000-0005-0000-0000-0000A32A0000}"/>
    <cellStyle name="Примечание 69 2" xfId="4552" xr:uid="{00000000-0005-0000-0000-0000A42A0000}"/>
    <cellStyle name="Примечание 69 2 2" xfId="4553" xr:uid="{00000000-0005-0000-0000-0000A52A0000}"/>
    <cellStyle name="Примечание 69 2 3" xfId="4554" xr:uid="{00000000-0005-0000-0000-0000A62A0000}"/>
    <cellStyle name="Примечание 69 2 4" xfId="4555" xr:uid="{00000000-0005-0000-0000-0000A72A0000}"/>
    <cellStyle name="Примечание 69 3" xfId="4556" xr:uid="{00000000-0005-0000-0000-0000A82A0000}"/>
    <cellStyle name="Примечание 69 4" xfId="4557" xr:uid="{00000000-0005-0000-0000-0000A92A0000}"/>
    <cellStyle name="Примечание 69 5" xfId="4558" xr:uid="{00000000-0005-0000-0000-0000AA2A0000}"/>
    <cellStyle name="Примечание 69_Свод гостин" xfId="4559" xr:uid="{00000000-0005-0000-0000-0000AB2A0000}"/>
    <cellStyle name="Примечание 7" xfId="4560" xr:uid="{00000000-0005-0000-0000-0000AC2A0000}"/>
    <cellStyle name="Примечание 7 2" xfId="4561" xr:uid="{00000000-0005-0000-0000-0000AD2A0000}"/>
    <cellStyle name="Примечание 7 3" xfId="4562" xr:uid="{00000000-0005-0000-0000-0000AE2A0000}"/>
    <cellStyle name="Примечание 70" xfId="4563" xr:uid="{00000000-0005-0000-0000-0000AF2A0000}"/>
    <cellStyle name="Примечание 70 2" xfId="4564" xr:uid="{00000000-0005-0000-0000-0000B02A0000}"/>
    <cellStyle name="Примечание 70 2 2" xfId="4565" xr:uid="{00000000-0005-0000-0000-0000B12A0000}"/>
    <cellStyle name="Примечание 70 2 3" xfId="4566" xr:uid="{00000000-0005-0000-0000-0000B22A0000}"/>
    <cellStyle name="Примечание 70 2 4" xfId="4567" xr:uid="{00000000-0005-0000-0000-0000B32A0000}"/>
    <cellStyle name="Примечание 70 3" xfId="4568" xr:uid="{00000000-0005-0000-0000-0000B42A0000}"/>
    <cellStyle name="Примечание 70 4" xfId="4569" xr:uid="{00000000-0005-0000-0000-0000B52A0000}"/>
    <cellStyle name="Примечание 70 5" xfId="4570" xr:uid="{00000000-0005-0000-0000-0000B62A0000}"/>
    <cellStyle name="Примечание 70_Свод гостин" xfId="4571" xr:uid="{00000000-0005-0000-0000-0000B72A0000}"/>
    <cellStyle name="Примечание 71" xfId="4572" xr:uid="{00000000-0005-0000-0000-0000B82A0000}"/>
    <cellStyle name="Примечание 71 2" xfId="4573" xr:uid="{00000000-0005-0000-0000-0000B92A0000}"/>
    <cellStyle name="Примечание 71 2 2" xfId="4574" xr:uid="{00000000-0005-0000-0000-0000BA2A0000}"/>
    <cellStyle name="Примечание 71 2 3" xfId="4575" xr:uid="{00000000-0005-0000-0000-0000BB2A0000}"/>
    <cellStyle name="Примечание 71 2 4" xfId="4576" xr:uid="{00000000-0005-0000-0000-0000BC2A0000}"/>
    <cellStyle name="Примечание 71 3" xfId="4577" xr:uid="{00000000-0005-0000-0000-0000BD2A0000}"/>
    <cellStyle name="Примечание 71 4" xfId="4578" xr:uid="{00000000-0005-0000-0000-0000BE2A0000}"/>
    <cellStyle name="Примечание 71 5" xfId="4579" xr:uid="{00000000-0005-0000-0000-0000BF2A0000}"/>
    <cellStyle name="Примечание 71_Свод гостин" xfId="4580" xr:uid="{00000000-0005-0000-0000-0000C02A0000}"/>
    <cellStyle name="Примечание 72" xfId="4581" xr:uid="{00000000-0005-0000-0000-0000C12A0000}"/>
    <cellStyle name="Примечание 72 2" xfId="4582" xr:uid="{00000000-0005-0000-0000-0000C22A0000}"/>
    <cellStyle name="Примечание 72 2 2" xfId="4583" xr:uid="{00000000-0005-0000-0000-0000C32A0000}"/>
    <cellStyle name="Примечание 72 2 3" xfId="4584" xr:uid="{00000000-0005-0000-0000-0000C42A0000}"/>
    <cellStyle name="Примечание 72 2 4" xfId="4585" xr:uid="{00000000-0005-0000-0000-0000C52A0000}"/>
    <cellStyle name="Примечание 72 3" xfId="4586" xr:uid="{00000000-0005-0000-0000-0000C62A0000}"/>
    <cellStyle name="Примечание 72 4" xfId="4587" xr:uid="{00000000-0005-0000-0000-0000C72A0000}"/>
    <cellStyle name="Примечание 72 5" xfId="4588" xr:uid="{00000000-0005-0000-0000-0000C82A0000}"/>
    <cellStyle name="Примечание 72_Свод гостин" xfId="4589" xr:uid="{00000000-0005-0000-0000-0000C92A0000}"/>
    <cellStyle name="Примечание 73" xfId="4590" xr:uid="{00000000-0005-0000-0000-0000CA2A0000}"/>
    <cellStyle name="Примечание 73 2" xfId="4591" xr:uid="{00000000-0005-0000-0000-0000CB2A0000}"/>
    <cellStyle name="Примечание 73 2 2" xfId="4592" xr:uid="{00000000-0005-0000-0000-0000CC2A0000}"/>
    <cellStyle name="Примечание 73 2 3" xfId="4593" xr:uid="{00000000-0005-0000-0000-0000CD2A0000}"/>
    <cellStyle name="Примечание 73 2 4" xfId="4594" xr:uid="{00000000-0005-0000-0000-0000CE2A0000}"/>
    <cellStyle name="Примечание 73 3" xfId="4595" xr:uid="{00000000-0005-0000-0000-0000CF2A0000}"/>
    <cellStyle name="Примечание 73 4" xfId="4596" xr:uid="{00000000-0005-0000-0000-0000D02A0000}"/>
    <cellStyle name="Примечание 73 5" xfId="4597" xr:uid="{00000000-0005-0000-0000-0000D12A0000}"/>
    <cellStyle name="Примечание 73_Свод гостин" xfId="4598" xr:uid="{00000000-0005-0000-0000-0000D22A0000}"/>
    <cellStyle name="Примечание 74" xfId="4599" xr:uid="{00000000-0005-0000-0000-0000D32A0000}"/>
    <cellStyle name="Примечание 74 2" xfId="4600" xr:uid="{00000000-0005-0000-0000-0000D42A0000}"/>
    <cellStyle name="Примечание 74 2 2" xfId="4601" xr:uid="{00000000-0005-0000-0000-0000D52A0000}"/>
    <cellStyle name="Примечание 74 2 3" xfId="4602" xr:uid="{00000000-0005-0000-0000-0000D62A0000}"/>
    <cellStyle name="Примечание 74 2 4" xfId="4603" xr:uid="{00000000-0005-0000-0000-0000D72A0000}"/>
    <cellStyle name="Примечание 74 3" xfId="4604" xr:uid="{00000000-0005-0000-0000-0000D82A0000}"/>
    <cellStyle name="Примечание 74 4" xfId="4605" xr:uid="{00000000-0005-0000-0000-0000D92A0000}"/>
    <cellStyle name="Примечание 74 5" xfId="4606" xr:uid="{00000000-0005-0000-0000-0000DA2A0000}"/>
    <cellStyle name="Примечание 74_Свод гостин" xfId="4607" xr:uid="{00000000-0005-0000-0000-0000DB2A0000}"/>
    <cellStyle name="Примечание 75" xfId="4608" xr:uid="{00000000-0005-0000-0000-0000DC2A0000}"/>
    <cellStyle name="Примечание 75 2" xfId="4609" xr:uid="{00000000-0005-0000-0000-0000DD2A0000}"/>
    <cellStyle name="Примечание 75 2 2" xfId="4610" xr:uid="{00000000-0005-0000-0000-0000DE2A0000}"/>
    <cellStyle name="Примечание 75 2 3" xfId="4611" xr:uid="{00000000-0005-0000-0000-0000DF2A0000}"/>
    <cellStyle name="Примечание 75 2 4" xfId="4612" xr:uid="{00000000-0005-0000-0000-0000E02A0000}"/>
    <cellStyle name="Примечание 75 3" xfId="4613" xr:uid="{00000000-0005-0000-0000-0000E12A0000}"/>
    <cellStyle name="Примечание 75 4" xfId="4614" xr:uid="{00000000-0005-0000-0000-0000E22A0000}"/>
    <cellStyle name="Примечание 75 5" xfId="4615" xr:uid="{00000000-0005-0000-0000-0000E32A0000}"/>
    <cellStyle name="Примечание 75_Свод гостин" xfId="4616" xr:uid="{00000000-0005-0000-0000-0000E42A0000}"/>
    <cellStyle name="Примечание 76" xfId="4617" xr:uid="{00000000-0005-0000-0000-0000E52A0000}"/>
    <cellStyle name="Примечание 76 2" xfId="4618" xr:uid="{00000000-0005-0000-0000-0000E62A0000}"/>
    <cellStyle name="Примечание 76 2 2" xfId="4619" xr:uid="{00000000-0005-0000-0000-0000E72A0000}"/>
    <cellStyle name="Примечание 76 2 3" xfId="4620" xr:uid="{00000000-0005-0000-0000-0000E82A0000}"/>
    <cellStyle name="Примечание 76 2 4" xfId="4621" xr:uid="{00000000-0005-0000-0000-0000E92A0000}"/>
    <cellStyle name="Примечание 76 3" xfId="4622" xr:uid="{00000000-0005-0000-0000-0000EA2A0000}"/>
    <cellStyle name="Примечание 76 4" xfId="4623" xr:uid="{00000000-0005-0000-0000-0000EB2A0000}"/>
    <cellStyle name="Примечание 76 5" xfId="4624" xr:uid="{00000000-0005-0000-0000-0000EC2A0000}"/>
    <cellStyle name="Примечание 76_Свод гостин" xfId="4625" xr:uid="{00000000-0005-0000-0000-0000ED2A0000}"/>
    <cellStyle name="Примечание 77" xfId="4626" xr:uid="{00000000-0005-0000-0000-0000EE2A0000}"/>
    <cellStyle name="Примечание 77 2" xfId="4627" xr:uid="{00000000-0005-0000-0000-0000EF2A0000}"/>
    <cellStyle name="Примечание 77 2 2" xfId="4628" xr:uid="{00000000-0005-0000-0000-0000F02A0000}"/>
    <cellStyle name="Примечание 77 2 3" xfId="4629" xr:uid="{00000000-0005-0000-0000-0000F12A0000}"/>
    <cellStyle name="Примечание 77 2 4" xfId="4630" xr:uid="{00000000-0005-0000-0000-0000F22A0000}"/>
    <cellStyle name="Примечание 77 3" xfId="4631" xr:uid="{00000000-0005-0000-0000-0000F32A0000}"/>
    <cellStyle name="Примечание 77 4" xfId="4632" xr:uid="{00000000-0005-0000-0000-0000F42A0000}"/>
    <cellStyle name="Примечание 77 5" xfId="4633" xr:uid="{00000000-0005-0000-0000-0000F52A0000}"/>
    <cellStyle name="Примечание 77_Свод гостин" xfId="4634" xr:uid="{00000000-0005-0000-0000-0000F62A0000}"/>
    <cellStyle name="Примечание 78" xfId="4635" xr:uid="{00000000-0005-0000-0000-0000F72A0000}"/>
    <cellStyle name="Примечание 78 2" xfId="4636" xr:uid="{00000000-0005-0000-0000-0000F82A0000}"/>
    <cellStyle name="Примечание 78 2 2" xfId="4637" xr:uid="{00000000-0005-0000-0000-0000F92A0000}"/>
    <cellStyle name="Примечание 78 2 3" xfId="4638" xr:uid="{00000000-0005-0000-0000-0000FA2A0000}"/>
    <cellStyle name="Примечание 78 2 4" xfId="4639" xr:uid="{00000000-0005-0000-0000-0000FB2A0000}"/>
    <cellStyle name="Примечание 78 3" xfId="4640" xr:uid="{00000000-0005-0000-0000-0000FC2A0000}"/>
    <cellStyle name="Примечание 78 4" xfId="4641" xr:uid="{00000000-0005-0000-0000-0000FD2A0000}"/>
    <cellStyle name="Примечание 78 5" xfId="4642" xr:uid="{00000000-0005-0000-0000-0000FE2A0000}"/>
    <cellStyle name="Примечание 78_Свод гостин" xfId="4643" xr:uid="{00000000-0005-0000-0000-0000FF2A0000}"/>
    <cellStyle name="Примечание 79" xfId="4644" xr:uid="{00000000-0005-0000-0000-0000002B0000}"/>
    <cellStyle name="Примечание 79 2" xfId="4645" xr:uid="{00000000-0005-0000-0000-0000012B0000}"/>
    <cellStyle name="Примечание 79 2 2" xfId="4646" xr:uid="{00000000-0005-0000-0000-0000022B0000}"/>
    <cellStyle name="Примечание 79 2 3" xfId="4647" xr:uid="{00000000-0005-0000-0000-0000032B0000}"/>
    <cellStyle name="Примечание 79 2 4" xfId="4648" xr:uid="{00000000-0005-0000-0000-0000042B0000}"/>
    <cellStyle name="Примечание 79 3" xfId="4649" xr:uid="{00000000-0005-0000-0000-0000052B0000}"/>
    <cellStyle name="Примечание 79 4" xfId="4650" xr:uid="{00000000-0005-0000-0000-0000062B0000}"/>
    <cellStyle name="Примечание 79 5" xfId="4651" xr:uid="{00000000-0005-0000-0000-0000072B0000}"/>
    <cellStyle name="Примечание 79_Свод гостин" xfId="4652" xr:uid="{00000000-0005-0000-0000-0000082B0000}"/>
    <cellStyle name="Примечание 8" xfId="4653" xr:uid="{00000000-0005-0000-0000-0000092B0000}"/>
    <cellStyle name="Примечание 8 2" xfId="4654" xr:uid="{00000000-0005-0000-0000-00000A2B0000}"/>
    <cellStyle name="Примечание 8 2 2" xfId="4655" xr:uid="{00000000-0005-0000-0000-00000B2B0000}"/>
    <cellStyle name="Примечание 8 2 3" xfId="4656" xr:uid="{00000000-0005-0000-0000-00000C2B0000}"/>
    <cellStyle name="Примечание 8 2 4" xfId="4657" xr:uid="{00000000-0005-0000-0000-00000D2B0000}"/>
    <cellStyle name="Примечание 8 3" xfId="4658" xr:uid="{00000000-0005-0000-0000-00000E2B0000}"/>
    <cellStyle name="Примечание 8 4" xfId="4659" xr:uid="{00000000-0005-0000-0000-00000F2B0000}"/>
    <cellStyle name="Примечание 8 5" xfId="4660" xr:uid="{00000000-0005-0000-0000-0000102B0000}"/>
    <cellStyle name="Примечание 8_Свод гостин" xfId="4661" xr:uid="{00000000-0005-0000-0000-0000112B0000}"/>
    <cellStyle name="Примечание 80" xfId="4662" xr:uid="{00000000-0005-0000-0000-0000122B0000}"/>
    <cellStyle name="Примечание 80 2" xfId="4663" xr:uid="{00000000-0005-0000-0000-0000132B0000}"/>
    <cellStyle name="Примечание 80 2 2" xfId="4664" xr:uid="{00000000-0005-0000-0000-0000142B0000}"/>
    <cellStyle name="Примечание 80 2 3" xfId="4665" xr:uid="{00000000-0005-0000-0000-0000152B0000}"/>
    <cellStyle name="Примечание 80 2 4" xfId="4666" xr:uid="{00000000-0005-0000-0000-0000162B0000}"/>
    <cellStyle name="Примечание 80 3" xfId="4667" xr:uid="{00000000-0005-0000-0000-0000172B0000}"/>
    <cellStyle name="Примечание 80 4" xfId="4668" xr:uid="{00000000-0005-0000-0000-0000182B0000}"/>
    <cellStyle name="Примечание 80 5" xfId="4669" xr:uid="{00000000-0005-0000-0000-0000192B0000}"/>
    <cellStyle name="Примечание 80_Свод гостин" xfId="4670" xr:uid="{00000000-0005-0000-0000-00001A2B0000}"/>
    <cellStyle name="Примечание 81" xfId="4671" xr:uid="{00000000-0005-0000-0000-00001B2B0000}"/>
    <cellStyle name="Примечание 81 2" xfId="4672" xr:uid="{00000000-0005-0000-0000-00001C2B0000}"/>
    <cellStyle name="Примечание 81 2 2" xfId="4673" xr:uid="{00000000-0005-0000-0000-00001D2B0000}"/>
    <cellStyle name="Примечание 81 2 3" xfId="4674" xr:uid="{00000000-0005-0000-0000-00001E2B0000}"/>
    <cellStyle name="Примечание 81 2 4" xfId="4675" xr:uid="{00000000-0005-0000-0000-00001F2B0000}"/>
    <cellStyle name="Примечание 81 3" xfId="4676" xr:uid="{00000000-0005-0000-0000-0000202B0000}"/>
    <cellStyle name="Примечание 81 4" xfId="4677" xr:uid="{00000000-0005-0000-0000-0000212B0000}"/>
    <cellStyle name="Примечание 81 5" xfId="4678" xr:uid="{00000000-0005-0000-0000-0000222B0000}"/>
    <cellStyle name="Примечание 81_Свод гостин" xfId="4679" xr:uid="{00000000-0005-0000-0000-0000232B0000}"/>
    <cellStyle name="Примечание 82" xfId="4680" xr:uid="{00000000-0005-0000-0000-0000242B0000}"/>
    <cellStyle name="Примечание 82 2" xfId="4681" xr:uid="{00000000-0005-0000-0000-0000252B0000}"/>
    <cellStyle name="Примечание 82 2 2" xfId="4682" xr:uid="{00000000-0005-0000-0000-0000262B0000}"/>
    <cellStyle name="Примечание 82 2 3" xfId="4683" xr:uid="{00000000-0005-0000-0000-0000272B0000}"/>
    <cellStyle name="Примечание 82 2 4" xfId="4684" xr:uid="{00000000-0005-0000-0000-0000282B0000}"/>
    <cellStyle name="Примечание 82 3" xfId="4685" xr:uid="{00000000-0005-0000-0000-0000292B0000}"/>
    <cellStyle name="Примечание 82 4" xfId="4686" xr:uid="{00000000-0005-0000-0000-00002A2B0000}"/>
    <cellStyle name="Примечание 82 5" xfId="4687" xr:uid="{00000000-0005-0000-0000-00002B2B0000}"/>
    <cellStyle name="Примечание 82_Свод гостин" xfId="4688" xr:uid="{00000000-0005-0000-0000-00002C2B0000}"/>
    <cellStyle name="Примечание 83" xfId="4689" xr:uid="{00000000-0005-0000-0000-00002D2B0000}"/>
    <cellStyle name="Примечание 83 2" xfId="4690" xr:uid="{00000000-0005-0000-0000-00002E2B0000}"/>
    <cellStyle name="Примечание 83 2 2" xfId="4691" xr:uid="{00000000-0005-0000-0000-00002F2B0000}"/>
    <cellStyle name="Примечание 83 2 3" xfId="4692" xr:uid="{00000000-0005-0000-0000-0000302B0000}"/>
    <cellStyle name="Примечание 83 2 4" xfId="4693" xr:uid="{00000000-0005-0000-0000-0000312B0000}"/>
    <cellStyle name="Примечание 83 3" xfId="4694" xr:uid="{00000000-0005-0000-0000-0000322B0000}"/>
    <cellStyle name="Примечание 83 4" xfId="4695" xr:uid="{00000000-0005-0000-0000-0000332B0000}"/>
    <cellStyle name="Примечание 83 5" xfId="4696" xr:uid="{00000000-0005-0000-0000-0000342B0000}"/>
    <cellStyle name="Примечание 83_Свод гостин" xfId="4697" xr:uid="{00000000-0005-0000-0000-0000352B0000}"/>
    <cellStyle name="Примечание 84" xfId="4698" xr:uid="{00000000-0005-0000-0000-0000362B0000}"/>
    <cellStyle name="Примечание 84 2" xfId="4699" xr:uid="{00000000-0005-0000-0000-0000372B0000}"/>
    <cellStyle name="Примечание 84 2 2" xfId="4700" xr:uid="{00000000-0005-0000-0000-0000382B0000}"/>
    <cellStyle name="Примечание 84 2 3" xfId="4701" xr:uid="{00000000-0005-0000-0000-0000392B0000}"/>
    <cellStyle name="Примечание 84 2 4" xfId="4702" xr:uid="{00000000-0005-0000-0000-00003A2B0000}"/>
    <cellStyle name="Примечание 84 3" xfId="4703" xr:uid="{00000000-0005-0000-0000-00003B2B0000}"/>
    <cellStyle name="Примечание 84 4" xfId="4704" xr:uid="{00000000-0005-0000-0000-00003C2B0000}"/>
    <cellStyle name="Примечание 84 5" xfId="4705" xr:uid="{00000000-0005-0000-0000-00003D2B0000}"/>
    <cellStyle name="Примечание 84_Свод гостин" xfId="4706" xr:uid="{00000000-0005-0000-0000-00003E2B0000}"/>
    <cellStyle name="Примечание 85" xfId="4707" xr:uid="{00000000-0005-0000-0000-00003F2B0000}"/>
    <cellStyle name="Примечание 85 2" xfId="4708" xr:uid="{00000000-0005-0000-0000-0000402B0000}"/>
    <cellStyle name="Примечание 85 2 2" xfId="4709" xr:uid="{00000000-0005-0000-0000-0000412B0000}"/>
    <cellStyle name="Примечание 85 2 3" xfId="4710" xr:uid="{00000000-0005-0000-0000-0000422B0000}"/>
    <cellStyle name="Примечание 85 2 4" xfId="4711" xr:uid="{00000000-0005-0000-0000-0000432B0000}"/>
    <cellStyle name="Примечание 85 3" xfId="4712" xr:uid="{00000000-0005-0000-0000-0000442B0000}"/>
    <cellStyle name="Примечание 85 4" xfId="4713" xr:uid="{00000000-0005-0000-0000-0000452B0000}"/>
    <cellStyle name="Примечание 85 5" xfId="4714" xr:uid="{00000000-0005-0000-0000-0000462B0000}"/>
    <cellStyle name="Примечание 85_Свод гостин" xfId="4715" xr:uid="{00000000-0005-0000-0000-0000472B0000}"/>
    <cellStyle name="Примечание 86" xfId="4716" xr:uid="{00000000-0005-0000-0000-0000482B0000}"/>
    <cellStyle name="Примечание 86 2" xfId="4717" xr:uid="{00000000-0005-0000-0000-0000492B0000}"/>
    <cellStyle name="Примечание 86 2 2" xfId="4718" xr:uid="{00000000-0005-0000-0000-00004A2B0000}"/>
    <cellStyle name="Примечание 86 2 3" xfId="4719" xr:uid="{00000000-0005-0000-0000-00004B2B0000}"/>
    <cellStyle name="Примечание 86 2 4" xfId="4720" xr:uid="{00000000-0005-0000-0000-00004C2B0000}"/>
    <cellStyle name="Примечание 86 3" xfId="4721" xr:uid="{00000000-0005-0000-0000-00004D2B0000}"/>
    <cellStyle name="Примечание 86 4" xfId="4722" xr:uid="{00000000-0005-0000-0000-00004E2B0000}"/>
    <cellStyle name="Примечание 86 5" xfId="4723" xr:uid="{00000000-0005-0000-0000-00004F2B0000}"/>
    <cellStyle name="Примечание 86_Свод гостин" xfId="4724" xr:uid="{00000000-0005-0000-0000-0000502B0000}"/>
    <cellStyle name="Примечание 87" xfId="4725" xr:uid="{00000000-0005-0000-0000-0000512B0000}"/>
    <cellStyle name="Примечание 87 2" xfId="4726" xr:uid="{00000000-0005-0000-0000-0000522B0000}"/>
    <cellStyle name="Примечание 87 2 2" xfId="4727" xr:uid="{00000000-0005-0000-0000-0000532B0000}"/>
    <cellStyle name="Примечание 87 2 3" xfId="4728" xr:uid="{00000000-0005-0000-0000-0000542B0000}"/>
    <cellStyle name="Примечание 87 2 4" xfId="4729" xr:uid="{00000000-0005-0000-0000-0000552B0000}"/>
    <cellStyle name="Примечание 87 3" xfId="4730" xr:uid="{00000000-0005-0000-0000-0000562B0000}"/>
    <cellStyle name="Примечание 87 4" xfId="4731" xr:uid="{00000000-0005-0000-0000-0000572B0000}"/>
    <cellStyle name="Примечание 87 5" xfId="4732" xr:uid="{00000000-0005-0000-0000-0000582B0000}"/>
    <cellStyle name="Примечание 87_Свод гостин" xfId="4733" xr:uid="{00000000-0005-0000-0000-0000592B0000}"/>
    <cellStyle name="Примечание 88" xfId="4734" xr:uid="{00000000-0005-0000-0000-00005A2B0000}"/>
    <cellStyle name="Примечание 88 2" xfId="4735" xr:uid="{00000000-0005-0000-0000-00005B2B0000}"/>
    <cellStyle name="Примечание 88 2 2" xfId="4736" xr:uid="{00000000-0005-0000-0000-00005C2B0000}"/>
    <cellStyle name="Примечание 88 2 3" xfId="4737" xr:uid="{00000000-0005-0000-0000-00005D2B0000}"/>
    <cellStyle name="Примечание 88 2 4" xfId="4738" xr:uid="{00000000-0005-0000-0000-00005E2B0000}"/>
    <cellStyle name="Примечание 88 3" xfId="4739" xr:uid="{00000000-0005-0000-0000-00005F2B0000}"/>
    <cellStyle name="Примечание 88 4" xfId="4740" xr:uid="{00000000-0005-0000-0000-0000602B0000}"/>
    <cellStyle name="Примечание 88 5" xfId="4741" xr:uid="{00000000-0005-0000-0000-0000612B0000}"/>
    <cellStyle name="Примечание 88_Свод гостин" xfId="4742" xr:uid="{00000000-0005-0000-0000-0000622B0000}"/>
    <cellStyle name="Примечание 89" xfId="4743" xr:uid="{00000000-0005-0000-0000-0000632B0000}"/>
    <cellStyle name="Примечание 89 2" xfId="4744" xr:uid="{00000000-0005-0000-0000-0000642B0000}"/>
    <cellStyle name="Примечание 89 2 2" xfId="4745" xr:uid="{00000000-0005-0000-0000-0000652B0000}"/>
    <cellStyle name="Примечание 89 2 3" xfId="4746" xr:uid="{00000000-0005-0000-0000-0000662B0000}"/>
    <cellStyle name="Примечание 89 2 4" xfId="4747" xr:uid="{00000000-0005-0000-0000-0000672B0000}"/>
    <cellStyle name="Примечание 89 3" xfId="4748" xr:uid="{00000000-0005-0000-0000-0000682B0000}"/>
    <cellStyle name="Примечание 89 4" xfId="4749" xr:uid="{00000000-0005-0000-0000-0000692B0000}"/>
    <cellStyle name="Примечание 89 5" xfId="4750" xr:uid="{00000000-0005-0000-0000-00006A2B0000}"/>
    <cellStyle name="Примечание 89_Свод гостин" xfId="4751" xr:uid="{00000000-0005-0000-0000-00006B2B0000}"/>
    <cellStyle name="Примечание 9" xfId="4752" xr:uid="{00000000-0005-0000-0000-00006C2B0000}"/>
    <cellStyle name="Примечание 9 2" xfId="4753" xr:uid="{00000000-0005-0000-0000-00006D2B0000}"/>
    <cellStyle name="Примечание 9 2 2" xfId="4754" xr:uid="{00000000-0005-0000-0000-00006E2B0000}"/>
    <cellStyle name="Примечание 9 2 3" xfId="4755" xr:uid="{00000000-0005-0000-0000-00006F2B0000}"/>
    <cellStyle name="Примечание 9 2 4" xfId="4756" xr:uid="{00000000-0005-0000-0000-0000702B0000}"/>
    <cellStyle name="Примечание 9 3" xfId="4757" xr:uid="{00000000-0005-0000-0000-0000712B0000}"/>
    <cellStyle name="Примечание 9 4" xfId="4758" xr:uid="{00000000-0005-0000-0000-0000722B0000}"/>
    <cellStyle name="Примечание 9 5" xfId="4759" xr:uid="{00000000-0005-0000-0000-0000732B0000}"/>
    <cellStyle name="Примечание 9_Свод гостин" xfId="4760" xr:uid="{00000000-0005-0000-0000-0000742B0000}"/>
    <cellStyle name="Процентный" xfId="11656" builtinId="5"/>
    <cellStyle name="Процентный 2" xfId="4761" xr:uid="{00000000-0005-0000-0000-0000762B0000}"/>
    <cellStyle name="Процентный 2 2" xfId="4762" xr:uid="{00000000-0005-0000-0000-0000772B0000}"/>
    <cellStyle name="Процентный 2 2 2" xfId="4763" xr:uid="{00000000-0005-0000-0000-0000782B0000}"/>
    <cellStyle name="Процентный 2 2 3" xfId="4764" xr:uid="{00000000-0005-0000-0000-0000792B0000}"/>
    <cellStyle name="Процентный 2 2 4" xfId="4765" xr:uid="{00000000-0005-0000-0000-00007A2B0000}"/>
    <cellStyle name="Процентный 2 3" xfId="4766" xr:uid="{00000000-0005-0000-0000-00007B2B0000}"/>
    <cellStyle name="Процентный 3" xfId="4767" xr:uid="{00000000-0005-0000-0000-00007C2B0000}"/>
    <cellStyle name="Процентный 3 2" xfId="4768" xr:uid="{00000000-0005-0000-0000-00007D2B0000}"/>
    <cellStyle name="Процентный 3 2 2" xfId="11327" xr:uid="{00000000-0005-0000-0000-00007E2B0000}"/>
    <cellStyle name="Процентный 3 3" xfId="4769" xr:uid="{00000000-0005-0000-0000-00007F2B0000}"/>
    <cellStyle name="Процентный 3 4" xfId="4770" xr:uid="{00000000-0005-0000-0000-0000802B0000}"/>
    <cellStyle name="Процентный 4" xfId="4771" xr:uid="{00000000-0005-0000-0000-0000812B0000}"/>
    <cellStyle name="Процентный 4 2" xfId="4772" xr:uid="{00000000-0005-0000-0000-0000822B0000}"/>
    <cellStyle name="Процентный 4 3" xfId="4773" xr:uid="{00000000-0005-0000-0000-0000832B0000}"/>
    <cellStyle name="Процентный 5" xfId="4774" xr:uid="{00000000-0005-0000-0000-0000842B0000}"/>
    <cellStyle name="Процентный 5 2" xfId="11328" xr:uid="{00000000-0005-0000-0000-0000852B0000}"/>
    <cellStyle name="Стиль 1" xfId="4775" xr:uid="{00000000-0005-0000-0000-0000862B0000}"/>
    <cellStyle name="Стиль 1 2" xfId="4776" xr:uid="{00000000-0005-0000-0000-0000872B0000}"/>
    <cellStyle name="Стиль 1 2 2" xfId="4777" xr:uid="{00000000-0005-0000-0000-0000882B0000}"/>
    <cellStyle name="Стиль 1 2 3" xfId="4778" xr:uid="{00000000-0005-0000-0000-0000892B0000}"/>
    <cellStyle name="Стиль 1 2 4" xfId="4779" xr:uid="{00000000-0005-0000-0000-00008A2B0000}"/>
    <cellStyle name="Стиль 1 2_Свод гостин" xfId="4780" xr:uid="{00000000-0005-0000-0000-00008B2B0000}"/>
    <cellStyle name="Стиль 1 3" xfId="4781" xr:uid="{00000000-0005-0000-0000-00008C2B0000}"/>
    <cellStyle name="Стиль 1 3 2" xfId="4782" xr:uid="{00000000-0005-0000-0000-00008D2B0000}"/>
    <cellStyle name="Стиль 1 4" xfId="4783" xr:uid="{00000000-0005-0000-0000-00008E2B0000}"/>
    <cellStyle name="Стиль 1 5" xfId="4784" xr:uid="{00000000-0005-0000-0000-00008F2B0000}"/>
    <cellStyle name="Стиль 1_Свод гостин" xfId="4785" xr:uid="{00000000-0005-0000-0000-0000902B0000}"/>
    <cellStyle name="Стиль 2" xfId="4786" xr:uid="{00000000-0005-0000-0000-0000912B0000}"/>
    <cellStyle name="Стиль 3" xfId="4787" xr:uid="{00000000-0005-0000-0000-0000922B0000}"/>
    <cellStyle name="Стиль 4" xfId="4788" xr:uid="{00000000-0005-0000-0000-0000932B0000}"/>
    <cellStyle name="Стиль_названий" xfId="4789" xr:uid="{00000000-0005-0000-0000-0000942B0000}"/>
    <cellStyle name="Тысячи [0]" xfId="4790" xr:uid="{00000000-0005-0000-0000-0000952B0000}"/>
    <cellStyle name="Тысячи_010SN05" xfId="4791" xr:uid="{00000000-0005-0000-0000-0000962B0000}"/>
    <cellStyle name="Финансовый" xfId="11657" builtinId="3"/>
    <cellStyle name="Финансовый 10" xfId="4792" xr:uid="{00000000-0005-0000-0000-0000982B0000}"/>
    <cellStyle name="Финансовый 10 2" xfId="4793" xr:uid="{00000000-0005-0000-0000-0000992B0000}"/>
    <cellStyle name="Финансовый 10 2 2" xfId="4794" xr:uid="{00000000-0005-0000-0000-00009A2B0000}"/>
    <cellStyle name="Финансовый 10 2 3" xfId="4795" xr:uid="{00000000-0005-0000-0000-00009B2B0000}"/>
    <cellStyle name="Финансовый 10 3" xfId="4796" xr:uid="{00000000-0005-0000-0000-00009C2B0000}"/>
    <cellStyle name="Финансовый 10 3 2" xfId="4797" xr:uid="{00000000-0005-0000-0000-00009D2B0000}"/>
    <cellStyle name="Финансовый 10 4" xfId="4798" xr:uid="{00000000-0005-0000-0000-00009E2B0000}"/>
    <cellStyle name="Финансовый 11" xfId="4799" xr:uid="{00000000-0005-0000-0000-00009F2B0000}"/>
    <cellStyle name="Финансовый 11 2" xfId="4800" xr:uid="{00000000-0005-0000-0000-0000A02B0000}"/>
    <cellStyle name="Финансовый 11 3" xfId="4801" xr:uid="{00000000-0005-0000-0000-0000A12B0000}"/>
    <cellStyle name="Финансовый 11 4" xfId="4802" xr:uid="{00000000-0005-0000-0000-0000A22B0000}"/>
    <cellStyle name="Финансовый 12" xfId="4803" xr:uid="{00000000-0005-0000-0000-0000A32B0000}"/>
    <cellStyle name="Финансовый 12 2" xfId="11329" xr:uid="{00000000-0005-0000-0000-0000A42B0000}"/>
    <cellStyle name="Финансовый 13" xfId="4804" xr:uid="{00000000-0005-0000-0000-0000A52B0000}"/>
    <cellStyle name="Финансовый 14" xfId="4805" xr:uid="{00000000-0005-0000-0000-0000A62B0000}"/>
    <cellStyle name="Финансовый 15" xfId="4806" xr:uid="{00000000-0005-0000-0000-0000A72B0000}"/>
    <cellStyle name="Финансовый 16" xfId="4807" xr:uid="{00000000-0005-0000-0000-0000A82B0000}"/>
    <cellStyle name="Финансовый 17" xfId="4808" xr:uid="{00000000-0005-0000-0000-0000A92B0000}"/>
    <cellStyle name="Финансовый 18" xfId="4809" xr:uid="{00000000-0005-0000-0000-0000AA2B0000}"/>
    <cellStyle name="Финансовый 19" xfId="4810" xr:uid="{00000000-0005-0000-0000-0000AB2B0000}"/>
    <cellStyle name="Финансовый 2" xfId="4811" xr:uid="{00000000-0005-0000-0000-0000AC2B0000}"/>
    <cellStyle name="Финансовый 2 10" xfId="11330" xr:uid="{00000000-0005-0000-0000-0000AD2B0000}"/>
    <cellStyle name="Финансовый 2 10 2" xfId="11331" xr:uid="{00000000-0005-0000-0000-0000AE2B0000}"/>
    <cellStyle name="Финансовый 2 11" xfId="11332" xr:uid="{00000000-0005-0000-0000-0000AF2B0000}"/>
    <cellStyle name="Финансовый 2 11 2" xfId="11333" xr:uid="{00000000-0005-0000-0000-0000B02B0000}"/>
    <cellStyle name="Финансовый 2 12" xfId="11334" xr:uid="{00000000-0005-0000-0000-0000B12B0000}"/>
    <cellStyle name="Финансовый 2 12 2" xfId="11335" xr:uid="{00000000-0005-0000-0000-0000B22B0000}"/>
    <cellStyle name="Финансовый 2 13" xfId="11336" xr:uid="{00000000-0005-0000-0000-0000B32B0000}"/>
    <cellStyle name="Финансовый 2 14" xfId="11337" xr:uid="{00000000-0005-0000-0000-0000B42B0000}"/>
    <cellStyle name="Финансовый 2 2" xfId="4812" xr:uid="{00000000-0005-0000-0000-0000B52B0000}"/>
    <cellStyle name="Финансовый 2 2 10" xfId="11338" xr:uid="{00000000-0005-0000-0000-0000B62B0000}"/>
    <cellStyle name="Финансовый 2 2 11" xfId="11339" xr:uid="{00000000-0005-0000-0000-0000B72B0000}"/>
    <cellStyle name="Финансовый 2 2 2" xfId="4813" xr:uid="{00000000-0005-0000-0000-0000B82B0000}"/>
    <cellStyle name="Финансовый 2 2 2 10" xfId="11340" xr:uid="{00000000-0005-0000-0000-0000B92B0000}"/>
    <cellStyle name="Финансовый 2 2 2 11" xfId="11341" xr:uid="{00000000-0005-0000-0000-0000BA2B0000}"/>
    <cellStyle name="Финансовый 2 2 2 2" xfId="4814" xr:uid="{00000000-0005-0000-0000-0000BB2B0000}"/>
    <cellStyle name="Финансовый 2 2 2 2 2" xfId="4815" xr:uid="{00000000-0005-0000-0000-0000BC2B0000}"/>
    <cellStyle name="Финансовый 2 2 2 2 2 2" xfId="11342" xr:uid="{00000000-0005-0000-0000-0000BD2B0000}"/>
    <cellStyle name="Финансовый 2 2 2 2 3" xfId="11343" xr:uid="{00000000-0005-0000-0000-0000BE2B0000}"/>
    <cellStyle name="Финансовый 2 2 2 2 4" xfId="11344" xr:uid="{00000000-0005-0000-0000-0000BF2B0000}"/>
    <cellStyle name="Финансовый 2 2 2 2 5" xfId="11345" xr:uid="{00000000-0005-0000-0000-0000C02B0000}"/>
    <cellStyle name="Финансовый 2 2 2 3" xfId="4816" xr:uid="{00000000-0005-0000-0000-0000C12B0000}"/>
    <cellStyle name="Финансовый 2 2 2 3 2" xfId="4817" xr:uid="{00000000-0005-0000-0000-0000C22B0000}"/>
    <cellStyle name="Финансовый 2 2 2 3 2 2" xfId="4818" xr:uid="{00000000-0005-0000-0000-0000C32B0000}"/>
    <cellStyle name="Финансовый 2 2 2 3 3" xfId="11346" xr:uid="{00000000-0005-0000-0000-0000C42B0000}"/>
    <cellStyle name="Финансовый 2 2 2 3 3 2" xfId="11347" xr:uid="{00000000-0005-0000-0000-0000C52B0000}"/>
    <cellStyle name="Финансовый 2 2 2 3 4" xfId="11348" xr:uid="{00000000-0005-0000-0000-0000C62B0000}"/>
    <cellStyle name="Финансовый 2 2 2 3 4 2" xfId="11349" xr:uid="{00000000-0005-0000-0000-0000C72B0000}"/>
    <cellStyle name="Финансовый 2 2 2 3 5" xfId="11350" xr:uid="{00000000-0005-0000-0000-0000C82B0000}"/>
    <cellStyle name="Финансовый 2 2 2 3 5 2" xfId="11351" xr:uid="{00000000-0005-0000-0000-0000C92B0000}"/>
    <cellStyle name="Финансовый 2 2 2 3 6" xfId="11352" xr:uid="{00000000-0005-0000-0000-0000CA2B0000}"/>
    <cellStyle name="Финансовый 2 2 2 3 6 2" xfId="11353" xr:uid="{00000000-0005-0000-0000-0000CB2B0000}"/>
    <cellStyle name="Финансовый 2 2 2 3 7" xfId="11354" xr:uid="{00000000-0005-0000-0000-0000CC2B0000}"/>
    <cellStyle name="Финансовый 2 2 2 3 7 2" xfId="11355" xr:uid="{00000000-0005-0000-0000-0000CD2B0000}"/>
    <cellStyle name="Финансовый 2 2 2 3 8" xfId="11356" xr:uid="{00000000-0005-0000-0000-0000CE2B0000}"/>
    <cellStyle name="Финансовый 2 2 2 3 9" xfId="11357" xr:uid="{00000000-0005-0000-0000-0000CF2B0000}"/>
    <cellStyle name="Финансовый 2 2 2 4" xfId="4819" xr:uid="{00000000-0005-0000-0000-0000D02B0000}"/>
    <cellStyle name="Финансовый 2 2 2 4 2" xfId="11358" xr:uid="{00000000-0005-0000-0000-0000D12B0000}"/>
    <cellStyle name="Финансовый 2 2 2 5" xfId="11359" xr:uid="{00000000-0005-0000-0000-0000D22B0000}"/>
    <cellStyle name="Финансовый 2 2 2 5 2" xfId="11360" xr:uid="{00000000-0005-0000-0000-0000D32B0000}"/>
    <cellStyle name="Финансовый 2 2 2 6" xfId="11361" xr:uid="{00000000-0005-0000-0000-0000D42B0000}"/>
    <cellStyle name="Финансовый 2 2 2 6 2" xfId="11362" xr:uid="{00000000-0005-0000-0000-0000D52B0000}"/>
    <cellStyle name="Финансовый 2 2 2 7" xfId="11363" xr:uid="{00000000-0005-0000-0000-0000D62B0000}"/>
    <cellStyle name="Финансовый 2 2 2 7 2" xfId="11364" xr:uid="{00000000-0005-0000-0000-0000D72B0000}"/>
    <cellStyle name="Финансовый 2 2 2 8" xfId="11365" xr:uid="{00000000-0005-0000-0000-0000D82B0000}"/>
    <cellStyle name="Финансовый 2 2 2 8 2" xfId="11366" xr:uid="{00000000-0005-0000-0000-0000D92B0000}"/>
    <cellStyle name="Финансовый 2 2 2 9" xfId="11367" xr:uid="{00000000-0005-0000-0000-0000DA2B0000}"/>
    <cellStyle name="Финансовый 2 2 2 9 2" xfId="11368" xr:uid="{00000000-0005-0000-0000-0000DB2B0000}"/>
    <cellStyle name="Финансовый 2 2 3" xfId="4820" xr:uid="{00000000-0005-0000-0000-0000DC2B0000}"/>
    <cellStyle name="Финансовый 2 2 3 2" xfId="4821" xr:uid="{00000000-0005-0000-0000-0000DD2B0000}"/>
    <cellStyle name="Финансовый 2 2 3 3" xfId="4822" xr:uid="{00000000-0005-0000-0000-0000DE2B0000}"/>
    <cellStyle name="Финансовый 2 2 3 4" xfId="4823" xr:uid="{00000000-0005-0000-0000-0000DF2B0000}"/>
    <cellStyle name="Финансовый 2 2 3 5" xfId="4824" xr:uid="{00000000-0005-0000-0000-0000E02B0000}"/>
    <cellStyle name="Финансовый 2 2 4" xfId="4825" xr:uid="{00000000-0005-0000-0000-0000E12B0000}"/>
    <cellStyle name="Финансовый 2 2 4 2" xfId="4826" xr:uid="{00000000-0005-0000-0000-0000E22B0000}"/>
    <cellStyle name="Финансовый 2 2 5" xfId="4827" xr:uid="{00000000-0005-0000-0000-0000E32B0000}"/>
    <cellStyle name="Финансовый 2 2 5 2" xfId="11369" xr:uid="{00000000-0005-0000-0000-0000E42B0000}"/>
    <cellStyle name="Финансовый 2 2 6" xfId="4828" xr:uid="{00000000-0005-0000-0000-0000E52B0000}"/>
    <cellStyle name="Финансовый 2 2 6 2" xfId="11370" xr:uid="{00000000-0005-0000-0000-0000E62B0000}"/>
    <cellStyle name="Финансовый 2 2 7" xfId="11371" xr:uid="{00000000-0005-0000-0000-0000E72B0000}"/>
    <cellStyle name="Финансовый 2 2 7 2" xfId="11372" xr:uid="{00000000-0005-0000-0000-0000E82B0000}"/>
    <cellStyle name="Финансовый 2 2 8" xfId="11373" xr:uid="{00000000-0005-0000-0000-0000E92B0000}"/>
    <cellStyle name="Финансовый 2 2 8 2" xfId="11374" xr:uid="{00000000-0005-0000-0000-0000EA2B0000}"/>
    <cellStyle name="Финансовый 2 2 9" xfId="11375" xr:uid="{00000000-0005-0000-0000-0000EB2B0000}"/>
    <cellStyle name="Финансовый 2 2 9 2" xfId="11376" xr:uid="{00000000-0005-0000-0000-0000EC2B0000}"/>
    <cellStyle name="Финансовый 2 3" xfId="4829" xr:uid="{00000000-0005-0000-0000-0000ED2B0000}"/>
    <cellStyle name="Финансовый 2 3 10" xfId="11377" xr:uid="{00000000-0005-0000-0000-0000EE2B0000}"/>
    <cellStyle name="Финансовый 2 3 2" xfId="4830" xr:uid="{00000000-0005-0000-0000-0000EF2B0000}"/>
    <cellStyle name="Финансовый 2 3 2 2" xfId="4831" xr:uid="{00000000-0005-0000-0000-0000F02B0000}"/>
    <cellStyle name="Финансовый 2 3 2 3" xfId="4832" xr:uid="{00000000-0005-0000-0000-0000F12B0000}"/>
    <cellStyle name="Финансовый 2 3 2 4" xfId="4833" xr:uid="{00000000-0005-0000-0000-0000F22B0000}"/>
    <cellStyle name="Финансовый 2 3 3" xfId="4834" xr:uid="{00000000-0005-0000-0000-0000F32B0000}"/>
    <cellStyle name="Финансовый 2 3 3 2" xfId="11378" xr:uid="{00000000-0005-0000-0000-0000F42B0000}"/>
    <cellStyle name="Финансовый 2 3 3 3" xfId="11379" xr:uid="{00000000-0005-0000-0000-0000F52B0000}"/>
    <cellStyle name="Финансовый 2 3 4" xfId="11380" xr:uid="{00000000-0005-0000-0000-0000F62B0000}"/>
    <cellStyle name="Финансовый 2 3 4 2" xfId="11381" xr:uid="{00000000-0005-0000-0000-0000F72B0000}"/>
    <cellStyle name="Финансовый 2 3 5" xfId="11382" xr:uid="{00000000-0005-0000-0000-0000F82B0000}"/>
    <cellStyle name="Финансовый 2 3 5 2" xfId="11383" xr:uid="{00000000-0005-0000-0000-0000F92B0000}"/>
    <cellStyle name="Финансовый 2 3 6" xfId="11384" xr:uid="{00000000-0005-0000-0000-0000FA2B0000}"/>
    <cellStyle name="Финансовый 2 3 6 2" xfId="11385" xr:uid="{00000000-0005-0000-0000-0000FB2B0000}"/>
    <cellStyle name="Финансовый 2 3 7" xfId="11386" xr:uid="{00000000-0005-0000-0000-0000FC2B0000}"/>
    <cellStyle name="Финансовый 2 3 7 2" xfId="11387" xr:uid="{00000000-0005-0000-0000-0000FD2B0000}"/>
    <cellStyle name="Финансовый 2 3 8" xfId="11388" xr:uid="{00000000-0005-0000-0000-0000FE2B0000}"/>
    <cellStyle name="Финансовый 2 3 8 2" xfId="11389" xr:uid="{00000000-0005-0000-0000-0000FF2B0000}"/>
    <cellStyle name="Финансовый 2 3 9" xfId="11390" xr:uid="{00000000-0005-0000-0000-0000002C0000}"/>
    <cellStyle name="Финансовый 2 4" xfId="4835" xr:uid="{00000000-0005-0000-0000-0000012C0000}"/>
    <cellStyle name="Финансовый 2 4 2" xfId="4836" xr:uid="{00000000-0005-0000-0000-0000022C0000}"/>
    <cellStyle name="Финансовый 2 4 2 2" xfId="4837" xr:uid="{00000000-0005-0000-0000-0000032C0000}"/>
    <cellStyle name="Финансовый 2 4 2 3" xfId="4838" xr:uid="{00000000-0005-0000-0000-0000042C0000}"/>
    <cellStyle name="Финансовый 2 4 2 4" xfId="4839" xr:uid="{00000000-0005-0000-0000-0000052C0000}"/>
    <cellStyle name="Финансовый 2 4 3" xfId="4840" xr:uid="{00000000-0005-0000-0000-0000062C0000}"/>
    <cellStyle name="Финансовый 2 4 4" xfId="4841" xr:uid="{00000000-0005-0000-0000-0000072C0000}"/>
    <cellStyle name="Финансовый 2 4 5" xfId="4842" xr:uid="{00000000-0005-0000-0000-0000082C0000}"/>
    <cellStyle name="Финансовый 2 4 6" xfId="4843" xr:uid="{00000000-0005-0000-0000-0000092C0000}"/>
    <cellStyle name="Финансовый 2 5" xfId="4844" xr:uid="{00000000-0005-0000-0000-00000A2C0000}"/>
    <cellStyle name="Финансовый 2 5 2" xfId="4845" xr:uid="{00000000-0005-0000-0000-00000B2C0000}"/>
    <cellStyle name="Финансовый 2 5 3" xfId="4846" xr:uid="{00000000-0005-0000-0000-00000C2C0000}"/>
    <cellStyle name="Финансовый 2 6" xfId="4847" xr:uid="{00000000-0005-0000-0000-00000D2C0000}"/>
    <cellStyle name="Финансовый 2 6 2" xfId="4848" xr:uid="{00000000-0005-0000-0000-00000E2C0000}"/>
    <cellStyle name="Финансовый 2 7" xfId="4849" xr:uid="{00000000-0005-0000-0000-00000F2C0000}"/>
    <cellStyle name="Финансовый 2 7 2" xfId="11391" xr:uid="{00000000-0005-0000-0000-0000102C0000}"/>
    <cellStyle name="Финансовый 2 8" xfId="4850" xr:uid="{00000000-0005-0000-0000-0000112C0000}"/>
    <cellStyle name="Финансовый 2 8 2" xfId="11392" xr:uid="{00000000-0005-0000-0000-0000122C0000}"/>
    <cellStyle name="Финансовый 2 9" xfId="4851" xr:uid="{00000000-0005-0000-0000-0000132C0000}"/>
    <cellStyle name="Финансовый 2 9 2" xfId="11393" xr:uid="{00000000-0005-0000-0000-0000142C0000}"/>
    <cellStyle name="Финансовый 2_3FB0480D" xfId="4852" xr:uid="{00000000-0005-0000-0000-0000152C0000}"/>
    <cellStyle name="Финансовый 20" xfId="4853" xr:uid="{00000000-0005-0000-0000-0000162C0000}"/>
    <cellStyle name="Финансовый 21" xfId="4854" xr:uid="{00000000-0005-0000-0000-0000172C0000}"/>
    <cellStyle name="Финансовый 22" xfId="4855" xr:uid="{00000000-0005-0000-0000-0000182C0000}"/>
    <cellStyle name="Финансовый 23" xfId="4856" xr:uid="{00000000-0005-0000-0000-0000192C0000}"/>
    <cellStyle name="Финансовый 24" xfId="4857" xr:uid="{00000000-0005-0000-0000-00001A2C0000}"/>
    <cellStyle name="Финансовый 25" xfId="4858" xr:uid="{00000000-0005-0000-0000-00001B2C0000}"/>
    <cellStyle name="Финансовый 26" xfId="4859" xr:uid="{00000000-0005-0000-0000-00001C2C0000}"/>
    <cellStyle name="Финансовый 27" xfId="4860" xr:uid="{00000000-0005-0000-0000-00001D2C0000}"/>
    <cellStyle name="Финансовый 3" xfId="4861" xr:uid="{00000000-0005-0000-0000-00001E2C0000}"/>
    <cellStyle name="Финансовый 3 10" xfId="11394" xr:uid="{00000000-0005-0000-0000-00001F2C0000}"/>
    <cellStyle name="Финансовый 3 11" xfId="11395" xr:uid="{00000000-0005-0000-0000-0000202C0000}"/>
    <cellStyle name="Финансовый 3 12" xfId="11396" xr:uid="{00000000-0005-0000-0000-0000212C0000}"/>
    <cellStyle name="Финансовый 3 2" xfId="4862" xr:uid="{00000000-0005-0000-0000-0000222C0000}"/>
    <cellStyle name="Финансовый 3 2 10" xfId="11397" xr:uid="{00000000-0005-0000-0000-0000232C0000}"/>
    <cellStyle name="Финансовый 3 2 2" xfId="4863" xr:uid="{00000000-0005-0000-0000-0000242C0000}"/>
    <cellStyle name="Финансовый 3 2 2 2" xfId="4864" xr:uid="{00000000-0005-0000-0000-0000252C0000}"/>
    <cellStyle name="Финансовый 3 2 2 3" xfId="4865" xr:uid="{00000000-0005-0000-0000-0000262C0000}"/>
    <cellStyle name="Финансовый 3 2 2 4" xfId="4866" xr:uid="{00000000-0005-0000-0000-0000272C0000}"/>
    <cellStyle name="Финансовый 3 2 3" xfId="4867" xr:uid="{00000000-0005-0000-0000-0000282C0000}"/>
    <cellStyle name="Финансовый 3 2 3 2" xfId="11398" xr:uid="{00000000-0005-0000-0000-0000292C0000}"/>
    <cellStyle name="Финансовый 3 2 4" xfId="4868" xr:uid="{00000000-0005-0000-0000-00002A2C0000}"/>
    <cellStyle name="Финансовый 3 2 4 2" xfId="11399" xr:uid="{00000000-0005-0000-0000-00002B2C0000}"/>
    <cellStyle name="Финансовый 3 2 5" xfId="11400" xr:uid="{00000000-0005-0000-0000-00002C2C0000}"/>
    <cellStyle name="Финансовый 3 2 5 2" xfId="11401" xr:uid="{00000000-0005-0000-0000-00002D2C0000}"/>
    <cellStyle name="Финансовый 3 2 6" xfId="11402" xr:uid="{00000000-0005-0000-0000-00002E2C0000}"/>
    <cellStyle name="Финансовый 3 2 6 2" xfId="11403" xr:uid="{00000000-0005-0000-0000-00002F2C0000}"/>
    <cellStyle name="Финансовый 3 2 7" xfId="11404" xr:uid="{00000000-0005-0000-0000-0000302C0000}"/>
    <cellStyle name="Финансовый 3 2 7 2" xfId="11405" xr:uid="{00000000-0005-0000-0000-0000312C0000}"/>
    <cellStyle name="Финансовый 3 2 8" xfId="11406" xr:uid="{00000000-0005-0000-0000-0000322C0000}"/>
    <cellStyle name="Финансовый 3 2 8 2" xfId="11407" xr:uid="{00000000-0005-0000-0000-0000332C0000}"/>
    <cellStyle name="Финансовый 3 2 9" xfId="11408" xr:uid="{00000000-0005-0000-0000-0000342C0000}"/>
    <cellStyle name="Финансовый 3 2_Свод гостин" xfId="4869" xr:uid="{00000000-0005-0000-0000-0000352C0000}"/>
    <cellStyle name="Финансовый 3 3" xfId="4870" xr:uid="{00000000-0005-0000-0000-0000362C0000}"/>
    <cellStyle name="Финансовый 3 3 2" xfId="4871" xr:uid="{00000000-0005-0000-0000-0000372C0000}"/>
    <cellStyle name="Финансовый 3 3 2 2" xfId="4872" xr:uid="{00000000-0005-0000-0000-0000382C0000}"/>
    <cellStyle name="Финансовый 3 3 3" xfId="4873" xr:uid="{00000000-0005-0000-0000-0000392C0000}"/>
    <cellStyle name="Финансовый 3 3 4" xfId="4874" xr:uid="{00000000-0005-0000-0000-00003A2C0000}"/>
    <cellStyle name="Финансовый 3 4" xfId="4875" xr:uid="{00000000-0005-0000-0000-00003B2C0000}"/>
    <cellStyle name="Финансовый 3 4 2" xfId="4876" xr:uid="{00000000-0005-0000-0000-00003C2C0000}"/>
    <cellStyle name="Финансовый 3 4 2 2" xfId="4877" xr:uid="{00000000-0005-0000-0000-00003D2C0000}"/>
    <cellStyle name="Финансовый 3 4 3" xfId="4878" xr:uid="{00000000-0005-0000-0000-00003E2C0000}"/>
    <cellStyle name="Финансовый 3 4 4" xfId="4879" xr:uid="{00000000-0005-0000-0000-00003F2C0000}"/>
    <cellStyle name="Финансовый 3 5" xfId="4880" xr:uid="{00000000-0005-0000-0000-0000402C0000}"/>
    <cellStyle name="Финансовый 3 5 2" xfId="4881" xr:uid="{00000000-0005-0000-0000-0000412C0000}"/>
    <cellStyle name="Финансовый 3 5 3" xfId="4882" xr:uid="{00000000-0005-0000-0000-0000422C0000}"/>
    <cellStyle name="Финансовый 3 5 4" xfId="4883" xr:uid="{00000000-0005-0000-0000-0000432C0000}"/>
    <cellStyle name="Финансовый 3 6" xfId="4884" xr:uid="{00000000-0005-0000-0000-0000442C0000}"/>
    <cellStyle name="Финансовый 3 6 2" xfId="11409" xr:uid="{00000000-0005-0000-0000-0000452C0000}"/>
    <cellStyle name="Финансовый 3 7" xfId="4885" xr:uid="{00000000-0005-0000-0000-0000462C0000}"/>
    <cellStyle name="Финансовый 3 7 2" xfId="11410" xr:uid="{00000000-0005-0000-0000-0000472C0000}"/>
    <cellStyle name="Финансовый 3 8" xfId="11411" xr:uid="{00000000-0005-0000-0000-0000482C0000}"/>
    <cellStyle name="Финансовый 3 8 2" xfId="11412" xr:uid="{00000000-0005-0000-0000-0000492C0000}"/>
    <cellStyle name="Финансовый 3 9" xfId="11413" xr:uid="{00000000-0005-0000-0000-00004A2C0000}"/>
    <cellStyle name="Финансовый 3 9 2" xfId="11414" xr:uid="{00000000-0005-0000-0000-00004B2C0000}"/>
    <cellStyle name="Финансовый 32" xfId="4886" xr:uid="{00000000-0005-0000-0000-00004C2C0000}"/>
    <cellStyle name="Финансовый 4" xfId="4887" xr:uid="{00000000-0005-0000-0000-00004D2C0000}"/>
    <cellStyle name="Финансовый 4 10" xfId="11415" xr:uid="{00000000-0005-0000-0000-00004E2C0000}"/>
    <cellStyle name="Финансовый 4 11" xfId="11416" xr:uid="{00000000-0005-0000-0000-00004F2C0000}"/>
    <cellStyle name="Финансовый 4 11 2" xfId="11417" xr:uid="{00000000-0005-0000-0000-0000502C0000}"/>
    <cellStyle name="Финансовый 4 12" xfId="11418" xr:uid="{00000000-0005-0000-0000-0000512C0000}"/>
    <cellStyle name="Финансовый 4 2" xfId="4888" xr:uid="{00000000-0005-0000-0000-0000522C0000}"/>
    <cellStyle name="Финансовый 4 2 2" xfId="4889" xr:uid="{00000000-0005-0000-0000-0000532C0000}"/>
    <cellStyle name="Финансовый 4 2 2 2" xfId="11419" xr:uid="{00000000-0005-0000-0000-0000542C0000}"/>
    <cellStyle name="Финансовый 4 2 2 2 2" xfId="11420" xr:uid="{00000000-0005-0000-0000-0000552C0000}"/>
    <cellStyle name="Финансовый 4 2 2 2 2 2" xfId="11421" xr:uid="{00000000-0005-0000-0000-0000562C0000}"/>
    <cellStyle name="Финансовый 4 2 2 2 2 2 2" xfId="11422" xr:uid="{00000000-0005-0000-0000-0000572C0000}"/>
    <cellStyle name="Финансовый 4 2 2 2 2 2 2 2" xfId="11423" xr:uid="{00000000-0005-0000-0000-0000582C0000}"/>
    <cellStyle name="Финансовый 4 2 2 2 2 2 2 3" xfId="11424" xr:uid="{00000000-0005-0000-0000-0000592C0000}"/>
    <cellStyle name="Финансовый 4 2 2 2 2 2 3" xfId="11425" xr:uid="{00000000-0005-0000-0000-00005A2C0000}"/>
    <cellStyle name="Финансовый 4 2 2 2 2 2 4" xfId="11426" xr:uid="{00000000-0005-0000-0000-00005B2C0000}"/>
    <cellStyle name="Финансовый 4 2 2 2 2 3" xfId="11427" xr:uid="{00000000-0005-0000-0000-00005C2C0000}"/>
    <cellStyle name="Финансовый 4 2 2 2 2 3 2" xfId="11428" xr:uid="{00000000-0005-0000-0000-00005D2C0000}"/>
    <cellStyle name="Финансовый 4 2 2 2 2 3 3" xfId="11429" xr:uid="{00000000-0005-0000-0000-00005E2C0000}"/>
    <cellStyle name="Финансовый 4 2 2 2 2 4" xfId="11430" xr:uid="{00000000-0005-0000-0000-00005F2C0000}"/>
    <cellStyle name="Финансовый 4 2 2 2 2 4 2" xfId="11431" xr:uid="{00000000-0005-0000-0000-0000602C0000}"/>
    <cellStyle name="Финансовый 4 2 2 2 2 5" xfId="11432" xr:uid="{00000000-0005-0000-0000-0000612C0000}"/>
    <cellStyle name="Финансовый 4 2 2 2 2 6" xfId="11433" xr:uid="{00000000-0005-0000-0000-0000622C0000}"/>
    <cellStyle name="Финансовый 4 2 2 2 3" xfId="11434" xr:uid="{00000000-0005-0000-0000-0000632C0000}"/>
    <cellStyle name="Финансовый 4 2 2 2 3 2" xfId="11435" xr:uid="{00000000-0005-0000-0000-0000642C0000}"/>
    <cellStyle name="Финансовый 4 2 2 2 3 2 2" xfId="11436" xr:uid="{00000000-0005-0000-0000-0000652C0000}"/>
    <cellStyle name="Финансовый 4 2 2 2 3 2 3" xfId="11437" xr:uid="{00000000-0005-0000-0000-0000662C0000}"/>
    <cellStyle name="Финансовый 4 2 2 2 3 3" xfId="11438" xr:uid="{00000000-0005-0000-0000-0000672C0000}"/>
    <cellStyle name="Финансовый 4 2 2 2 3 4" xfId="11439" xr:uid="{00000000-0005-0000-0000-0000682C0000}"/>
    <cellStyle name="Финансовый 4 2 2 2 4" xfId="11440" xr:uid="{00000000-0005-0000-0000-0000692C0000}"/>
    <cellStyle name="Финансовый 4 2 2 2 4 2" xfId="11441" xr:uid="{00000000-0005-0000-0000-00006A2C0000}"/>
    <cellStyle name="Финансовый 4 2 2 2 4 3" xfId="11442" xr:uid="{00000000-0005-0000-0000-00006B2C0000}"/>
    <cellStyle name="Финансовый 4 2 2 2 5" xfId="11443" xr:uid="{00000000-0005-0000-0000-00006C2C0000}"/>
    <cellStyle name="Финансовый 4 2 2 2 5 2" xfId="11444" xr:uid="{00000000-0005-0000-0000-00006D2C0000}"/>
    <cellStyle name="Финансовый 4 2 2 2 6" xfId="11445" xr:uid="{00000000-0005-0000-0000-00006E2C0000}"/>
    <cellStyle name="Финансовый 4 2 2 2 7" xfId="11446" xr:uid="{00000000-0005-0000-0000-00006F2C0000}"/>
    <cellStyle name="Финансовый 4 2 2 2 8" xfId="11447" xr:uid="{00000000-0005-0000-0000-0000702C0000}"/>
    <cellStyle name="Финансовый 4 2 2 3" xfId="11448" xr:uid="{00000000-0005-0000-0000-0000712C0000}"/>
    <cellStyle name="Финансовый 4 2 2 3 2" xfId="11449" xr:uid="{00000000-0005-0000-0000-0000722C0000}"/>
    <cellStyle name="Финансовый 4 2 2 3 2 2" xfId="11450" xr:uid="{00000000-0005-0000-0000-0000732C0000}"/>
    <cellStyle name="Финансовый 4 2 2 3 2 2 2" xfId="11451" xr:uid="{00000000-0005-0000-0000-0000742C0000}"/>
    <cellStyle name="Финансовый 4 2 2 3 2 2 3" xfId="11452" xr:uid="{00000000-0005-0000-0000-0000752C0000}"/>
    <cellStyle name="Финансовый 4 2 2 3 2 3" xfId="11453" xr:uid="{00000000-0005-0000-0000-0000762C0000}"/>
    <cellStyle name="Финансовый 4 2 2 3 2 4" xfId="11454" xr:uid="{00000000-0005-0000-0000-0000772C0000}"/>
    <cellStyle name="Финансовый 4 2 2 3 3" xfId="11455" xr:uid="{00000000-0005-0000-0000-0000782C0000}"/>
    <cellStyle name="Финансовый 4 2 2 3 3 2" xfId="11456" xr:uid="{00000000-0005-0000-0000-0000792C0000}"/>
    <cellStyle name="Финансовый 4 2 2 3 3 3" xfId="11457" xr:uid="{00000000-0005-0000-0000-00007A2C0000}"/>
    <cellStyle name="Финансовый 4 2 2 3 4" xfId="11458" xr:uid="{00000000-0005-0000-0000-00007B2C0000}"/>
    <cellStyle name="Финансовый 4 2 2 3 4 2" xfId="11459" xr:uid="{00000000-0005-0000-0000-00007C2C0000}"/>
    <cellStyle name="Финансовый 4 2 2 3 5" xfId="11460" xr:uid="{00000000-0005-0000-0000-00007D2C0000}"/>
    <cellStyle name="Финансовый 4 2 2 3 6" xfId="11461" xr:uid="{00000000-0005-0000-0000-00007E2C0000}"/>
    <cellStyle name="Финансовый 4 2 2 4" xfId="11462" xr:uid="{00000000-0005-0000-0000-00007F2C0000}"/>
    <cellStyle name="Финансовый 4 2 2 4 2" xfId="11463" xr:uid="{00000000-0005-0000-0000-0000802C0000}"/>
    <cellStyle name="Финансовый 4 2 2 4 2 2" xfId="11464" xr:uid="{00000000-0005-0000-0000-0000812C0000}"/>
    <cellStyle name="Финансовый 4 2 2 4 2 3" xfId="11465" xr:uid="{00000000-0005-0000-0000-0000822C0000}"/>
    <cellStyle name="Финансовый 4 2 2 4 3" xfId="11466" xr:uid="{00000000-0005-0000-0000-0000832C0000}"/>
    <cellStyle name="Финансовый 4 2 2 4 4" xfId="11467" xr:uid="{00000000-0005-0000-0000-0000842C0000}"/>
    <cellStyle name="Финансовый 4 2 2 5" xfId="11468" xr:uid="{00000000-0005-0000-0000-0000852C0000}"/>
    <cellStyle name="Финансовый 4 2 2 5 2" xfId="11469" xr:uid="{00000000-0005-0000-0000-0000862C0000}"/>
    <cellStyle name="Финансовый 4 2 2 5 3" xfId="11470" xr:uid="{00000000-0005-0000-0000-0000872C0000}"/>
    <cellStyle name="Финансовый 4 2 2 6" xfId="11471" xr:uid="{00000000-0005-0000-0000-0000882C0000}"/>
    <cellStyle name="Финансовый 4 2 2 6 2" xfId="11472" xr:uid="{00000000-0005-0000-0000-0000892C0000}"/>
    <cellStyle name="Финансовый 4 2 2 7" xfId="11473" xr:uid="{00000000-0005-0000-0000-00008A2C0000}"/>
    <cellStyle name="Финансовый 4 2 2 8" xfId="11474" xr:uid="{00000000-0005-0000-0000-00008B2C0000}"/>
    <cellStyle name="Финансовый 4 2 3" xfId="4890" xr:uid="{00000000-0005-0000-0000-00008C2C0000}"/>
    <cellStyle name="Финансовый 4 2 3 2" xfId="4891" xr:uid="{00000000-0005-0000-0000-00008D2C0000}"/>
    <cellStyle name="Финансовый 4 2 3 2 2" xfId="11475" xr:uid="{00000000-0005-0000-0000-00008E2C0000}"/>
    <cellStyle name="Финансовый 4 2 3 2 2 2" xfId="11476" xr:uid="{00000000-0005-0000-0000-00008F2C0000}"/>
    <cellStyle name="Финансовый 4 2 3 2 2 2 2" xfId="11477" xr:uid="{00000000-0005-0000-0000-0000902C0000}"/>
    <cellStyle name="Финансовый 4 2 3 2 2 2 3" xfId="11478" xr:uid="{00000000-0005-0000-0000-0000912C0000}"/>
    <cellStyle name="Финансовый 4 2 3 2 2 3" xfId="11479" xr:uid="{00000000-0005-0000-0000-0000922C0000}"/>
    <cellStyle name="Финансовый 4 2 3 2 2 4" xfId="11480" xr:uid="{00000000-0005-0000-0000-0000932C0000}"/>
    <cellStyle name="Финансовый 4 2 3 2 3" xfId="11481" xr:uid="{00000000-0005-0000-0000-0000942C0000}"/>
    <cellStyle name="Финансовый 4 2 3 2 3 2" xfId="11482" xr:uid="{00000000-0005-0000-0000-0000952C0000}"/>
    <cellStyle name="Финансовый 4 2 3 2 3 3" xfId="11483" xr:uid="{00000000-0005-0000-0000-0000962C0000}"/>
    <cellStyle name="Финансовый 4 2 3 2 4" xfId="11484" xr:uid="{00000000-0005-0000-0000-0000972C0000}"/>
    <cellStyle name="Финансовый 4 2 3 2 4 2" xfId="11485" xr:uid="{00000000-0005-0000-0000-0000982C0000}"/>
    <cellStyle name="Финансовый 4 2 3 2 5" xfId="11486" xr:uid="{00000000-0005-0000-0000-0000992C0000}"/>
    <cellStyle name="Финансовый 4 2 3 2 6" xfId="11487" xr:uid="{00000000-0005-0000-0000-00009A2C0000}"/>
    <cellStyle name="Финансовый 4 2 3 3" xfId="11488" xr:uid="{00000000-0005-0000-0000-00009B2C0000}"/>
    <cellStyle name="Финансовый 4 2 3 3 2" xfId="11489" xr:uid="{00000000-0005-0000-0000-00009C2C0000}"/>
    <cellStyle name="Финансовый 4 2 3 3 2 2" xfId="11490" xr:uid="{00000000-0005-0000-0000-00009D2C0000}"/>
    <cellStyle name="Финансовый 4 2 3 3 2 3" xfId="11491" xr:uid="{00000000-0005-0000-0000-00009E2C0000}"/>
    <cellStyle name="Финансовый 4 2 3 3 3" xfId="11492" xr:uid="{00000000-0005-0000-0000-00009F2C0000}"/>
    <cellStyle name="Финансовый 4 2 3 3 4" xfId="11493" xr:uid="{00000000-0005-0000-0000-0000A02C0000}"/>
    <cellStyle name="Финансовый 4 2 3 4" xfId="11494" xr:uid="{00000000-0005-0000-0000-0000A12C0000}"/>
    <cellStyle name="Финансовый 4 2 3 4 2" xfId="11495" xr:uid="{00000000-0005-0000-0000-0000A22C0000}"/>
    <cellStyle name="Финансовый 4 2 3 4 3" xfId="11496" xr:uid="{00000000-0005-0000-0000-0000A32C0000}"/>
    <cellStyle name="Финансовый 4 2 3 5" xfId="11497" xr:uid="{00000000-0005-0000-0000-0000A42C0000}"/>
    <cellStyle name="Финансовый 4 2 3 5 2" xfId="11498" xr:uid="{00000000-0005-0000-0000-0000A52C0000}"/>
    <cellStyle name="Финансовый 4 2 3 6" xfId="11499" xr:uid="{00000000-0005-0000-0000-0000A62C0000}"/>
    <cellStyle name="Финансовый 4 2 3 7" xfId="11500" xr:uid="{00000000-0005-0000-0000-0000A72C0000}"/>
    <cellStyle name="Финансовый 4 2 3 8" xfId="11501" xr:uid="{00000000-0005-0000-0000-0000A82C0000}"/>
    <cellStyle name="Финансовый 4 2 4" xfId="11502" xr:uid="{00000000-0005-0000-0000-0000A92C0000}"/>
    <cellStyle name="Финансовый 4 2 4 2" xfId="11503" xr:uid="{00000000-0005-0000-0000-0000AA2C0000}"/>
    <cellStyle name="Финансовый 4 2 4 2 2" xfId="11504" xr:uid="{00000000-0005-0000-0000-0000AB2C0000}"/>
    <cellStyle name="Финансовый 4 2 4 2 2 2" xfId="11505" xr:uid="{00000000-0005-0000-0000-0000AC2C0000}"/>
    <cellStyle name="Финансовый 4 2 4 2 2 3" xfId="11506" xr:uid="{00000000-0005-0000-0000-0000AD2C0000}"/>
    <cellStyle name="Финансовый 4 2 4 2 3" xfId="11507" xr:uid="{00000000-0005-0000-0000-0000AE2C0000}"/>
    <cellStyle name="Финансовый 4 2 4 2 4" xfId="11508" xr:uid="{00000000-0005-0000-0000-0000AF2C0000}"/>
    <cellStyle name="Финансовый 4 2 4 3" xfId="11509" xr:uid="{00000000-0005-0000-0000-0000B02C0000}"/>
    <cellStyle name="Финансовый 4 2 4 3 2" xfId="11510" xr:uid="{00000000-0005-0000-0000-0000B12C0000}"/>
    <cellStyle name="Финансовый 4 2 4 3 3" xfId="11511" xr:uid="{00000000-0005-0000-0000-0000B22C0000}"/>
    <cellStyle name="Финансовый 4 2 4 4" xfId="11512" xr:uid="{00000000-0005-0000-0000-0000B32C0000}"/>
    <cellStyle name="Финансовый 4 2 4 4 2" xfId="11513" xr:uid="{00000000-0005-0000-0000-0000B42C0000}"/>
    <cellStyle name="Финансовый 4 2 4 5" xfId="11514" xr:uid="{00000000-0005-0000-0000-0000B52C0000}"/>
    <cellStyle name="Финансовый 4 2 4 6" xfId="11515" xr:uid="{00000000-0005-0000-0000-0000B62C0000}"/>
    <cellStyle name="Финансовый 4 2 4 7" xfId="11516" xr:uid="{00000000-0005-0000-0000-0000B72C0000}"/>
    <cellStyle name="Финансовый 4 2 5" xfId="11517" xr:uid="{00000000-0005-0000-0000-0000B82C0000}"/>
    <cellStyle name="Финансовый 4 2 5 2" xfId="11518" xr:uid="{00000000-0005-0000-0000-0000B92C0000}"/>
    <cellStyle name="Финансовый 4 2 5 2 2" xfId="11519" xr:uid="{00000000-0005-0000-0000-0000BA2C0000}"/>
    <cellStyle name="Финансовый 4 2 5 2 3" xfId="11520" xr:uid="{00000000-0005-0000-0000-0000BB2C0000}"/>
    <cellStyle name="Финансовый 4 2 5 3" xfId="11521" xr:uid="{00000000-0005-0000-0000-0000BC2C0000}"/>
    <cellStyle name="Финансовый 4 2 5 4" xfId="11522" xr:uid="{00000000-0005-0000-0000-0000BD2C0000}"/>
    <cellStyle name="Финансовый 4 2 6" xfId="11523" xr:uid="{00000000-0005-0000-0000-0000BE2C0000}"/>
    <cellStyle name="Финансовый 4 2 6 2" xfId="11524" xr:uid="{00000000-0005-0000-0000-0000BF2C0000}"/>
    <cellStyle name="Финансовый 4 2 6 3" xfId="11525" xr:uid="{00000000-0005-0000-0000-0000C02C0000}"/>
    <cellStyle name="Финансовый 4 2 7" xfId="11526" xr:uid="{00000000-0005-0000-0000-0000C12C0000}"/>
    <cellStyle name="Финансовый 4 2 7 2" xfId="11527" xr:uid="{00000000-0005-0000-0000-0000C22C0000}"/>
    <cellStyle name="Финансовый 4 2 8" xfId="11528" xr:uid="{00000000-0005-0000-0000-0000C32C0000}"/>
    <cellStyle name="Финансовый 4 2 9" xfId="11529" xr:uid="{00000000-0005-0000-0000-0000C42C0000}"/>
    <cellStyle name="Финансовый 4 3" xfId="4892" xr:uid="{00000000-0005-0000-0000-0000C52C0000}"/>
    <cellStyle name="Финансовый 4 3 2" xfId="4893" xr:uid="{00000000-0005-0000-0000-0000C62C0000}"/>
    <cellStyle name="Финансовый 4 3 2 2" xfId="4894" xr:uid="{00000000-0005-0000-0000-0000C72C0000}"/>
    <cellStyle name="Финансовый 4 3 2 2 2" xfId="11530" xr:uid="{00000000-0005-0000-0000-0000C82C0000}"/>
    <cellStyle name="Финансовый 4 3 2 2 2 2" xfId="11531" xr:uid="{00000000-0005-0000-0000-0000C92C0000}"/>
    <cellStyle name="Финансовый 4 3 2 2 2 2 2" xfId="11532" xr:uid="{00000000-0005-0000-0000-0000CA2C0000}"/>
    <cellStyle name="Финансовый 4 3 2 2 2 2 3" xfId="11533" xr:uid="{00000000-0005-0000-0000-0000CB2C0000}"/>
    <cellStyle name="Финансовый 4 3 2 2 2 3" xfId="11534" xr:uid="{00000000-0005-0000-0000-0000CC2C0000}"/>
    <cellStyle name="Финансовый 4 3 2 2 2 4" xfId="11535" xr:uid="{00000000-0005-0000-0000-0000CD2C0000}"/>
    <cellStyle name="Финансовый 4 3 2 2 3" xfId="11536" xr:uid="{00000000-0005-0000-0000-0000CE2C0000}"/>
    <cellStyle name="Финансовый 4 3 2 2 3 2" xfId="11537" xr:uid="{00000000-0005-0000-0000-0000CF2C0000}"/>
    <cellStyle name="Финансовый 4 3 2 2 3 3" xfId="11538" xr:uid="{00000000-0005-0000-0000-0000D02C0000}"/>
    <cellStyle name="Финансовый 4 3 2 2 4" xfId="11539" xr:uid="{00000000-0005-0000-0000-0000D12C0000}"/>
    <cellStyle name="Финансовый 4 3 2 2 4 2" xfId="11540" xr:uid="{00000000-0005-0000-0000-0000D22C0000}"/>
    <cellStyle name="Финансовый 4 3 2 2 5" xfId="11541" xr:uid="{00000000-0005-0000-0000-0000D32C0000}"/>
    <cellStyle name="Финансовый 4 3 2 2 6" xfId="11542" xr:uid="{00000000-0005-0000-0000-0000D42C0000}"/>
    <cellStyle name="Финансовый 4 3 2 3" xfId="11543" xr:uid="{00000000-0005-0000-0000-0000D52C0000}"/>
    <cellStyle name="Финансовый 4 3 2 3 2" xfId="11544" xr:uid="{00000000-0005-0000-0000-0000D62C0000}"/>
    <cellStyle name="Финансовый 4 3 2 3 2 2" xfId="11545" xr:uid="{00000000-0005-0000-0000-0000D72C0000}"/>
    <cellStyle name="Финансовый 4 3 2 3 2 3" xfId="11546" xr:uid="{00000000-0005-0000-0000-0000D82C0000}"/>
    <cellStyle name="Финансовый 4 3 2 3 3" xfId="11547" xr:uid="{00000000-0005-0000-0000-0000D92C0000}"/>
    <cellStyle name="Финансовый 4 3 2 3 4" xfId="11548" xr:uid="{00000000-0005-0000-0000-0000DA2C0000}"/>
    <cellStyle name="Финансовый 4 3 2 4" xfId="11549" xr:uid="{00000000-0005-0000-0000-0000DB2C0000}"/>
    <cellStyle name="Финансовый 4 3 2 4 2" xfId="11550" xr:uid="{00000000-0005-0000-0000-0000DC2C0000}"/>
    <cellStyle name="Финансовый 4 3 2 4 3" xfId="11551" xr:uid="{00000000-0005-0000-0000-0000DD2C0000}"/>
    <cellStyle name="Финансовый 4 3 2 5" xfId="11552" xr:uid="{00000000-0005-0000-0000-0000DE2C0000}"/>
    <cellStyle name="Финансовый 4 3 2 5 2" xfId="11553" xr:uid="{00000000-0005-0000-0000-0000DF2C0000}"/>
    <cellStyle name="Финансовый 4 3 2 6" xfId="11554" xr:uid="{00000000-0005-0000-0000-0000E02C0000}"/>
    <cellStyle name="Финансовый 4 3 2 7" xfId="11555" xr:uid="{00000000-0005-0000-0000-0000E12C0000}"/>
    <cellStyle name="Финансовый 4 3 2 8" xfId="11556" xr:uid="{00000000-0005-0000-0000-0000E22C0000}"/>
    <cellStyle name="Финансовый 4 3 3" xfId="4895" xr:uid="{00000000-0005-0000-0000-0000E32C0000}"/>
    <cellStyle name="Финансовый 4 3 3 2" xfId="11557" xr:uid="{00000000-0005-0000-0000-0000E42C0000}"/>
    <cellStyle name="Финансовый 4 3 3 2 2" xfId="11558" xr:uid="{00000000-0005-0000-0000-0000E52C0000}"/>
    <cellStyle name="Финансовый 4 3 3 2 2 2" xfId="11559" xr:uid="{00000000-0005-0000-0000-0000E62C0000}"/>
    <cellStyle name="Финансовый 4 3 3 2 2 3" xfId="11560" xr:uid="{00000000-0005-0000-0000-0000E72C0000}"/>
    <cellStyle name="Финансовый 4 3 3 2 3" xfId="11561" xr:uid="{00000000-0005-0000-0000-0000E82C0000}"/>
    <cellStyle name="Финансовый 4 3 3 2 4" xfId="11562" xr:uid="{00000000-0005-0000-0000-0000E92C0000}"/>
    <cellStyle name="Финансовый 4 3 3 3" xfId="11563" xr:uid="{00000000-0005-0000-0000-0000EA2C0000}"/>
    <cellStyle name="Финансовый 4 3 3 3 2" xfId="11564" xr:uid="{00000000-0005-0000-0000-0000EB2C0000}"/>
    <cellStyle name="Финансовый 4 3 3 3 3" xfId="11565" xr:uid="{00000000-0005-0000-0000-0000EC2C0000}"/>
    <cellStyle name="Финансовый 4 3 3 4" xfId="11566" xr:uid="{00000000-0005-0000-0000-0000ED2C0000}"/>
    <cellStyle name="Финансовый 4 3 3 4 2" xfId="11567" xr:uid="{00000000-0005-0000-0000-0000EE2C0000}"/>
    <cellStyle name="Финансовый 4 3 3 5" xfId="11568" xr:uid="{00000000-0005-0000-0000-0000EF2C0000}"/>
    <cellStyle name="Финансовый 4 3 3 6" xfId="11569" xr:uid="{00000000-0005-0000-0000-0000F02C0000}"/>
    <cellStyle name="Финансовый 4 3 4" xfId="4896" xr:uid="{00000000-0005-0000-0000-0000F12C0000}"/>
    <cellStyle name="Финансовый 4 3 4 2" xfId="11570" xr:uid="{00000000-0005-0000-0000-0000F22C0000}"/>
    <cellStyle name="Финансовый 4 3 4 2 2" xfId="11571" xr:uid="{00000000-0005-0000-0000-0000F32C0000}"/>
    <cellStyle name="Финансовый 4 3 4 2 3" xfId="11572" xr:uid="{00000000-0005-0000-0000-0000F42C0000}"/>
    <cellStyle name="Финансовый 4 3 4 3" xfId="11573" xr:uid="{00000000-0005-0000-0000-0000F52C0000}"/>
    <cellStyle name="Финансовый 4 3 4 4" xfId="11574" xr:uid="{00000000-0005-0000-0000-0000F62C0000}"/>
    <cellStyle name="Финансовый 4 3 5" xfId="11575" xr:uid="{00000000-0005-0000-0000-0000F72C0000}"/>
    <cellStyle name="Финансовый 4 3 5 2" xfId="11576" xr:uid="{00000000-0005-0000-0000-0000F82C0000}"/>
    <cellStyle name="Финансовый 4 3 5 3" xfId="11577" xr:uid="{00000000-0005-0000-0000-0000F92C0000}"/>
    <cellStyle name="Финансовый 4 3 6" xfId="11578" xr:uid="{00000000-0005-0000-0000-0000FA2C0000}"/>
    <cellStyle name="Финансовый 4 3 6 2" xfId="11579" xr:uid="{00000000-0005-0000-0000-0000FB2C0000}"/>
    <cellStyle name="Финансовый 4 3 7" xfId="11580" xr:uid="{00000000-0005-0000-0000-0000FC2C0000}"/>
    <cellStyle name="Финансовый 4 3 8" xfId="11581" xr:uid="{00000000-0005-0000-0000-0000FD2C0000}"/>
    <cellStyle name="Финансовый 4 4" xfId="4897" xr:uid="{00000000-0005-0000-0000-0000FE2C0000}"/>
    <cellStyle name="Финансовый 4 4 2" xfId="4898" xr:uid="{00000000-0005-0000-0000-0000FF2C0000}"/>
    <cellStyle name="Финансовый 4 4 2 2" xfId="11582" xr:uid="{00000000-0005-0000-0000-0000002D0000}"/>
    <cellStyle name="Финансовый 4 4 2 2 2" xfId="11583" xr:uid="{00000000-0005-0000-0000-0000012D0000}"/>
    <cellStyle name="Финансовый 4 4 2 2 2 2" xfId="11584" xr:uid="{00000000-0005-0000-0000-0000022D0000}"/>
    <cellStyle name="Финансовый 4 4 2 2 2 3" xfId="11585" xr:uid="{00000000-0005-0000-0000-0000032D0000}"/>
    <cellStyle name="Финансовый 4 4 2 2 3" xfId="11586" xr:uid="{00000000-0005-0000-0000-0000042D0000}"/>
    <cellStyle name="Финансовый 4 4 2 2 4" xfId="11587" xr:uid="{00000000-0005-0000-0000-0000052D0000}"/>
    <cellStyle name="Финансовый 4 4 2 3" xfId="11588" xr:uid="{00000000-0005-0000-0000-0000062D0000}"/>
    <cellStyle name="Финансовый 4 4 2 3 2" xfId="11589" xr:uid="{00000000-0005-0000-0000-0000072D0000}"/>
    <cellStyle name="Финансовый 4 4 2 3 3" xfId="11590" xr:uid="{00000000-0005-0000-0000-0000082D0000}"/>
    <cellStyle name="Финансовый 4 4 2 4" xfId="11591" xr:uid="{00000000-0005-0000-0000-0000092D0000}"/>
    <cellStyle name="Финансовый 4 4 2 4 2" xfId="11592" xr:uid="{00000000-0005-0000-0000-00000A2D0000}"/>
    <cellStyle name="Финансовый 4 4 2 5" xfId="11593" xr:uid="{00000000-0005-0000-0000-00000B2D0000}"/>
    <cellStyle name="Финансовый 4 4 2 6" xfId="11594" xr:uid="{00000000-0005-0000-0000-00000C2D0000}"/>
    <cellStyle name="Финансовый 4 4 2 7" xfId="11595" xr:uid="{00000000-0005-0000-0000-00000D2D0000}"/>
    <cellStyle name="Финансовый 4 4 3" xfId="11596" xr:uid="{00000000-0005-0000-0000-00000E2D0000}"/>
    <cellStyle name="Финансовый 4 4 3 2" xfId="11597" xr:uid="{00000000-0005-0000-0000-00000F2D0000}"/>
    <cellStyle name="Финансовый 4 4 3 2 2" xfId="11598" xr:uid="{00000000-0005-0000-0000-0000102D0000}"/>
    <cellStyle name="Финансовый 4 4 3 2 3" xfId="11599" xr:uid="{00000000-0005-0000-0000-0000112D0000}"/>
    <cellStyle name="Финансовый 4 4 3 3" xfId="11600" xr:uid="{00000000-0005-0000-0000-0000122D0000}"/>
    <cellStyle name="Финансовый 4 4 3 4" xfId="11601" xr:uid="{00000000-0005-0000-0000-0000132D0000}"/>
    <cellStyle name="Финансовый 4 4 4" xfId="11602" xr:uid="{00000000-0005-0000-0000-0000142D0000}"/>
    <cellStyle name="Финансовый 4 4 4 2" xfId="11603" xr:uid="{00000000-0005-0000-0000-0000152D0000}"/>
    <cellStyle name="Финансовый 4 4 4 3" xfId="11604" xr:uid="{00000000-0005-0000-0000-0000162D0000}"/>
    <cellStyle name="Финансовый 4 4 5" xfId="11605" xr:uid="{00000000-0005-0000-0000-0000172D0000}"/>
    <cellStyle name="Финансовый 4 4 5 2" xfId="11606" xr:uid="{00000000-0005-0000-0000-0000182D0000}"/>
    <cellStyle name="Финансовый 4 4 6" xfId="11607" xr:uid="{00000000-0005-0000-0000-0000192D0000}"/>
    <cellStyle name="Финансовый 4 4 7" xfId="11608" xr:uid="{00000000-0005-0000-0000-00001A2D0000}"/>
    <cellStyle name="Финансовый 4 4 8" xfId="11609" xr:uid="{00000000-0005-0000-0000-00001B2D0000}"/>
    <cellStyle name="Финансовый 4 5" xfId="4899" xr:uid="{00000000-0005-0000-0000-00001C2D0000}"/>
    <cellStyle name="Финансовый 4 5 2" xfId="11610" xr:uid="{00000000-0005-0000-0000-00001D2D0000}"/>
    <cellStyle name="Финансовый 4 5 2 2" xfId="11611" xr:uid="{00000000-0005-0000-0000-00001E2D0000}"/>
    <cellStyle name="Финансовый 4 5 2 2 2" xfId="11612" xr:uid="{00000000-0005-0000-0000-00001F2D0000}"/>
    <cellStyle name="Финансовый 4 5 2 2 3" xfId="11613" xr:uid="{00000000-0005-0000-0000-0000202D0000}"/>
    <cellStyle name="Финансовый 4 5 2 3" xfId="11614" xr:uid="{00000000-0005-0000-0000-0000212D0000}"/>
    <cellStyle name="Финансовый 4 5 2 4" xfId="11615" xr:uid="{00000000-0005-0000-0000-0000222D0000}"/>
    <cellStyle name="Финансовый 4 5 2 5" xfId="11616" xr:uid="{00000000-0005-0000-0000-0000232D0000}"/>
    <cellStyle name="Финансовый 4 5 3" xfId="11617" xr:uid="{00000000-0005-0000-0000-0000242D0000}"/>
    <cellStyle name="Финансовый 4 5 3 2" xfId="11618" xr:uid="{00000000-0005-0000-0000-0000252D0000}"/>
    <cellStyle name="Финансовый 4 5 3 3" xfId="11619" xr:uid="{00000000-0005-0000-0000-0000262D0000}"/>
    <cellStyle name="Финансовый 4 5 4" xfId="11620" xr:uid="{00000000-0005-0000-0000-0000272D0000}"/>
    <cellStyle name="Финансовый 4 5 4 2" xfId="11621" xr:uid="{00000000-0005-0000-0000-0000282D0000}"/>
    <cellStyle name="Финансовый 4 5 5" xfId="11622" xr:uid="{00000000-0005-0000-0000-0000292D0000}"/>
    <cellStyle name="Финансовый 4 5 6" xfId="11623" xr:uid="{00000000-0005-0000-0000-00002A2D0000}"/>
    <cellStyle name="Финансовый 4 5 7" xfId="11624" xr:uid="{00000000-0005-0000-0000-00002B2D0000}"/>
    <cellStyle name="Финансовый 4 6" xfId="4900" xr:uid="{00000000-0005-0000-0000-00002C2D0000}"/>
    <cellStyle name="Финансовый 4 6 2" xfId="11625" xr:uid="{00000000-0005-0000-0000-00002D2D0000}"/>
    <cellStyle name="Финансовый 4 6 2 2" xfId="11626" xr:uid="{00000000-0005-0000-0000-00002E2D0000}"/>
    <cellStyle name="Финансовый 4 6 2 3" xfId="11627" xr:uid="{00000000-0005-0000-0000-00002F2D0000}"/>
    <cellStyle name="Финансовый 4 6 2 4" xfId="11628" xr:uid="{00000000-0005-0000-0000-0000302D0000}"/>
    <cellStyle name="Финансовый 4 6 3" xfId="11629" xr:uid="{00000000-0005-0000-0000-0000312D0000}"/>
    <cellStyle name="Финансовый 4 6 4" xfId="11630" xr:uid="{00000000-0005-0000-0000-0000322D0000}"/>
    <cellStyle name="Финансовый 4 6 5" xfId="11631" xr:uid="{00000000-0005-0000-0000-0000332D0000}"/>
    <cellStyle name="Финансовый 4 7" xfId="11632" xr:uid="{00000000-0005-0000-0000-0000342D0000}"/>
    <cellStyle name="Финансовый 4 7 2" xfId="11633" xr:uid="{00000000-0005-0000-0000-0000352D0000}"/>
    <cellStyle name="Финансовый 4 7 2 2" xfId="11634" xr:uid="{00000000-0005-0000-0000-0000362D0000}"/>
    <cellStyle name="Финансовый 4 7 3" xfId="11635" xr:uid="{00000000-0005-0000-0000-0000372D0000}"/>
    <cellStyle name="Финансовый 4 7 4" xfId="11636" xr:uid="{00000000-0005-0000-0000-0000382D0000}"/>
    <cellStyle name="Финансовый 4 8" xfId="11637" xr:uid="{00000000-0005-0000-0000-0000392D0000}"/>
    <cellStyle name="Финансовый 4 8 2" xfId="11638" xr:uid="{00000000-0005-0000-0000-00003A2D0000}"/>
    <cellStyle name="Финансовый 4 8 2 2" xfId="11639" xr:uid="{00000000-0005-0000-0000-00003B2D0000}"/>
    <cellStyle name="Финансовый 4 8 3" xfId="11640" xr:uid="{00000000-0005-0000-0000-00003C2D0000}"/>
    <cellStyle name="Финансовый 4 9" xfId="11641" xr:uid="{00000000-0005-0000-0000-00003D2D0000}"/>
    <cellStyle name="Финансовый 4 9 2" xfId="11642" xr:uid="{00000000-0005-0000-0000-00003E2D0000}"/>
    <cellStyle name="Финансовый 4 9 3" xfId="11643" xr:uid="{00000000-0005-0000-0000-00003F2D0000}"/>
    <cellStyle name="Финансовый 5" xfId="4901" xr:uid="{00000000-0005-0000-0000-0000402D0000}"/>
    <cellStyle name="Финансовый 5 10" xfId="11644" xr:uid="{00000000-0005-0000-0000-0000412D0000}"/>
    <cellStyle name="Финансовый 5 11" xfId="11645" xr:uid="{00000000-0005-0000-0000-0000422D0000}"/>
    <cellStyle name="Финансовый 5 2" xfId="4902" xr:uid="{00000000-0005-0000-0000-0000432D0000}"/>
    <cellStyle name="Финансовый 5 2 2" xfId="4903" xr:uid="{00000000-0005-0000-0000-0000442D0000}"/>
    <cellStyle name="Финансовый 5 2 3" xfId="4904" xr:uid="{00000000-0005-0000-0000-0000452D0000}"/>
    <cellStyle name="Финансовый 5 3" xfId="4905" xr:uid="{00000000-0005-0000-0000-0000462D0000}"/>
    <cellStyle name="Финансовый 5 3 2" xfId="4906" xr:uid="{00000000-0005-0000-0000-0000472D0000}"/>
    <cellStyle name="Финансовый 5 4" xfId="4907" xr:uid="{00000000-0005-0000-0000-0000482D0000}"/>
    <cellStyle name="Финансовый 5 4 2" xfId="11646" xr:uid="{00000000-0005-0000-0000-0000492D0000}"/>
    <cellStyle name="Финансовый 5 5" xfId="11647" xr:uid="{00000000-0005-0000-0000-00004A2D0000}"/>
    <cellStyle name="Финансовый 5 5 2" xfId="11648" xr:uid="{00000000-0005-0000-0000-00004B2D0000}"/>
    <cellStyle name="Финансовый 5 6" xfId="11649" xr:uid="{00000000-0005-0000-0000-00004C2D0000}"/>
    <cellStyle name="Финансовый 5 6 2" xfId="11650" xr:uid="{00000000-0005-0000-0000-00004D2D0000}"/>
    <cellStyle name="Финансовый 5 7" xfId="11651" xr:uid="{00000000-0005-0000-0000-00004E2D0000}"/>
    <cellStyle name="Финансовый 5 7 2" xfId="11652" xr:uid="{00000000-0005-0000-0000-00004F2D0000}"/>
    <cellStyle name="Финансовый 5 8" xfId="11653" xr:uid="{00000000-0005-0000-0000-0000502D0000}"/>
    <cellStyle name="Финансовый 5 8 2" xfId="11654" xr:uid="{00000000-0005-0000-0000-0000512D0000}"/>
    <cellStyle name="Финансовый 5 9" xfId="11655" xr:uid="{00000000-0005-0000-0000-0000522D0000}"/>
    <cellStyle name="Финансовый 6" xfId="4908" xr:uid="{00000000-0005-0000-0000-0000532D0000}"/>
    <cellStyle name="Финансовый 6 2" xfId="4909" xr:uid="{00000000-0005-0000-0000-0000542D0000}"/>
    <cellStyle name="Финансовый 6 2 2" xfId="4910" xr:uid="{00000000-0005-0000-0000-0000552D0000}"/>
    <cellStyle name="Финансовый 6 2 2 2" xfId="4911" xr:uid="{00000000-0005-0000-0000-0000562D0000}"/>
    <cellStyle name="Финансовый 6 2 2 3" xfId="4912" xr:uid="{00000000-0005-0000-0000-0000572D0000}"/>
    <cellStyle name="Финансовый 6 2 2 4" xfId="4913" xr:uid="{00000000-0005-0000-0000-0000582D0000}"/>
    <cellStyle name="Финансовый 6 2 3" xfId="4914" xr:uid="{00000000-0005-0000-0000-0000592D0000}"/>
    <cellStyle name="Финансовый 6 2 4" xfId="4915" xr:uid="{00000000-0005-0000-0000-00005A2D0000}"/>
    <cellStyle name="Финансовый 6 2 5" xfId="4916" xr:uid="{00000000-0005-0000-0000-00005B2D0000}"/>
    <cellStyle name="Финансовый 6 3" xfId="4917" xr:uid="{00000000-0005-0000-0000-00005C2D0000}"/>
    <cellStyle name="Финансовый 6 3 2" xfId="4918" xr:uid="{00000000-0005-0000-0000-00005D2D0000}"/>
    <cellStyle name="Финансовый 6 3 3" xfId="4919" xr:uid="{00000000-0005-0000-0000-00005E2D0000}"/>
    <cellStyle name="Финансовый 6 3 4" xfId="4920" xr:uid="{00000000-0005-0000-0000-00005F2D0000}"/>
    <cellStyle name="Финансовый 6 4" xfId="4921" xr:uid="{00000000-0005-0000-0000-0000602D0000}"/>
    <cellStyle name="Финансовый 6 4 2" xfId="4922" xr:uid="{00000000-0005-0000-0000-0000612D0000}"/>
    <cellStyle name="Финансовый 6 4 2 2" xfId="4923" xr:uid="{00000000-0005-0000-0000-0000622D0000}"/>
    <cellStyle name="Финансовый 6 4 2 3" xfId="4924" xr:uid="{00000000-0005-0000-0000-0000632D0000}"/>
    <cellStyle name="Финансовый 6 4 2 4" xfId="4925" xr:uid="{00000000-0005-0000-0000-0000642D0000}"/>
    <cellStyle name="Финансовый 6 4 3" xfId="4926" xr:uid="{00000000-0005-0000-0000-0000652D0000}"/>
    <cellStyle name="Финансовый 6 4 4" xfId="4927" xr:uid="{00000000-0005-0000-0000-0000662D0000}"/>
    <cellStyle name="Финансовый 6 4 5" xfId="4928" xr:uid="{00000000-0005-0000-0000-0000672D0000}"/>
    <cellStyle name="Финансовый 6 4 6" xfId="4929" xr:uid="{00000000-0005-0000-0000-0000682D0000}"/>
    <cellStyle name="Финансовый 6 5" xfId="4930" xr:uid="{00000000-0005-0000-0000-0000692D0000}"/>
    <cellStyle name="Финансовый 6 6" xfId="4931" xr:uid="{00000000-0005-0000-0000-00006A2D0000}"/>
    <cellStyle name="Финансовый 6 7" xfId="4932" xr:uid="{00000000-0005-0000-0000-00006B2D0000}"/>
    <cellStyle name="Финансовый 7" xfId="4933" xr:uid="{00000000-0005-0000-0000-00006C2D0000}"/>
    <cellStyle name="Финансовый 7 2" xfId="4934" xr:uid="{00000000-0005-0000-0000-00006D2D0000}"/>
    <cellStyle name="Финансовый 7 2 2" xfId="4935" xr:uid="{00000000-0005-0000-0000-00006E2D0000}"/>
    <cellStyle name="Финансовый 7 2 3" xfId="4936" xr:uid="{00000000-0005-0000-0000-00006F2D0000}"/>
    <cellStyle name="Финансовый 7 2 4" xfId="4937" xr:uid="{00000000-0005-0000-0000-0000702D0000}"/>
    <cellStyle name="Финансовый 7 3" xfId="4938" xr:uid="{00000000-0005-0000-0000-0000712D0000}"/>
    <cellStyle name="Финансовый 7 3 2" xfId="4939" xr:uid="{00000000-0005-0000-0000-0000722D0000}"/>
    <cellStyle name="Финансовый 7 3 2 2" xfId="4940" xr:uid="{00000000-0005-0000-0000-0000732D0000}"/>
    <cellStyle name="Финансовый 7 3 2 3" xfId="4941" xr:uid="{00000000-0005-0000-0000-0000742D0000}"/>
    <cellStyle name="Финансовый 7 3 2 4" xfId="4942" xr:uid="{00000000-0005-0000-0000-0000752D0000}"/>
    <cellStyle name="Финансовый 7 3 3" xfId="4943" xr:uid="{00000000-0005-0000-0000-0000762D0000}"/>
    <cellStyle name="Финансовый 7 3 4" xfId="4944" xr:uid="{00000000-0005-0000-0000-0000772D0000}"/>
    <cellStyle name="Финансовый 7 3 5" xfId="4945" xr:uid="{00000000-0005-0000-0000-0000782D0000}"/>
    <cellStyle name="Финансовый 7 3 6" xfId="4946" xr:uid="{00000000-0005-0000-0000-0000792D0000}"/>
    <cellStyle name="Финансовый 7 4" xfId="4947" xr:uid="{00000000-0005-0000-0000-00007A2D0000}"/>
    <cellStyle name="Финансовый 7 5" xfId="4948" xr:uid="{00000000-0005-0000-0000-00007B2D0000}"/>
    <cellStyle name="Финансовый 7 6" xfId="4949" xr:uid="{00000000-0005-0000-0000-00007C2D0000}"/>
    <cellStyle name="Финансовый 8" xfId="4950" xr:uid="{00000000-0005-0000-0000-00007D2D0000}"/>
    <cellStyle name="Финансовый 8 2" xfId="4951" xr:uid="{00000000-0005-0000-0000-00007E2D0000}"/>
    <cellStyle name="Финансовый 8 2 2" xfId="4952" xr:uid="{00000000-0005-0000-0000-00007F2D0000}"/>
    <cellStyle name="Финансовый 8 2 3" xfId="4953" xr:uid="{00000000-0005-0000-0000-0000802D0000}"/>
    <cellStyle name="Финансовый 8 2 4" xfId="4954" xr:uid="{00000000-0005-0000-0000-0000812D0000}"/>
    <cellStyle name="Финансовый 8 3" xfId="4955" xr:uid="{00000000-0005-0000-0000-0000822D0000}"/>
    <cellStyle name="Финансовый 8 4" xfId="4956" xr:uid="{00000000-0005-0000-0000-0000832D0000}"/>
    <cellStyle name="Финансовый 8 5" xfId="4957" xr:uid="{00000000-0005-0000-0000-0000842D0000}"/>
    <cellStyle name="Финансовый 8_Свод гостин" xfId="4958" xr:uid="{00000000-0005-0000-0000-0000852D0000}"/>
    <cellStyle name="Финансовый 9" xfId="4959" xr:uid="{00000000-0005-0000-0000-0000862D0000}"/>
    <cellStyle name="Финансовый 9 2" xfId="4960" xr:uid="{00000000-0005-0000-0000-0000872D0000}"/>
    <cellStyle name="Финансовый 9 3" xfId="4961" xr:uid="{00000000-0005-0000-0000-0000882D0000}"/>
    <cellStyle name="Финансовый 9 4" xfId="4962" xr:uid="{00000000-0005-0000-0000-0000892D0000}"/>
    <cellStyle name="Хороший 2" xfId="4963" xr:uid="{00000000-0005-0000-0000-00008A2D0000}"/>
    <cellStyle name="Цена" xfId="4964" xr:uid="{00000000-0005-0000-0000-00008B2D0000}"/>
    <cellStyle name="Цена 2" xfId="4965" xr:uid="{00000000-0005-0000-0000-00008C2D0000}"/>
    <cellStyle name="Цена 2 2" xfId="4966" xr:uid="{00000000-0005-0000-0000-00008D2D0000}"/>
    <cellStyle name="Цена 3" xfId="4967" xr:uid="{00000000-0005-0000-0000-00008E2D0000}"/>
    <cellStyle name="Џђћ–…ќ’ќ›‰" xfId="4968" xr:uid="{00000000-0005-0000-0000-00008F2D0000}"/>
    <cellStyle name="шапка" xfId="4969" xr:uid="{00000000-0005-0000-0000-0000902D0000}"/>
    <cellStyle name="шапка 2" xfId="4970" xr:uid="{00000000-0005-0000-0000-0000912D0000}"/>
    <cellStyle name="шапка 2 2" xfId="4971" xr:uid="{00000000-0005-0000-0000-0000922D0000}"/>
    <cellStyle name="шапка 3" xfId="4972" xr:uid="{00000000-0005-0000-0000-0000932D0000}"/>
  </cellStyles>
  <dxfs count="0"/>
  <tableStyles count="0" defaultTableStyle="TableStyleMedium2" defaultPivotStyle="PivotStyleLight16"/>
  <colors>
    <mruColors>
      <color rgb="FFFFCC99"/>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Fizmat/Desktop/&#1041;&#1102;&#1076;&#1078;&#1077;&#1090;%20&#1056;&#1041;%202026-2028%20&#1089;%20&#1076;&#1086;&#1087;.&#1087;&#1086;&#1090;&#1088;&#1077;&#1073;&#1085;&#1086;&#1089;&#1090;&#1100;&#1102;/&#1041;&#1102;&#1076;&#1078;&#1077;&#1090;%20&#1056;&#1060;&#1052;&#1064;%20&#1040;&#1083;&#1084;&#1072;&#1090;&#1099;%20&#1086;&#1073;&#1097;&#1080;&#1081;%202026-2028&#1075;&#107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Fizmat/Desktop/&#1060;&#1054;&#1058;%20&#1087;&#1083;&#1072;&#1085;%2005.01.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ная"/>
      <sheetName val="Свод Зплаты"/>
      <sheetName val="Штат"/>
      <sheetName val="Тариф бюджет"/>
      <sheetName val="Тарификация"/>
      <sheetName val="Тарификация сентябрь"/>
      <sheetName val="Премия"/>
      <sheetName val="Компенсационные выплаты"/>
      <sheetName val="Расчет комп выплат"/>
      <sheetName val="Соц.налог"/>
      <sheetName val="соц отчисления"/>
      <sheetName val="Свод"/>
      <sheetName val="Свод (3) "/>
      <sheetName val="СВОД ФЗП"/>
      <sheetName val="СВОД ФЗП ДП"/>
      <sheetName val="СВОД ФЗП лимит"/>
      <sheetName val="Сводная лимит 2026г."/>
      <sheetName val="Сводная ДП 2026г."/>
      <sheetName val="Сводная общая 2026г."/>
      <sheetName val="Сводная лимит 2027г."/>
      <sheetName val="Сводная ДП 2027г."/>
      <sheetName val="Сводная общая 2027г."/>
      <sheetName val="Сводная лимит 2028г."/>
      <sheetName val="питание"/>
      <sheetName val="Тариф -2024"/>
      <sheetName val="Сводная ДП 2028г."/>
      <sheetName val="Сводная общая 2028г."/>
      <sheetName val="ШР лимит 2026"/>
      <sheetName val="ШР ДП 2026"/>
      <sheetName val="ШР общая 2026"/>
      <sheetName val="ШР общая 2027"/>
      <sheetName val="ШР лимит 2027"/>
      <sheetName val="ШР ДП 2027"/>
      <sheetName val="ШР лимит 2028"/>
      <sheetName val="ШР ДП 2028"/>
      <sheetName val="ШР общая 2028"/>
      <sheetName val="Тариф лимит 2026 РБ"/>
      <sheetName val="Тариф ДП 2026"/>
      <sheetName val="Тариф общий 2026"/>
      <sheetName val="Тариф лимит 2027 РБ"/>
      <sheetName val="Тариф ДП 2027"/>
      <sheetName val="Тариф общий 2027"/>
      <sheetName val="Тариф лимит 2028 РБ"/>
      <sheetName val="Тариф ДП 2028"/>
      <sheetName val="Сопостав.ком.услуги"/>
      <sheetName val="Тариф общий 2028"/>
      <sheetName val="Калькуляция 2026"/>
      <sheetName val="Калькуляция 2027"/>
      <sheetName val="Калькуляция 2028"/>
      <sheetName val="Средняя стоимость на 1 ого"/>
      <sheetName val="План командир 2026"/>
      <sheetName val="План командир 2027"/>
      <sheetName val="План командир 202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0">
          <cell r="H10">
            <v>607467038.39999986</v>
          </cell>
        </row>
        <row r="11">
          <cell r="H11">
            <v>175773116.33700001</v>
          </cell>
        </row>
        <row r="12">
          <cell r="H12">
            <v>52818842.261249997</v>
          </cell>
        </row>
        <row r="13">
          <cell r="H13">
            <v>43430742.104204103</v>
          </cell>
        </row>
        <row r="14">
          <cell r="H14">
            <v>37622654.864921257</v>
          </cell>
        </row>
        <row r="15">
          <cell r="H15">
            <v>23497204.642109998</v>
          </cell>
        </row>
        <row r="16">
          <cell r="H16">
            <v>37684866.904921249</v>
          </cell>
        </row>
      </sheetData>
      <sheetData sheetId="20">
        <row r="10">
          <cell r="H10">
            <v>120718132.20000002</v>
          </cell>
        </row>
        <row r="11">
          <cell r="H11">
            <v>860117612.41050005</v>
          </cell>
        </row>
        <row r="12">
          <cell r="H12">
            <v>87021989.010000005</v>
          </cell>
        </row>
        <row r="13">
          <cell r="H13">
            <v>55506478.977363899</v>
          </cell>
        </row>
        <row r="14">
          <cell r="H14">
            <v>48053598.012922496</v>
          </cell>
        </row>
        <row r="15">
          <cell r="H15">
            <v>29425072.338315003</v>
          </cell>
        </row>
        <row r="16">
          <cell r="H16">
            <v>48006017.052922495</v>
          </cell>
        </row>
      </sheetData>
      <sheetData sheetId="21" refreshError="1"/>
      <sheetData sheetId="22">
        <row r="10">
          <cell r="H10">
            <v>607519118.39999986</v>
          </cell>
        </row>
        <row r="11">
          <cell r="H11">
            <v>176059556.33700001</v>
          </cell>
        </row>
        <row r="12">
          <cell r="H12">
            <v>52818842.261249997</v>
          </cell>
        </row>
        <row r="13">
          <cell r="H13">
            <v>43448277.440204106</v>
          </cell>
        </row>
        <row r="14">
          <cell r="H14">
            <v>37637888.264921255</v>
          </cell>
        </row>
        <row r="15">
          <cell r="H15">
            <v>23507360.242109999</v>
          </cell>
        </row>
        <row r="16">
          <cell r="H16">
            <v>41882087.889912501</v>
          </cell>
        </row>
      </sheetData>
      <sheetData sheetId="23" refreshError="1"/>
      <sheetData sheetId="24" refreshError="1"/>
      <sheetData sheetId="25">
        <row r="10">
          <cell r="H10">
            <v>120770212.20000002</v>
          </cell>
        </row>
        <row r="11">
          <cell r="H11">
            <v>853279706.64225018</v>
          </cell>
        </row>
        <row r="12">
          <cell r="H12">
            <v>86314507.192499995</v>
          </cell>
        </row>
        <row r="13">
          <cell r="H13">
            <v>55116769.184423551</v>
          </cell>
        </row>
        <row r="14">
          <cell r="H14">
            <v>47716399.171563759</v>
          </cell>
        </row>
        <row r="15">
          <cell r="H15">
            <v>29221497.5652675</v>
          </cell>
        </row>
        <row r="16">
          <cell r="H16">
            <v>52995928.041737497</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29">
          <cell r="R29">
            <v>944172</v>
          </cell>
        </row>
      </sheetData>
      <sheetData sheetId="5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ФОТ Алматы"/>
      <sheetName val="ШР СВОД Алматы 2026 "/>
      <sheetName val="ШР РБ Алматы"/>
      <sheetName val="ШР ПУ Алматы"/>
      <sheetName val="Тариф Свод Алматы 2026 "/>
      <sheetName val="Тариф ПУ Алматы"/>
      <sheetName val="Тариф РБ Алматы"/>
    </sheetNames>
    <sheetDataSet>
      <sheetData sheetId="0"/>
      <sheetData sheetId="1" refreshError="1"/>
      <sheetData sheetId="2">
        <row r="171">
          <cell r="T171">
            <v>23886525.75</v>
          </cell>
        </row>
      </sheetData>
      <sheetData sheetId="3" refreshError="1"/>
      <sheetData sheetId="4"/>
      <sheetData sheetId="5">
        <row r="36">
          <cell r="BM36">
            <v>74365129.33428961</v>
          </cell>
        </row>
      </sheetData>
      <sheetData sheetId="6">
        <row r="161">
          <cell r="X161">
            <v>3031</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lidercom.kz/p40557230-tryapka-dlya-mytya.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zubr-shop.kz/p4214304-zubr-lezviya-segmentirovannye.html" TargetMode="External"/><Relationship Id="rId13" Type="http://schemas.openxmlformats.org/officeDocument/2006/relationships/hyperlink" Target="https://kdm.kz/p19989283-zaklepki-vytyazhnye-4810.html" TargetMode="External"/><Relationship Id="rId3" Type="http://schemas.openxmlformats.org/officeDocument/2006/relationships/hyperlink" Target="https://all-tools.kz/p48680301-cilikonovaya-smazka-sprej.html" TargetMode="External"/><Relationship Id="rId7" Type="http://schemas.openxmlformats.org/officeDocument/2006/relationships/hyperlink" Target="https://zubr-shop.kz/p4217787-zamok-navesnoj-zubr.html" TargetMode="External"/><Relationship Id="rId12" Type="http://schemas.openxmlformats.org/officeDocument/2006/relationships/hyperlink" Target="https://zubr-shop.kz/p4217787-zamok-navesnoj-zubr.html" TargetMode="External"/><Relationship Id="rId2" Type="http://schemas.openxmlformats.org/officeDocument/2006/relationships/hyperlink" Target="https://zubr-shop.kz/p4217773-zubr-multirez-255.html" TargetMode="External"/><Relationship Id="rId1" Type="http://schemas.openxmlformats.org/officeDocument/2006/relationships/hyperlink" Target="https://santehnica.kz/p65942293-gibkaya-podvodka-dlya.html" TargetMode="External"/><Relationship Id="rId6" Type="http://schemas.openxmlformats.org/officeDocument/2006/relationships/hyperlink" Target="https://zubr-shop.kz/p91050994-grinda-latuni-vneshnej.html" TargetMode="External"/><Relationship Id="rId11" Type="http://schemas.openxmlformats.org/officeDocument/2006/relationships/hyperlink" Target="https://zubr-shop.kz/p43580980-zamok-navesnoj-diskovyj.html" TargetMode="External"/><Relationship Id="rId5" Type="http://schemas.openxmlformats.org/officeDocument/2006/relationships/hyperlink" Target="https://amc.kz/p91375876-nabor-bit-ph2.html" TargetMode="External"/><Relationship Id="rId15" Type="http://schemas.openxmlformats.org/officeDocument/2006/relationships/printerSettings" Target="../printerSettings/printerSettings5.bin"/><Relationship Id="rId10" Type="http://schemas.openxmlformats.org/officeDocument/2006/relationships/hyperlink" Target="https://all-tools.kz/p48680301-cilikonovaya-smazka-sprej.html" TargetMode="External"/><Relationship Id="rId4" Type="http://schemas.openxmlformats.org/officeDocument/2006/relationships/hyperlink" Target="https://prolock.kz/p90329387-suvaldnyj-vreznoj-zamok.html" TargetMode="External"/><Relationship Id="rId9" Type="http://schemas.openxmlformats.org/officeDocument/2006/relationships/hyperlink" Target="https://zubr-shop.kz/p4217773-zubr-multirez-255.html" TargetMode="External"/><Relationship Id="rId14" Type="http://schemas.openxmlformats.org/officeDocument/2006/relationships/hyperlink" Target="https://kdm.kz/p19989283-zaklepki-vytyazhnye-4810.htm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zubr-shop.kz/p4214304-zubr-lezviya-segmentirovannye.html" TargetMode="External"/><Relationship Id="rId13" Type="http://schemas.openxmlformats.org/officeDocument/2006/relationships/hyperlink" Target="https://kdm.kz/p19989283-zaklepki-vytyazhnye-4810.html" TargetMode="External"/><Relationship Id="rId3" Type="http://schemas.openxmlformats.org/officeDocument/2006/relationships/hyperlink" Target="https://all-tools.kz/p48680301-cilikonovaya-smazka-sprej.html" TargetMode="External"/><Relationship Id="rId7" Type="http://schemas.openxmlformats.org/officeDocument/2006/relationships/hyperlink" Target="https://zubr-shop.kz/p4217787-zamok-navesnoj-zubr.html" TargetMode="External"/><Relationship Id="rId12" Type="http://schemas.openxmlformats.org/officeDocument/2006/relationships/hyperlink" Target="https://zubr-shop.kz/p4217787-zamok-navesnoj-zubr.html" TargetMode="External"/><Relationship Id="rId2" Type="http://schemas.openxmlformats.org/officeDocument/2006/relationships/hyperlink" Target="https://zubr-shop.kz/p4217773-zubr-multirez-255.html" TargetMode="External"/><Relationship Id="rId1" Type="http://schemas.openxmlformats.org/officeDocument/2006/relationships/hyperlink" Target="https://santehnica.kz/p65942293-gibkaya-podvodka-dlya.html" TargetMode="External"/><Relationship Id="rId6" Type="http://schemas.openxmlformats.org/officeDocument/2006/relationships/hyperlink" Target="https://zubr-shop.kz/p91050994-grinda-latuni-vneshnej.html" TargetMode="External"/><Relationship Id="rId11" Type="http://schemas.openxmlformats.org/officeDocument/2006/relationships/hyperlink" Target="https://zubr-shop.kz/p43580980-zamok-navesnoj-diskovyj.html" TargetMode="External"/><Relationship Id="rId5" Type="http://schemas.openxmlformats.org/officeDocument/2006/relationships/hyperlink" Target="https://amc.kz/p91375876-nabor-bit-ph2.html" TargetMode="External"/><Relationship Id="rId15" Type="http://schemas.openxmlformats.org/officeDocument/2006/relationships/printerSettings" Target="../printerSettings/printerSettings6.bin"/><Relationship Id="rId10" Type="http://schemas.openxmlformats.org/officeDocument/2006/relationships/hyperlink" Target="https://all-tools.kz/p48680301-cilikonovaya-smazka-sprej.html" TargetMode="External"/><Relationship Id="rId4" Type="http://schemas.openxmlformats.org/officeDocument/2006/relationships/hyperlink" Target="https://prolock.kz/p90329387-suvaldnyj-vreznoj-zamok.html" TargetMode="External"/><Relationship Id="rId9" Type="http://schemas.openxmlformats.org/officeDocument/2006/relationships/hyperlink" Target="https://zubr-shop.kz/p4217773-zubr-multirez-255.html" TargetMode="External"/><Relationship Id="rId14" Type="http://schemas.openxmlformats.org/officeDocument/2006/relationships/hyperlink" Target="https://kdm.kz/p19989283-zaklepki-vytyazhnye-4810.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pageSetUpPr fitToPage="1"/>
  </sheetPr>
  <dimension ref="B2:P34"/>
  <sheetViews>
    <sheetView view="pageBreakPreview" zoomScale="110" zoomScaleNormal="110" zoomScaleSheetLayoutView="110" workbookViewId="0">
      <selection activeCell="I20" sqref="I20"/>
    </sheetView>
  </sheetViews>
  <sheetFormatPr defaultColWidth="8.85546875" defaultRowHeight="12.75"/>
  <cols>
    <col min="1" max="1" width="4.85546875" customWidth="1"/>
    <col min="2" max="2" width="3.85546875" customWidth="1"/>
    <col min="3" max="3" width="25.140625" customWidth="1"/>
    <col min="4" max="4" width="13.140625" customWidth="1"/>
    <col min="5" max="5" width="14.42578125" customWidth="1"/>
    <col min="6" max="6" width="12.42578125" customWidth="1"/>
    <col min="7" max="7" width="12.85546875" customWidth="1"/>
    <col min="8" max="8" width="12" customWidth="1"/>
    <col min="9" max="9" width="12.85546875" customWidth="1"/>
    <col min="11" max="11" width="15.28515625" bestFit="1" customWidth="1"/>
  </cols>
  <sheetData>
    <row r="2" spans="2:16">
      <c r="B2" s="13"/>
      <c r="C2" s="13"/>
      <c r="D2" s="13"/>
      <c r="E2" s="13"/>
      <c r="F2" s="13"/>
      <c r="G2" s="1360" t="s">
        <v>64</v>
      </c>
      <c r="H2" s="1360"/>
      <c r="I2" s="1360"/>
    </row>
    <row r="3" spans="2:16">
      <c r="B3" s="13"/>
      <c r="C3" s="13"/>
      <c r="D3" s="13"/>
      <c r="E3" s="13"/>
      <c r="F3" s="13"/>
      <c r="G3" s="1360" t="s">
        <v>65</v>
      </c>
      <c r="H3" s="1360"/>
      <c r="I3" s="1360"/>
    </row>
    <row r="4" spans="2:16">
      <c r="B4" s="13"/>
      <c r="C4" s="13"/>
      <c r="D4" s="13"/>
      <c r="E4" s="13"/>
      <c r="F4" s="13"/>
      <c r="G4" s="1360" t="s">
        <v>66</v>
      </c>
      <c r="H4" s="1360"/>
      <c r="I4" s="1360"/>
    </row>
    <row r="5" spans="2:16">
      <c r="B5" s="13"/>
      <c r="C5" s="13"/>
      <c r="D5" s="13"/>
      <c r="E5" s="13"/>
      <c r="F5" s="13"/>
      <c r="G5" s="13"/>
      <c r="H5" s="13"/>
      <c r="I5" s="13"/>
    </row>
    <row r="6" spans="2:16">
      <c r="B6" s="1361" t="s">
        <v>67</v>
      </c>
      <c r="C6" s="1361"/>
      <c r="D6" s="1361"/>
      <c r="E6" s="1361"/>
      <c r="F6" s="1361"/>
      <c r="G6" s="1361"/>
      <c r="H6" s="1361"/>
      <c r="I6" s="1361"/>
    </row>
    <row r="7" spans="2:16">
      <c r="B7" s="1361" t="s">
        <v>68</v>
      </c>
      <c r="C7" s="1361"/>
      <c r="D7" s="1361"/>
      <c r="E7" s="1361"/>
      <c r="F7" s="1361"/>
      <c r="G7" s="1361"/>
      <c r="H7" s="1361"/>
      <c r="I7" s="1361"/>
    </row>
    <row r="8" spans="2:16">
      <c r="B8" s="13"/>
      <c r="C8" s="13"/>
      <c r="D8" s="13"/>
      <c r="E8" s="13"/>
      <c r="F8" s="13"/>
      <c r="G8" s="13"/>
      <c r="H8" s="14"/>
      <c r="I8" s="14" t="s">
        <v>58</v>
      </c>
    </row>
    <row r="9" spans="2:16">
      <c r="B9" s="13" t="s">
        <v>59</v>
      </c>
      <c r="D9" s="15"/>
      <c r="E9" s="15"/>
      <c r="F9" s="15"/>
      <c r="G9" s="13"/>
      <c r="H9" s="16"/>
      <c r="I9" s="44" t="s">
        <v>872</v>
      </c>
    </row>
    <row r="10" spans="2:16">
      <c r="B10" s="13" t="s">
        <v>69</v>
      </c>
      <c r="D10" s="15"/>
      <c r="E10" s="15"/>
      <c r="F10" s="15"/>
      <c r="G10" s="13"/>
      <c r="H10" s="16"/>
      <c r="I10" s="11" t="s">
        <v>1457</v>
      </c>
    </row>
    <row r="11" spans="2:16">
      <c r="B11" s="13" t="s">
        <v>61</v>
      </c>
      <c r="D11" s="13" t="s">
        <v>10</v>
      </c>
      <c r="E11" s="15"/>
      <c r="F11" s="15"/>
      <c r="G11" s="13"/>
      <c r="H11" s="13"/>
      <c r="I11" s="11">
        <v>4</v>
      </c>
    </row>
    <row r="12" spans="2:16">
      <c r="B12" s="13" t="s">
        <v>70</v>
      </c>
      <c r="D12" s="13" t="s">
        <v>392</v>
      </c>
      <c r="E12" s="15"/>
      <c r="F12" s="15"/>
      <c r="G12" s="13"/>
      <c r="H12" s="13"/>
      <c r="I12" s="11">
        <v>224</v>
      </c>
    </row>
    <row r="13" spans="2:16">
      <c r="B13" s="13" t="s">
        <v>62</v>
      </c>
      <c r="D13" s="13"/>
      <c r="E13" s="13"/>
      <c r="F13" s="13"/>
      <c r="G13" s="13"/>
      <c r="H13" s="13"/>
      <c r="I13" s="11"/>
    </row>
    <row r="14" spans="2:16" ht="12.75" customHeight="1">
      <c r="B14" s="13" t="s">
        <v>71</v>
      </c>
      <c r="D14" s="76" t="s">
        <v>169</v>
      </c>
      <c r="E14" s="13"/>
      <c r="F14" s="13"/>
      <c r="G14" s="13"/>
      <c r="H14" s="17"/>
      <c r="I14" s="37" t="s">
        <v>390</v>
      </c>
    </row>
    <row r="15" spans="2:16" ht="15.75">
      <c r="B15" s="77" t="s">
        <v>63</v>
      </c>
      <c r="D15" s="1362" t="s">
        <v>170</v>
      </c>
      <c r="E15" s="1362"/>
      <c r="F15" s="1362"/>
      <c r="G15" s="1362"/>
      <c r="H15" s="1363"/>
      <c r="I15" s="11">
        <v>100</v>
      </c>
      <c r="P15" s="75"/>
    </row>
    <row r="16" spans="2:16">
      <c r="B16" s="13"/>
      <c r="C16" s="13"/>
      <c r="D16" s="13"/>
      <c r="E16" s="13"/>
      <c r="F16" s="13"/>
      <c r="G16" s="13"/>
      <c r="H16" s="13"/>
      <c r="I16" s="13"/>
    </row>
    <row r="17" spans="2:11">
      <c r="B17" s="1364" t="s">
        <v>0</v>
      </c>
      <c r="C17" s="1364"/>
      <c r="D17" s="1365" t="s">
        <v>869</v>
      </c>
      <c r="E17" s="1366"/>
      <c r="F17" s="1367" t="s">
        <v>870</v>
      </c>
      <c r="G17" s="1369" t="s">
        <v>60</v>
      </c>
      <c r="H17" s="1369"/>
      <c r="I17" s="1366"/>
    </row>
    <row r="18" spans="2:11" ht="22.15" customHeight="1">
      <c r="B18" s="1364"/>
      <c r="C18" s="1364"/>
      <c r="D18" s="18" t="s">
        <v>72</v>
      </c>
      <c r="E18" s="19" t="s">
        <v>73</v>
      </c>
      <c r="F18" s="1368"/>
      <c r="G18" s="19" t="s">
        <v>395</v>
      </c>
      <c r="H18" s="19" t="s">
        <v>846</v>
      </c>
      <c r="I18" s="19" t="s">
        <v>871</v>
      </c>
      <c r="K18" s="227"/>
    </row>
    <row r="19" spans="2:11">
      <c r="B19" s="1370">
        <v>1</v>
      </c>
      <c r="C19" s="1370"/>
      <c r="D19" s="19">
        <v>2</v>
      </c>
      <c r="E19" s="19">
        <v>3</v>
      </c>
      <c r="F19" s="19">
        <v>4</v>
      </c>
      <c r="G19" s="19">
        <v>5</v>
      </c>
      <c r="H19" s="19">
        <v>6</v>
      </c>
      <c r="I19" s="19">
        <v>7</v>
      </c>
    </row>
    <row r="20" spans="2:11" ht="16.5" customHeight="1">
      <c r="B20" s="20">
        <v>159</v>
      </c>
      <c r="C20" s="21" t="s">
        <v>74</v>
      </c>
      <c r="D20" s="221">
        <f>D21</f>
        <v>1339844102</v>
      </c>
      <c r="E20" s="221">
        <f>E21</f>
        <v>1339844102</v>
      </c>
      <c r="F20" s="221">
        <f>F21</f>
        <v>1337971668</v>
      </c>
      <c r="G20" s="221">
        <f>'Свод '!C26</f>
        <v>2692117127.9975052</v>
      </c>
      <c r="H20" s="221">
        <f>'Свод '!D26</f>
        <v>2689948027.8372126</v>
      </c>
      <c r="I20" s="221">
        <f>'Свод '!E26</f>
        <v>2691100038.4569221</v>
      </c>
      <c r="K20" s="227"/>
    </row>
    <row r="21" spans="2:11">
      <c r="B21" s="20">
        <v>159</v>
      </c>
      <c r="C21" s="41" t="s">
        <v>242</v>
      </c>
      <c r="D21" s="80">
        <v>1339844102</v>
      </c>
      <c r="E21" s="80">
        <v>1339844102</v>
      </c>
      <c r="F21" s="80">
        <v>1337971668</v>
      </c>
      <c r="G21" s="80">
        <f>G20</f>
        <v>2692117127.9975052</v>
      </c>
      <c r="H21" s="80">
        <f>H20</f>
        <v>2689948027.8372126</v>
      </c>
      <c r="I21" s="80">
        <f>I20</f>
        <v>2691100038.4569221</v>
      </c>
      <c r="K21" s="227"/>
    </row>
    <row r="22" spans="2:11" ht="15.75">
      <c r="C22" s="49"/>
      <c r="D22" s="49"/>
      <c r="E22" s="49"/>
      <c r="G22" s="227"/>
      <c r="I22" s="305"/>
    </row>
    <row r="23" spans="2:11" ht="14.25">
      <c r="C23" s="12"/>
      <c r="D23" s="12"/>
      <c r="E23" s="12"/>
    </row>
    <row r="24" spans="2:11" ht="17.25" customHeight="1">
      <c r="B24" s="12" t="s">
        <v>240</v>
      </c>
      <c r="C24" s="10"/>
      <c r="D24" s="10"/>
      <c r="E24" s="60"/>
      <c r="F24" s="60"/>
      <c r="H24" s="68"/>
      <c r="I24" s="49"/>
    </row>
    <row r="25" spans="2:11" ht="17.25" customHeight="1">
      <c r="B25" s="1358" t="s">
        <v>166</v>
      </c>
      <c r="C25" s="1358"/>
      <c r="D25" s="26"/>
      <c r="F25" s="60"/>
      <c r="H25" s="49" t="s">
        <v>407</v>
      </c>
    </row>
    <row r="26" spans="2:11" ht="14.25">
      <c r="B26" s="10"/>
      <c r="C26" s="286"/>
      <c r="D26" s="286"/>
      <c r="F26" s="72"/>
    </row>
    <row r="27" spans="2:11" ht="18.75" customHeight="1">
      <c r="B27" s="1358" t="s">
        <v>167</v>
      </c>
      <c r="C27" s="1358"/>
      <c r="D27" s="26"/>
      <c r="F27" s="49"/>
      <c r="G27" s="49"/>
      <c r="H27" s="49" t="s">
        <v>407</v>
      </c>
    </row>
    <row r="28" spans="2:11" ht="14.25">
      <c r="B28" s="53"/>
      <c r="C28" s="10"/>
      <c r="D28" s="10"/>
      <c r="F28" s="72"/>
    </row>
    <row r="29" spans="2:11" ht="15.75">
      <c r="B29" s="74" t="s">
        <v>168</v>
      </c>
      <c r="C29" s="12"/>
      <c r="D29" s="10"/>
      <c r="H29" s="49" t="s">
        <v>407</v>
      </c>
    </row>
    <row r="30" spans="2:11">
      <c r="B30" s="53"/>
      <c r="C30" s="1359"/>
      <c r="D30" s="1359"/>
    </row>
    <row r="31" spans="2:11" ht="14.25">
      <c r="B31" s="12" t="s">
        <v>216</v>
      </c>
      <c r="C31" s="10"/>
      <c r="D31" s="10"/>
    </row>
    <row r="32" spans="2:11" ht="16.5" customHeight="1">
      <c r="B32" s="1358" t="s">
        <v>403</v>
      </c>
      <c r="C32" s="1358"/>
      <c r="D32" s="26"/>
      <c r="H32" s="49" t="s">
        <v>407</v>
      </c>
    </row>
    <row r="33" spans="2:8" ht="15.75">
      <c r="B33" s="43"/>
      <c r="C33" s="43"/>
      <c r="D33" s="43"/>
      <c r="E33" s="43"/>
      <c r="H33" s="49"/>
    </row>
    <row r="34" spans="2:8" ht="15.75">
      <c r="C34" s="39"/>
      <c r="D34" s="51"/>
      <c r="E34" s="70"/>
      <c r="F34" s="52"/>
    </row>
  </sheetData>
  <mergeCells count="15">
    <mergeCell ref="B27:C27"/>
    <mergeCell ref="C30:D30"/>
    <mergeCell ref="B32:C32"/>
    <mergeCell ref="G2:I2"/>
    <mergeCell ref="G3:I3"/>
    <mergeCell ref="G4:I4"/>
    <mergeCell ref="B6:I6"/>
    <mergeCell ref="B7:I7"/>
    <mergeCell ref="D15:H15"/>
    <mergeCell ref="B17:C18"/>
    <mergeCell ref="D17:E17"/>
    <mergeCell ref="F17:F18"/>
    <mergeCell ref="G17:I17"/>
    <mergeCell ref="B19:C19"/>
    <mergeCell ref="B25:C25"/>
  </mergeCells>
  <pageMargins left="0.7" right="0.7" top="0.75" bottom="0.75" header="0.3" footer="0.3"/>
  <pageSetup paperSize="9"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13">
    <pageSetUpPr fitToPage="1"/>
  </sheetPr>
  <dimension ref="A2:H45"/>
  <sheetViews>
    <sheetView view="pageBreakPreview" topLeftCell="A19" zoomScaleNormal="100" zoomScaleSheetLayoutView="100" workbookViewId="0">
      <selection activeCell="A38" sqref="A38:E40"/>
    </sheetView>
  </sheetViews>
  <sheetFormatPr defaultColWidth="9.140625" defaultRowHeight="15"/>
  <cols>
    <col min="1" max="1" width="5.140625" style="43" customWidth="1"/>
    <col min="2" max="2" width="42.85546875" style="43" customWidth="1"/>
    <col min="3" max="3" width="18" style="43" customWidth="1"/>
    <col min="4" max="4" width="17.7109375" style="43" customWidth="1"/>
    <col min="5" max="5" width="19.85546875" style="43" customWidth="1"/>
    <col min="6" max="6" width="19.28515625" style="43" bestFit="1" customWidth="1"/>
    <col min="7" max="16384" width="9.140625" style="43"/>
  </cols>
  <sheetData>
    <row r="2" spans="1:5" ht="15.75">
      <c r="A2" s="49"/>
      <c r="B2" s="1373" t="s">
        <v>1458</v>
      </c>
      <c r="C2" s="1373"/>
      <c r="D2" s="1373"/>
      <c r="E2" s="1373"/>
    </row>
    <row r="3" spans="1:5" ht="15.75" customHeight="1">
      <c r="A3" s="1372"/>
      <c r="B3" s="1372"/>
      <c r="C3" s="1372"/>
      <c r="D3" s="1372"/>
      <c r="E3" s="220"/>
    </row>
    <row r="5" spans="1:5" ht="31.5" customHeight="1">
      <c r="A5" s="78"/>
      <c r="B5" s="1374" t="s">
        <v>887</v>
      </c>
      <c r="C5" s="1374"/>
      <c r="D5" s="1374"/>
      <c r="E5" s="1374"/>
    </row>
    <row r="6" spans="1:5" ht="34.5" customHeight="1">
      <c r="A6" s="78"/>
      <c r="B6" s="1375" t="s">
        <v>888</v>
      </c>
      <c r="C6" s="1375"/>
      <c r="D6" s="1375"/>
      <c r="E6" s="1375"/>
    </row>
    <row r="7" spans="1:5" ht="17.25" customHeight="1">
      <c r="B7" s="1376" t="s">
        <v>879</v>
      </c>
      <c r="C7" s="1376"/>
      <c r="D7" s="1376"/>
      <c r="E7" s="1376"/>
    </row>
    <row r="8" spans="1:5" ht="15.75" customHeight="1">
      <c r="A8" s="31"/>
      <c r="B8" s="31"/>
      <c r="C8" s="229"/>
      <c r="D8" s="229"/>
      <c r="E8" s="63"/>
    </row>
    <row r="9" spans="1:5" ht="27" customHeight="1">
      <c r="A9" s="3" t="s">
        <v>1</v>
      </c>
      <c r="B9" s="3" t="s">
        <v>34</v>
      </c>
      <c r="C9" s="238" t="s">
        <v>400</v>
      </c>
      <c r="D9" s="238" t="s">
        <v>847</v>
      </c>
      <c r="E9" s="88" t="s">
        <v>873</v>
      </c>
    </row>
    <row r="10" spans="1:5" ht="15.75">
      <c r="A10" s="45">
        <v>1</v>
      </c>
      <c r="B10" s="46" t="s">
        <v>6</v>
      </c>
      <c r="C10" s="1102">
        <f>('СВОД ФЗП'!F14)</f>
        <v>1595622564.3607502</v>
      </c>
      <c r="D10" s="1102">
        <f>('СВОД ФЗП'!F22)</f>
        <v>1764039230.3474996</v>
      </c>
      <c r="E10" s="1102">
        <f>('СВОД ФЗП'!F30)</f>
        <v>1757681684.5792499</v>
      </c>
    </row>
    <row r="11" spans="1:5" ht="17.25" customHeight="1">
      <c r="A11" s="45">
        <f>A10+1</f>
        <v>2</v>
      </c>
      <c r="B11" s="46" t="s">
        <v>109</v>
      </c>
      <c r="C11" s="1102">
        <f>('СВОД ФЗП'!G14)</f>
        <v>182000770.4325</v>
      </c>
      <c r="D11" s="1102">
        <f>('СВОД ФЗП'!G22)</f>
        <v>139840831.27125001</v>
      </c>
      <c r="E11" s="1102">
        <f>('СВОД ФЗП'!G30)</f>
        <v>139133349.45375001</v>
      </c>
    </row>
    <row r="12" spans="1:5" ht="24.75" customHeight="1">
      <c r="A12" s="45">
        <f t="shared" ref="A12:A16" si="0">A11+1</f>
        <v>3</v>
      </c>
      <c r="B12" s="46" t="s">
        <v>2453</v>
      </c>
      <c r="C12" s="1103">
        <f>'СВОД ФЗП'!H14</f>
        <v>66216816.717763752</v>
      </c>
      <c r="D12" s="1103">
        <f>'СВОД ФЗП'!H22</f>
        <v>85732202.582843751</v>
      </c>
      <c r="E12" s="1103">
        <f>'СВОД ФЗП'!H30</f>
        <v>94818192.99165</v>
      </c>
    </row>
    <row r="13" spans="1:5" ht="15.75">
      <c r="A13" s="45">
        <f t="shared" si="0"/>
        <v>4</v>
      </c>
      <c r="B13" s="46" t="s">
        <v>187</v>
      </c>
      <c r="C13" s="1102">
        <f>('СВОД ФЗП'!I14)</f>
        <v>136070121.62724182</v>
      </c>
      <c r="D13" s="1102">
        <f>('СВОД ФЗП'!I22)</f>
        <v>98935321.627368003</v>
      </c>
      <c r="E13" s="1102">
        <f>('СВОД ФЗП'!I30)</f>
        <v>98567796.738427669</v>
      </c>
    </row>
    <row r="14" spans="1:5" ht="15.75">
      <c r="A14" s="45">
        <f t="shared" si="0"/>
        <v>5</v>
      </c>
      <c r="B14" s="46" t="s">
        <v>857</v>
      </c>
      <c r="C14" s="1102">
        <f>('СВОД ФЗП'!J14)</f>
        <v>79993050.065696269</v>
      </c>
      <c r="D14" s="1102">
        <f>('СВОД ФЗП'!J22)</f>
        <v>85674602.772843748</v>
      </c>
      <c r="E14" s="1102">
        <f>('СВОД ФЗП'!J30)</f>
        <v>85356676.531485021</v>
      </c>
    </row>
    <row r="15" spans="1:5" ht="30.75" customHeight="1">
      <c r="A15" s="45">
        <f t="shared" si="0"/>
        <v>6</v>
      </c>
      <c r="B15" s="46" t="s">
        <v>241</v>
      </c>
      <c r="C15" s="1102">
        <f>('СВОД ФЗП'!K14)</f>
        <v>53328700.043797508</v>
      </c>
      <c r="D15" s="1102">
        <f>('СВОД ФЗП'!K22)</f>
        <v>52921176.910425</v>
      </c>
      <c r="E15" s="1102">
        <f>('СВОД ФЗП'!K30)</f>
        <v>52730450.537377506</v>
      </c>
    </row>
    <row r="16" spans="1:5" ht="31.5">
      <c r="A16" s="45">
        <f t="shared" si="0"/>
        <v>7</v>
      </c>
      <c r="B16" s="46" t="s">
        <v>384</v>
      </c>
      <c r="C16" s="1102">
        <f>('Сводная общая 2026г.'!G18)</f>
        <v>2510052.9100529095</v>
      </c>
      <c r="D16" s="1102">
        <f>'Сводная общая 2027г.'!G18</f>
        <v>6400634.9206349198</v>
      </c>
      <c r="E16" s="1103">
        <f>'Сводная общая 2028г.'!G18</f>
        <v>6400634.9206349198</v>
      </c>
    </row>
    <row r="17" spans="1:8" ht="38.25" customHeight="1">
      <c r="A17" s="45">
        <f t="shared" ref="A17:A25" si="1">A16+1</f>
        <v>8</v>
      </c>
      <c r="B17" s="46" t="s">
        <v>77</v>
      </c>
      <c r="C17" s="1102">
        <f>'Сводная общая 2026г.'!H38</f>
        <v>565550.00000000012</v>
      </c>
      <c r="D17" s="1102">
        <f>'Сводная общая 2027г.'!H38</f>
        <v>262415</v>
      </c>
      <c r="E17" s="1103">
        <f>'Сводная общая 2028г.'!H38</f>
        <v>262415</v>
      </c>
      <c r="F17" s="1044"/>
    </row>
    <row r="18" spans="1:8" ht="33.75" customHeight="1">
      <c r="A18" s="45">
        <f t="shared" si="1"/>
        <v>9</v>
      </c>
      <c r="B18" s="46" t="s">
        <v>885</v>
      </c>
      <c r="C18" s="1102">
        <f>'Сводная общая 2026г.'!H79</f>
        <v>531700</v>
      </c>
      <c r="D18" s="1102">
        <f>'Сводная общая 2027г.'!H93</f>
        <v>702000</v>
      </c>
      <c r="E18" s="1103">
        <f>'Сводная общая 2028г.'!H93</f>
        <v>702000</v>
      </c>
    </row>
    <row r="19" spans="1:8" ht="15.75">
      <c r="A19" s="45">
        <f t="shared" si="1"/>
        <v>10</v>
      </c>
      <c r="B19" s="46" t="s">
        <v>78</v>
      </c>
      <c r="C19" s="1102">
        <f>('Сводная общая 2026г.'!H84)</f>
        <v>49098620.950000003</v>
      </c>
      <c r="D19" s="1102">
        <f>'Сводная общая 2027г.'!H98</f>
        <v>14373593.220000001</v>
      </c>
      <c r="E19" s="1102">
        <f>'Сводная общая 2028г.'!H98</f>
        <v>14373593.220000001</v>
      </c>
    </row>
    <row r="20" spans="1:8" ht="15.75">
      <c r="A20" s="45">
        <f t="shared" si="1"/>
        <v>11</v>
      </c>
      <c r="B20" s="46" t="s">
        <v>131</v>
      </c>
      <c r="C20" s="1102">
        <f>('Сводная общая 2026г.'!H489)</f>
        <v>61221609.38970273</v>
      </c>
      <c r="D20" s="1102">
        <f>'Сводная общая 2027г.'!H487</f>
        <v>41917668.8843472</v>
      </c>
      <c r="E20" s="1102">
        <f>'Сводная общая 2028г.'!H487</f>
        <v>41917668.8843472</v>
      </c>
    </row>
    <row r="21" spans="1:8" ht="15.75">
      <c r="A21" s="45">
        <f t="shared" si="1"/>
        <v>12</v>
      </c>
      <c r="B21" s="46" t="s">
        <v>133</v>
      </c>
      <c r="C21" s="1102">
        <f>('Сводная общая 2026г.'!H505)</f>
        <v>11100000</v>
      </c>
      <c r="D21" s="1102">
        <f>'Сводная общая 2027г.'!H503</f>
        <v>1781232</v>
      </c>
      <c r="E21" s="1102">
        <f>'Сводная общая 2028г.'!H503</f>
        <v>1781232</v>
      </c>
    </row>
    <row r="22" spans="1:8" ht="15.75">
      <c r="A22" s="45">
        <f t="shared" si="1"/>
        <v>13</v>
      </c>
      <c r="B22" s="46" t="s">
        <v>107</v>
      </c>
      <c r="C22" s="1102">
        <f>('Сводная общая 2026г.'!H509)</f>
        <v>85576966</v>
      </c>
      <c r="D22" s="1102">
        <f>'Сводная общая 2027г.'!H507</f>
        <v>49238590.799999997</v>
      </c>
      <c r="E22" s="1102">
        <f>'Сводная общая 2028г.'!H507</f>
        <v>49238590</v>
      </c>
    </row>
    <row r="23" spans="1:8" ht="35.25" customHeight="1">
      <c r="A23" s="45">
        <f t="shared" si="1"/>
        <v>14</v>
      </c>
      <c r="B23" s="46" t="s">
        <v>185</v>
      </c>
      <c r="C23" s="1102">
        <f>('Сводная общая 2026г.'!H531)</f>
        <v>5256583</v>
      </c>
      <c r="D23" s="1102">
        <f>'Сводная общая 2027г.'!H528</f>
        <v>944172</v>
      </c>
      <c r="E23" s="1102">
        <f>'Сводная общая 2028г.'!H528</f>
        <v>944172</v>
      </c>
    </row>
    <row r="24" spans="1:8" ht="31.5">
      <c r="A24" s="45">
        <f t="shared" si="1"/>
        <v>15</v>
      </c>
      <c r="B24" s="46" t="s">
        <v>383</v>
      </c>
      <c r="C24" s="1102">
        <f>('Сводная общая 2026г.'!G536)</f>
        <v>362880000</v>
      </c>
      <c r="D24" s="1102">
        <f>'Сводная общая 2027г.'!G533</f>
        <v>347040000</v>
      </c>
      <c r="E24" s="1102">
        <f>'Сводная общая 2028г.'!G533</f>
        <v>347040000</v>
      </c>
    </row>
    <row r="25" spans="1:8" ht="15.75">
      <c r="A25" s="45">
        <f t="shared" si="1"/>
        <v>16</v>
      </c>
      <c r="B25" s="46" t="s">
        <v>293</v>
      </c>
      <c r="C25" s="1102">
        <f>('Сводная общая 2026г.'!H561)</f>
        <v>144022.5</v>
      </c>
      <c r="D25" s="1102">
        <f>'Сводная общая 2027г.'!H559</f>
        <v>144355.5</v>
      </c>
      <c r="E25" s="1102">
        <f>'Сводная общая 2028г.'!H559</f>
        <v>151581.6</v>
      </c>
    </row>
    <row r="26" spans="1:8" s="48" customFormat="1" ht="21.75" customHeight="1">
      <c r="A26" s="47"/>
      <c r="B26" s="64" t="s">
        <v>35</v>
      </c>
      <c r="C26" s="1104">
        <f>SUM(C10:C25)</f>
        <v>2692117127.9975052</v>
      </c>
      <c r="D26" s="1104">
        <f>SUM(D10:D25)</f>
        <v>2689948027.8372126</v>
      </c>
      <c r="E26" s="1104">
        <f>SUM(E10:E25)</f>
        <v>2691100038.4569221</v>
      </c>
      <c r="F26" s="300"/>
    </row>
    <row r="27" spans="1:8" ht="15.75">
      <c r="A27" s="40"/>
      <c r="B27" s="40"/>
      <c r="C27" s="300"/>
      <c r="D27" s="300"/>
      <c r="E27" s="300"/>
      <c r="F27" s="299"/>
    </row>
    <row r="28" spans="1:8" ht="15.75" hidden="1">
      <c r="B28" s="12" t="s">
        <v>240</v>
      </c>
      <c r="C28" s="301"/>
      <c r="D28" s="301"/>
      <c r="E28" s="301"/>
      <c r="F28"/>
      <c r="G28" s="68"/>
      <c r="H28" s="49"/>
    </row>
    <row r="29" spans="1:8" ht="15.75" hidden="1">
      <c r="B29" s="1358" t="s">
        <v>166</v>
      </c>
      <c r="C29" s="1358"/>
      <c r="D29" s="26"/>
      <c r="E29" s="49" t="s">
        <v>407</v>
      </c>
      <c r="F29" s="72"/>
      <c r="G29"/>
      <c r="H29" s="22"/>
    </row>
    <row r="30" spans="1:8" hidden="1">
      <c r="B30" s="10"/>
      <c r="C30" s="286"/>
      <c r="D30" s="286"/>
      <c r="E30"/>
      <c r="F30" s="72"/>
      <c r="G30"/>
      <c r="H30" s="72"/>
    </row>
    <row r="31" spans="1:8" ht="15.75" hidden="1">
      <c r="B31" s="1358" t="s">
        <v>167</v>
      </c>
      <c r="C31" s="1358"/>
      <c r="D31" s="26"/>
      <c r="E31" s="49" t="s">
        <v>407</v>
      </c>
      <c r="F31" s="72"/>
      <c r="G31"/>
      <c r="H31" s="22"/>
    </row>
    <row r="32" spans="1:8" ht="15.75" hidden="1">
      <c r="B32" s="53"/>
      <c r="C32" s="10"/>
      <c r="D32" s="10"/>
      <c r="E32"/>
      <c r="F32"/>
      <c r="G32"/>
      <c r="H32" s="49"/>
    </row>
    <row r="33" spans="1:8" ht="15.75" hidden="1">
      <c r="B33" s="74" t="s">
        <v>168</v>
      </c>
      <c r="C33" s="12"/>
      <c r="D33" s="10"/>
      <c r="E33" s="49" t="s">
        <v>407</v>
      </c>
      <c r="F33"/>
      <c r="G33"/>
      <c r="H33"/>
    </row>
    <row r="34" spans="1:8" hidden="1">
      <c r="B34" s="53"/>
      <c r="C34" s="1359"/>
      <c r="D34" s="1359"/>
      <c r="E34"/>
      <c r="F34"/>
      <c r="G34"/>
      <c r="H34"/>
    </row>
    <row r="35" spans="1:8" ht="15.75" hidden="1">
      <c r="B35" s="12" t="s">
        <v>216</v>
      </c>
      <c r="C35" s="10"/>
      <c r="D35" s="10"/>
      <c r="E35"/>
      <c r="F35"/>
      <c r="G35"/>
      <c r="H35" s="49"/>
    </row>
    <row r="36" spans="1:8" ht="15.75" hidden="1">
      <c r="B36" s="1358" t="s">
        <v>403</v>
      </c>
      <c r="C36" s="1358"/>
      <c r="D36" s="26"/>
      <c r="E36" s="49" t="s">
        <v>407</v>
      </c>
      <c r="F36"/>
      <c r="G36"/>
      <c r="H36"/>
    </row>
    <row r="38" spans="1:8" s="1353" customFormat="1" ht="24.95" customHeight="1">
      <c r="A38" s="1351" t="s">
        <v>2475</v>
      </c>
      <c r="B38" s="1351"/>
      <c r="C38" s="1351"/>
      <c r="D38" s="1352"/>
      <c r="E38" s="1351" t="s">
        <v>2476</v>
      </c>
    </row>
    <row r="39" spans="1:8" s="1353" customFormat="1" ht="24.95" customHeight="1">
      <c r="A39" s="1351"/>
      <c r="B39" s="1351"/>
      <c r="C39" s="1351"/>
      <c r="D39" s="1352"/>
      <c r="E39" s="1351"/>
    </row>
    <row r="40" spans="1:8" s="1353" customFormat="1" ht="24.95" customHeight="1">
      <c r="A40" s="1351" t="s">
        <v>52</v>
      </c>
      <c r="B40" s="1351"/>
      <c r="C40" s="1351"/>
      <c r="D40" s="1352"/>
      <c r="E40" s="1351" t="s">
        <v>386</v>
      </c>
    </row>
    <row r="41" spans="1:8" ht="35.25" customHeight="1">
      <c r="B41" s="83"/>
      <c r="C41" s="1371"/>
      <c r="D41" s="1371"/>
      <c r="E41" s="85"/>
    </row>
    <row r="42" spans="1:8" ht="15.75">
      <c r="B42" s="84"/>
      <c r="C42" s="85"/>
      <c r="D42" s="85"/>
      <c r="E42" s="85"/>
    </row>
    <row r="43" spans="1:8" ht="15.75">
      <c r="B43" s="72"/>
      <c r="C43" s="72"/>
      <c r="D43" s="72"/>
      <c r="E43" s="31"/>
    </row>
    <row r="44" spans="1:8" ht="15.75">
      <c r="B44" s="72"/>
      <c r="C44" s="72"/>
      <c r="D44" s="72"/>
      <c r="E44" s="31"/>
    </row>
    <row r="45" spans="1:8" ht="15.75">
      <c r="B45" s="72"/>
      <c r="C45" s="72"/>
      <c r="D45" s="72"/>
      <c r="E45" s="31"/>
    </row>
  </sheetData>
  <mergeCells count="10">
    <mergeCell ref="C41:D41"/>
    <mergeCell ref="C34:D34"/>
    <mergeCell ref="A3:D3"/>
    <mergeCell ref="B2:E2"/>
    <mergeCell ref="B5:E5"/>
    <mergeCell ref="B6:E6"/>
    <mergeCell ref="B7:E7"/>
    <mergeCell ref="B29:C29"/>
    <mergeCell ref="B31:C31"/>
    <mergeCell ref="B36:C36"/>
  </mergeCells>
  <pageMargins left="0.78740157480314965" right="0" top="0.19685039370078741" bottom="0.19685039370078741" header="0" footer="0"/>
  <pageSetup paperSize="9" scale="9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5">
    <pageSetUpPr fitToPage="1"/>
  </sheetPr>
  <dimension ref="A7:N37"/>
  <sheetViews>
    <sheetView view="pageBreakPreview" topLeftCell="A7" zoomScale="90" zoomScaleNormal="100" zoomScaleSheetLayoutView="90" workbookViewId="0">
      <selection activeCell="M19" sqref="M19"/>
    </sheetView>
  </sheetViews>
  <sheetFormatPr defaultColWidth="8.85546875" defaultRowHeight="12.75"/>
  <cols>
    <col min="1" max="1" width="6.85546875" style="62" customWidth="1"/>
    <col min="2" max="2" width="17.7109375" style="62" customWidth="1"/>
    <col min="3" max="3" width="8.42578125" style="62" customWidth="1"/>
    <col min="4" max="4" width="8.140625" style="62" customWidth="1"/>
    <col min="5" max="5" width="13.42578125" style="62" customWidth="1"/>
    <col min="6" max="6" width="15.140625" style="62" customWidth="1"/>
    <col min="7" max="7" width="15.5703125" style="62" customWidth="1"/>
    <col min="8" max="8" width="14.28515625" style="62" customWidth="1"/>
    <col min="9" max="9" width="13.42578125" style="62" customWidth="1"/>
    <col min="10" max="10" width="13.85546875" style="62" customWidth="1"/>
    <col min="11" max="11" width="14.7109375" style="62" customWidth="1"/>
    <col min="12" max="12" width="19.42578125" style="62" customWidth="1"/>
    <col min="13" max="13" width="16.140625" style="62" customWidth="1"/>
    <col min="14" max="14" width="13.85546875" style="62" bestFit="1" customWidth="1"/>
    <col min="15" max="16384" width="8.85546875" style="62"/>
  </cols>
  <sheetData>
    <row r="7" spans="1:14">
      <c r="B7" s="140"/>
      <c r="C7" s="140"/>
      <c r="D7" s="140"/>
      <c r="E7" s="140"/>
      <c r="F7" s="140"/>
      <c r="G7" s="140"/>
      <c r="H7" s="140"/>
      <c r="I7" s="140"/>
      <c r="J7" s="140"/>
      <c r="K7" s="140"/>
    </row>
    <row r="8" spans="1:14" ht="14.25">
      <c r="A8" s="1378" t="s">
        <v>1459</v>
      </c>
      <c r="B8" s="1378"/>
      <c r="C8" s="1378"/>
      <c r="D8" s="1378"/>
      <c r="E8" s="1378"/>
      <c r="F8" s="1378"/>
      <c r="G8" s="1378"/>
      <c r="H8" s="1378"/>
      <c r="I8" s="1378"/>
      <c r="J8" s="1378"/>
      <c r="K8" s="1378"/>
      <c r="L8" s="1378"/>
    </row>
    <row r="9" spans="1:14">
      <c r="A9" s="1377" t="s">
        <v>399</v>
      </c>
      <c r="B9" s="1377"/>
      <c r="C9" s="1377"/>
      <c r="D9" s="1377"/>
      <c r="E9" s="1377"/>
      <c r="F9" s="1377"/>
      <c r="G9" s="1377"/>
      <c r="H9" s="1377"/>
      <c r="I9" s="1377"/>
      <c r="J9" s="1377"/>
      <c r="K9" s="1377"/>
      <c r="L9" s="1377"/>
    </row>
    <row r="11" spans="1:14" ht="76.5">
      <c r="A11" s="23" t="s">
        <v>7</v>
      </c>
      <c r="B11" s="7" t="s">
        <v>0</v>
      </c>
      <c r="C11" s="23" t="s">
        <v>402</v>
      </c>
      <c r="D11" s="23" t="s">
        <v>401</v>
      </c>
      <c r="E11" s="23" t="s">
        <v>214</v>
      </c>
      <c r="F11" s="65" t="s">
        <v>406</v>
      </c>
      <c r="G11" s="65" t="s">
        <v>385</v>
      </c>
      <c r="H11" s="65" t="s">
        <v>404</v>
      </c>
      <c r="I11" s="65" t="s">
        <v>187</v>
      </c>
      <c r="J11" s="65" t="s">
        <v>857</v>
      </c>
      <c r="K11" s="65" t="s">
        <v>288</v>
      </c>
      <c r="L11" s="65" t="s">
        <v>405</v>
      </c>
    </row>
    <row r="12" spans="1:14" ht="27" customHeight="1">
      <c r="A12" s="161">
        <v>1</v>
      </c>
      <c r="B12" s="162" t="s">
        <v>122</v>
      </c>
      <c r="C12" s="237">
        <f>'ШР РБ Алматы'!D173</f>
        <v>146.75</v>
      </c>
      <c r="D12" s="237"/>
      <c r="E12" s="163">
        <f>'ШР РБ Алматы'!T173</f>
        <v>62185392.475000009</v>
      </c>
      <c r="F12" s="163">
        <f>E12*12</f>
        <v>746224709.70000005</v>
      </c>
      <c r="G12" s="163">
        <f>'ШР РБ Алматы'!Z173</f>
        <v>110208067.5</v>
      </c>
      <c r="H12" s="163">
        <f>'ШР РБ Алматы'!AB173</f>
        <v>33975147.202</v>
      </c>
      <c r="I12" s="163">
        <f>'ШР РБ Алматы'!AC173</f>
        <v>89432991.397459984</v>
      </c>
      <c r="J12" s="163">
        <f>'ШР РБ Алматы'!AD173</f>
        <v>38539474.974000007</v>
      </c>
      <c r="K12" s="163">
        <f>'ШР РБ Алматы'!AE173</f>
        <v>25692983.316000003</v>
      </c>
      <c r="L12" s="163">
        <f>F12+G12+H12+I12+J12+K12</f>
        <v>1044073374.08946</v>
      </c>
    </row>
    <row r="13" spans="1:14" ht="24" customHeight="1">
      <c r="A13" s="7">
        <f>A12+1</f>
        <v>2</v>
      </c>
      <c r="B13" s="23" t="s">
        <v>215</v>
      </c>
      <c r="C13" s="213">
        <f>'Тариф РБ Алматы'!A146</f>
        <v>123</v>
      </c>
      <c r="D13" s="213">
        <f>'Тариф РБ Алматы'!X161</f>
        <v>3031</v>
      </c>
      <c r="E13" s="32">
        <f>'Тариф РБ Алматы'!BA161</f>
        <v>70783154.555062503</v>
      </c>
      <c r="F13" s="163">
        <f>E13*12</f>
        <v>849397854.66075003</v>
      </c>
      <c r="G13" s="32">
        <f>'Тариф РБ Алматы'!BG161</f>
        <v>71792702.932500005</v>
      </c>
      <c r="H13" s="32">
        <f>'Тариф РБ Алматы'!BI161</f>
        <v>32241669.515763748</v>
      </c>
      <c r="I13" s="32">
        <f>'Тариф РБ Алматы'!BJ161</f>
        <v>46637130.229781844</v>
      </c>
      <c r="J13" s="32">
        <f>'Тариф РБ Алматы'!BK161</f>
        <v>41453575.091696262</v>
      </c>
      <c r="K13" s="32">
        <f>'Тариф РБ Алматы'!BL161</f>
        <v>27635716.727797501</v>
      </c>
      <c r="L13" s="163">
        <f>F13+G13+H13+I13+J13+K13</f>
        <v>1069158649.1582894</v>
      </c>
    </row>
    <row r="14" spans="1:14" ht="21.75" customHeight="1">
      <c r="A14" s="38"/>
      <c r="B14" s="6" t="s">
        <v>2</v>
      </c>
      <c r="C14" s="222">
        <f>C12+C13</f>
        <v>269.75</v>
      </c>
      <c r="D14" s="222">
        <f t="shared" ref="D14:K14" si="0">D12+D13</f>
        <v>3031</v>
      </c>
      <c r="E14" s="230">
        <f t="shared" si="0"/>
        <v>132968547.03006251</v>
      </c>
      <c r="F14" s="230">
        <f t="shared" si="0"/>
        <v>1595622564.3607502</v>
      </c>
      <c r="G14" s="230">
        <f t="shared" si="0"/>
        <v>182000770.4325</v>
      </c>
      <c r="H14" s="230">
        <f t="shared" si="0"/>
        <v>66216816.717763752</v>
      </c>
      <c r="I14" s="230">
        <f t="shared" si="0"/>
        <v>136070121.62724182</v>
      </c>
      <c r="J14" s="230">
        <f t="shared" si="0"/>
        <v>79993050.065696269</v>
      </c>
      <c r="K14" s="230">
        <f t="shared" si="0"/>
        <v>53328700.043797508</v>
      </c>
      <c r="L14" s="230">
        <f>L12+L13</f>
        <v>2113232023.2477493</v>
      </c>
      <c r="M14" s="228"/>
      <c r="N14" s="228"/>
    </row>
    <row r="15" spans="1:14">
      <c r="A15" s="217"/>
      <c r="B15" s="217"/>
      <c r="C15" s="217"/>
      <c r="D15" s="217"/>
      <c r="E15" s="217"/>
      <c r="F15" s="217"/>
      <c r="G15" s="218"/>
      <c r="H15" s="218"/>
      <c r="I15" s="218"/>
      <c r="J15" s="218"/>
      <c r="K15" s="218"/>
      <c r="L15" s="218"/>
      <c r="M15" s="228"/>
      <c r="N15" s="228"/>
    </row>
    <row r="16" spans="1:14" ht="14.25">
      <c r="A16" s="1378" t="s">
        <v>1459</v>
      </c>
      <c r="B16" s="1378"/>
      <c r="C16" s="1378"/>
      <c r="D16" s="1378"/>
      <c r="E16" s="1378"/>
      <c r="F16" s="1378"/>
      <c r="G16" s="1378"/>
      <c r="H16" s="1378"/>
      <c r="I16" s="1378"/>
      <c r="J16" s="1378"/>
      <c r="K16" s="1378"/>
      <c r="L16" s="1378"/>
    </row>
    <row r="17" spans="1:12">
      <c r="A17" s="1377" t="s">
        <v>848</v>
      </c>
      <c r="B17" s="1377"/>
      <c r="C17" s="1377"/>
      <c r="D17" s="1377"/>
      <c r="E17" s="1377"/>
      <c r="F17" s="1377"/>
      <c r="G17" s="1377"/>
      <c r="H17" s="1377"/>
      <c r="I17" s="1377"/>
      <c r="J17" s="1377"/>
      <c r="K17" s="1377"/>
      <c r="L17" s="1377"/>
    </row>
    <row r="19" spans="1:12" ht="55.5" customHeight="1">
      <c r="A19" s="23" t="s">
        <v>7</v>
      </c>
      <c r="B19" s="7" t="s">
        <v>0</v>
      </c>
      <c r="C19" s="23" t="s">
        <v>802</v>
      </c>
      <c r="D19" s="23" t="s">
        <v>401</v>
      </c>
      <c r="E19" s="23" t="s">
        <v>214</v>
      </c>
      <c r="F19" s="65" t="s">
        <v>850</v>
      </c>
      <c r="G19" s="65" t="s">
        <v>385</v>
      </c>
      <c r="H19" s="65" t="s">
        <v>404</v>
      </c>
      <c r="I19" s="65" t="s">
        <v>187</v>
      </c>
      <c r="J19" s="65" t="s">
        <v>857</v>
      </c>
      <c r="K19" s="65" t="s">
        <v>288</v>
      </c>
      <c r="L19" s="65" t="s">
        <v>849</v>
      </c>
    </row>
    <row r="20" spans="1:12" ht="25.5">
      <c r="A20" s="161">
        <v>1</v>
      </c>
      <c r="B20" s="162" t="s">
        <v>122</v>
      </c>
      <c r="C20" s="237">
        <v>149</v>
      </c>
      <c r="D20" s="237"/>
      <c r="E20" s="163">
        <f>'ШР 2027'!T233</f>
        <v>60679041.799999975</v>
      </c>
      <c r="F20" s="163">
        <f>E20*12</f>
        <v>728148501.59999967</v>
      </c>
      <c r="G20" s="163">
        <f>'ШР 2027'!Z233</f>
        <v>56878158</v>
      </c>
      <c r="H20" s="1096">
        <f>'ШР 2027'!AE233</f>
        <v>35431380.452</v>
      </c>
      <c r="I20" s="163">
        <f>'ШР 2027'!AB233</f>
        <v>40796197.521600015</v>
      </c>
      <c r="J20" s="163">
        <f>'ШР 2027'!AC233</f>
        <v>35326199.682000004</v>
      </c>
      <c r="K20" s="163">
        <f>'ШР 2027'!AD233</f>
        <v>21844455.047999997</v>
      </c>
      <c r="L20" s="163">
        <f>F20+G20+I20+J20+K20+H20</f>
        <v>918424892.30359972</v>
      </c>
    </row>
    <row r="21" spans="1:12">
      <c r="A21" s="7">
        <f>A20+1</f>
        <v>2</v>
      </c>
      <c r="B21" s="23" t="s">
        <v>215</v>
      </c>
      <c r="C21" s="213">
        <f>'Тариф 2027'!A199</f>
        <v>149</v>
      </c>
      <c r="D21" s="213">
        <f>'Тариф 2027'!X201</f>
        <v>3843</v>
      </c>
      <c r="E21" s="32">
        <f>'Тариф 2027'!BA201</f>
        <v>86324227.395624995</v>
      </c>
      <c r="F21" s="32">
        <f>E21*12</f>
        <v>1035890728.7474999</v>
      </c>
      <c r="G21" s="32">
        <f>'Тариф 2027'!BG201</f>
        <v>82962673.27125001</v>
      </c>
      <c r="H21" s="666">
        <f>'Тариф 2027'!BL201</f>
        <v>50300822.130843744</v>
      </c>
      <c r="I21" s="32">
        <f>'Тариф 2027'!BK201</f>
        <v>58139124.105767988</v>
      </c>
      <c r="J21" s="32">
        <f>'Тариф 2027'!BI201</f>
        <v>50348403.090843745</v>
      </c>
      <c r="K21" s="32">
        <f>'Тариф 2027'!BJ201</f>
        <v>31076721.862425003</v>
      </c>
      <c r="L21" s="163">
        <f>F21+G21+I21+J21+K21+H21</f>
        <v>1308718473.2086303</v>
      </c>
    </row>
    <row r="22" spans="1:12">
      <c r="A22" s="38"/>
      <c r="B22" s="6" t="s">
        <v>2</v>
      </c>
      <c r="C22" s="222">
        <f>C20+C21</f>
        <v>298</v>
      </c>
      <c r="D22" s="222">
        <f>D20+D21</f>
        <v>3843</v>
      </c>
      <c r="E22" s="230">
        <f>E20+E21</f>
        <v>147003269.19562498</v>
      </c>
      <c r="F22" s="230">
        <f t="shared" ref="F22:K22" si="1">F20+F21</f>
        <v>1764039230.3474996</v>
      </c>
      <c r="G22" s="230">
        <f t="shared" si="1"/>
        <v>139840831.27125001</v>
      </c>
      <c r="H22" s="230">
        <f t="shared" si="1"/>
        <v>85732202.582843751</v>
      </c>
      <c r="I22" s="230">
        <f t="shared" si="1"/>
        <v>98935321.627368003</v>
      </c>
      <c r="J22" s="230">
        <f t="shared" si="1"/>
        <v>85674602.772843748</v>
      </c>
      <c r="K22" s="230">
        <f t="shared" si="1"/>
        <v>52921176.910425</v>
      </c>
      <c r="L22" s="230">
        <f>L20+L21</f>
        <v>2227143365.5122299</v>
      </c>
    </row>
    <row r="23" spans="1:12">
      <c r="A23" s="217"/>
      <c r="B23" s="217"/>
      <c r="C23" s="217"/>
      <c r="D23" s="217"/>
      <c r="E23" s="217"/>
      <c r="F23" s="217"/>
      <c r="G23" s="218"/>
      <c r="H23" s="218"/>
      <c r="I23" s="218"/>
      <c r="J23" s="218"/>
      <c r="K23" s="218"/>
      <c r="L23" s="218"/>
    </row>
    <row r="24" spans="1:12" ht="14.25">
      <c r="A24" s="1378" t="s">
        <v>1459</v>
      </c>
      <c r="B24" s="1378"/>
      <c r="C24" s="1378"/>
      <c r="D24" s="1378"/>
      <c r="E24" s="1378"/>
      <c r="F24" s="1378"/>
      <c r="G24" s="1378"/>
      <c r="H24" s="1378"/>
      <c r="I24" s="1378"/>
      <c r="J24" s="1378"/>
      <c r="K24" s="1378"/>
      <c r="L24" s="1378"/>
    </row>
    <row r="25" spans="1:12">
      <c r="A25" s="1377" t="s">
        <v>876</v>
      </c>
      <c r="B25" s="1377"/>
      <c r="C25" s="1377"/>
      <c r="D25" s="1377"/>
      <c r="E25" s="1377"/>
      <c r="F25" s="1377"/>
      <c r="G25" s="1377"/>
      <c r="H25" s="1377"/>
      <c r="I25" s="1377"/>
      <c r="J25" s="1377"/>
      <c r="K25" s="1377"/>
      <c r="L25" s="1377"/>
    </row>
    <row r="27" spans="1:12" ht="76.5">
      <c r="A27" s="23" t="s">
        <v>7</v>
      </c>
      <c r="B27" s="7" t="s">
        <v>0</v>
      </c>
      <c r="C27" s="23" t="s">
        <v>402</v>
      </c>
      <c r="D27" s="23" t="s">
        <v>401</v>
      </c>
      <c r="E27" s="23" t="s">
        <v>214</v>
      </c>
      <c r="F27" s="65" t="s">
        <v>874</v>
      </c>
      <c r="G27" s="65" t="s">
        <v>385</v>
      </c>
      <c r="H27" s="65" t="s">
        <v>404</v>
      </c>
      <c r="I27" s="65" t="s">
        <v>187</v>
      </c>
      <c r="J27" s="65" t="s">
        <v>857</v>
      </c>
      <c r="K27" s="65" t="s">
        <v>288</v>
      </c>
      <c r="L27" s="65" t="s">
        <v>875</v>
      </c>
    </row>
    <row r="28" spans="1:12" ht="25.5">
      <c r="A28" s="161">
        <v>1</v>
      </c>
      <c r="B28" s="162" t="s">
        <v>122</v>
      </c>
      <c r="C28" s="237">
        <f>'ШР 2028'!D233</f>
        <v>149</v>
      </c>
      <c r="D28" s="237"/>
      <c r="E28" s="163">
        <f>'ШР 2028'!T233</f>
        <v>60695201.799999975</v>
      </c>
      <c r="F28" s="163">
        <f>E28*12</f>
        <v>728342421.59999967</v>
      </c>
      <c r="G28" s="163">
        <f>'ШР 2028'!Z233</f>
        <v>56878158</v>
      </c>
      <c r="H28" s="1096">
        <f>'ШР 2028'!AE233</f>
        <v>39260763.530000001</v>
      </c>
      <c r="I28" s="163">
        <f>'ШР 2028'!AB233</f>
        <v>40806242.577600017</v>
      </c>
      <c r="J28" s="163">
        <f>'ШР 2028'!AC233</f>
        <v>35334926.082000002</v>
      </c>
      <c r="K28" s="163">
        <f>'ШР 2028'!AD233</f>
        <v>21850272.647999998</v>
      </c>
      <c r="L28" s="163">
        <f>F28+G28+I28+J28+K28+H28</f>
        <v>922472784.43759966</v>
      </c>
    </row>
    <row r="29" spans="1:12">
      <c r="A29" s="7">
        <f>A28+1</f>
        <v>2</v>
      </c>
      <c r="B29" s="23" t="s">
        <v>215</v>
      </c>
      <c r="C29" s="213">
        <f>'Тариф 2028'!A199</f>
        <v>149</v>
      </c>
      <c r="D29" s="223">
        <f>'Тариф 2028'!X201</f>
        <v>3815</v>
      </c>
      <c r="E29" s="32">
        <f>'Тариф 2028'!BA201</f>
        <v>85778271.914937526</v>
      </c>
      <c r="F29" s="163">
        <f>E29*12</f>
        <v>1029339262.9792503</v>
      </c>
      <c r="G29" s="32">
        <f>'Тариф 2028'!BG201</f>
        <v>82255191.453749999</v>
      </c>
      <c r="H29" s="666">
        <f>'Тариф 2028'!BL201</f>
        <v>55557429.461649999</v>
      </c>
      <c r="I29" s="32">
        <f>'Тариф 2028'!BK201</f>
        <v>57761554.160827652</v>
      </c>
      <c r="J29" s="32">
        <f>'Тариф 2028'!BI201</f>
        <v>50021750.449485011</v>
      </c>
      <c r="K29" s="32">
        <f>'Тариф 2028'!BJ201</f>
        <v>30880177.889377505</v>
      </c>
      <c r="L29" s="163">
        <f>F29+G29+I29+J29+K29+H29</f>
        <v>1305815366.3943405</v>
      </c>
    </row>
    <row r="30" spans="1:12">
      <c r="A30" s="38"/>
      <c r="B30" s="6" t="s">
        <v>2</v>
      </c>
      <c r="C30" s="222">
        <f t="shared" ref="C30:L30" si="2">C28+C29</f>
        <v>298</v>
      </c>
      <c r="D30" s="222">
        <f t="shared" si="2"/>
        <v>3815</v>
      </c>
      <c r="E30" s="230">
        <f t="shared" si="2"/>
        <v>146473473.71493751</v>
      </c>
      <c r="F30" s="230">
        <f t="shared" si="2"/>
        <v>1757681684.5792499</v>
      </c>
      <c r="G30" s="230">
        <f t="shared" si="2"/>
        <v>139133349.45375001</v>
      </c>
      <c r="H30" s="230">
        <f t="shared" si="2"/>
        <v>94818192.99165</v>
      </c>
      <c r="I30" s="230">
        <f t="shared" si="2"/>
        <v>98567796.738427669</v>
      </c>
      <c r="J30" s="230">
        <f t="shared" si="2"/>
        <v>85356676.531485021</v>
      </c>
      <c r="K30" s="230">
        <f t="shared" si="2"/>
        <v>52730450.537377506</v>
      </c>
      <c r="L30" s="230">
        <f t="shared" si="2"/>
        <v>2228288150.8319402</v>
      </c>
    </row>
    <row r="31" spans="1:12">
      <c r="A31" s="217"/>
      <c r="B31" s="231"/>
      <c r="C31" s="232"/>
      <c r="D31" s="232"/>
      <c r="E31" s="233"/>
      <c r="F31" s="233"/>
      <c r="G31" s="233"/>
      <c r="H31" s="233"/>
      <c r="I31" s="233"/>
      <c r="J31" s="233"/>
      <c r="K31" s="233"/>
      <c r="L31" s="233"/>
    </row>
    <row r="32" spans="1:12">
      <c r="A32" s="217"/>
      <c r="B32" s="217"/>
      <c r="C32" s="217"/>
      <c r="D32" s="217"/>
      <c r="E32" s="217"/>
      <c r="F32" s="217"/>
      <c r="G32" s="218"/>
      <c r="H32" s="218"/>
      <c r="I32" s="218"/>
      <c r="J32" s="218"/>
      <c r="K32" s="218"/>
      <c r="L32" s="218"/>
    </row>
    <row r="33" spans="2:13" ht="15.75">
      <c r="B33" s="234" t="s">
        <v>286</v>
      </c>
      <c r="C33" s="234"/>
      <c r="D33" s="234"/>
      <c r="E33" s="234"/>
      <c r="F33" s="234"/>
      <c r="G33" s="235"/>
      <c r="H33" s="235"/>
      <c r="I33" s="236"/>
      <c r="J33" s="236"/>
      <c r="K33" s="234" t="s">
        <v>386</v>
      </c>
      <c r="L33" s="228"/>
    </row>
    <row r="37" spans="2:13">
      <c r="M37" s="228"/>
    </row>
  </sheetData>
  <mergeCells count="6">
    <mergeCell ref="A25:L25"/>
    <mergeCell ref="A8:L8"/>
    <mergeCell ref="A9:L9"/>
    <mergeCell ref="A16:L16"/>
    <mergeCell ref="A17:L17"/>
    <mergeCell ref="A24:L24"/>
  </mergeCells>
  <pageMargins left="0.7" right="0.7" top="0.75" bottom="0.75" header="0.3" footer="0.3"/>
  <pageSetup paperSize="9" scale="7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4">
    <tabColor rgb="FF92D050"/>
  </sheetPr>
  <dimension ref="A1:AG645"/>
  <sheetViews>
    <sheetView tabSelected="1" topLeftCell="B446" zoomScaleNormal="100" zoomScaleSheetLayoutView="100" workbookViewId="0">
      <selection activeCell="I366" sqref="I366"/>
    </sheetView>
  </sheetViews>
  <sheetFormatPr defaultColWidth="8.85546875" defaultRowHeight="12.75"/>
  <cols>
    <col min="1" max="1" width="9.140625" hidden="1" customWidth="1"/>
    <col min="2" max="2" width="5.42578125" customWidth="1"/>
    <col min="3" max="3" width="28.42578125" style="261" customWidth="1"/>
    <col min="4" max="4" width="28.7109375" style="62" customWidth="1"/>
    <col min="5" max="5" width="14.42578125" style="177" customWidth="1"/>
    <col min="6" max="6" width="14.85546875" style="182" customWidth="1"/>
    <col min="7" max="7" width="15.140625" style="182" customWidth="1"/>
    <col min="8" max="8" width="19.42578125" style="182" customWidth="1"/>
    <col min="9" max="10" width="18.85546875" customWidth="1"/>
    <col min="11" max="11" width="16.5703125" customWidth="1"/>
    <col min="12" max="13" width="12.85546875" bestFit="1" customWidth="1"/>
  </cols>
  <sheetData>
    <row r="1" spans="1:33">
      <c r="A1" s="105"/>
      <c r="B1" s="105"/>
      <c r="C1" s="135"/>
      <c r="D1" s="107"/>
      <c r="E1" s="115"/>
      <c r="F1" s="115"/>
      <c r="G1" s="115"/>
      <c r="H1" s="115"/>
      <c r="I1" s="105"/>
      <c r="J1" s="105"/>
      <c r="K1" s="57"/>
      <c r="L1" s="57"/>
      <c r="M1" s="57"/>
      <c r="N1" s="57"/>
      <c r="O1" s="57"/>
      <c r="P1" s="57"/>
      <c r="Q1" s="57"/>
      <c r="R1" s="57"/>
      <c r="S1" s="57"/>
      <c r="T1" s="57"/>
      <c r="U1" s="57"/>
      <c r="V1" s="57"/>
      <c r="W1" s="57"/>
      <c r="X1" s="57"/>
      <c r="Y1" s="57"/>
      <c r="Z1" s="57"/>
      <c r="AA1" s="57"/>
      <c r="AB1" s="57"/>
      <c r="AC1" s="57"/>
      <c r="AD1" s="57"/>
      <c r="AE1" s="57"/>
      <c r="AF1" s="57"/>
      <c r="AG1" s="57"/>
    </row>
    <row r="2" spans="1:33" ht="15">
      <c r="A2" s="105"/>
      <c r="B2" s="105"/>
      <c r="C2" s="1080"/>
      <c r="D2" s="1081"/>
      <c r="E2" s="183"/>
      <c r="F2" s="183"/>
      <c r="G2" s="183"/>
      <c r="H2" s="183"/>
      <c r="I2" s="105"/>
      <c r="J2" s="105"/>
      <c r="K2" s="57"/>
      <c r="L2" s="57"/>
      <c r="M2" s="57"/>
      <c r="N2" s="57"/>
      <c r="O2" s="57"/>
      <c r="P2" s="57"/>
      <c r="Q2" s="57"/>
      <c r="R2" s="57"/>
      <c r="S2" s="57"/>
      <c r="T2" s="57"/>
      <c r="U2" s="57"/>
      <c r="V2" s="57"/>
      <c r="W2" s="57"/>
      <c r="X2" s="57"/>
      <c r="Y2" s="57"/>
      <c r="Z2" s="57"/>
      <c r="AA2" s="57"/>
      <c r="AB2" s="57"/>
      <c r="AC2" s="57"/>
      <c r="AD2" s="57"/>
      <c r="AE2" s="57"/>
      <c r="AF2" s="57"/>
      <c r="AG2" s="57"/>
    </row>
    <row r="3" spans="1:33" s="43" customFormat="1" ht="15">
      <c r="A3" s="105"/>
      <c r="B3" s="105"/>
      <c r="C3" s="1417" t="s">
        <v>1456</v>
      </c>
      <c r="D3" s="1417"/>
      <c r="E3" s="1417"/>
      <c r="F3" s="1417"/>
      <c r="G3" s="1417"/>
      <c r="H3" s="1417"/>
      <c r="I3" s="105"/>
      <c r="J3" s="105"/>
      <c r="K3" s="60"/>
      <c r="L3" s="60"/>
      <c r="M3" s="60"/>
      <c r="N3" s="60"/>
      <c r="O3" s="60"/>
      <c r="P3" s="60"/>
      <c r="Q3" s="60"/>
      <c r="R3" s="60"/>
      <c r="S3" s="60"/>
      <c r="T3" s="60"/>
      <c r="U3" s="60"/>
      <c r="V3" s="60"/>
      <c r="W3" s="60"/>
      <c r="X3" s="60"/>
      <c r="Y3" s="60"/>
      <c r="Z3" s="60"/>
      <c r="AA3" s="60"/>
      <c r="AB3" s="60"/>
      <c r="AC3" s="60"/>
      <c r="AD3" s="60"/>
      <c r="AE3" s="60"/>
      <c r="AF3" s="60"/>
      <c r="AG3" s="60"/>
    </row>
    <row r="4" spans="1:33" s="43" customFormat="1" ht="15">
      <c r="A4" s="105"/>
      <c r="B4" s="105"/>
      <c r="C4" s="1418" t="s">
        <v>2436</v>
      </c>
      <c r="D4" s="1418"/>
      <c r="E4" s="1418"/>
      <c r="F4" s="1418"/>
      <c r="G4" s="1418"/>
      <c r="H4" s="1418"/>
      <c r="I4" s="105"/>
      <c r="J4" s="105"/>
      <c r="K4" s="60"/>
      <c r="L4" s="60"/>
      <c r="M4" s="60"/>
      <c r="N4" s="60"/>
      <c r="O4" s="60"/>
      <c r="P4" s="60"/>
      <c r="Q4" s="60"/>
      <c r="R4" s="60"/>
      <c r="S4" s="60"/>
      <c r="T4" s="60"/>
      <c r="U4" s="60"/>
      <c r="V4" s="60"/>
      <c r="W4" s="60"/>
      <c r="X4" s="60"/>
      <c r="Y4" s="60"/>
      <c r="Z4" s="60"/>
      <c r="AA4" s="60"/>
      <c r="AB4" s="60"/>
      <c r="AC4" s="60"/>
      <c r="AD4" s="60"/>
      <c r="AE4" s="60"/>
      <c r="AF4" s="60"/>
      <c r="AG4" s="60"/>
    </row>
    <row r="5" spans="1:33" s="43" customFormat="1" ht="15">
      <c r="A5" s="105"/>
      <c r="B5" s="105"/>
      <c r="C5" s="1419" t="s">
        <v>2426</v>
      </c>
      <c r="D5" s="1419"/>
      <c r="E5" s="1419"/>
      <c r="F5" s="1419"/>
      <c r="G5" s="1419"/>
      <c r="H5" s="1419"/>
      <c r="I5" s="105"/>
      <c r="J5" s="105"/>
      <c r="K5" s="60"/>
      <c r="L5" s="60"/>
      <c r="M5" s="60"/>
      <c r="N5" s="60"/>
      <c r="O5" s="60"/>
      <c r="P5" s="60"/>
      <c r="Q5" s="60"/>
      <c r="R5" s="60"/>
      <c r="S5" s="60"/>
      <c r="T5" s="60"/>
      <c r="U5" s="60"/>
      <c r="V5" s="60"/>
      <c r="W5" s="60"/>
      <c r="X5" s="60"/>
      <c r="Y5" s="60"/>
      <c r="Z5" s="60"/>
      <c r="AA5" s="60"/>
      <c r="AB5" s="60"/>
      <c r="AC5" s="60"/>
      <c r="AD5" s="60"/>
      <c r="AE5" s="60"/>
      <c r="AF5" s="60"/>
      <c r="AG5" s="60"/>
    </row>
    <row r="6" spans="1:33" s="43" customFormat="1" ht="15">
      <c r="A6" s="105"/>
      <c r="B6" s="105"/>
      <c r="C6" s="1419" t="s">
        <v>888</v>
      </c>
      <c r="D6" s="1419"/>
      <c r="E6" s="1419"/>
      <c r="F6" s="1419"/>
      <c r="G6" s="1419"/>
      <c r="H6" s="1419"/>
      <c r="I6" s="105"/>
      <c r="J6" s="105"/>
      <c r="K6" s="60"/>
      <c r="L6" s="60"/>
      <c r="M6" s="60"/>
      <c r="N6" s="60"/>
      <c r="O6" s="60"/>
      <c r="P6" s="60"/>
      <c r="Q6" s="60"/>
      <c r="R6" s="60"/>
      <c r="S6" s="60"/>
      <c r="T6" s="60"/>
      <c r="U6" s="60"/>
      <c r="V6" s="60"/>
      <c r="W6" s="60"/>
      <c r="X6" s="60"/>
      <c r="Y6" s="60"/>
      <c r="Z6" s="60"/>
      <c r="AA6" s="60"/>
      <c r="AB6" s="60"/>
      <c r="AC6" s="60"/>
      <c r="AD6" s="60"/>
      <c r="AE6" s="60"/>
      <c r="AF6" s="60"/>
      <c r="AG6" s="60"/>
    </row>
    <row r="7" spans="1:33" s="43" customFormat="1" ht="15">
      <c r="A7" s="105"/>
      <c r="B7" s="105"/>
      <c r="C7" s="1058"/>
      <c r="D7" s="130"/>
      <c r="E7" s="130"/>
      <c r="F7" s="130"/>
      <c r="G7" s="130"/>
      <c r="H7" s="263"/>
      <c r="I7" s="105"/>
      <c r="J7" s="105"/>
      <c r="K7" s="60"/>
      <c r="L7" s="60"/>
      <c r="M7" s="60"/>
      <c r="N7" s="60"/>
      <c r="O7" s="60"/>
      <c r="P7" s="60"/>
      <c r="Q7" s="60"/>
      <c r="R7" s="60"/>
      <c r="S7" s="60"/>
      <c r="T7" s="60"/>
      <c r="U7" s="60"/>
      <c r="V7" s="60"/>
      <c r="W7" s="60"/>
      <c r="X7" s="60"/>
      <c r="Y7" s="60"/>
      <c r="Z7" s="60"/>
      <c r="AA7" s="60"/>
      <c r="AB7" s="60"/>
      <c r="AC7" s="60"/>
      <c r="AD7" s="60"/>
      <c r="AE7" s="60"/>
      <c r="AF7" s="60"/>
      <c r="AG7" s="60"/>
    </row>
    <row r="8" spans="1:33" s="48" customFormat="1" ht="15.75">
      <c r="A8" s="69"/>
      <c r="B8" s="189"/>
      <c r="C8" s="1411" t="s">
        <v>137</v>
      </c>
      <c r="D8" s="1411"/>
      <c r="E8" s="1411"/>
      <c r="F8" s="1411"/>
      <c r="G8" s="198"/>
      <c r="H8" s="225">
        <f>H10+H11+H12+H14+H15+H16+H13</f>
        <v>2113232023.2477493</v>
      </c>
      <c r="I8" s="69"/>
      <c r="J8" s="1068"/>
      <c r="K8" s="90"/>
      <c r="L8" s="90"/>
      <c r="M8" s="90"/>
      <c r="N8" s="90"/>
      <c r="O8" s="90"/>
      <c r="P8" s="90"/>
      <c r="Q8" s="90"/>
      <c r="R8" s="90"/>
      <c r="S8" s="90"/>
      <c r="T8" s="90"/>
      <c r="U8" s="90"/>
      <c r="V8" s="90"/>
      <c r="W8" s="90"/>
      <c r="X8" s="90"/>
      <c r="Y8" s="90"/>
      <c r="Z8" s="90"/>
      <c r="AA8" s="90"/>
      <c r="AB8" s="90"/>
      <c r="AC8" s="90"/>
      <c r="AD8" s="90"/>
      <c r="AE8" s="90"/>
      <c r="AF8" s="90"/>
      <c r="AG8" s="90"/>
    </row>
    <row r="9" spans="1:33" s="48" customFormat="1" ht="25.5">
      <c r="A9" s="69"/>
      <c r="B9" s="1055" t="s">
        <v>79</v>
      </c>
      <c r="C9" s="1420" t="s">
        <v>34</v>
      </c>
      <c r="D9" s="1421"/>
      <c r="E9" s="1421"/>
      <c r="F9" s="1421"/>
      <c r="G9" s="1422"/>
      <c r="H9" s="1055" t="s">
        <v>858</v>
      </c>
      <c r="I9" s="69"/>
      <c r="J9" s="69"/>
      <c r="K9" s="90"/>
      <c r="L9" s="90"/>
      <c r="M9" s="90"/>
      <c r="N9" s="90"/>
      <c r="O9" s="90"/>
      <c r="P9" s="90"/>
      <c r="Q9" s="90"/>
      <c r="R9" s="90"/>
      <c r="S9" s="90"/>
      <c r="T9" s="90"/>
      <c r="U9" s="90"/>
      <c r="V9" s="90"/>
      <c r="W9" s="90"/>
      <c r="X9" s="90"/>
      <c r="Y9" s="90"/>
      <c r="Z9" s="90"/>
      <c r="AA9" s="90"/>
      <c r="AB9" s="90"/>
      <c r="AC9" s="90"/>
      <c r="AD9" s="90"/>
      <c r="AE9" s="90"/>
      <c r="AF9" s="90"/>
      <c r="AG9" s="90"/>
    </row>
    <row r="10" spans="1:33" s="43" customFormat="1" ht="15">
      <c r="A10" s="105"/>
      <c r="B10" s="89">
        <v>1</v>
      </c>
      <c r="C10" s="1414" t="s">
        <v>159</v>
      </c>
      <c r="D10" s="1415"/>
      <c r="E10" s="1415"/>
      <c r="F10" s="1416"/>
      <c r="G10" s="116"/>
      <c r="H10" s="278">
        <f>'СВОД ФЗП'!F12</f>
        <v>746224709.70000005</v>
      </c>
      <c r="I10" s="105"/>
      <c r="J10" s="105"/>
      <c r="K10" s="60"/>
      <c r="L10" s="60"/>
      <c r="M10" s="60"/>
      <c r="N10" s="60"/>
      <c r="O10" s="60"/>
      <c r="P10" s="60"/>
      <c r="Q10" s="60"/>
      <c r="R10" s="60"/>
      <c r="S10" s="60"/>
      <c r="T10" s="60"/>
      <c r="U10" s="60"/>
      <c r="V10" s="60"/>
      <c r="W10" s="60"/>
      <c r="X10" s="60"/>
      <c r="Y10" s="60"/>
      <c r="Z10" s="60"/>
      <c r="AA10" s="60"/>
      <c r="AB10" s="60"/>
      <c r="AC10" s="60"/>
      <c r="AD10" s="60"/>
      <c r="AE10" s="60"/>
      <c r="AF10" s="60"/>
      <c r="AG10" s="60"/>
    </row>
    <row r="11" spans="1:33" s="43" customFormat="1" ht="15">
      <c r="A11" s="105"/>
      <c r="B11" s="89">
        <f>B10+1</f>
        <v>2</v>
      </c>
      <c r="C11" s="1414" t="s">
        <v>283</v>
      </c>
      <c r="D11" s="1415"/>
      <c r="E11" s="1415"/>
      <c r="F11" s="1416"/>
      <c r="G11" s="116"/>
      <c r="H11" s="224">
        <f>'СВОД ФЗП'!F13</f>
        <v>849397854.66075003</v>
      </c>
      <c r="I11" s="105"/>
      <c r="J11" s="105"/>
      <c r="K11" s="60"/>
      <c r="L11" s="60"/>
      <c r="M11" s="60"/>
      <c r="N11" s="60"/>
      <c r="O11" s="60"/>
      <c r="P11" s="60"/>
      <c r="Q11" s="60"/>
      <c r="R11" s="60"/>
      <c r="S11" s="60"/>
      <c r="T11" s="60"/>
      <c r="U11" s="60"/>
      <c r="V11" s="60"/>
      <c r="W11" s="60"/>
      <c r="X11" s="60"/>
      <c r="Y11" s="60"/>
      <c r="Z11" s="60"/>
      <c r="AA11" s="60"/>
      <c r="AB11" s="60"/>
      <c r="AC11" s="60"/>
      <c r="AD11" s="60"/>
      <c r="AE11" s="60"/>
      <c r="AF11" s="60"/>
      <c r="AG11" s="60"/>
    </row>
    <row r="12" spans="1:33" s="43" customFormat="1" ht="15">
      <c r="A12" s="105"/>
      <c r="B12" s="89">
        <f>B11+1</f>
        <v>3</v>
      </c>
      <c r="C12" s="1414" t="s">
        <v>109</v>
      </c>
      <c r="D12" s="1415"/>
      <c r="E12" s="1415"/>
      <c r="F12" s="1416"/>
      <c r="G12" s="89" t="s">
        <v>140</v>
      </c>
      <c r="H12" s="278">
        <f>'СВОД ФЗП'!G14</f>
        <v>182000770.4325</v>
      </c>
      <c r="I12" s="105"/>
      <c r="J12" s="105"/>
      <c r="K12" s="60"/>
      <c r="L12" s="60"/>
      <c r="M12" s="60"/>
      <c r="N12" s="60"/>
      <c r="O12" s="60"/>
      <c r="P12" s="60"/>
      <c r="Q12" s="60"/>
      <c r="R12" s="60"/>
      <c r="S12" s="60"/>
      <c r="T12" s="60"/>
      <c r="U12" s="60"/>
      <c r="V12" s="60"/>
      <c r="W12" s="60"/>
      <c r="X12" s="60"/>
      <c r="Y12" s="60"/>
      <c r="Z12" s="60"/>
      <c r="AA12" s="60"/>
      <c r="AB12" s="60"/>
      <c r="AC12" s="60"/>
      <c r="AD12" s="60"/>
      <c r="AE12" s="60"/>
      <c r="AF12" s="60"/>
      <c r="AG12" s="60"/>
    </row>
    <row r="13" spans="1:33" s="43" customFormat="1" ht="15">
      <c r="A13" s="105"/>
      <c r="B13" s="89">
        <f t="shared" ref="B13:B16" si="0">B12+1</f>
        <v>4</v>
      </c>
      <c r="C13" s="1423" t="s">
        <v>287</v>
      </c>
      <c r="D13" s="1423"/>
      <c r="E13" s="1423"/>
      <c r="F13" s="1423"/>
      <c r="G13" s="265">
        <v>3.5000000000000003E-2</v>
      </c>
      <c r="H13" s="721">
        <f>'СВОД ФЗП'!H14</f>
        <v>66216816.717763752</v>
      </c>
      <c r="I13" s="105"/>
      <c r="J13" s="105"/>
      <c r="K13" s="60"/>
      <c r="L13" s="60"/>
      <c r="M13" s="60"/>
      <c r="N13" s="60"/>
      <c r="O13" s="60"/>
      <c r="P13" s="60"/>
      <c r="Q13" s="60"/>
      <c r="R13" s="60"/>
      <c r="S13" s="60"/>
      <c r="T13" s="60"/>
      <c r="U13" s="60"/>
      <c r="V13" s="60"/>
      <c r="W13" s="60"/>
      <c r="X13" s="60"/>
      <c r="Y13" s="60"/>
      <c r="Z13" s="60"/>
      <c r="AA13" s="60"/>
      <c r="AB13" s="60"/>
      <c r="AC13" s="60"/>
      <c r="AD13" s="60"/>
      <c r="AE13" s="60"/>
      <c r="AF13" s="60"/>
      <c r="AG13" s="60"/>
    </row>
    <row r="14" spans="1:33" s="43" customFormat="1" ht="15">
      <c r="A14" s="105"/>
      <c r="B14" s="89">
        <f t="shared" si="0"/>
        <v>5</v>
      </c>
      <c r="C14" s="1414" t="s">
        <v>75</v>
      </c>
      <c r="D14" s="1415"/>
      <c r="E14" s="1415"/>
      <c r="F14" s="1416"/>
      <c r="G14" s="264">
        <v>0.06</v>
      </c>
      <c r="H14" s="278">
        <f>'СВОД ФЗП'!I14</f>
        <v>136070121.62724182</v>
      </c>
      <c r="I14" s="105"/>
      <c r="J14" s="105"/>
      <c r="K14" s="60"/>
      <c r="L14" s="60"/>
      <c r="M14" s="60"/>
      <c r="N14" s="60"/>
      <c r="O14" s="60"/>
      <c r="P14" s="60"/>
      <c r="Q14" s="60"/>
      <c r="R14" s="60"/>
      <c r="S14" s="60"/>
      <c r="T14" s="60"/>
      <c r="U14" s="60"/>
      <c r="V14" s="60"/>
      <c r="W14" s="60"/>
      <c r="X14" s="60"/>
      <c r="Y14" s="60"/>
      <c r="Z14" s="60"/>
      <c r="AA14" s="60"/>
      <c r="AB14" s="60"/>
      <c r="AC14" s="60"/>
      <c r="AD14" s="60"/>
      <c r="AE14" s="60"/>
      <c r="AF14" s="60"/>
      <c r="AG14" s="60"/>
    </row>
    <row r="15" spans="1:33" s="43" customFormat="1" ht="15">
      <c r="A15" s="105"/>
      <c r="B15" s="89">
        <f t="shared" si="0"/>
        <v>6</v>
      </c>
      <c r="C15" s="1414" t="s">
        <v>132</v>
      </c>
      <c r="D15" s="1415"/>
      <c r="E15" s="1415"/>
      <c r="F15" s="1416"/>
      <c r="G15" s="264">
        <v>0.05</v>
      </c>
      <c r="H15" s="278">
        <f>'СВОД ФЗП'!J14</f>
        <v>79993050.065696269</v>
      </c>
      <c r="I15" s="105"/>
      <c r="J15" s="108"/>
      <c r="K15" s="60"/>
      <c r="L15" s="60"/>
      <c r="M15" s="60"/>
      <c r="N15" s="60"/>
      <c r="O15" s="60"/>
      <c r="P15" s="60"/>
      <c r="Q15" s="60"/>
      <c r="R15" s="60"/>
      <c r="S15" s="60"/>
      <c r="T15" s="60"/>
      <c r="U15" s="60"/>
      <c r="V15" s="60"/>
      <c r="W15" s="60"/>
      <c r="X15" s="60"/>
      <c r="Y15" s="60"/>
      <c r="Z15" s="60"/>
      <c r="AA15" s="60"/>
      <c r="AB15" s="60"/>
      <c r="AC15" s="60"/>
      <c r="AD15" s="60"/>
      <c r="AE15" s="60"/>
      <c r="AF15" s="60"/>
      <c r="AG15" s="60"/>
    </row>
    <row r="16" spans="1:33" s="43" customFormat="1" ht="15">
      <c r="A16" s="105"/>
      <c r="B16" s="89">
        <f t="shared" si="0"/>
        <v>7</v>
      </c>
      <c r="C16" s="1414" t="s">
        <v>282</v>
      </c>
      <c r="D16" s="1415"/>
      <c r="E16" s="1415"/>
      <c r="F16" s="1416"/>
      <c r="G16" s="264">
        <v>0.03</v>
      </c>
      <c r="H16" s="278">
        <f>'СВОД ФЗП'!K14</f>
        <v>53328700.043797508</v>
      </c>
      <c r="I16" s="105"/>
      <c r="J16" s="105"/>
      <c r="K16" s="60"/>
      <c r="L16" s="60"/>
      <c r="M16" s="60"/>
      <c r="N16" s="60"/>
      <c r="O16" s="60"/>
      <c r="P16" s="60"/>
      <c r="Q16" s="60"/>
      <c r="R16" s="60"/>
      <c r="S16" s="60"/>
      <c r="T16" s="60"/>
      <c r="U16" s="60"/>
      <c r="V16" s="60"/>
      <c r="W16" s="60"/>
      <c r="X16" s="60"/>
      <c r="Y16" s="60"/>
      <c r="Z16" s="60"/>
      <c r="AA16" s="60"/>
      <c r="AB16" s="60"/>
      <c r="AC16" s="60"/>
      <c r="AD16" s="60"/>
      <c r="AE16" s="60"/>
      <c r="AF16" s="60"/>
      <c r="AG16" s="60"/>
    </row>
    <row r="17" spans="1:33" s="43" customFormat="1" ht="15">
      <c r="A17" s="105"/>
      <c r="B17" s="108"/>
      <c r="C17" s="135"/>
      <c r="D17" s="135"/>
      <c r="E17" s="115"/>
      <c r="F17" s="115"/>
      <c r="G17" s="266"/>
      <c r="H17" s="192"/>
      <c r="I17" s="105"/>
      <c r="J17" s="105"/>
      <c r="K17" s="60"/>
      <c r="L17" s="60"/>
      <c r="M17" s="60"/>
      <c r="N17" s="60"/>
      <c r="O17" s="60"/>
      <c r="P17" s="60"/>
      <c r="Q17" s="60"/>
      <c r="R17" s="60"/>
      <c r="S17" s="60"/>
      <c r="T17" s="60"/>
      <c r="U17" s="60"/>
      <c r="V17" s="60"/>
      <c r="W17" s="60"/>
      <c r="X17" s="60"/>
      <c r="Y17" s="60"/>
      <c r="Z17" s="60"/>
      <c r="AA17" s="60"/>
      <c r="AB17" s="60"/>
      <c r="AC17" s="60"/>
      <c r="AD17" s="60"/>
      <c r="AE17" s="60"/>
      <c r="AF17" s="60"/>
      <c r="AG17" s="60"/>
    </row>
    <row r="18" spans="1:33" s="43" customFormat="1" ht="15">
      <c r="A18" s="105"/>
      <c r="B18" s="189"/>
      <c r="C18" s="1411" t="s">
        <v>2427</v>
      </c>
      <c r="D18" s="1411"/>
      <c r="E18" s="1411"/>
      <c r="F18" s="1411"/>
      <c r="G18" s="170">
        <f>G20</f>
        <v>2510052.9100529095</v>
      </c>
      <c r="H18" s="179"/>
      <c r="I18" s="105"/>
      <c r="J18" s="105"/>
      <c r="K18" s="60"/>
      <c r="L18" s="60"/>
      <c r="M18" s="60"/>
      <c r="N18" s="60"/>
      <c r="O18" s="60"/>
      <c r="P18" s="60"/>
      <c r="Q18" s="60"/>
      <c r="R18" s="60"/>
      <c r="S18" s="60"/>
      <c r="T18" s="60"/>
      <c r="U18" s="60"/>
      <c r="V18" s="60"/>
      <c r="W18" s="60"/>
      <c r="X18" s="60"/>
      <c r="Y18" s="60"/>
      <c r="Z18" s="60"/>
      <c r="AA18" s="60"/>
      <c r="AB18" s="60"/>
      <c r="AC18" s="60"/>
      <c r="AD18" s="60"/>
      <c r="AE18" s="60"/>
      <c r="AF18" s="60"/>
      <c r="AG18" s="60"/>
    </row>
    <row r="19" spans="1:33" s="43" customFormat="1" ht="38.25">
      <c r="A19" s="105"/>
      <c r="B19" s="1055" t="s">
        <v>79</v>
      </c>
      <c r="C19" s="211" t="s">
        <v>34</v>
      </c>
      <c r="D19" s="1055" t="s">
        <v>123</v>
      </c>
      <c r="E19" s="1055" t="s">
        <v>851</v>
      </c>
      <c r="F19" s="1055" t="s">
        <v>2421</v>
      </c>
      <c r="G19" s="35" t="s">
        <v>859</v>
      </c>
      <c r="H19" s="121"/>
      <c r="I19" s="105"/>
      <c r="J19" s="105"/>
      <c r="K19" s="60"/>
      <c r="L19" s="60"/>
      <c r="M19" s="60"/>
      <c r="N19" s="60"/>
      <c r="O19" s="60"/>
      <c r="P19" s="60"/>
      <c r="Q19" s="60"/>
      <c r="R19" s="60"/>
      <c r="S19" s="60"/>
      <c r="T19" s="60"/>
      <c r="U19" s="60"/>
      <c r="V19" s="60"/>
      <c r="W19" s="60"/>
      <c r="X19" s="60"/>
      <c r="Y19" s="60"/>
      <c r="Z19" s="60"/>
      <c r="AA19" s="60"/>
      <c r="AB19" s="60"/>
      <c r="AC19" s="60"/>
      <c r="AD19" s="60"/>
      <c r="AE19" s="60"/>
      <c r="AF19" s="60"/>
      <c r="AG19" s="60"/>
    </row>
    <row r="20" spans="1:33" s="43" customFormat="1" ht="25.5">
      <c r="A20" s="105"/>
      <c r="B20" s="89">
        <v>1</v>
      </c>
      <c r="C20" s="1053" t="s">
        <v>221</v>
      </c>
      <c r="D20" s="171">
        <f>D23</f>
        <v>80</v>
      </c>
      <c r="E20" s="28">
        <f>G23</f>
        <v>2510.0529100529097</v>
      </c>
      <c r="F20" s="685">
        <v>1000</v>
      </c>
      <c r="G20" s="1108">
        <f>E20*F20</f>
        <v>2510052.9100529095</v>
      </c>
      <c r="H20" s="121"/>
      <c r="I20" s="105"/>
      <c r="J20" s="105"/>
      <c r="K20" s="60"/>
      <c r="L20" s="60"/>
      <c r="M20" s="60"/>
      <c r="N20" s="60"/>
      <c r="O20" s="60"/>
      <c r="P20" s="60"/>
      <c r="Q20" s="60"/>
      <c r="R20" s="60"/>
      <c r="S20" s="60"/>
      <c r="T20" s="60"/>
      <c r="U20" s="60"/>
      <c r="V20" s="60"/>
      <c r="W20" s="60"/>
      <c r="X20" s="60"/>
      <c r="Y20" s="60"/>
      <c r="Z20" s="60"/>
      <c r="AA20" s="60"/>
      <c r="AB20" s="60"/>
      <c r="AC20" s="60"/>
      <c r="AD20" s="60"/>
      <c r="AE20" s="60"/>
      <c r="AF20" s="60"/>
      <c r="AG20" s="60"/>
    </row>
    <row r="21" spans="1:33" s="43" customFormat="1" ht="15">
      <c r="A21" s="105"/>
      <c r="B21" s="1412" t="s">
        <v>878</v>
      </c>
      <c r="C21" s="1412"/>
      <c r="D21" s="1412"/>
      <c r="E21" s="1412"/>
      <c r="F21" s="1412"/>
      <c r="G21" s="1412"/>
      <c r="H21" s="1412"/>
      <c r="I21" s="105"/>
      <c r="J21" s="105"/>
      <c r="K21" s="60"/>
      <c r="L21" s="60"/>
      <c r="M21" s="60"/>
      <c r="N21" s="60"/>
      <c r="O21" s="60"/>
      <c r="P21" s="60"/>
      <c r="Q21" s="60"/>
      <c r="R21" s="60"/>
      <c r="S21" s="60"/>
      <c r="T21" s="60"/>
      <c r="U21" s="60"/>
      <c r="V21" s="60"/>
      <c r="W21" s="60"/>
      <c r="X21" s="60"/>
      <c r="Y21" s="60"/>
      <c r="Z21" s="60"/>
      <c r="AA21" s="60"/>
      <c r="AB21" s="60"/>
      <c r="AC21" s="60"/>
      <c r="AD21" s="60"/>
      <c r="AE21" s="60"/>
      <c r="AF21" s="60"/>
      <c r="AG21" s="60"/>
    </row>
    <row r="22" spans="1:33" s="43" customFormat="1" ht="38.25">
      <c r="A22" s="105"/>
      <c r="B22" s="1055" t="s">
        <v>20</v>
      </c>
      <c r="C22" s="211" t="s">
        <v>124</v>
      </c>
      <c r="D22" s="1057" t="s">
        <v>41</v>
      </c>
      <c r="E22" s="1055" t="s">
        <v>37</v>
      </c>
      <c r="F22" s="1055" t="s">
        <v>162</v>
      </c>
      <c r="G22" s="1055" t="s">
        <v>2422</v>
      </c>
      <c r="H22" s="1055" t="s">
        <v>163</v>
      </c>
      <c r="I22" s="105"/>
      <c r="J22" s="105"/>
      <c r="K22" s="60"/>
      <c r="L22" s="60"/>
      <c r="M22" s="60"/>
      <c r="N22" s="60"/>
      <c r="O22" s="60"/>
      <c r="P22" s="60"/>
      <c r="Q22" s="60"/>
      <c r="R22" s="60"/>
      <c r="S22" s="60"/>
      <c r="T22" s="60"/>
      <c r="U22" s="60"/>
      <c r="V22" s="60"/>
      <c r="W22" s="60"/>
      <c r="X22" s="60"/>
      <c r="Y22" s="60"/>
      <c r="Z22" s="60"/>
      <c r="AA22" s="60"/>
      <c r="AB22" s="60"/>
      <c r="AC22" s="60"/>
      <c r="AD22" s="60"/>
      <c r="AE22" s="60"/>
      <c r="AF22" s="60"/>
      <c r="AG22" s="60"/>
    </row>
    <row r="23" spans="1:33" s="43" customFormat="1" ht="15">
      <c r="A23" s="105"/>
      <c r="B23" s="82"/>
      <c r="C23" s="211" t="s">
        <v>5</v>
      </c>
      <c r="D23" s="35">
        <f>SUM(D24:D35)</f>
        <v>80</v>
      </c>
      <c r="E23" s="29"/>
      <c r="F23" s="29"/>
      <c r="G23" s="35">
        <f>SUM(G24:G35)</f>
        <v>2510.0529100529097</v>
      </c>
      <c r="H23" s="29">
        <f>SUM(H24:H35)</f>
        <v>2510052.91005291</v>
      </c>
      <c r="I23" s="105"/>
      <c r="J23" s="105"/>
      <c r="K23" s="60"/>
      <c r="L23" s="60"/>
      <c r="M23" s="60"/>
      <c r="N23" s="60"/>
      <c r="O23" s="60"/>
      <c r="P23" s="60"/>
      <c r="Q23" s="60"/>
      <c r="R23" s="60"/>
      <c r="S23" s="60"/>
      <c r="T23" s="60"/>
      <c r="U23" s="60"/>
      <c r="V23" s="60"/>
      <c r="W23" s="60"/>
      <c r="X23" s="60"/>
      <c r="Y23" s="60"/>
      <c r="Z23" s="60"/>
      <c r="AA23" s="60"/>
      <c r="AB23" s="60"/>
      <c r="AC23" s="60"/>
      <c r="AD23" s="60"/>
      <c r="AE23" s="60"/>
      <c r="AF23" s="60"/>
      <c r="AG23" s="60"/>
    </row>
    <row r="24" spans="1:33" s="43" customFormat="1" ht="15">
      <c r="A24" s="105"/>
      <c r="B24" s="65">
        <v>1</v>
      </c>
      <c r="C24" s="1053" t="s">
        <v>125</v>
      </c>
      <c r="D24" s="306">
        <v>10</v>
      </c>
      <c r="E24" s="1056">
        <v>1000</v>
      </c>
      <c r="F24" s="123">
        <v>0.5</v>
      </c>
      <c r="G24" s="33">
        <f>1186*F24*D24/18.9</f>
        <v>313.75661375661377</v>
      </c>
      <c r="H24" s="124">
        <f t="shared" ref="H24:H35" si="1">G24*E24</f>
        <v>313756.61375661375</v>
      </c>
      <c r="I24" s="105"/>
      <c r="J24" s="105"/>
      <c r="K24" s="60"/>
      <c r="L24" s="60"/>
      <c r="M24" s="60"/>
      <c r="N24" s="60"/>
      <c r="O24" s="60"/>
      <c r="P24" s="60"/>
      <c r="Q24" s="60"/>
      <c r="R24" s="60"/>
      <c r="S24" s="60"/>
      <c r="T24" s="60"/>
      <c r="U24" s="60"/>
      <c r="V24" s="60"/>
      <c r="W24" s="60"/>
      <c r="X24" s="60"/>
      <c r="Y24" s="60"/>
      <c r="Z24" s="60"/>
      <c r="AA24" s="60"/>
      <c r="AB24" s="60"/>
      <c r="AC24" s="60"/>
      <c r="AD24" s="60"/>
      <c r="AE24" s="60"/>
      <c r="AF24" s="60"/>
      <c r="AG24" s="60"/>
    </row>
    <row r="25" spans="1:33" s="43" customFormat="1" ht="15">
      <c r="A25" s="105"/>
      <c r="B25" s="65">
        <v>2</v>
      </c>
      <c r="C25" s="1053" t="s">
        <v>21</v>
      </c>
      <c r="D25" s="306">
        <v>10</v>
      </c>
      <c r="E25" s="1056">
        <f t="shared" ref="E25:E35" si="2">E24</f>
        <v>1000</v>
      </c>
      <c r="F25" s="123">
        <v>0.5</v>
      </c>
      <c r="G25" s="33">
        <f t="shared" ref="G25:G35" si="3">1186*F25*D25/18.9</f>
        <v>313.75661375661377</v>
      </c>
      <c r="H25" s="124">
        <f t="shared" si="1"/>
        <v>313756.61375661375</v>
      </c>
      <c r="I25" s="105"/>
      <c r="J25" s="105"/>
      <c r="K25" s="60"/>
      <c r="L25" s="60"/>
      <c r="M25" s="60"/>
      <c r="N25" s="60"/>
      <c r="O25" s="60"/>
      <c r="P25" s="60"/>
      <c r="Q25" s="60"/>
      <c r="R25" s="60"/>
      <c r="S25" s="60"/>
      <c r="T25" s="60"/>
      <c r="U25" s="60"/>
      <c r="V25" s="60"/>
      <c r="W25" s="60"/>
      <c r="X25" s="60"/>
      <c r="Y25" s="60"/>
      <c r="Z25" s="60"/>
      <c r="AA25" s="60"/>
      <c r="AB25" s="60"/>
      <c r="AC25" s="60"/>
      <c r="AD25" s="60"/>
      <c r="AE25" s="60"/>
      <c r="AF25" s="60"/>
      <c r="AG25" s="60"/>
    </row>
    <row r="26" spans="1:33" s="43" customFormat="1" ht="15">
      <c r="A26" s="105"/>
      <c r="B26" s="65">
        <v>3</v>
      </c>
      <c r="C26" s="1053" t="s">
        <v>22</v>
      </c>
      <c r="D26" s="306">
        <v>10</v>
      </c>
      <c r="E26" s="1056">
        <f t="shared" si="2"/>
        <v>1000</v>
      </c>
      <c r="F26" s="123">
        <v>0.5</v>
      </c>
      <c r="G26" s="33">
        <f t="shared" si="3"/>
        <v>313.75661375661377</v>
      </c>
      <c r="H26" s="124">
        <f t="shared" si="1"/>
        <v>313756.61375661375</v>
      </c>
      <c r="I26" s="105"/>
      <c r="J26" s="105"/>
      <c r="K26" s="60"/>
      <c r="L26" s="60"/>
      <c r="M26" s="60"/>
      <c r="N26" s="60"/>
      <c r="O26" s="60"/>
      <c r="P26" s="60"/>
      <c r="Q26" s="60"/>
      <c r="R26" s="60"/>
      <c r="S26" s="60"/>
      <c r="T26" s="60"/>
      <c r="U26" s="60"/>
      <c r="V26" s="60"/>
      <c r="W26" s="60"/>
      <c r="X26" s="60"/>
      <c r="Y26" s="60"/>
      <c r="Z26" s="60"/>
      <c r="AA26" s="60"/>
      <c r="AB26" s="60"/>
      <c r="AC26" s="60"/>
      <c r="AD26" s="60"/>
      <c r="AE26" s="60"/>
      <c r="AF26" s="60"/>
      <c r="AG26" s="60"/>
    </row>
    <row r="27" spans="1:33" s="43" customFormat="1" ht="15">
      <c r="A27" s="105"/>
      <c r="B27" s="65">
        <v>4</v>
      </c>
      <c r="C27" s="1053" t="s">
        <v>176</v>
      </c>
      <c r="D27" s="306">
        <v>10</v>
      </c>
      <c r="E27" s="1056">
        <f t="shared" si="2"/>
        <v>1000</v>
      </c>
      <c r="F27" s="123">
        <v>0.5</v>
      </c>
      <c r="G27" s="33">
        <f t="shared" si="3"/>
        <v>313.75661375661377</v>
      </c>
      <c r="H27" s="124">
        <f t="shared" si="1"/>
        <v>313756.61375661375</v>
      </c>
      <c r="I27" s="105"/>
      <c r="J27" s="105"/>
      <c r="K27" s="60"/>
      <c r="L27" s="60"/>
      <c r="M27" s="60"/>
      <c r="N27" s="60"/>
      <c r="O27" s="60"/>
      <c r="P27" s="60"/>
      <c r="Q27" s="60"/>
      <c r="R27" s="60"/>
      <c r="S27" s="60"/>
      <c r="T27" s="60"/>
      <c r="U27" s="60"/>
      <c r="V27" s="60"/>
      <c r="W27" s="60"/>
      <c r="X27" s="60"/>
      <c r="Y27" s="60"/>
      <c r="Z27" s="60"/>
      <c r="AA27" s="60"/>
      <c r="AB27" s="60"/>
      <c r="AC27" s="60"/>
      <c r="AD27" s="60"/>
      <c r="AE27" s="60"/>
      <c r="AF27" s="60"/>
      <c r="AG27" s="60"/>
    </row>
    <row r="28" spans="1:33" s="43" customFormat="1" ht="15">
      <c r="A28" s="105"/>
      <c r="B28" s="65">
        <v>5</v>
      </c>
      <c r="C28" s="1053" t="s">
        <v>23</v>
      </c>
      <c r="D28" s="306">
        <v>10</v>
      </c>
      <c r="E28" s="1056">
        <f t="shared" si="2"/>
        <v>1000</v>
      </c>
      <c r="F28" s="123">
        <v>0.5</v>
      </c>
      <c r="G28" s="33">
        <f t="shared" si="3"/>
        <v>313.75661375661377</v>
      </c>
      <c r="H28" s="124">
        <f t="shared" si="1"/>
        <v>313756.61375661375</v>
      </c>
      <c r="I28" s="105"/>
      <c r="J28" s="105"/>
      <c r="K28" s="60"/>
      <c r="L28" s="60"/>
      <c r="M28" s="60"/>
      <c r="N28" s="60"/>
      <c r="O28" s="60"/>
      <c r="P28" s="60"/>
      <c r="Q28" s="60"/>
      <c r="R28" s="60"/>
      <c r="S28" s="60"/>
      <c r="T28" s="60"/>
      <c r="U28" s="60"/>
      <c r="V28" s="60"/>
      <c r="W28" s="60"/>
      <c r="X28" s="60"/>
      <c r="Y28" s="60"/>
      <c r="Z28" s="60"/>
      <c r="AA28" s="60"/>
      <c r="AB28" s="60"/>
      <c r="AC28" s="60"/>
      <c r="AD28" s="60"/>
      <c r="AE28" s="60"/>
      <c r="AF28" s="60"/>
      <c r="AG28" s="60"/>
    </row>
    <row r="29" spans="1:33" s="43" customFormat="1" ht="15">
      <c r="A29" s="105"/>
      <c r="B29" s="65">
        <v>6</v>
      </c>
      <c r="C29" s="1053" t="s">
        <v>24</v>
      </c>
      <c r="D29" s="306"/>
      <c r="E29" s="1056">
        <f t="shared" si="2"/>
        <v>1000</v>
      </c>
      <c r="F29" s="123">
        <v>0.5</v>
      </c>
      <c r="G29" s="33">
        <f t="shared" si="3"/>
        <v>0</v>
      </c>
      <c r="H29" s="124">
        <f t="shared" si="1"/>
        <v>0</v>
      </c>
      <c r="I29" s="105"/>
      <c r="J29" s="105"/>
      <c r="K29" s="60"/>
      <c r="L29" s="60"/>
      <c r="M29" s="60"/>
      <c r="N29" s="60"/>
      <c r="O29" s="60"/>
      <c r="P29" s="60"/>
      <c r="Q29" s="60"/>
      <c r="R29" s="60"/>
      <c r="S29" s="60"/>
      <c r="T29" s="60"/>
      <c r="U29" s="60"/>
      <c r="V29" s="60"/>
      <c r="W29" s="60"/>
      <c r="X29" s="60"/>
      <c r="Y29" s="60"/>
      <c r="Z29" s="60"/>
      <c r="AA29" s="60"/>
      <c r="AB29" s="60"/>
      <c r="AC29" s="60"/>
      <c r="AD29" s="60"/>
      <c r="AE29" s="60"/>
      <c r="AF29" s="60"/>
      <c r="AG29" s="60"/>
    </row>
    <row r="30" spans="1:33" s="43" customFormat="1" ht="15">
      <c r="A30" s="105"/>
      <c r="B30" s="65">
        <v>7</v>
      </c>
      <c r="C30" s="1053" t="s">
        <v>126</v>
      </c>
      <c r="D30" s="306"/>
      <c r="E30" s="1056">
        <f t="shared" si="2"/>
        <v>1000</v>
      </c>
      <c r="F30" s="123">
        <v>0.5</v>
      </c>
      <c r="G30" s="33">
        <f t="shared" si="3"/>
        <v>0</v>
      </c>
      <c r="H30" s="124">
        <f t="shared" si="1"/>
        <v>0</v>
      </c>
      <c r="I30" s="105"/>
      <c r="J30" s="105"/>
      <c r="K30" s="60"/>
      <c r="L30" s="60"/>
      <c r="M30" s="60"/>
      <c r="N30" s="60"/>
      <c r="O30" s="60"/>
      <c r="P30" s="60"/>
      <c r="Q30" s="60"/>
      <c r="R30" s="60"/>
      <c r="S30" s="60"/>
      <c r="T30" s="60"/>
      <c r="U30" s="60"/>
      <c r="V30" s="60"/>
      <c r="W30" s="60"/>
      <c r="X30" s="60"/>
      <c r="Y30" s="60"/>
      <c r="Z30" s="60"/>
      <c r="AA30" s="60"/>
      <c r="AB30" s="60"/>
      <c r="AC30" s="60"/>
      <c r="AD30" s="60"/>
      <c r="AE30" s="60"/>
      <c r="AF30" s="60"/>
      <c r="AG30" s="60"/>
    </row>
    <row r="31" spans="1:33" s="43" customFormat="1" ht="15">
      <c r="A31" s="105"/>
      <c r="B31" s="65">
        <v>8</v>
      </c>
      <c r="C31" s="1053" t="s">
        <v>25</v>
      </c>
      <c r="D31" s="306"/>
      <c r="E31" s="1056">
        <f t="shared" si="2"/>
        <v>1000</v>
      </c>
      <c r="F31" s="123">
        <v>0.5</v>
      </c>
      <c r="G31" s="33">
        <f t="shared" si="3"/>
        <v>0</v>
      </c>
      <c r="H31" s="124">
        <f t="shared" si="1"/>
        <v>0</v>
      </c>
      <c r="I31" s="105"/>
      <c r="J31" s="105"/>
      <c r="K31" s="60"/>
      <c r="L31" s="60"/>
      <c r="M31" s="60"/>
      <c r="N31" s="60"/>
      <c r="O31" s="60"/>
      <c r="P31" s="60"/>
      <c r="Q31" s="60"/>
      <c r="R31" s="60"/>
      <c r="S31" s="60"/>
      <c r="T31" s="60"/>
      <c r="U31" s="60"/>
      <c r="V31" s="60"/>
      <c r="W31" s="60"/>
      <c r="X31" s="60"/>
      <c r="Y31" s="60"/>
      <c r="Z31" s="60"/>
      <c r="AA31" s="60"/>
      <c r="AB31" s="60"/>
      <c r="AC31" s="60"/>
      <c r="AD31" s="60"/>
      <c r="AE31" s="60"/>
      <c r="AF31" s="60"/>
      <c r="AG31" s="60"/>
    </row>
    <row r="32" spans="1:33" s="43" customFormat="1" ht="15">
      <c r="A32" s="105"/>
      <c r="B32" s="65">
        <v>9</v>
      </c>
      <c r="C32" s="1053" t="s">
        <v>26</v>
      </c>
      <c r="D32" s="306">
        <v>10</v>
      </c>
      <c r="E32" s="1056">
        <f t="shared" si="2"/>
        <v>1000</v>
      </c>
      <c r="F32" s="123">
        <v>0.5</v>
      </c>
      <c r="G32" s="33">
        <f t="shared" si="3"/>
        <v>313.75661375661377</v>
      </c>
      <c r="H32" s="124">
        <f t="shared" si="1"/>
        <v>313756.61375661375</v>
      </c>
      <c r="I32" s="105"/>
      <c r="J32" s="105"/>
      <c r="K32" s="60"/>
      <c r="L32" s="60"/>
      <c r="M32" s="60"/>
      <c r="N32" s="60"/>
      <c r="O32" s="60"/>
      <c r="P32" s="60"/>
      <c r="Q32" s="60"/>
      <c r="R32" s="60"/>
      <c r="S32" s="60"/>
      <c r="T32" s="60"/>
      <c r="U32" s="60"/>
      <c r="V32" s="60"/>
      <c r="W32" s="60"/>
      <c r="X32" s="60"/>
      <c r="Y32" s="60"/>
      <c r="Z32" s="60"/>
      <c r="AA32" s="60"/>
      <c r="AB32" s="60"/>
      <c r="AC32" s="60"/>
      <c r="AD32" s="60"/>
      <c r="AE32" s="60"/>
      <c r="AF32" s="60"/>
      <c r="AG32" s="60"/>
    </row>
    <row r="33" spans="1:33" s="43" customFormat="1" ht="15">
      <c r="A33" s="105"/>
      <c r="B33" s="65">
        <v>10</v>
      </c>
      <c r="C33" s="1053" t="s">
        <v>27</v>
      </c>
      <c r="D33" s="306">
        <v>10</v>
      </c>
      <c r="E33" s="1056">
        <f t="shared" si="2"/>
        <v>1000</v>
      </c>
      <c r="F33" s="123">
        <v>0.5</v>
      </c>
      <c r="G33" s="33">
        <f t="shared" si="3"/>
        <v>313.75661375661377</v>
      </c>
      <c r="H33" s="124">
        <f t="shared" si="1"/>
        <v>313756.61375661375</v>
      </c>
      <c r="I33" s="105"/>
      <c r="J33" s="105"/>
      <c r="K33" s="60"/>
      <c r="L33" s="60"/>
      <c r="M33" s="60"/>
      <c r="N33" s="60"/>
      <c r="O33" s="60"/>
      <c r="P33" s="60"/>
      <c r="Q33" s="60"/>
      <c r="R33" s="60"/>
      <c r="S33" s="60"/>
      <c r="T33" s="60"/>
      <c r="U33" s="60"/>
      <c r="V33" s="60"/>
      <c r="W33" s="60"/>
      <c r="X33" s="60"/>
      <c r="Y33" s="60"/>
      <c r="Z33" s="60"/>
      <c r="AA33" s="60"/>
      <c r="AB33" s="60"/>
      <c r="AC33" s="60"/>
      <c r="AD33" s="60"/>
      <c r="AE33" s="60"/>
      <c r="AF33" s="60"/>
      <c r="AG33" s="60"/>
    </row>
    <row r="34" spans="1:33" s="43" customFormat="1" ht="15">
      <c r="A34" s="105"/>
      <c r="B34" s="65">
        <v>11</v>
      </c>
      <c r="C34" s="1053" t="s">
        <v>28</v>
      </c>
      <c r="D34" s="122">
        <v>10</v>
      </c>
      <c r="E34" s="1056">
        <f t="shared" si="2"/>
        <v>1000</v>
      </c>
      <c r="F34" s="123">
        <v>0.5</v>
      </c>
      <c r="G34" s="33">
        <f t="shared" si="3"/>
        <v>313.75661375661377</v>
      </c>
      <c r="H34" s="124">
        <f t="shared" si="1"/>
        <v>313756.61375661375</v>
      </c>
      <c r="I34" s="105"/>
      <c r="J34" s="105"/>
      <c r="K34" s="60"/>
      <c r="L34" s="60"/>
      <c r="M34" s="60"/>
      <c r="N34" s="60"/>
      <c r="O34" s="60"/>
      <c r="P34" s="60"/>
      <c r="Q34" s="60"/>
      <c r="R34" s="60"/>
      <c r="S34" s="60"/>
      <c r="T34" s="60"/>
      <c r="U34" s="60"/>
      <c r="V34" s="60"/>
      <c r="W34" s="60"/>
      <c r="X34" s="60"/>
      <c r="Y34" s="60"/>
      <c r="Z34" s="60"/>
      <c r="AA34" s="60"/>
      <c r="AB34" s="60"/>
      <c r="AC34" s="60"/>
      <c r="AD34" s="60"/>
      <c r="AE34" s="60"/>
      <c r="AF34" s="60"/>
      <c r="AG34" s="60"/>
    </row>
    <row r="35" spans="1:33" s="43" customFormat="1" ht="15">
      <c r="A35" s="105"/>
      <c r="B35" s="65">
        <v>12</v>
      </c>
      <c r="C35" s="1053" t="s">
        <v>29</v>
      </c>
      <c r="D35" s="122"/>
      <c r="E35" s="1056">
        <f t="shared" si="2"/>
        <v>1000</v>
      </c>
      <c r="F35" s="123">
        <v>0.5</v>
      </c>
      <c r="G35" s="33">
        <f t="shared" si="3"/>
        <v>0</v>
      </c>
      <c r="H35" s="124">
        <f t="shared" si="1"/>
        <v>0</v>
      </c>
      <c r="I35" s="105"/>
      <c r="J35" s="105"/>
      <c r="K35" s="60"/>
      <c r="L35" s="60"/>
      <c r="M35" s="60"/>
      <c r="N35" s="60"/>
      <c r="O35" s="60"/>
      <c r="P35" s="60"/>
      <c r="Q35" s="60"/>
      <c r="R35" s="60"/>
      <c r="S35" s="60"/>
      <c r="T35" s="60"/>
      <c r="U35" s="60"/>
      <c r="V35" s="60"/>
      <c r="W35" s="60"/>
      <c r="X35" s="60"/>
      <c r="Y35" s="60"/>
      <c r="Z35" s="60"/>
      <c r="AA35" s="60"/>
      <c r="AB35" s="60"/>
      <c r="AC35" s="60"/>
      <c r="AD35" s="60"/>
      <c r="AE35" s="60"/>
      <c r="AF35" s="60"/>
      <c r="AG35" s="60"/>
    </row>
    <row r="36" spans="1:33" s="43" customFormat="1" ht="15">
      <c r="A36" s="105"/>
      <c r="B36" s="107" t="s">
        <v>2428</v>
      </c>
      <c r="C36" s="135"/>
      <c r="D36" s="107"/>
      <c r="E36" s="115"/>
      <c r="F36" s="115"/>
      <c r="G36" s="115"/>
      <c r="H36" s="115"/>
      <c r="I36" s="105"/>
      <c r="J36" s="105"/>
      <c r="K36" s="60"/>
      <c r="L36" s="60"/>
      <c r="M36" s="60"/>
      <c r="N36" s="60"/>
      <c r="O36" s="60"/>
      <c r="P36" s="60"/>
      <c r="Q36" s="60"/>
      <c r="R36" s="60"/>
      <c r="S36" s="60"/>
      <c r="T36" s="60"/>
      <c r="U36" s="60"/>
      <c r="V36" s="60"/>
      <c r="W36" s="60"/>
      <c r="X36" s="60"/>
      <c r="Y36" s="60"/>
      <c r="Z36" s="60"/>
      <c r="AA36" s="60"/>
      <c r="AB36" s="60"/>
      <c r="AC36" s="60"/>
      <c r="AD36" s="60"/>
      <c r="AE36" s="60"/>
      <c r="AF36" s="60"/>
      <c r="AG36" s="60"/>
    </row>
    <row r="37" spans="1:33" s="43" customFormat="1" ht="15">
      <c r="A37" s="105"/>
      <c r="B37" s="107"/>
      <c r="C37" s="135"/>
      <c r="D37" s="107"/>
      <c r="E37" s="115"/>
      <c r="F37" s="115"/>
      <c r="G37" s="115"/>
      <c r="H37" s="115"/>
      <c r="I37" s="105"/>
      <c r="J37" s="105"/>
      <c r="K37" s="60"/>
      <c r="L37" s="60"/>
      <c r="M37" s="60"/>
      <c r="N37" s="60"/>
      <c r="O37" s="60"/>
      <c r="P37" s="60"/>
      <c r="Q37" s="60"/>
      <c r="R37" s="60"/>
      <c r="S37" s="60"/>
      <c r="T37" s="60"/>
      <c r="U37" s="60"/>
      <c r="V37" s="60"/>
      <c r="W37" s="60"/>
      <c r="X37" s="60"/>
      <c r="Y37" s="60"/>
      <c r="Z37" s="60"/>
      <c r="AA37" s="60"/>
      <c r="AB37" s="60"/>
      <c r="AC37" s="60"/>
      <c r="AD37" s="60"/>
      <c r="AE37" s="60"/>
      <c r="AF37" s="60"/>
      <c r="AG37" s="60"/>
    </row>
    <row r="38" spans="1:33" s="43" customFormat="1" ht="15">
      <c r="A38" s="105"/>
      <c r="B38" s="1045"/>
      <c r="C38" s="1392" t="s">
        <v>2424</v>
      </c>
      <c r="D38" s="1392"/>
      <c r="E38" s="1392"/>
      <c r="F38" s="1392"/>
      <c r="G38" s="1392"/>
      <c r="H38" s="170">
        <f>G40</f>
        <v>565550.00000000012</v>
      </c>
      <c r="I38" s="105"/>
      <c r="J38" s="105"/>
      <c r="K38" s="60"/>
      <c r="L38" s="60"/>
      <c r="M38" s="60"/>
      <c r="N38" s="60"/>
      <c r="O38" s="60"/>
      <c r="P38" s="60"/>
      <c r="Q38" s="60"/>
      <c r="R38" s="60"/>
      <c r="S38" s="60"/>
      <c r="T38" s="60"/>
      <c r="U38" s="60"/>
      <c r="V38" s="60"/>
      <c r="W38" s="60"/>
      <c r="X38" s="60"/>
      <c r="Y38" s="60"/>
      <c r="Z38" s="60"/>
      <c r="AA38" s="60"/>
      <c r="AB38" s="60"/>
      <c r="AC38" s="60"/>
      <c r="AD38" s="60"/>
      <c r="AE38" s="60"/>
      <c r="AF38" s="60"/>
      <c r="AG38" s="60"/>
    </row>
    <row r="39" spans="1:33" s="43" customFormat="1" ht="51">
      <c r="A39" s="105"/>
      <c r="B39" s="1055" t="s">
        <v>79</v>
      </c>
      <c r="C39" s="1055" t="s">
        <v>36</v>
      </c>
      <c r="D39" s="1055" t="s">
        <v>2423</v>
      </c>
      <c r="E39" s="1055" t="s">
        <v>164</v>
      </c>
      <c r="F39" s="1055" t="s">
        <v>81</v>
      </c>
      <c r="G39" s="1406" t="s">
        <v>861</v>
      </c>
      <c r="H39" s="1406"/>
      <c r="I39" s="105"/>
      <c r="J39" s="105"/>
      <c r="K39" s="60"/>
      <c r="L39" s="60"/>
      <c r="M39" s="60"/>
      <c r="N39" s="60"/>
      <c r="O39" s="60"/>
      <c r="P39" s="60"/>
      <c r="Q39" s="60"/>
      <c r="R39" s="60"/>
      <c r="S39" s="60"/>
      <c r="T39" s="60"/>
      <c r="U39" s="60"/>
      <c r="V39" s="60"/>
      <c r="W39" s="60"/>
      <c r="X39" s="60"/>
      <c r="Y39" s="60"/>
      <c r="Z39" s="60"/>
      <c r="AA39" s="60"/>
      <c r="AB39" s="60"/>
      <c r="AC39" s="60"/>
      <c r="AD39" s="60"/>
      <c r="AE39" s="60"/>
      <c r="AF39" s="60"/>
      <c r="AG39" s="60"/>
    </row>
    <row r="40" spans="1:33" s="43" customFormat="1" ht="15">
      <c r="A40" s="105"/>
      <c r="B40" s="89">
        <v>1</v>
      </c>
      <c r="C40" s="1053" t="s">
        <v>139</v>
      </c>
      <c r="D40" s="65">
        <f>836+350</f>
        <v>1186</v>
      </c>
      <c r="E40" s="23">
        <v>204</v>
      </c>
      <c r="F40" s="24">
        <f>H77/204</f>
        <v>2.3375243858082868</v>
      </c>
      <c r="G40" s="1407">
        <f>D40*E40*F40</f>
        <v>565550.00000000012</v>
      </c>
      <c r="H40" s="1407"/>
      <c r="I40" s="105"/>
      <c r="J40" s="105"/>
      <c r="K40" s="60"/>
      <c r="L40" s="60"/>
      <c r="M40" s="60"/>
      <c r="N40" s="60"/>
      <c r="O40" s="60"/>
      <c r="P40" s="60"/>
      <c r="Q40" s="60"/>
      <c r="R40" s="60"/>
      <c r="S40" s="60"/>
      <c r="T40" s="60"/>
      <c r="U40" s="60"/>
      <c r="V40" s="60"/>
      <c r="W40" s="60"/>
      <c r="X40" s="60"/>
      <c r="Y40" s="60"/>
      <c r="Z40" s="60"/>
      <c r="AA40" s="60"/>
      <c r="AB40" s="60"/>
      <c r="AC40" s="60"/>
      <c r="AD40" s="60"/>
      <c r="AE40" s="60"/>
      <c r="AF40" s="60"/>
      <c r="AG40" s="60"/>
    </row>
    <row r="41" spans="1:33" s="43" customFormat="1" ht="15">
      <c r="A41" s="105"/>
      <c r="B41" s="135"/>
      <c r="C41" s="256" t="s">
        <v>179</v>
      </c>
      <c r="D41" s="1061"/>
      <c r="E41" s="121"/>
      <c r="F41" s="121"/>
      <c r="G41" s="121"/>
      <c r="H41" s="121"/>
      <c r="I41" s="105"/>
      <c r="J41" s="105"/>
      <c r="K41" s="60"/>
      <c r="L41" s="60"/>
      <c r="M41" s="60"/>
      <c r="N41" s="60"/>
      <c r="O41" s="60"/>
      <c r="P41" s="60"/>
      <c r="Q41" s="60"/>
      <c r="R41" s="60"/>
      <c r="S41" s="60"/>
      <c r="T41" s="60"/>
      <c r="U41" s="60"/>
      <c r="V41" s="60"/>
      <c r="W41" s="60"/>
      <c r="X41" s="60"/>
      <c r="Y41" s="60"/>
      <c r="Z41" s="60"/>
      <c r="AA41" s="60"/>
      <c r="AB41" s="60"/>
      <c r="AC41" s="60"/>
      <c r="AD41" s="60"/>
      <c r="AE41" s="60"/>
      <c r="AF41" s="60"/>
      <c r="AG41" s="60"/>
    </row>
    <row r="42" spans="1:33" s="43" customFormat="1" ht="51">
      <c r="A42" s="105"/>
      <c r="B42" s="1055" t="s">
        <v>7</v>
      </c>
      <c r="C42" s="1046" t="s">
        <v>0</v>
      </c>
      <c r="D42" s="166" t="s">
        <v>55</v>
      </c>
      <c r="E42" s="117" t="s">
        <v>82</v>
      </c>
      <c r="F42" s="117" t="s">
        <v>83</v>
      </c>
      <c r="G42" s="1055" t="s">
        <v>556</v>
      </c>
      <c r="H42" s="1055" t="s">
        <v>557</v>
      </c>
      <c r="I42" s="105"/>
      <c r="J42" s="105"/>
      <c r="K42" s="60"/>
      <c r="L42" s="60"/>
      <c r="M42" s="60"/>
      <c r="N42" s="60"/>
      <c r="O42" s="60"/>
      <c r="P42" s="60"/>
      <c r="Q42" s="60"/>
      <c r="R42" s="60"/>
      <c r="S42" s="60"/>
      <c r="T42" s="60"/>
      <c r="U42" s="60"/>
      <c r="V42" s="60"/>
      <c r="W42" s="60"/>
      <c r="X42" s="60"/>
      <c r="Y42" s="60"/>
      <c r="Z42" s="60"/>
      <c r="AA42" s="60"/>
      <c r="AB42" s="60"/>
      <c r="AC42" s="60"/>
      <c r="AD42" s="60"/>
      <c r="AE42" s="60"/>
      <c r="AF42" s="60"/>
      <c r="AG42" s="60"/>
    </row>
    <row r="43" spans="1:33" s="95" customFormat="1" ht="15">
      <c r="A43" s="105"/>
      <c r="B43" s="187">
        <v>1</v>
      </c>
      <c r="C43" s="602" t="s">
        <v>1460</v>
      </c>
      <c r="D43" s="596" t="s">
        <v>233</v>
      </c>
      <c r="E43" s="596">
        <v>2</v>
      </c>
      <c r="F43" s="596">
        <v>2000</v>
      </c>
      <c r="G43" s="243">
        <f>E43*F43</f>
        <v>4000</v>
      </c>
      <c r="H43" s="91">
        <f>G43/1186</f>
        <v>3.3726812816188869</v>
      </c>
      <c r="I43" s="105"/>
      <c r="J43" s="105"/>
      <c r="K43" s="60"/>
      <c r="L43" s="60"/>
      <c r="M43" s="60"/>
      <c r="N43" s="60"/>
      <c r="O43" s="60"/>
      <c r="P43" s="60"/>
      <c r="Q43" s="60"/>
      <c r="R43" s="60"/>
      <c r="S43" s="60"/>
      <c r="T43" s="60"/>
      <c r="U43" s="60"/>
      <c r="V43" s="60"/>
      <c r="W43" s="60"/>
      <c r="X43" s="60"/>
      <c r="Y43" s="60"/>
      <c r="Z43" s="60"/>
      <c r="AA43" s="60"/>
      <c r="AB43" s="60"/>
      <c r="AC43" s="60"/>
      <c r="AD43" s="60"/>
      <c r="AE43" s="60"/>
      <c r="AF43" s="60"/>
      <c r="AG43" s="60"/>
    </row>
    <row r="44" spans="1:33" s="95" customFormat="1" ht="15">
      <c r="A44" s="105"/>
      <c r="B44" s="187">
        <f>B43+1</f>
        <v>2</v>
      </c>
      <c r="C44" s="602" t="s">
        <v>1461</v>
      </c>
      <c r="D44" s="596" t="s">
        <v>233</v>
      </c>
      <c r="E44" s="596">
        <v>50</v>
      </c>
      <c r="F44" s="596">
        <v>1200</v>
      </c>
      <c r="G44" s="243">
        <f t="shared" ref="G44:G76" si="4">E44*F44</f>
        <v>60000</v>
      </c>
      <c r="H44" s="91">
        <f t="shared" ref="H44:H76" si="5">G44/1186</f>
        <v>50.590219224283302</v>
      </c>
      <c r="I44" s="105"/>
      <c r="J44" s="105"/>
      <c r="K44" s="60"/>
      <c r="L44" s="60"/>
      <c r="M44" s="60"/>
      <c r="N44" s="60"/>
      <c r="O44" s="60"/>
      <c r="P44" s="60"/>
      <c r="Q44" s="60"/>
      <c r="R44" s="60"/>
      <c r="S44" s="60"/>
      <c r="T44" s="60"/>
      <c r="U44" s="60"/>
      <c r="V44" s="60"/>
      <c r="W44" s="60"/>
      <c r="X44" s="60"/>
      <c r="Y44" s="60"/>
      <c r="Z44" s="60"/>
      <c r="AA44" s="60"/>
      <c r="AB44" s="60"/>
      <c r="AC44" s="60"/>
      <c r="AD44" s="60"/>
      <c r="AE44" s="60"/>
      <c r="AF44" s="60"/>
      <c r="AG44" s="60"/>
    </row>
    <row r="45" spans="1:33" s="95" customFormat="1" ht="15">
      <c r="A45" s="105"/>
      <c r="B45" s="187">
        <f t="shared" ref="B45:B76" si="6">B44+1</f>
        <v>3</v>
      </c>
      <c r="C45" s="602" t="s">
        <v>1462</v>
      </c>
      <c r="D45" s="596" t="s">
        <v>233</v>
      </c>
      <c r="E45" s="596">
        <v>5</v>
      </c>
      <c r="F45" s="596">
        <v>150</v>
      </c>
      <c r="G45" s="243">
        <f t="shared" si="4"/>
        <v>750</v>
      </c>
      <c r="H45" s="91">
        <f t="shared" si="5"/>
        <v>0.63237774030354132</v>
      </c>
      <c r="I45" s="105"/>
      <c r="J45" s="105"/>
      <c r="K45" s="60"/>
      <c r="L45" s="60"/>
      <c r="M45" s="60"/>
      <c r="N45" s="60"/>
      <c r="O45" s="60"/>
      <c r="P45" s="60"/>
      <c r="Q45" s="60"/>
      <c r="R45" s="60"/>
      <c r="S45" s="60"/>
      <c r="T45" s="60"/>
      <c r="U45" s="60"/>
      <c r="V45" s="60"/>
      <c r="W45" s="60"/>
      <c r="X45" s="60"/>
      <c r="Y45" s="60"/>
      <c r="Z45" s="60"/>
      <c r="AA45" s="60"/>
      <c r="AB45" s="60"/>
      <c r="AC45" s="60"/>
      <c r="AD45" s="60"/>
      <c r="AE45" s="60"/>
      <c r="AF45" s="60"/>
      <c r="AG45" s="60"/>
    </row>
    <row r="46" spans="1:33" s="95" customFormat="1" ht="15">
      <c r="A46" s="105"/>
      <c r="B46" s="187">
        <f t="shared" si="6"/>
        <v>4</v>
      </c>
      <c r="C46" s="602" t="s">
        <v>1463</v>
      </c>
      <c r="D46" s="596" t="s">
        <v>233</v>
      </c>
      <c r="E46" s="596">
        <v>50</v>
      </c>
      <c r="F46" s="596">
        <v>350</v>
      </c>
      <c r="G46" s="243">
        <f t="shared" si="4"/>
        <v>17500</v>
      </c>
      <c r="H46" s="91">
        <f t="shared" si="5"/>
        <v>14.75548060708263</v>
      </c>
      <c r="I46" s="105"/>
      <c r="J46" s="105"/>
      <c r="K46" s="60"/>
      <c r="L46" s="60"/>
      <c r="M46" s="60"/>
      <c r="N46" s="60"/>
      <c r="O46" s="60"/>
      <c r="P46" s="60"/>
      <c r="Q46" s="60"/>
      <c r="R46" s="60"/>
      <c r="S46" s="60"/>
      <c r="T46" s="60"/>
      <c r="U46" s="60"/>
      <c r="V46" s="60"/>
      <c r="W46" s="60"/>
      <c r="X46" s="60"/>
      <c r="Y46" s="60"/>
      <c r="Z46" s="60"/>
      <c r="AA46" s="60"/>
      <c r="AB46" s="60"/>
      <c r="AC46" s="60"/>
      <c r="AD46" s="60"/>
      <c r="AE46" s="60"/>
      <c r="AF46" s="60"/>
      <c r="AG46" s="60"/>
    </row>
    <row r="47" spans="1:33" s="95" customFormat="1" ht="15">
      <c r="A47" s="105"/>
      <c r="B47" s="187">
        <f t="shared" si="6"/>
        <v>5</v>
      </c>
      <c r="C47" s="602" t="s">
        <v>1464</v>
      </c>
      <c r="D47" s="596" t="s">
        <v>233</v>
      </c>
      <c r="E47" s="596">
        <v>10</v>
      </c>
      <c r="F47" s="596">
        <v>1700</v>
      </c>
      <c r="G47" s="243">
        <f t="shared" si="4"/>
        <v>17000</v>
      </c>
      <c r="H47" s="91">
        <f t="shared" si="5"/>
        <v>14.33389544688027</v>
      </c>
      <c r="I47" s="105"/>
      <c r="J47" s="105"/>
      <c r="K47" s="60"/>
      <c r="L47" s="60"/>
      <c r="M47" s="60"/>
      <c r="N47" s="60"/>
      <c r="O47" s="60"/>
      <c r="P47" s="60"/>
      <c r="Q47" s="60"/>
      <c r="R47" s="60"/>
      <c r="S47" s="60"/>
      <c r="T47" s="60"/>
      <c r="U47" s="60"/>
      <c r="V47" s="60"/>
      <c r="W47" s="60"/>
      <c r="X47" s="60"/>
      <c r="Y47" s="60"/>
      <c r="Z47" s="60"/>
      <c r="AA47" s="60"/>
      <c r="AB47" s="60"/>
      <c r="AC47" s="60"/>
      <c r="AD47" s="60"/>
      <c r="AE47" s="60"/>
      <c r="AF47" s="60"/>
      <c r="AG47" s="60"/>
    </row>
    <row r="48" spans="1:33" s="95" customFormat="1" ht="15">
      <c r="A48" s="105"/>
      <c r="B48" s="187">
        <f t="shared" si="6"/>
        <v>6</v>
      </c>
      <c r="C48" s="602" t="s">
        <v>1465</v>
      </c>
      <c r="D48" s="596" t="s">
        <v>233</v>
      </c>
      <c r="E48" s="596">
        <v>3</v>
      </c>
      <c r="F48" s="596">
        <v>300</v>
      </c>
      <c r="G48" s="243">
        <f t="shared" si="4"/>
        <v>900</v>
      </c>
      <c r="H48" s="91">
        <f t="shared" si="5"/>
        <v>0.75885328836424959</v>
      </c>
      <c r="I48" s="105"/>
      <c r="J48" s="105"/>
      <c r="K48" s="60"/>
      <c r="L48" s="60"/>
      <c r="M48" s="60"/>
      <c r="N48" s="60"/>
      <c r="O48" s="60"/>
      <c r="P48" s="60"/>
      <c r="Q48" s="60"/>
      <c r="R48" s="60"/>
      <c r="S48" s="60"/>
      <c r="T48" s="60"/>
      <c r="U48" s="60"/>
      <c r="V48" s="60"/>
      <c r="W48" s="60"/>
      <c r="X48" s="60"/>
      <c r="Y48" s="60"/>
      <c r="Z48" s="60"/>
      <c r="AA48" s="60"/>
      <c r="AB48" s="60"/>
      <c r="AC48" s="60"/>
      <c r="AD48" s="60"/>
      <c r="AE48" s="60"/>
      <c r="AF48" s="60"/>
      <c r="AG48" s="60"/>
    </row>
    <row r="49" spans="1:33" s="95" customFormat="1" ht="15">
      <c r="A49" s="105"/>
      <c r="B49" s="187">
        <f t="shared" si="6"/>
        <v>7</v>
      </c>
      <c r="C49" s="602" t="s">
        <v>611</v>
      </c>
      <c r="D49" s="596" t="s">
        <v>233</v>
      </c>
      <c r="E49" s="596">
        <v>5</v>
      </c>
      <c r="F49" s="596">
        <v>300</v>
      </c>
      <c r="G49" s="243">
        <f t="shared" si="4"/>
        <v>1500</v>
      </c>
      <c r="H49" s="91">
        <f t="shared" si="5"/>
        <v>1.2647554806070826</v>
      </c>
      <c r="I49" s="105"/>
      <c r="J49" s="105"/>
      <c r="K49" s="60"/>
      <c r="L49" s="60"/>
      <c r="M49" s="60"/>
      <c r="N49" s="60"/>
      <c r="O49" s="60"/>
      <c r="P49" s="60"/>
      <c r="Q49" s="60"/>
      <c r="R49" s="60"/>
      <c r="S49" s="60"/>
      <c r="T49" s="60"/>
      <c r="U49" s="60"/>
      <c r="V49" s="60"/>
      <c r="W49" s="60"/>
      <c r="X49" s="60"/>
      <c r="Y49" s="60"/>
      <c r="Z49" s="60"/>
      <c r="AA49" s="60"/>
      <c r="AB49" s="60"/>
      <c r="AC49" s="60"/>
      <c r="AD49" s="60"/>
      <c r="AE49" s="60"/>
      <c r="AF49" s="60"/>
      <c r="AG49" s="60"/>
    </row>
    <row r="50" spans="1:33" s="95" customFormat="1" ht="15">
      <c r="A50" s="105"/>
      <c r="B50" s="187">
        <f t="shared" si="6"/>
        <v>8</v>
      </c>
      <c r="C50" s="602" t="s">
        <v>767</v>
      </c>
      <c r="D50" s="596" t="s">
        <v>233</v>
      </c>
      <c r="E50" s="596">
        <v>5</v>
      </c>
      <c r="F50" s="596">
        <v>550</v>
      </c>
      <c r="G50" s="243">
        <f t="shared" si="4"/>
        <v>2750</v>
      </c>
      <c r="H50" s="91">
        <f t="shared" si="5"/>
        <v>2.3187183811129848</v>
      </c>
      <c r="I50" s="105"/>
      <c r="J50" s="105"/>
      <c r="K50" s="60"/>
      <c r="L50" s="60"/>
      <c r="M50" s="60"/>
      <c r="N50" s="60"/>
      <c r="O50" s="60"/>
      <c r="P50" s="60"/>
      <c r="Q50" s="60"/>
      <c r="R50" s="60"/>
      <c r="S50" s="60"/>
      <c r="T50" s="60"/>
      <c r="U50" s="60"/>
      <c r="V50" s="60"/>
      <c r="W50" s="60"/>
      <c r="X50" s="60"/>
      <c r="Y50" s="60"/>
      <c r="Z50" s="60"/>
      <c r="AA50" s="60"/>
      <c r="AB50" s="60"/>
      <c r="AC50" s="60"/>
      <c r="AD50" s="60"/>
      <c r="AE50" s="60"/>
      <c r="AF50" s="60"/>
      <c r="AG50" s="60"/>
    </row>
    <row r="51" spans="1:33" s="95" customFormat="1" ht="15">
      <c r="A51" s="105"/>
      <c r="B51" s="187">
        <f t="shared" si="6"/>
        <v>9</v>
      </c>
      <c r="C51" s="602" t="s">
        <v>1466</v>
      </c>
      <c r="D51" s="596" t="s">
        <v>233</v>
      </c>
      <c r="E51" s="596">
        <v>3</v>
      </c>
      <c r="F51" s="596">
        <v>2300</v>
      </c>
      <c r="G51" s="243">
        <f t="shared" si="4"/>
        <v>6900</v>
      </c>
      <c r="H51" s="91">
        <f t="shared" si="5"/>
        <v>5.8178752107925797</v>
      </c>
      <c r="I51" s="105"/>
      <c r="J51" s="105"/>
      <c r="K51" s="60"/>
      <c r="L51" s="60"/>
      <c r="M51" s="60"/>
      <c r="N51" s="60"/>
      <c r="O51" s="60"/>
      <c r="P51" s="60"/>
      <c r="Q51" s="60"/>
      <c r="R51" s="60"/>
      <c r="S51" s="60"/>
      <c r="T51" s="60"/>
      <c r="U51" s="60"/>
      <c r="V51" s="60"/>
      <c r="W51" s="60"/>
      <c r="X51" s="60"/>
      <c r="Y51" s="60"/>
      <c r="Z51" s="60"/>
      <c r="AA51" s="60"/>
      <c r="AB51" s="60"/>
      <c r="AC51" s="60"/>
      <c r="AD51" s="60"/>
      <c r="AE51" s="60"/>
      <c r="AF51" s="60"/>
      <c r="AG51" s="60"/>
    </row>
    <row r="52" spans="1:33" s="95" customFormat="1" ht="15">
      <c r="A52" s="105"/>
      <c r="B52" s="187">
        <f t="shared" si="6"/>
        <v>10</v>
      </c>
      <c r="C52" s="602" t="s">
        <v>1467</v>
      </c>
      <c r="D52" s="596" t="s">
        <v>233</v>
      </c>
      <c r="E52" s="596">
        <v>50</v>
      </c>
      <c r="F52" s="596">
        <v>2200</v>
      </c>
      <c r="G52" s="243">
        <f t="shared" si="4"/>
        <v>110000</v>
      </c>
      <c r="H52" s="91">
        <f t="shared" si="5"/>
        <v>92.748735244519395</v>
      </c>
      <c r="I52" s="105"/>
      <c r="J52" s="105"/>
      <c r="K52" s="60"/>
      <c r="L52" s="60"/>
      <c r="M52" s="60"/>
      <c r="N52" s="60"/>
      <c r="O52" s="60"/>
      <c r="P52" s="60"/>
      <c r="Q52" s="60"/>
      <c r="R52" s="60"/>
      <c r="S52" s="60"/>
      <c r="T52" s="60"/>
      <c r="U52" s="60"/>
      <c r="V52" s="60"/>
      <c r="W52" s="60"/>
      <c r="X52" s="60"/>
      <c r="Y52" s="60"/>
      <c r="Z52" s="60"/>
      <c r="AA52" s="60"/>
      <c r="AB52" s="60"/>
      <c r="AC52" s="60"/>
      <c r="AD52" s="60"/>
      <c r="AE52" s="60"/>
      <c r="AF52" s="60"/>
      <c r="AG52" s="60"/>
    </row>
    <row r="53" spans="1:33" s="95" customFormat="1" ht="12.75" customHeight="1">
      <c r="A53" s="105"/>
      <c r="B53" s="187">
        <f t="shared" si="6"/>
        <v>11</v>
      </c>
      <c r="C53" s="602" t="s">
        <v>1468</v>
      </c>
      <c r="D53" s="596" t="s">
        <v>233</v>
      </c>
      <c r="E53" s="596">
        <v>10</v>
      </c>
      <c r="F53" s="596">
        <v>180</v>
      </c>
      <c r="G53" s="243">
        <f t="shared" si="4"/>
        <v>1800</v>
      </c>
      <c r="H53" s="91">
        <f t="shared" si="5"/>
        <v>1.5177065767284992</v>
      </c>
      <c r="I53" s="105"/>
      <c r="J53" s="105"/>
      <c r="K53" s="60"/>
      <c r="L53" s="60"/>
      <c r="M53" s="60"/>
      <c r="N53" s="60"/>
      <c r="O53" s="60"/>
      <c r="P53" s="60"/>
      <c r="Q53" s="60"/>
      <c r="R53" s="60"/>
      <c r="S53" s="60"/>
      <c r="T53" s="60"/>
      <c r="U53" s="60"/>
      <c r="V53" s="60"/>
      <c r="W53" s="60"/>
      <c r="X53" s="60"/>
      <c r="Y53" s="60"/>
      <c r="Z53" s="60"/>
      <c r="AA53" s="60"/>
      <c r="AB53" s="60"/>
      <c r="AC53" s="60"/>
      <c r="AD53" s="60"/>
      <c r="AE53" s="60"/>
      <c r="AF53" s="60"/>
      <c r="AG53" s="60"/>
    </row>
    <row r="54" spans="1:33" s="95" customFormat="1" ht="13.5" customHeight="1">
      <c r="A54" s="105"/>
      <c r="B54" s="187">
        <f t="shared" si="6"/>
        <v>12</v>
      </c>
      <c r="C54" s="602" t="s">
        <v>1469</v>
      </c>
      <c r="D54" s="596" t="s">
        <v>233</v>
      </c>
      <c r="E54" s="596">
        <v>2</v>
      </c>
      <c r="F54" s="596">
        <v>7000</v>
      </c>
      <c r="G54" s="243">
        <f t="shared" si="4"/>
        <v>14000</v>
      </c>
      <c r="H54" s="91">
        <f t="shared" si="5"/>
        <v>11.804384485666105</v>
      </c>
      <c r="I54" s="105"/>
      <c r="J54" s="105"/>
      <c r="K54" s="60"/>
      <c r="L54" s="60"/>
      <c r="M54" s="60"/>
      <c r="N54" s="60"/>
      <c r="O54" s="60"/>
      <c r="P54" s="60"/>
      <c r="Q54" s="60"/>
      <c r="R54" s="60"/>
      <c r="S54" s="60"/>
      <c r="T54" s="60"/>
      <c r="U54" s="60"/>
      <c r="V54" s="60"/>
      <c r="W54" s="60"/>
      <c r="X54" s="60"/>
      <c r="Y54" s="60"/>
      <c r="Z54" s="60"/>
      <c r="AA54" s="60"/>
      <c r="AB54" s="60"/>
      <c r="AC54" s="60"/>
      <c r="AD54" s="60"/>
      <c r="AE54" s="60"/>
      <c r="AF54" s="60"/>
      <c r="AG54" s="60"/>
    </row>
    <row r="55" spans="1:33" s="95" customFormat="1" ht="15">
      <c r="A55" s="105"/>
      <c r="B55" s="187">
        <f t="shared" si="6"/>
        <v>13</v>
      </c>
      <c r="C55" s="602" t="s">
        <v>1470</v>
      </c>
      <c r="D55" s="596" t="s">
        <v>233</v>
      </c>
      <c r="E55" s="596">
        <v>100</v>
      </c>
      <c r="F55" s="596">
        <v>260</v>
      </c>
      <c r="G55" s="243">
        <f t="shared" si="4"/>
        <v>26000</v>
      </c>
      <c r="H55" s="91">
        <f t="shared" si="5"/>
        <v>21.922428330522767</v>
      </c>
      <c r="I55" s="105"/>
      <c r="J55" s="105"/>
      <c r="K55" s="60"/>
      <c r="L55" s="60"/>
      <c r="M55" s="60"/>
      <c r="N55" s="60"/>
      <c r="O55" s="60"/>
      <c r="P55" s="60"/>
      <c r="Q55" s="60"/>
      <c r="R55" s="60"/>
      <c r="S55" s="60"/>
      <c r="T55" s="60"/>
      <c r="U55" s="60"/>
      <c r="V55" s="60"/>
      <c r="W55" s="60"/>
      <c r="X55" s="60"/>
      <c r="Y55" s="60"/>
      <c r="Z55" s="60"/>
      <c r="AA55" s="60"/>
      <c r="AB55" s="60"/>
      <c r="AC55" s="60"/>
      <c r="AD55" s="60"/>
      <c r="AE55" s="60"/>
      <c r="AF55" s="60"/>
      <c r="AG55" s="60"/>
    </row>
    <row r="56" spans="1:33" s="95" customFormat="1" ht="15">
      <c r="A56" s="105"/>
      <c r="B56" s="187">
        <f t="shared" si="6"/>
        <v>14</v>
      </c>
      <c r="C56" s="602" t="s">
        <v>1471</v>
      </c>
      <c r="D56" s="596" t="s">
        <v>233</v>
      </c>
      <c r="E56" s="596">
        <v>50</v>
      </c>
      <c r="F56" s="596">
        <v>250</v>
      </c>
      <c r="G56" s="243">
        <f t="shared" si="4"/>
        <v>12500</v>
      </c>
      <c r="H56" s="91">
        <f t="shared" si="5"/>
        <v>10.539629005059021</v>
      </c>
      <c r="I56" s="105"/>
      <c r="J56" s="105"/>
      <c r="K56" s="60"/>
      <c r="L56" s="60"/>
      <c r="M56" s="60"/>
      <c r="N56" s="60"/>
      <c r="O56" s="60"/>
      <c r="P56" s="60"/>
      <c r="Q56" s="60"/>
      <c r="R56" s="60"/>
      <c r="S56" s="60"/>
      <c r="T56" s="60"/>
      <c r="U56" s="60"/>
      <c r="V56" s="60"/>
      <c r="W56" s="60"/>
      <c r="X56" s="60"/>
      <c r="Y56" s="60"/>
      <c r="Z56" s="60"/>
      <c r="AA56" s="60"/>
      <c r="AB56" s="60"/>
      <c r="AC56" s="60"/>
      <c r="AD56" s="60"/>
      <c r="AE56" s="60"/>
      <c r="AF56" s="60"/>
      <c r="AG56" s="60"/>
    </row>
    <row r="57" spans="1:33" s="95" customFormat="1" ht="15">
      <c r="A57" s="105"/>
      <c r="B57" s="187">
        <f t="shared" si="6"/>
        <v>15</v>
      </c>
      <c r="C57" s="602" t="s">
        <v>1472</v>
      </c>
      <c r="D57" s="596" t="s">
        <v>233</v>
      </c>
      <c r="E57" s="596">
        <v>5</v>
      </c>
      <c r="F57" s="596">
        <v>4000</v>
      </c>
      <c r="G57" s="243">
        <f t="shared" si="4"/>
        <v>20000</v>
      </c>
      <c r="H57" s="91">
        <f t="shared" si="5"/>
        <v>16.863406408094434</v>
      </c>
      <c r="I57" s="105"/>
      <c r="J57" s="105"/>
      <c r="K57" s="60"/>
      <c r="L57" s="60"/>
      <c r="M57" s="60"/>
      <c r="N57" s="60"/>
      <c r="O57" s="60"/>
      <c r="P57" s="60"/>
      <c r="Q57" s="60"/>
      <c r="R57" s="60"/>
      <c r="S57" s="60"/>
      <c r="T57" s="60"/>
      <c r="U57" s="60"/>
      <c r="V57" s="60"/>
      <c r="W57" s="60"/>
      <c r="X57" s="60"/>
      <c r="Y57" s="60"/>
      <c r="Z57" s="60"/>
      <c r="AA57" s="60"/>
      <c r="AB57" s="60"/>
      <c r="AC57" s="60"/>
      <c r="AD57" s="60"/>
      <c r="AE57" s="60"/>
      <c r="AF57" s="60"/>
      <c r="AG57" s="60"/>
    </row>
    <row r="58" spans="1:33" s="95" customFormat="1" ht="15">
      <c r="A58" s="105"/>
      <c r="B58" s="187">
        <f t="shared" si="6"/>
        <v>16</v>
      </c>
      <c r="C58" s="602" t="s">
        <v>1473</v>
      </c>
      <c r="D58" s="596" t="s">
        <v>233</v>
      </c>
      <c r="E58" s="596">
        <v>5</v>
      </c>
      <c r="F58" s="596">
        <v>4000</v>
      </c>
      <c r="G58" s="243">
        <f t="shared" si="4"/>
        <v>20000</v>
      </c>
      <c r="H58" s="91">
        <f t="shared" si="5"/>
        <v>16.863406408094434</v>
      </c>
      <c r="I58" s="105"/>
      <c r="J58" s="105"/>
      <c r="K58" s="60"/>
      <c r="L58" s="60"/>
      <c r="M58" s="60"/>
      <c r="N58" s="60"/>
      <c r="O58" s="60"/>
      <c r="P58" s="60"/>
      <c r="Q58" s="60"/>
      <c r="R58" s="60"/>
      <c r="S58" s="60"/>
      <c r="T58" s="60"/>
      <c r="U58" s="60"/>
      <c r="V58" s="60"/>
      <c r="W58" s="60"/>
      <c r="X58" s="60"/>
      <c r="Y58" s="60"/>
      <c r="Z58" s="60"/>
      <c r="AA58" s="60"/>
      <c r="AB58" s="60"/>
      <c r="AC58" s="60"/>
      <c r="AD58" s="60"/>
      <c r="AE58" s="60"/>
      <c r="AF58" s="60"/>
      <c r="AG58" s="60"/>
    </row>
    <row r="59" spans="1:33" s="95" customFormat="1" ht="15">
      <c r="A59" s="105"/>
      <c r="B59" s="187">
        <f t="shared" si="6"/>
        <v>17</v>
      </c>
      <c r="C59" s="602" t="s">
        <v>1474</v>
      </c>
      <c r="D59" s="596" t="s">
        <v>233</v>
      </c>
      <c r="E59" s="596">
        <v>5</v>
      </c>
      <c r="F59" s="596">
        <v>700</v>
      </c>
      <c r="G59" s="243">
        <f t="shared" si="4"/>
        <v>3500</v>
      </c>
      <c r="H59" s="91">
        <f t="shared" si="5"/>
        <v>2.9510961214165263</v>
      </c>
      <c r="I59" s="105"/>
      <c r="J59" s="105"/>
      <c r="K59" s="60"/>
      <c r="L59" s="60"/>
      <c r="M59" s="60"/>
      <c r="N59" s="60"/>
      <c r="O59" s="60"/>
      <c r="P59" s="60"/>
      <c r="Q59" s="60"/>
      <c r="R59" s="60"/>
      <c r="S59" s="60"/>
      <c r="T59" s="60"/>
      <c r="U59" s="60"/>
      <c r="V59" s="60"/>
      <c r="W59" s="60"/>
      <c r="X59" s="60"/>
      <c r="Y59" s="60"/>
      <c r="Z59" s="60"/>
      <c r="AA59" s="60"/>
      <c r="AB59" s="60"/>
      <c r="AC59" s="60"/>
      <c r="AD59" s="60"/>
      <c r="AE59" s="60"/>
      <c r="AF59" s="60"/>
      <c r="AG59" s="60"/>
    </row>
    <row r="60" spans="1:33" s="95" customFormat="1" ht="15">
      <c r="A60" s="105"/>
      <c r="B60" s="187">
        <f t="shared" si="6"/>
        <v>18</v>
      </c>
      <c r="C60" s="602" t="s">
        <v>1475</v>
      </c>
      <c r="D60" s="596" t="s">
        <v>233</v>
      </c>
      <c r="E60" s="596">
        <v>2</v>
      </c>
      <c r="F60" s="596">
        <v>900</v>
      </c>
      <c r="G60" s="243">
        <f t="shared" si="4"/>
        <v>1800</v>
      </c>
      <c r="H60" s="91">
        <f t="shared" si="5"/>
        <v>1.5177065767284992</v>
      </c>
      <c r="I60" s="105"/>
      <c r="J60" s="105"/>
      <c r="K60" s="60"/>
      <c r="L60" s="60"/>
      <c r="M60" s="60"/>
      <c r="N60" s="60"/>
      <c r="O60" s="60"/>
      <c r="P60" s="60"/>
      <c r="Q60" s="60"/>
      <c r="R60" s="60"/>
      <c r="S60" s="60"/>
      <c r="T60" s="60"/>
      <c r="U60" s="60"/>
      <c r="V60" s="60"/>
      <c r="W60" s="60"/>
      <c r="X60" s="60"/>
      <c r="Y60" s="60"/>
      <c r="Z60" s="60"/>
      <c r="AA60" s="60"/>
      <c r="AB60" s="60"/>
      <c r="AC60" s="60"/>
      <c r="AD60" s="60"/>
      <c r="AE60" s="60"/>
      <c r="AF60" s="60"/>
      <c r="AG60" s="60"/>
    </row>
    <row r="61" spans="1:33" s="95" customFormat="1" ht="15">
      <c r="A61" s="105"/>
      <c r="B61" s="187">
        <f t="shared" si="6"/>
        <v>19</v>
      </c>
      <c r="C61" s="602" t="s">
        <v>1476</v>
      </c>
      <c r="D61" s="596" t="s">
        <v>233</v>
      </c>
      <c r="E61" s="596">
        <v>3</v>
      </c>
      <c r="F61" s="596">
        <v>5000</v>
      </c>
      <c r="G61" s="243">
        <f t="shared" si="4"/>
        <v>15000</v>
      </c>
      <c r="H61" s="91">
        <f t="shared" si="5"/>
        <v>12.647554806070826</v>
      </c>
      <c r="I61" s="105"/>
      <c r="J61" s="105"/>
      <c r="K61" s="60"/>
      <c r="L61" s="60"/>
      <c r="M61" s="60"/>
      <c r="N61" s="60"/>
      <c r="O61" s="60"/>
      <c r="P61" s="60"/>
      <c r="Q61" s="60"/>
      <c r="R61" s="60"/>
      <c r="S61" s="60"/>
      <c r="T61" s="60"/>
      <c r="U61" s="60"/>
      <c r="V61" s="60"/>
      <c r="W61" s="60"/>
      <c r="X61" s="60"/>
      <c r="Y61" s="60"/>
      <c r="Z61" s="60"/>
      <c r="AA61" s="60"/>
      <c r="AB61" s="60"/>
      <c r="AC61" s="60"/>
      <c r="AD61" s="60"/>
      <c r="AE61" s="60"/>
      <c r="AF61" s="60"/>
      <c r="AG61" s="60"/>
    </row>
    <row r="62" spans="1:33" s="95" customFormat="1" ht="15">
      <c r="A62" s="105"/>
      <c r="B62" s="187">
        <f t="shared" si="6"/>
        <v>20</v>
      </c>
      <c r="C62" s="602" t="s">
        <v>1477</v>
      </c>
      <c r="D62" s="596" t="s">
        <v>233</v>
      </c>
      <c r="E62" s="596">
        <v>15</v>
      </c>
      <c r="F62" s="596">
        <v>8000</v>
      </c>
      <c r="G62" s="243">
        <f t="shared" si="4"/>
        <v>120000</v>
      </c>
      <c r="H62" s="91">
        <f t="shared" si="5"/>
        <v>101.1804384485666</v>
      </c>
      <c r="I62" s="105"/>
      <c r="J62" s="105"/>
      <c r="K62" s="60"/>
      <c r="L62" s="60"/>
      <c r="M62" s="60"/>
      <c r="N62" s="60"/>
      <c r="O62" s="60"/>
      <c r="P62" s="60"/>
      <c r="Q62" s="60"/>
      <c r="R62" s="60"/>
      <c r="S62" s="60"/>
      <c r="T62" s="60"/>
      <c r="U62" s="60"/>
      <c r="V62" s="60"/>
      <c r="W62" s="60"/>
      <c r="X62" s="60"/>
      <c r="Y62" s="60"/>
      <c r="Z62" s="60"/>
      <c r="AA62" s="60"/>
      <c r="AB62" s="60"/>
      <c r="AC62" s="60"/>
      <c r="AD62" s="60"/>
      <c r="AE62" s="60"/>
      <c r="AF62" s="60"/>
      <c r="AG62" s="60"/>
    </row>
    <row r="63" spans="1:33" s="95" customFormat="1" ht="25.5">
      <c r="A63" s="105"/>
      <c r="B63" s="187">
        <f t="shared" si="6"/>
        <v>21</v>
      </c>
      <c r="C63" s="602" t="s">
        <v>1478</v>
      </c>
      <c r="D63" s="596" t="s">
        <v>233</v>
      </c>
      <c r="E63" s="596">
        <v>50</v>
      </c>
      <c r="F63" s="596">
        <v>300</v>
      </c>
      <c r="G63" s="243">
        <f t="shared" si="4"/>
        <v>15000</v>
      </c>
      <c r="H63" s="91">
        <f t="shared" si="5"/>
        <v>12.647554806070826</v>
      </c>
      <c r="I63" s="105"/>
      <c r="J63" s="105"/>
      <c r="K63" s="60"/>
      <c r="L63" s="60"/>
      <c r="M63" s="60"/>
      <c r="N63" s="60"/>
      <c r="O63" s="60"/>
      <c r="P63" s="60"/>
      <c r="Q63" s="60"/>
      <c r="R63" s="60"/>
      <c r="S63" s="60"/>
      <c r="T63" s="60"/>
      <c r="U63" s="60"/>
      <c r="V63" s="60"/>
      <c r="W63" s="60"/>
      <c r="X63" s="60"/>
      <c r="Y63" s="60"/>
      <c r="Z63" s="60"/>
      <c r="AA63" s="60"/>
      <c r="AB63" s="60"/>
      <c r="AC63" s="60"/>
      <c r="AD63" s="60"/>
      <c r="AE63" s="60"/>
      <c r="AF63" s="60"/>
      <c r="AG63" s="60"/>
    </row>
    <row r="64" spans="1:33" s="95" customFormat="1" ht="15">
      <c r="A64" s="105"/>
      <c r="B64" s="187">
        <f t="shared" si="6"/>
        <v>22</v>
      </c>
      <c r="C64" s="602" t="s">
        <v>1479</v>
      </c>
      <c r="D64" s="596" t="s">
        <v>233</v>
      </c>
      <c r="E64" s="596">
        <v>3</v>
      </c>
      <c r="F64" s="596">
        <v>1700</v>
      </c>
      <c r="G64" s="243">
        <f t="shared" si="4"/>
        <v>5100</v>
      </c>
      <c r="H64" s="91">
        <f t="shared" si="5"/>
        <v>4.3001686340640806</v>
      </c>
      <c r="I64" s="105"/>
      <c r="J64" s="105"/>
      <c r="K64" s="60"/>
      <c r="L64" s="60"/>
      <c r="M64" s="60"/>
      <c r="N64" s="60"/>
      <c r="O64" s="60"/>
      <c r="P64" s="60"/>
      <c r="Q64" s="60"/>
      <c r="R64" s="60"/>
      <c r="S64" s="60"/>
      <c r="T64" s="60"/>
      <c r="U64" s="60"/>
      <c r="V64" s="60"/>
      <c r="W64" s="60"/>
      <c r="X64" s="60"/>
      <c r="Y64" s="60"/>
      <c r="Z64" s="60"/>
      <c r="AA64" s="60"/>
      <c r="AB64" s="60"/>
      <c r="AC64" s="60"/>
      <c r="AD64" s="60"/>
      <c r="AE64" s="60"/>
      <c r="AF64" s="60"/>
      <c r="AG64" s="60"/>
    </row>
    <row r="65" spans="1:33" s="95" customFormat="1" ht="15">
      <c r="A65" s="105"/>
      <c r="B65" s="187">
        <f t="shared" si="6"/>
        <v>23</v>
      </c>
      <c r="C65" s="602" t="s">
        <v>1480</v>
      </c>
      <c r="D65" s="596" t="s">
        <v>233</v>
      </c>
      <c r="E65" s="596">
        <v>10</v>
      </c>
      <c r="F65" s="596">
        <v>1500</v>
      </c>
      <c r="G65" s="243">
        <f t="shared" si="4"/>
        <v>15000</v>
      </c>
      <c r="H65" s="91">
        <f t="shared" si="5"/>
        <v>12.647554806070826</v>
      </c>
      <c r="I65" s="105"/>
      <c r="J65" s="105"/>
      <c r="K65" s="60"/>
      <c r="L65" s="60"/>
      <c r="M65" s="60"/>
      <c r="N65" s="60"/>
      <c r="O65" s="60"/>
      <c r="P65" s="60"/>
      <c r="Q65" s="60"/>
      <c r="R65" s="60"/>
      <c r="S65" s="60"/>
      <c r="T65" s="60"/>
      <c r="U65" s="60"/>
      <c r="V65" s="60"/>
      <c r="W65" s="60"/>
      <c r="X65" s="60"/>
      <c r="Y65" s="60"/>
      <c r="Z65" s="60"/>
      <c r="AA65" s="60"/>
      <c r="AB65" s="60"/>
      <c r="AC65" s="60"/>
      <c r="AD65" s="60"/>
      <c r="AE65" s="60"/>
      <c r="AF65" s="60"/>
      <c r="AG65" s="60"/>
    </row>
    <row r="66" spans="1:33" s="95" customFormat="1" ht="15">
      <c r="A66" s="105"/>
      <c r="B66" s="187">
        <f t="shared" si="6"/>
        <v>24</v>
      </c>
      <c r="C66" s="602" t="s">
        <v>1481</v>
      </c>
      <c r="D66" s="596" t="s">
        <v>233</v>
      </c>
      <c r="E66" s="596">
        <v>5</v>
      </c>
      <c r="F66" s="596">
        <v>1300</v>
      </c>
      <c r="G66" s="243">
        <f t="shared" si="4"/>
        <v>6500</v>
      </c>
      <c r="H66" s="91">
        <f t="shared" si="5"/>
        <v>5.4806070826306916</v>
      </c>
      <c r="I66" s="105"/>
      <c r="J66" s="105"/>
      <c r="K66" s="60"/>
      <c r="L66" s="60"/>
      <c r="M66" s="60"/>
      <c r="N66" s="60"/>
      <c r="O66" s="60"/>
      <c r="P66" s="60"/>
      <c r="Q66" s="60"/>
      <c r="R66" s="60"/>
      <c r="S66" s="60"/>
      <c r="T66" s="60"/>
      <c r="U66" s="60"/>
      <c r="V66" s="60"/>
      <c r="W66" s="60"/>
      <c r="X66" s="60"/>
      <c r="Y66" s="60"/>
      <c r="Z66" s="60"/>
      <c r="AA66" s="60"/>
      <c r="AB66" s="60"/>
      <c r="AC66" s="60"/>
      <c r="AD66" s="60"/>
      <c r="AE66" s="60"/>
      <c r="AF66" s="60"/>
      <c r="AG66" s="60"/>
    </row>
    <row r="67" spans="1:33" s="95" customFormat="1" ht="16.5" customHeight="1">
      <c r="A67" s="105"/>
      <c r="B67" s="187">
        <f t="shared" si="6"/>
        <v>25</v>
      </c>
      <c r="C67" s="602" t="s">
        <v>1482</v>
      </c>
      <c r="D67" s="596" t="s">
        <v>233</v>
      </c>
      <c r="E67" s="596">
        <v>20</v>
      </c>
      <c r="F67" s="596">
        <v>650</v>
      </c>
      <c r="G67" s="243">
        <f t="shared" si="4"/>
        <v>13000</v>
      </c>
      <c r="H67" s="91">
        <f t="shared" si="5"/>
        <v>10.961214165261383</v>
      </c>
      <c r="I67" s="105"/>
      <c r="J67" s="105"/>
      <c r="K67" s="60"/>
      <c r="L67" s="60"/>
      <c r="M67" s="60"/>
      <c r="N67" s="60"/>
      <c r="O67" s="60"/>
      <c r="P67" s="60"/>
      <c r="Q67" s="60"/>
      <c r="R67" s="60"/>
      <c r="S67" s="60"/>
      <c r="T67" s="60"/>
      <c r="U67" s="60"/>
      <c r="V67" s="60"/>
      <c r="W67" s="60"/>
      <c r="X67" s="60"/>
      <c r="Y67" s="60"/>
      <c r="Z67" s="60"/>
      <c r="AA67" s="60"/>
      <c r="AB67" s="60"/>
      <c r="AC67" s="60"/>
      <c r="AD67" s="60"/>
      <c r="AE67" s="60"/>
      <c r="AF67" s="60"/>
      <c r="AG67" s="60"/>
    </row>
    <row r="68" spans="1:33" s="95" customFormat="1" ht="15">
      <c r="A68" s="105"/>
      <c r="B68" s="187">
        <f t="shared" si="6"/>
        <v>26</v>
      </c>
      <c r="C68" s="602" t="s">
        <v>1483</v>
      </c>
      <c r="D68" s="596" t="s">
        <v>233</v>
      </c>
      <c r="E68" s="596">
        <v>50</v>
      </c>
      <c r="F68" s="596">
        <v>300</v>
      </c>
      <c r="G68" s="243">
        <f t="shared" si="4"/>
        <v>15000</v>
      </c>
      <c r="H68" s="91">
        <f t="shared" si="5"/>
        <v>12.647554806070826</v>
      </c>
      <c r="I68" s="105"/>
      <c r="J68" s="105"/>
      <c r="K68" s="60"/>
      <c r="L68" s="60"/>
      <c r="M68" s="60"/>
      <c r="N68" s="60"/>
      <c r="O68" s="60"/>
      <c r="P68" s="60"/>
      <c r="Q68" s="60"/>
      <c r="R68" s="60"/>
      <c r="S68" s="60"/>
      <c r="T68" s="60"/>
      <c r="U68" s="60"/>
      <c r="V68" s="60"/>
      <c r="W68" s="60"/>
      <c r="X68" s="60"/>
      <c r="Y68" s="60"/>
      <c r="Z68" s="60"/>
      <c r="AA68" s="60"/>
      <c r="AB68" s="60"/>
      <c r="AC68" s="60"/>
      <c r="AD68" s="60"/>
      <c r="AE68" s="60"/>
      <c r="AF68" s="60"/>
      <c r="AG68" s="60"/>
    </row>
    <row r="69" spans="1:33" s="95" customFormat="1" ht="25.5">
      <c r="A69" s="105"/>
      <c r="B69" s="187">
        <f t="shared" si="6"/>
        <v>27</v>
      </c>
      <c r="C69" s="602" t="s">
        <v>1484</v>
      </c>
      <c r="D69" s="596" t="s">
        <v>233</v>
      </c>
      <c r="E69" s="596">
        <v>10</v>
      </c>
      <c r="F69" s="596">
        <v>1500</v>
      </c>
      <c r="G69" s="243">
        <f t="shared" si="4"/>
        <v>15000</v>
      </c>
      <c r="H69" s="91">
        <f t="shared" si="5"/>
        <v>12.647554806070826</v>
      </c>
      <c r="I69" s="105"/>
      <c r="J69" s="105"/>
      <c r="K69" s="60"/>
      <c r="L69" s="60"/>
      <c r="M69" s="60"/>
      <c r="N69" s="60"/>
      <c r="O69" s="60"/>
      <c r="P69" s="60"/>
      <c r="Q69" s="60"/>
      <c r="R69" s="60"/>
      <c r="S69" s="60"/>
      <c r="T69" s="60"/>
      <c r="U69" s="60"/>
      <c r="V69" s="60"/>
      <c r="W69" s="60"/>
      <c r="X69" s="60"/>
      <c r="Y69" s="60"/>
      <c r="Z69" s="60"/>
      <c r="AA69" s="60"/>
      <c r="AB69" s="60"/>
      <c r="AC69" s="60"/>
      <c r="AD69" s="60"/>
      <c r="AE69" s="60"/>
      <c r="AF69" s="60"/>
      <c r="AG69" s="60"/>
    </row>
    <row r="70" spans="1:33" s="95" customFormat="1" ht="15">
      <c r="A70" s="105"/>
      <c r="B70" s="187">
        <f t="shared" si="6"/>
        <v>28</v>
      </c>
      <c r="C70" s="602" t="s">
        <v>2439</v>
      </c>
      <c r="D70" s="596" t="s">
        <v>233</v>
      </c>
      <c r="E70" s="596">
        <v>2</v>
      </c>
      <c r="F70" s="596">
        <v>2700</v>
      </c>
      <c r="G70" s="243">
        <f t="shared" si="4"/>
        <v>5400</v>
      </c>
      <c r="H70" s="91">
        <f t="shared" si="5"/>
        <v>4.5531197301854975</v>
      </c>
      <c r="I70" s="105"/>
      <c r="J70" s="105"/>
      <c r="K70" s="60"/>
      <c r="L70" s="60"/>
      <c r="M70" s="60"/>
      <c r="N70" s="60"/>
      <c r="O70" s="60"/>
      <c r="P70" s="60"/>
      <c r="Q70" s="60"/>
      <c r="R70" s="60"/>
      <c r="S70" s="60"/>
      <c r="T70" s="60"/>
      <c r="U70" s="60"/>
      <c r="V70" s="60"/>
      <c r="W70" s="60"/>
      <c r="X70" s="60"/>
      <c r="Y70" s="60"/>
      <c r="Z70" s="60"/>
      <c r="AA70" s="60"/>
      <c r="AB70" s="60"/>
      <c r="AC70" s="60"/>
      <c r="AD70" s="60"/>
      <c r="AE70" s="60"/>
      <c r="AF70" s="60"/>
      <c r="AG70" s="60"/>
    </row>
    <row r="71" spans="1:33" s="95" customFormat="1" ht="15">
      <c r="A71" s="105"/>
      <c r="B71" s="187">
        <f t="shared" si="6"/>
        <v>29</v>
      </c>
      <c r="C71" s="602" t="s">
        <v>1485</v>
      </c>
      <c r="D71" s="596" t="s">
        <v>233</v>
      </c>
      <c r="E71" s="596">
        <v>100</v>
      </c>
      <c r="F71" s="596">
        <v>150</v>
      </c>
      <c r="G71" s="243">
        <f t="shared" si="4"/>
        <v>15000</v>
      </c>
      <c r="H71" s="91">
        <f t="shared" si="5"/>
        <v>12.647554806070826</v>
      </c>
      <c r="I71" s="105"/>
      <c r="J71" s="105"/>
      <c r="K71" s="60"/>
      <c r="L71" s="60"/>
      <c r="M71" s="60"/>
      <c r="N71" s="60"/>
      <c r="O71" s="60"/>
      <c r="P71" s="60"/>
      <c r="Q71" s="60"/>
      <c r="R71" s="60"/>
      <c r="S71" s="60"/>
      <c r="T71" s="60"/>
      <c r="U71" s="60"/>
      <c r="V71" s="60"/>
      <c r="W71" s="60"/>
      <c r="X71" s="60"/>
      <c r="Y71" s="60"/>
      <c r="Z71" s="60"/>
      <c r="AA71" s="60"/>
      <c r="AB71" s="60"/>
      <c r="AC71" s="60"/>
      <c r="AD71" s="60"/>
      <c r="AE71" s="60"/>
      <c r="AF71" s="60"/>
      <c r="AG71" s="60"/>
    </row>
    <row r="72" spans="1:33" s="95" customFormat="1" ht="15">
      <c r="A72" s="105"/>
      <c r="B72" s="187">
        <f t="shared" si="6"/>
        <v>30</v>
      </c>
      <c r="C72" s="602" t="s">
        <v>1486</v>
      </c>
      <c r="D72" s="596" t="s">
        <v>233</v>
      </c>
      <c r="E72" s="596">
        <v>1</v>
      </c>
      <c r="F72" s="596">
        <v>700</v>
      </c>
      <c r="G72" s="243">
        <f t="shared" si="4"/>
        <v>700</v>
      </c>
      <c r="H72" s="91">
        <f t="shared" si="5"/>
        <v>0.5902192242833052</v>
      </c>
      <c r="I72" s="105"/>
      <c r="J72" s="105"/>
      <c r="K72" s="60"/>
      <c r="L72" s="60"/>
      <c r="M72" s="60"/>
      <c r="N72" s="60"/>
      <c r="O72" s="60"/>
      <c r="P72" s="60"/>
      <c r="Q72" s="60"/>
      <c r="R72" s="60"/>
      <c r="S72" s="60"/>
      <c r="T72" s="60"/>
      <c r="U72" s="60"/>
      <c r="V72" s="60"/>
      <c r="W72" s="60"/>
      <c r="X72" s="60"/>
      <c r="Y72" s="60"/>
      <c r="Z72" s="60"/>
      <c r="AA72" s="60"/>
      <c r="AB72" s="60"/>
      <c r="AC72" s="60"/>
      <c r="AD72" s="60"/>
      <c r="AE72" s="60"/>
      <c r="AF72" s="60"/>
      <c r="AG72" s="60"/>
    </row>
    <row r="73" spans="1:33" s="95" customFormat="1" ht="25.5">
      <c r="A73" s="105"/>
      <c r="B73" s="187">
        <f t="shared" si="6"/>
        <v>31</v>
      </c>
      <c r="C73" s="602" t="s">
        <v>1487</v>
      </c>
      <c r="D73" s="596" t="s">
        <v>233</v>
      </c>
      <c r="E73" s="596">
        <v>5</v>
      </c>
      <c r="F73" s="596">
        <v>150</v>
      </c>
      <c r="G73" s="243">
        <f t="shared" si="4"/>
        <v>750</v>
      </c>
      <c r="H73" s="91">
        <f t="shared" si="5"/>
        <v>0.63237774030354132</v>
      </c>
      <c r="I73" s="105"/>
      <c r="J73" s="105"/>
      <c r="K73" s="60"/>
      <c r="L73" s="60"/>
      <c r="M73" s="60"/>
      <c r="N73" s="60"/>
      <c r="O73" s="60"/>
      <c r="P73" s="60"/>
      <c r="Q73" s="60"/>
      <c r="R73" s="60"/>
      <c r="S73" s="60"/>
      <c r="T73" s="60"/>
      <c r="U73" s="60"/>
      <c r="V73" s="60"/>
      <c r="W73" s="60"/>
      <c r="X73" s="60"/>
      <c r="Y73" s="60"/>
      <c r="Z73" s="60"/>
      <c r="AA73" s="60"/>
      <c r="AB73" s="60"/>
      <c r="AC73" s="60"/>
      <c r="AD73" s="60"/>
      <c r="AE73" s="60"/>
      <c r="AF73" s="60"/>
      <c r="AG73" s="60"/>
    </row>
    <row r="74" spans="1:33" s="95" customFormat="1" ht="15">
      <c r="A74" s="105"/>
      <c r="B74" s="187">
        <f t="shared" si="6"/>
        <v>32</v>
      </c>
      <c r="C74" s="602" t="s">
        <v>1488</v>
      </c>
      <c r="D74" s="596" t="s">
        <v>233</v>
      </c>
      <c r="E74" s="596">
        <v>20</v>
      </c>
      <c r="F74" s="596">
        <v>50</v>
      </c>
      <c r="G74" s="243">
        <f t="shared" si="4"/>
        <v>1000</v>
      </c>
      <c r="H74" s="91">
        <f t="shared" si="5"/>
        <v>0.84317032040472173</v>
      </c>
      <c r="I74" s="105"/>
      <c r="J74" s="105"/>
      <c r="K74" s="60"/>
      <c r="L74" s="60"/>
      <c r="M74" s="60"/>
      <c r="N74" s="60"/>
      <c r="O74" s="60"/>
      <c r="P74" s="60"/>
      <c r="Q74" s="60"/>
      <c r="R74" s="60"/>
      <c r="S74" s="60"/>
      <c r="T74" s="60"/>
      <c r="U74" s="60"/>
      <c r="V74" s="60"/>
      <c r="W74" s="60"/>
      <c r="X74" s="60"/>
      <c r="Y74" s="60"/>
      <c r="Z74" s="60"/>
      <c r="AA74" s="60"/>
      <c r="AB74" s="60"/>
      <c r="AC74" s="60"/>
      <c r="AD74" s="60"/>
      <c r="AE74" s="60"/>
      <c r="AF74" s="60"/>
      <c r="AG74" s="60"/>
    </row>
    <row r="75" spans="1:33" s="95" customFormat="1" ht="15">
      <c r="A75" s="105"/>
      <c r="B75" s="187">
        <f t="shared" si="6"/>
        <v>33</v>
      </c>
      <c r="C75" s="602" t="s">
        <v>1489</v>
      </c>
      <c r="D75" s="596" t="s">
        <v>233</v>
      </c>
      <c r="E75" s="596">
        <v>20</v>
      </c>
      <c r="F75" s="596">
        <v>50</v>
      </c>
      <c r="G75" s="243">
        <f t="shared" si="4"/>
        <v>1000</v>
      </c>
      <c r="H75" s="91">
        <f t="shared" si="5"/>
        <v>0.84317032040472173</v>
      </c>
      <c r="I75" s="105"/>
      <c r="J75" s="105"/>
      <c r="K75" s="60"/>
      <c r="L75" s="60"/>
      <c r="M75" s="60"/>
      <c r="N75" s="60"/>
      <c r="O75" s="60"/>
      <c r="P75" s="60"/>
      <c r="Q75" s="60"/>
      <c r="R75" s="60"/>
      <c r="S75" s="60"/>
      <c r="T75" s="60"/>
      <c r="U75" s="60"/>
      <c r="V75" s="60"/>
      <c r="W75" s="60"/>
      <c r="X75" s="60"/>
      <c r="Y75" s="60"/>
      <c r="Z75" s="60"/>
      <c r="AA75" s="60"/>
      <c r="AB75" s="60"/>
      <c r="AC75" s="60"/>
      <c r="AD75" s="60"/>
      <c r="AE75" s="60"/>
      <c r="AF75" s="60"/>
      <c r="AG75" s="60"/>
    </row>
    <row r="76" spans="1:33" s="95" customFormat="1" ht="15">
      <c r="A76" s="105"/>
      <c r="B76" s="187">
        <f t="shared" si="6"/>
        <v>34</v>
      </c>
      <c r="C76" s="602" t="s">
        <v>1490</v>
      </c>
      <c r="D76" s="596" t="s">
        <v>233</v>
      </c>
      <c r="E76" s="596">
        <v>20</v>
      </c>
      <c r="F76" s="596">
        <v>60</v>
      </c>
      <c r="G76" s="243">
        <f t="shared" si="4"/>
        <v>1200</v>
      </c>
      <c r="H76" s="91">
        <f t="shared" si="5"/>
        <v>1.0118043844856661</v>
      </c>
      <c r="I76" s="105"/>
      <c r="J76" s="105"/>
      <c r="K76" s="60"/>
      <c r="L76" s="60"/>
      <c r="M76" s="60"/>
      <c r="N76" s="60"/>
      <c r="O76" s="60"/>
      <c r="P76" s="60"/>
      <c r="Q76" s="60"/>
      <c r="R76" s="60"/>
      <c r="S76" s="60"/>
      <c r="T76" s="60"/>
      <c r="U76" s="60"/>
      <c r="V76" s="60"/>
      <c r="W76" s="60"/>
      <c r="X76" s="60"/>
      <c r="Y76" s="60"/>
      <c r="Z76" s="60"/>
      <c r="AA76" s="60"/>
      <c r="AB76" s="60"/>
      <c r="AC76" s="60"/>
      <c r="AD76" s="60"/>
      <c r="AE76" s="60"/>
      <c r="AF76" s="60"/>
      <c r="AG76" s="60"/>
    </row>
    <row r="77" spans="1:33" s="95" customFormat="1" ht="15">
      <c r="A77" s="105"/>
      <c r="B77" s="116"/>
      <c r="C77" s="272" t="s">
        <v>2</v>
      </c>
      <c r="D77" s="246"/>
      <c r="E77" s="273"/>
      <c r="F77" s="244"/>
      <c r="G77" s="665">
        <f>SUM(G43:G76)</f>
        <v>565550</v>
      </c>
      <c r="H77" s="267">
        <f>SUM(H43:H76)</f>
        <v>476.85497470489048</v>
      </c>
      <c r="I77" s="105"/>
      <c r="J77" s="105"/>
      <c r="K77" s="60"/>
      <c r="L77" s="60"/>
      <c r="M77" s="60"/>
      <c r="N77" s="60"/>
      <c r="O77" s="60"/>
      <c r="P77" s="60"/>
      <c r="Q77" s="60"/>
      <c r="R77" s="60"/>
      <c r="S77" s="60"/>
      <c r="T77" s="60"/>
      <c r="U77" s="60"/>
      <c r="V77" s="60"/>
      <c r="W77" s="60"/>
      <c r="X77" s="60"/>
      <c r="Y77" s="60"/>
      <c r="Z77" s="60"/>
      <c r="AA77" s="60"/>
      <c r="AB77" s="60"/>
      <c r="AC77" s="60"/>
      <c r="AD77" s="60"/>
      <c r="AE77" s="60"/>
      <c r="AF77" s="60"/>
      <c r="AG77" s="60"/>
    </row>
    <row r="78" spans="1:33" s="95" customFormat="1" ht="15">
      <c r="A78" s="105"/>
      <c r="B78" s="1037"/>
      <c r="C78" s="1038"/>
      <c r="D78" s="1039"/>
      <c r="E78" s="1040"/>
      <c r="F78" s="1041"/>
      <c r="G78" s="1042"/>
      <c r="H78" s="1043"/>
      <c r="I78" s="105"/>
      <c r="J78" s="105"/>
      <c r="K78" s="60"/>
      <c r="L78" s="60"/>
      <c r="M78" s="60"/>
      <c r="N78" s="60"/>
      <c r="O78" s="60"/>
      <c r="P78" s="60"/>
      <c r="Q78" s="60"/>
      <c r="R78" s="60"/>
      <c r="S78" s="60"/>
      <c r="T78" s="60"/>
      <c r="U78" s="60"/>
      <c r="V78" s="60"/>
      <c r="W78" s="60"/>
      <c r="X78" s="60"/>
      <c r="Y78" s="60"/>
      <c r="Z78" s="60"/>
      <c r="AA78" s="60"/>
      <c r="AB78" s="60"/>
      <c r="AC78" s="60"/>
      <c r="AD78" s="60"/>
      <c r="AE78" s="60"/>
      <c r="AF78" s="60"/>
      <c r="AG78" s="60"/>
    </row>
    <row r="79" spans="1:33" s="95" customFormat="1" ht="15">
      <c r="A79" s="105"/>
      <c r="B79" s="169"/>
      <c r="C79" s="1408" t="s">
        <v>2425</v>
      </c>
      <c r="D79" s="1408"/>
      <c r="E79" s="1408"/>
      <c r="F79" s="1408"/>
      <c r="G79" s="193"/>
      <c r="H79" s="170">
        <f>SUM(G81:H82)</f>
        <v>531700</v>
      </c>
      <c r="I79" s="105"/>
      <c r="J79" s="105"/>
      <c r="K79" s="60"/>
      <c r="L79" s="60"/>
      <c r="M79" s="60"/>
      <c r="N79" s="60"/>
      <c r="O79" s="60"/>
      <c r="P79" s="60"/>
      <c r="Q79" s="60"/>
      <c r="R79" s="60"/>
      <c r="S79" s="60"/>
      <c r="T79" s="60"/>
      <c r="U79" s="60"/>
      <c r="V79" s="60"/>
      <c r="W79" s="60"/>
      <c r="X79" s="60"/>
      <c r="Y79" s="60"/>
      <c r="Z79" s="60"/>
      <c r="AA79" s="60"/>
      <c r="AB79" s="60"/>
      <c r="AC79" s="60"/>
      <c r="AD79" s="60"/>
      <c r="AE79" s="60"/>
      <c r="AF79" s="60"/>
      <c r="AG79" s="60"/>
    </row>
    <row r="80" spans="1:33" s="95" customFormat="1" ht="38.25">
      <c r="A80" s="105"/>
      <c r="B80" s="1055" t="s">
        <v>79</v>
      </c>
      <c r="C80" s="117" t="s">
        <v>36</v>
      </c>
      <c r="D80" s="166" t="s">
        <v>55</v>
      </c>
      <c r="E80" s="117" t="s">
        <v>32</v>
      </c>
      <c r="F80" s="117" t="s">
        <v>86</v>
      </c>
      <c r="G80" s="1406" t="s">
        <v>860</v>
      </c>
      <c r="H80" s="1406"/>
      <c r="I80" s="105"/>
      <c r="J80" s="105"/>
      <c r="K80" s="60"/>
      <c r="L80" s="60"/>
      <c r="M80" s="60"/>
      <c r="N80" s="60"/>
      <c r="O80" s="60"/>
      <c r="P80" s="60"/>
      <c r="Q80" s="60"/>
      <c r="R80" s="60"/>
      <c r="S80" s="60"/>
      <c r="T80" s="60"/>
      <c r="U80" s="60"/>
      <c r="V80" s="60"/>
      <c r="W80" s="60"/>
      <c r="X80" s="60"/>
      <c r="Y80" s="60"/>
      <c r="Z80" s="60"/>
      <c r="AA80" s="60"/>
      <c r="AB80" s="60"/>
      <c r="AC80" s="60"/>
      <c r="AD80" s="60"/>
      <c r="AE80" s="60"/>
      <c r="AF80" s="60"/>
      <c r="AG80" s="60"/>
    </row>
    <row r="81" spans="1:33" s="95" customFormat="1" ht="15">
      <c r="A81" s="105"/>
      <c r="B81" s="125">
        <v>1</v>
      </c>
      <c r="C81" s="212" t="s">
        <v>362</v>
      </c>
      <c r="D81" s="23" t="s">
        <v>361</v>
      </c>
      <c r="E81" s="23">
        <v>500</v>
      </c>
      <c r="F81" s="23">
        <v>600</v>
      </c>
      <c r="G81" s="1409">
        <f>E81*F81</f>
        <v>300000</v>
      </c>
      <c r="H81" s="1410"/>
      <c r="I81" s="105"/>
      <c r="J81" s="105"/>
      <c r="K81" s="60"/>
      <c r="L81" s="60"/>
      <c r="M81" s="60"/>
      <c r="N81" s="60"/>
      <c r="O81" s="60"/>
      <c r="P81" s="60"/>
      <c r="Q81" s="60"/>
      <c r="R81" s="60"/>
      <c r="S81" s="60"/>
      <c r="T81" s="60"/>
      <c r="U81" s="60"/>
      <c r="V81" s="60"/>
      <c r="W81" s="60"/>
      <c r="X81" s="60"/>
      <c r="Y81" s="60"/>
      <c r="Z81" s="60"/>
      <c r="AA81" s="60"/>
      <c r="AB81" s="60"/>
      <c r="AC81" s="60"/>
      <c r="AD81" s="60"/>
      <c r="AE81" s="60"/>
      <c r="AF81" s="60"/>
      <c r="AG81" s="60"/>
    </row>
    <row r="82" spans="1:33" s="95" customFormat="1" ht="15">
      <c r="A82" s="105"/>
      <c r="B82" s="125">
        <v>2</v>
      </c>
      <c r="C82" s="212" t="s">
        <v>363</v>
      </c>
      <c r="D82" s="23" t="s">
        <v>361</v>
      </c>
      <c r="E82" s="23">
        <v>700</v>
      </c>
      <c r="F82" s="23">
        <v>331</v>
      </c>
      <c r="G82" s="1409">
        <f>E82*F82</f>
        <v>231700</v>
      </c>
      <c r="H82" s="1410"/>
      <c r="I82" s="105"/>
      <c r="J82" s="105"/>
      <c r="K82" s="60"/>
      <c r="L82" s="60"/>
      <c r="M82" s="60"/>
      <c r="N82" s="60"/>
      <c r="O82" s="60"/>
      <c r="P82" s="60"/>
      <c r="Q82" s="60"/>
      <c r="R82" s="60"/>
      <c r="S82" s="60"/>
      <c r="T82" s="60"/>
      <c r="U82" s="60"/>
      <c r="V82" s="60"/>
      <c r="W82" s="60"/>
      <c r="X82" s="60"/>
      <c r="Y82" s="60"/>
      <c r="Z82" s="60"/>
      <c r="AA82" s="60"/>
      <c r="AB82" s="60"/>
      <c r="AC82" s="60"/>
      <c r="AD82" s="60"/>
      <c r="AE82" s="60"/>
      <c r="AF82" s="60"/>
      <c r="AG82" s="60"/>
    </row>
    <row r="83" spans="1:33" s="43" customFormat="1" ht="15">
      <c r="A83" s="105"/>
      <c r="B83" s="108"/>
      <c r="C83" s="256"/>
      <c r="D83" s="207"/>
      <c r="E83" s="174"/>
      <c r="F83" s="174"/>
      <c r="G83" s="174"/>
      <c r="H83" s="174"/>
      <c r="I83" s="105"/>
      <c r="J83" s="105"/>
      <c r="K83" s="60"/>
      <c r="L83" s="60"/>
      <c r="M83" s="60"/>
      <c r="N83" s="60"/>
      <c r="O83" s="60"/>
      <c r="P83" s="60"/>
      <c r="Q83" s="60"/>
      <c r="R83" s="60"/>
      <c r="S83" s="60"/>
      <c r="T83" s="60"/>
      <c r="U83" s="60"/>
      <c r="V83" s="60"/>
      <c r="W83" s="60"/>
      <c r="X83" s="60"/>
      <c r="Y83" s="60"/>
      <c r="Z83" s="60"/>
      <c r="AA83" s="60"/>
      <c r="AB83" s="60"/>
      <c r="AC83" s="60"/>
      <c r="AD83" s="60"/>
      <c r="AE83" s="60"/>
      <c r="AF83" s="60"/>
      <c r="AG83" s="60"/>
    </row>
    <row r="84" spans="1:33" s="43" customFormat="1" ht="15">
      <c r="A84" s="105"/>
      <c r="B84" s="169"/>
      <c r="C84" s="1395" t="s">
        <v>234</v>
      </c>
      <c r="D84" s="1395"/>
      <c r="E84" s="1395"/>
      <c r="F84" s="1395"/>
      <c r="G84" s="193"/>
      <c r="H84" s="170">
        <f>SUM(G86:H93)</f>
        <v>49098620.950000003</v>
      </c>
      <c r="I84" s="105"/>
      <c r="J84" s="105"/>
      <c r="K84" s="60"/>
      <c r="L84" s="60"/>
      <c r="M84" s="60"/>
      <c r="N84" s="60"/>
      <c r="O84" s="60"/>
      <c r="P84" s="60"/>
      <c r="Q84" s="60"/>
      <c r="R84" s="60"/>
      <c r="S84" s="60"/>
      <c r="T84" s="60"/>
      <c r="U84" s="60"/>
      <c r="V84" s="60"/>
      <c r="W84" s="60"/>
      <c r="X84" s="60"/>
      <c r="Y84" s="60"/>
      <c r="Z84" s="60"/>
      <c r="AA84" s="60"/>
      <c r="AB84" s="60"/>
      <c r="AC84" s="60"/>
      <c r="AD84" s="60"/>
      <c r="AE84" s="60"/>
      <c r="AF84" s="60"/>
      <c r="AG84" s="60"/>
    </row>
    <row r="85" spans="1:33" s="43" customFormat="1" ht="38.25">
      <c r="A85" s="105"/>
      <c r="B85" s="1055" t="s">
        <v>79</v>
      </c>
      <c r="C85" s="211" t="s">
        <v>36</v>
      </c>
      <c r="D85" s="166" t="s">
        <v>55</v>
      </c>
      <c r="E85" s="1055" t="s">
        <v>32</v>
      </c>
      <c r="F85" s="1055" t="s">
        <v>86</v>
      </c>
      <c r="G85" s="1406" t="s">
        <v>860</v>
      </c>
      <c r="H85" s="1406"/>
      <c r="I85" s="105"/>
      <c r="J85" s="105"/>
      <c r="K85" s="60"/>
      <c r="L85" s="60"/>
      <c r="M85" s="60"/>
      <c r="N85" s="60"/>
      <c r="O85" s="60"/>
      <c r="P85" s="60"/>
      <c r="Q85" s="60"/>
      <c r="R85" s="60"/>
      <c r="S85" s="60"/>
      <c r="T85" s="60"/>
      <c r="U85" s="60"/>
      <c r="V85" s="60"/>
      <c r="W85" s="60"/>
      <c r="X85" s="60"/>
      <c r="Y85" s="60"/>
      <c r="Z85" s="60"/>
      <c r="AA85" s="60"/>
      <c r="AB85" s="60"/>
      <c r="AC85" s="60"/>
      <c r="AD85" s="60"/>
      <c r="AE85" s="60"/>
      <c r="AF85" s="60"/>
      <c r="AG85" s="60"/>
    </row>
    <row r="86" spans="1:33" s="96" customFormat="1" ht="15">
      <c r="A86" s="105"/>
      <c r="B86" s="89">
        <v>1</v>
      </c>
      <c r="C86" s="1053" t="s">
        <v>212</v>
      </c>
      <c r="D86" s="608" t="s">
        <v>1508</v>
      </c>
      <c r="E86" s="245">
        <f>B276</f>
        <v>176</v>
      </c>
      <c r="F86" s="245">
        <f>G86/E86</f>
        <v>114059.27840909091</v>
      </c>
      <c r="G86" s="1413">
        <f>H100</f>
        <v>20074433</v>
      </c>
      <c r="H86" s="1413"/>
      <c r="I86" s="105"/>
      <c r="J86" s="105"/>
      <c r="K86" s="60"/>
      <c r="L86" s="60"/>
      <c r="M86" s="60"/>
      <c r="N86" s="60"/>
      <c r="O86" s="60"/>
      <c r="P86" s="60"/>
      <c r="Q86" s="60"/>
      <c r="R86" s="60"/>
      <c r="S86" s="60"/>
      <c r="T86" s="60"/>
      <c r="U86" s="60"/>
      <c r="V86" s="60"/>
      <c r="W86" s="60"/>
      <c r="X86" s="60"/>
      <c r="Y86" s="60"/>
      <c r="Z86" s="60"/>
      <c r="AA86" s="60"/>
      <c r="AB86" s="60"/>
      <c r="AC86" s="60"/>
      <c r="AD86" s="60"/>
      <c r="AE86" s="60"/>
      <c r="AF86" s="60"/>
      <c r="AG86" s="60"/>
    </row>
    <row r="87" spans="1:33" s="96" customFormat="1" ht="15">
      <c r="A87" s="105"/>
      <c r="B87" s="619">
        <v>2</v>
      </c>
      <c r="C87" s="1064" t="s">
        <v>1833</v>
      </c>
      <c r="D87" s="608" t="s">
        <v>1508</v>
      </c>
      <c r="E87" s="620">
        <v>3</v>
      </c>
      <c r="F87" s="245">
        <f t="shared" ref="F87:F93" si="7">G87/E87</f>
        <v>260500</v>
      </c>
      <c r="G87" s="1404">
        <f>H280</f>
        <v>781500</v>
      </c>
      <c r="H87" s="1405"/>
      <c r="I87" s="105"/>
      <c r="J87" s="105"/>
      <c r="K87" s="60"/>
      <c r="L87" s="60"/>
      <c r="M87" s="60"/>
      <c r="N87" s="60"/>
      <c r="O87" s="60"/>
      <c r="P87" s="60"/>
      <c r="Q87" s="60"/>
      <c r="R87" s="60"/>
      <c r="S87" s="60"/>
      <c r="T87" s="60"/>
      <c r="U87" s="60"/>
      <c r="V87" s="60"/>
      <c r="W87" s="60"/>
      <c r="X87" s="60"/>
      <c r="Y87" s="60"/>
      <c r="Z87" s="60"/>
      <c r="AA87" s="60"/>
      <c r="AB87" s="60"/>
      <c r="AC87" s="60"/>
      <c r="AD87" s="60"/>
      <c r="AE87" s="60"/>
      <c r="AF87" s="60"/>
      <c r="AG87" s="60"/>
    </row>
    <row r="88" spans="1:33" s="96" customFormat="1" ht="15">
      <c r="A88" s="105"/>
      <c r="B88" s="89">
        <v>3</v>
      </c>
      <c r="C88" s="1064" t="s">
        <v>220</v>
      </c>
      <c r="D88" s="608" t="s">
        <v>1508</v>
      </c>
      <c r="E88" s="620">
        <f>B312</f>
        <v>25</v>
      </c>
      <c r="F88" s="245">
        <f t="shared" si="7"/>
        <v>135291.88</v>
      </c>
      <c r="G88" s="1404">
        <f>H287</f>
        <v>3382297</v>
      </c>
      <c r="H88" s="1405"/>
      <c r="I88" s="105"/>
      <c r="J88" s="105"/>
      <c r="K88" s="60"/>
      <c r="L88" s="60"/>
      <c r="M88" s="60"/>
      <c r="N88" s="60"/>
      <c r="O88" s="60"/>
      <c r="P88" s="60"/>
      <c r="Q88" s="60"/>
      <c r="R88" s="60"/>
      <c r="S88" s="60"/>
      <c r="T88" s="60"/>
      <c r="U88" s="60"/>
      <c r="V88" s="60"/>
      <c r="W88" s="60"/>
      <c r="X88" s="60"/>
      <c r="Y88" s="60"/>
      <c r="Z88" s="60"/>
      <c r="AA88" s="60"/>
      <c r="AB88" s="60"/>
      <c r="AC88" s="60"/>
      <c r="AD88" s="60"/>
      <c r="AE88" s="60"/>
      <c r="AF88" s="60"/>
      <c r="AG88" s="60"/>
    </row>
    <row r="89" spans="1:33" s="96" customFormat="1" ht="15">
      <c r="A89" s="105"/>
      <c r="B89" s="619">
        <v>4</v>
      </c>
      <c r="C89" s="1064" t="s">
        <v>213</v>
      </c>
      <c r="D89" s="608" t="s">
        <v>1508</v>
      </c>
      <c r="E89" s="620">
        <f>B333</f>
        <v>17</v>
      </c>
      <c r="F89" s="245">
        <f t="shared" si="7"/>
        <v>299344.4117647059</v>
      </c>
      <c r="G89" s="1404">
        <f>H316</f>
        <v>5088855</v>
      </c>
      <c r="H89" s="1405"/>
      <c r="I89" s="105"/>
      <c r="J89" s="105"/>
      <c r="K89" s="60"/>
      <c r="L89" s="60"/>
      <c r="M89" s="60"/>
      <c r="N89" s="60"/>
      <c r="O89" s="60"/>
      <c r="P89" s="60"/>
      <c r="Q89" s="60"/>
      <c r="R89" s="60"/>
      <c r="S89" s="60"/>
      <c r="T89" s="60"/>
      <c r="U89" s="60"/>
      <c r="V89" s="60"/>
      <c r="W89" s="60"/>
      <c r="X89" s="60"/>
      <c r="Y89" s="60"/>
      <c r="Z89" s="60"/>
      <c r="AA89" s="60"/>
      <c r="AB89" s="60"/>
      <c r="AC89" s="60"/>
      <c r="AD89" s="60"/>
      <c r="AE89" s="60"/>
      <c r="AF89" s="60"/>
      <c r="AG89" s="60"/>
    </row>
    <row r="90" spans="1:33" s="98" customFormat="1" ht="15">
      <c r="A90" s="105"/>
      <c r="B90" s="89">
        <v>5</v>
      </c>
      <c r="C90" s="1053" t="s">
        <v>88</v>
      </c>
      <c r="D90" s="608" t="s">
        <v>1508</v>
      </c>
      <c r="E90" s="245">
        <v>86</v>
      </c>
      <c r="F90" s="245">
        <f t="shared" si="7"/>
        <v>101408.56976744186</v>
      </c>
      <c r="G90" s="1413">
        <f>H366</f>
        <v>8721137</v>
      </c>
      <c r="H90" s="1413"/>
      <c r="I90" s="105"/>
      <c r="J90" s="105"/>
      <c r="K90" s="60"/>
      <c r="L90" s="60"/>
      <c r="M90" s="60"/>
      <c r="N90" s="60"/>
      <c r="O90" s="60"/>
      <c r="P90" s="60"/>
      <c r="Q90" s="60"/>
      <c r="R90" s="60"/>
      <c r="S90" s="60"/>
      <c r="T90" s="60"/>
      <c r="U90" s="60"/>
      <c r="V90" s="60"/>
      <c r="W90" s="60"/>
      <c r="X90" s="60"/>
      <c r="Y90" s="60"/>
      <c r="Z90" s="60"/>
      <c r="AA90" s="60"/>
      <c r="AB90" s="60"/>
      <c r="AC90" s="60"/>
      <c r="AD90" s="60"/>
      <c r="AE90" s="60"/>
      <c r="AF90" s="60"/>
      <c r="AG90" s="60"/>
    </row>
    <row r="91" spans="1:33" s="98" customFormat="1" ht="46.15" customHeight="1">
      <c r="A91" s="105"/>
      <c r="B91" s="619">
        <v>6</v>
      </c>
      <c r="C91" s="1064" t="s">
        <v>1830</v>
      </c>
      <c r="D91" s="608" t="s">
        <v>1508</v>
      </c>
      <c r="E91" s="620">
        <v>3</v>
      </c>
      <c r="F91" s="245">
        <f t="shared" si="7"/>
        <v>2400000</v>
      </c>
      <c r="G91" s="1404">
        <f>H337</f>
        <v>7200000</v>
      </c>
      <c r="H91" s="1405"/>
      <c r="I91" s="105"/>
      <c r="J91" s="105"/>
      <c r="K91" s="60"/>
      <c r="L91" s="60"/>
      <c r="M91" s="60"/>
      <c r="N91" s="60"/>
      <c r="O91" s="60"/>
      <c r="P91" s="60"/>
      <c r="Q91" s="60"/>
      <c r="R91" s="60"/>
      <c r="S91" s="60"/>
      <c r="T91" s="60"/>
      <c r="U91" s="60"/>
      <c r="V91" s="60"/>
      <c r="W91" s="60"/>
      <c r="X91" s="60"/>
      <c r="Y91" s="60"/>
      <c r="Z91" s="60"/>
      <c r="AA91" s="60"/>
      <c r="AB91" s="60"/>
      <c r="AC91" s="60"/>
      <c r="AD91" s="60"/>
      <c r="AE91" s="60"/>
      <c r="AF91" s="60"/>
      <c r="AG91" s="60"/>
    </row>
    <row r="92" spans="1:33" s="98" customFormat="1" ht="33.75" customHeight="1">
      <c r="A92" s="105"/>
      <c r="B92" s="89">
        <v>7</v>
      </c>
      <c r="C92" s="1064" t="s">
        <v>1864</v>
      </c>
      <c r="D92" s="608" t="s">
        <v>1508</v>
      </c>
      <c r="E92" s="620">
        <v>19</v>
      </c>
      <c r="F92" s="620">
        <f t="shared" si="7"/>
        <v>162518.42105263157</v>
      </c>
      <c r="G92" s="1404">
        <f>H344</f>
        <v>3087850</v>
      </c>
      <c r="H92" s="1405"/>
      <c r="I92" s="105"/>
      <c r="J92" s="105"/>
      <c r="K92" s="60"/>
      <c r="L92" s="60"/>
      <c r="M92" s="60"/>
      <c r="N92" s="60"/>
      <c r="O92" s="60"/>
      <c r="P92" s="60"/>
      <c r="Q92" s="60"/>
      <c r="R92" s="60"/>
      <c r="S92" s="60"/>
      <c r="T92" s="60"/>
      <c r="U92" s="60"/>
      <c r="V92" s="60"/>
      <c r="W92" s="60"/>
      <c r="X92" s="60"/>
      <c r="Y92" s="60"/>
      <c r="Z92" s="60"/>
      <c r="AA92" s="60"/>
      <c r="AB92" s="60"/>
      <c r="AC92" s="60"/>
      <c r="AD92" s="60"/>
      <c r="AE92" s="60"/>
      <c r="AF92" s="60"/>
      <c r="AG92" s="60"/>
    </row>
    <row r="93" spans="1:33" s="99" customFormat="1" ht="25.5">
      <c r="A93" s="105"/>
      <c r="B93" s="619">
        <v>8</v>
      </c>
      <c r="C93" s="212" t="s">
        <v>128</v>
      </c>
      <c r="D93" s="608" t="s">
        <v>1508</v>
      </c>
      <c r="E93" s="8">
        <v>26</v>
      </c>
      <c r="F93" s="1063">
        <f t="shared" si="7"/>
        <v>29328.805769230767</v>
      </c>
      <c r="G93" s="1403">
        <f>H456</f>
        <v>762548.95</v>
      </c>
      <c r="H93" s="1403"/>
      <c r="I93" s="105"/>
      <c r="J93" s="105"/>
      <c r="K93" s="60"/>
      <c r="L93" s="60"/>
      <c r="M93" s="60"/>
      <c r="N93" s="60"/>
      <c r="O93" s="60"/>
      <c r="P93" s="60"/>
      <c r="Q93" s="60"/>
      <c r="R93" s="60"/>
      <c r="S93" s="60"/>
      <c r="T93" s="60"/>
      <c r="U93" s="60"/>
      <c r="V93" s="60"/>
      <c r="W93" s="60"/>
      <c r="X93" s="60"/>
      <c r="Y93" s="60"/>
      <c r="Z93" s="60"/>
      <c r="AA93" s="60"/>
      <c r="AB93" s="60"/>
      <c r="AC93" s="60"/>
      <c r="AD93" s="60"/>
      <c r="AE93" s="60"/>
      <c r="AF93" s="60"/>
      <c r="AG93" s="60"/>
    </row>
    <row r="94" spans="1:33" s="43" customFormat="1" ht="15">
      <c r="A94" s="105"/>
      <c r="B94" s="1384" t="s">
        <v>1829</v>
      </c>
      <c r="C94" s="1384"/>
      <c r="D94" s="1384"/>
      <c r="E94" s="1384"/>
      <c r="F94" s="1384"/>
      <c r="G94" s="1384"/>
      <c r="H94" s="1384"/>
      <c r="I94" s="105"/>
      <c r="J94" s="105"/>
      <c r="K94" s="60"/>
      <c r="L94" s="60"/>
      <c r="M94" s="60"/>
      <c r="N94" s="60"/>
      <c r="O94" s="60"/>
      <c r="P94" s="60"/>
      <c r="Q94" s="60"/>
      <c r="R94" s="60"/>
      <c r="S94" s="60"/>
      <c r="T94" s="60"/>
      <c r="U94" s="60"/>
      <c r="V94" s="60"/>
      <c r="W94" s="60"/>
      <c r="X94" s="60"/>
      <c r="Y94" s="60"/>
      <c r="Z94" s="60"/>
      <c r="AA94" s="60"/>
      <c r="AB94" s="60"/>
      <c r="AC94" s="60"/>
      <c r="AD94" s="60"/>
      <c r="AE94" s="60"/>
      <c r="AF94" s="60"/>
      <c r="AG94" s="60"/>
    </row>
    <row r="95" spans="1:33" s="43" customFormat="1" ht="15">
      <c r="A95" s="105"/>
      <c r="B95" s="1384" t="s">
        <v>143</v>
      </c>
      <c r="C95" s="1384"/>
      <c r="D95" s="1384"/>
      <c r="E95" s="1384"/>
      <c r="F95" s="1384"/>
      <c r="G95" s="1384"/>
      <c r="H95" s="1384"/>
      <c r="I95" s="105"/>
      <c r="J95" s="105"/>
      <c r="K95" s="60"/>
      <c r="L95" s="60"/>
      <c r="M95" s="60"/>
      <c r="N95" s="60"/>
      <c r="O95" s="60"/>
      <c r="P95" s="60"/>
      <c r="Q95" s="60"/>
      <c r="R95" s="60"/>
      <c r="S95" s="60"/>
      <c r="T95" s="60"/>
      <c r="U95" s="60"/>
      <c r="V95" s="60"/>
      <c r="W95" s="60"/>
      <c r="X95" s="60"/>
      <c r="Y95" s="60"/>
      <c r="Z95" s="60"/>
      <c r="AA95" s="60"/>
      <c r="AB95" s="60"/>
      <c r="AC95" s="60"/>
      <c r="AD95" s="60"/>
      <c r="AE95" s="60"/>
      <c r="AF95" s="60"/>
      <c r="AG95" s="60"/>
    </row>
    <row r="96" spans="1:33" s="43" customFormat="1" ht="15">
      <c r="A96" s="105"/>
      <c r="B96" s="1384" t="s">
        <v>144</v>
      </c>
      <c r="C96" s="1384"/>
      <c r="D96" s="1384"/>
      <c r="E96" s="1384"/>
      <c r="F96" s="1384"/>
      <c r="G96" s="1384"/>
      <c r="H96" s="1384"/>
      <c r="I96" s="105"/>
      <c r="J96" s="105"/>
      <c r="K96" s="60"/>
      <c r="L96" s="60"/>
      <c r="M96" s="60"/>
      <c r="N96" s="60"/>
      <c r="O96" s="60"/>
      <c r="P96" s="60"/>
      <c r="Q96" s="60"/>
      <c r="R96" s="60"/>
      <c r="S96" s="60"/>
      <c r="T96" s="60"/>
      <c r="U96" s="60"/>
      <c r="V96" s="60"/>
      <c r="W96" s="60"/>
      <c r="X96" s="60"/>
      <c r="Y96" s="60"/>
      <c r="Z96" s="60"/>
      <c r="AA96" s="60"/>
      <c r="AB96" s="60"/>
      <c r="AC96" s="60"/>
      <c r="AD96" s="60"/>
      <c r="AE96" s="60"/>
      <c r="AF96" s="60"/>
      <c r="AG96" s="60"/>
    </row>
    <row r="97" spans="1:33" s="43" customFormat="1" ht="15">
      <c r="A97" s="105"/>
      <c r="B97" s="1384"/>
      <c r="C97" s="1384"/>
      <c r="D97" s="1384"/>
      <c r="E97" s="1384"/>
      <c r="F97" s="1384"/>
      <c r="G97" s="1384"/>
      <c r="H97" s="1384"/>
      <c r="I97" s="105"/>
      <c r="J97" s="105"/>
      <c r="K97" s="60"/>
      <c r="L97" s="60"/>
      <c r="M97" s="60"/>
      <c r="N97" s="60"/>
      <c r="O97" s="60"/>
      <c r="P97" s="60"/>
      <c r="Q97" s="60"/>
      <c r="R97" s="60"/>
      <c r="S97" s="60"/>
      <c r="T97" s="60"/>
      <c r="U97" s="60"/>
      <c r="V97" s="60"/>
      <c r="W97" s="60"/>
      <c r="X97" s="60"/>
      <c r="Y97" s="60"/>
      <c r="Z97" s="60"/>
      <c r="AA97" s="60"/>
      <c r="AB97" s="60"/>
      <c r="AC97" s="60"/>
      <c r="AD97" s="60"/>
      <c r="AE97" s="60"/>
      <c r="AF97" s="60"/>
      <c r="AG97" s="60"/>
    </row>
    <row r="98" spans="1:33" s="43" customFormat="1" ht="25.5">
      <c r="A98" s="105"/>
      <c r="B98" s="1055" t="s">
        <v>7</v>
      </c>
      <c r="C98" s="1055" t="s">
        <v>0</v>
      </c>
      <c r="D98" s="1055" t="s">
        <v>90</v>
      </c>
      <c r="E98" s="1055" t="s">
        <v>30</v>
      </c>
      <c r="F98" s="1055" t="s">
        <v>91</v>
      </c>
      <c r="G98" s="1055" t="s">
        <v>92</v>
      </c>
      <c r="H98" s="1055" t="s">
        <v>93</v>
      </c>
      <c r="I98" s="105"/>
      <c r="J98" s="105"/>
      <c r="K98" s="60"/>
      <c r="L98" s="60"/>
      <c r="M98" s="60"/>
      <c r="N98" s="60"/>
      <c r="O98" s="60"/>
      <c r="P98" s="60"/>
      <c r="Q98" s="60"/>
      <c r="R98" s="60"/>
      <c r="S98" s="60"/>
      <c r="T98" s="60"/>
      <c r="U98" s="60"/>
      <c r="V98" s="60"/>
      <c r="W98" s="60"/>
      <c r="X98" s="60"/>
      <c r="Y98" s="60"/>
      <c r="Z98" s="60"/>
      <c r="AA98" s="60"/>
      <c r="AB98" s="60"/>
      <c r="AC98" s="60"/>
      <c r="AD98" s="60"/>
      <c r="AE98" s="60"/>
      <c r="AF98" s="60"/>
    </row>
    <row r="99" spans="1:33" s="43" customFormat="1" ht="15">
      <c r="A99" s="105"/>
      <c r="B99" s="1055">
        <v>1</v>
      </c>
      <c r="C99" s="1055">
        <v>2</v>
      </c>
      <c r="D99" s="1055">
        <v>3</v>
      </c>
      <c r="E99" s="1055">
        <v>4</v>
      </c>
      <c r="F99" s="1055">
        <v>5</v>
      </c>
      <c r="G99" s="1055">
        <v>6</v>
      </c>
      <c r="H99" s="1055">
        <v>7</v>
      </c>
      <c r="I99" s="105"/>
      <c r="J99" s="105"/>
      <c r="K99" s="60"/>
      <c r="L99" s="60"/>
      <c r="M99" s="60"/>
      <c r="N99" s="60"/>
      <c r="O99" s="60"/>
      <c r="P99" s="60"/>
      <c r="Q99" s="60"/>
      <c r="R99" s="60"/>
      <c r="S99" s="60"/>
      <c r="T99" s="60"/>
      <c r="U99" s="60"/>
      <c r="V99" s="60"/>
      <c r="W99" s="60"/>
      <c r="X99" s="60"/>
      <c r="Y99" s="60"/>
      <c r="Z99" s="60"/>
      <c r="AA99" s="60"/>
      <c r="AB99" s="60"/>
      <c r="AC99" s="60"/>
      <c r="AD99" s="60"/>
      <c r="AE99" s="60"/>
      <c r="AF99" s="60"/>
    </row>
    <row r="100" spans="1:33" s="60" customFormat="1" ht="15">
      <c r="A100" s="105"/>
      <c r="B100" s="617"/>
      <c r="C100" s="257" t="s">
        <v>212</v>
      </c>
      <c r="D100" s="292"/>
      <c r="E100" s="292"/>
      <c r="F100" s="292"/>
      <c r="G100" s="617"/>
      <c r="H100" s="618">
        <f>SUM(H101:H276)</f>
        <v>20074433</v>
      </c>
      <c r="I100" s="105"/>
      <c r="J100" s="105"/>
    </row>
    <row r="101" spans="1:33" s="96" customFormat="1" ht="38.25">
      <c r="A101" s="105"/>
      <c r="B101" s="125">
        <v>1</v>
      </c>
      <c r="C101" s="607" t="s">
        <v>1503</v>
      </c>
      <c r="D101" s="1064" t="s">
        <v>1504</v>
      </c>
      <c r="E101" s="608" t="s">
        <v>295</v>
      </c>
      <c r="F101" s="646">
        <v>3</v>
      </c>
      <c r="G101" s="646">
        <v>4650</v>
      </c>
      <c r="H101" s="652">
        <f t="shared" ref="H101:H163" si="8">F101*G101</f>
        <v>13950</v>
      </c>
      <c r="I101" s="36"/>
      <c r="J101" s="1069"/>
      <c r="K101" s="60"/>
      <c r="L101" s="60"/>
      <c r="M101" s="60"/>
      <c r="N101" s="60"/>
      <c r="O101" s="60"/>
      <c r="P101" s="60"/>
      <c r="Q101" s="60"/>
      <c r="R101" s="60"/>
      <c r="S101" s="60"/>
      <c r="T101" s="60"/>
      <c r="U101" s="60"/>
      <c r="V101" s="60"/>
      <c r="W101" s="60"/>
      <c r="X101" s="60"/>
      <c r="Y101" s="60"/>
      <c r="Z101" s="60"/>
      <c r="AA101" s="60"/>
      <c r="AB101" s="60"/>
      <c r="AC101" s="60"/>
      <c r="AD101" s="60"/>
      <c r="AE101" s="60"/>
      <c r="AF101" s="60"/>
    </row>
    <row r="102" spans="1:33" s="96" customFormat="1" ht="38.25">
      <c r="A102" s="105"/>
      <c r="B102" s="125">
        <f>B101+1</f>
        <v>2</v>
      </c>
      <c r="C102" s="609" t="s">
        <v>1505</v>
      </c>
      <c r="D102" s="1082" t="s">
        <v>1506</v>
      </c>
      <c r="E102" s="608" t="s">
        <v>1508</v>
      </c>
      <c r="F102" s="646">
        <v>20</v>
      </c>
      <c r="G102" s="647">
        <v>300</v>
      </c>
      <c r="H102" s="652">
        <f t="shared" si="8"/>
        <v>6000</v>
      </c>
      <c r="I102" s="202"/>
      <c r="J102" s="1069"/>
      <c r="K102" s="60"/>
      <c r="L102" s="60"/>
      <c r="M102" s="60"/>
      <c r="N102" s="60"/>
      <c r="O102" s="60"/>
      <c r="P102" s="60"/>
      <c r="Q102" s="60"/>
      <c r="R102" s="60"/>
      <c r="S102" s="60"/>
      <c r="T102" s="60"/>
      <c r="U102" s="60"/>
      <c r="V102" s="60"/>
      <c r="W102" s="60"/>
      <c r="X102" s="60"/>
      <c r="Y102" s="60"/>
      <c r="Z102" s="60"/>
      <c r="AA102" s="60"/>
      <c r="AB102" s="60"/>
      <c r="AC102" s="60"/>
      <c r="AD102" s="60"/>
      <c r="AE102" s="60"/>
      <c r="AF102" s="60"/>
    </row>
    <row r="103" spans="1:33" s="96" customFormat="1" ht="63.75">
      <c r="A103" s="105"/>
      <c r="B103" s="125">
        <f t="shared" ref="B103:B166" si="9">B102+1</f>
        <v>3</v>
      </c>
      <c r="C103" s="609" t="s">
        <v>613</v>
      </c>
      <c r="D103" s="609" t="s">
        <v>1507</v>
      </c>
      <c r="E103" s="608" t="s">
        <v>1508</v>
      </c>
      <c r="F103" s="646">
        <v>25</v>
      </c>
      <c r="G103" s="647">
        <v>1339</v>
      </c>
      <c r="H103" s="652">
        <f t="shared" si="8"/>
        <v>33475</v>
      </c>
      <c r="I103" s="202"/>
      <c r="J103" s="1069"/>
      <c r="K103" s="60"/>
      <c r="L103" s="60"/>
      <c r="M103" s="60"/>
      <c r="N103" s="60"/>
      <c r="O103" s="60"/>
      <c r="P103" s="60"/>
      <c r="Q103" s="60"/>
      <c r="R103" s="60"/>
      <c r="S103" s="60"/>
      <c r="T103" s="60"/>
      <c r="U103" s="60"/>
      <c r="V103" s="60"/>
      <c r="W103" s="60"/>
      <c r="X103" s="60"/>
      <c r="Y103" s="60"/>
      <c r="Z103" s="60"/>
      <c r="AA103" s="60"/>
      <c r="AB103" s="60"/>
      <c r="AC103" s="60"/>
      <c r="AD103" s="60"/>
      <c r="AE103" s="60"/>
      <c r="AF103" s="60"/>
    </row>
    <row r="104" spans="1:33" s="96" customFormat="1" ht="25.5">
      <c r="A104" s="105"/>
      <c r="B104" s="125">
        <f t="shared" si="9"/>
        <v>4</v>
      </c>
      <c r="C104" s="609" t="s">
        <v>614</v>
      </c>
      <c r="D104" s="1082" t="s">
        <v>1509</v>
      </c>
      <c r="E104" s="608" t="s">
        <v>1508</v>
      </c>
      <c r="F104" s="646">
        <v>10</v>
      </c>
      <c r="G104" s="647">
        <v>2900</v>
      </c>
      <c r="H104" s="652">
        <f t="shared" si="8"/>
        <v>29000</v>
      </c>
      <c r="I104" s="202"/>
      <c r="J104" s="1069"/>
      <c r="K104" s="60"/>
      <c r="L104" s="60"/>
      <c r="M104" s="60"/>
      <c r="N104" s="60"/>
      <c r="O104" s="60"/>
      <c r="P104" s="60"/>
      <c r="Q104" s="60"/>
      <c r="R104" s="60"/>
      <c r="S104" s="60"/>
      <c r="T104" s="60"/>
      <c r="U104" s="60"/>
      <c r="V104" s="60"/>
      <c r="W104" s="60"/>
      <c r="X104" s="60"/>
      <c r="Y104" s="60"/>
      <c r="Z104" s="60"/>
      <c r="AA104" s="60"/>
      <c r="AB104" s="60"/>
      <c r="AC104" s="60"/>
      <c r="AD104" s="60"/>
      <c r="AE104" s="60"/>
      <c r="AF104" s="60"/>
    </row>
    <row r="105" spans="1:33" s="96" customFormat="1" ht="89.25">
      <c r="A105" s="105"/>
      <c r="B105" s="125">
        <f t="shared" si="9"/>
        <v>5</v>
      </c>
      <c r="C105" s="609" t="s">
        <v>615</v>
      </c>
      <c r="D105" s="609" t="s">
        <v>1510</v>
      </c>
      <c r="E105" s="608" t="s">
        <v>1508</v>
      </c>
      <c r="F105" s="646">
        <v>15</v>
      </c>
      <c r="G105" s="647">
        <v>2980</v>
      </c>
      <c r="H105" s="652">
        <f t="shared" si="8"/>
        <v>44700</v>
      </c>
      <c r="I105" s="202"/>
      <c r="J105" s="1069"/>
      <c r="K105" s="60"/>
      <c r="L105" s="60"/>
      <c r="M105" s="60"/>
      <c r="N105" s="60"/>
      <c r="O105" s="60"/>
      <c r="P105" s="60"/>
      <c r="Q105" s="60"/>
      <c r="R105" s="60"/>
      <c r="S105" s="60"/>
      <c r="T105" s="60"/>
      <c r="U105" s="60"/>
      <c r="V105" s="60"/>
      <c r="W105" s="60"/>
      <c r="X105" s="60"/>
      <c r="Y105" s="60"/>
      <c r="Z105" s="60"/>
      <c r="AA105" s="60"/>
      <c r="AB105" s="60"/>
      <c r="AC105" s="60"/>
      <c r="AD105" s="60"/>
      <c r="AE105" s="60"/>
      <c r="AF105" s="60"/>
    </row>
    <row r="106" spans="1:33" s="96" customFormat="1" ht="25.5">
      <c r="A106" s="105"/>
      <c r="B106" s="125">
        <f t="shared" si="9"/>
        <v>6</v>
      </c>
      <c r="C106" s="609" t="s">
        <v>1511</v>
      </c>
      <c r="D106" s="609" t="s">
        <v>616</v>
      </c>
      <c r="E106" s="608" t="s">
        <v>1508</v>
      </c>
      <c r="F106" s="646">
        <v>15</v>
      </c>
      <c r="G106" s="647">
        <v>2450</v>
      </c>
      <c r="H106" s="652">
        <f t="shared" si="8"/>
        <v>36750</v>
      </c>
      <c r="I106" s="1065"/>
      <c r="J106" s="1069"/>
      <c r="K106" s="60"/>
      <c r="L106" s="60"/>
      <c r="M106" s="60"/>
      <c r="N106" s="60"/>
      <c r="O106" s="60"/>
      <c r="P106" s="60"/>
      <c r="Q106" s="60"/>
      <c r="R106" s="60"/>
      <c r="S106" s="60"/>
      <c r="T106" s="60"/>
      <c r="U106" s="60"/>
      <c r="V106" s="60"/>
      <c r="W106" s="60"/>
      <c r="X106" s="60"/>
      <c r="Y106" s="60"/>
      <c r="Z106" s="60"/>
      <c r="AA106" s="60"/>
      <c r="AB106" s="60"/>
      <c r="AC106" s="60"/>
      <c r="AD106" s="60"/>
      <c r="AE106" s="60"/>
      <c r="AF106" s="60"/>
    </row>
    <row r="107" spans="1:33" s="96" customFormat="1" ht="25.5">
      <c r="A107" s="105"/>
      <c r="B107" s="125">
        <f t="shared" si="9"/>
        <v>7</v>
      </c>
      <c r="C107" s="609" t="s">
        <v>617</v>
      </c>
      <c r="D107" s="609" t="s">
        <v>1512</v>
      </c>
      <c r="E107" s="608" t="s">
        <v>1508</v>
      </c>
      <c r="F107" s="646">
        <v>10</v>
      </c>
      <c r="G107" s="647">
        <v>2850</v>
      </c>
      <c r="H107" s="652">
        <f t="shared" si="8"/>
        <v>28500</v>
      </c>
      <c r="I107" s="1065"/>
      <c r="J107" s="1069"/>
      <c r="K107" s="60"/>
      <c r="L107" s="60"/>
      <c r="M107" s="60"/>
      <c r="N107" s="60"/>
      <c r="O107" s="60"/>
      <c r="P107" s="60"/>
      <c r="Q107" s="60"/>
      <c r="R107" s="60"/>
      <c r="S107" s="60"/>
      <c r="T107" s="60"/>
      <c r="U107" s="60"/>
      <c r="V107" s="60"/>
      <c r="W107" s="60"/>
      <c r="X107" s="60"/>
      <c r="Y107" s="60"/>
      <c r="Z107" s="60"/>
      <c r="AA107" s="60"/>
      <c r="AB107" s="60"/>
      <c r="AC107" s="60"/>
      <c r="AD107" s="60"/>
      <c r="AE107" s="60"/>
      <c r="AF107" s="60"/>
    </row>
    <row r="108" spans="1:33" s="96" customFormat="1" ht="19.5" customHeight="1">
      <c r="A108" s="105"/>
      <c r="B108" s="125">
        <f t="shared" si="9"/>
        <v>8</v>
      </c>
      <c r="C108" s="609" t="s">
        <v>618</v>
      </c>
      <c r="D108" s="609" t="s">
        <v>618</v>
      </c>
      <c r="E108" s="608" t="s">
        <v>1508</v>
      </c>
      <c r="F108" s="646">
        <v>30</v>
      </c>
      <c r="G108" s="647">
        <v>283</v>
      </c>
      <c r="H108" s="652">
        <f t="shared" si="8"/>
        <v>8490</v>
      </c>
      <c r="I108" s="1065"/>
      <c r="J108" s="1069"/>
      <c r="K108" s="60"/>
      <c r="L108" s="60"/>
      <c r="M108" s="60"/>
      <c r="N108" s="60"/>
      <c r="O108" s="60"/>
      <c r="P108" s="60"/>
      <c r="Q108" s="60"/>
      <c r="R108" s="60"/>
      <c r="S108" s="60"/>
      <c r="T108" s="60"/>
      <c r="U108" s="60"/>
      <c r="V108" s="60"/>
      <c r="W108" s="60"/>
      <c r="X108" s="60"/>
      <c r="Y108" s="60"/>
      <c r="Z108" s="60"/>
      <c r="AA108" s="60"/>
      <c r="AB108" s="60"/>
      <c r="AC108" s="60"/>
      <c r="AD108" s="60"/>
      <c r="AE108" s="60"/>
      <c r="AF108" s="60"/>
    </row>
    <row r="109" spans="1:33" s="96" customFormat="1" ht="19.5" customHeight="1">
      <c r="A109" s="105"/>
      <c r="B109" s="125">
        <f t="shared" si="9"/>
        <v>9</v>
      </c>
      <c r="C109" s="609" t="s">
        <v>619</v>
      </c>
      <c r="D109" s="609" t="s">
        <v>619</v>
      </c>
      <c r="E109" s="608" t="s">
        <v>1508</v>
      </c>
      <c r="F109" s="646">
        <v>8</v>
      </c>
      <c r="G109" s="647">
        <v>650</v>
      </c>
      <c r="H109" s="652">
        <f t="shared" si="8"/>
        <v>5200</v>
      </c>
      <c r="I109" s="1065"/>
      <c r="J109" s="1069"/>
      <c r="K109" s="60"/>
      <c r="L109" s="60"/>
      <c r="M109" s="60"/>
      <c r="N109" s="60"/>
      <c r="O109" s="60"/>
      <c r="P109" s="60"/>
      <c r="Q109" s="60"/>
      <c r="R109" s="60"/>
      <c r="S109" s="60"/>
      <c r="T109" s="60"/>
      <c r="U109" s="60"/>
      <c r="V109" s="60"/>
      <c r="W109" s="60"/>
      <c r="X109" s="60"/>
      <c r="Y109" s="60"/>
      <c r="Z109" s="60"/>
      <c r="AA109" s="60"/>
      <c r="AB109" s="60"/>
      <c r="AC109" s="60"/>
      <c r="AD109" s="60"/>
      <c r="AE109" s="60"/>
      <c r="AF109" s="60"/>
    </row>
    <row r="110" spans="1:33" s="96" customFormat="1" ht="25.5">
      <c r="A110" s="105"/>
      <c r="B110" s="125">
        <f t="shared" si="9"/>
        <v>10</v>
      </c>
      <c r="C110" s="609" t="s">
        <v>620</v>
      </c>
      <c r="D110" s="609" t="s">
        <v>620</v>
      </c>
      <c r="E110" s="608" t="s">
        <v>295</v>
      </c>
      <c r="F110" s="646">
        <v>3</v>
      </c>
      <c r="G110" s="647">
        <v>2350</v>
      </c>
      <c r="H110" s="652">
        <f t="shared" si="8"/>
        <v>7050</v>
      </c>
      <c r="I110" s="1065"/>
      <c r="J110" s="1069"/>
      <c r="K110" s="60"/>
      <c r="L110" s="60"/>
      <c r="M110" s="60"/>
      <c r="N110" s="60"/>
      <c r="O110" s="60"/>
      <c r="P110" s="60"/>
      <c r="Q110" s="60"/>
      <c r="R110" s="60"/>
      <c r="S110" s="60"/>
      <c r="T110" s="60"/>
      <c r="U110" s="60"/>
      <c r="V110" s="60"/>
      <c r="W110" s="60"/>
      <c r="X110" s="60"/>
      <c r="Y110" s="60"/>
      <c r="Z110" s="60"/>
      <c r="AA110" s="60"/>
      <c r="AB110" s="60"/>
      <c r="AC110" s="60"/>
      <c r="AD110" s="60"/>
      <c r="AE110" s="60"/>
      <c r="AF110" s="60"/>
    </row>
    <row r="111" spans="1:33" s="96" customFormat="1" ht="25.5">
      <c r="A111" s="105"/>
      <c r="B111" s="125">
        <f t="shared" si="9"/>
        <v>11</v>
      </c>
      <c r="C111" s="609" t="s">
        <v>621</v>
      </c>
      <c r="D111" s="609" t="s">
        <v>621</v>
      </c>
      <c r="E111" s="608" t="s">
        <v>295</v>
      </c>
      <c r="F111" s="646">
        <v>8</v>
      </c>
      <c r="G111" s="647">
        <v>1100</v>
      </c>
      <c r="H111" s="652">
        <f t="shared" si="8"/>
        <v>8800</v>
      </c>
      <c r="I111" s="1065"/>
      <c r="J111" s="1069"/>
      <c r="K111" s="60"/>
      <c r="L111" s="60"/>
      <c r="M111" s="60"/>
      <c r="N111" s="60"/>
      <c r="O111" s="60"/>
      <c r="P111" s="60"/>
      <c r="Q111" s="60"/>
      <c r="R111" s="60"/>
      <c r="S111" s="60"/>
      <c r="T111" s="60"/>
      <c r="U111" s="60"/>
      <c r="V111" s="60"/>
      <c r="W111" s="60"/>
      <c r="X111" s="60"/>
      <c r="Y111" s="60"/>
      <c r="Z111" s="60"/>
      <c r="AA111" s="60"/>
      <c r="AB111" s="60"/>
      <c r="AC111" s="60"/>
      <c r="AD111" s="60"/>
      <c r="AE111" s="60"/>
      <c r="AF111" s="60"/>
    </row>
    <row r="112" spans="1:33" s="96" customFormat="1" ht="81" customHeight="1">
      <c r="A112" s="105"/>
      <c r="B112" s="125">
        <f t="shared" si="9"/>
        <v>12</v>
      </c>
      <c r="C112" s="609" t="s">
        <v>622</v>
      </c>
      <c r="D112" s="609" t="s">
        <v>1513</v>
      </c>
      <c r="E112" s="608" t="s">
        <v>1508</v>
      </c>
      <c r="F112" s="646">
        <v>2</v>
      </c>
      <c r="G112" s="647">
        <v>2570</v>
      </c>
      <c r="H112" s="652">
        <f t="shared" si="8"/>
        <v>5140</v>
      </c>
      <c r="I112" s="202"/>
      <c r="J112" s="1069"/>
      <c r="K112" s="60"/>
      <c r="L112" s="60"/>
      <c r="M112" s="60"/>
      <c r="N112" s="60"/>
      <c r="O112" s="60"/>
      <c r="P112" s="60"/>
      <c r="Q112" s="60"/>
      <c r="R112" s="60"/>
      <c r="S112" s="60"/>
      <c r="T112" s="60"/>
      <c r="U112" s="60"/>
      <c r="V112" s="60"/>
      <c r="W112" s="60"/>
      <c r="X112" s="60"/>
      <c r="Y112" s="60"/>
      <c r="Z112" s="60"/>
      <c r="AA112" s="60"/>
      <c r="AB112" s="60"/>
      <c r="AC112" s="60"/>
      <c r="AD112" s="60"/>
      <c r="AE112" s="60"/>
      <c r="AF112" s="60"/>
    </row>
    <row r="113" spans="1:32" s="96" customFormat="1" ht="93" customHeight="1">
      <c r="A113" s="105"/>
      <c r="B113" s="125">
        <f t="shared" si="9"/>
        <v>13</v>
      </c>
      <c r="C113" s="609" t="s">
        <v>623</v>
      </c>
      <c r="D113" s="609" t="s">
        <v>1514</v>
      </c>
      <c r="E113" s="608" t="s">
        <v>1508</v>
      </c>
      <c r="F113" s="646">
        <v>25</v>
      </c>
      <c r="G113" s="647">
        <v>7250</v>
      </c>
      <c r="H113" s="652">
        <f t="shared" si="8"/>
        <v>181250</v>
      </c>
      <c r="I113" s="202"/>
      <c r="J113" s="1069"/>
      <c r="K113" s="60"/>
      <c r="L113" s="60"/>
      <c r="M113" s="60"/>
      <c r="N113" s="60"/>
      <c r="O113" s="60"/>
      <c r="P113" s="60"/>
      <c r="Q113" s="60"/>
      <c r="R113" s="60"/>
      <c r="S113" s="60"/>
      <c r="T113" s="60"/>
      <c r="U113" s="60"/>
      <c r="V113" s="60"/>
      <c r="W113" s="60"/>
      <c r="X113" s="60"/>
      <c r="Y113" s="60"/>
      <c r="Z113" s="60"/>
      <c r="AA113" s="60"/>
      <c r="AB113" s="60"/>
      <c r="AC113" s="60"/>
      <c r="AD113" s="60"/>
      <c r="AE113" s="60"/>
      <c r="AF113" s="60"/>
    </row>
    <row r="114" spans="1:32" s="96" customFormat="1" ht="91.5" customHeight="1">
      <c r="A114" s="105"/>
      <c r="B114" s="125">
        <f t="shared" si="9"/>
        <v>14</v>
      </c>
      <c r="C114" s="609" t="s">
        <v>2429</v>
      </c>
      <c r="D114" s="609" t="s">
        <v>653</v>
      </c>
      <c r="E114" s="608" t="s">
        <v>1508</v>
      </c>
      <c r="F114" s="646">
        <v>1</v>
      </c>
      <c r="G114" s="647">
        <v>3520</v>
      </c>
      <c r="H114" s="652">
        <f t="shared" si="8"/>
        <v>3520</v>
      </c>
      <c r="I114" s="202"/>
      <c r="J114" s="1069"/>
      <c r="K114" s="60"/>
      <c r="L114" s="60"/>
      <c r="M114" s="60"/>
      <c r="N114" s="60"/>
      <c r="O114" s="60"/>
      <c r="P114" s="60"/>
      <c r="Q114" s="60"/>
      <c r="R114" s="60"/>
      <c r="S114" s="60"/>
      <c r="T114" s="60"/>
      <c r="U114" s="60"/>
      <c r="V114" s="60"/>
      <c r="W114" s="60"/>
      <c r="X114" s="60"/>
      <c r="Y114" s="60"/>
      <c r="Z114" s="60"/>
      <c r="AA114" s="60"/>
      <c r="AB114" s="60"/>
      <c r="AC114" s="60"/>
      <c r="AD114" s="60"/>
      <c r="AE114" s="60"/>
      <c r="AF114" s="60"/>
    </row>
    <row r="115" spans="1:32" s="96" customFormat="1" ht="51">
      <c r="A115" s="105"/>
      <c r="B115" s="125">
        <f t="shared" si="9"/>
        <v>15</v>
      </c>
      <c r="C115" s="609" t="s">
        <v>625</v>
      </c>
      <c r="D115" s="609" t="s">
        <v>654</v>
      </c>
      <c r="E115" s="608" t="s">
        <v>1508</v>
      </c>
      <c r="F115" s="646">
        <v>10</v>
      </c>
      <c r="G115" s="647">
        <v>6550</v>
      </c>
      <c r="H115" s="652">
        <f t="shared" si="8"/>
        <v>65500</v>
      </c>
      <c r="I115" s="202"/>
      <c r="J115" s="1069"/>
      <c r="K115" s="60"/>
      <c r="L115" s="60"/>
      <c r="M115" s="60"/>
      <c r="N115" s="60"/>
      <c r="O115" s="60"/>
      <c r="P115" s="60"/>
      <c r="Q115" s="60"/>
      <c r="R115" s="60"/>
      <c r="S115" s="60"/>
      <c r="T115" s="60"/>
      <c r="U115" s="60"/>
      <c r="V115" s="60"/>
      <c r="W115" s="60"/>
      <c r="X115" s="60"/>
      <c r="Y115" s="60"/>
      <c r="Z115" s="60"/>
      <c r="AA115" s="60"/>
      <c r="AB115" s="60"/>
      <c r="AC115" s="60"/>
      <c r="AD115" s="60"/>
      <c r="AE115" s="60"/>
      <c r="AF115" s="60"/>
    </row>
    <row r="116" spans="1:32" s="96" customFormat="1" ht="63.75">
      <c r="A116" s="105"/>
      <c r="B116" s="125">
        <f t="shared" si="9"/>
        <v>16</v>
      </c>
      <c r="C116" s="609" t="s">
        <v>695</v>
      </c>
      <c r="D116" s="609" t="s">
        <v>800</v>
      </c>
      <c r="E116" s="608" t="s">
        <v>1508</v>
      </c>
      <c r="F116" s="646">
        <v>30</v>
      </c>
      <c r="G116" s="647">
        <v>1880</v>
      </c>
      <c r="H116" s="652">
        <f t="shared" si="8"/>
        <v>56400</v>
      </c>
      <c r="I116" s="202"/>
      <c r="J116" s="1069"/>
      <c r="K116" s="60"/>
      <c r="L116" s="60"/>
      <c r="M116" s="60"/>
      <c r="N116" s="60"/>
      <c r="O116" s="60"/>
      <c r="P116" s="60"/>
      <c r="Q116" s="60"/>
      <c r="R116" s="60"/>
      <c r="S116" s="60"/>
      <c r="T116" s="60"/>
      <c r="U116" s="60"/>
      <c r="V116" s="60"/>
      <c r="W116" s="60"/>
      <c r="X116" s="60"/>
      <c r="Y116" s="60"/>
      <c r="Z116" s="60"/>
      <c r="AA116" s="60"/>
      <c r="AB116" s="60"/>
      <c r="AC116" s="60"/>
      <c r="AD116" s="60"/>
      <c r="AE116" s="60"/>
      <c r="AF116" s="60"/>
    </row>
    <row r="117" spans="1:32" s="96" customFormat="1" ht="38.25">
      <c r="A117" s="105"/>
      <c r="B117" s="125">
        <f t="shared" si="9"/>
        <v>17</v>
      </c>
      <c r="C117" s="609" t="s">
        <v>1799</v>
      </c>
      <c r="D117" s="609" t="s">
        <v>1515</v>
      </c>
      <c r="E117" s="608" t="s">
        <v>1508</v>
      </c>
      <c r="F117" s="646">
        <v>15</v>
      </c>
      <c r="G117" s="647">
        <v>6000</v>
      </c>
      <c r="H117" s="652">
        <f t="shared" si="8"/>
        <v>90000</v>
      </c>
      <c r="I117" s="202"/>
      <c r="J117" s="1069"/>
      <c r="K117" s="60"/>
      <c r="L117" s="60"/>
      <c r="M117" s="60"/>
      <c r="N117" s="60"/>
      <c r="O117" s="60"/>
      <c r="P117" s="60"/>
      <c r="Q117" s="60"/>
      <c r="R117" s="60"/>
      <c r="S117" s="60"/>
      <c r="T117" s="60"/>
      <c r="U117" s="60"/>
      <c r="V117" s="60"/>
      <c r="W117" s="60"/>
      <c r="X117" s="60"/>
      <c r="Y117" s="60"/>
      <c r="Z117" s="60"/>
      <c r="AA117" s="60"/>
      <c r="AB117" s="60"/>
      <c r="AC117" s="60"/>
      <c r="AD117" s="60"/>
      <c r="AE117" s="60"/>
      <c r="AF117" s="60"/>
    </row>
    <row r="118" spans="1:32" s="96" customFormat="1" ht="89.25" customHeight="1">
      <c r="A118" s="105"/>
      <c r="B118" s="125">
        <f t="shared" si="9"/>
        <v>18</v>
      </c>
      <c r="C118" s="610" t="s">
        <v>1516</v>
      </c>
      <c r="D118" s="1083" t="s">
        <v>1517</v>
      </c>
      <c r="E118" s="608" t="s">
        <v>1508</v>
      </c>
      <c r="F118" s="646">
        <v>20</v>
      </c>
      <c r="G118" s="647">
        <v>850</v>
      </c>
      <c r="H118" s="653">
        <f t="shared" si="8"/>
        <v>17000</v>
      </c>
      <c r="I118" s="202"/>
      <c r="J118" s="1069"/>
      <c r="K118" s="60"/>
      <c r="L118" s="60"/>
      <c r="M118" s="60"/>
      <c r="N118" s="60"/>
      <c r="O118" s="60"/>
      <c r="P118" s="60"/>
      <c r="Q118" s="60"/>
      <c r="R118" s="60"/>
      <c r="S118" s="60"/>
      <c r="T118" s="60"/>
      <c r="U118" s="60"/>
      <c r="V118" s="60"/>
      <c r="W118" s="60"/>
      <c r="X118" s="60"/>
      <c r="Y118" s="60"/>
      <c r="Z118" s="60"/>
      <c r="AA118" s="60"/>
      <c r="AB118" s="60"/>
      <c r="AC118" s="60"/>
      <c r="AD118" s="60"/>
      <c r="AE118" s="60"/>
      <c r="AF118" s="60"/>
    </row>
    <row r="119" spans="1:32" s="96" customFormat="1" ht="38.25">
      <c r="A119" s="105"/>
      <c r="B119" s="125">
        <f t="shared" si="9"/>
        <v>19</v>
      </c>
      <c r="C119" s="610" t="s">
        <v>1516</v>
      </c>
      <c r="D119" s="1082" t="s">
        <v>1518</v>
      </c>
      <c r="E119" s="608" t="s">
        <v>1508</v>
      </c>
      <c r="F119" s="646">
        <v>15</v>
      </c>
      <c r="G119" s="647">
        <v>620</v>
      </c>
      <c r="H119" s="653">
        <f t="shared" si="8"/>
        <v>9300</v>
      </c>
      <c r="I119" s="202"/>
      <c r="J119" s="1069"/>
      <c r="K119" s="60"/>
      <c r="L119" s="60"/>
      <c r="M119" s="60"/>
      <c r="N119" s="60"/>
      <c r="O119" s="60"/>
      <c r="P119" s="60"/>
      <c r="Q119" s="60"/>
      <c r="R119" s="60"/>
      <c r="S119" s="60"/>
      <c r="T119" s="60"/>
      <c r="U119" s="60"/>
      <c r="V119" s="60"/>
      <c r="W119" s="60"/>
      <c r="X119" s="60"/>
      <c r="Y119" s="60"/>
      <c r="Z119" s="60"/>
      <c r="AA119" s="60"/>
      <c r="AB119" s="60"/>
      <c r="AC119" s="60"/>
      <c r="AD119" s="60"/>
      <c r="AE119" s="60"/>
      <c r="AF119" s="60"/>
    </row>
    <row r="120" spans="1:32" s="96" customFormat="1" ht="51">
      <c r="A120" s="105"/>
      <c r="B120" s="125">
        <f t="shared" si="9"/>
        <v>20</v>
      </c>
      <c r="C120" s="609" t="s">
        <v>305</v>
      </c>
      <c r="D120" s="609" t="s">
        <v>655</v>
      </c>
      <c r="E120" s="608" t="s">
        <v>1508</v>
      </c>
      <c r="F120" s="646">
        <v>2</v>
      </c>
      <c r="G120" s="647">
        <v>2650</v>
      </c>
      <c r="H120" s="653">
        <f t="shared" si="8"/>
        <v>5300</v>
      </c>
      <c r="I120" s="202"/>
      <c r="J120" s="1069"/>
      <c r="K120" s="60"/>
      <c r="L120" s="60"/>
      <c r="M120" s="60"/>
      <c r="N120" s="60"/>
      <c r="O120" s="60"/>
      <c r="P120" s="60"/>
      <c r="Q120" s="60"/>
      <c r="R120" s="60"/>
      <c r="S120" s="60"/>
      <c r="T120" s="60"/>
      <c r="U120" s="60"/>
      <c r="V120" s="60"/>
      <c r="W120" s="60"/>
      <c r="X120" s="60"/>
      <c r="Y120" s="60"/>
      <c r="Z120" s="60"/>
      <c r="AA120" s="60"/>
      <c r="AB120" s="60"/>
      <c r="AC120" s="60"/>
      <c r="AD120" s="60"/>
      <c r="AE120" s="60"/>
      <c r="AF120" s="60"/>
    </row>
    <row r="121" spans="1:32" s="96" customFormat="1" ht="63.75">
      <c r="A121" s="105"/>
      <c r="B121" s="125">
        <f t="shared" si="9"/>
        <v>21</v>
      </c>
      <c r="C121" s="609" t="s">
        <v>306</v>
      </c>
      <c r="D121" s="609" t="s">
        <v>1519</v>
      </c>
      <c r="E121" s="611" t="s">
        <v>694</v>
      </c>
      <c r="F121" s="646">
        <v>1800</v>
      </c>
      <c r="G121" s="647">
        <v>255</v>
      </c>
      <c r="H121" s="652">
        <f t="shared" si="8"/>
        <v>459000</v>
      </c>
      <c r="I121" s="202"/>
      <c r="J121" s="1069"/>
      <c r="K121" s="60"/>
      <c r="L121" s="60"/>
      <c r="M121" s="60"/>
      <c r="N121" s="60"/>
      <c r="O121" s="60"/>
      <c r="P121" s="60"/>
      <c r="Q121" s="60"/>
      <c r="R121" s="60"/>
      <c r="S121" s="60"/>
      <c r="T121" s="60"/>
      <c r="U121" s="60"/>
      <c r="V121" s="60"/>
      <c r="W121" s="60"/>
      <c r="X121" s="60"/>
      <c r="Y121" s="60"/>
      <c r="Z121" s="60"/>
      <c r="AA121" s="60"/>
      <c r="AB121" s="60"/>
      <c r="AC121" s="60"/>
      <c r="AD121" s="60"/>
      <c r="AE121" s="60"/>
      <c r="AF121" s="60"/>
    </row>
    <row r="122" spans="1:32" s="96" customFormat="1" ht="51">
      <c r="A122" s="105"/>
      <c r="B122" s="125">
        <f t="shared" si="9"/>
        <v>22</v>
      </c>
      <c r="C122" s="609" t="s">
        <v>307</v>
      </c>
      <c r="D122" s="609" t="s">
        <v>1520</v>
      </c>
      <c r="E122" s="611" t="s">
        <v>694</v>
      </c>
      <c r="F122" s="646">
        <v>1200</v>
      </c>
      <c r="G122" s="647">
        <v>465</v>
      </c>
      <c r="H122" s="652">
        <f t="shared" si="8"/>
        <v>558000</v>
      </c>
      <c r="I122" s="202"/>
      <c r="J122" s="1069"/>
      <c r="K122" s="60"/>
      <c r="L122" s="60"/>
      <c r="M122" s="60"/>
      <c r="N122" s="60"/>
      <c r="O122" s="60"/>
      <c r="P122" s="60"/>
      <c r="Q122" s="60"/>
      <c r="R122" s="60"/>
      <c r="S122" s="60"/>
      <c r="T122" s="60"/>
      <c r="U122" s="60"/>
      <c r="V122" s="60"/>
      <c r="W122" s="60"/>
      <c r="X122" s="60"/>
      <c r="Y122" s="60"/>
      <c r="Z122" s="60"/>
      <c r="AA122" s="60"/>
      <c r="AB122" s="60"/>
      <c r="AC122" s="60"/>
      <c r="AD122" s="60"/>
      <c r="AE122" s="60"/>
      <c r="AF122" s="60"/>
    </row>
    <row r="123" spans="1:32" s="96" customFormat="1" ht="51">
      <c r="A123" s="105"/>
      <c r="B123" s="125">
        <f t="shared" si="9"/>
        <v>23</v>
      </c>
      <c r="C123" s="609" t="s">
        <v>308</v>
      </c>
      <c r="D123" s="609" t="s">
        <v>1521</v>
      </c>
      <c r="E123" s="611" t="s">
        <v>694</v>
      </c>
      <c r="F123" s="646">
        <v>500</v>
      </c>
      <c r="G123" s="647">
        <v>880</v>
      </c>
      <c r="H123" s="652">
        <f t="shared" si="8"/>
        <v>440000</v>
      </c>
      <c r="I123" s="202"/>
      <c r="J123" s="1069"/>
      <c r="K123" s="60"/>
      <c r="L123" s="60"/>
      <c r="M123" s="60"/>
      <c r="N123" s="60"/>
      <c r="O123" s="60"/>
      <c r="P123" s="60"/>
      <c r="Q123" s="60"/>
      <c r="R123" s="60"/>
      <c r="S123" s="60"/>
      <c r="T123" s="60"/>
      <c r="U123" s="60"/>
      <c r="V123" s="60"/>
      <c r="W123" s="60"/>
      <c r="X123" s="60"/>
      <c r="Y123" s="60"/>
      <c r="Z123" s="60"/>
      <c r="AA123" s="60"/>
      <c r="AB123" s="60"/>
      <c r="AC123" s="60"/>
      <c r="AD123" s="60"/>
      <c r="AE123" s="60"/>
      <c r="AF123" s="60"/>
    </row>
    <row r="124" spans="1:32" s="96" customFormat="1" ht="25.5">
      <c r="A124" s="105"/>
      <c r="B124" s="125">
        <f t="shared" si="9"/>
        <v>24</v>
      </c>
      <c r="C124" s="609" t="s">
        <v>309</v>
      </c>
      <c r="D124" s="609" t="s">
        <v>558</v>
      </c>
      <c r="E124" s="608" t="s">
        <v>1508</v>
      </c>
      <c r="F124" s="646">
        <v>60</v>
      </c>
      <c r="G124" s="647">
        <v>1250</v>
      </c>
      <c r="H124" s="652">
        <f t="shared" si="8"/>
        <v>75000</v>
      </c>
      <c r="I124" s="202"/>
      <c r="J124" s="1069"/>
      <c r="K124" s="60"/>
      <c r="L124" s="60"/>
      <c r="M124" s="60"/>
      <c r="N124" s="60"/>
      <c r="O124" s="60"/>
      <c r="P124" s="60"/>
      <c r="Q124" s="60"/>
      <c r="R124" s="60"/>
      <c r="S124" s="60"/>
      <c r="T124" s="60"/>
      <c r="U124" s="60"/>
      <c r="V124" s="60"/>
      <c r="W124" s="60"/>
      <c r="X124" s="60"/>
      <c r="Y124" s="60"/>
      <c r="Z124" s="60"/>
      <c r="AA124" s="60"/>
      <c r="AB124" s="60"/>
      <c r="AC124" s="60"/>
      <c r="AD124" s="60"/>
      <c r="AE124" s="60"/>
      <c r="AF124" s="60"/>
    </row>
    <row r="125" spans="1:32" s="96" customFormat="1" ht="89.25">
      <c r="A125" s="105"/>
      <c r="B125" s="125">
        <f t="shared" si="9"/>
        <v>25</v>
      </c>
      <c r="C125" s="609" t="s">
        <v>310</v>
      </c>
      <c r="D125" s="609" t="s">
        <v>559</v>
      </c>
      <c r="E125" s="608" t="s">
        <v>1508</v>
      </c>
      <c r="F125" s="646">
        <v>10</v>
      </c>
      <c r="G125" s="647">
        <v>1200</v>
      </c>
      <c r="H125" s="652">
        <f t="shared" si="8"/>
        <v>12000</v>
      </c>
      <c r="I125" s="202"/>
      <c r="J125" s="1069"/>
      <c r="K125" s="60"/>
      <c r="L125" s="60"/>
      <c r="M125" s="60"/>
      <c r="N125" s="60"/>
      <c r="O125" s="60"/>
      <c r="P125" s="60"/>
      <c r="Q125" s="60"/>
      <c r="R125" s="60"/>
      <c r="S125" s="60"/>
      <c r="T125" s="60"/>
      <c r="U125" s="60"/>
      <c r="V125" s="60"/>
      <c r="W125" s="60"/>
      <c r="X125" s="60"/>
      <c r="Y125" s="60"/>
      <c r="Z125" s="60"/>
      <c r="AA125" s="60"/>
      <c r="AB125" s="60"/>
      <c r="AC125" s="60"/>
      <c r="AD125" s="60"/>
      <c r="AE125" s="60"/>
      <c r="AF125" s="60"/>
    </row>
    <row r="126" spans="1:32" s="96" customFormat="1" ht="81" customHeight="1">
      <c r="A126" s="105"/>
      <c r="B126" s="125">
        <f t="shared" si="9"/>
        <v>26</v>
      </c>
      <c r="C126" s="609" t="s">
        <v>311</v>
      </c>
      <c r="D126" s="609" t="s">
        <v>656</v>
      </c>
      <c r="E126" s="608" t="s">
        <v>1508</v>
      </c>
      <c r="F126" s="646">
        <v>25000</v>
      </c>
      <c r="G126" s="647">
        <v>8</v>
      </c>
      <c r="H126" s="652">
        <f t="shared" si="8"/>
        <v>200000</v>
      </c>
      <c r="I126" s="202"/>
      <c r="J126" s="1069"/>
      <c r="K126" s="60"/>
      <c r="L126" s="60"/>
      <c r="M126" s="60"/>
      <c r="N126" s="60"/>
      <c r="O126" s="60"/>
      <c r="P126" s="60"/>
      <c r="Q126" s="60"/>
      <c r="R126" s="60"/>
      <c r="S126" s="60"/>
      <c r="T126" s="60"/>
      <c r="U126" s="60"/>
      <c r="V126" s="60"/>
      <c r="W126" s="60"/>
      <c r="X126" s="60"/>
      <c r="Y126" s="60"/>
      <c r="Z126" s="60"/>
      <c r="AA126" s="60"/>
      <c r="AB126" s="60"/>
      <c r="AC126" s="60"/>
      <c r="AD126" s="60"/>
      <c r="AE126" s="60"/>
      <c r="AF126" s="60"/>
    </row>
    <row r="127" spans="1:32" s="96" customFormat="1" ht="42.75" customHeight="1">
      <c r="A127" s="105"/>
      <c r="B127" s="125">
        <f t="shared" si="9"/>
        <v>27</v>
      </c>
      <c r="C127" s="609" t="s">
        <v>312</v>
      </c>
      <c r="D127" s="609" t="s">
        <v>657</v>
      </c>
      <c r="E127" s="608" t="s">
        <v>1508</v>
      </c>
      <c r="F127" s="646">
        <v>40</v>
      </c>
      <c r="G127" s="647">
        <v>2100</v>
      </c>
      <c r="H127" s="652">
        <f t="shared" si="8"/>
        <v>84000</v>
      </c>
      <c r="I127" s="202"/>
      <c r="J127" s="1069"/>
      <c r="K127" s="60"/>
      <c r="L127" s="60"/>
      <c r="M127" s="60"/>
      <c r="N127" s="60"/>
      <c r="O127" s="60"/>
      <c r="P127" s="60"/>
      <c r="Q127" s="60"/>
      <c r="R127" s="60"/>
      <c r="S127" s="60"/>
      <c r="T127" s="60"/>
      <c r="U127" s="60"/>
      <c r="V127" s="60"/>
      <c r="W127" s="60"/>
      <c r="X127" s="60"/>
      <c r="Y127" s="60"/>
      <c r="Z127" s="60"/>
      <c r="AA127" s="60"/>
      <c r="AB127" s="60"/>
      <c r="AC127" s="60"/>
      <c r="AD127" s="60"/>
      <c r="AE127" s="60"/>
      <c r="AF127" s="60"/>
    </row>
    <row r="128" spans="1:32" s="96" customFormat="1" ht="38.25">
      <c r="A128" s="105"/>
      <c r="B128" s="125">
        <f t="shared" si="9"/>
        <v>28</v>
      </c>
      <c r="C128" s="609" t="s">
        <v>313</v>
      </c>
      <c r="D128" s="609" t="s">
        <v>560</v>
      </c>
      <c r="E128" s="608" t="s">
        <v>1508</v>
      </c>
      <c r="F128" s="646">
        <v>15</v>
      </c>
      <c r="G128" s="647">
        <v>1550</v>
      </c>
      <c r="H128" s="652">
        <f t="shared" si="8"/>
        <v>23250</v>
      </c>
      <c r="I128" s="202"/>
      <c r="J128" s="1069"/>
      <c r="K128" s="60"/>
      <c r="L128" s="60"/>
      <c r="M128" s="60"/>
      <c r="N128" s="60"/>
      <c r="O128" s="60"/>
      <c r="P128" s="60"/>
      <c r="Q128" s="60"/>
      <c r="R128" s="60"/>
      <c r="S128" s="60"/>
      <c r="T128" s="60"/>
      <c r="U128" s="60"/>
      <c r="V128" s="60"/>
      <c r="W128" s="60"/>
      <c r="X128" s="60"/>
      <c r="Y128" s="60"/>
      <c r="Z128" s="60"/>
      <c r="AA128" s="60"/>
      <c r="AB128" s="60"/>
      <c r="AC128" s="60"/>
      <c r="AD128" s="60"/>
      <c r="AE128" s="60"/>
      <c r="AF128" s="60"/>
    </row>
    <row r="129" spans="1:32" s="96" customFormat="1" ht="51">
      <c r="A129" s="105"/>
      <c r="B129" s="125">
        <f t="shared" si="9"/>
        <v>29</v>
      </c>
      <c r="C129" s="609" t="s">
        <v>314</v>
      </c>
      <c r="D129" s="609" t="s">
        <v>1522</v>
      </c>
      <c r="E129" s="608" t="s">
        <v>1508</v>
      </c>
      <c r="F129" s="646">
        <v>10</v>
      </c>
      <c r="G129" s="647">
        <v>850</v>
      </c>
      <c r="H129" s="652">
        <f t="shared" si="8"/>
        <v>8500</v>
      </c>
      <c r="I129" s="202"/>
      <c r="J129" s="1069"/>
      <c r="K129" s="60"/>
      <c r="L129" s="60"/>
      <c r="M129" s="60"/>
      <c r="N129" s="60"/>
      <c r="O129" s="60"/>
      <c r="P129" s="60"/>
      <c r="Q129" s="60"/>
      <c r="R129" s="60"/>
      <c r="S129" s="60"/>
      <c r="T129" s="60"/>
      <c r="U129" s="60"/>
      <c r="V129" s="60"/>
      <c r="W129" s="60"/>
      <c r="X129" s="60"/>
      <c r="Y129" s="60"/>
      <c r="Z129" s="60"/>
      <c r="AA129" s="60"/>
      <c r="AB129" s="60"/>
      <c r="AC129" s="60"/>
      <c r="AD129" s="60"/>
      <c r="AE129" s="60"/>
      <c r="AF129" s="60"/>
    </row>
    <row r="130" spans="1:32" s="96" customFormat="1" ht="63.75">
      <c r="A130" s="105"/>
      <c r="B130" s="125">
        <f t="shared" si="9"/>
        <v>30</v>
      </c>
      <c r="C130" s="609" t="s">
        <v>315</v>
      </c>
      <c r="D130" s="609" t="s">
        <v>561</v>
      </c>
      <c r="E130" s="611" t="s">
        <v>2430</v>
      </c>
      <c r="F130" s="646">
        <v>1200</v>
      </c>
      <c r="G130" s="647">
        <v>42</v>
      </c>
      <c r="H130" s="652">
        <f t="shared" si="8"/>
        <v>50400</v>
      </c>
      <c r="I130" s="202"/>
      <c r="J130" s="1069"/>
      <c r="K130" s="60"/>
      <c r="L130" s="60"/>
      <c r="M130" s="60"/>
      <c r="N130" s="60"/>
      <c r="O130" s="60"/>
      <c r="P130" s="60"/>
      <c r="Q130" s="60"/>
      <c r="R130" s="60"/>
      <c r="S130" s="60"/>
      <c r="T130" s="60"/>
      <c r="U130" s="60"/>
      <c r="V130" s="60"/>
      <c r="W130" s="60"/>
      <c r="X130" s="60"/>
      <c r="Y130" s="60"/>
      <c r="Z130" s="60"/>
      <c r="AA130" s="60"/>
      <c r="AB130" s="60"/>
      <c r="AC130" s="60"/>
      <c r="AD130" s="60"/>
      <c r="AE130" s="60"/>
      <c r="AF130" s="60"/>
    </row>
    <row r="131" spans="1:32" s="96" customFormat="1" ht="51">
      <c r="A131" s="105"/>
      <c r="B131" s="125">
        <f t="shared" si="9"/>
        <v>31</v>
      </c>
      <c r="C131" s="609" t="s">
        <v>316</v>
      </c>
      <c r="D131" s="609" t="s">
        <v>658</v>
      </c>
      <c r="E131" s="608" t="s">
        <v>1508</v>
      </c>
      <c r="F131" s="646">
        <v>10</v>
      </c>
      <c r="G131" s="647">
        <v>2950</v>
      </c>
      <c r="H131" s="652">
        <f t="shared" si="8"/>
        <v>29500</v>
      </c>
      <c r="I131" s="202"/>
      <c r="J131" s="1069"/>
      <c r="K131" s="60"/>
      <c r="L131" s="60"/>
      <c r="M131" s="60"/>
      <c r="N131" s="60"/>
      <c r="O131" s="60"/>
      <c r="P131" s="60"/>
      <c r="Q131" s="60"/>
      <c r="R131" s="60"/>
      <c r="S131" s="60"/>
      <c r="T131" s="60"/>
      <c r="U131" s="60"/>
      <c r="V131" s="60"/>
      <c r="W131" s="60"/>
      <c r="X131" s="60"/>
      <c r="Y131" s="60"/>
      <c r="Z131" s="60"/>
      <c r="AA131" s="60"/>
      <c r="AB131" s="60"/>
      <c r="AC131" s="60"/>
      <c r="AD131" s="60"/>
      <c r="AE131" s="60"/>
      <c r="AF131" s="60"/>
    </row>
    <row r="132" spans="1:32" s="96" customFormat="1" ht="129" customHeight="1">
      <c r="A132" s="105"/>
      <c r="B132" s="125">
        <f t="shared" si="9"/>
        <v>32</v>
      </c>
      <c r="C132" s="1031" t="s">
        <v>2417</v>
      </c>
      <c r="D132" s="1036" t="s">
        <v>2443</v>
      </c>
      <c r="E132" s="1051" t="s">
        <v>1508</v>
      </c>
      <c r="F132" s="1047">
        <v>35</v>
      </c>
      <c r="G132" s="1050">
        <v>75000</v>
      </c>
      <c r="H132" s="652">
        <f t="shared" si="8"/>
        <v>2625000</v>
      </c>
      <c r="I132" s="202"/>
      <c r="J132" s="1069"/>
      <c r="K132" s="60"/>
      <c r="L132" s="60"/>
      <c r="M132" s="60"/>
      <c r="N132" s="60"/>
      <c r="O132" s="60"/>
      <c r="P132" s="60"/>
      <c r="Q132" s="60"/>
      <c r="R132" s="60"/>
      <c r="S132" s="60"/>
      <c r="T132" s="60"/>
      <c r="U132" s="60"/>
      <c r="V132" s="60"/>
      <c r="W132" s="60"/>
      <c r="X132" s="60"/>
      <c r="Y132" s="60"/>
      <c r="Z132" s="60"/>
      <c r="AA132" s="60"/>
      <c r="AB132" s="60"/>
      <c r="AC132" s="60"/>
      <c r="AD132" s="60"/>
      <c r="AE132" s="60"/>
      <c r="AF132" s="60"/>
    </row>
    <row r="133" spans="1:32" s="96" customFormat="1" ht="132.75" customHeight="1">
      <c r="A133" s="105"/>
      <c r="B133" s="125">
        <f t="shared" si="9"/>
        <v>33</v>
      </c>
      <c r="C133" s="1031" t="s">
        <v>317</v>
      </c>
      <c r="D133" s="1031" t="s">
        <v>2444</v>
      </c>
      <c r="E133" s="1051" t="s">
        <v>1508</v>
      </c>
      <c r="F133" s="1047">
        <v>65</v>
      </c>
      <c r="G133" s="1050">
        <v>45000</v>
      </c>
      <c r="H133" s="652">
        <f t="shared" si="8"/>
        <v>2925000</v>
      </c>
      <c r="I133" s="202"/>
      <c r="J133" s="1069"/>
      <c r="K133" s="60"/>
      <c r="L133" s="60"/>
      <c r="M133" s="60"/>
      <c r="N133" s="60"/>
      <c r="O133" s="60"/>
      <c r="P133" s="60"/>
      <c r="Q133" s="60"/>
      <c r="R133" s="60"/>
      <c r="S133" s="60"/>
      <c r="T133" s="60"/>
      <c r="U133" s="60"/>
      <c r="V133" s="60"/>
      <c r="W133" s="60"/>
      <c r="X133" s="60"/>
      <c r="Y133" s="60"/>
      <c r="Z133" s="60"/>
      <c r="AA133" s="60"/>
      <c r="AB133" s="60"/>
      <c r="AC133" s="60"/>
      <c r="AD133" s="60"/>
      <c r="AE133" s="60"/>
      <c r="AF133" s="60"/>
    </row>
    <row r="134" spans="1:32" s="96" customFormat="1" ht="25.5">
      <c r="A134" s="105"/>
      <c r="B134" s="125">
        <f t="shared" si="9"/>
        <v>34</v>
      </c>
      <c r="C134" s="1031" t="s">
        <v>626</v>
      </c>
      <c r="D134" s="1084" t="s">
        <v>1523</v>
      </c>
      <c r="E134" s="1051" t="s">
        <v>1508</v>
      </c>
      <c r="F134" s="1047">
        <v>60</v>
      </c>
      <c r="G134" s="1050">
        <v>4400</v>
      </c>
      <c r="H134" s="652">
        <f t="shared" si="8"/>
        <v>264000</v>
      </c>
      <c r="I134" s="202"/>
      <c r="J134" s="1069"/>
      <c r="K134" s="60"/>
      <c r="L134" s="60"/>
      <c r="M134" s="60"/>
      <c r="N134" s="60"/>
      <c r="O134" s="60"/>
      <c r="P134" s="60"/>
      <c r="Q134" s="60"/>
      <c r="R134" s="60"/>
      <c r="S134" s="60"/>
      <c r="T134" s="60"/>
      <c r="U134" s="60"/>
      <c r="V134" s="60"/>
      <c r="W134" s="60"/>
      <c r="X134" s="60"/>
      <c r="Y134" s="60"/>
      <c r="Z134" s="60"/>
      <c r="AA134" s="60"/>
      <c r="AB134" s="60"/>
      <c r="AC134" s="60"/>
      <c r="AD134" s="60"/>
      <c r="AE134" s="60"/>
      <c r="AF134" s="60"/>
    </row>
    <row r="135" spans="1:32" s="96" customFormat="1" ht="38.25">
      <c r="A135" s="105"/>
      <c r="B135" s="125">
        <f t="shared" si="9"/>
        <v>35</v>
      </c>
      <c r="C135" s="1031" t="s">
        <v>696</v>
      </c>
      <c r="D135" s="1031" t="s">
        <v>1524</v>
      </c>
      <c r="E135" s="1335" t="s">
        <v>1789</v>
      </c>
      <c r="F135" s="1047">
        <v>30</v>
      </c>
      <c r="G135" s="1050">
        <v>5700</v>
      </c>
      <c r="H135" s="652">
        <f t="shared" si="8"/>
        <v>171000</v>
      </c>
      <c r="I135" s="202"/>
      <c r="J135" s="1069"/>
      <c r="K135" s="60"/>
      <c r="L135" s="60"/>
      <c r="M135" s="60"/>
      <c r="N135" s="60"/>
      <c r="O135" s="60"/>
      <c r="P135" s="60"/>
      <c r="Q135" s="60"/>
      <c r="R135" s="60"/>
      <c r="S135" s="60"/>
      <c r="T135" s="60"/>
      <c r="U135" s="60"/>
      <c r="V135" s="60"/>
      <c r="W135" s="60"/>
      <c r="X135" s="60"/>
      <c r="Y135" s="60"/>
      <c r="Z135" s="60"/>
      <c r="AA135" s="60"/>
      <c r="AB135" s="60"/>
      <c r="AC135" s="60"/>
      <c r="AD135" s="60"/>
      <c r="AE135" s="60"/>
      <c r="AF135" s="60"/>
    </row>
    <row r="136" spans="1:32" s="96" customFormat="1" ht="102">
      <c r="A136" s="105"/>
      <c r="B136" s="125">
        <f t="shared" si="9"/>
        <v>36</v>
      </c>
      <c r="C136" s="1031" t="s">
        <v>318</v>
      </c>
      <c r="D136" s="1031" t="s">
        <v>659</v>
      </c>
      <c r="E136" s="1051" t="s">
        <v>1508</v>
      </c>
      <c r="F136" s="1047">
        <v>8</v>
      </c>
      <c r="G136" s="1050">
        <v>7020</v>
      </c>
      <c r="H136" s="652">
        <f t="shared" si="8"/>
        <v>56160</v>
      </c>
      <c r="I136" s="202"/>
      <c r="J136" s="1069"/>
      <c r="K136" s="60"/>
      <c r="L136" s="60"/>
      <c r="M136" s="60"/>
      <c r="N136" s="60"/>
      <c r="O136" s="60"/>
      <c r="P136" s="60"/>
      <c r="Q136" s="60"/>
      <c r="R136" s="60"/>
      <c r="S136" s="60"/>
      <c r="T136" s="60"/>
      <c r="U136" s="60"/>
      <c r="V136" s="60"/>
      <c r="W136" s="60"/>
      <c r="X136" s="60"/>
      <c r="Y136" s="60"/>
      <c r="Z136" s="60"/>
      <c r="AA136" s="60"/>
      <c r="AB136" s="60"/>
      <c r="AC136" s="60"/>
      <c r="AD136" s="60"/>
      <c r="AE136" s="60"/>
      <c r="AF136" s="60"/>
    </row>
    <row r="137" spans="1:32" s="96" customFormat="1" ht="142.5" customHeight="1">
      <c r="A137" s="105"/>
      <c r="B137" s="125">
        <f t="shared" si="9"/>
        <v>37</v>
      </c>
      <c r="C137" s="609" t="s">
        <v>319</v>
      </c>
      <c r="D137" s="1031" t="s">
        <v>660</v>
      </c>
      <c r="E137" s="1051" t="s">
        <v>1508</v>
      </c>
      <c r="F137" s="1047">
        <v>2</v>
      </c>
      <c r="G137" s="1050">
        <v>2600</v>
      </c>
      <c r="H137" s="652">
        <f t="shared" si="8"/>
        <v>5200</v>
      </c>
      <c r="I137" s="202"/>
      <c r="J137" s="1069"/>
      <c r="K137" s="60"/>
      <c r="L137" s="60"/>
      <c r="M137" s="60"/>
      <c r="N137" s="60"/>
      <c r="O137" s="60"/>
      <c r="P137" s="60"/>
      <c r="Q137" s="60"/>
      <c r="R137" s="60"/>
      <c r="S137" s="60"/>
      <c r="T137" s="60"/>
      <c r="U137" s="60"/>
      <c r="V137" s="60"/>
      <c r="W137" s="60"/>
      <c r="X137" s="60"/>
      <c r="Y137" s="60"/>
      <c r="Z137" s="60"/>
      <c r="AA137" s="60"/>
      <c r="AB137" s="60"/>
      <c r="AC137" s="60"/>
      <c r="AD137" s="60"/>
      <c r="AE137" s="60"/>
      <c r="AF137" s="60"/>
    </row>
    <row r="138" spans="1:32" s="96" customFormat="1" ht="102">
      <c r="A138" s="105"/>
      <c r="B138" s="125">
        <f t="shared" si="9"/>
        <v>38</v>
      </c>
      <c r="C138" s="609" t="s">
        <v>627</v>
      </c>
      <c r="D138" s="609" t="s">
        <v>1525</v>
      </c>
      <c r="E138" s="608" t="s">
        <v>1508</v>
      </c>
      <c r="F138" s="646">
        <v>10</v>
      </c>
      <c r="G138" s="647">
        <v>320</v>
      </c>
      <c r="H138" s="652">
        <f t="shared" si="8"/>
        <v>3200</v>
      </c>
      <c r="I138" s="202"/>
      <c r="J138" s="1069"/>
      <c r="K138" s="60"/>
      <c r="L138" s="60"/>
      <c r="M138" s="60"/>
      <c r="N138" s="60"/>
      <c r="O138" s="60"/>
      <c r="P138" s="60"/>
      <c r="Q138" s="60"/>
      <c r="R138" s="60"/>
      <c r="S138" s="60"/>
      <c r="T138" s="60"/>
      <c r="U138" s="60"/>
      <c r="V138" s="60"/>
      <c r="W138" s="60"/>
      <c r="X138" s="60"/>
      <c r="Y138" s="60"/>
      <c r="Z138" s="60"/>
      <c r="AA138" s="60"/>
      <c r="AB138" s="60"/>
      <c r="AC138" s="60"/>
      <c r="AD138" s="60"/>
      <c r="AE138" s="60"/>
      <c r="AF138" s="60"/>
    </row>
    <row r="139" spans="1:32" s="96" customFormat="1" ht="76.5">
      <c r="A139" s="105"/>
      <c r="B139" s="125">
        <f t="shared" si="9"/>
        <v>39</v>
      </c>
      <c r="C139" s="609" t="s">
        <v>320</v>
      </c>
      <c r="D139" s="609" t="s">
        <v>1526</v>
      </c>
      <c r="E139" s="608" t="s">
        <v>1508</v>
      </c>
      <c r="F139" s="646">
        <v>100</v>
      </c>
      <c r="G139" s="647">
        <v>465</v>
      </c>
      <c r="H139" s="652">
        <f t="shared" si="8"/>
        <v>46500</v>
      </c>
      <c r="I139" s="202"/>
      <c r="J139" s="1069"/>
      <c r="K139" s="60"/>
      <c r="L139" s="60"/>
      <c r="M139" s="60"/>
      <c r="N139" s="60"/>
      <c r="O139" s="60"/>
      <c r="P139" s="60"/>
      <c r="Q139" s="60"/>
      <c r="R139" s="60"/>
      <c r="S139" s="60"/>
      <c r="T139" s="60"/>
      <c r="U139" s="60"/>
      <c r="V139" s="60"/>
      <c r="W139" s="60"/>
      <c r="X139" s="60"/>
      <c r="Y139" s="60"/>
      <c r="Z139" s="60"/>
      <c r="AA139" s="60"/>
      <c r="AB139" s="60"/>
      <c r="AC139" s="60"/>
      <c r="AD139" s="60"/>
      <c r="AE139" s="60"/>
      <c r="AF139" s="60"/>
    </row>
    <row r="140" spans="1:32" s="96" customFormat="1" ht="22.5" customHeight="1">
      <c r="A140" s="105"/>
      <c r="B140" s="125">
        <f t="shared" si="9"/>
        <v>40</v>
      </c>
      <c r="C140" s="609" t="s">
        <v>321</v>
      </c>
      <c r="D140" s="609" t="s">
        <v>661</v>
      </c>
      <c r="E140" s="608" t="s">
        <v>295</v>
      </c>
      <c r="F140" s="646">
        <v>5</v>
      </c>
      <c r="G140" s="647">
        <v>625</v>
      </c>
      <c r="H140" s="652">
        <f t="shared" si="8"/>
        <v>3125</v>
      </c>
      <c r="I140" s="202"/>
      <c r="J140" s="1069"/>
      <c r="K140" s="60"/>
      <c r="L140" s="60"/>
      <c r="M140" s="60"/>
      <c r="N140" s="60"/>
      <c r="O140" s="60"/>
      <c r="P140" s="60"/>
      <c r="Q140" s="60"/>
      <c r="R140" s="60"/>
      <c r="S140" s="60"/>
      <c r="T140" s="60"/>
      <c r="U140" s="60"/>
      <c r="V140" s="60"/>
      <c r="W140" s="60"/>
      <c r="X140" s="60"/>
      <c r="Y140" s="60"/>
      <c r="Z140" s="60"/>
      <c r="AA140" s="60"/>
      <c r="AB140" s="60"/>
      <c r="AC140" s="60"/>
      <c r="AD140" s="60"/>
      <c r="AE140" s="60"/>
      <c r="AF140" s="60"/>
    </row>
    <row r="141" spans="1:32" s="96" customFormat="1" ht="38.25">
      <c r="A141" s="105"/>
      <c r="B141" s="125">
        <f t="shared" si="9"/>
        <v>41</v>
      </c>
      <c r="C141" s="609" t="s">
        <v>322</v>
      </c>
      <c r="D141" s="609" t="s">
        <v>662</v>
      </c>
      <c r="E141" s="608" t="s">
        <v>1508</v>
      </c>
      <c r="F141" s="646">
        <v>1</v>
      </c>
      <c r="G141" s="647">
        <v>1930</v>
      </c>
      <c r="H141" s="652">
        <f t="shared" si="8"/>
        <v>1930</v>
      </c>
      <c r="I141" s="202"/>
      <c r="J141" s="1069"/>
      <c r="K141" s="60"/>
      <c r="L141" s="60"/>
      <c r="M141" s="60"/>
      <c r="N141" s="60"/>
      <c r="O141" s="60"/>
      <c r="P141" s="60"/>
      <c r="Q141" s="60"/>
      <c r="R141" s="60"/>
      <c r="S141" s="60"/>
      <c r="T141" s="60"/>
      <c r="U141" s="60"/>
      <c r="V141" s="60"/>
      <c r="W141" s="60"/>
      <c r="X141" s="60"/>
      <c r="Y141" s="60"/>
      <c r="Z141" s="60"/>
      <c r="AA141" s="60"/>
      <c r="AB141" s="60"/>
      <c r="AC141" s="60"/>
      <c r="AD141" s="60"/>
      <c r="AE141" s="60"/>
      <c r="AF141" s="60"/>
    </row>
    <row r="142" spans="1:32" s="96" customFormat="1" ht="25.5">
      <c r="A142" s="105"/>
      <c r="B142" s="125">
        <f t="shared" si="9"/>
        <v>42</v>
      </c>
      <c r="C142" s="609" t="s">
        <v>628</v>
      </c>
      <c r="D142" s="609" t="s">
        <v>562</v>
      </c>
      <c r="E142" s="608" t="s">
        <v>1508</v>
      </c>
      <c r="F142" s="646">
        <v>20</v>
      </c>
      <c r="G142" s="647">
        <v>2410</v>
      </c>
      <c r="H142" s="652">
        <f t="shared" si="8"/>
        <v>48200</v>
      </c>
      <c r="I142" s="202"/>
      <c r="J142" s="1069"/>
      <c r="K142" s="60"/>
      <c r="L142" s="60"/>
      <c r="M142" s="60"/>
      <c r="N142" s="60"/>
      <c r="O142" s="60"/>
      <c r="P142" s="60"/>
      <c r="Q142" s="60"/>
      <c r="R142" s="60"/>
      <c r="S142" s="60"/>
      <c r="T142" s="60"/>
      <c r="U142" s="60"/>
      <c r="V142" s="60"/>
      <c r="W142" s="60"/>
      <c r="X142" s="60"/>
      <c r="Y142" s="60"/>
      <c r="Z142" s="60"/>
      <c r="AA142" s="60"/>
      <c r="AB142" s="60"/>
      <c r="AC142" s="60"/>
      <c r="AD142" s="60"/>
      <c r="AE142" s="60"/>
      <c r="AF142" s="60"/>
    </row>
    <row r="143" spans="1:32" s="96" customFormat="1" ht="66" customHeight="1">
      <c r="A143" s="105"/>
      <c r="B143" s="125">
        <f t="shared" si="9"/>
        <v>43</v>
      </c>
      <c r="C143" s="609" t="s">
        <v>2431</v>
      </c>
      <c r="D143" s="609" t="s">
        <v>1527</v>
      </c>
      <c r="E143" s="608" t="s">
        <v>1508</v>
      </c>
      <c r="F143" s="646">
        <v>5</v>
      </c>
      <c r="G143" s="647">
        <v>60</v>
      </c>
      <c r="H143" s="652">
        <f t="shared" si="8"/>
        <v>300</v>
      </c>
      <c r="I143" s="202"/>
      <c r="J143" s="1069"/>
      <c r="K143" s="60"/>
      <c r="L143" s="60"/>
      <c r="M143" s="60"/>
      <c r="N143" s="60"/>
      <c r="O143" s="60"/>
      <c r="P143" s="60"/>
      <c r="Q143" s="60"/>
      <c r="R143" s="60"/>
      <c r="S143" s="60"/>
      <c r="T143" s="60"/>
      <c r="U143" s="60"/>
      <c r="V143" s="60"/>
      <c r="W143" s="60"/>
      <c r="X143" s="60"/>
      <c r="Y143" s="60"/>
      <c r="Z143" s="60"/>
      <c r="AA143" s="60"/>
      <c r="AB143" s="60"/>
      <c r="AC143" s="60"/>
      <c r="AD143" s="60"/>
      <c r="AE143" s="60"/>
      <c r="AF143" s="60"/>
    </row>
    <row r="144" spans="1:32" s="96" customFormat="1" ht="67.5" customHeight="1">
      <c r="A144" s="105"/>
      <c r="B144" s="125">
        <f t="shared" si="9"/>
        <v>44</v>
      </c>
      <c r="C144" s="609" t="s">
        <v>630</v>
      </c>
      <c r="D144" s="609" t="s">
        <v>1528</v>
      </c>
      <c r="E144" s="608" t="s">
        <v>1508</v>
      </c>
      <c r="F144" s="646">
        <v>5</v>
      </c>
      <c r="G144" s="647">
        <v>70</v>
      </c>
      <c r="H144" s="652">
        <f t="shared" si="8"/>
        <v>350</v>
      </c>
      <c r="I144" s="202"/>
      <c r="J144" s="1069"/>
      <c r="K144" s="60"/>
      <c r="L144" s="60"/>
      <c r="M144" s="60"/>
      <c r="N144" s="60"/>
      <c r="O144" s="60"/>
      <c r="P144" s="60"/>
      <c r="Q144" s="60"/>
      <c r="R144" s="60"/>
      <c r="S144" s="60"/>
      <c r="T144" s="60"/>
      <c r="U144" s="60"/>
      <c r="V144" s="60"/>
      <c r="W144" s="60"/>
      <c r="X144" s="60"/>
      <c r="Y144" s="60"/>
      <c r="Z144" s="60"/>
      <c r="AA144" s="60"/>
      <c r="AB144" s="60"/>
      <c r="AC144" s="60"/>
      <c r="AD144" s="60"/>
      <c r="AE144" s="60"/>
      <c r="AF144" s="60"/>
    </row>
    <row r="145" spans="1:32" s="96" customFormat="1" ht="63.75">
      <c r="A145" s="105"/>
      <c r="B145" s="125">
        <f t="shared" si="9"/>
        <v>45</v>
      </c>
      <c r="C145" s="609" t="s">
        <v>631</v>
      </c>
      <c r="D145" s="609" t="s">
        <v>1529</v>
      </c>
      <c r="E145" s="608" t="s">
        <v>1508</v>
      </c>
      <c r="F145" s="646">
        <v>5</v>
      </c>
      <c r="G145" s="647">
        <v>50</v>
      </c>
      <c r="H145" s="652">
        <f t="shared" si="8"/>
        <v>250</v>
      </c>
      <c r="I145" s="202"/>
      <c r="J145" s="1069"/>
      <c r="K145" s="60"/>
      <c r="L145" s="60"/>
      <c r="M145" s="60"/>
      <c r="N145" s="60"/>
      <c r="O145" s="60"/>
      <c r="P145" s="60"/>
      <c r="Q145" s="60"/>
      <c r="R145" s="60"/>
      <c r="S145" s="60"/>
      <c r="T145" s="60"/>
      <c r="U145" s="60"/>
      <c r="V145" s="60"/>
      <c r="W145" s="60"/>
      <c r="X145" s="60"/>
      <c r="Y145" s="60"/>
      <c r="Z145" s="60"/>
      <c r="AA145" s="60"/>
      <c r="AB145" s="60"/>
      <c r="AC145" s="60"/>
      <c r="AD145" s="60"/>
      <c r="AE145" s="60"/>
      <c r="AF145" s="60"/>
    </row>
    <row r="146" spans="1:32" s="96" customFormat="1" ht="76.5">
      <c r="A146" s="105"/>
      <c r="B146" s="125">
        <f t="shared" si="9"/>
        <v>46</v>
      </c>
      <c r="C146" s="609" t="s">
        <v>632</v>
      </c>
      <c r="D146" s="610" t="s">
        <v>1530</v>
      </c>
      <c r="E146" s="608" t="s">
        <v>1508</v>
      </c>
      <c r="F146" s="646">
        <v>5</v>
      </c>
      <c r="G146" s="647">
        <v>110</v>
      </c>
      <c r="H146" s="652">
        <f t="shared" si="8"/>
        <v>550</v>
      </c>
      <c r="I146" s="202"/>
      <c r="J146" s="1069"/>
      <c r="K146" s="60"/>
      <c r="L146" s="60"/>
      <c r="M146" s="60"/>
      <c r="N146" s="60"/>
      <c r="O146" s="60"/>
      <c r="P146" s="60"/>
      <c r="Q146" s="60"/>
      <c r="R146" s="60"/>
      <c r="S146" s="60"/>
      <c r="T146" s="60"/>
      <c r="U146" s="60"/>
      <c r="V146" s="60"/>
      <c r="W146" s="60"/>
      <c r="X146" s="60"/>
      <c r="Y146" s="60"/>
      <c r="Z146" s="60"/>
      <c r="AA146" s="60"/>
      <c r="AB146" s="60"/>
      <c r="AC146" s="60"/>
      <c r="AD146" s="60"/>
      <c r="AE146" s="60"/>
      <c r="AF146" s="60"/>
    </row>
    <row r="147" spans="1:32" s="96" customFormat="1" ht="25.5">
      <c r="A147" s="105"/>
      <c r="B147" s="125">
        <f t="shared" si="9"/>
        <v>47</v>
      </c>
      <c r="C147" s="609" t="s">
        <v>1531</v>
      </c>
      <c r="D147" s="609" t="s">
        <v>1800</v>
      </c>
      <c r="E147" s="608" t="s">
        <v>1508</v>
      </c>
      <c r="F147" s="646">
        <v>5</v>
      </c>
      <c r="G147" s="647">
        <v>400</v>
      </c>
      <c r="H147" s="652">
        <f t="shared" si="8"/>
        <v>2000</v>
      </c>
      <c r="I147" s="202"/>
      <c r="J147" s="1069"/>
      <c r="K147" s="60"/>
      <c r="L147" s="60"/>
      <c r="M147" s="60"/>
      <c r="N147" s="60"/>
      <c r="O147" s="60"/>
      <c r="P147" s="60"/>
      <c r="Q147" s="60"/>
      <c r="R147" s="60"/>
      <c r="S147" s="60"/>
      <c r="T147" s="60"/>
      <c r="U147" s="60"/>
      <c r="V147" s="60"/>
      <c r="W147" s="60"/>
      <c r="X147" s="60"/>
      <c r="Y147" s="60"/>
      <c r="Z147" s="60"/>
      <c r="AA147" s="60"/>
      <c r="AB147" s="60"/>
      <c r="AC147" s="60"/>
      <c r="AD147" s="60"/>
      <c r="AE147" s="60"/>
      <c r="AF147" s="60"/>
    </row>
    <row r="148" spans="1:32" s="96" customFormat="1" ht="25.5">
      <c r="A148" s="105"/>
      <c r="B148" s="125">
        <f t="shared" si="9"/>
        <v>48</v>
      </c>
      <c r="C148" s="1064" t="s">
        <v>1532</v>
      </c>
      <c r="D148" s="609" t="s">
        <v>1533</v>
      </c>
      <c r="E148" s="608" t="s">
        <v>1508</v>
      </c>
      <c r="F148" s="646">
        <v>5</v>
      </c>
      <c r="G148" s="647">
        <v>400</v>
      </c>
      <c r="H148" s="652">
        <f t="shared" si="8"/>
        <v>2000</v>
      </c>
      <c r="I148" s="202"/>
      <c r="J148" s="1069"/>
      <c r="K148" s="60"/>
      <c r="L148" s="60"/>
      <c r="M148" s="60"/>
      <c r="N148" s="60"/>
      <c r="O148" s="60"/>
      <c r="P148" s="60"/>
      <c r="Q148" s="60"/>
      <c r="R148" s="60"/>
      <c r="S148" s="60"/>
      <c r="T148" s="60"/>
      <c r="U148" s="60"/>
      <c r="V148" s="60"/>
      <c r="W148" s="60"/>
      <c r="X148" s="60"/>
      <c r="Y148" s="60"/>
      <c r="Z148" s="60"/>
      <c r="AA148" s="60"/>
      <c r="AB148" s="60"/>
      <c r="AC148" s="60"/>
      <c r="AD148" s="60"/>
      <c r="AE148" s="60"/>
      <c r="AF148" s="60"/>
    </row>
    <row r="149" spans="1:32" s="96" customFormat="1" ht="25.5">
      <c r="A149" s="105"/>
      <c r="B149" s="125">
        <f t="shared" si="9"/>
        <v>49</v>
      </c>
      <c r="C149" s="609" t="s">
        <v>323</v>
      </c>
      <c r="D149" s="609" t="s">
        <v>663</v>
      </c>
      <c r="E149" s="608" t="s">
        <v>1508</v>
      </c>
      <c r="F149" s="646">
        <v>5</v>
      </c>
      <c r="G149" s="647">
        <v>400</v>
      </c>
      <c r="H149" s="652">
        <f t="shared" si="8"/>
        <v>2000</v>
      </c>
      <c r="I149" s="202"/>
      <c r="J149" s="1069"/>
      <c r="K149" s="60"/>
      <c r="L149" s="60"/>
      <c r="M149" s="60"/>
      <c r="N149" s="60"/>
      <c r="O149" s="60"/>
      <c r="P149" s="60"/>
      <c r="Q149" s="60"/>
      <c r="R149" s="60"/>
      <c r="S149" s="60"/>
      <c r="T149" s="60"/>
      <c r="U149" s="60"/>
      <c r="V149" s="60"/>
      <c r="W149" s="60"/>
      <c r="X149" s="60"/>
      <c r="Y149" s="60"/>
      <c r="Z149" s="60"/>
      <c r="AA149" s="60"/>
      <c r="AB149" s="60"/>
      <c r="AC149" s="60"/>
      <c r="AD149" s="60"/>
      <c r="AE149" s="60"/>
      <c r="AF149" s="60"/>
    </row>
    <row r="150" spans="1:32" s="96" customFormat="1" ht="25.5">
      <c r="A150" s="105"/>
      <c r="B150" s="125">
        <f t="shared" si="9"/>
        <v>50</v>
      </c>
      <c r="C150" s="609" t="s">
        <v>323</v>
      </c>
      <c r="D150" s="609" t="s">
        <v>664</v>
      </c>
      <c r="E150" s="608" t="s">
        <v>1508</v>
      </c>
      <c r="F150" s="646">
        <v>5</v>
      </c>
      <c r="G150" s="647">
        <v>400</v>
      </c>
      <c r="H150" s="652">
        <f t="shared" si="8"/>
        <v>2000</v>
      </c>
      <c r="I150" s="202"/>
      <c r="J150" s="1069"/>
      <c r="K150" s="60"/>
      <c r="L150" s="60"/>
      <c r="M150" s="60"/>
      <c r="N150" s="60"/>
      <c r="O150" s="60"/>
      <c r="P150" s="60"/>
      <c r="Q150" s="60"/>
      <c r="R150" s="60"/>
      <c r="S150" s="60"/>
      <c r="T150" s="60"/>
      <c r="U150" s="60"/>
      <c r="V150" s="60"/>
      <c r="W150" s="60"/>
      <c r="X150" s="60"/>
      <c r="Y150" s="60"/>
      <c r="Z150" s="60"/>
      <c r="AA150" s="60"/>
      <c r="AB150" s="60"/>
      <c r="AC150" s="60"/>
      <c r="AD150" s="60"/>
      <c r="AE150" s="60"/>
      <c r="AF150" s="60"/>
    </row>
    <row r="151" spans="1:32" s="96" customFormat="1" ht="25.5">
      <c r="A151" s="105"/>
      <c r="B151" s="125">
        <f t="shared" si="9"/>
        <v>51</v>
      </c>
      <c r="C151" s="609" t="s">
        <v>324</v>
      </c>
      <c r="D151" s="609" t="s">
        <v>665</v>
      </c>
      <c r="E151" s="608" t="s">
        <v>1508</v>
      </c>
      <c r="F151" s="646">
        <v>5</v>
      </c>
      <c r="G151" s="647">
        <v>400</v>
      </c>
      <c r="H151" s="652">
        <f t="shared" si="8"/>
        <v>2000</v>
      </c>
      <c r="I151" s="202"/>
      <c r="J151" s="1069"/>
      <c r="K151" s="60"/>
      <c r="L151" s="60"/>
      <c r="M151" s="60"/>
      <c r="N151" s="60"/>
      <c r="O151" s="60"/>
      <c r="P151" s="60"/>
      <c r="Q151" s="60"/>
      <c r="R151" s="60"/>
      <c r="S151" s="60"/>
      <c r="T151" s="60"/>
      <c r="U151" s="60"/>
      <c r="V151" s="60"/>
      <c r="W151" s="60"/>
      <c r="X151" s="60"/>
      <c r="Y151" s="60"/>
      <c r="Z151" s="60"/>
      <c r="AA151" s="60"/>
      <c r="AB151" s="60"/>
      <c r="AC151" s="60"/>
      <c r="AD151" s="60"/>
      <c r="AE151" s="60"/>
      <c r="AF151" s="60"/>
    </row>
    <row r="152" spans="1:32" s="96" customFormat="1" ht="25.5">
      <c r="A152" s="105"/>
      <c r="B152" s="125">
        <f t="shared" si="9"/>
        <v>52</v>
      </c>
      <c r="C152" s="609" t="s">
        <v>324</v>
      </c>
      <c r="D152" s="609" t="s">
        <v>664</v>
      </c>
      <c r="E152" s="608" t="s">
        <v>1508</v>
      </c>
      <c r="F152" s="646">
        <v>5</v>
      </c>
      <c r="G152" s="647">
        <v>400</v>
      </c>
      <c r="H152" s="652">
        <f t="shared" si="8"/>
        <v>2000</v>
      </c>
      <c r="I152" s="202"/>
      <c r="J152" s="1069"/>
      <c r="K152" s="60"/>
      <c r="L152" s="60"/>
      <c r="M152" s="60"/>
      <c r="N152" s="60"/>
      <c r="O152" s="60"/>
      <c r="P152" s="60"/>
      <c r="Q152" s="60"/>
      <c r="R152" s="60"/>
      <c r="S152" s="60"/>
      <c r="T152" s="60"/>
      <c r="U152" s="60"/>
      <c r="V152" s="60"/>
      <c r="W152" s="60"/>
      <c r="X152" s="60"/>
      <c r="Y152" s="60"/>
      <c r="Z152" s="60"/>
      <c r="AA152" s="60"/>
      <c r="AB152" s="60"/>
      <c r="AC152" s="60"/>
      <c r="AD152" s="60"/>
      <c r="AE152" s="60"/>
      <c r="AF152" s="60"/>
    </row>
    <row r="153" spans="1:32" s="96" customFormat="1" ht="25.5">
      <c r="A153" s="105"/>
      <c r="B153" s="125">
        <f t="shared" si="9"/>
        <v>53</v>
      </c>
      <c r="C153" s="609" t="s">
        <v>219</v>
      </c>
      <c r="D153" s="609" t="s">
        <v>563</v>
      </c>
      <c r="E153" s="608" t="s">
        <v>1508</v>
      </c>
      <c r="F153" s="646">
        <v>5</v>
      </c>
      <c r="G153" s="647">
        <v>400</v>
      </c>
      <c r="H153" s="652">
        <f t="shared" si="8"/>
        <v>2000</v>
      </c>
      <c r="I153" s="202"/>
      <c r="J153" s="1069"/>
      <c r="K153" s="60"/>
      <c r="L153" s="60"/>
      <c r="M153" s="60"/>
      <c r="N153" s="60"/>
      <c r="O153" s="60"/>
      <c r="P153" s="60"/>
      <c r="Q153" s="60"/>
      <c r="R153" s="60"/>
      <c r="S153" s="60"/>
      <c r="T153" s="60"/>
      <c r="U153" s="60"/>
      <c r="V153" s="60"/>
      <c r="W153" s="60"/>
      <c r="X153" s="60"/>
      <c r="Y153" s="60"/>
      <c r="Z153" s="60"/>
      <c r="AA153" s="60"/>
      <c r="AB153" s="60"/>
      <c r="AC153" s="60"/>
      <c r="AD153" s="60"/>
      <c r="AE153" s="60"/>
      <c r="AF153" s="60"/>
    </row>
    <row r="154" spans="1:32" s="96" customFormat="1" ht="38.25">
      <c r="A154" s="105"/>
      <c r="B154" s="125">
        <f t="shared" si="9"/>
        <v>54</v>
      </c>
      <c r="C154" s="609" t="s">
        <v>325</v>
      </c>
      <c r="D154" s="609" t="s">
        <v>666</v>
      </c>
      <c r="E154" s="608" t="s">
        <v>295</v>
      </c>
      <c r="F154" s="646">
        <v>1</v>
      </c>
      <c r="G154" s="647">
        <v>5500</v>
      </c>
      <c r="H154" s="652">
        <f t="shared" si="8"/>
        <v>5500</v>
      </c>
      <c r="I154" s="202"/>
      <c r="J154" s="1069"/>
      <c r="K154" s="60"/>
      <c r="L154" s="60"/>
      <c r="M154" s="60"/>
      <c r="N154" s="60"/>
      <c r="O154" s="60"/>
      <c r="P154" s="60"/>
      <c r="Q154" s="60"/>
      <c r="R154" s="60"/>
      <c r="S154" s="60"/>
      <c r="T154" s="60"/>
      <c r="U154" s="60"/>
      <c r="V154" s="60"/>
      <c r="W154" s="60"/>
      <c r="X154" s="60"/>
      <c r="Y154" s="60"/>
      <c r="Z154" s="60"/>
      <c r="AA154" s="60"/>
      <c r="AB154" s="60"/>
      <c r="AC154" s="60"/>
      <c r="AD154" s="60"/>
      <c r="AE154" s="60"/>
      <c r="AF154" s="60"/>
    </row>
    <row r="155" spans="1:32" s="96" customFormat="1" ht="38.25">
      <c r="A155" s="105"/>
      <c r="B155" s="125">
        <f t="shared" si="9"/>
        <v>55</v>
      </c>
      <c r="C155" s="610" t="s">
        <v>1534</v>
      </c>
      <c r="D155" s="609" t="s">
        <v>667</v>
      </c>
      <c r="E155" s="611" t="s">
        <v>302</v>
      </c>
      <c r="F155" s="646">
        <v>2</v>
      </c>
      <c r="G155" s="647">
        <v>650</v>
      </c>
      <c r="H155" s="652">
        <f t="shared" si="8"/>
        <v>1300</v>
      </c>
      <c r="I155" s="202"/>
      <c r="J155" s="1069"/>
      <c r="K155" s="60"/>
      <c r="L155" s="60"/>
      <c r="M155" s="60"/>
      <c r="N155" s="60"/>
      <c r="O155" s="60"/>
      <c r="P155" s="60"/>
      <c r="Q155" s="60"/>
      <c r="R155" s="60"/>
      <c r="S155" s="60"/>
      <c r="T155" s="60"/>
      <c r="U155" s="60"/>
      <c r="V155" s="60"/>
      <c r="W155" s="60"/>
      <c r="X155" s="60"/>
      <c r="Y155" s="60"/>
      <c r="Z155" s="60"/>
      <c r="AA155" s="60"/>
      <c r="AB155" s="60"/>
      <c r="AC155" s="60"/>
      <c r="AD155" s="60"/>
      <c r="AE155" s="60"/>
      <c r="AF155" s="60"/>
    </row>
    <row r="156" spans="1:32" s="96" customFormat="1" ht="31.5" customHeight="1">
      <c r="A156" s="105"/>
      <c r="B156" s="125">
        <f t="shared" si="9"/>
        <v>56</v>
      </c>
      <c r="C156" s="607" t="s">
        <v>633</v>
      </c>
      <c r="D156" s="607" t="s">
        <v>566</v>
      </c>
      <c r="E156" s="611" t="s">
        <v>302</v>
      </c>
      <c r="F156" s="646">
        <v>2</v>
      </c>
      <c r="G156" s="647">
        <v>650</v>
      </c>
      <c r="H156" s="652">
        <f t="shared" si="8"/>
        <v>1300</v>
      </c>
      <c r="I156" s="202"/>
      <c r="J156" s="1069"/>
      <c r="K156" s="60"/>
      <c r="L156" s="60"/>
      <c r="M156" s="60"/>
      <c r="N156" s="60"/>
      <c r="O156" s="60"/>
      <c r="P156" s="60"/>
      <c r="Q156" s="60"/>
      <c r="R156" s="60"/>
      <c r="S156" s="60"/>
      <c r="T156" s="60"/>
      <c r="U156" s="60"/>
      <c r="V156" s="60"/>
      <c r="W156" s="60"/>
      <c r="X156" s="60"/>
      <c r="Y156" s="60"/>
      <c r="Z156" s="60"/>
      <c r="AA156" s="60"/>
      <c r="AB156" s="60"/>
      <c r="AC156" s="60"/>
      <c r="AD156" s="60"/>
      <c r="AE156" s="60"/>
      <c r="AF156" s="60"/>
    </row>
    <row r="157" spans="1:32" s="96" customFormat="1" ht="28.5" customHeight="1">
      <c r="A157" s="105"/>
      <c r="B157" s="125">
        <f t="shared" si="9"/>
        <v>57</v>
      </c>
      <c r="C157" s="607" t="s">
        <v>633</v>
      </c>
      <c r="D157" s="607" t="s">
        <v>567</v>
      </c>
      <c r="E157" s="611" t="s">
        <v>302</v>
      </c>
      <c r="F157" s="646">
        <v>2</v>
      </c>
      <c r="G157" s="647">
        <v>650</v>
      </c>
      <c r="H157" s="652">
        <f t="shared" si="8"/>
        <v>1300</v>
      </c>
      <c r="I157" s="202"/>
      <c r="J157" s="1069"/>
      <c r="K157" s="60"/>
      <c r="L157" s="60"/>
      <c r="M157" s="60"/>
      <c r="N157" s="60"/>
      <c r="O157" s="60"/>
      <c r="P157" s="60"/>
      <c r="Q157" s="60"/>
      <c r="R157" s="60"/>
      <c r="S157" s="60"/>
      <c r="T157" s="60"/>
      <c r="U157" s="60"/>
      <c r="V157" s="60"/>
      <c r="W157" s="60"/>
      <c r="X157" s="60"/>
      <c r="Y157" s="60"/>
      <c r="Z157" s="60"/>
      <c r="AA157" s="60"/>
      <c r="AB157" s="60"/>
      <c r="AC157" s="60"/>
      <c r="AD157" s="60"/>
      <c r="AE157" s="60"/>
      <c r="AF157" s="60"/>
    </row>
    <row r="158" spans="1:32" s="96" customFormat="1" ht="25.5">
      <c r="A158" s="105"/>
      <c r="B158" s="125">
        <f t="shared" si="9"/>
        <v>58</v>
      </c>
      <c r="C158" s="609" t="s">
        <v>326</v>
      </c>
      <c r="D158" s="609" t="s">
        <v>564</v>
      </c>
      <c r="E158" s="611" t="s">
        <v>302</v>
      </c>
      <c r="F158" s="646">
        <v>1</v>
      </c>
      <c r="G158" s="647">
        <v>600</v>
      </c>
      <c r="H158" s="652">
        <f t="shared" si="8"/>
        <v>600</v>
      </c>
      <c r="I158" s="202"/>
      <c r="J158" s="1069"/>
      <c r="K158" s="60"/>
      <c r="L158" s="60"/>
      <c r="M158" s="60"/>
      <c r="N158" s="60"/>
      <c r="O158" s="60"/>
      <c r="P158" s="60"/>
      <c r="Q158" s="60"/>
      <c r="R158" s="60"/>
      <c r="S158" s="60"/>
      <c r="T158" s="60"/>
      <c r="U158" s="60"/>
      <c r="V158" s="60"/>
      <c r="W158" s="60"/>
      <c r="X158" s="60"/>
      <c r="Y158" s="60"/>
      <c r="Z158" s="60"/>
      <c r="AA158" s="60"/>
      <c r="AB158" s="60"/>
      <c r="AC158" s="60"/>
      <c r="AD158" s="60"/>
      <c r="AE158" s="60"/>
      <c r="AF158" s="60"/>
    </row>
    <row r="159" spans="1:32" s="96" customFormat="1" ht="25.5">
      <c r="A159" s="105"/>
      <c r="B159" s="125">
        <f t="shared" si="9"/>
        <v>59</v>
      </c>
      <c r="C159" s="609" t="s">
        <v>326</v>
      </c>
      <c r="D159" s="609" t="s">
        <v>565</v>
      </c>
      <c r="E159" s="611" t="s">
        <v>302</v>
      </c>
      <c r="F159" s="646">
        <v>1</v>
      </c>
      <c r="G159" s="647">
        <v>600</v>
      </c>
      <c r="H159" s="652">
        <f t="shared" si="8"/>
        <v>600</v>
      </c>
      <c r="I159" s="202"/>
      <c r="J159" s="1069"/>
      <c r="K159" s="60"/>
      <c r="L159" s="60"/>
      <c r="M159" s="60"/>
      <c r="N159" s="60"/>
      <c r="O159" s="60"/>
      <c r="P159" s="60"/>
      <c r="Q159" s="60"/>
      <c r="R159" s="60"/>
      <c r="S159" s="60"/>
      <c r="T159" s="60"/>
      <c r="U159" s="60"/>
      <c r="V159" s="60"/>
      <c r="W159" s="60"/>
      <c r="X159" s="60"/>
      <c r="Y159" s="60"/>
      <c r="Z159" s="60"/>
      <c r="AA159" s="60"/>
      <c r="AB159" s="60"/>
      <c r="AC159" s="60"/>
      <c r="AD159" s="60"/>
      <c r="AE159" s="60"/>
      <c r="AF159" s="60"/>
    </row>
    <row r="160" spans="1:32" s="96" customFormat="1" ht="25.5">
      <c r="A160" s="105"/>
      <c r="B160" s="125">
        <f t="shared" si="9"/>
        <v>60</v>
      </c>
      <c r="C160" s="609" t="s">
        <v>326</v>
      </c>
      <c r="D160" s="609" t="s">
        <v>1535</v>
      </c>
      <c r="E160" s="611" t="s">
        <v>302</v>
      </c>
      <c r="F160" s="646">
        <v>1</v>
      </c>
      <c r="G160" s="647">
        <v>600</v>
      </c>
      <c r="H160" s="652">
        <f t="shared" si="8"/>
        <v>600</v>
      </c>
      <c r="I160" s="202"/>
      <c r="J160" s="1069"/>
      <c r="K160" s="60"/>
      <c r="L160" s="60"/>
      <c r="M160" s="60"/>
      <c r="N160" s="60"/>
      <c r="O160" s="60"/>
      <c r="P160" s="60"/>
      <c r="Q160" s="60"/>
      <c r="R160" s="60"/>
      <c r="S160" s="60"/>
      <c r="T160" s="60"/>
      <c r="U160" s="60"/>
      <c r="V160" s="60"/>
      <c r="W160" s="60"/>
      <c r="X160" s="60"/>
      <c r="Y160" s="60"/>
      <c r="Z160" s="60"/>
      <c r="AA160" s="60"/>
      <c r="AB160" s="60"/>
      <c r="AC160" s="60"/>
      <c r="AD160" s="60"/>
      <c r="AE160" s="60"/>
      <c r="AF160" s="60"/>
    </row>
    <row r="161" spans="1:32" s="96" customFormat="1" ht="25.5">
      <c r="A161" s="105"/>
      <c r="B161" s="125">
        <f t="shared" si="9"/>
        <v>61</v>
      </c>
      <c r="C161" s="609" t="s">
        <v>327</v>
      </c>
      <c r="D161" s="609" t="s">
        <v>568</v>
      </c>
      <c r="E161" s="611" t="s">
        <v>302</v>
      </c>
      <c r="F161" s="646">
        <v>1</v>
      </c>
      <c r="G161" s="647">
        <v>600</v>
      </c>
      <c r="H161" s="652">
        <f t="shared" si="8"/>
        <v>600</v>
      </c>
      <c r="I161" s="202"/>
      <c r="J161" s="1069"/>
      <c r="K161" s="60"/>
      <c r="L161" s="60"/>
      <c r="M161" s="60"/>
      <c r="N161" s="60"/>
      <c r="O161" s="60"/>
      <c r="P161" s="60"/>
      <c r="Q161" s="60"/>
      <c r="R161" s="60"/>
      <c r="S161" s="60"/>
      <c r="T161" s="60"/>
      <c r="U161" s="60"/>
      <c r="V161" s="60"/>
      <c r="W161" s="60"/>
      <c r="X161" s="60"/>
      <c r="Y161" s="60"/>
      <c r="Z161" s="60"/>
      <c r="AA161" s="60"/>
      <c r="AB161" s="60"/>
      <c r="AC161" s="60"/>
      <c r="AD161" s="60"/>
      <c r="AE161" s="60"/>
      <c r="AF161" s="60"/>
    </row>
    <row r="162" spans="1:32" s="96" customFormat="1" ht="25.5">
      <c r="A162" s="105"/>
      <c r="B162" s="125">
        <f t="shared" si="9"/>
        <v>62</v>
      </c>
      <c r="C162" s="609" t="s">
        <v>327</v>
      </c>
      <c r="D162" s="609" t="s">
        <v>569</v>
      </c>
      <c r="E162" s="611" t="s">
        <v>302</v>
      </c>
      <c r="F162" s="646">
        <v>1</v>
      </c>
      <c r="G162" s="647">
        <v>600</v>
      </c>
      <c r="H162" s="652">
        <f t="shared" si="8"/>
        <v>600</v>
      </c>
      <c r="I162" s="202"/>
      <c r="J162" s="1069"/>
      <c r="K162" s="60"/>
      <c r="L162" s="60"/>
      <c r="M162" s="60"/>
      <c r="N162" s="60"/>
      <c r="O162" s="60"/>
      <c r="P162" s="60"/>
      <c r="Q162" s="60"/>
      <c r="R162" s="60"/>
      <c r="S162" s="60"/>
      <c r="T162" s="60"/>
      <c r="U162" s="60"/>
      <c r="V162" s="60"/>
      <c r="W162" s="60"/>
      <c r="X162" s="60"/>
      <c r="Y162" s="60"/>
      <c r="Z162" s="60"/>
      <c r="AA162" s="60"/>
      <c r="AB162" s="60"/>
      <c r="AC162" s="60"/>
      <c r="AD162" s="60"/>
      <c r="AE162" s="60"/>
      <c r="AF162" s="60"/>
    </row>
    <row r="163" spans="1:32" s="96" customFormat="1" ht="38.25">
      <c r="A163" s="105"/>
      <c r="B163" s="125">
        <f t="shared" si="9"/>
        <v>63</v>
      </c>
      <c r="C163" s="609" t="s">
        <v>327</v>
      </c>
      <c r="D163" s="609" t="s">
        <v>570</v>
      </c>
      <c r="E163" s="611" t="s">
        <v>1797</v>
      </c>
      <c r="F163" s="646">
        <v>1</v>
      </c>
      <c r="G163" s="647">
        <v>600</v>
      </c>
      <c r="H163" s="652">
        <f t="shared" si="8"/>
        <v>600</v>
      </c>
      <c r="I163" s="202"/>
      <c r="J163" s="1069"/>
      <c r="K163" s="60"/>
      <c r="L163" s="60"/>
      <c r="M163" s="60"/>
      <c r="N163" s="60"/>
      <c r="O163" s="60"/>
      <c r="P163" s="60"/>
      <c r="Q163" s="60"/>
      <c r="R163" s="60"/>
      <c r="S163" s="60"/>
      <c r="T163" s="60"/>
      <c r="U163" s="60"/>
      <c r="V163" s="60"/>
      <c r="W163" s="60"/>
      <c r="X163" s="60"/>
      <c r="Y163" s="60"/>
      <c r="Z163" s="60"/>
      <c r="AA163" s="60"/>
      <c r="AB163" s="60"/>
      <c r="AC163" s="60"/>
      <c r="AD163" s="60"/>
      <c r="AE163" s="60"/>
      <c r="AF163" s="60"/>
    </row>
    <row r="164" spans="1:32" s="96" customFormat="1" ht="38.25">
      <c r="A164" s="105"/>
      <c r="B164" s="125">
        <f t="shared" si="9"/>
        <v>64</v>
      </c>
      <c r="C164" s="610" t="s">
        <v>1536</v>
      </c>
      <c r="D164" s="610" t="s">
        <v>1537</v>
      </c>
      <c r="E164" s="611" t="s">
        <v>302</v>
      </c>
      <c r="F164" s="646">
        <v>1</v>
      </c>
      <c r="G164" s="647">
        <v>650</v>
      </c>
      <c r="H164" s="652">
        <f t="shared" ref="H164:H226" si="10">F164*G164</f>
        <v>650</v>
      </c>
      <c r="I164" s="202"/>
      <c r="J164" s="1069"/>
      <c r="K164" s="60"/>
      <c r="L164" s="60"/>
      <c r="M164" s="60"/>
      <c r="N164" s="60"/>
      <c r="O164" s="60"/>
      <c r="P164" s="60"/>
      <c r="Q164" s="60"/>
      <c r="R164" s="60"/>
      <c r="S164" s="60"/>
      <c r="T164" s="60"/>
      <c r="U164" s="60"/>
      <c r="V164" s="60"/>
      <c r="W164" s="60"/>
      <c r="X164" s="60"/>
      <c r="Y164" s="60"/>
      <c r="Z164" s="60"/>
      <c r="AA164" s="60"/>
      <c r="AB164" s="60"/>
      <c r="AC164" s="60"/>
      <c r="AD164" s="60"/>
      <c r="AE164" s="60"/>
      <c r="AF164" s="60"/>
    </row>
    <row r="165" spans="1:32" s="96" customFormat="1" ht="38.25">
      <c r="A165" s="105"/>
      <c r="B165" s="125">
        <f t="shared" si="9"/>
        <v>65</v>
      </c>
      <c r="C165" s="610" t="s">
        <v>1538</v>
      </c>
      <c r="D165" s="609" t="s">
        <v>1539</v>
      </c>
      <c r="E165" s="611" t="s">
        <v>302</v>
      </c>
      <c r="F165" s="646">
        <v>1</v>
      </c>
      <c r="G165" s="647">
        <v>600</v>
      </c>
      <c r="H165" s="652">
        <f t="shared" si="10"/>
        <v>600</v>
      </c>
      <c r="I165" s="202"/>
      <c r="J165" s="1069"/>
      <c r="K165" s="60"/>
      <c r="L165" s="60"/>
      <c r="M165" s="60"/>
      <c r="N165" s="60"/>
      <c r="O165" s="60"/>
      <c r="P165" s="60"/>
      <c r="Q165" s="60"/>
      <c r="R165" s="60"/>
      <c r="S165" s="60"/>
      <c r="T165" s="60"/>
      <c r="U165" s="60"/>
      <c r="V165" s="60"/>
      <c r="W165" s="60"/>
      <c r="X165" s="60"/>
      <c r="Y165" s="60"/>
      <c r="Z165" s="60"/>
      <c r="AA165" s="60"/>
      <c r="AB165" s="60"/>
      <c r="AC165" s="60"/>
      <c r="AD165" s="60"/>
      <c r="AE165" s="60"/>
      <c r="AF165" s="60"/>
    </row>
    <row r="166" spans="1:32" s="96" customFormat="1" ht="51">
      <c r="A166" s="105"/>
      <c r="B166" s="125">
        <f t="shared" si="9"/>
        <v>66</v>
      </c>
      <c r="C166" s="610" t="s">
        <v>1540</v>
      </c>
      <c r="D166" s="610" t="s">
        <v>1541</v>
      </c>
      <c r="E166" s="611" t="s">
        <v>295</v>
      </c>
      <c r="F166" s="646">
        <v>1</v>
      </c>
      <c r="G166" s="647">
        <v>4500</v>
      </c>
      <c r="H166" s="652">
        <f t="shared" si="10"/>
        <v>4500</v>
      </c>
      <c r="I166" s="202"/>
      <c r="J166" s="1069"/>
      <c r="K166" s="60"/>
      <c r="L166" s="60"/>
      <c r="M166" s="60"/>
      <c r="N166" s="60"/>
      <c r="O166" s="60"/>
      <c r="P166" s="60"/>
      <c r="Q166" s="60"/>
      <c r="R166" s="60"/>
      <c r="S166" s="60"/>
      <c r="T166" s="60"/>
      <c r="U166" s="60"/>
      <c r="V166" s="60"/>
      <c r="W166" s="60"/>
      <c r="X166" s="60"/>
      <c r="Y166" s="60"/>
      <c r="Z166" s="60"/>
      <c r="AA166" s="60"/>
      <c r="AB166" s="60"/>
      <c r="AC166" s="60"/>
      <c r="AD166" s="60"/>
      <c r="AE166" s="60"/>
      <c r="AF166" s="60"/>
    </row>
    <row r="167" spans="1:32" s="96" customFormat="1" ht="51">
      <c r="A167" s="105"/>
      <c r="B167" s="125">
        <f t="shared" ref="B167:B230" si="11">B166+1</f>
        <v>67</v>
      </c>
      <c r="C167" s="610" t="s">
        <v>1542</v>
      </c>
      <c r="D167" s="610" t="s">
        <v>1543</v>
      </c>
      <c r="E167" s="611" t="s">
        <v>295</v>
      </c>
      <c r="F167" s="646">
        <v>1</v>
      </c>
      <c r="G167" s="647">
        <v>4500</v>
      </c>
      <c r="H167" s="652">
        <f t="shared" si="10"/>
        <v>4500</v>
      </c>
      <c r="I167" s="202"/>
      <c r="J167" s="1069"/>
      <c r="K167" s="60"/>
      <c r="L167" s="60"/>
      <c r="M167" s="60"/>
      <c r="N167" s="60"/>
      <c r="O167" s="60"/>
      <c r="P167" s="60"/>
      <c r="Q167" s="60"/>
      <c r="R167" s="60"/>
      <c r="S167" s="60"/>
      <c r="T167" s="60"/>
      <c r="U167" s="60"/>
      <c r="V167" s="60"/>
      <c r="W167" s="60"/>
      <c r="X167" s="60"/>
      <c r="Y167" s="60"/>
      <c r="Z167" s="60"/>
      <c r="AA167" s="60"/>
      <c r="AB167" s="60"/>
      <c r="AC167" s="60"/>
      <c r="AD167" s="60"/>
      <c r="AE167" s="60"/>
      <c r="AF167" s="60"/>
    </row>
    <row r="168" spans="1:32" s="96" customFormat="1" ht="89.25">
      <c r="A168" s="105"/>
      <c r="B168" s="125">
        <f t="shared" si="11"/>
        <v>68</v>
      </c>
      <c r="C168" s="609" t="s">
        <v>1544</v>
      </c>
      <c r="D168" s="609" t="s">
        <v>668</v>
      </c>
      <c r="E168" s="608" t="s">
        <v>1508</v>
      </c>
      <c r="F168" s="646">
        <v>10</v>
      </c>
      <c r="G168" s="647">
        <v>170</v>
      </c>
      <c r="H168" s="652">
        <f t="shared" si="10"/>
        <v>1700</v>
      </c>
      <c r="I168" s="202"/>
      <c r="J168" s="1069"/>
      <c r="K168" s="60"/>
      <c r="L168" s="60"/>
      <c r="M168" s="60"/>
      <c r="N168" s="60"/>
      <c r="O168" s="60"/>
      <c r="P168" s="60"/>
      <c r="Q168" s="60"/>
      <c r="R168" s="60"/>
      <c r="S168" s="60"/>
      <c r="T168" s="60"/>
      <c r="U168" s="60"/>
      <c r="V168" s="60"/>
      <c r="W168" s="60"/>
      <c r="X168" s="60"/>
      <c r="Y168" s="60"/>
      <c r="Z168" s="60"/>
      <c r="AA168" s="60"/>
      <c r="AB168" s="60"/>
      <c r="AC168" s="60"/>
      <c r="AD168" s="60"/>
      <c r="AE168" s="60"/>
      <c r="AF168" s="60"/>
    </row>
    <row r="169" spans="1:32" s="96" customFormat="1" ht="89.25">
      <c r="A169" s="105"/>
      <c r="B169" s="125">
        <f t="shared" si="11"/>
        <v>69</v>
      </c>
      <c r="C169" s="609" t="s">
        <v>328</v>
      </c>
      <c r="D169" s="609" t="s">
        <v>668</v>
      </c>
      <c r="E169" s="608" t="s">
        <v>1508</v>
      </c>
      <c r="F169" s="646">
        <v>10</v>
      </c>
      <c r="G169" s="647">
        <v>151</v>
      </c>
      <c r="H169" s="652">
        <f t="shared" si="10"/>
        <v>1510</v>
      </c>
      <c r="I169" s="202"/>
      <c r="J169" s="1069"/>
      <c r="K169" s="60"/>
      <c r="L169" s="60"/>
      <c r="M169" s="60"/>
      <c r="N169" s="60"/>
      <c r="O169" s="60"/>
      <c r="P169" s="60"/>
      <c r="Q169" s="60"/>
      <c r="R169" s="60"/>
      <c r="S169" s="60"/>
      <c r="T169" s="60"/>
      <c r="U169" s="60"/>
      <c r="V169" s="60"/>
      <c r="W169" s="60"/>
      <c r="X169" s="60"/>
      <c r="Y169" s="60"/>
      <c r="Z169" s="60"/>
      <c r="AA169" s="60"/>
      <c r="AB169" s="60"/>
      <c r="AC169" s="60"/>
      <c r="AD169" s="60"/>
      <c r="AE169" s="60"/>
      <c r="AF169" s="60"/>
    </row>
    <row r="170" spans="1:32" s="96" customFormat="1" ht="63.75">
      <c r="A170" s="105"/>
      <c r="B170" s="125">
        <f t="shared" si="11"/>
        <v>70</v>
      </c>
      <c r="C170" s="609" t="s">
        <v>329</v>
      </c>
      <c r="D170" s="609" t="s">
        <v>1545</v>
      </c>
      <c r="E170" s="608" t="s">
        <v>1508</v>
      </c>
      <c r="F170" s="646">
        <v>2</v>
      </c>
      <c r="G170" s="647">
        <v>1428</v>
      </c>
      <c r="H170" s="652">
        <f t="shared" si="10"/>
        <v>2856</v>
      </c>
      <c r="I170" s="202"/>
      <c r="J170" s="1069"/>
      <c r="K170" s="60"/>
      <c r="L170" s="60"/>
      <c r="M170" s="60"/>
      <c r="N170" s="60"/>
      <c r="O170" s="60"/>
      <c r="P170" s="60"/>
      <c r="Q170" s="60"/>
      <c r="R170" s="60"/>
      <c r="S170" s="60"/>
      <c r="T170" s="60"/>
      <c r="U170" s="60"/>
      <c r="V170" s="60"/>
      <c r="W170" s="60"/>
      <c r="X170" s="60"/>
      <c r="Y170" s="60"/>
      <c r="Z170" s="60"/>
      <c r="AA170" s="60"/>
      <c r="AB170" s="60"/>
      <c r="AC170" s="60"/>
      <c r="AD170" s="60"/>
      <c r="AE170" s="60"/>
      <c r="AF170" s="60"/>
    </row>
    <row r="171" spans="1:32" s="96" customFormat="1" ht="102">
      <c r="A171" s="105"/>
      <c r="B171" s="125">
        <f t="shared" si="11"/>
        <v>71</v>
      </c>
      <c r="C171" s="609" t="s">
        <v>1546</v>
      </c>
      <c r="D171" s="609" t="s">
        <v>571</v>
      </c>
      <c r="E171" s="608" t="s">
        <v>1508</v>
      </c>
      <c r="F171" s="646">
        <v>5</v>
      </c>
      <c r="G171" s="647">
        <v>1200</v>
      </c>
      <c r="H171" s="652">
        <f t="shared" si="10"/>
        <v>6000</v>
      </c>
      <c r="I171" s="202"/>
      <c r="J171" s="1069"/>
      <c r="K171" s="60"/>
      <c r="L171" s="60"/>
      <c r="M171" s="60"/>
      <c r="N171" s="60"/>
      <c r="O171" s="60"/>
      <c r="P171" s="60"/>
      <c r="Q171" s="60"/>
      <c r="R171" s="60"/>
      <c r="S171" s="60"/>
      <c r="T171" s="60"/>
      <c r="U171" s="60"/>
      <c r="V171" s="60"/>
      <c r="W171" s="60"/>
      <c r="X171" s="60"/>
      <c r="Y171" s="60"/>
      <c r="Z171" s="60"/>
      <c r="AA171" s="60"/>
      <c r="AB171" s="60"/>
      <c r="AC171" s="60"/>
      <c r="AD171" s="60"/>
      <c r="AE171" s="60"/>
      <c r="AF171" s="60"/>
    </row>
    <row r="172" spans="1:32" s="96" customFormat="1" ht="38.25">
      <c r="A172" s="105"/>
      <c r="B172" s="125">
        <f t="shared" si="11"/>
        <v>72</v>
      </c>
      <c r="C172" s="609" t="s">
        <v>634</v>
      </c>
      <c r="D172" s="609" t="s">
        <v>1547</v>
      </c>
      <c r="E172" s="608" t="s">
        <v>1508</v>
      </c>
      <c r="F172" s="646">
        <v>20</v>
      </c>
      <c r="G172" s="647">
        <v>9500</v>
      </c>
      <c r="H172" s="652">
        <f t="shared" si="10"/>
        <v>190000</v>
      </c>
      <c r="I172" s="202"/>
      <c r="J172" s="1069"/>
      <c r="K172" s="60"/>
      <c r="L172" s="60"/>
      <c r="M172" s="60"/>
      <c r="N172" s="60"/>
      <c r="O172" s="60"/>
      <c r="P172" s="60"/>
      <c r="Q172" s="60"/>
      <c r="R172" s="60"/>
      <c r="S172" s="60"/>
      <c r="T172" s="60"/>
      <c r="U172" s="60"/>
      <c r="V172" s="60"/>
      <c r="W172" s="60"/>
      <c r="X172" s="60"/>
      <c r="Y172" s="60"/>
      <c r="Z172" s="60"/>
      <c r="AA172" s="60"/>
      <c r="AB172" s="60"/>
      <c r="AC172" s="60"/>
      <c r="AD172" s="60"/>
      <c r="AE172" s="60"/>
      <c r="AF172" s="60"/>
    </row>
    <row r="173" spans="1:32" s="96" customFormat="1" ht="63.75">
      <c r="A173" s="105"/>
      <c r="B173" s="125">
        <f t="shared" si="11"/>
        <v>73</v>
      </c>
      <c r="C173" s="609" t="s">
        <v>635</v>
      </c>
      <c r="D173" s="609" t="s">
        <v>1548</v>
      </c>
      <c r="E173" s="608" t="s">
        <v>1508</v>
      </c>
      <c r="F173" s="646">
        <v>5</v>
      </c>
      <c r="G173" s="647">
        <v>9900</v>
      </c>
      <c r="H173" s="652">
        <f t="shared" si="10"/>
        <v>49500</v>
      </c>
      <c r="I173" s="202"/>
      <c r="J173" s="1069"/>
      <c r="K173" s="60"/>
      <c r="L173" s="60"/>
      <c r="M173" s="60"/>
      <c r="N173" s="60"/>
      <c r="O173" s="60"/>
      <c r="P173" s="60"/>
      <c r="Q173" s="60"/>
      <c r="R173" s="60"/>
      <c r="S173" s="60"/>
      <c r="T173" s="60"/>
      <c r="U173" s="60"/>
      <c r="V173" s="60"/>
      <c r="W173" s="60"/>
      <c r="X173" s="60"/>
      <c r="Y173" s="60"/>
      <c r="Z173" s="60"/>
      <c r="AA173" s="60"/>
      <c r="AB173" s="60"/>
      <c r="AC173" s="60"/>
      <c r="AD173" s="60"/>
      <c r="AE173" s="60"/>
      <c r="AF173" s="60"/>
    </row>
    <row r="174" spans="1:32" s="96" customFormat="1" ht="63.75">
      <c r="A174" s="105"/>
      <c r="B174" s="125">
        <f t="shared" si="11"/>
        <v>74</v>
      </c>
      <c r="C174" s="609" t="s">
        <v>636</v>
      </c>
      <c r="D174" s="609" t="s">
        <v>1549</v>
      </c>
      <c r="E174" s="608" t="s">
        <v>1508</v>
      </c>
      <c r="F174" s="646">
        <v>10</v>
      </c>
      <c r="G174" s="647">
        <v>12200</v>
      </c>
      <c r="H174" s="652">
        <f t="shared" si="10"/>
        <v>122000</v>
      </c>
      <c r="I174" s="202"/>
      <c r="J174" s="1069"/>
      <c r="K174" s="60"/>
      <c r="L174" s="60"/>
      <c r="M174" s="60"/>
      <c r="N174" s="60"/>
      <c r="O174" s="60"/>
      <c r="P174" s="60"/>
      <c r="Q174" s="60"/>
      <c r="R174" s="60"/>
      <c r="S174" s="60"/>
      <c r="T174" s="60"/>
      <c r="U174" s="60"/>
      <c r="V174" s="60"/>
      <c r="W174" s="60"/>
      <c r="X174" s="60"/>
      <c r="Y174" s="60"/>
      <c r="Z174" s="60"/>
      <c r="AA174" s="60"/>
      <c r="AB174" s="60"/>
      <c r="AC174" s="60"/>
      <c r="AD174" s="60"/>
      <c r="AE174" s="60"/>
      <c r="AF174" s="60"/>
    </row>
    <row r="175" spans="1:32" s="96" customFormat="1" ht="76.5" customHeight="1">
      <c r="A175" s="105"/>
      <c r="B175" s="125">
        <f t="shared" si="11"/>
        <v>75</v>
      </c>
      <c r="C175" s="609" t="s">
        <v>331</v>
      </c>
      <c r="D175" s="609" t="s">
        <v>1550</v>
      </c>
      <c r="E175" s="608" t="s">
        <v>1508</v>
      </c>
      <c r="F175" s="646">
        <v>30</v>
      </c>
      <c r="G175" s="647">
        <v>980</v>
      </c>
      <c r="H175" s="652">
        <f t="shared" si="10"/>
        <v>29400</v>
      </c>
      <c r="I175" s="202"/>
      <c r="J175" s="1069"/>
      <c r="K175" s="60"/>
      <c r="L175" s="60"/>
      <c r="M175" s="60"/>
      <c r="N175" s="60"/>
      <c r="O175" s="60"/>
      <c r="P175" s="60"/>
      <c r="Q175" s="60"/>
      <c r="R175" s="60"/>
      <c r="S175" s="60"/>
      <c r="T175" s="60"/>
      <c r="U175" s="60"/>
      <c r="V175" s="60"/>
      <c r="W175" s="60"/>
      <c r="X175" s="60"/>
      <c r="Y175" s="60"/>
      <c r="Z175" s="60"/>
      <c r="AA175" s="60"/>
      <c r="AB175" s="60"/>
      <c r="AC175" s="60"/>
      <c r="AD175" s="60"/>
      <c r="AE175" s="60"/>
      <c r="AF175" s="60"/>
    </row>
    <row r="176" spans="1:32" s="96" customFormat="1" ht="63.75">
      <c r="A176" s="105"/>
      <c r="B176" s="125">
        <f t="shared" si="11"/>
        <v>76</v>
      </c>
      <c r="C176" s="609" t="s">
        <v>637</v>
      </c>
      <c r="D176" s="609" t="s">
        <v>1551</v>
      </c>
      <c r="E176" s="608" t="s">
        <v>1508</v>
      </c>
      <c r="F176" s="646">
        <v>20</v>
      </c>
      <c r="G176" s="647">
        <v>2800</v>
      </c>
      <c r="H176" s="652">
        <f t="shared" si="10"/>
        <v>56000</v>
      </c>
      <c r="I176" s="202"/>
      <c r="J176" s="1069"/>
      <c r="K176" s="60"/>
      <c r="L176" s="60"/>
      <c r="M176" s="60"/>
      <c r="N176" s="60"/>
      <c r="O176" s="60"/>
      <c r="P176" s="60"/>
      <c r="Q176" s="60"/>
      <c r="R176" s="60"/>
      <c r="S176" s="60"/>
      <c r="T176" s="60"/>
      <c r="U176" s="60"/>
      <c r="V176" s="60"/>
      <c r="W176" s="60"/>
      <c r="X176" s="60"/>
      <c r="Y176" s="60"/>
      <c r="Z176" s="60"/>
      <c r="AA176" s="60"/>
      <c r="AB176" s="60"/>
      <c r="AC176" s="60"/>
      <c r="AD176" s="60"/>
      <c r="AE176" s="60"/>
      <c r="AF176" s="60"/>
    </row>
    <row r="177" spans="1:32" s="96" customFormat="1" ht="51">
      <c r="A177" s="105"/>
      <c r="B177" s="125">
        <f t="shared" si="11"/>
        <v>77</v>
      </c>
      <c r="C177" s="609" t="s">
        <v>638</v>
      </c>
      <c r="D177" s="609" t="s">
        <v>669</v>
      </c>
      <c r="E177" s="608" t="s">
        <v>1508</v>
      </c>
      <c r="F177" s="646">
        <v>1</v>
      </c>
      <c r="G177" s="647">
        <v>3480</v>
      </c>
      <c r="H177" s="652">
        <f t="shared" si="10"/>
        <v>3480</v>
      </c>
      <c r="I177" s="202"/>
      <c r="J177" s="1069"/>
      <c r="K177" s="60"/>
      <c r="L177" s="60"/>
      <c r="M177" s="60"/>
      <c r="N177" s="60"/>
      <c r="O177" s="60"/>
      <c r="P177" s="60"/>
      <c r="Q177" s="60"/>
      <c r="R177" s="60"/>
      <c r="S177" s="60"/>
      <c r="T177" s="60"/>
      <c r="U177" s="60"/>
      <c r="V177" s="60"/>
      <c r="W177" s="60"/>
      <c r="X177" s="60"/>
      <c r="Y177" s="60"/>
      <c r="Z177" s="60"/>
      <c r="AA177" s="60"/>
      <c r="AB177" s="60"/>
      <c r="AC177" s="60"/>
      <c r="AD177" s="60"/>
      <c r="AE177" s="60"/>
      <c r="AF177" s="60"/>
    </row>
    <row r="178" spans="1:32" s="96" customFormat="1" ht="41.25" customHeight="1">
      <c r="A178" s="105"/>
      <c r="B178" s="125">
        <f t="shared" si="11"/>
        <v>78</v>
      </c>
      <c r="C178" s="609" t="s">
        <v>2432</v>
      </c>
      <c r="D178" s="609" t="s">
        <v>1552</v>
      </c>
      <c r="E178" s="608" t="s">
        <v>1508</v>
      </c>
      <c r="F178" s="646">
        <v>6</v>
      </c>
      <c r="G178" s="647">
        <v>9900</v>
      </c>
      <c r="H178" s="652">
        <f t="shared" si="10"/>
        <v>59400</v>
      </c>
      <c r="I178" s="202"/>
      <c r="J178" s="1069"/>
      <c r="K178" s="60"/>
      <c r="L178" s="60"/>
      <c r="M178" s="60"/>
      <c r="N178" s="60"/>
      <c r="O178" s="60"/>
      <c r="P178" s="60"/>
      <c r="Q178" s="60"/>
      <c r="R178" s="60"/>
      <c r="S178" s="60"/>
      <c r="T178" s="60"/>
      <c r="U178" s="60"/>
      <c r="V178" s="60"/>
      <c r="W178" s="60"/>
      <c r="X178" s="60"/>
      <c r="Y178" s="60"/>
      <c r="Z178" s="60"/>
      <c r="AA178" s="60"/>
      <c r="AB178" s="60"/>
      <c r="AC178" s="60"/>
      <c r="AD178" s="60"/>
      <c r="AE178" s="60"/>
      <c r="AF178" s="60"/>
    </row>
    <row r="179" spans="1:32" s="96" customFormat="1" ht="38.25">
      <c r="A179" s="105"/>
      <c r="B179" s="125">
        <f t="shared" si="11"/>
        <v>79</v>
      </c>
      <c r="C179" s="609" t="s">
        <v>639</v>
      </c>
      <c r="D179" s="609" t="s">
        <v>670</v>
      </c>
      <c r="E179" s="608" t="s">
        <v>1508</v>
      </c>
      <c r="F179" s="646">
        <v>6</v>
      </c>
      <c r="G179" s="647">
        <v>26500</v>
      </c>
      <c r="H179" s="652">
        <f t="shared" si="10"/>
        <v>159000</v>
      </c>
      <c r="I179" s="202"/>
      <c r="J179" s="1069"/>
      <c r="K179" s="60"/>
      <c r="L179" s="60"/>
      <c r="M179" s="60"/>
      <c r="N179" s="60"/>
      <c r="O179" s="60"/>
      <c r="P179" s="60"/>
      <c r="Q179" s="60"/>
      <c r="R179" s="60"/>
      <c r="S179" s="60"/>
      <c r="T179" s="60"/>
      <c r="U179" s="60"/>
      <c r="V179" s="60"/>
      <c r="W179" s="60"/>
      <c r="X179" s="60"/>
      <c r="Y179" s="60"/>
      <c r="Z179" s="60"/>
      <c r="AA179" s="60"/>
      <c r="AB179" s="60"/>
      <c r="AC179" s="60"/>
      <c r="AD179" s="60"/>
      <c r="AE179" s="60"/>
      <c r="AF179" s="60"/>
    </row>
    <row r="180" spans="1:32" s="96" customFormat="1" ht="25.5">
      <c r="A180" s="105"/>
      <c r="B180" s="125">
        <f t="shared" si="11"/>
        <v>80</v>
      </c>
      <c r="C180" s="609" t="s">
        <v>332</v>
      </c>
      <c r="D180" s="609" t="s">
        <v>1553</v>
      </c>
      <c r="E180" s="608" t="s">
        <v>1508</v>
      </c>
      <c r="F180" s="646">
        <v>30</v>
      </c>
      <c r="G180" s="647">
        <v>350</v>
      </c>
      <c r="H180" s="652">
        <f t="shared" si="10"/>
        <v>10500</v>
      </c>
      <c r="I180" s="202"/>
      <c r="J180" s="1069"/>
      <c r="K180" s="60"/>
      <c r="L180" s="60"/>
      <c r="M180" s="60"/>
      <c r="N180" s="60"/>
      <c r="O180" s="60"/>
      <c r="P180" s="60"/>
      <c r="Q180" s="60"/>
      <c r="R180" s="60"/>
      <c r="S180" s="60"/>
      <c r="T180" s="60"/>
      <c r="U180" s="60"/>
      <c r="V180" s="60"/>
      <c r="W180" s="60"/>
      <c r="X180" s="60"/>
      <c r="Y180" s="60"/>
      <c r="Z180" s="60"/>
      <c r="AA180" s="60"/>
      <c r="AB180" s="60"/>
      <c r="AC180" s="60"/>
      <c r="AD180" s="60"/>
      <c r="AE180" s="60"/>
      <c r="AF180" s="60"/>
    </row>
    <row r="181" spans="1:32" s="96" customFormat="1" ht="25.5">
      <c r="A181" s="105"/>
      <c r="B181" s="125">
        <f t="shared" si="11"/>
        <v>81</v>
      </c>
      <c r="C181" s="609" t="s">
        <v>332</v>
      </c>
      <c r="D181" s="609" t="s">
        <v>572</v>
      </c>
      <c r="E181" s="608" t="s">
        <v>1508</v>
      </c>
      <c r="F181" s="646">
        <v>10</v>
      </c>
      <c r="G181" s="647">
        <v>350</v>
      </c>
      <c r="H181" s="652">
        <f t="shared" si="10"/>
        <v>3500</v>
      </c>
      <c r="I181" s="202"/>
      <c r="J181" s="1069"/>
      <c r="K181" s="60"/>
      <c r="L181" s="60"/>
      <c r="M181" s="60"/>
      <c r="N181" s="60"/>
      <c r="O181" s="60"/>
      <c r="P181" s="60"/>
      <c r="Q181" s="60"/>
      <c r="R181" s="60"/>
      <c r="S181" s="60"/>
      <c r="T181" s="60"/>
      <c r="U181" s="60"/>
      <c r="V181" s="60"/>
      <c r="W181" s="60"/>
      <c r="X181" s="60"/>
      <c r="Y181" s="60"/>
      <c r="Z181" s="60"/>
      <c r="AA181" s="60"/>
      <c r="AB181" s="60"/>
      <c r="AC181" s="60"/>
      <c r="AD181" s="60"/>
      <c r="AE181" s="60"/>
      <c r="AF181" s="60"/>
    </row>
    <row r="182" spans="1:32" s="96" customFormat="1" ht="114" customHeight="1">
      <c r="A182" s="105"/>
      <c r="B182" s="125">
        <f t="shared" si="11"/>
        <v>82</v>
      </c>
      <c r="C182" s="609" t="s">
        <v>333</v>
      </c>
      <c r="D182" s="609" t="s">
        <v>573</v>
      </c>
      <c r="E182" s="608" t="s">
        <v>1508</v>
      </c>
      <c r="F182" s="646">
        <v>10</v>
      </c>
      <c r="G182" s="647">
        <v>1964</v>
      </c>
      <c r="H182" s="652">
        <f t="shared" si="10"/>
        <v>19640</v>
      </c>
      <c r="I182" s="202"/>
      <c r="J182" s="1069"/>
      <c r="K182" s="60"/>
      <c r="L182" s="60"/>
      <c r="M182" s="60"/>
      <c r="N182" s="60"/>
      <c r="O182" s="60"/>
      <c r="P182" s="60"/>
      <c r="Q182" s="60"/>
      <c r="R182" s="60"/>
      <c r="S182" s="60"/>
      <c r="T182" s="60"/>
      <c r="U182" s="60"/>
      <c r="V182" s="60"/>
      <c r="W182" s="60"/>
      <c r="X182" s="60"/>
      <c r="Y182" s="60"/>
      <c r="Z182" s="60"/>
      <c r="AA182" s="60"/>
      <c r="AB182" s="60"/>
      <c r="AC182" s="60"/>
      <c r="AD182" s="60"/>
      <c r="AE182" s="60"/>
      <c r="AF182" s="60"/>
    </row>
    <row r="183" spans="1:32" s="96" customFormat="1" ht="140.25" customHeight="1">
      <c r="A183" s="105"/>
      <c r="B183" s="125">
        <f t="shared" si="11"/>
        <v>83</v>
      </c>
      <c r="C183" s="609" t="s">
        <v>334</v>
      </c>
      <c r="D183" s="609" t="s">
        <v>573</v>
      </c>
      <c r="E183" s="608" t="s">
        <v>1508</v>
      </c>
      <c r="F183" s="646">
        <v>10</v>
      </c>
      <c r="G183" s="647">
        <v>2276</v>
      </c>
      <c r="H183" s="652">
        <f t="shared" si="10"/>
        <v>22760</v>
      </c>
      <c r="I183" s="202"/>
      <c r="J183" s="1069"/>
      <c r="K183" s="60"/>
      <c r="L183" s="60"/>
      <c r="M183" s="60"/>
      <c r="N183" s="60"/>
      <c r="O183" s="60"/>
      <c r="P183" s="60"/>
      <c r="Q183" s="60"/>
      <c r="R183" s="60"/>
      <c r="S183" s="60"/>
      <c r="T183" s="60"/>
      <c r="U183" s="60"/>
      <c r="V183" s="60"/>
      <c r="W183" s="60"/>
      <c r="X183" s="60"/>
      <c r="Y183" s="60"/>
      <c r="Z183" s="60"/>
      <c r="AA183" s="60"/>
      <c r="AB183" s="60"/>
      <c r="AC183" s="60"/>
      <c r="AD183" s="60"/>
      <c r="AE183" s="60"/>
      <c r="AF183" s="60"/>
    </row>
    <row r="184" spans="1:32" s="96" customFormat="1" ht="51">
      <c r="A184" s="105"/>
      <c r="B184" s="125">
        <f t="shared" si="11"/>
        <v>84</v>
      </c>
      <c r="C184" s="609" t="s">
        <v>335</v>
      </c>
      <c r="D184" s="609" t="s">
        <v>574</v>
      </c>
      <c r="E184" s="608" t="s">
        <v>1508</v>
      </c>
      <c r="F184" s="646">
        <v>3</v>
      </c>
      <c r="G184" s="647">
        <v>33035</v>
      </c>
      <c r="H184" s="652">
        <f t="shared" si="10"/>
        <v>99105</v>
      </c>
      <c r="I184" s="202"/>
      <c r="J184" s="1069"/>
      <c r="K184" s="60"/>
      <c r="L184" s="60"/>
      <c r="M184" s="60"/>
      <c r="N184" s="60"/>
      <c r="O184" s="60"/>
      <c r="P184" s="60"/>
      <c r="Q184" s="60"/>
      <c r="R184" s="60"/>
      <c r="S184" s="60"/>
      <c r="T184" s="60"/>
      <c r="U184" s="60"/>
      <c r="V184" s="60"/>
      <c r="W184" s="60"/>
      <c r="X184" s="60"/>
      <c r="Y184" s="60"/>
      <c r="Z184" s="60"/>
      <c r="AA184" s="60"/>
      <c r="AB184" s="60"/>
      <c r="AC184" s="60"/>
      <c r="AD184" s="60"/>
      <c r="AE184" s="60"/>
      <c r="AF184" s="60"/>
    </row>
    <row r="185" spans="1:32" s="96" customFormat="1" ht="38.25">
      <c r="A185" s="105"/>
      <c r="B185" s="125">
        <f t="shared" si="11"/>
        <v>85</v>
      </c>
      <c r="C185" s="609" t="s">
        <v>1554</v>
      </c>
      <c r="D185" s="610" t="s">
        <v>1555</v>
      </c>
      <c r="E185" s="611" t="s">
        <v>302</v>
      </c>
      <c r="F185" s="646">
        <v>1</v>
      </c>
      <c r="G185" s="647">
        <v>5500</v>
      </c>
      <c r="H185" s="652">
        <f t="shared" si="10"/>
        <v>5500</v>
      </c>
      <c r="I185" s="202"/>
      <c r="J185" s="1069"/>
      <c r="K185" s="60"/>
      <c r="L185" s="60"/>
      <c r="M185" s="60"/>
      <c r="N185" s="60"/>
      <c r="O185" s="60"/>
      <c r="P185" s="60"/>
      <c r="Q185" s="60"/>
      <c r="R185" s="60"/>
      <c r="S185" s="60"/>
      <c r="T185" s="60"/>
      <c r="U185" s="60"/>
      <c r="V185" s="60"/>
      <c r="W185" s="60"/>
      <c r="X185" s="60"/>
      <c r="Y185" s="60"/>
      <c r="Z185" s="60"/>
      <c r="AA185" s="60"/>
      <c r="AB185" s="60"/>
      <c r="AC185" s="60"/>
      <c r="AD185" s="60"/>
      <c r="AE185" s="60"/>
      <c r="AF185" s="60"/>
    </row>
    <row r="186" spans="1:32" s="96" customFormat="1" ht="25.5">
      <c r="A186" s="105"/>
      <c r="B186" s="125">
        <f t="shared" si="11"/>
        <v>86</v>
      </c>
      <c r="C186" s="609" t="s">
        <v>1554</v>
      </c>
      <c r="D186" s="610" t="s">
        <v>1556</v>
      </c>
      <c r="E186" s="611" t="s">
        <v>302</v>
      </c>
      <c r="F186" s="646">
        <v>5</v>
      </c>
      <c r="G186" s="647">
        <v>1850</v>
      </c>
      <c r="H186" s="652">
        <f t="shared" si="10"/>
        <v>9250</v>
      </c>
      <c r="I186" s="202"/>
      <c r="J186" s="1069"/>
      <c r="K186" s="60"/>
      <c r="L186" s="60"/>
      <c r="M186" s="60"/>
      <c r="N186" s="60"/>
      <c r="O186" s="60"/>
      <c r="P186" s="60"/>
      <c r="Q186" s="60"/>
      <c r="R186" s="60"/>
      <c r="S186" s="60"/>
      <c r="T186" s="60"/>
      <c r="U186" s="60"/>
      <c r="V186" s="60"/>
      <c r="W186" s="60"/>
      <c r="X186" s="60"/>
      <c r="Y186" s="60"/>
      <c r="Z186" s="60"/>
      <c r="AA186" s="60"/>
      <c r="AB186" s="60"/>
      <c r="AC186" s="60"/>
      <c r="AD186" s="60"/>
      <c r="AE186" s="60"/>
      <c r="AF186" s="60"/>
    </row>
    <row r="187" spans="1:32" s="96" customFormat="1" ht="38.25">
      <c r="A187" s="105"/>
      <c r="B187" s="125">
        <f t="shared" si="11"/>
        <v>87</v>
      </c>
      <c r="C187" s="609" t="s">
        <v>336</v>
      </c>
      <c r="D187" s="609" t="s">
        <v>671</v>
      </c>
      <c r="E187" s="608" t="s">
        <v>1508</v>
      </c>
      <c r="F187" s="646">
        <v>150</v>
      </c>
      <c r="G187" s="647">
        <v>1400</v>
      </c>
      <c r="H187" s="652">
        <f t="shared" si="10"/>
        <v>210000</v>
      </c>
      <c r="I187" s="202"/>
      <c r="J187" s="1069"/>
      <c r="K187" s="60"/>
      <c r="L187" s="60"/>
      <c r="M187" s="60"/>
      <c r="N187" s="60"/>
      <c r="O187" s="60"/>
      <c r="P187" s="60"/>
      <c r="Q187" s="60"/>
      <c r="R187" s="60"/>
      <c r="S187" s="60"/>
      <c r="T187" s="60"/>
      <c r="U187" s="60"/>
      <c r="V187" s="60"/>
      <c r="W187" s="60"/>
      <c r="X187" s="60"/>
      <c r="Y187" s="60"/>
      <c r="Z187" s="60"/>
      <c r="AA187" s="60"/>
      <c r="AB187" s="60"/>
      <c r="AC187" s="60"/>
      <c r="AD187" s="60"/>
      <c r="AE187" s="60"/>
      <c r="AF187" s="60"/>
    </row>
    <row r="188" spans="1:32" s="96" customFormat="1" ht="38.25">
      <c r="A188" s="105"/>
      <c r="B188" s="125">
        <f t="shared" si="11"/>
        <v>88</v>
      </c>
      <c r="C188" s="609" t="s">
        <v>337</v>
      </c>
      <c r="D188" s="609" t="s">
        <v>672</v>
      </c>
      <c r="E188" s="608" t="s">
        <v>1508</v>
      </c>
      <c r="F188" s="646">
        <v>150</v>
      </c>
      <c r="G188" s="647">
        <v>1700</v>
      </c>
      <c r="H188" s="652">
        <f t="shared" si="10"/>
        <v>255000</v>
      </c>
      <c r="I188" s="202"/>
      <c r="J188" s="1069"/>
      <c r="K188" s="60"/>
      <c r="L188" s="60"/>
      <c r="M188" s="60"/>
      <c r="N188" s="60"/>
      <c r="O188" s="60"/>
      <c r="P188" s="60"/>
      <c r="Q188" s="60"/>
      <c r="R188" s="60"/>
      <c r="S188" s="60"/>
      <c r="T188" s="60"/>
      <c r="U188" s="60"/>
      <c r="V188" s="60"/>
      <c r="W188" s="60"/>
      <c r="X188" s="60"/>
      <c r="Y188" s="60"/>
      <c r="Z188" s="60"/>
      <c r="AA188" s="60"/>
      <c r="AB188" s="60"/>
      <c r="AC188" s="60"/>
      <c r="AD188" s="60"/>
      <c r="AE188" s="60"/>
      <c r="AF188" s="60"/>
    </row>
    <row r="189" spans="1:32" s="96" customFormat="1" ht="38.25">
      <c r="A189" s="105"/>
      <c r="B189" s="125">
        <f t="shared" si="11"/>
        <v>89</v>
      </c>
      <c r="C189" s="609" t="s">
        <v>338</v>
      </c>
      <c r="D189" s="609" t="s">
        <v>673</v>
      </c>
      <c r="E189" s="608" t="s">
        <v>1508</v>
      </c>
      <c r="F189" s="646">
        <v>600</v>
      </c>
      <c r="G189" s="647">
        <v>750</v>
      </c>
      <c r="H189" s="652">
        <f t="shared" si="10"/>
        <v>450000</v>
      </c>
      <c r="I189" s="202"/>
      <c r="J189" s="1069"/>
      <c r="K189" s="60"/>
      <c r="L189" s="60"/>
      <c r="M189" s="60"/>
      <c r="N189" s="60"/>
      <c r="O189" s="60"/>
      <c r="P189" s="60"/>
      <c r="Q189" s="60"/>
      <c r="R189" s="60"/>
      <c r="S189" s="60"/>
      <c r="T189" s="60"/>
      <c r="U189" s="60"/>
      <c r="V189" s="60"/>
      <c r="W189" s="60"/>
      <c r="X189" s="60"/>
      <c r="Y189" s="60"/>
      <c r="Z189" s="60"/>
      <c r="AA189" s="60"/>
      <c r="AB189" s="60"/>
      <c r="AC189" s="60"/>
      <c r="AD189" s="60"/>
      <c r="AE189" s="60"/>
      <c r="AF189" s="60"/>
    </row>
    <row r="190" spans="1:32" s="96" customFormat="1" ht="38.25">
      <c r="A190" s="105"/>
      <c r="B190" s="606">
        <f t="shared" si="11"/>
        <v>90</v>
      </c>
      <c r="C190" s="614" t="s">
        <v>1557</v>
      </c>
      <c r="D190" s="609" t="s">
        <v>1558</v>
      </c>
      <c r="E190" s="608" t="s">
        <v>1508</v>
      </c>
      <c r="F190" s="646">
        <v>50</v>
      </c>
      <c r="G190" s="647">
        <v>1000</v>
      </c>
      <c r="H190" s="652">
        <f t="shared" si="10"/>
        <v>50000</v>
      </c>
      <c r="I190" s="202"/>
      <c r="J190" s="1069"/>
      <c r="K190" s="60"/>
      <c r="L190" s="60"/>
      <c r="M190" s="60"/>
      <c r="N190" s="60"/>
      <c r="O190" s="60"/>
      <c r="P190" s="60"/>
      <c r="Q190" s="60"/>
      <c r="R190" s="60"/>
      <c r="S190" s="60"/>
      <c r="T190" s="60"/>
      <c r="U190" s="60"/>
      <c r="V190" s="60"/>
      <c r="W190" s="60"/>
      <c r="X190" s="60"/>
      <c r="Y190" s="60"/>
      <c r="Z190" s="60"/>
      <c r="AA190" s="60"/>
      <c r="AB190" s="60"/>
      <c r="AC190" s="60"/>
      <c r="AD190" s="60"/>
      <c r="AE190" s="60"/>
      <c r="AF190" s="60"/>
    </row>
    <row r="191" spans="1:32" s="96" customFormat="1" ht="38.25">
      <c r="A191" s="105"/>
      <c r="B191" s="125">
        <f t="shared" si="11"/>
        <v>91</v>
      </c>
      <c r="C191" s="615" t="s">
        <v>1559</v>
      </c>
      <c r="D191" s="1085" t="s">
        <v>1560</v>
      </c>
      <c r="E191" s="608" t="s">
        <v>1508</v>
      </c>
      <c r="F191" s="648">
        <v>200</v>
      </c>
      <c r="G191" s="1336">
        <v>60</v>
      </c>
      <c r="H191" s="652">
        <f t="shared" si="10"/>
        <v>12000</v>
      </c>
      <c r="I191" s="202"/>
      <c r="J191" s="1069"/>
      <c r="K191" s="60"/>
      <c r="L191" s="60"/>
      <c r="M191" s="60"/>
      <c r="N191" s="60"/>
      <c r="O191" s="60"/>
      <c r="P191" s="60"/>
      <c r="Q191" s="60"/>
      <c r="R191" s="60"/>
      <c r="S191" s="60"/>
      <c r="T191" s="60"/>
      <c r="U191" s="60"/>
      <c r="V191" s="60"/>
      <c r="W191" s="60"/>
      <c r="X191" s="60"/>
      <c r="Y191" s="60"/>
      <c r="Z191" s="60"/>
      <c r="AA191" s="60"/>
      <c r="AB191" s="60"/>
      <c r="AC191" s="60"/>
      <c r="AD191" s="60"/>
      <c r="AE191" s="60"/>
      <c r="AF191" s="60"/>
    </row>
    <row r="192" spans="1:32" s="96" customFormat="1" ht="25.5">
      <c r="A192" s="105"/>
      <c r="B192" s="125">
        <f t="shared" si="11"/>
        <v>92</v>
      </c>
      <c r="C192" s="609" t="s">
        <v>339</v>
      </c>
      <c r="D192" s="609" t="s">
        <v>1561</v>
      </c>
      <c r="E192" s="608" t="s">
        <v>295</v>
      </c>
      <c r="F192" s="646">
        <v>60</v>
      </c>
      <c r="G192" s="1050">
        <v>2670</v>
      </c>
      <c r="H192" s="652">
        <f t="shared" si="10"/>
        <v>160200</v>
      </c>
      <c r="I192" s="202"/>
      <c r="J192" s="1069"/>
      <c r="K192" s="60"/>
      <c r="L192" s="60"/>
      <c r="M192" s="60"/>
      <c r="N192" s="60"/>
      <c r="O192" s="60"/>
      <c r="P192" s="60"/>
      <c r="Q192" s="60"/>
      <c r="R192" s="60"/>
      <c r="S192" s="60"/>
      <c r="T192" s="60"/>
      <c r="U192" s="60"/>
      <c r="V192" s="60"/>
      <c r="W192" s="60"/>
      <c r="X192" s="60"/>
      <c r="Y192" s="60"/>
      <c r="Z192" s="60"/>
      <c r="AA192" s="60"/>
      <c r="AB192" s="60"/>
      <c r="AC192" s="60"/>
      <c r="AD192" s="60"/>
      <c r="AE192" s="60"/>
      <c r="AF192" s="60"/>
    </row>
    <row r="193" spans="1:32" s="96" customFormat="1" ht="38.25">
      <c r="A193" s="105"/>
      <c r="B193" s="125">
        <f t="shared" si="11"/>
        <v>93</v>
      </c>
      <c r="C193" s="609" t="s">
        <v>340</v>
      </c>
      <c r="D193" s="609" t="s">
        <v>674</v>
      </c>
      <c r="E193" s="608" t="s">
        <v>295</v>
      </c>
      <c r="F193" s="646">
        <v>50</v>
      </c>
      <c r="G193" s="1050">
        <v>982</v>
      </c>
      <c r="H193" s="652">
        <f t="shared" si="10"/>
        <v>49100</v>
      </c>
      <c r="I193" s="202"/>
      <c r="J193" s="1069"/>
      <c r="K193" s="60"/>
      <c r="L193" s="60"/>
      <c r="M193" s="60"/>
      <c r="N193" s="60"/>
      <c r="O193" s="60"/>
      <c r="P193" s="60"/>
      <c r="Q193" s="60"/>
      <c r="R193" s="60"/>
      <c r="S193" s="60"/>
      <c r="T193" s="60"/>
      <c r="U193" s="60"/>
      <c r="V193" s="60"/>
      <c r="W193" s="60"/>
      <c r="X193" s="60"/>
      <c r="Y193" s="60"/>
      <c r="Z193" s="60"/>
      <c r="AA193" s="60"/>
      <c r="AB193" s="60"/>
      <c r="AC193" s="60"/>
      <c r="AD193" s="60"/>
      <c r="AE193" s="60"/>
      <c r="AF193" s="60"/>
    </row>
    <row r="194" spans="1:32" s="96" customFormat="1" ht="141.75" customHeight="1">
      <c r="A194" s="105"/>
      <c r="B194" s="125">
        <f t="shared" si="11"/>
        <v>94</v>
      </c>
      <c r="C194" s="1064" t="s">
        <v>1562</v>
      </c>
      <c r="D194" s="609" t="s">
        <v>1563</v>
      </c>
      <c r="E194" s="608" t="s">
        <v>1508</v>
      </c>
      <c r="F194" s="646">
        <v>110</v>
      </c>
      <c r="G194" s="1050">
        <v>14000</v>
      </c>
      <c r="H194" s="652">
        <f t="shared" si="10"/>
        <v>1540000</v>
      </c>
      <c r="I194" s="202"/>
      <c r="J194" s="1069"/>
      <c r="K194" s="60"/>
      <c r="L194" s="60"/>
      <c r="M194" s="60"/>
      <c r="N194" s="60"/>
      <c r="O194" s="60"/>
      <c r="P194" s="60"/>
      <c r="Q194" s="60"/>
      <c r="R194" s="60"/>
      <c r="S194" s="60"/>
      <c r="T194" s="60"/>
      <c r="U194" s="60"/>
      <c r="V194" s="60"/>
      <c r="W194" s="60"/>
      <c r="X194" s="60"/>
      <c r="Y194" s="60"/>
      <c r="Z194" s="60"/>
      <c r="AA194" s="60"/>
      <c r="AB194" s="60"/>
      <c r="AC194" s="60"/>
      <c r="AD194" s="60"/>
      <c r="AE194" s="60"/>
      <c r="AF194" s="60"/>
    </row>
    <row r="195" spans="1:32" s="96" customFormat="1" ht="63.75">
      <c r="A195" s="105"/>
      <c r="B195" s="125">
        <f t="shared" si="11"/>
        <v>95</v>
      </c>
      <c r="C195" s="609" t="s">
        <v>341</v>
      </c>
      <c r="D195" s="609" t="s">
        <v>776</v>
      </c>
      <c r="E195" s="608" t="s">
        <v>1508</v>
      </c>
      <c r="F195" s="646">
        <v>20</v>
      </c>
      <c r="G195" s="1050">
        <v>15178</v>
      </c>
      <c r="H195" s="652">
        <f t="shared" si="10"/>
        <v>303560</v>
      </c>
      <c r="I195" s="202"/>
      <c r="J195" s="1069"/>
      <c r="K195" s="60"/>
      <c r="L195" s="60"/>
      <c r="M195" s="60"/>
      <c r="N195" s="60"/>
      <c r="O195" s="60"/>
      <c r="P195" s="60"/>
      <c r="Q195" s="60"/>
      <c r="R195" s="60"/>
      <c r="S195" s="60"/>
      <c r="T195" s="60"/>
      <c r="U195" s="60"/>
      <c r="V195" s="60"/>
      <c r="W195" s="60"/>
      <c r="X195" s="60"/>
      <c r="Y195" s="60"/>
      <c r="Z195" s="60"/>
      <c r="AA195" s="60"/>
      <c r="AB195" s="60"/>
      <c r="AC195" s="60"/>
      <c r="AD195" s="60"/>
      <c r="AE195" s="60"/>
      <c r="AF195" s="60"/>
    </row>
    <row r="196" spans="1:32" s="96" customFormat="1" ht="115.5" customHeight="1">
      <c r="A196" s="105"/>
      <c r="B196" s="125">
        <f t="shared" si="11"/>
        <v>96</v>
      </c>
      <c r="C196" s="609" t="s">
        <v>1564</v>
      </c>
      <c r="D196" s="609" t="s">
        <v>1565</v>
      </c>
      <c r="E196" s="608" t="s">
        <v>1508</v>
      </c>
      <c r="F196" s="646">
        <v>5</v>
      </c>
      <c r="G196" s="647">
        <v>32000</v>
      </c>
      <c r="H196" s="652">
        <f t="shared" si="10"/>
        <v>160000</v>
      </c>
      <c r="I196" s="202"/>
      <c r="J196" s="1069"/>
      <c r="K196" s="60"/>
      <c r="L196" s="60"/>
      <c r="M196" s="60"/>
      <c r="N196" s="60"/>
      <c r="O196" s="60"/>
      <c r="P196" s="60"/>
      <c r="Q196" s="60"/>
      <c r="R196" s="60"/>
      <c r="S196" s="60"/>
      <c r="T196" s="60"/>
      <c r="U196" s="60"/>
      <c r="V196" s="60"/>
      <c r="W196" s="60"/>
      <c r="X196" s="60"/>
      <c r="Y196" s="60"/>
      <c r="Z196" s="60"/>
      <c r="AA196" s="60"/>
      <c r="AB196" s="60"/>
      <c r="AC196" s="60"/>
      <c r="AD196" s="60"/>
      <c r="AE196" s="60"/>
      <c r="AF196" s="60"/>
    </row>
    <row r="197" spans="1:32" s="96" customFormat="1" ht="51">
      <c r="A197" s="105"/>
      <c r="B197" s="125">
        <f t="shared" si="11"/>
        <v>97</v>
      </c>
      <c r="C197" s="1064" t="s">
        <v>1566</v>
      </c>
      <c r="D197" s="610" t="s">
        <v>1567</v>
      </c>
      <c r="E197" s="608" t="s">
        <v>1508</v>
      </c>
      <c r="F197" s="646">
        <v>5</v>
      </c>
      <c r="G197" s="647">
        <v>6500</v>
      </c>
      <c r="H197" s="652">
        <f t="shared" si="10"/>
        <v>32500</v>
      </c>
      <c r="I197" s="202"/>
      <c r="J197" s="1069"/>
      <c r="K197" s="60"/>
      <c r="L197" s="60"/>
      <c r="M197" s="60"/>
      <c r="N197" s="60"/>
      <c r="O197" s="60"/>
      <c r="P197" s="60"/>
      <c r="Q197" s="60"/>
      <c r="R197" s="60"/>
      <c r="S197" s="60"/>
      <c r="T197" s="60"/>
      <c r="U197" s="60"/>
      <c r="V197" s="60"/>
      <c r="W197" s="60"/>
      <c r="X197" s="60"/>
      <c r="Y197" s="60"/>
      <c r="Z197" s="60"/>
      <c r="AA197" s="60"/>
      <c r="AB197" s="60"/>
      <c r="AC197" s="60"/>
      <c r="AD197" s="60"/>
      <c r="AE197" s="60"/>
      <c r="AF197" s="60"/>
    </row>
    <row r="198" spans="1:32" s="96" customFormat="1" ht="51">
      <c r="A198" s="105"/>
      <c r="B198" s="125">
        <f t="shared" si="11"/>
        <v>98</v>
      </c>
      <c r="C198" s="610" t="s">
        <v>1566</v>
      </c>
      <c r="D198" s="610" t="s">
        <v>1568</v>
      </c>
      <c r="E198" s="608" t="s">
        <v>1508</v>
      </c>
      <c r="F198" s="646">
        <v>10</v>
      </c>
      <c r="G198" s="647">
        <v>6500</v>
      </c>
      <c r="H198" s="652">
        <f t="shared" si="10"/>
        <v>65000</v>
      </c>
      <c r="I198" s="202"/>
      <c r="J198" s="1069"/>
      <c r="K198" s="60"/>
      <c r="L198" s="60"/>
      <c r="M198" s="60"/>
      <c r="N198" s="60"/>
      <c r="O198" s="60"/>
      <c r="P198" s="60"/>
      <c r="Q198" s="60"/>
      <c r="R198" s="60"/>
      <c r="S198" s="60"/>
      <c r="T198" s="60"/>
      <c r="U198" s="60"/>
      <c r="V198" s="60"/>
      <c r="W198" s="60"/>
      <c r="X198" s="60"/>
      <c r="Y198" s="60"/>
      <c r="Z198" s="60"/>
      <c r="AA198" s="60"/>
      <c r="AB198" s="60"/>
      <c r="AC198" s="60"/>
      <c r="AD198" s="60"/>
      <c r="AE198" s="60"/>
      <c r="AF198" s="60"/>
    </row>
    <row r="199" spans="1:32" s="96" customFormat="1" ht="113.25" customHeight="1">
      <c r="A199" s="105"/>
      <c r="B199" s="125">
        <f t="shared" si="11"/>
        <v>99</v>
      </c>
      <c r="C199" s="610" t="s">
        <v>1569</v>
      </c>
      <c r="D199" s="609" t="s">
        <v>1570</v>
      </c>
      <c r="E199" s="608" t="s">
        <v>1508</v>
      </c>
      <c r="F199" s="646">
        <v>5</v>
      </c>
      <c r="G199" s="647">
        <v>4180</v>
      </c>
      <c r="H199" s="652">
        <f t="shared" si="10"/>
        <v>20900</v>
      </c>
      <c r="I199" s="202"/>
      <c r="J199" s="1069"/>
      <c r="K199" s="60"/>
      <c r="L199" s="60"/>
      <c r="M199" s="60"/>
      <c r="N199" s="60"/>
      <c r="O199" s="60"/>
      <c r="P199" s="60"/>
      <c r="Q199" s="60"/>
      <c r="R199" s="60"/>
      <c r="S199" s="60"/>
      <c r="T199" s="60"/>
      <c r="U199" s="60"/>
      <c r="V199" s="60"/>
      <c r="W199" s="60"/>
      <c r="X199" s="60"/>
      <c r="Y199" s="60"/>
      <c r="Z199" s="60"/>
      <c r="AA199" s="60"/>
      <c r="AB199" s="60"/>
      <c r="AC199" s="60"/>
      <c r="AD199" s="60"/>
      <c r="AE199" s="60"/>
      <c r="AF199" s="60"/>
    </row>
    <row r="200" spans="1:32" s="96" customFormat="1" ht="51">
      <c r="A200" s="105"/>
      <c r="B200" s="125">
        <f t="shared" si="11"/>
        <v>100</v>
      </c>
      <c r="C200" s="610" t="s">
        <v>1571</v>
      </c>
      <c r="D200" s="610" t="s">
        <v>1572</v>
      </c>
      <c r="E200" s="608" t="s">
        <v>1508</v>
      </c>
      <c r="F200" s="646">
        <v>3</v>
      </c>
      <c r="G200" s="647">
        <v>5800</v>
      </c>
      <c r="H200" s="652">
        <f t="shared" si="10"/>
        <v>17400</v>
      </c>
      <c r="I200" s="202"/>
      <c r="J200" s="1069"/>
      <c r="K200" s="60"/>
      <c r="L200" s="60"/>
      <c r="M200" s="60"/>
      <c r="N200" s="60"/>
      <c r="O200" s="60"/>
      <c r="P200" s="60"/>
      <c r="Q200" s="60"/>
      <c r="R200" s="60"/>
      <c r="S200" s="60"/>
      <c r="T200" s="60"/>
      <c r="U200" s="60"/>
      <c r="V200" s="60"/>
      <c r="W200" s="60"/>
      <c r="X200" s="60"/>
      <c r="Y200" s="60"/>
      <c r="Z200" s="60"/>
      <c r="AA200" s="60"/>
      <c r="AB200" s="60"/>
      <c r="AC200" s="60"/>
      <c r="AD200" s="60"/>
      <c r="AE200" s="60"/>
      <c r="AF200" s="60"/>
    </row>
    <row r="201" spans="1:32" s="96" customFormat="1" ht="87.75" customHeight="1">
      <c r="A201" s="105"/>
      <c r="B201" s="125">
        <f t="shared" si="11"/>
        <v>101</v>
      </c>
      <c r="C201" s="609" t="s">
        <v>640</v>
      </c>
      <c r="D201" s="609" t="s">
        <v>1573</v>
      </c>
      <c r="E201" s="608" t="s">
        <v>1508</v>
      </c>
      <c r="F201" s="1047">
        <v>10</v>
      </c>
      <c r="G201" s="647">
        <v>5090</v>
      </c>
      <c r="H201" s="652">
        <f t="shared" si="10"/>
        <v>50900</v>
      </c>
      <c r="I201" s="202"/>
      <c r="J201" s="1069"/>
      <c r="K201" s="60"/>
      <c r="L201" s="60"/>
      <c r="M201" s="60"/>
      <c r="N201" s="60"/>
      <c r="O201" s="60"/>
      <c r="P201" s="60"/>
      <c r="Q201" s="60"/>
      <c r="R201" s="60"/>
      <c r="S201" s="60"/>
      <c r="T201" s="60"/>
      <c r="U201" s="60"/>
      <c r="V201" s="60"/>
      <c r="W201" s="60"/>
      <c r="X201" s="60"/>
      <c r="Y201" s="60"/>
      <c r="Z201" s="60"/>
      <c r="AA201" s="60"/>
      <c r="AB201" s="60"/>
      <c r="AC201" s="60"/>
      <c r="AD201" s="60"/>
      <c r="AE201" s="60"/>
      <c r="AF201" s="60"/>
    </row>
    <row r="202" spans="1:32" s="96" customFormat="1" ht="25.5">
      <c r="A202" s="105"/>
      <c r="B202" s="125">
        <f t="shared" si="11"/>
        <v>102</v>
      </c>
      <c r="C202" s="609" t="s">
        <v>799</v>
      </c>
      <c r="D202" s="609" t="s">
        <v>675</v>
      </c>
      <c r="E202" s="608" t="s">
        <v>1508</v>
      </c>
      <c r="F202" s="1047">
        <v>10</v>
      </c>
      <c r="G202" s="647">
        <v>357</v>
      </c>
      <c r="H202" s="652">
        <f t="shared" si="10"/>
        <v>3570</v>
      </c>
      <c r="I202" s="202"/>
      <c r="J202" s="1069"/>
      <c r="K202" s="60"/>
      <c r="L202" s="60"/>
      <c r="M202" s="60"/>
      <c r="N202" s="60"/>
      <c r="O202" s="60"/>
      <c r="P202" s="60"/>
      <c r="Q202" s="60"/>
      <c r="R202" s="60"/>
      <c r="S202" s="60"/>
      <c r="T202" s="60"/>
      <c r="U202" s="60"/>
      <c r="V202" s="60"/>
      <c r="W202" s="60"/>
      <c r="X202" s="60"/>
      <c r="Y202" s="60"/>
      <c r="Z202" s="60"/>
      <c r="AA202" s="60"/>
      <c r="AB202" s="60"/>
      <c r="AC202" s="60"/>
      <c r="AD202" s="60"/>
      <c r="AE202" s="60"/>
      <c r="AF202" s="60"/>
    </row>
    <row r="203" spans="1:32" s="96" customFormat="1" ht="25.5">
      <c r="A203" s="105"/>
      <c r="B203" s="125">
        <f t="shared" si="11"/>
        <v>103</v>
      </c>
      <c r="C203" s="609" t="s">
        <v>799</v>
      </c>
      <c r="D203" s="609" t="s">
        <v>575</v>
      </c>
      <c r="E203" s="608" t="s">
        <v>1508</v>
      </c>
      <c r="F203" s="1047">
        <v>10</v>
      </c>
      <c r="G203" s="647">
        <v>625</v>
      </c>
      <c r="H203" s="652">
        <f t="shared" si="10"/>
        <v>6250</v>
      </c>
      <c r="I203" s="202"/>
      <c r="J203" s="1069"/>
      <c r="K203" s="60"/>
      <c r="L203" s="60"/>
      <c r="M203" s="60"/>
      <c r="N203" s="60"/>
      <c r="O203" s="60"/>
      <c r="P203" s="60"/>
      <c r="Q203" s="60"/>
      <c r="R203" s="60"/>
      <c r="S203" s="60"/>
      <c r="T203" s="60"/>
      <c r="U203" s="60"/>
      <c r="V203" s="60"/>
      <c r="W203" s="60"/>
      <c r="X203" s="60"/>
      <c r="Y203" s="60"/>
      <c r="Z203" s="60"/>
      <c r="AA203" s="60"/>
      <c r="AB203" s="60"/>
      <c r="AC203" s="60"/>
      <c r="AD203" s="60"/>
      <c r="AE203" s="60"/>
      <c r="AF203" s="60"/>
    </row>
    <row r="204" spans="1:32" s="96" customFormat="1" ht="38.25">
      <c r="A204" s="105"/>
      <c r="B204" s="125">
        <f t="shared" si="11"/>
        <v>104</v>
      </c>
      <c r="C204" s="609" t="s">
        <v>342</v>
      </c>
      <c r="D204" s="609" t="s">
        <v>576</v>
      </c>
      <c r="E204" s="608" t="s">
        <v>1508</v>
      </c>
      <c r="F204" s="1047">
        <v>50</v>
      </c>
      <c r="G204" s="647">
        <v>312</v>
      </c>
      <c r="H204" s="652">
        <f t="shared" si="10"/>
        <v>15600</v>
      </c>
      <c r="I204" s="202"/>
      <c r="J204" s="1069"/>
      <c r="K204" s="60"/>
      <c r="L204" s="60"/>
      <c r="M204" s="60"/>
      <c r="N204" s="60"/>
      <c r="O204" s="60"/>
      <c r="P204" s="60"/>
      <c r="Q204" s="60"/>
      <c r="R204" s="60"/>
      <c r="S204" s="60"/>
      <c r="T204" s="60"/>
      <c r="U204" s="60"/>
      <c r="V204" s="60"/>
      <c r="W204" s="60"/>
      <c r="X204" s="60"/>
      <c r="Y204" s="60"/>
      <c r="Z204" s="60"/>
      <c r="AA204" s="60"/>
      <c r="AB204" s="60"/>
      <c r="AC204" s="60"/>
      <c r="AD204" s="60"/>
      <c r="AE204" s="60"/>
      <c r="AF204" s="60"/>
    </row>
    <row r="205" spans="1:32" s="96" customFormat="1" ht="51">
      <c r="A205" s="105"/>
      <c r="B205" s="125">
        <f t="shared" si="11"/>
        <v>105</v>
      </c>
      <c r="C205" s="609" t="s">
        <v>2433</v>
      </c>
      <c r="D205" s="609" t="s">
        <v>676</v>
      </c>
      <c r="E205" s="608" t="s">
        <v>1508</v>
      </c>
      <c r="F205" s="1047">
        <v>50</v>
      </c>
      <c r="G205" s="647">
        <v>803</v>
      </c>
      <c r="H205" s="652">
        <f t="shared" si="10"/>
        <v>40150</v>
      </c>
      <c r="I205" s="202"/>
      <c r="J205" s="1069"/>
      <c r="K205" s="60"/>
      <c r="L205" s="60"/>
      <c r="M205" s="60"/>
      <c r="N205" s="60"/>
      <c r="O205" s="60"/>
      <c r="P205" s="60"/>
      <c r="Q205" s="60"/>
      <c r="R205" s="60"/>
      <c r="S205" s="60"/>
      <c r="T205" s="60"/>
      <c r="U205" s="60"/>
      <c r="V205" s="60"/>
      <c r="W205" s="60"/>
      <c r="X205" s="60"/>
      <c r="Y205" s="60"/>
      <c r="Z205" s="60"/>
      <c r="AA205" s="60"/>
      <c r="AB205" s="60"/>
      <c r="AC205" s="60"/>
      <c r="AD205" s="60"/>
      <c r="AE205" s="60"/>
      <c r="AF205" s="60"/>
    </row>
    <row r="206" spans="1:32" s="96" customFormat="1" ht="63.75">
      <c r="A206" s="105"/>
      <c r="B206" s="125">
        <f t="shared" si="11"/>
        <v>106</v>
      </c>
      <c r="C206" s="609" t="s">
        <v>2434</v>
      </c>
      <c r="D206" s="609" t="s">
        <v>1574</v>
      </c>
      <c r="E206" s="608" t="s">
        <v>1785</v>
      </c>
      <c r="F206" s="1047">
        <v>30</v>
      </c>
      <c r="G206" s="647">
        <v>892</v>
      </c>
      <c r="H206" s="652">
        <f t="shared" si="10"/>
        <v>26760</v>
      </c>
      <c r="I206" s="202"/>
      <c r="J206" s="1069"/>
      <c r="K206" s="60"/>
      <c r="L206" s="60"/>
      <c r="M206" s="60"/>
      <c r="N206" s="60"/>
      <c r="O206" s="60"/>
      <c r="P206" s="60"/>
      <c r="Q206" s="60"/>
      <c r="R206" s="60"/>
      <c r="S206" s="60"/>
      <c r="T206" s="60"/>
      <c r="U206" s="60"/>
      <c r="V206" s="60"/>
      <c r="W206" s="60"/>
      <c r="X206" s="60"/>
      <c r="Y206" s="60"/>
      <c r="Z206" s="60"/>
      <c r="AA206" s="60"/>
      <c r="AB206" s="60"/>
      <c r="AC206" s="60"/>
      <c r="AD206" s="60"/>
      <c r="AE206" s="60"/>
      <c r="AF206" s="60"/>
    </row>
    <row r="207" spans="1:32" s="96" customFormat="1" ht="82.5" customHeight="1">
      <c r="A207" s="105"/>
      <c r="B207" s="125">
        <f t="shared" si="11"/>
        <v>107</v>
      </c>
      <c r="C207" s="609" t="s">
        <v>641</v>
      </c>
      <c r="D207" s="609" t="s">
        <v>677</v>
      </c>
      <c r="E207" s="608" t="s">
        <v>1508</v>
      </c>
      <c r="F207" s="1047">
        <v>450</v>
      </c>
      <c r="G207" s="647">
        <v>350</v>
      </c>
      <c r="H207" s="652">
        <f t="shared" si="10"/>
        <v>157500</v>
      </c>
      <c r="I207" s="202"/>
      <c r="J207" s="1069"/>
      <c r="K207" s="60"/>
      <c r="L207" s="60"/>
      <c r="M207" s="60"/>
      <c r="N207" s="60"/>
      <c r="O207" s="60"/>
      <c r="P207" s="60"/>
      <c r="Q207" s="60"/>
      <c r="R207" s="60"/>
      <c r="S207" s="60"/>
      <c r="T207" s="60"/>
      <c r="U207" s="60"/>
      <c r="V207" s="60"/>
      <c r="W207" s="60"/>
      <c r="X207" s="60"/>
      <c r="Y207" s="60"/>
      <c r="Z207" s="60"/>
      <c r="AA207" s="60"/>
      <c r="AB207" s="60"/>
      <c r="AC207" s="60"/>
      <c r="AD207" s="60"/>
      <c r="AE207" s="60"/>
      <c r="AF207" s="60"/>
    </row>
    <row r="208" spans="1:32" s="96" customFormat="1" ht="51">
      <c r="A208" s="105"/>
      <c r="B208" s="125">
        <f t="shared" si="11"/>
        <v>108</v>
      </c>
      <c r="C208" s="609" t="s">
        <v>697</v>
      </c>
      <c r="D208" s="609" t="s">
        <v>1576</v>
      </c>
      <c r="E208" s="608" t="s">
        <v>1508</v>
      </c>
      <c r="F208" s="1047">
        <v>5</v>
      </c>
      <c r="G208" s="647">
        <v>4500</v>
      </c>
      <c r="H208" s="652">
        <f t="shared" si="10"/>
        <v>22500</v>
      </c>
      <c r="I208" s="202"/>
      <c r="J208" s="1069"/>
      <c r="K208" s="60"/>
      <c r="L208" s="60"/>
      <c r="M208" s="60"/>
      <c r="N208" s="60"/>
      <c r="O208" s="60"/>
      <c r="P208" s="60"/>
      <c r="Q208" s="60"/>
      <c r="R208" s="60"/>
      <c r="S208" s="60"/>
      <c r="T208" s="60"/>
      <c r="U208" s="60"/>
      <c r="V208" s="60"/>
      <c r="W208" s="60"/>
      <c r="X208" s="60"/>
      <c r="Y208" s="60"/>
      <c r="Z208" s="60"/>
      <c r="AA208" s="60"/>
      <c r="AB208" s="60"/>
      <c r="AC208" s="60"/>
      <c r="AD208" s="60"/>
      <c r="AE208" s="60"/>
      <c r="AF208" s="60"/>
    </row>
    <row r="209" spans="1:32" s="96" customFormat="1" ht="51">
      <c r="A209" s="105"/>
      <c r="B209" s="125">
        <f t="shared" si="11"/>
        <v>109</v>
      </c>
      <c r="C209" s="609" t="s">
        <v>222</v>
      </c>
      <c r="D209" s="609" t="s">
        <v>678</v>
      </c>
      <c r="E209" s="611" t="s">
        <v>694</v>
      </c>
      <c r="F209" s="1047">
        <v>2</v>
      </c>
      <c r="G209" s="647">
        <v>22020</v>
      </c>
      <c r="H209" s="652">
        <f t="shared" si="10"/>
        <v>44040</v>
      </c>
      <c r="I209" s="202"/>
      <c r="J209" s="1069"/>
      <c r="K209" s="60"/>
      <c r="L209" s="60"/>
      <c r="M209" s="60"/>
      <c r="N209" s="60"/>
      <c r="O209" s="60"/>
      <c r="P209" s="60"/>
      <c r="Q209" s="60"/>
      <c r="R209" s="60"/>
      <c r="S209" s="60"/>
      <c r="T209" s="60"/>
      <c r="U209" s="60"/>
      <c r="V209" s="60"/>
      <c r="W209" s="60"/>
      <c r="X209" s="60"/>
      <c r="Y209" s="60"/>
      <c r="Z209" s="60"/>
      <c r="AA209" s="60"/>
      <c r="AB209" s="60"/>
      <c r="AC209" s="60"/>
      <c r="AD209" s="60"/>
      <c r="AE209" s="60"/>
      <c r="AF209" s="60"/>
    </row>
    <row r="210" spans="1:32" s="96" customFormat="1" ht="63.75">
      <c r="A210" s="105"/>
      <c r="B210" s="125">
        <f t="shared" si="11"/>
        <v>110</v>
      </c>
      <c r="C210" s="609" t="s">
        <v>642</v>
      </c>
      <c r="D210" s="609" t="s">
        <v>1577</v>
      </c>
      <c r="E210" s="608" t="s">
        <v>302</v>
      </c>
      <c r="F210" s="1047">
        <v>2</v>
      </c>
      <c r="G210" s="647">
        <v>575</v>
      </c>
      <c r="H210" s="652">
        <f t="shared" si="10"/>
        <v>1150</v>
      </c>
      <c r="I210" s="202"/>
      <c r="J210" s="1069"/>
      <c r="K210" s="60"/>
      <c r="L210" s="60"/>
      <c r="M210" s="60"/>
      <c r="N210" s="60"/>
      <c r="O210" s="60"/>
      <c r="P210" s="60"/>
      <c r="Q210" s="60"/>
      <c r="R210" s="60"/>
      <c r="S210" s="60"/>
      <c r="T210" s="60"/>
      <c r="U210" s="60"/>
      <c r="V210" s="60"/>
      <c r="W210" s="60"/>
      <c r="X210" s="60"/>
      <c r="Y210" s="60"/>
      <c r="Z210" s="60"/>
      <c r="AA210" s="60"/>
      <c r="AB210" s="60"/>
      <c r="AC210" s="60"/>
      <c r="AD210" s="60"/>
      <c r="AE210" s="60"/>
      <c r="AF210" s="60"/>
    </row>
    <row r="211" spans="1:32" s="96" customFormat="1" ht="168.75" customHeight="1">
      <c r="A211" s="105"/>
      <c r="B211" s="125">
        <f t="shared" si="11"/>
        <v>111</v>
      </c>
      <c r="C211" s="609" t="s">
        <v>345</v>
      </c>
      <c r="D211" s="609" t="s">
        <v>679</v>
      </c>
      <c r="E211" s="608" t="s">
        <v>1785</v>
      </c>
      <c r="F211" s="1047">
        <v>12</v>
      </c>
      <c r="G211" s="647">
        <v>19000</v>
      </c>
      <c r="H211" s="652">
        <f t="shared" si="10"/>
        <v>228000</v>
      </c>
      <c r="I211" s="202"/>
      <c r="J211" s="1069"/>
      <c r="K211" s="60"/>
      <c r="L211" s="60"/>
      <c r="M211" s="60"/>
      <c r="N211" s="60"/>
      <c r="O211" s="60"/>
      <c r="P211" s="60"/>
      <c r="Q211" s="60"/>
      <c r="R211" s="60"/>
      <c r="S211" s="60"/>
      <c r="T211" s="60"/>
      <c r="U211" s="60"/>
      <c r="V211" s="60"/>
      <c r="W211" s="60"/>
      <c r="X211" s="60"/>
      <c r="Y211" s="60"/>
      <c r="Z211" s="60"/>
      <c r="AA211" s="60"/>
      <c r="AB211" s="60"/>
      <c r="AC211" s="60"/>
      <c r="AD211" s="60"/>
      <c r="AE211" s="60"/>
      <c r="AF211" s="60"/>
    </row>
    <row r="212" spans="1:32" s="96" customFormat="1" ht="25.5">
      <c r="A212" s="105"/>
      <c r="B212" s="125">
        <f t="shared" si="11"/>
        <v>112</v>
      </c>
      <c r="C212" s="609" t="s">
        <v>643</v>
      </c>
      <c r="D212" s="609" t="s">
        <v>1578</v>
      </c>
      <c r="E212" s="611" t="s">
        <v>1789</v>
      </c>
      <c r="F212" s="1047">
        <v>2</v>
      </c>
      <c r="G212" s="647">
        <v>3500</v>
      </c>
      <c r="H212" s="652">
        <f t="shared" si="10"/>
        <v>7000</v>
      </c>
      <c r="I212" s="202"/>
      <c r="J212" s="1069"/>
      <c r="K212" s="60"/>
      <c r="L212" s="60"/>
      <c r="M212" s="60"/>
      <c r="N212" s="60"/>
      <c r="O212" s="60"/>
      <c r="P212" s="60"/>
      <c r="Q212" s="60"/>
      <c r="R212" s="60"/>
      <c r="S212" s="60"/>
      <c r="T212" s="60"/>
      <c r="U212" s="60"/>
      <c r="V212" s="60"/>
      <c r="W212" s="60"/>
      <c r="X212" s="60"/>
      <c r="Y212" s="60"/>
      <c r="Z212" s="60"/>
      <c r="AA212" s="60"/>
      <c r="AB212" s="60"/>
      <c r="AC212" s="60"/>
      <c r="AD212" s="60"/>
      <c r="AE212" s="60"/>
      <c r="AF212" s="60"/>
    </row>
    <row r="213" spans="1:32" s="96" customFormat="1" ht="38.25">
      <c r="A213" s="105"/>
      <c r="B213" s="125">
        <f t="shared" si="11"/>
        <v>113</v>
      </c>
      <c r="C213" s="609" t="s">
        <v>353</v>
      </c>
      <c r="D213" s="609" t="s">
        <v>680</v>
      </c>
      <c r="E213" s="608" t="s">
        <v>1508</v>
      </c>
      <c r="F213" s="1047">
        <v>600</v>
      </c>
      <c r="G213" s="647">
        <v>150</v>
      </c>
      <c r="H213" s="652">
        <f t="shared" si="10"/>
        <v>90000</v>
      </c>
      <c r="I213" s="202"/>
      <c r="J213" s="1069"/>
      <c r="K213" s="60"/>
      <c r="L213" s="60"/>
      <c r="M213" s="60"/>
      <c r="N213" s="60"/>
      <c r="O213" s="60"/>
      <c r="P213" s="60"/>
      <c r="Q213" s="60"/>
      <c r="R213" s="60"/>
      <c r="S213" s="60"/>
      <c r="T213" s="60"/>
      <c r="U213" s="60"/>
      <c r="V213" s="60"/>
      <c r="W213" s="60"/>
      <c r="X213" s="60"/>
      <c r="Y213" s="60"/>
      <c r="Z213" s="60"/>
      <c r="AA213" s="60"/>
      <c r="AB213" s="60"/>
      <c r="AC213" s="60"/>
      <c r="AD213" s="60"/>
      <c r="AE213" s="60"/>
      <c r="AF213" s="60"/>
    </row>
    <row r="214" spans="1:32" s="96" customFormat="1" ht="38.25">
      <c r="A214" s="105"/>
      <c r="B214" s="125">
        <f t="shared" si="11"/>
        <v>114</v>
      </c>
      <c r="C214" s="609" t="s">
        <v>354</v>
      </c>
      <c r="D214" s="609" t="s">
        <v>582</v>
      </c>
      <c r="E214" s="608" t="s">
        <v>1508</v>
      </c>
      <c r="F214" s="1047">
        <v>200</v>
      </c>
      <c r="G214" s="647">
        <v>170</v>
      </c>
      <c r="H214" s="652">
        <f t="shared" si="10"/>
        <v>34000</v>
      </c>
      <c r="I214" s="202"/>
      <c r="J214" s="1069"/>
      <c r="K214" s="60"/>
      <c r="L214" s="60"/>
      <c r="M214" s="60"/>
      <c r="N214" s="60"/>
      <c r="O214" s="60"/>
      <c r="P214" s="60"/>
      <c r="Q214" s="60"/>
      <c r="R214" s="60"/>
      <c r="S214" s="60"/>
      <c r="T214" s="60"/>
      <c r="U214" s="60"/>
      <c r="V214" s="60"/>
      <c r="W214" s="60"/>
      <c r="X214" s="60"/>
      <c r="Y214" s="60"/>
      <c r="Z214" s="60"/>
      <c r="AA214" s="60"/>
      <c r="AB214" s="60"/>
      <c r="AC214" s="60"/>
      <c r="AD214" s="60"/>
      <c r="AE214" s="60"/>
      <c r="AF214" s="60"/>
    </row>
    <row r="215" spans="1:32" s="96" customFormat="1" ht="51">
      <c r="A215" s="105"/>
      <c r="B215" s="125">
        <f t="shared" si="11"/>
        <v>115</v>
      </c>
      <c r="C215" s="609" t="s">
        <v>644</v>
      </c>
      <c r="D215" s="609" t="s">
        <v>681</v>
      </c>
      <c r="E215" s="608" t="s">
        <v>1508</v>
      </c>
      <c r="F215" s="1047">
        <v>60</v>
      </c>
      <c r="G215" s="647">
        <v>535</v>
      </c>
      <c r="H215" s="652">
        <f t="shared" si="10"/>
        <v>32100</v>
      </c>
      <c r="I215" s="202"/>
      <c r="J215" s="1069"/>
      <c r="K215" s="60"/>
      <c r="L215" s="60"/>
      <c r="M215" s="60"/>
      <c r="N215" s="60"/>
      <c r="O215" s="60"/>
      <c r="P215" s="60"/>
      <c r="Q215" s="60"/>
      <c r="R215" s="60"/>
      <c r="S215" s="60"/>
      <c r="T215" s="60"/>
      <c r="U215" s="60"/>
      <c r="V215" s="60"/>
      <c r="W215" s="60"/>
      <c r="X215" s="60"/>
      <c r="Y215" s="60"/>
      <c r="Z215" s="60"/>
      <c r="AA215" s="60"/>
      <c r="AB215" s="60"/>
      <c r="AC215" s="60"/>
      <c r="AD215" s="60"/>
      <c r="AE215" s="60"/>
      <c r="AF215" s="60"/>
    </row>
    <row r="216" spans="1:32" s="96" customFormat="1" ht="38.25">
      <c r="A216" s="105"/>
      <c r="B216" s="125">
        <f t="shared" si="11"/>
        <v>116</v>
      </c>
      <c r="C216" s="609" t="s">
        <v>645</v>
      </c>
      <c r="D216" s="609" t="s">
        <v>682</v>
      </c>
      <c r="E216" s="608" t="s">
        <v>1508</v>
      </c>
      <c r="F216" s="646">
        <v>50</v>
      </c>
      <c r="G216" s="647">
        <v>2366</v>
      </c>
      <c r="H216" s="652">
        <f t="shared" si="10"/>
        <v>118300</v>
      </c>
      <c r="I216" s="202"/>
      <c r="J216" s="1069"/>
      <c r="K216" s="60"/>
      <c r="L216" s="60"/>
      <c r="M216" s="60"/>
      <c r="N216" s="60"/>
      <c r="O216" s="60"/>
      <c r="P216" s="60"/>
      <c r="Q216" s="60"/>
      <c r="R216" s="60"/>
      <c r="S216" s="60"/>
      <c r="T216" s="60"/>
      <c r="U216" s="60"/>
      <c r="V216" s="60"/>
      <c r="W216" s="60"/>
      <c r="X216" s="60"/>
      <c r="Y216" s="60"/>
      <c r="Z216" s="60"/>
      <c r="AA216" s="60"/>
      <c r="AB216" s="60"/>
      <c r="AC216" s="60"/>
      <c r="AD216" s="60"/>
      <c r="AE216" s="60"/>
      <c r="AF216" s="60"/>
    </row>
    <row r="217" spans="1:32" s="96" customFormat="1" ht="38.25">
      <c r="A217" s="105"/>
      <c r="B217" s="125">
        <f t="shared" si="11"/>
        <v>117</v>
      </c>
      <c r="C217" s="609" t="s">
        <v>646</v>
      </c>
      <c r="D217" s="609" t="s">
        <v>683</v>
      </c>
      <c r="E217" s="608" t="s">
        <v>1508</v>
      </c>
      <c r="F217" s="646">
        <v>2</v>
      </c>
      <c r="G217" s="647">
        <v>1964</v>
      </c>
      <c r="H217" s="652">
        <f t="shared" si="10"/>
        <v>3928</v>
      </c>
      <c r="I217" s="202"/>
      <c r="J217" s="1069"/>
      <c r="K217" s="60"/>
      <c r="L217" s="60"/>
      <c r="M217" s="60"/>
      <c r="N217" s="60"/>
      <c r="O217" s="60"/>
      <c r="P217" s="60"/>
      <c r="Q217" s="60"/>
      <c r="R217" s="60"/>
      <c r="S217" s="60"/>
      <c r="T217" s="60"/>
      <c r="U217" s="60"/>
      <c r="V217" s="60"/>
      <c r="W217" s="60"/>
      <c r="X217" s="60"/>
      <c r="Y217" s="60"/>
      <c r="Z217" s="60"/>
      <c r="AA217" s="60"/>
      <c r="AB217" s="60"/>
      <c r="AC217" s="60"/>
      <c r="AD217" s="60"/>
      <c r="AE217" s="60"/>
      <c r="AF217" s="60"/>
    </row>
    <row r="218" spans="1:32" s="96" customFormat="1" ht="89.25">
      <c r="A218" s="105"/>
      <c r="B218" s="125">
        <f t="shared" si="11"/>
        <v>118</v>
      </c>
      <c r="C218" s="609" t="s">
        <v>647</v>
      </c>
      <c r="D218" s="609" t="s">
        <v>1579</v>
      </c>
      <c r="E218" s="608" t="s">
        <v>1508</v>
      </c>
      <c r="F218" s="646">
        <v>2</v>
      </c>
      <c r="G218" s="647">
        <v>5100</v>
      </c>
      <c r="H218" s="652">
        <f t="shared" si="10"/>
        <v>10200</v>
      </c>
      <c r="I218" s="202"/>
      <c r="J218" s="1069"/>
      <c r="K218" s="60"/>
      <c r="L218" s="60"/>
      <c r="M218" s="60"/>
      <c r="N218" s="60"/>
      <c r="O218" s="60"/>
      <c r="P218" s="60"/>
      <c r="Q218" s="60"/>
      <c r="R218" s="60"/>
      <c r="S218" s="60"/>
      <c r="T218" s="60"/>
      <c r="U218" s="60"/>
      <c r="V218" s="60"/>
      <c r="W218" s="60"/>
      <c r="X218" s="60"/>
      <c r="Y218" s="60"/>
      <c r="Z218" s="60"/>
      <c r="AA218" s="60"/>
      <c r="AB218" s="60"/>
      <c r="AC218" s="60"/>
      <c r="AD218" s="60"/>
      <c r="AE218" s="60"/>
      <c r="AF218" s="60"/>
    </row>
    <row r="219" spans="1:32" s="96" customFormat="1" ht="25.5">
      <c r="A219" s="105"/>
      <c r="B219" s="125">
        <f t="shared" si="11"/>
        <v>119</v>
      </c>
      <c r="C219" s="609" t="s">
        <v>698</v>
      </c>
      <c r="D219" s="609" t="s">
        <v>684</v>
      </c>
      <c r="E219" s="608" t="s">
        <v>1508</v>
      </c>
      <c r="F219" s="646">
        <v>15</v>
      </c>
      <c r="G219" s="647">
        <v>4650</v>
      </c>
      <c r="H219" s="652">
        <f t="shared" si="10"/>
        <v>69750</v>
      </c>
      <c r="I219" s="202"/>
      <c r="J219" s="1069"/>
      <c r="K219" s="60"/>
      <c r="L219" s="60"/>
      <c r="M219" s="60"/>
      <c r="N219" s="60"/>
      <c r="O219" s="60"/>
      <c r="P219" s="60"/>
      <c r="Q219" s="60"/>
      <c r="R219" s="60"/>
      <c r="S219" s="60"/>
      <c r="T219" s="60"/>
      <c r="U219" s="60"/>
      <c r="V219" s="60"/>
      <c r="W219" s="60"/>
      <c r="X219" s="60"/>
      <c r="Y219" s="60"/>
      <c r="Z219" s="60"/>
      <c r="AA219" s="60"/>
      <c r="AB219" s="60"/>
      <c r="AC219" s="60"/>
      <c r="AD219" s="60"/>
      <c r="AE219" s="60"/>
      <c r="AF219" s="60"/>
    </row>
    <row r="220" spans="1:32" s="96" customFormat="1" ht="51">
      <c r="A220" s="105"/>
      <c r="B220" s="125">
        <f t="shared" si="11"/>
        <v>120</v>
      </c>
      <c r="C220" s="609" t="s">
        <v>699</v>
      </c>
      <c r="D220" s="609" t="s">
        <v>685</v>
      </c>
      <c r="E220" s="608" t="s">
        <v>1508</v>
      </c>
      <c r="F220" s="646">
        <v>5</v>
      </c>
      <c r="G220" s="647">
        <v>4720</v>
      </c>
      <c r="H220" s="652">
        <f t="shared" si="10"/>
        <v>23600</v>
      </c>
      <c r="I220" s="202"/>
      <c r="J220" s="1069"/>
      <c r="K220" s="60"/>
      <c r="L220" s="60"/>
      <c r="M220" s="60"/>
      <c r="N220" s="60"/>
      <c r="O220" s="60"/>
      <c r="P220" s="60"/>
      <c r="Q220" s="60"/>
      <c r="R220" s="60"/>
      <c r="S220" s="60"/>
      <c r="T220" s="60"/>
      <c r="U220" s="60"/>
      <c r="V220" s="60"/>
      <c r="W220" s="60"/>
      <c r="X220" s="60"/>
      <c r="Y220" s="60"/>
      <c r="Z220" s="60"/>
      <c r="AA220" s="60"/>
      <c r="AB220" s="60"/>
      <c r="AC220" s="60"/>
      <c r="AD220" s="60"/>
      <c r="AE220" s="60"/>
      <c r="AF220" s="60"/>
    </row>
    <row r="221" spans="1:32" s="96" customFormat="1" ht="51">
      <c r="A221" s="105"/>
      <c r="B221" s="125">
        <f t="shared" si="11"/>
        <v>121</v>
      </c>
      <c r="C221" s="609" t="s">
        <v>700</v>
      </c>
      <c r="D221" s="609" t="s">
        <v>686</v>
      </c>
      <c r="E221" s="608" t="s">
        <v>1508</v>
      </c>
      <c r="F221" s="646">
        <v>5</v>
      </c>
      <c r="G221" s="647">
        <v>4780</v>
      </c>
      <c r="H221" s="652">
        <f t="shared" si="10"/>
        <v>23900</v>
      </c>
      <c r="I221" s="202"/>
      <c r="J221" s="1069"/>
      <c r="K221" s="60"/>
      <c r="L221" s="60"/>
      <c r="M221" s="60"/>
      <c r="N221" s="60"/>
      <c r="O221" s="60"/>
      <c r="P221" s="60"/>
      <c r="Q221" s="60"/>
      <c r="R221" s="60"/>
      <c r="S221" s="60"/>
      <c r="T221" s="60"/>
      <c r="U221" s="60"/>
      <c r="V221" s="60"/>
      <c r="W221" s="60"/>
      <c r="X221" s="60"/>
      <c r="Y221" s="60"/>
      <c r="Z221" s="60"/>
      <c r="AA221" s="60"/>
      <c r="AB221" s="60"/>
      <c r="AC221" s="60"/>
      <c r="AD221" s="60"/>
      <c r="AE221" s="60"/>
      <c r="AF221" s="60"/>
    </row>
    <row r="222" spans="1:32" s="96" customFormat="1" ht="38.25">
      <c r="A222" s="105"/>
      <c r="B222" s="125">
        <f t="shared" si="11"/>
        <v>122</v>
      </c>
      <c r="C222" s="609" t="s">
        <v>648</v>
      </c>
      <c r="D222" s="609" t="s">
        <v>687</v>
      </c>
      <c r="E222" s="608" t="s">
        <v>1508</v>
      </c>
      <c r="F222" s="646">
        <v>5</v>
      </c>
      <c r="G222" s="647">
        <v>670</v>
      </c>
      <c r="H222" s="652">
        <f t="shared" si="10"/>
        <v>3350</v>
      </c>
      <c r="I222" s="202"/>
      <c r="J222" s="1069"/>
      <c r="K222" s="60"/>
      <c r="L222" s="60"/>
      <c r="M222" s="60"/>
      <c r="N222" s="60"/>
      <c r="O222" s="60"/>
      <c r="P222" s="60"/>
      <c r="Q222" s="60"/>
      <c r="R222" s="60"/>
      <c r="S222" s="60"/>
      <c r="T222" s="60"/>
      <c r="U222" s="60"/>
      <c r="V222" s="60"/>
      <c r="W222" s="60"/>
      <c r="X222" s="60"/>
      <c r="Y222" s="60"/>
      <c r="Z222" s="60"/>
      <c r="AA222" s="60"/>
      <c r="AB222" s="60"/>
      <c r="AC222" s="60"/>
      <c r="AD222" s="60"/>
      <c r="AE222" s="60"/>
      <c r="AF222" s="60"/>
    </row>
    <row r="223" spans="1:32" s="96" customFormat="1" ht="25.5">
      <c r="A223" s="105"/>
      <c r="B223" s="125">
        <f t="shared" si="11"/>
        <v>123</v>
      </c>
      <c r="C223" s="609" t="s">
        <v>649</v>
      </c>
      <c r="D223" s="609" t="s">
        <v>688</v>
      </c>
      <c r="E223" s="608" t="s">
        <v>1508</v>
      </c>
      <c r="F223" s="646">
        <v>15</v>
      </c>
      <c r="G223" s="647">
        <v>520</v>
      </c>
      <c r="H223" s="652">
        <f t="shared" si="10"/>
        <v>7800</v>
      </c>
      <c r="I223" s="202"/>
      <c r="J223" s="1069"/>
      <c r="K223" s="60"/>
      <c r="L223" s="60"/>
      <c r="M223" s="60"/>
      <c r="N223" s="60"/>
      <c r="O223" s="60"/>
      <c r="P223" s="60"/>
      <c r="Q223" s="60"/>
      <c r="R223" s="60"/>
      <c r="S223" s="60"/>
      <c r="T223" s="60"/>
      <c r="U223" s="60"/>
      <c r="V223" s="60"/>
      <c r="W223" s="60"/>
      <c r="X223" s="60"/>
      <c r="Y223" s="60"/>
      <c r="Z223" s="60"/>
      <c r="AA223" s="60"/>
      <c r="AB223" s="60"/>
      <c r="AC223" s="60"/>
      <c r="AD223" s="60"/>
      <c r="AE223" s="60"/>
      <c r="AF223" s="60"/>
    </row>
    <row r="224" spans="1:32" s="96" customFormat="1" ht="38.25">
      <c r="A224" s="105"/>
      <c r="B224" s="125">
        <f t="shared" si="11"/>
        <v>124</v>
      </c>
      <c r="C224" s="609" t="s">
        <v>650</v>
      </c>
      <c r="D224" s="609" t="s">
        <v>689</v>
      </c>
      <c r="E224" s="608" t="s">
        <v>1508</v>
      </c>
      <c r="F224" s="646">
        <v>15</v>
      </c>
      <c r="G224" s="647">
        <v>580</v>
      </c>
      <c r="H224" s="652">
        <f t="shared" si="10"/>
        <v>8700</v>
      </c>
      <c r="I224" s="202"/>
      <c r="J224" s="1069"/>
      <c r="K224" s="60"/>
      <c r="L224" s="60"/>
      <c r="M224" s="60"/>
      <c r="N224" s="60"/>
      <c r="O224" s="60"/>
      <c r="P224" s="60"/>
      <c r="Q224" s="60"/>
      <c r="R224" s="60"/>
      <c r="S224" s="60"/>
      <c r="T224" s="60"/>
      <c r="U224" s="60"/>
      <c r="V224" s="60"/>
      <c r="W224" s="60"/>
      <c r="X224" s="60"/>
      <c r="Y224" s="60"/>
      <c r="Z224" s="60"/>
      <c r="AA224" s="60"/>
      <c r="AB224" s="60"/>
      <c r="AC224" s="60"/>
      <c r="AD224" s="60"/>
      <c r="AE224" s="60"/>
      <c r="AF224" s="60"/>
    </row>
    <row r="225" spans="1:32" s="96" customFormat="1" ht="51">
      <c r="A225" s="105"/>
      <c r="B225" s="125">
        <f t="shared" si="11"/>
        <v>125</v>
      </c>
      <c r="C225" s="610" t="s">
        <v>1801</v>
      </c>
      <c r="D225" s="1082" t="s">
        <v>1580</v>
      </c>
      <c r="E225" s="608" t="s">
        <v>1508</v>
      </c>
      <c r="F225" s="646">
        <v>2</v>
      </c>
      <c r="G225" s="647">
        <v>4500</v>
      </c>
      <c r="H225" s="652">
        <f t="shared" si="10"/>
        <v>9000</v>
      </c>
      <c r="I225" s="202"/>
      <c r="J225" s="1069"/>
      <c r="K225" s="60"/>
      <c r="L225" s="60"/>
      <c r="M225" s="60"/>
      <c r="N225" s="60"/>
      <c r="O225" s="60"/>
      <c r="P225" s="60"/>
      <c r="Q225" s="60"/>
      <c r="R225" s="60"/>
      <c r="S225" s="60"/>
      <c r="T225" s="60"/>
      <c r="U225" s="60"/>
      <c r="V225" s="60"/>
      <c r="W225" s="60"/>
      <c r="X225" s="60"/>
      <c r="Y225" s="60"/>
      <c r="Z225" s="60"/>
      <c r="AA225" s="60"/>
      <c r="AB225" s="60"/>
      <c r="AC225" s="60"/>
      <c r="AD225" s="60"/>
      <c r="AE225" s="60"/>
      <c r="AF225" s="60"/>
    </row>
    <row r="226" spans="1:32" s="96" customFormat="1" ht="42" customHeight="1">
      <c r="A226" s="105"/>
      <c r="B226" s="125">
        <f t="shared" si="11"/>
        <v>126</v>
      </c>
      <c r="C226" s="609" t="s">
        <v>1802</v>
      </c>
      <c r="D226" s="609" t="s">
        <v>690</v>
      </c>
      <c r="E226" s="608" t="s">
        <v>1508</v>
      </c>
      <c r="F226" s="646">
        <v>3</v>
      </c>
      <c r="G226" s="647">
        <v>3500</v>
      </c>
      <c r="H226" s="652">
        <f t="shared" si="10"/>
        <v>10500</v>
      </c>
      <c r="I226" s="202"/>
      <c r="J226" s="1069"/>
      <c r="K226" s="60"/>
      <c r="L226" s="60"/>
      <c r="M226" s="60"/>
      <c r="N226" s="60"/>
      <c r="O226" s="60"/>
      <c r="P226" s="60"/>
      <c r="Q226" s="60"/>
      <c r="R226" s="60"/>
      <c r="S226" s="60"/>
      <c r="T226" s="60"/>
      <c r="U226" s="60"/>
      <c r="V226" s="60"/>
      <c r="W226" s="60"/>
      <c r="X226" s="60"/>
      <c r="Y226" s="60"/>
      <c r="Z226" s="60"/>
      <c r="AA226" s="60"/>
      <c r="AB226" s="60"/>
      <c r="AC226" s="60"/>
      <c r="AD226" s="60"/>
      <c r="AE226" s="60"/>
      <c r="AF226" s="60"/>
    </row>
    <row r="227" spans="1:32" s="96" customFormat="1" ht="25.5">
      <c r="A227" s="105"/>
      <c r="B227" s="125">
        <f t="shared" si="11"/>
        <v>127</v>
      </c>
      <c r="C227" s="609" t="s">
        <v>651</v>
      </c>
      <c r="D227" s="609" t="s">
        <v>691</v>
      </c>
      <c r="E227" s="608" t="s">
        <v>295</v>
      </c>
      <c r="F227" s="646">
        <v>2</v>
      </c>
      <c r="G227" s="647">
        <v>4464</v>
      </c>
      <c r="H227" s="652">
        <f t="shared" ref="H227:H276" si="12">F227*G227</f>
        <v>8928</v>
      </c>
      <c r="I227" s="202"/>
      <c r="J227" s="1069"/>
      <c r="K227" s="60"/>
      <c r="L227" s="60"/>
      <c r="M227" s="60"/>
      <c r="N227" s="60"/>
      <c r="O227" s="60"/>
      <c r="P227" s="60"/>
      <c r="Q227" s="60"/>
      <c r="R227" s="60"/>
      <c r="S227" s="60"/>
      <c r="T227" s="60"/>
      <c r="U227" s="60"/>
      <c r="V227" s="60"/>
      <c r="W227" s="60"/>
      <c r="X227" s="60"/>
      <c r="Y227" s="60"/>
      <c r="Z227" s="60"/>
      <c r="AA227" s="60"/>
      <c r="AB227" s="60"/>
      <c r="AC227" s="60"/>
      <c r="AD227" s="60"/>
      <c r="AE227" s="60"/>
      <c r="AF227" s="60"/>
    </row>
    <row r="228" spans="1:32" s="96" customFormat="1" ht="25.5">
      <c r="A228" s="105"/>
      <c r="B228" s="125">
        <f t="shared" si="11"/>
        <v>128</v>
      </c>
      <c r="C228" s="609" t="s">
        <v>2445</v>
      </c>
      <c r="D228" s="609" t="s">
        <v>692</v>
      </c>
      <c r="E228" s="608" t="s">
        <v>1508</v>
      </c>
      <c r="F228" s="646">
        <v>3</v>
      </c>
      <c r="G228" s="647">
        <v>750</v>
      </c>
      <c r="H228" s="652">
        <f t="shared" si="12"/>
        <v>2250</v>
      </c>
      <c r="I228" s="202"/>
      <c r="J228" s="1069"/>
      <c r="K228" s="60"/>
      <c r="L228" s="60"/>
      <c r="M228" s="60"/>
      <c r="N228" s="60"/>
      <c r="O228" s="60"/>
      <c r="P228" s="60"/>
      <c r="Q228" s="60"/>
      <c r="R228" s="60"/>
      <c r="S228" s="60"/>
      <c r="T228" s="60"/>
      <c r="U228" s="60"/>
      <c r="V228" s="60"/>
      <c r="W228" s="60"/>
      <c r="X228" s="60"/>
      <c r="Y228" s="60"/>
      <c r="Z228" s="60"/>
      <c r="AA228" s="60"/>
      <c r="AB228" s="60"/>
      <c r="AC228" s="60"/>
      <c r="AD228" s="60"/>
      <c r="AE228" s="60"/>
      <c r="AF228" s="60"/>
    </row>
    <row r="229" spans="1:32" s="96" customFormat="1" ht="51">
      <c r="A229" s="105"/>
      <c r="B229" s="125">
        <f t="shared" si="11"/>
        <v>129</v>
      </c>
      <c r="C229" s="1031" t="s">
        <v>1581</v>
      </c>
      <c r="D229" s="609" t="s">
        <v>693</v>
      </c>
      <c r="E229" s="608" t="s">
        <v>1508</v>
      </c>
      <c r="F229" s="646">
        <v>3</v>
      </c>
      <c r="G229" s="647">
        <v>2857</v>
      </c>
      <c r="H229" s="652">
        <f t="shared" si="12"/>
        <v>8571</v>
      </c>
      <c r="I229" s="202"/>
      <c r="J229" s="1069"/>
      <c r="K229" s="60"/>
      <c r="L229" s="60"/>
      <c r="M229" s="60"/>
      <c r="N229" s="60"/>
      <c r="O229" s="60"/>
      <c r="P229" s="60"/>
      <c r="Q229" s="60"/>
      <c r="R229" s="60"/>
      <c r="S229" s="60"/>
      <c r="T229" s="60"/>
      <c r="U229" s="60"/>
      <c r="V229" s="60"/>
      <c r="W229" s="60"/>
      <c r="X229" s="60"/>
      <c r="Y229" s="60"/>
      <c r="Z229" s="60"/>
      <c r="AA229" s="60"/>
      <c r="AB229" s="60"/>
      <c r="AC229" s="60"/>
      <c r="AD229" s="60"/>
      <c r="AE229" s="60"/>
      <c r="AF229" s="60"/>
    </row>
    <row r="230" spans="1:32" s="96" customFormat="1" ht="25.5">
      <c r="A230" s="105"/>
      <c r="B230" s="125">
        <f t="shared" si="11"/>
        <v>130</v>
      </c>
      <c r="C230" s="1031" t="s">
        <v>304</v>
      </c>
      <c r="D230" s="609" t="s">
        <v>1582</v>
      </c>
      <c r="E230" s="608" t="s">
        <v>295</v>
      </c>
      <c r="F230" s="646">
        <v>10</v>
      </c>
      <c r="G230" s="647">
        <v>1400</v>
      </c>
      <c r="H230" s="652">
        <f t="shared" si="12"/>
        <v>14000</v>
      </c>
      <c r="I230" s="202"/>
      <c r="J230" s="1069"/>
      <c r="K230" s="60"/>
      <c r="L230" s="60"/>
      <c r="M230" s="60"/>
      <c r="N230" s="60"/>
      <c r="O230" s="60"/>
      <c r="P230" s="60"/>
      <c r="Q230" s="60"/>
      <c r="R230" s="60"/>
      <c r="S230" s="60"/>
      <c r="T230" s="60"/>
      <c r="U230" s="60"/>
      <c r="V230" s="60"/>
      <c r="W230" s="60"/>
      <c r="X230" s="60"/>
      <c r="Y230" s="60"/>
      <c r="Z230" s="60"/>
      <c r="AA230" s="60"/>
      <c r="AB230" s="60"/>
      <c r="AC230" s="60"/>
      <c r="AD230" s="60"/>
      <c r="AE230" s="60"/>
      <c r="AF230" s="60"/>
    </row>
    <row r="231" spans="1:32" s="96" customFormat="1" ht="25.5">
      <c r="A231" s="105"/>
      <c r="B231" s="125">
        <f t="shared" ref="B231:B276" si="13">B230+1</f>
        <v>131</v>
      </c>
      <c r="C231" s="1048" t="s">
        <v>304</v>
      </c>
      <c r="D231" s="1086" t="s">
        <v>1583</v>
      </c>
      <c r="E231" s="622" t="s">
        <v>295</v>
      </c>
      <c r="F231" s="649">
        <v>10</v>
      </c>
      <c r="G231" s="650">
        <v>1500</v>
      </c>
      <c r="H231" s="654">
        <f t="shared" si="12"/>
        <v>15000</v>
      </c>
      <c r="I231" s="202"/>
      <c r="J231" s="1069"/>
      <c r="K231" s="60"/>
      <c r="L231" s="60"/>
      <c r="M231" s="60"/>
      <c r="N231" s="60"/>
      <c r="O231" s="60"/>
      <c r="P231" s="60"/>
      <c r="Q231" s="60"/>
      <c r="R231" s="60"/>
      <c r="S231" s="60"/>
      <c r="T231" s="60"/>
      <c r="U231" s="60"/>
      <c r="V231" s="60"/>
      <c r="W231" s="60"/>
      <c r="X231" s="60"/>
      <c r="Y231" s="60"/>
      <c r="Z231" s="60"/>
      <c r="AA231" s="60"/>
      <c r="AB231" s="60"/>
      <c r="AC231" s="60"/>
      <c r="AD231" s="60"/>
      <c r="AE231" s="60"/>
      <c r="AF231" s="60"/>
    </row>
    <row r="232" spans="1:32" s="96" customFormat="1" ht="102">
      <c r="A232" s="317"/>
      <c r="B232" s="125">
        <f t="shared" si="13"/>
        <v>132</v>
      </c>
      <c r="C232" s="1031" t="s">
        <v>652</v>
      </c>
      <c r="D232" s="610" t="s">
        <v>1584</v>
      </c>
      <c r="E232" s="608" t="s">
        <v>1508</v>
      </c>
      <c r="F232" s="646">
        <v>10</v>
      </c>
      <c r="G232" s="647">
        <v>1250</v>
      </c>
      <c r="H232" s="319">
        <f t="shared" si="12"/>
        <v>12500</v>
      </c>
      <c r="I232" s="202"/>
      <c r="J232" s="1069"/>
      <c r="K232" s="60"/>
      <c r="L232" s="60"/>
      <c r="M232" s="60"/>
      <c r="N232" s="60"/>
      <c r="O232" s="60"/>
      <c r="P232" s="60"/>
      <c r="Q232" s="60"/>
      <c r="R232" s="60"/>
      <c r="S232" s="60"/>
      <c r="T232" s="60"/>
      <c r="U232" s="60"/>
      <c r="V232" s="60"/>
      <c r="W232" s="60"/>
      <c r="X232" s="60"/>
      <c r="Y232" s="60"/>
      <c r="Z232" s="60"/>
      <c r="AA232" s="60"/>
      <c r="AB232" s="60"/>
      <c r="AC232" s="60"/>
      <c r="AD232" s="60"/>
      <c r="AE232" s="60"/>
      <c r="AF232" s="60"/>
    </row>
    <row r="233" spans="1:32" s="96" customFormat="1" ht="63.75">
      <c r="A233" s="317"/>
      <c r="B233" s="125">
        <f t="shared" si="13"/>
        <v>133</v>
      </c>
      <c r="C233" s="609" t="s">
        <v>1585</v>
      </c>
      <c r="D233" s="610" t="s">
        <v>1586</v>
      </c>
      <c r="E233" s="608" t="s">
        <v>1508</v>
      </c>
      <c r="F233" s="646">
        <v>30</v>
      </c>
      <c r="G233" s="647">
        <v>1350</v>
      </c>
      <c r="H233" s="319">
        <f t="shared" si="12"/>
        <v>40500</v>
      </c>
      <c r="I233" s="202"/>
      <c r="J233" s="1069"/>
      <c r="K233" s="60"/>
      <c r="L233" s="60"/>
      <c r="M233" s="60"/>
      <c r="N233" s="60"/>
      <c r="O233" s="60"/>
      <c r="P233" s="60"/>
      <c r="Q233" s="60"/>
      <c r="R233" s="60"/>
      <c r="S233" s="60"/>
      <c r="T233" s="60"/>
      <c r="U233" s="60"/>
      <c r="V233" s="60"/>
      <c r="W233" s="60"/>
      <c r="X233" s="60"/>
      <c r="Y233" s="60"/>
      <c r="Z233" s="60"/>
      <c r="AA233" s="60"/>
      <c r="AB233" s="60"/>
      <c r="AC233" s="60"/>
      <c r="AD233" s="60"/>
      <c r="AE233" s="60"/>
      <c r="AF233" s="60"/>
    </row>
    <row r="234" spans="1:32" s="96" customFormat="1" ht="22.5" customHeight="1">
      <c r="A234" s="317"/>
      <c r="B234" s="125">
        <f t="shared" si="13"/>
        <v>134</v>
      </c>
      <c r="C234" s="609" t="s">
        <v>330</v>
      </c>
      <c r="D234" s="609" t="s">
        <v>722</v>
      </c>
      <c r="E234" s="608" t="s">
        <v>1508</v>
      </c>
      <c r="F234" s="646">
        <v>5</v>
      </c>
      <c r="G234" s="647">
        <v>321</v>
      </c>
      <c r="H234" s="319">
        <f t="shared" si="12"/>
        <v>1605</v>
      </c>
      <c r="I234" s="202"/>
      <c r="J234" s="1069"/>
      <c r="K234" s="60"/>
      <c r="L234" s="60"/>
      <c r="M234" s="60"/>
      <c r="N234" s="60"/>
      <c r="O234" s="60"/>
      <c r="P234" s="60"/>
      <c r="Q234" s="60"/>
      <c r="R234" s="60"/>
      <c r="S234" s="60"/>
      <c r="T234" s="60"/>
      <c r="U234" s="60"/>
      <c r="V234" s="60"/>
      <c r="W234" s="60"/>
      <c r="X234" s="60"/>
      <c r="Y234" s="60"/>
      <c r="Z234" s="60"/>
      <c r="AA234" s="60"/>
      <c r="AB234" s="60"/>
      <c r="AC234" s="60"/>
      <c r="AD234" s="60"/>
      <c r="AE234" s="60"/>
      <c r="AF234" s="60"/>
    </row>
    <row r="235" spans="1:32" s="96" customFormat="1" ht="132" customHeight="1">
      <c r="A235" s="317"/>
      <c r="B235" s="125">
        <f t="shared" si="13"/>
        <v>135</v>
      </c>
      <c r="C235" s="1031" t="s">
        <v>717</v>
      </c>
      <c r="D235" s="609" t="s">
        <v>1587</v>
      </c>
      <c r="E235" s="608" t="s">
        <v>1798</v>
      </c>
      <c r="F235" s="646">
        <v>2</v>
      </c>
      <c r="G235" s="647">
        <v>6000</v>
      </c>
      <c r="H235" s="319">
        <f t="shared" si="12"/>
        <v>12000</v>
      </c>
      <c r="I235" s="202"/>
      <c r="J235" s="1069"/>
      <c r="K235" s="60"/>
      <c r="L235" s="60"/>
      <c r="M235" s="60"/>
      <c r="N235" s="60"/>
      <c r="O235" s="60"/>
      <c r="P235" s="60"/>
      <c r="Q235" s="60"/>
      <c r="R235" s="60"/>
      <c r="S235" s="60"/>
      <c r="T235" s="60"/>
      <c r="U235" s="60"/>
      <c r="V235" s="60"/>
      <c r="W235" s="60"/>
      <c r="X235" s="60"/>
      <c r="Y235" s="60"/>
      <c r="Z235" s="60"/>
      <c r="AA235" s="60"/>
      <c r="AB235" s="60"/>
      <c r="AC235" s="60"/>
      <c r="AD235" s="60"/>
      <c r="AE235" s="60"/>
      <c r="AF235" s="60"/>
    </row>
    <row r="236" spans="1:32" s="96" customFormat="1" ht="25.5">
      <c r="A236" s="317"/>
      <c r="B236" s="125">
        <f t="shared" si="13"/>
        <v>136</v>
      </c>
      <c r="C236" s="1031" t="s">
        <v>718</v>
      </c>
      <c r="D236" s="609" t="s">
        <v>739</v>
      </c>
      <c r="E236" s="608" t="s">
        <v>302</v>
      </c>
      <c r="F236" s="646">
        <v>2</v>
      </c>
      <c r="G236" s="647">
        <v>1875</v>
      </c>
      <c r="H236" s="319">
        <f t="shared" si="12"/>
        <v>3750</v>
      </c>
      <c r="I236" s="202"/>
      <c r="J236" s="1069"/>
      <c r="K236" s="60"/>
      <c r="L236" s="60"/>
      <c r="M236" s="60"/>
      <c r="N236" s="60"/>
      <c r="O236" s="60"/>
      <c r="P236" s="60"/>
      <c r="Q236" s="60"/>
      <c r="R236" s="60"/>
      <c r="S236" s="60"/>
      <c r="T236" s="60"/>
      <c r="U236" s="60"/>
      <c r="V236" s="60"/>
      <c r="W236" s="60"/>
      <c r="X236" s="60"/>
      <c r="Y236" s="60"/>
      <c r="Z236" s="60"/>
      <c r="AA236" s="60"/>
      <c r="AB236" s="60"/>
      <c r="AC236" s="60"/>
      <c r="AD236" s="60"/>
      <c r="AE236" s="60"/>
      <c r="AF236" s="60"/>
    </row>
    <row r="237" spans="1:32" s="96" customFormat="1" ht="15">
      <c r="A237" s="317"/>
      <c r="B237" s="125">
        <f t="shared" si="13"/>
        <v>137</v>
      </c>
      <c r="C237" s="1036" t="s">
        <v>304</v>
      </c>
      <c r="D237" s="610" t="s">
        <v>1588</v>
      </c>
      <c r="E237" s="608" t="s">
        <v>302</v>
      </c>
      <c r="F237" s="646">
        <v>5</v>
      </c>
      <c r="G237" s="647">
        <v>1450</v>
      </c>
      <c r="H237" s="319">
        <f t="shared" si="12"/>
        <v>7250</v>
      </c>
      <c r="I237" s="202"/>
      <c r="J237" s="1069"/>
      <c r="K237" s="60"/>
      <c r="L237" s="60"/>
      <c r="M237" s="60"/>
      <c r="N237" s="60"/>
      <c r="O237" s="60"/>
      <c r="P237" s="60"/>
      <c r="Q237" s="60"/>
      <c r="R237" s="60"/>
      <c r="S237" s="60"/>
      <c r="T237" s="60"/>
      <c r="U237" s="60"/>
      <c r="V237" s="60"/>
      <c r="W237" s="60"/>
      <c r="X237" s="60"/>
      <c r="Y237" s="60"/>
      <c r="Z237" s="60"/>
      <c r="AA237" s="60"/>
      <c r="AB237" s="60"/>
      <c r="AC237" s="60"/>
      <c r="AD237" s="60"/>
      <c r="AE237" s="60"/>
      <c r="AF237" s="60"/>
    </row>
    <row r="238" spans="1:32" s="96" customFormat="1" ht="15">
      <c r="A238" s="317"/>
      <c r="B238" s="125">
        <f t="shared" si="13"/>
        <v>138</v>
      </c>
      <c r="C238" s="1036" t="s">
        <v>304</v>
      </c>
      <c r="D238" s="610" t="s">
        <v>1589</v>
      </c>
      <c r="E238" s="608" t="s">
        <v>302</v>
      </c>
      <c r="F238" s="646">
        <v>5</v>
      </c>
      <c r="G238" s="647">
        <v>1250</v>
      </c>
      <c r="H238" s="319">
        <f t="shared" si="12"/>
        <v>6250</v>
      </c>
      <c r="I238" s="202"/>
      <c r="J238" s="1069"/>
      <c r="K238" s="60"/>
      <c r="L238" s="60"/>
      <c r="M238" s="60"/>
      <c r="N238" s="60"/>
      <c r="O238" s="60"/>
      <c r="P238" s="60"/>
      <c r="Q238" s="60"/>
      <c r="R238" s="60"/>
      <c r="S238" s="60"/>
      <c r="T238" s="60"/>
      <c r="U238" s="60"/>
      <c r="V238" s="60"/>
      <c r="W238" s="60"/>
      <c r="X238" s="60"/>
      <c r="Y238" s="60"/>
      <c r="Z238" s="60"/>
      <c r="AA238" s="60"/>
      <c r="AB238" s="60"/>
      <c r="AC238" s="60"/>
      <c r="AD238" s="60"/>
      <c r="AE238" s="60"/>
      <c r="AF238" s="60"/>
    </row>
    <row r="239" spans="1:32" s="96" customFormat="1" ht="170.25" customHeight="1">
      <c r="A239" s="317"/>
      <c r="B239" s="125">
        <f t="shared" si="13"/>
        <v>139</v>
      </c>
      <c r="C239" s="1036" t="s">
        <v>1590</v>
      </c>
      <c r="D239" s="609" t="s">
        <v>1591</v>
      </c>
      <c r="E239" s="608" t="s">
        <v>1508</v>
      </c>
      <c r="F239" s="646">
        <v>10</v>
      </c>
      <c r="G239" s="646">
        <v>500</v>
      </c>
      <c r="H239" s="319">
        <f t="shared" si="12"/>
        <v>5000</v>
      </c>
      <c r="I239" s="208"/>
      <c r="J239" s="1069"/>
      <c r="K239" s="60"/>
      <c r="L239" s="60"/>
      <c r="M239" s="60"/>
      <c r="N239" s="60"/>
      <c r="O239" s="60"/>
      <c r="P239" s="60"/>
      <c r="Q239" s="60"/>
      <c r="R239" s="60"/>
      <c r="S239" s="60"/>
      <c r="T239" s="60"/>
      <c r="U239" s="60"/>
      <c r="V239" s="60"/>
      <c r="W239" s="60"/>
      <c r="X239" s="60"/>
      <c r="Y239" s="60"/>
      <c r="Z239" s="60"/>
      <c r="AA239" s="60"/>
      <c r="AB239" s="60"/>
      <c r="AC239" s="60"/>
      <c r="AD239" s="60"/>
      <c r="AE239" s="60"/>
      <c r="AF239" s="60"/>
    </row>
    <row r="240" spans="1:32" s="96" customFormat="1" ht="120.75" customHeight="1">
      <c r="A240" s="317"/>
      <c r="B240" s="125">
        <f t="shared" si="13"/>
        <v>140</v>
      </c>
      <c r="C240" s="610" t="s">
        <v>1592</v>
      </c>
      <c r="D240" s="1087" t="s">
        <v>1593</v>
      </c>
      <c r="E240" s="608" t="s">
        <v>1508</v>
      </c>
      <c r="F240" s="646">
        <v>10</v>
      </c>
      <c r="G240" s="646">
        <v>815</v>
      </c>
      <c r="H240" s="319">
        <f t="shared" si="12"/>
        <v>8150</v>
      </c>
      <c r="I240" s="202"/>
      <c r="J240" s="1069"/>
      <c r="K240" s="60"/>
      <c r="L240" s="60"/>
      <c r="M240" s="60"/>
      <c r="N240" s="60"/>
      <c r="O240" s="60"/>
      <c r="P240" s="60"/>
      <c r="Q240" s="60"/>
      <c r="R240" s="60"/>
      <c r="S240" s="60"/>
      <c r="T240" s="60"/>
      <c r="U240" s="60"/>
      <c r="V240" s="60"/>
      <c r="W240" s="60"/>
      <c r="X240" s="60"/>
      <c r="Y240" s="60"/>
      <c r="Z240" s="60"/>
      <c r="AA240" s="60"/>
      <c r="AB240" s="60"/>
      <c r="AC240" s="60"/>
      <c r="AD240" s="60"/>
      <c r="AE240" s="60"/>
      <c r="AF240" s="60"/>
    </row>
    <row r="241" spans="1:32" s="96" customFormat="1" ht="159" customHeight="1">
      <c r="A241" s="317"/>
      <c r="B241" s="125">
        <f t="shared" si="13"/>
        <v>141</v>
      </c>
      <c r="C241" s="610" t="s">
        <v>1594</v>
      </c>
      <c r="D241" s="609" t="s">
        <v>1595</v>
      </c>
      <c r="E241" s="608" t="s">
        <v>1789</v>
      </c>
      <c r="F241" s="646">
        <v>1</v>
      </c>
      <c r="G241" s="646">
        <v>3500</v>
      </c>
      <c r="H241" s="319">
        <f t="shared" si="12"/>
        <v>3500</v>
      </c>
      <c r="I241" s="202"/>
      <c r="J241" s="1069"/>
      <c r="K241" s="60"/>
      <c r="L241" s="60"/>
      <c r="M241" s="60"/>
      <c r="N241" s="60"/>
      <c r="O241" s="60"/>
      <c r="P241" s="60"/>
      <c r="Q241" s="60"/>
      <c r="R241" s="60"/>
      <c r="S241" s="60"/>
      <c r="T241" s="60"/>
      <c r="U241" s="60"/>
      <c r="V241" s="60"/>
      <c r="W241" s="60"/>
      <c r="X241" s="60"/>
      <c r="Y241" s="60"/>
      <c r="Z241" s="60"/>
      <c r="AA241" s="60"/>
      <c r="AB241" s="60"/>
      <c r="AC241" s="60"/>
      <c r="AD241" s="60"/>
      <c r="AE241" s="60"/>
      <c r="AF241" s="60"/>
    </row>
    <row r="242" spans="1:32" s="96" customFormat="1" ht="102">
      <c r="A242" s="317"/>
      <c r="B242" s="125">
        <f t="shared" si="13"/>
        <v>142</v>
      </c>
      <c r="C242" s="610" t="s">
        <v>1596</v>
      </c>
      <c r="D242" s="609" t="s">
        <v>1597</v>
      </c>
      <c r="E242" s="608" t="s">
        <v>1508</v>
      </c>
      <c r="F242" s="646">
        <v>1</v>
      </c>
      <c r="G242" s="646">
        <v>3000</v>
      </c>
      <c r="H242" s="319">
        <f t="shared" si="12"/>
        <v>3000</v>
      </c>
      <c r="I242" s="202"/>
      <c r="J242" s="1069"/>
      <c r="K242" s="60"/>
      <c r="L242" s="60"/>
      <c r="M242" s="60"/>
      <c r="N242" s="60"/>
      <c r="O242" s="60"/>
      <c r="P242" s="60"/>
      <c r="Q242" s="60"/>
      <c r="R242" s="60"/>
      <c r="S242" s="60"/>
      <c r="T242" s="60"/>
      <c r="U242" s="60"/>
      <c r="V242" s="60"/>
      <c r="W242" s="60"/>
      <c r="X242" s="60"/>
      <c r="Y242" s="60"/>
      <c r="Z242" s="60"/>
      <c r="AA242" s="60"/>
      <c r="AB242" s="60"/>
      <c r="AC242" s="60"/>
      <c r="AD242" s="60"/>
      <c r="AE242" s="60"/>
      <c r="AF242" s="60"/>
    </row>
    <row r="243" spans="1:32" s="96" customFormat="1" ht="114.75">
      <c r="A243" s="317"/>
      <c r="B243" s="125">
        <f t="shared" si="13"/>
        <v>143</v>
      </c>
      <c r="C243" s="610" t="s">
        <v>1598</v>
      </c>
      <c r="D243" s="610" t="s">
        <v>1599</v>
      </c>
      <c r="E243" s="608" t="s">
        <v>1785</v>
      </c>
      <c r="F243" s="646">
        <v>5</v>
      </c>
      <c r="G243" s="646">
        <v>800</v>
      </c>
      <c r="H243" s="319">
        <f t="shared" si="12"/>
        <v>4000</v>
      </c>
      <c r="I243" s="202"/>
      <c r="J243" s="1069"/>
      <c r="K243" s="60"/>
      <c r="L243" s="60"/>
      <c r="M243" s="60"/>
      <c r="N243" s="60"/>
      <c r="O243" s="60"/>
      <c r="P243" s="60"/>
      <c r="Q243" s="60"/>
      <c r="R243" s="60"/>
      <c r="S243" s="60"/>
      <c r="T243" s="60"/>
      <c r="U243" s="60"/>
      <c r="V243" s="60"/>
      <c r="W243" s="60"/>
      <c r="X243" s="60"/>
      <c r="Y243" s="60"/>
      <c r="Z243" s="60"/>
      <c r="AA243" s="60"/>
      <c r="AB243" s="60"/>
      <c r="AC243" s="60"/>
      <c r="AD243" s="60"/>
      <c r="AE243" s="60"/>
      <c r="AF243" s="60"/>
    </row>
    <row r="244" spans="1:32" s="96" customFormat="1" ht="131.25" customHeight="1">
      <c r="A244" s="317"/>
      <c r="B244" s="125">
        <f t="shared" si="13"/>
        <v>144</v>
      </c>
      <c r="C244" s="1036" t="s">
        <v>1600</v>
      </c>
      <c r="D244" s="610" t="s">
        <v>1601</v>
      </c>
      <c r="E244" s="608" t="s">
        <v>295</v>
      </c>
      <c r="F244" s="646">
        <v>10</v>
      </c>
      <c r="G244" s="646">
        <v>18400</v>
      </c>
      <c r="H244" s="319">
        <f t="shared" si="12"/>
        <v>184000</v>
      </c>
      <c r="I244" s="202"/>
      <c r="J244" s="1069"/>
      <c r="K244" s="60"/>
      <c r="L244" s="60"/>
      <c r="M244" s="60"/>
      <c r="N244" s="60"/>
      <c r="O244" s="60"/>
      <c r="P244" s="60"/>
      <c r="Q244" s="60"/>
      <c r="R244" s="60"/>
      <c r="S244" s="60"/>
      <c r="T244" s="60"/>
      <c r="U244" s="60"/>
      <c r="V244" s="60"/>
      <c r="W244" s="60"/>
      <c r="X244" s="60"/>
      <c r="Y244" s="60"/>
      <c r="Z244" s="60"/>
      <c r="AA244" s="60"/>
      <c r="AB244" s="60"/>
      <c r="AC244" s="60"/>
      <c r="AD244" s="60"/>
      <c r="AE244" s="60"/>
      <c r="AF244" s="60"/>
    </row>
    <row r="245" spans="1:32" s="96" customFormat="1" ht="63.75">
      <c r="A245" s="317"/>
      <c r="B245" s="125">
        <f t="shared" si="13"/>
        <v>145</v>
      </c>
      <c r="C245" s="1031" t="s">
        <v>2435</v>
      </c>
      <c r="D245" s="1064" t="s">
        <v>1602</v>
      </c>
      <c r="E245" s="608" t="s">
        <v>1508</v>
      </c>
      <c r="F245" s="646">
        <v>5</v>
      </c>
      <c r="G245" s="646">
        <v>17500</v>
      </c>
      <c r="H245" s="319">
        <f t="shared" si="12"/>
        <v>87500</v>
      </c>
      <c r="I245" s="202"/>
      <c r="J245" s="1069"/>
      <c r="K245" s="60"/>
      <c r="L245" s="60"/>
      <c r="M245" s="60"/>
      <c r="N245" s="60"/>
      <c r="O245" s="60"/>
      <c r="P245" s="60"/>
      <c r="Q245" s="60"/>
      <c r="R245" s="60"/>
      <c r="S245" s="60"/>
      <c r="T245" s="60"/>
      <c r="U245" s="60"/>
      <c r="V245" s="60"/>
      <c r="W245" s="60"/>
      <c r="X245" s="60"/>
      <c r="Y245" s="60"/>
      <c r="Z245" s="60"/>
      <c r="AA245" s="60"/>
      <c r="AB245" s="60"/>
      <c r="AC245" s="60"/>
      <c r="AD245" s="60"/>
      <c r="AE245" s="60"/>
      <c r="AF245" s="60"/>
    </row>
    <row r="246" spans="1:32" s="96" customFormat="1" ht="51">
      <c r="A246" s="317"/>
      <c r="B246" s="125">
        <f t="shared" si="13"/>
        <v>146</v>
      </c>
      <c r="C246" s="1036" t="s">
        <v>1603</v>
      </c>
      <c r="D246" s="610" t="s">
        <v>1604</v>
      </c>
      <c r="E246" s="608" t="s">
        <v>1508</v>
      </c>
      <c r="F246" s="647">
        <v>400</v>
      </c>
      <c r="G246" s="647">
        <v>37</v>
      </c>
      <c r="H246" s="319">
        <f t="shared" si="12"/>
        <v>14800</v>
      </c>
      <c r="I246" s="202"/>
      <c r="J246" s="1069"/>
      <c r="K246" s="60"/>
      <c r="L246" s="60"/>
      <c r="M246" s="60"/>
      <c r="N246" s="60"/>
      <c r="O246" s="60"/>
      <c r="P246" s="60"/>
      <c r="Q246" s="60"/>
      <c r="R246" s="60"/>
      <c r="S246" s="60"/>
      <c r="T246" s="60"/>
      <c r="U246" s="60"/>
      <c r="V246" s="60"/>
      <c r="W246" s="60"/>
      <c r="X246" s="60"/>
      <c r="Y246" s="60"/>
      <c r="Z246" s="60"/>
      <c r="AA246" s="60"/>
      <c r="AB246" s="60"/>
      <c r="AC246" s="60"/>
      <c r="AD246" s="60"/>
      <c r="AE246" s="60"/>
      <c r="AF246" s="60"/>
    </row>
    <row r="247" spans="1:32" s="96" customFormat="1" ht="25.5">
      <c r="A247" s="317"/>
      <c r="B247" s="125">
        <f t="shared" si="13"/>
        <v>147</v>
      </c>
      <c r="C247" s="610" t="s">
        <v>1605</v>
      </c>
      <c r="D247" s="610" t="s">
        <v>1606</v>
      </c>
      <c r="E247" s="608" t="s">
        <v>1508</v>
      </c>
      <c r="F247" s="647">
        <v>1200</v>
      </c>
      <c r="G247" s="647">
        <v>35</v>
      </c>
      <c r="H247" s="319">
        <f t="shared" si="12"/>
        <v>42000</v>
      </c>
      <c r="I247" s="202"/>
      <c r="J247" s="1069"/>
      <c r="K247" s="60"/>
      <c r="L247" s="60"/>
      <c r="M247" s="60"/>
      <c r="N247" s="60"/>
      <c r="O247" s="60"/>
      <c r="P247" s="60"/>
      <c r="Q247" s="60"/>
      <c r="R247" s="60"/>
      <c r="S247" s="60"/>
      <c r="T247" s="60"/>
      <c r="U247" s="60"/>
      <c r="V247" s="60"/>
      <c r="W247" s="60"/>
      <c r="X247" s="60"/>
      <c r="Y247" s="60"/>
      <c r="Z247" s="60"/>
      <c r="AA247" s="60"/>
      <c r="AB247" s="60"/>
      <c r="AC247" s="60"/>
      <c r="AD247" s="60"/>
      <c r="AE247" s="60"/>
      <c r="AF247" s="60"/>
    </row>
    <row r="248" spans="1:32" s="96" customFormat="1" ht="38.25">
      <c r="A248" s="317"/>
      <c r="B248" s="125">
        <f t="shared" si="13"/>
        <v>148</v>
      </c>
      <c r="C248" s="609" t="s">
        <v>346</v>
      </c>
      <c r="D248" s="609" t="s">
        <v>744</v>
      </c>
      <c r="E248" s="608" t="s">
        <v>295</v>
      </c>
      <c r="F248" s="646">
        <v>150</v>
      </c>
      <c r="G248" s="647">
        <v>517</v>
      </c>
      <c r="H248" s="319">
        <f t="shared" si="12"/>
        <v>77550</v>
      </c>
      <c r="I248" s="202"/>
      <c r="J248" s="1069"/>
      <c r="K248" s="60"/>
      <c r="L248" s="60"/>
      <c r="M248" s="60"/>
      <c r="N248" s="60"/>
      <c r="O248" s="60"/>
      <c r="P248" s="60"/>
      <c r="Q248" s="60"/>
      <c r="R248" s="60"/>
      <c r="S248" s="60"/>
      <c r="T248" s="60"/>
      <c r="U248" s="60"/>
      <c r="V248" s="60"/>
      <c r="W248" s="60"/>
      <c r="X248" s="60"/>
      <c r="Y248" s="60"/>
      <c r="Z248" s="60"/>
      <c r="AA248" s="60"/>
      <c r="AB248" s="60"/>
      <c r="AC248" s="60"/>
      <c r="AD248" s="60"/>
      <c r="AE248" s="60"/>
      <c r="AF248" s="60"/>
    </row>
    <row r="249" spans="1:32" s="96" customFormat="1" ht="127.5">
      <c r="A249" s="317"/>
      <c r="B249" s="125">
        <f t="shared" si="13"/>
        <v>149</v>
      </c>
      <c r="C249" s="609" t="s">
        <v>352</v>
      </c>
      <c r="D249" s="609" t="s">
        <v>746</v>
      </c>
      <c r="E249" s="608" t="s">
        <v>1508</v>
      </c>
      <c r="F249" s="646">
        <v>100</v>
      </c>
      <c r="G249" s="1050">
        <v>321</v>
      </c>
      <c r="H249" s="319">
        <f t="shared" si="12"/>
        <v>32100</v>
      </c>
      <c r="I249" s="202"/>
      <c r="J249" s="1069"/>
      <c r="K249" s="60"/>
      <c r="L249" s="60"/>
      <c r="M249" s="60"/>
      <c r="N249" s="60"/>
      <c r="O249" s="60"/>
      <c r="P249" s="60"/>
      <c r="Q249" s="60"/>
      <c r="R249" s="60"/>
      <c r="S249" s="60"/>
      <c r="T249" s="60"/>
      <c r="U249" s="60"/>
      <c r="V249" s="60"/>
      <c r="W249" s="60"/>
      <c r="X249" s="60"/>
      <c r="Y249" s="60"/>
      <c r="Z249" s="60"/>
      <c r="AA249" s="60"/>
      <c r="AB249" s="60"/>
      <c r="AC249" s="60"/>
      <c r="AD249" s="60"/>
      <c r="AE249" s="60"/>
      <c r="AF249" s="60"/>
    </row>
    <row r="250" spans="1:32" s="96" customFormat="1" ht="76.5">
      <c r="A250" s="317"/>
      <c r="B250" s="125">
        <f t="shared" si="13"/>
        <v>150</v>
      </c>
      <c r="C250" s="609" t="s">
        <v>358</v>
      </c>
      <c r="D250" s="609" t="s">
        <v>751</v>
      </c>
      <c r="E250" s="608" t="s">
        <v>694</v>
      </c>
      <c r="F250" s="646">
        <v>2500</v>
      </c>
      <c r="G250" s="1050">
        <v>1200</v>
      </c>
      <c r="H250" s="319">
        <f t="shared" si="12"/>
        <v>3000000</v>
      </c>
      <c r="I250" s="1066"/>
      <c r="J250" s="1069"/>
      <c r="K250" s="60"/>
      <c r="L250" s="60"/>
      <c r="M250" s="60"/>
      <c r="N250" s="60"/>
      <c r="O250" s="60"/>
      <c r="P250" s="60"/>
      <c r="Q250" s="60"/>
      <c r="R250" s="60"/>
      <c r="S250" s="60"/>
      <c r="T250" s="60"/>
      <c r="U250" s="60"/>
      <c r="V250" s="60"/>
      <c r="W250" s="60"/>
      <c r="X250" s="60"/>
      <c r="Y250" s="60"/>
      <c r="Z250" s="60"/>
      <c r="AA250" s="60"/>
      <c r="AB250" s="60"/>
      <c r="AC250" s="60"/>
      <c r="AD250" s="60"/>
      <c r="AE250" s="60"/>
      <c r="AF250" s="60"/>
    </row>
    <row r="251" spans="1:32" s="96" customFormat="1" ht="25.5">
      <c r="A251" s="317"/>
      <c r="B251" s="125">
        <f t="shared" si="13"/>
        <v>151</v>
      </c>
      <c r="C251" s="609" t="s">
        <v>359</v>
      </c>
      <c r="D251" s="609" t="s">
        <v>752</v>
      </c>
      <c r="E251" s="608" t="s">
        <v>694</v>
      </c>
      <c r="F251" s="646">
        <v>10</v>
      </c>
      <c r="G251" s="1050">
        <v>26785</v>
      </c>
      <c r="H251" s="319">
        <f t="shared" si="12"/>
        <v>267850</v>
      </c>
      <c r="I251" s="202"/>
      <c r="J251" s="1069"/>
      <c r="K251" s="60"/>
      <c r="L251" s="60"/>
      <c r="M251" s="60"/>
      <c r="N251" s="60"/>
      <c r="O251" s="60"/>
      <c r="P251" s="60"/>
      <c r="Q251" s="60"/>
      <c r="R251" s="60"/>
      <c r="S251" s="60"/>
      <c r="T251" s="60"/>
      <c r="U251" s="60"/>
      <c r="V251" s="60"/>
      <c r="W251" s="60"/>
      <c r="X251" s="60"/>
      <c r="Y251" s="60"/>
      <c r="Z251" s="60"/>
      <c r="AA251" s="60"/>
      <c r="AB251" s="60"/>
      <c r="AC251" s="60"/>
      <c r="AD251" s="60"/>
      <c r="AE251" s="60"/>
      <c r="AF251" s="60"/>
    </row>
    <row r="252" spans="1:32" s="96" customFormat="1" ht="38.25">
      <c r="A252" s="317"/>
      <c r="B252" s="125">
        <f t="shared" si="13"/>
        <v>152</v>
      </c>
      <c r="C252" s="609" t="s">
        <v>743</v>
      </c>
      <c r="D252" s="609" t="s">
        <v>753</v>
      </c>
      <c r="E252" s="608" t="s">
        <v>694</v>
      </c>
      <c r="F252" s="1047">
        <v>10</v>
      </c>
      <c r="G252" s="1050">
        <v>27678</v>
      </c>
      <c r="H252" s="319">
        <f t="shared" si="12"/>
        <v>276780</v>
      </c>
      <c r="I252" s="202"/>
      <c r="J252" s="1069"/>
      <c r="K252" s="60"/>
      <c r="L252" s="60"/>
      <c r="M252" s="60"/>
      <c r="N252" s="60"/>
      <c r="O252" s="60"/>
      <c r="P252" s="60"/>
      <c r="Q252" s="60"/>
      <c r="R252" s="60"/>
      <c r="S252" s="60"/>
      <c r="T252" s="60"/>
      <c r="U252" s="60"/>
      <c r="V252" s="60"/>
      <c r="W252" s="60"/>
      <c r="X252" s="60"/>
      <c r="Y252" s="60"/>
      <c r="Z252" s="60"/>
      <c r="AA252" s="60"/>
      <c r="AB252" s="60"/>
      <c r="AC252" s="60"/>
      <c r="AD252" s="60"/>
      <c r="AE252" s="60"/>
      <c r="AF252" s="60"/>
    </row>
    <row r="253" spans="1:32" s="96" customFormat="1" ht="25.5">
      <c r="A253" s="317"/>
      <c r="B253" s="125">
        <f t="shared" si="13"/>
        <v>153</v>
      </c>
      <c r="C253" s="609" t="s">
        <v>360</v>
      </c>
      <c r="D253" s="609" t="s">
        <v>583</v>
      </c>
      <c r="E253" s="608" t="s">
        <v>1508</v>
      </c>
      <c r="F253" s="1047">
        <v>350</v>
      </c>
      <c r="G253" s="647">
        <v>258</v>
      </c>
      <c r="H253" s="319">
        <f t="shared" si="12"/>
        <v>90300</v>
      </c>
      <c r="I253" s="202"/>
      <c r="J253" s="1069"/>
      <c r="K253" s="60"/>
      <c r="L253" s="60"/>
      <c r="M253" s="60"/>
      <c r="N253" s="60"/>
      <c r="O253" s="60"/>
      <c r="P253" s="60"/>
      <c r="Q253" s="60"/>
      <c r="R253" s="60"/>
      <c r="S253" s="60"/>
      <c r="T253" s="60"/>
      <c r="U253" s="60"/>
      <c r="V253" s="60"/>
      <c r="W253" s="60"/>
      <c r="X253" s="60"/>
      <c r="Y253" s="60"/>
      <c r="Z253" s="60"/>
      <c r="AA253" s="60"/>
      <c r="AB253" s="60"/>
      <c r="AC253" s="60"/>
      <c r="AD253" s="60"/>
      <c r="AE253" s="60"/>
      <c r="AF253" s="60"/>
    </row>
    <row r="254" spans="1:32" s="96" customFormat="1" ht="38.25">
      <c r="A254" s="317"/>
      <c r="B254" s="125">
        <f t="shared" si="13"/>
        <v>154</v>
      </c>
      <c r="C254" s="609" t="s">
        <v>1607</v>
      </c>
      <c r="D254" s="609" t="s">
        <v>1608</v>
      </c>
      <c r="E254" s="608" t="s">
        <v>295</v>
      </c>
      <c r="F254" s="1047">
        <v>600</v>
      </c>
      <c r="G254" s="647">
        <v>400</v>
      </c>
      <c r="H254" s="319">
        <f t="shared" si="12"/>
        <v>240000</v>
      </c>
      <c r="I254" s="202"/>
      <c r="J254" s="1069"/>
      <c r="K254" s="60"/>
      <c r="L254" s="60"/>
      <c r="M254" s="60"/>
      <c r="N254" s="60"/>
      <c r="O254" s="60"/>
      <c r="P254" s="60"/>
      <c r="Q254" s="60"/>
      <c r="R254" s="60"/>
      <c r="S254" s="60"/>
      <c r="T254" s="60"/>
      <c r="U254" s="60"/>
      <c r="V254" s="60"/>
      <c r="W254" s="60"/>
      <c r="X254" s="60"/>
      <c r="Y254" s="60"/>
      <c r="Z254" s="60"/>
      <c r="AA254" s="60"/>
      <c r="AB254" s="60"/>
      <c r="AC254" s="60"/>
      <c r="AD254" s="60"/>
      <c r="AE254" s="60"/>
      <c r="AF254" s="60"/>
    </row>
    <row r="255" spans="1:32" s="96" customFormat="1" ht="25.5">
      <c r="A255" s="317"/>
      <c r="B255" s="125">
        <f t="shared" si="13"/>
        <v>155</v>
      </c>
      <c r="C255" s="609" t="s">
        <v>1614</v>
      </c>
      <c r="D255" s="609" t="s">
        <v>1615</v>
      </c>
      <c r="E255" s="608" t="s">
        <v>1508</v>
      </c>
      <c r="F255" s="646">
        <v>5</v>
      </c>
      <c r="G255" s="646">
        <v>3000</v>
      </c>
      <c r="H255" s="319">
        <f t="shared" si="12"/>
        <v>15000</v>
      </c>
      <c r="I255" s="208"/>
      <c r="J255" s="1069"/>
      <c r="K255" s="60"/>
      <c r="L255" s="60"/>
      <c r="M255" s="60"/>
      <c r="N255" s="60"/>
      <c r="O255" s="60"/>
      <c r="P255" s="60"/>
      <c r="Q255" s="60"/>
      <c r="R255" s="60"/>
      <c r="S255" s="60"/>
      <c r="T255" s="60"/>
      <c r="U255" s="60"/>
      <c r="V255" s="60"/>
      <c r="W255" s="60"/>
      <c r="X255" s="60"/>
      <c r="Y255" s="60"/>
      <c r="Z255" s="60"/>
      <c r="AA255" s="60"/>
      <c r="AB255" s="60"/>
      <c r="AC255" s="60"/>
      <c r="AD255" s="60"/>
      <c r="AE255" s="60"/>
      <c r="AF255" s="60"/>
    </row>
    <row r="256" spans="1:32" s="96" customFormat="1" ht="63.75">
      <c r="A256" s="317"/>
      <c r="B256" s="125">
        <f t="shared" si="13"/>
        <v>156</v>
      </c>
      <c r="C256" s="609" t="s">
        <v>1804</v>
      </c>
      <c r="D256" s="609" t="s">
        <v>1616</v>
      </c>
      <c r="E256" s="608" t="s">
        <v>1508</v>
      </c>
      <c r="F256" s="646">
        <v>10</v>
      </c>
      <c r="G256" s="646">
        <v>300</v>
      </c>
      <c r="H256" s="319">
        <f t="shared" si="12"/>
        <v>3000</v>
      </c>
      <c r="I256" s="208"/>
      <c r="J256" s="1069"/>
      <c r="K256" s="60"/>
      <c r="L256" s="60"/>
      <c r="M256" s="60"/>
      <c r="N256" s="60"/>
      <c r="O256" s="60"/>
      <c r="P256" s="60"/>
      <c r="Q256" s="60"/>
      <c r="R256" s="60"/>
      <c r="S256" s="60"/>
      <c r="T256" s="60"/>
      <c r="U256" s="60"/>
      <c r="V256" s="60"/>
      <c r="W256" s="60"/>
      <c r="X256" s="60"/>
      <c r="Y256" s="60"/>
      <c r="Z256" s="60"/>
      <c r="AA256" s="60"/>
      <c r="AB256" s="60"/>
      <c r="AC256" s="60"/>
      <c r="AD256" s="60"/>
      <c r="AE256" s="60"/>
      <c r="AF256" s="60"/>
    </row>
    <row r="257" spans="1:32" s="96" customFormat="1" ht="63.75">
      <c r="A257" s="317"/>
      <c r="B257" s="125">
        <f t="shared" si="13"/>
        <v>157</v>
      </c>
      <c r="C257" s="609" t="s">
        <v>1805</v>
      </c>
      <c r="D257" s="609" t="s">
        <v>1617</v>
      </c>
      <c r="E257" s="608" t="s">
        <v>1508</v>
      </c>
      <c r="F257" s="646">
        <v>10</v>
      </c>
      <c r="G257" s="646">
        <v>285</v>
      </c>
      <c r="H257" s="319">
        <f t="shared" si="12"/>
        <v>2850</v>
      </c>
      <c r="I257" s="208"/>
      <c r="J257" s="1069"/>
      <c r="K257" s="60"/>
      <c r="L257" s="60"/>
      <c r="M257" s="60"/>
      <c r="N257" s="60"/>
      <c r="O257" s="60"/>
      <c r="P257" s="60"/>
      <c r="Q257" s="60"/>
      <c r="R257" s="60"/>
      <c r="S257" s="60"/>
      <c r="T257" s="60"/>
      <c r="U257" s="60"/>
      <c r="V257" s="60"/>
      <c r="W257" s="60"/>
      <c r="X257" s="60"/>
      <c r="Y257" s="60"/>
      <c r="Z257" s="60"/>
      <c r="AA257" s="60"/>
      <c r="AB257" s="60"/>
      <c r="AC257" s="60"/>
      <c r="AD257" s="60"/>
      <c r="AE257" s="60"/>
      <c r="AF257" s="60"/>
    </row>
    <row r="258" spans="1:32" s="96" customFormat="1" ht="25.5">
      <c r="A258" s="317"/>
      <c r="B258" s="125">
        <f t="shared" si="13"/>
        <v>158</v>
      </c>
      <c r="C258" s="609" t="s">
        <v>1618</v>
      </c>
      <c r="D258" s="609" t="s">
        <v>1618</v>
      </c>
      <c r="E258" s="608" t="s">
        <v>1508</v>
      </c>
      <c r="F258" s="646">
        <v>5</v>
      </c>
      <c r="G258" s="646">
        <v>2300</v>
      </c>
      <c r="H258" s="319">
        <f t="shared" si="12"/>
        <v>11500</v>
      </c>
      <c r="I258" s="208"/>
      <c r="J258" s="1069"/>
      <c r="K258" s="60"/>
      <c r="L258" s="60"/>
      <c r="M258" s="60"/>
      <c r="N258" s="60"/>
      <c r="O258" s="60"/>
      <c r="P258" s="60"/>
      <c r="Q258" s="60"/>
      <c r="R258" s="60"/>
      <c r="S258" s="60"/>
      <c r="T258" s="60"/>
      <c r="U258" s="60"/>
      <c r="V258" s="60"/>
      <c r="W258" s="60"/>
      <c r="X258" s="60"/>
      <c r="Y258" s="60"/>
      <c r="Z258" s="60"/>
      <c r="AA258" s="60"/>
      <c r="AB258" s="60"/>
      <c r="AC258" s="60"/>
      <c r="AD258" s="60"/>
      <c r="AE258" s="60"/>
      <c r="AF258" s="60"/>
    </row>
    <row r="259" spans="1:32" s="96" customFormat="1" ht="25.5">
      <c r="A259" s="317"/>
      <c r="B259" s="125">
        <f t="shared" si="13"/>
        <v>159</v>
      </c>
      <c r="C259" s="609" t="s">
        <v>1619</v>
      </c>
      <c r="D259" s="609" t="s">
        <v>1620</v>
      </c>
      <c r="E259" s="608" t="s">
        <v>1508</v>
      </c>
      <c r="F259" s="646">
        <v>5</v>
      </c>
      <c r="G259" s="646">
        <v>1500</v>
      </c>
      <c r="H259" s="319">
        <f t="shared" si="12"/>
        <v>7500</v>
      </c>
      <c r="I259" s="208"/>
      <c r="J259" s="1069"/>
      <c r="K259" s="60"/>
      <c r="L259" s="60"/>
      <c r="M259" s="60"/>
      <c r="N259" s="60"/>
      <c r="O259" s="60"/>
      <c r="P259" s="60"/>
      <c r="Q259" s="60"/>
      <c r="R259" s="60"/>
      <c r="S259" s="60"/>
      <c r="T259" s="60"/>
      <c r="U259" s="60"/>
      <c r="V259" s="60"/>
      <c r="W259" s="60"/>
      <c r="X259" s="60"/>
      <c r="Y259" s="60"/>
      <c r="Z259" s="60"/>
      <c r="AA259" s="60"/>
      <c r="AB259" s="60"/>
      <c r="AC259" s="60"/>
      <c r="AD259" s="60"/>
      <c r="AE259" s="60"/>
      <c r="AF259" s="60"/>
    </row>
    <row r="260" spans="1:32" s="96" customFormat="1" ht="114.75">
      <c r="A260" s="317"/>
      <c r="B260" s="125">
        <f t="shared" si="13"/>
        <v>160</v>
      </c>
      <c r="C260" s="609" t="s">
        <v>1806</v>
      </c>
      <c r="D260" s="609" t="s">
        <v>1807</v>
      </c>
      <c r="E260" s="608" t="s">
        <v>1508</v>
      </c>
      <c r="F260" s="1047">
        <v>30</v>
      </c>
      <c r="G260" s="646">
        <v>6500</v>
      </c>
      <c r="H260" s="319">
        <f t="shared" si="12"/>
        <v>195000</v>
      </c>
      <c r="I260" s="208"/>
      <c r="J260" s="1069"/>
      <c r="K260" s="60"/>
      <c r="L260" s="60"/>
      <c r="M260" s="60"/>
      <c r="N260" s="60"/>
      <c r="O260" s="60"/>
      <c r="P260" s="60"/>
      <c r="Q260" s="60"/>
      <c r="R260" s="60"/>
      <c r="S260" s="60"/>
      <c r="T260" s="60"/>
      <c r="U260" s="60"/>
      <c r="V260" s="60"/>
      <c r="W260" s="60"/>
      <c r="X260" s="60"/>
      <c r="Y260" s="60"/>
      <c r="Z260" s="60"/>
      <c r="AA260" s="60"/>
      <c r="AB260" s="60"/>
      <c r="AC260" s="60"/>
      <c r="AD260" s="60"/>
      <c r="AE260" s="60"/>
      <c r="AF260" s="60"/>
    </row>
    <row r="261" spans="1:32" s="96" customFormat="1" ht="103.5" customHeight="1">
      <c r="A261" s="317"/>
      <c r="B261" s="125">
        <f t="shared" si="13"/>
        <v>161</v>
      </c>
      <c r="C261" s="609" t="s">
        <v>1808</v>
      </c>
      <c r="D261" s="609" t="s">
        <v>2451</v>
      </c>
      <c r="E261" s="608" t="s">
        <v>1508</v>
      </c>
      <c r="F261" s="1047">
        <v>29</v>
      </c>
      <c r="G261" s="646">
        <v>2500</v>
      </c>
      <c r="H261" s="319">
        <f t="shared" si="12"/>
        <v>72500</v>
      </c>
      <c r="I261" s="208"/>
      <c r="J261" s="1069"/>
      <c r="K261" s="60"/>
      <c r="L261" s="60"/>
      <c r="M261" s="60"/>
      <c r="N261" s="60"/>
      <c r="O261" s="60"/>
      <c r="P261" s="60"/>
      <c r="Q261" s="60"/>
      <c r="R261" s="60"/>
      <c r="S261" s="60"/>
      <c r="T261" s="60"/>
      <c r="U261" s="60"/>
      <c r="V261" s="60"/>
      <c r="W261" s="60"/>
      <c r="X261" s="60"/>
      <c r="Y261" s="60"/>
      <c r="Z261" s="60"/>
      <c r="AA261" s="60"/>
      <c r="AB261" s="60"/>
      <c r="AC261" s="60"/>
      <c r="AD261" s="60"/>
      <c r="AE261" s="60"/>
      <c r="AF261" s="60"/>
    </row>
    <row r="262" spans="1:32" s="96" customFormat="1" ht="76.5">
      <c r="A262" s="317"/>
      <c r="B262" s="125">
        <f t="shared" si="13"/>
        <v>162</v>
      </c>
      <c r="C262" s="609" t="s">
        <v>1621</v>
      </c>
      <c r="D262" s="609" t="s">
        <v>1622</v>
      </c>
      <c r="E262" s="608" t="s">
        <v>1508</v>
      </c>
      <c r="F262" s="1047">
        <v>20</v>
      </c>
      <c r="G262" s="646">
        <v>1500</v>
      </c>
      <c r="H262" s="319">
        <f t="shared" si="12"/>
        <v>30000</v>
      </c>
      <c r="I262" s="208"/>
      <c r="J262" s="1069"/>
      <c r="K262" s="60"/>
      <c r="L262" s="60"/>
      <c r="M262" s="60"/>
      <c r="N262" s="60"/>
      <c r="O262" s="60"/>
      <c r="P262" s="60"/>
      <c r="Q262" s="60"/>
      <c r="R262" s="60"/>
      <c r="S262" s="60"/>
      <c r="T262" s="60"/>
      <c r="U262" s="60"/>
      <c r="V262" s="60"/>
      <c r="W262" s="60"/>
      <c r="X262" s="60"/>
      <c r="Y262" s="60"/>
      <c r="Z262" s="60"/>
      <c r="AA262" s="60"/>
      <c r="AB262" s="60"/>
      <c r="AC262" s="60"/>
      <c r="AD262" s="60"/>
      <c r="AE262" s="60"/>
      <c r="AF262" s="60"/>
    </row>
    <row r="263" spans="1:32" s="96" customFormat="1" ht="38.25">
      <c r="A263" s="317"/>
      <c r="B263" s="125">
        <f t="shared" si="13"/>
        <v>163</v>
      </c>
      <c r="C263" s="609" t="s">
        <v>1623</v>
      </c>
      <c r="D263" s="609" t="s">
        <v>1624</v>
      </c>
      <c r="E263" s="608" t="s">
        <v>295</v>
      </c>
      <c r="F263" s="1047">
        <v>3</v>
      </c>
      <c r="G263" s="646">
        <v>3500</v>
      </c>
      <c r="H263" s="319">
        <f t="shared" si="12"/>
        <v>10500</v>
      </c>
      <c r="I263" s="202"/>
      <c r="J263" s="1069"/>
      <c r="K263" s="60"/>
      <c r="L263" s="60"/>
      <c r="M263" s="60"/>
      <c r="N263" s="60"/>
      <c r="O263" s="60"/>
      <c r="P263" s="60"/>
      <c r="Q263" s="60"/>
      <c r="R263" s="60"/>
      <c r="S263" s="60"/>
      <c r="T263" s="60"/>
      <c r="U263" s="60"/>
      <c r="V263" s="60"/>
      <c r="W263" s="60"/>
      <c r="X263" s="60"/>
      <c r="Y263" s="60"/>
      <c r="Z263" s="60"/>
      <c r="AA263" s="60"/>
      <c r="AB263" s="60"/>
      <c r="AC263" s="60"/>
      <c r="AD263" s="60"/>
      <c r="AE263" s="60"/>
      <c r="AF263" s="60"/>
    </row>
    <row r="264" spans="1:32" s="96" customFormat="1" ht="51">
      <c r="A264" s="317"/>
      <c r="B264" s="125">
        <f t="shared" si="13"/>
        <v>164</v>
      </c>
      <c r="C264" s="609" t="s">
        <v>1625</v>
      </c>
      <c r="D264" s="609" t="s">
        <v>1626</v>
      </c>
      <c r="E264" s="608" t="s">
        <v>1508</v>
      </c>
      <c r="F264" s="1047">
        <v>30</v>
      </c>
      <c r="G264" s="646">
        <v>8500</v>
      </c>
      <c r="H264" s="319">
        <f t="shared" si="12"/>
        <v>255000</v>
      </c>
      <c r="I264" s="202"/>
      <c r="J264" s="1069"/>
      <c r="K264" s="60"/>
      <c r="L264" s="60"/>
      <c r="M264" s="60"/>
      <c r="N264" s="60"/>
      <c r="O264" s="60"/>
      <c r="P264" s="60"/>
      <c r="Q264" s="60"/>
      <c r="R264" s="60"/>
      <c r="S264" s="60"/>
      <c r="T264" s="60"/>
      <c r="U264" s="60"/>
      <c r="V264" s="60"/>
      <c r="W264" s="60"/>
      <c r="X264" s="60"/>
      <c r="Y264" s="60"/>
      <c r="Z264" s="60"/>
      <c r="AA264" s="60"/>
      <c r="AB264" s="60"/>
      <c r="AC264" s="60"/>
      <c r="AD264" s="60"/>
      <c r="AE264" s="60"/>
      <c r="AF264" s="60"/>
    </row>
    <row r="265" spans="1:32" s="96" customFormat="1" ht="25.5">
      <c r="A265" s="317"/>
      <c r="B265" s="125">
        <f t="shared" si="13"/>
        <v>165</v>
      </c>
      <c r="C265" s="609" t="s">
        <v>1627</v>
      </c>
      <c r="D265" s="609" t="s">
        <v>1628</v>
      </c>
      <c r="E265" s="608" t="s">
        <v>1508</v>
      </c>
      <c r="F265" s="1047">
        <v>30</v>
      </c>
      <c r="G265" s="646">
        <v>1800</v>
      </c>
      <c r="H265" s="319">
        <f t="shared" si="12"/>
        <v>54000</v>
      </c>
      <c r="I265" s="202"/>
      <c r="J265" s="1069"/>
      <c r="K265" s="60"/>
      <c r="L265" s="60"/>
      <c r="M265" s="60"/>
      <c r="N265" s="60"/>
      <c r="O265" s="60"/>
      <c r="P265" s="60"/>
      <c r="Q265" s="60"/>
      <c r="R265" s="60"/>
      <c r="S265" s="60"/>
      <c r="T265" s="60"/>
      <c r="U265" s="60"/>
      <c r="V265" s="60"/>
      <c r="W265" s="60"/>
      <c r="X265" s="60"/>
      <c r="Y265" s="60"/>
      <c r="Z265" s="60"/>
      <c r="AA265" s="60"/>
      <c r="AB265" s="60"/>
      <c r="AC265" s="60"/>
      <c r="AD265" s="60"/>
      <c r="AE265" s="60"/>
      <c r="AF265" s="60"/>
    </row>
    <row r="266" spans="1:32" s="96" customFormat="1" ht="80.25" customHeight="1">
      <c r="A266" s="317"/>
      <c r="B266" s="125">
        <f t="shared" si="13"/>
        <v>166</v>
      </c>
      <c r="C266" s="609" t="s">
        <v>1629</v>
      </c>
      <c r="D266" s="609" t="s">
        <v>1630</v>
      </c>
      <c r="E266" s="608" t="s">
        <v>1797</v>
      </c>
      <c r="F266" s="1047">
        <v>50</v>
      </c>
      <c r="G266" s="646">
        <v>5000</v>
      </c>
      <c r="H266" s="319">
        <f t="shared" si="12"/>
        <v>250000</v>
      </c>
      <c r="I266" s="202"/>
      <c r="J266" s="1069"/>
      <c r="K266" s="60"/>
      <c r="L266" s="60"/>
      <c r="M266" s="60"/>
      <c r="N266" s="60"/>
      <c r="O266" s="60"/>
      <c r="P266" s="60"/>
      <c r="Q266" s="60"/>
      <c r="R266" s="60"/>
      <c r="S266" s="60"/>
      <c r="T266" s="60"/>
      <c r="U266" s="60"/>
      <c r="V266" s="60"/>
      <c r="W266" s="60"/>
      <c r="X266" s="60"/>
      <c r="Y266" s="60"/>
      <c r="Z266" s="60"/>
      <c r="AA266" s="60"/>
      <c r="AB266" s="60"/>
      <c r="AC266" s="60"/>
      <c r="AD266" s="60"/>
      <c r="AE266" s="60"/>
      <c r="AF266" s="60"/>
    </row>
    <row r="267" spans="1:32" s="96" customFormat="1" ht="51">
      <c r="A267" s="317"/>
      <c r="B267" s="125">
        <f t="shared" si="13"/>
        <v>167</v>
      </c>
      <c r="C267" s="602" t="s">
        <v>1631</v>
      </c>
      <c r="D267" s="602" t="s">
        <v>1632</v>
      </c>
      <c r="E267" s="608" t="s">
        <v>1508</v>
      </c>
      <c r="F267" s="1047">
        <v>2</v>
      </c>
      <c r="G267" s="651">
        <v>3200</v>
      </c>
      <c r="H267" s="319">
        <f t="shared" si="12"/>
        <v>6400</v>
      </c>
      <c r="I267" s="202"/>
      <c r="J267" s="1069"/>
      <c r="K267" s="60"/>
      <c r="L267" s="60"/>
      <c r="M267" s="60"/>
      <c r="N267" s="60"/>
      <c r="O267" s="60"/>
      <c r="P267" s="60"/>
      <c r="Q267" s="60"/>
      <c r="R267" s="60"/>
      <c r="S267" s="60"/>
      <c r="T267" s="60"/>
      <c r="U267" s="60"/>
      <c r="V267" s="60"/>
      <c r="W267" s="60"/>
      <c r="X267" s="60"/>
      <c r="Y267" s="60"/>
      <c r="Z267" s="60"/>
      <c r="AA267" s="60"/>
      <c r="AB267" s="60"/>
      <c r="AC267" s="60"/>
      <c r="AD267" s="60"/>
      <c r="AE267" s="60"/>
      <c r="AF267" s="60"/>
    </row>
    <row r="268" spans="1:32" s="96" customFormat="1" ht="51">
      <c r="A268" s="317"/>
      <c r="B268" s="125">
        <f t="shared" si="13"/>
        <v>168</v>
      </c>
      <c r="C268" s="609" t="s">
        <v>1633</v>
      </c>
      <c r="D268" s="609" t="s">
        <v>1634</v>
      </c>
      <c r="E268" s="608" t="s">
        <v>1508</v>
      </c>
      <c r="F268" s="646">
        <v>5</v>
      </c>
      <c r="G268" s="646">
        <v>1800</v>
      </c>
      <c r="H268" s="319">
        <f t="shared" si="12"/>
        <v>9000</v>
      </c>
      <c r="I268" s="202"/>
      <c r="J268" s="1069"/>
      <c r="K268" s="60"/>
      <c r="L268" s="60"/>
      <c r="M268" s="60"/>
      <c r="N268" s="60"/>
      <c r="O268" s="60"/>
      <c r="P268" s="60"/>
      <c r="Q268" s="60"/>
      <c r="R268" s="60"/>
      <c r="S268" s="60"/>
      <c r="T268" s="60"/>
      <c r="U268" s="60"/>
      <c r="V268" s="60"/>
      <c r="W268" s="60"/>
      <c r="X268" s="60"/>
      <c r="Y268" s="60"/>
      <c r="Z268" s="60"/>
      <c r="AA268" s="60"/>
      <c r="AB268" s="60"/>
      <c r="AC268" s="60"/>
      <c r="AD268" s="60"/>
      <c r="AE268" s="60"/>
      <c r="AF268" s="60"/>
    </row>
    <row r="269" spans="1:32" s="96" customFormat="1" ht="63.75">
      <c r="A269" s="317"/>
      <c r="B269" s="125">
        <f t="shared" si="13"/>
        <v>169</v>
      </c>
      <c r="C269" s="609" t="s">
        <v>1635</v>
      </c>
      <c r="D269" s="609" t="s">
        <v>1636</v>
      </c>
      <c r="E269" s="608" t="s">
        <v>1508</v>
      </c>
      <c r="F269" s="646">
        <v>3</v>
      </c>
      <c r="G269" s="646">
        <v>2500</v>
      </c>
      <c r="H269" s="319">
        <f t="shared" si="12"/>
        <v>7500</v>
      </c>
      <c r="I269" s="202"/>
      <c r="J269" s="1069"/>
      <c r="K269" s="60"/>
      <c r="L269" s="60"/>
      <c r="M269" s="60"/>
      <c r="N269" s="60"/>
      <c r="O269" s="60"/>
      <c r="P269" s="60"/>
      <c r="Q269" s="60"/>
      <c r="R269" s="60"/>
      <c r="S269" s="60"/>
      <c r="T269" s="60"/>
      <c r="U269" s="60"/>
      <c r="V269" s="60"/>
      <c r="W269" s="60"/>
      <c r="X269" s="60"/>
      <c r="Y269" s="60"/>
      <c r="Z269" s="60"/>
      <c r="AA269" s="60"/>
      <c r="AB269" s="60"/>
      <c r="AC269" s="60"/>
      <c r="AD269" s="60"/>
      <c r="AE269" s="60"/>
      <c r="AF269" s="60"/>
    </row>
    <row r="270" spans="1:32" s="96" customFormat="1" ht="51">
      <c r="A270" s="317"/>
      <c r="B270" s="125">
        <f t="shared" si="13"/>
        <v>170</v>
      </c>
      <c r="C270" s="609" t="s">
        <v>1637</v>
      </c>
      <c r="D270" s="1088" t="s">
        <v>1638</v>
      </c>
      <c r="E270" s="608" t="s">
        <v>1508</v>
      </c>
      <c r="F270" s="646">
        <v>3</v>
      </c>
      <c r="G270" s="646">
        <v>20000</v>
      </c>
      <c r="H270" s="319">
        <f t="shared" si="12"/>
        <v>60000</v>
      </c>
      <c r="I270" s="202"/>
      <c r="J270" s="1069"/>
      <c r="K270" s="60"/>
      <c r="L270" s="60"/>
      <c r="M270" s="60"/>
      <c r="N270" s="60"/>
      <c r="O270" s="60"/>
      <c r="P270" s="60"/>
      <c r="Q270" s="60"/>
      <c r="R270" s="60"/>
      <c r="S270" s="60"/>
      <c r="T270" s="60"/>
      <c r="U270" s="60"/>
      <c r="V270" s="60"/>
      <c r="W270" s="60"/>
      <c r="X270" s="60"/>
      <c r="Y270" s="60"/>
      <c r="Z270" s="60"/>
      <c r="AA270" s="60"/>
      <c r="AB270" s="60"/>
      <c r="AC270" s="60"/>
      <c r="AD270" s="60"/>
      <c r="AE270" s="60"/>
      <c r="AF270" s="60"/>
    </row>
    <row r="271" spans="1:32" s="96" customFormat="1" ht="38.25">
      <c r="A271" s="317"/>
      <c r="B271" s="125">
        <f t="shared" si="13"/>
        <v>171</v>
      </c>
      <c r="C271" s="1036" t="s">
        <v>1639</v>
      </c>
      <c r="D271" s="602" t="s">
        <v>1640</v>
      </c>
      <c r="E271" s="608" t="s">
        <v>1508</v>
      </c>
      <c r="F271" s="646">
        <v>10</v>
      </c>
      <c r="G271" s="646">
        <v>14000</v>
      </c>
      <c r="H271" s="319">
        <f t="shared" si="12"/>
        <v>140000</v>
      </c>
      <c r="I271" s="202"/>
      <c r="J271" s="1069"/>
      <c r="K271" s="60"/>
      <c r="L271" s="60"/>
      <c r="M271" s="60"/>
      <c r="N271" s="60"/>
      <c r="O271" s="60"/>
      <c r="P271" s="60"/>
      <c r="Q271" s="60"/>
      <c r="R271" s="60"/>
      <c r="S271" s="60"/>
      <c r="T271" s="60"/>
      <c r="U271" s="60"/>
      <c r="V271" s="60"/>
      <c r="W271" s="60"/>
      <c r="X271" s="60"/>
      <c r="Y271" s="60"/>
      <c r="Z271" s="60"/>
      <c r="AA271" s="60"/>
      <c r="AB271" s="60"/>
      <c r="AC271" s="60"/>
      <c r="AD271" s="60"/>
      <c r="AE271" s="60"/>
      <c r="AF271" s="60"/>
    </row>
    <row r="272" spans="1:32" s="96" customFormat="1" ht="51">
      <c r="A272" s="317"/>
      <c r="B272" s="125">
        <f t="shared" si="13"/>
        <v>172</v>
      </c>
      <c r="C272" s="1036" t="s">
        <v>1641</v>
      </c>
      <c r="D272" s="602" t="s">
        <v>1642</v>
      </c>
      <c r="E272" s="608" t="s">
        <v>1508</v>
      </c>
      <c r="F272" s="646">
        <v>2</v>
      </c>
      <c r="G272" s="646">
        <v>15000</v>
      </c>
      <c r="H272" s="319">
        <f t="shared" si="12"/>
        <v>30000</v>
      </c>
      <c r="I272" s="202"/>
      <c r="J272" s="1069"/>
      <c r="K272" s="60"/>
      <c r="L272" s="60"/>
      <c r="M272" s="60"/>
      <c r="N272" s="60"/>
      <c r="O272" s="60"/>
      <c r="P272" s="60"/>
      <c r="Q272" s="60"/>
      <c r="R272" s="60"/>
      <c r="S272" s="60"/>
      <c r="T272" s="60"/>
      <c r="U272" s="60"/>
      <c r="V272" s="60"/>
      <c r="W272" s="60"/>
      <c r="X272" s="60"/>
      <c r="Y272" s="60"/>
      <c r="Z272" s="60"/>
      <c r="AA272" s="60"/>
      <c r="AB272" s="60"/>
      <c r="AC272" s="60"/>
      <c r="AD272" s="60"/>
      <c r="AE272" s="60"/>
      <c r="AF272" s="60"/>
    </row>
    <row r="273" spans="1:32" s="96" customFormat="1" ht="89.25">
      <c r="A273" s="317"/>
      <c r="B273" s="125">
        <f t="shared" si="13"/>
        <v>173</v>
      </c>
      <c r="C273" s="1036" t="s">
        <v>1641</v>
      </c>
      <c r="D273" s="602" t="s">
        <v>1643</v>
      </c>
      <c r="E273" s="608" t="s">
        <v>1508</v>
      </c>
      <c r="F273" s="646">
        <v>5</v>
      </c>
      <c r="G273" s="646">
        <v>12000</v>
      </c>
      <c r="H273" s="319">
        <f t="shared" si="12"/>
        <v>60000</v>
      </c>
      <c r="I273" s="202"/>
      <c r="J273" s="1069"/>
      <c r="K273" s="60"/>
      <c r="L273" s="60"/>
      <c r="M273" s="60"/>
      <c r="N273" s="60"/>
      <c r="O273" s="60"/>
      <c r="P273" s="60"/>
      <c r="Q273" s="60"/>
      <c r="R273" s="60"/>
      <c r="S273" s="60"/>
      <c r="T273" s="60"/>
      <c r="U273" s="60"/>
      <c r="V273" s="60"/>
      <c r="W273" s="60"/>
      <c r="X273" s="60"/>
      <c r="Y273" s="60"/>
      <c r="Z273" s="60"/>
      <c r="AA273" s="60"/>
      <c r="AB273" s="60"/>
      <c r="AC273" s="60"/>
      <c r="AD273" s="60"/>
      <c r="AE273" s="60"/>
      <c r="AF273" s="60"/>
    </row>
    <row r="274" spans="1:32" s="96" customFormat="1" ht="143.25" customHeight="1">
      <c r="A274" s="317"/>
      <c r="B274" s="125">
        <f t="shared" si="13"/>
        <v>174</v>
      </c>
      <c r="C274" s="1036" t="s">
        <v>1644</v>
      </c>
      <c r="D274" s="602" t="s">
        <v>1809</v>
      </c>
      <c r="E274" s="608" t="s">
        <v>1508</v>
      </c>
      <c r="F274" s="646">
        <v>15</v>
      </c>
      <c r="G274" s="646">
        <v>8500</v>
      </c>
      <c r="H274" s="319">
        <f t="shared" si="12"/>
        <v>127500</v>
      </c>
      <c r="I274" s="202"/>
      <c r="J274" s="1069"/>
      <c r="K274" s="60"/>
      <c r="L274" s="60"/>
      <c r="M274" s="60"/>
      <c r="N274" s="60"/>
      <c r="O274" s="60"/>
      <c r="P274" s="60"/>
      <c r="Q274" s="60"/>
      <c r="R274" s="60"/>
      <c r="S274" s="60"/>
      <c r="T274" s="60"/>
      <c r="U274" s="60"/>
      <c r="V274" s="60"/>
      <c r="W274" s="60"/>
      <c r="X274" s="60"/>
      <c r="Y274" s="60"/>
      <c r="Z274" s="60"/>
      <c r="AA274" s="60"/>
      <c r="AB274" s="60"/>
      <c r="AC274" s="60"/>
      <c r="AD274" s="60"/>
      <c r="AE274" s="60"/>
      <c r="AF274" s="60"/>
    </row>
    <row r="275" spans="1:32" s="96" customFormat="1" ht="102" customHeight="1">
      <c r="A275" s="317"/>
      <c r="B275" s="125">
        <f t="shared" si="13"/>
        <v>175</v>
      </c>
      <c r="C275" s="1036" t="s">
        <v>1645</v>
      </c>
      <c r="D275" s="602" t="s">
        <v>1648</v>
      </c>
      <c r="E275" s="608" t="s">
        <v>1508</v>
      </c>
      <c r="F275" s="646">
        <v>15</v>
      </c>
      <c r="G275" s="646">
        <v>1650</v>
      </c>
      <c r="H275" s="319">
        <f t="shared" si="12"/>
        <v>24750</v>
      </c>
      <c r="I275" s="202"/>
      <c r="J275" s="1069"/>
      <c r="K275" s="60"/>
      <c r="L275" s="60"/>
      <c r="M275" s="60"/>
      <c r="N275" s="60"/>
      <c r="O275" s="60"/>
      <c r="P275" s="60"/>
      <c r="Q275" s="60"/>
      <c r="R275" s="60"/>
      <c r="S275" s="60"/>
      <c r="T275" s="60"/>
      <c r="U275" s="60"/>
      <c r="V275" s="60"/>
      <c r="W275" s="60"/>
      <c r="X275" s="60"/>
      <c r="Y275" s="60"/>
      <c r="Z275" s="60"/>
      <c r="AA275" s="60"/>
      <c r="AB275" s="60"/>
      <c r="AC275" s="60"/>
      <c r="AD275" s="60"/>
      <c r="AE275" s="60"/>
      <c r="AF275" s="60"/>
    </row>
    <row r="276" spans="1:32" s="96" customFormat="1" ht="51">
      <c r="A276" s="317"/>
      <c r="B276" s="125">
        <f t="shared" si="13"/>
        <v>176</v>
      </c>
      <c r="C276" s="1036" t="s">
        <v>1646</v>
      </c>
      <c r="D276" s="602" t="s">
        <v>1647</v>
      </c>
      <c r="E276" s="608" t="s">
        <v>1508</v>
      </c>
      <c r="F276" s="646">
        <v>15</v>
      </c>
      <c r="G276" s="646">
        <v>15000</v>
      </c>
      <c r="H276" s="319">
        <f t="shared" si="12"/>
        <v>225000</v>
      </c>
      <c r="I276" s="202"/>
      <c r="J276" s="1069"/>
      <c r="K276" s="60"/>
      <c r="L276" s="60"/>
      <c r="M276" s="60"/>
      <c r="N276" s="60"/>
      <c r="O276" s="60"/>
      <c r="P276" s="60"/>
      <c r="Q276" s="60"/>
      <c r="R276" s="60"/>
      <c r="S276" s="60"/>
      <c r="T276" s="60"/>
      <c r="U276" s="60"/>
      <c r="V276" s="60"/>
      <c r="W276" s="60"/>
      <c r="X276" s="60"/>
      <c r="Y276" s="60"/>
      <c r="Z276" s="60"/>
      <c r="AA276" s="60"/>
      <c r="AB276" s="60"/>
      <c r="AC276" s="60"/>
      <c r="AD276" s="60"/>
      <c r="AE276" s="60"/>
      <c r="AF276" s="60"/>
    </row>
    <row r="277" spans="1:32" s="96" customFormat="1" ht="15">
      <c r="A277" s="317"/>
      <c r="B277" s="1379" t="s">
        <v>1831</v>
      </c>
      <c r="C277" s="1380"/>
      <c r="D277" s="1380"/>
      <c r="E277" s="1380"/>
      <c r="F277" s="1380"/>
      <c r="G277" s="1380"/>
      <c r="H277" s="1381"/>
      <c r="I277" s="202"/>
      <c r="J277" s="1069"/>
      <c r="K277" s="60"/>
      <c r="L277" s="60"/>
      <c r="M277" s="60"/>
      <c r="N277" s="60"/>
      <c r="O277" s="60"/>
      <c r="P277" s="60"/>
      <c r="Q277" s="60"/>
      <c r="R277" s="60"/>
      <c r="S277" s="60"/>
      <c r="T277" s="60"/>
      <c r="U277" s="60"/>
      <c r="V277" s="60"/>
      <c r="W277" s="60"/>
      <c r="X277" s="60"/>
      <c r="Y277" s="60"/>
      <c r="Z277" s="60"/>
      <c r="AA277" s="60"/>
      <c r="AB277" s="60"/>
      <c r="AC277" s="60"/>
      <c r="AD277" s="60"/>
      <c r="AE277" s="60"/>
      <c r="AF277" s="60"/>
    </row>
    <row r="278" spans="1:32" s="96" customFormat="1" ht="38.25">
      <c r="A278" s="317"/>
      <c r="B278" s="1062" t="s">
        <v>84</v>
      </c>
      <c r="C278" s="626" t="s">
        <v>0</v>
      </c>
      <c r="D278" s="1062" t="s">
        <v>90</v>
      </c>
      <c r="E278" s="1062" t="s">
        <v>85</v>
      </c>
      <c r="F278" s="1062" t="s">
        <v>32</v>
      </c>
      <c r="G278" s="1062" t="s">
        <v>86</v>
      </c>
      <c r="H278" s="1062" t="s">
        <v>87</v>
      </c>
      <c r="I278" s="202"/>
      <c r="J278" s="1069"/>
      <c r="K278" s="60"/>
      <c r="L278" s="60"/>
      <c r="M278" s="60"/>
      <c r="N278" s="60"/>
      <c r="O278" s="60"/>
      <c r="P278" s="60"/>
      <c r="Q278" s="60"/>
      <c r="R278" s="60"/>
      <c r="S278" s="60"/>
      <c r="T278" s="60"/>
      <c r="U278" s="60"/>
      <c r="V278" s="60"/>
      <c r="W278" s="60"/>
      <c r="X278" s="60"/>
      <c r="Y278" s="60"/>
      <c r="Z278" s="60"/>
      <c r="AA278" s="60"/>
      <c r="AB278" s="60"/>
      <c r="AC278" s="60"/>
      <c r="AD278" s="60"/>
      <c r="AE278" s="60"/>
      <c r="AF278" s="60"/>
    </row>
    <row r="279" spans="1:32" s="96" customFormat="1" ht="15">
      <c r="A279" s="317"/>
      <c r="B279" s="612"/>
      <c r="C279" s="606">
        <v>1</v>
      </c>
      <c r="D279" s="606">
        <v>2</v>
      </c>
      <c r="E279" s="606">
        <v>3</v>
      </c>
      <c r="F279" s="606">
        <v>4</v>
      </c>
      <c r="G279" s="606">
        <v>5</v>
      </c>
      <c r="H279" s="619">
        <v>6</v>
      </c>
      <c r="I279" s="202"/>
      <c r="J279" s="1069"/>
      <c r="K279" s="60"/>
      <c r="L279" s="60"/>
      <c r="M279" s="60"/>
      <c r="N279" s="60"/>
      <c r="O279" s="60"/>
      <c r="P279" s="60"/>
      <c r="Q279" s="60"/>
      <c r="R279" s="60"/>
      <c r="S279" s="60"/>
      <c r="T279" s="60"/>
      <c r="U279" s="60"/>
      <c r="V279" s="60"/>
      <c r="W279" s="60"/>
      <c r="X279" s="60"/>
      <c r="Y279" s="60"/>
      <c r="Z279" s="60"/>
      <c r="AA279" s="60"/>
      <c r="AB279" s="60"/>
      <c r="AC279" s="60"/>
      <c r="AD279" s="60"/>
      <c r="AE279" s="60"/>
      <c r="AF279" s="60"/>
    </row>
    <row r="280" spans="1:32" s="96" customFormat="1" ht="15">
      <c r="A280" s="317"/>
      <c r="B280" s="623"/>
      <c r="C280" s="632" t="s">
        <v>1832</v>
      </c>
      <c r="D280" s="633"/>
      <c r="E280" s="633"/>
      <c r="F280" s="621"/>
      <c r="G280" s="621"/>
      <c r="H280" s="634">
        <f>H281+H282+H283</f>
        <v>781500</v>
      </c>
      <c r="I280" s="202"/>
      <c r="J280" s="1069"/>
      <c r="K280" s="60"/>
      <c r="L280" s="60"/>
      <c r="M280" s="60"/>
      <c r="N280" s="60"/>
      <c r="O280" s="60"/>
      <c r="P280" s="60"/>
      <c r="Q280" s="60"/>
      <c r="R280" s="60"/>
      <c r="S280" s="60"/>
      <c r="T280" s="60"/>
      <c r="U280" s="60"/>
      <c r="V280" s="60"/>
      <c r="W280" s="60"/>
      <c r="X280" s="60"/>
      <c r="Y280" s="60"/>
      <c r="Z280" s="60"/>
      <c r="AA280" s="60"/>
      <c r="AB280" s="60"/>
      <c r="AC280" s="60"/>
      <c r="AD280" s="60"/>
      <c r="AE280" s="60"/>
      <c r="AF280" s="60"/>
    </row>
    <row r="281" spans="1:32" s="96" customFormat="1" ht="63.75">
      <c r="A281" s="317"/>
      <c r="B281" s="125">
        <v>1</v>
      </c>
      <c r="C281" s="609" t="s">
        <v>1803</v>
      </c>
      <c r="D281" s="609" t="s">
        <v>1609</v>
      </c>
      <c r="E281" s="608" t="s">
        <v>1508</v>
      </c>
      <c r="F281" s="646">
        <v>30</v>
      </c>
      <c r="G281" s="647">
        <v>17000</v>
      </c>
      <c r="H281" s="319">
        <f>F281*G281</f>
        <v>510000</v>
      </c>
      <c r="I281" s="202"/>
      <c r="J281" s="1069"/>
      <c r="K281" s="60"/>
      <c r="L281" s="60"/>
      <c r="M281" s="60"/>
      <c r="N281" s="60"/>
      <c r="O281" s="60"/>
      <c r="P281" s="60"/>
      <c r="Q281" s="60"/>
      <c r="R281" s="60"/>
      <c r="S281" s="60"/>
      <c r="T281" s="60"/>
      <c r="U281" s="60"/>
      <c r="V281" s="60"/>
      <c r="W281" s="60"/>
      <c r="X281" s="60"/>
      <c r="Y281" s="60"/>
      <c r="Z281" s="60"/>
      <c r="AA281" s="60"/>
      <c r="AB281" s="60"/>
      <c r="AC281" s="60"/>
      <c r="AD281" s="60"/>
      <c r="AE281" s="60"/>
      <c r="AF281" s="60"/>
    </row>
    <row r="282" spans="1:32" s="96" customFormat="1" ht="119.45" customHeight="1">
      <c r="A282" s="317"/>
      <c r="B282" s="125">
        <f>B281+1</f>
        <v>2</v>
      </c>
      <c r="C282" s="610" t="s">
        <v>1610</v>
      </c>
      <c r="D282" s="610" t="s">
        <v>1611</v>
      </c>
      <c r="E282" s="608" t="s">
        <v>1508</v>
      </c>
      <c r="F282" s="646">
        <v>12</v>
      </c>
      <c r="G282" s="647">
        <v>17000</v>
      </c>
      <c r="H282" s="319">
        <f>F282*G282</f>
        <v>204000</v>
      </c>
      <c r="I282" s="202"/>
      <c r="J282" s="1069"/>
      <c r="K282" s="60"/>
      <c r="L282" s="60"/>
      <c r="M282" s="60"/>
      <c r="N282" s="60"/>
      <c r="O282" s="60"/>
      <c r="P282" s="60"/>
      <c r="Q282" s="60"/>
      <c r="R282" s="60"/>
      <c r="S282" s="60"/>
      <c r="T282" s="60"/>
      <c r="U282" s="60"/>
      <c r="V282" s="60"/>
      <c r="W282" s="60"/>
      <c r="X282" s="60"/>
      <c r="Y282" s="60"/>
      <c r="Z282" s="60"/>
      <c r="AA282" s="60"/>
      <c r="AB282" s="60"/>
      <c r="AC282" s="60"/>
      <c r="AD282" s="60"/>
      <c r="AE282" s="60"/>
      <c r="AF282" s="60"/>
    </row>
    <row r="283" spans="1:32" s="96" customFormat="1" ht="102">
      <c r="A283" s="317"/>
      <c r="B283" s="125">
        <f>B282+1</f>
        <v>3</v>
      </c>
      <c r="C283" s="610" t="s">
        <v>1612</v>
      </c>
      <c r="D283" s="1064" t="s">
        <v>1613</v>
      </c>
      <c r="E283" s="608" t="s">
        <v>1798</v>
      </c>
      <c r="F283" s="646">
        <v>5</v>
      </c>
      <c r="G283" s="647">
        <v>13500</v>
      </c>
      <c r="H283" s="319">
        <f>F283*G283</f>
        <v>67500</v>
      </c>
      <c r="I283" s="202"/>
      <c r="J283" s="1069"/>
      <c r="K283" s="60"/>
      <c r="L283" s="60"/>
      <c r="M283" s="60"/>
      <c r="N283" s="60"/>
      <c r="O283" s="60"/>
      <c r="P283" s="60"/>
      <c r="Q283" s="60"/>
      <c r="R283" s="60"/>
      <c r="S283" s="60"/>
      <c r="T283" s="60"/>
      <c r="U283" s="60"/>
      <c r="V283" s="60"/>
      <c r="W283" s="60"/>
      <c r="X283" s="60"/>
      <c r="Y283" s="60"/>
      <c r="Z283" s="60"/>
      <c r="AA283" s="60"/>
      <c r="AB283" s="60"/>
      <c r="AC283" s="60"/>
      <c r="AD283" s="60"/>
      <c r="AE283" s="60"/>
      <c r="AF283" s="60"/>
    </row>
    <row r="284" spans="1:32" s="96" customFormat="1" ht="15">
      <c r="A284" s="317"/>
      <c r="B284" s="1379" t="s">
        <v>1828</v>
      </c>
      <c r="C284" s="1380"/>
      <c r="D284" s="1380"/>
      <c r="E284" s="1380"/>
      <c r="F284" s="1380"/>
      <c r="G284" s="1380"/>
      <c r="H284" s="1381"/>
      <c r="I284" s="202"/>
      <c r="J284" s="1069"/>
      <c r="K284" s="60"/>
      <c r="L284" s="60"/>
      <c r="M284" s="60"/>
      <c r="N284" s="60"/>
      <c r="O284" s="60"/>
      <c r="P284" s="60"/>
      <c r="Q284" s="60"/>
      <c r="R284" s="60"/>
      <c r="S284" s="60"/>
      <c r="T284" s="60"/>
      <c r="U284" s="60"/>
      <c r="V284" s="60"/>
      <c r="W284" s="60"/>
      <c r="X284" s="60"/>
      <c r="Y284" s="60"/>
      <c r="Z284" s="60"/>
      <c r="AA284" s="60"/>
      <c r="AB284" s="60"/>
      <c r="AC284" s="60"/>
      <c r="AD284" s="60"/>
      <c r="AE284" s="60"/>
      <c r="AF284" s="60"/>
    </row>
    <row r="285" spans="1:32" s="96" customFormat="1" ht="38.25">
      <c r="A285" s="317"/>
      <c r="B285" s="1062" t="s">
        <v>84</v>
      </c>
      <c r="C285" s="626" t="s">
        <v>0</v>
      </c>
      <c r="D285" s="1062" t="s">
        <v>90</v>
      </c>
      <c r="E285" s="1062" t="s">
        <v>85</v>
      </c>
      <c r="F285" s="1062" t="s">
        <v>32</v>
      </c>
      <c r="G285" s="1062" t="s">
        <v>86</v>
      </c>
      <c r="H285" s="1062" t="s">
        <v>87</v>
      </c>
      <c r="I285" s="202"/>
      <c r="J285" s="1069"/>
      <c r="K285" s="60"/>
      <c r="L285" s="60"/>
      <c r="M285" s="60"/>
      <c r="N285" s="60"/>
      <c r="O285" s="60"/>
      <c r="P285" s="60"/>
      <c r="Q285" s="60"/>
      <c r="R285" s="60"/>
      <c r="S285" s="60"/>
      <c r="T285" s="60"/>
      <c r="U285" s="60"/>
      <c r="V285" s="60"/>
      <c r="W285" s="60"/>
      <c r="X285" s="60"/>
      <c r="Y285" s="60"/>
      <c r="Z285" s="60"/>
      <c r="AA285" s="60"/>
      <c r="AB285" s="60"/>
      <c r="AC285" s="60"/>
      <c r="AD285" s="60"/>
      <c r="AE285" s="60"/>
      <c r="AF285" s="60"/>
    </row>
    <row r="286" spans="1:32" s="96" customFormat="1" ht="15">
      <c r="A286" s="317"/>
      <c r="B286" s="612"/>
      <c r="C286" s="606">
        <v>1</v>
      </c>
      <c r="D286" s="606">
        <v>2</v>
      </c>
      <c r="E286" s="606">
        <v>3</v>
      </c>
      <c r="F286" s="606">
        <v>4</v>
      </c>
      <c r="G286" s="606">
        <v>5</v>
      </c>
      <c r="H286" s="619">
        <v>6</v>
      </c>
      <c r="I286" s="202"/>
      <c r="J286" s="1069"/>
      <c r="K286" s="60"/>
      <c r="L286" s="60"/>
      <c r="M286" s="60"/>
      <c r="N286" s="60"/>
      <c r="O286" s="60"/>
      <c r="P286" s="60"/>
      <c r="Q286" s="60"/>
      <c r="R286" s="60"/>
      <c r="S286" s="60"/>
      <c r="T286" s="60"/>
      <c r="U286" s="60"/>
      <c r="V286" s="60"/>
      <c r="W286" s="60"/>
      <c r="X286" s="60"/>
      <c r="Y286" s="60"/>
      <c r="Z286" s="60"/>
      <c r="AA286" s="60"/>
      <c r="AB286" s="60"/>
      <c r="AC286" s="60"/>
      <c r="AD286" s="60"/>
      <c r="AE286" s="60"/>
      <c r="AF286" s="60"/>
    </row>
    <row r="287" spans="1:32" s="43" customFormat="1" ht="15">
      <c r="A287" s="317"/>
      <c r="B287" s="623"/>
      <c r="C287" s="632" t="s">
        <v>220</v>
      </c>
      <c r="D287" s="633"/>
      <c r="E287" s="633"/>
      <c r="F287" s="621"/>
      <c r="G287" s="621"/>
      <c r="H287" s="634">
        <f>SUM(H288:H312)</f>
        <v>3382297</v>
      </c>
      <c r="I287" s="105"/>
      <c r="J287" s="105"/>
      <c r="K287" s="60"/>
      <c r="L287" s="60"/>
      <c r="M287" s="60"/>
      <c r="N287" s="60"/>
      <c r="O287" s="60"/>
      <c r="P287" s="60"/>
      <c r="Q287" s="60"/>
      <c r="R287" s="60"/>
      <c r="S287" s="60"/>
      <c r="T287" s="60"/>
      <c r="U287" s="60"/>
      <c r="V287" s="60"/>
      <c r="W287" s="60"/>
      <c r="X287" s="60"/>
      <c r="Y287" s="60"/>
      <c r="Z287" s="60"/>
      <c r="AA287" s="60"/>
      <c r="AB287" s="60"/>
      <c r="AC287" s="60"/>
      <c r="AD287" s="60"/>
      <c r="AE287" s="60"/>
      <c r="AF287" s="60"/>
    </row>
    <row r="288" spans="1:32" s="96" customFormat="1" ht="15">
      <c r="A288" s="317"/>
      <c r="B288" s="619">
        <v>1</v>
      </c>
      <c r="C288" s="609" t="s">
        <v>303</v>
      </c>
      <c r="D288" s="610" t="s">
        <v>719</v>
      </c>
      <c r="E288" s="608" t="s">
        <v>1508</v>
      </c>
      <c r="F288" s="646">
        <v>20</v>
      </c>
      <c r="G288" s="647">
        <v>848</v>
      </c>
      <c r="H288" s="319">
        <f>F288*G288</f>
        <v>16960</v>
      </c>
      <c r="I288" s="1074"/>
      <c r="J288" s="105"/>
      <c r="K288" s="60"/>
      <c r="L288" s="60"/>
      <c r="M288" s="60"/>
      <c r="N288" s="60"/>
      <c r="O288" s="60"/>
      <c r="P288" s="60"/>
      <c r="Q288" s="60"/>
      <c r="R288" s="60"/>
      <c r="S288" s="60"/>
      <c r="T288" s="60"/>
      <c r="U288" s="60"/>
      <c r="V288" s="60"/>
      <c r="W288" s="60"/>
      <c r="X288" s="60"/>
      <c r="Y288" s="60"/>
      <c r="Z288" s="60"/>
      <c r="AA288" s="60"/>
      <c r="AB288" s="60"/>
      <c r="AC288" s="60"/>
      <c r="AD288" s="60"/>
      <c r="AE288" s="60"/>
      <c r="AF288" s="60"/>
    </row>
    <row r="289" spans="1:32" s="96" customFormat="1" ht="15">
      <c r="A289" s="317"/>
      <c r="B289" s="619">
        <f>B288+1</f>
        <v>2</v>
      </c>
      <c r="C289" s="609" t="s">
        <v>303</v>
      </c>
      <c r="D289" s="610" t="s">
        <v>720</v>
      </c>
      <c r="E289" s="608" t="s">
        <v>1508</v>
      </c>
      <c r="F289" s="646">
        <v>5</v>
      </c>
      <c r="G289" s="647">
        <v>2174</v>
      </c>
      <c r="H289" s="319">
        <f t="shared" ref="H289:H312" si="14">F289*G289</f>
        <v>10870</v>
      </c>
      <c r="I289" s="1074"/>
      <c r="J289" s="105"/>
      <c r="K289" s="60"/>
      <c r="L289" s="60"/>
      <c r="M289" s="60"/>
      <c r="N289" s="60"/>
      <c r="O289" s="60"/>
      <c r="P289" s="60"/>
      <c r="Q289" s="60"/>
      <c r="R289" s="60"/>
      <c r="S289" s="60"/>
      <c r="T289" s="60"/>
      <c r="U289" s="60"/>
      <c r="V289" s="60"/>
      <c r="W289" s="60"/>
      <c r="X289" s="60"/>
      <c r="Y289" s="60"/>
      <c r="Z289" s="60"/>
      <c r="AA289" s="60"/>
      <c r="AB289" s="60"/>
      <c r="AC289" s="60"/>
      <c r="AD289" s="60"/>
      <c r="AE289" s="60"/>
      <c r="AF289" s="60"/>
    </row>
    <row r="290" spans="1:32" s="96" customFormat="1" ht="15">
      <c r="A290" s="317"/>
      <c r="B290" s="619">
        <f t="shared" ref="B290:B312" si="15">B289+1</f>
        <v>3</v>
      </c>
      <c r="C290" s="602" t="s">
        <v>1649</v>
      </c>
      <c r="D290" s="1036" t="s">
        <v>721</v>
      </c>
      <c r="E290" s="1051" t="s">
        <v>1508</v>
      </c>
      <c r="F290" s="651">
        <v>1</v>
      </c>
      <c r="G290" s="655">
        <v>2250</v>
      </c>
      <c r="H290" s="319">
        <f t="shared" si="14"/>
        <v>2250</v>
      </c>
      <c r="I290" s="1074"/>
      <c r="J290" s="105"/>
      <c r="K290" s="60"/>
      <c r="L290" s="60"/>
      <c r="M290" s="60"/>
      <c r="N290" s="60"/>
      <c r="O290" s="60"/>
      <c r="P290" s="60"/>
      <c r="Q290" s="60"/>
      <c r="R290" s="60"/>
      <c r="S290" s="60"/>
      <c r="T290" s="60"/>
      <c r="U290" s="60"/>
      <c r="V290" s="60"/>
      <c r="W290" s="60"/>
      <c r="X290" s="60"/>
      <c r="Y290" s="60"/>
      <c r="Z290" s="60"/>
      <c r="AA290" s="60"/>
      <c r="AB290" s="60"/>
      <c r="AC290" s="60"/>
      <c r="AD290" s="60"/>
      <c r="AE290" s="60"/>
      <c r="AF290" s="60"/>
    </row>
    <row r="291" spans="1:32" s="96" customFormat="1" ht="25.5">
      <c r="A291" s="317"/>
      <c r="B291" s="619">
        <f t="shared" si="15"/>
        <v>4</v>
      </c>
      <c r="C291" s="1031" t="s">
        <v>701</v>
      </c>
      <c r="D291" s="1031" t="s">
        <v>2440</v>
      </c>
      <c r="E291" s="1051" t="s">
        <v>1508</v>
      </c>
      <c r="F291" s="1047">
        <v>400</v>
      </c>
      <c r="G291" s="1050">
        <v>1625</v>
      </c>
      <c r="H291" s="1034">
        <f t="shared" si="14"/>
        <v>650000</v>
      </c>
      <c r="I291" s="1074"/>
      <c r="J291" s="105"/>
      <c r="K291" s="60"/>
      <c r="L291" s="60"/>
      <c r="M291" s="60"/>
      <c r="N291" s="60"/>
      <c r="O291" s="60"/>
      <c r="P291" s="60"/>
      <c r="Q291" s="60"/>
      <c r="R291" s="60"/>
      <c r="S291" s="60"/>
      <c r="T291" s="60"/>
      <c r="U291" s="60"/>
      <c r="V291" s="60"/>
      <c r="W291" s="60"/>
      <c r="X291" s="60"/>
      <c r="Y291" s="60"/>
      <c r="Z291" s="60"/>
      <c r="AA291" s="60"/>
      <c r="AB291" s="60"/>
      <c r="AC291" s="60"/>
      <c r="AD291" s="60"/>
      <c r="AE291" s="60"/>
      <c r="AF291" s="60"/>
    </row>
    <row r="292" spans="1:32" s="96" customFormat="1" ht="25.5">
      <c r="A292" s="317"/>
      <c r="B292" s="619">
        <f t="shared" si="15"/>
        <v>5</v>
      </c>
      <c r="C292" s="1031" t="s">
        <v>701</v>
      </c>
      <c r="D292" s="1031" t="s">
        <v>724</v>
      </c>
      <c r="E292" s="1051" t="s">
        <v>1508</v>
      </c>
      <c r="F292" s="651">
        <v>100</v>
      </c>
      <c r="G292" s="655">
        <v>1205</v>
      </c>
      <c r="H292" s="319">
        <f t="shared" si="14"/>
        <v>120500</v>
      </c>
      <c r="I292" s="1074"/>
      <c r="J292" s="105"/>
      <c r="K292" s="60"/>
      <c r="L292" s="60"/>
      <c r="M292" s="60"/>
      <c r="N292" s="60"/>
      <c r="O292" s="60"/>
      <c r="P292" s="60"/>
      <c r="Q292" s="60"/>
      <c r="R292" s="60"/>
      <c r="S292" s="60"/>
      <c r="T292" s="60"/>
      <c r="U292" s="60"/>
      <c r="V292" s="60"/>
      <c r="W292" s="60"/>
      <c r="X292" s="60"/>
      <c r="Y292" s="60"/>
      <c r="Z292" s="60"/>
      <c r="AA292" s="60"/>
      <c r="AB292" s="60"/>
      <c r="AC292" s="60"/>
      <c r="AD292" s="60"/>
      <c r="AE292" s="60"/>
      <c r="AF292" s="60"/>
    </row>
    <row r="293" spans="1:32" s="96" customFormat="1" ht="15">
      <c r="A293" s="317"/>
      <c r="B293" s="619">
        <f t="shared" si="15"/>
        <v>6</v>
      </c>
      <c r="C293" s="638" t="s">
        <v>702</v>
      </c>
      <c r="D293" s="1031" t="s">
        <v>725</v>
      </c>
      <c r="E293" s="1051" t="s">
        <v>1508</v>
      </c>
      <c r="F293" s="651">
        <v>10</v>
      </c>
      <c r="G293" s="655">
        <v>8660</v>
      </c>
      <c r="H293" s="319">
        <f t="shared" si="14"/>
        <v>86600</v>
      </c>
      <c r="I293" s="1074"/>
      <c r="J293" s="105"/>
      <c r="K293" s="60"/>
      <c r="L293" s="60"/>
      <c r="M293" s="60"/>
      <c r="N293" s="60"/>
      <c r="O293" s="60"/>
      <c r="P293" s="60"/>
      <c r="Q293" s="60"/>
      <c r="R293" s="60"/>
      <c r="S293" s="60"/>
      <c r="T293" s="60"/>
      <c r="U293" s="60"/>
      <c r="V293" s="60"/>
      <c r="W293" s="60"/>
      <c r="X293" s="60"/>
      <c r="Y293" s="60"/>
      <c r="Z293" s="60"/>
      <c r="AA293" s="60"/>
      <c r="AB293" s="60"/>
      <c r="AC293" s="60"/>
      <c r="AD293" s="60"/>
      <c r="AE293" s="60"/>
      <c r="AF293" s="60"/>
    </row>
    <row r="294" spans="1:32" s="96" customFormat="1" ht="15">
      <c r="A294" s="317"/>
      <c r="B294" s="619">
        <f t="shared" si="15"/>
        <v>7</v>
      </c>
      <c r="C294" s="638" t="s">
        <v>703</v>
      </c>
      <c r="D294" s="638" t="s">
        <v>726</v>
      </c>
      <c r="E294" s="637" t="s">
        <v>740</v>
      </c>
      <c r="F294" s="651">
        <v>100</v>
      </c>
      <c r="G294" s="655">
        <v>129</v>
      </c>
      <c r="H294" s="319">
        <f t="shared" si="14"/>
        <v>12900</v>
      </c>
      <c r="I294" s="1074"/>
      <c r="J294" s="105"/>
      <c r="K294" s="60"/>
      <c r="L294" s="60"/>
      <c r="M294" s="60"/>
      <c r="N294" s="60"/>
      <c r="O294" s="60"/>
      <c r="P294" s="60"/>
      <c r="Q294" s="60"/>
      <c r="R294" s="60"/>
      <c r="S294" s="60"/>
      <c r="T294" s="60"/>
      <c r="U294" s="60"/>
      <c r="V294" s="60"/>
      <c r="W294" s="60"/>
      <c r="X294" s="60"/>
      <c r="Y294" s="60"/>
      <c r="Z294" s="60"/>
      <c r="AA294" s="60"/>
      <c r="AB294" s="60"/>
      <c r="AC294" s="60"/>
      <c r="AD294" s="60"/>
      <c r="AE294" s="60"/>
      <c r="AF294" s="60"/>
    </row>
    <row r="295" spans="1:32" s="96" customFormat="1" ht="15">
      <c r="A295" s="317"/>
      <c r="B295" s="619">
        <f t="shared" si="15"/>
        <v>8</v>
      </c>
      <c r="C295" s="638" t="s">
        <v>703</v>
      </c>
      <c r="D295" s="638" t="s">
        <v>1650</v>
      </c>
      <c r="E295" s="637" t="s">
        <v>740</v>
      </c>
      <c r="F295" s="651">
        <v>100</v>
      </c>
      <c r="G295" s="655">
        <v>200</v>
      </c>
      <c r="H295" s="319">
        <f t="shared" si="14"/>
        <v>20000</v>
      </c>
      <c r="I295" s="1074"/>
      <c r="J295" s="105"/>
      <c r="K295" s="60"/>
      <c r="L295" s="60"/>
      <c r="M295" s="60"/>
      <c r="N295" s="60"/>
      <c r="O295" s="60"/>
      <c r="P295" s="60"/>
      <c r="Q295" s="60"/>
      <c r="R295" s="60"/>
      <c r="S295" s="60"/>
      <c r="T295" s="60"/>
      <c r="U295" s="60"/>
      <c r="V295" s="60"/>
      <c r="W295" s="60"/>
      <c r="X295" s="60"/>
      <c r="Y295" s="60"/>
      <c r="Z295" s="60"/>
      <c r="AA295" s="60"/>
      <c r="AB295" s="60"/>
      <c r="AC295" s="60"/>
      <c r="AD295" s="60"/>
      <c r="AE295" s="60"/>
      <c r="AF295" s="60"/>
    </row>
    <row r="296" spans="1:32" s="96" customFormat="1" ht="15">
      <c r="A296" s="317"/>
      <c r="B296" s="619">
        <f t="shared" si="15"/>
        <v>9</v>
      </c>
      <c r="C296" s="638" t="s">
        <v>1651</v>
      </c>
      <c r="D296" s="638" t="s">
        <v>1652</v>
      </c>
      <c r="E296" s="637" t="s">
        <v>740</v>
      </c>
      <c r="F296" s="651">
        <v>100</v>
      </c>
      <c r="G296" s="655">
        <v>2500</v>
      </c>
      <c r="H296" s="319">
        <f t="shared" si="14"/>
        <v>250000</v>
      </c>
      <c r="I296" s="1074"/>
      <c r="J296" s="105"/>
      <c r="K296" s="60"/>
      <c r="L296" s="60"/>
      <c r="M296" s="60"/>
      <c r="N296" s="60"/>
      <c r="O296" s="60"/>
      <c r="P296" s="60"/>
      <c r="Q296" s="60"/>
      <c r="R296" s="60"/>
      <c r="S296" s="60"/>
      <c r="T296" s="60"/>
      <c r="U296" s="60"/>
      <c r="V296" s="60"/>
      <c r="W296" s="60"/>
      <c r="X296" s="60"/>
      <c r="Y296" s="60"/>
      <c r="Z296" s="60"/>
      <c r="AA296" s="60"/>
      <c r="AB296" s="60"/>
      <c r="AC296" s="60"/>
      <c r="AD296" s="60"/>
      <c r="AE296" s="60"/>
      <c r="AF296" s="60"/>
    </row>
    <row r="297" spans="1:32" s="96" customFormat="1" ht="15">
      <c r="A297" s="317"/>
      <c r="B297" s="619">
        <f t="shared" si="15"/>
        <v>10</v>
      </c>
      <c r="C297" s="609" t="s">
        <v>704</v>
      </c>
      <c r="D297" s="609" t="s">
        <v>727</v>
      </c>
      <c r="E297" s="608" t="s">
        <v>740</v>
      </c>
      <c r="F297" s="646">
        <v>200</v>
      </c>
      <c r="G297" s="647">
        <v>357</v>
      </c>
      <c r="H297" s="319">
        <f t="shared" si="14"/>
        <v>71400</v>
      </c>
      <c r="I297" s="1074"/>
      <c r="J297" s="105"/>
      <c r="K297" s="60"/>
      <c r="L297" s="60"/>
      <c r="M297" s="60"/>
      <c r="N297" s="60"/>
      <c r="O297" s="60"/>
      <c r="P297" s="60"/>
      <c r="Q297" s="60"/>
      <c r="R297" s="60"/>
      <c r="S297" s="60"/>
      <c r="T297" s="60"/>
      <c r="U297" s="60"/>
      <c r="V297" s="60"/>
      <c r="W297" s="60"/>
      <c r="X297" s="60"/>
      <c r="Y297" s="60"/>
      <c r="Z297" s="60"/>
      <c r="AA297" s="60"/>
      <c r="AB297" s="60"/>
      <c r="AC297" s="60"/>
      <c r="AD297" s="60"/>
      <c r="AE297" s="60"/>
      <c r="AF297" s="60"/>
    </row>
    <row r="298" spans="1:32" s="96" customFormat="1" ht="15">
      <c r="A298" s="317"/>
      <c r="B298" s="619">
        <f t="shared" si="15"/>
        <v>11</v>
      </c>
      <c r="C298" s="609" t="s">
        <v>704</v>
      </c>
      <c r="D298" s="609" t="s">
        <v>728</v>
      </c>
      <c r="E298" s="608" t="s">
        <v>740</v>
      </c>
      <c r="F298" s="646">
        <v>300</v>
      </c>
      <c r="G298" s="647">
        <v>598</v>
      </c>
      <c r="H298" s="319">
        <f t="shared" si="14"/>
        <v>179400</v>
      </c>
      <c r="I298" s="1074"/>
      <c r="J298" s="105"/>
      <c r="K298" s="60"/>
      <c r="L298" s="60"/>
      <c r="M298" s="60"/>
      <c r="N298" s="60"/>
      <c r="O298" s="60"/>
      <c r="P298" s="60"/>
      <c r="Q298" s="60"/>
      <c r="R298" s="60"/>
      <c r="S298" s="60"/>
      <c r="T298" s="60"/>
      <c r="U298" s="60"/>
      <c r="V298" s="60"/>
      <c r="W298" s="60"/>
      <c r="X298" s="60"/>
      <c r="Y298" s="60"/>
      <c r="Z298" s="60"/>
      <c r="AA298" s="60"/>
      <c r="AB298" s="60"/>
      <c r="AC298" s="60"/>
      <c r="AD298" s="60"/>
      <c r="AE298" s="60"/>
      <c r="AF298" s="60"/>
    </row>
    <row r="299" spans="1:32" s="96" customFormat="1" ht="25.5">
      <c r="A299" s="317"/>
      <c r="B299" s="619">
        <f t="shared" si="15"/>
        <v>12</v>
      </c>
      <c r="C299" s="609" t="s">
        <v>705</v>
      </c>
      <c r="D299" s="609" t="s">
        <v>729</v>
      </c>
      <c r="E299" s="608" t="s">
        <v>1508</v>
      </c>
      <c r="F299" s="646">
        <v>40</v>
      </c>
      <c r="G299" s="647">
        <v>642</v>
      </c>
      <c r="H299" s="319">
        <f t="shared" si="14"/>
        <v>25680</v>
      </c>
      <c r="I299" s="1074"/>
      <c r="J299" s="105"/>
      <c r="K299" s="60"/>
      <c r="L299" s="60"/>
      <c r="M299" s="60"/>
      <c r="N299" s="60"/>
      <c r="O299" s="60"/>
      <c r="P299" s="60"/>
      <c r="Q299" s="60"/>
      <c r="R299" s="60"/>
      <c r="S299" s="60"/>
      <c r="T299" s="60"/>
      <c r="U299" s="60"/>
      <c r="V299" s="60"/>
      <c r="W299" s="60"/>
      <c r="X299" s="60"/>
      <c r="Y299" s="60"/>
      <c r="Z299" s="60"/>
      <c r="AA299" s="60"/>
      <c r="AB299" s="60"/>
      <c r="AC299" s="60"/>
      <c r="AD299" s="60"/>
      <c r="AE299" s="60"/>
      <c r="AF299" s="60"/>
    </row>
    <row r="300" spans="1:32" s="96" customFormat="1" ht="25.5">
      <c r="A300" s="317"/>
      <c r="B300" s="619">
        <f t="shared" si="15"/>
        <v>13</v>
      </c>
      <c r="C300" s="609" t="s">
        <v>706</v>
      </c>
      <c r="D300" s="609" t="s">
        <v>729</v>
      </c>
      <c r="E300" s="608" t="s">
        <v>1508</v>
      </c>
      <c r="F300" s="646">
        <v>50</v>
      </c>
      <c r="G300" s="647">
        <v>1383</v>
      </c>
      <c r="H300" s="319">
        <f t="shared" si="14"/>
        <v>69150</v>
      </c>
      <c r="I300" s="1074"/>
      <c r="J300" s="105"/>
      <c r="K300" s="60"/>
      <c r="L300" s="60"/>
      <c r="M300" s="60"/>
      <c r="N300" s="60"/>
      <c r="O300" s="60"/>
      <c r="P300" s="60"/>
      <c r="Q300" s="60"/>
      <c r="R300" s="60"/>
      <c r="S300" s="60"/>
      <c r="T300" s="60"/>
      <c r="U300" s="60"/>
      <c r="V300" s="60"/>
      <c r="W300" s="60"/>
      <c r="X300" s="60"/>
      <c r="Y300" s="60"/>
      <c r="Z300" s="60"/>
      <c r="AA300" s="60"/>
      <c r="AB300" s="60"/>
      <c r="AC300" s="60"/>
      <c r="AD300" s="60"/>
      <c r="AE300" s="60"/>
      <c r="AF300" s="60"/>
    </row>
    <row r="301" spans="1:32" s="96" customFormat="1" ht="25.5">
      <c r="A301" s="317"/>
      <c r="B301" s="619">
        <f t="shared" si="15"/>
        <v>14</v>
      </c>
      <c r="C301" s="609" t="s">
        <v>707</v>
      </c>
      <c r="D301" s="609" t="s">
        <v>729</v>
      </c>
      <c r="E301" s="608" t="s">
        <v>1508</v>
      </c>
      <c r="F301" s="646">
        <v>20</v>
      </c>
      <c r="G301" s="647">
        <v>535</v>
      </c>
      <c r="H301" s="319">
        <f t="shared" si="14"/>
        <v>10700</v>
      </c>
      <c r="I301" s="1074"/>
      <c r="J301" s="105"/>
      <c r="K301" s="60"/>
      <c r="L301" s="60"/>
      <c r="M301" s="60"/>
      <c r="N301" s="60"/>
      <c r="O301" s="60"/>
      <c r="P301" s="60"/>
      <c r="Q301" s="60"/>
      <c r="R301" s="60"/>
      <c r="S301" s="60"/>
      <c r="T301" s="60"/>
      <c r="U301" s="60"/>
      <c r="V301" s="60"/>
      <c r="W301" s="60"/>
      <c r="X301" s="60"/>
      <c r="Y301" s="60"/>
      <c r="Z301" s="60"/>
      <c r="AA301" s="60"/>
      <c r="AB301" s="60"/>
      <c r="AC301" s="60"/>
      <c r="AD301" s="60"/>
      <c r="AE301" s="60"/>
      <c r="AF301" s="60"/>
    </row>
    <row r="302" spans="1:32" s="96" customFormat="1" ht="25.5">
      <c r="A302" s="317"/>
      <c r="B302" s="619">
        <f t="shared" si="15"/>
        <v>15</v>
      </c>
      <c r="C302" s="609" t="s">
        <v>708</v>
      </c>
      <c r="D302" s="609" t="s">
        <v>730</v>
      </c>
      <c r="E302" s="608" t="s">
        <v>1508</v>
      </c>
      <c r="F302" s="646">
        <v>4</v>
      </c>
      <c r="G302" s="647">
        <v>803</v>
      </c>
      <c r="H302" s="319">
        <f t="shared" si="14"/>
        <v>3212</v>
      </c>
      <c r="I302" s="1074"/>
      <c r="J302" s="105"/>
      <c r="K302" s="60"/>
      <c r="L302" s="60"/>
      <c r="M302" s="60"/>
      <c r="N302" s="60"/>
      <c r="O302" s="60"/>
      <c r="P302" s="60"/>
      <c r="Q302" s="60"/>
      <c r="R302" s="60"/>
      <c r="S302" s="60"/>
      <c r="T302" s="60"/>
      <c r="U302" s="60"/>
      <c r="V302" s="60"/>
      <c r="W302" s="60"/>
      <c r="X302" s="60"/>
      <c r="Y302" s="60"/>
      <c r="Z302" s="60"/>
      <c r="AA302" s="60"/>
      <c r="AB302" s="60"/>
      <c r="AC302" s="60"/>
      <c r="AD302" s="60"/>
      <c r="AE302" s="60"/>
      <c r="AF302" s="60"/>
    </row>
    <row r="303" spans="1:32" s="96" customFormat="1" ht="25.5">
      <c r="A303" s="317"/>
      <c r="B303" s="619">
        <f t="shared" si="15"/>
        <v>16</v>
      </c>
      <c r="C303" s="609" t="s">
        <v>709</v>
      </c>
      <c r="D303" s="609" t="s">
        <v>731</v>
      </c>
      <c r="E303" s="608" t="s">
        <v>1508</v>
      </c>
      <c r="F303" s="646">
        <v>40</v>
      </c>
      <c r="G303" s="647">
        <v>955</v>
      </c>
      <c r="H303" s="319">
        <f>F303*G303</f>
        <v>38200</v>
      </c>
      <c r="I303" s="1074"/>
      <c r="J303" s="105"/>
      <c r="K303" s="60"/>
      <c r="L303" s="60"/>
      <c r="M303" s="60"/>
      <c r="N303" s="60"/>
      <c r="O303" s="60"/>
      <c r="P303" s="60"/>
      <c r="Q303" s="60"/>
      <c r="R303" s="60"/>
      <c r="S303" s="60"/>
      <c r="T303" s="60"/>
      <c r="U303" s="60"/>
      <c r="V303" s="60"/>
      <c r="W303" s="60"/>
      <c r="X303" s="60"/>
      <c r="Y303" s="60"/>
      <c r="Z303" s="60"/>
      <c r="AA303" s="60"/>
      <c r="AB303" s="60"/>
      <c r="AC303" s="60"/>
      <c r="AD303" s="60"/>
      <c r="AE303" s="60"/>
      <c r="AF303" s="60"/>
    </row>
    <row r="304" spans="1:32" s="96" customFormat="1" ht="25.5">
      <c r="A304" s="317"/>
      <c r="B304" s="619">
        <f t="shared" si="15"/>
        <v>17</v>
      </c>
      <c r="C304" s="609" t="s">
        <v>710</v>
      </c>
      <c r="D304" s="609" t="s">
        <v>732</v>
      </c>
      <c r="E304" s="608" t="s">
        <v>1508</v>
      </c>
      <c r="F304" s="646">
        <v>10</v>
      </c>
      <c r="G304" s="647">
        <v>861</v>
      </c>
      <c r="H304" s="319">
        <f t="shared" si="14"/>
        <v>8610</v>
      </c>
      <c r="I304" s="1074"/>
      <c r="J304" s="105"/>
      <c r="K304" s="60"/>
      <c r="L304" s="60"/>
      <c r="M304" s="60"/>
      <c r="N304" s="60"/>
      <c r="O304" s="60"/>
      <c r="P304" s="60"/>
      <c r="Q304" s="60"/>
      <c r="R304" s="60"/>
      <c r="S304" s="60"/>
      <c r="T304" s="60"/>
      <c r="U304" s="60"/>
      <c r="V304" s="60"/>
      <c r="W304" s="60"/>
      <c r="X304" s="60"/>
      <c r="Y304" s="60"/>
      <c r="Z304" s="60"/>
      <c r="AA304" s="60"/>
      <c r="AB304" s="60"/>
      <c r="AC304" s="60"/>
      <c r="AD304" s="60"/>
      <c r="AE304" s="60"/>
      <c r="AF304" s="60"/>
    </row>
    <row r="305" spans="1:32" s="96" customFormat="1" ht="25.5">
      <c r="A305" s="317"/>
      <c r="B305" s="619">
        <f t="shared" si="15"/>
        <v>18</v>
      </c>
      <c r="C305" s="609" t="s">
        <v>711</v>
      </c>
      <c r="D305" s="609" t="s">
        <v>1653</v>
      </c>
      <c r="E305" s="608" t="s">
        <v>1508</v>
      </c>
      <c r="F305" s="646">
        <v>20</v>
      </c>
      <c r="G305" s="647">
        <v>446</v>
      </c>
      <c r="H305" s="319">
        <f t="shared" si="14"/>
        <v>8920</v>
      </c>
      <c r="I305" s="1074"/>
      <c r="J305" s="105"/>
      <c r="K305" s="60"/>
      <c r="L305" s="60"/>
      <c r="M305" s="60"/>
      <c r="N305" s="60"/>
      <c r="O305" s="60"/>
      <c r="P305" s="60"/>
      <c r="Q305" s="60"/>
      <c r="R305" s="60"/>
      <c r="S305" s="60"/>
      <c r="T305" s="60"/>
      <c r="U305" s="60"/>
      <c r="V305" s="60"/>
      <c r="W305" s="60"/>
      <c r="X305" s="60"/>
      <c r="Y305" s="60"/>
      <c r="Z305" s="60"/>
      <c r="AA305" s="60"/>
      <c r="AB305" s="60"/>
      <c r="AC305" s="60"/>
      <c r="AD305" s="60"/>
      <c r="AE305" s="60"/>
      <c r="AF305" s="60"/>
    </row>
    <row r="306" spans="1:32" s="96" customFormat="1" ht="25.5">
      <c r="A306" s="317"/>
      <c r="B306" s="619">
        <f t="shared" si="15"/>
        <v>19</v>
      </c>
      <c r="C306" s="610" t="s">
        <v>1654</v>
      </c>
      <c r="D306" s="610" t="s">
        <v>732</v>
      </c>
      <c r="E306" s="608" t="s">
        <v>1508</v>
      </c>
      <c r="F306" s="646">
        <v>100</v>
      </c>
      <c r="G306" s="647">
        <v>500</v>
      </c>
      <c r="H306" s="319">
        <f t="shared" si="14"/>
        <v>50000</v>
      </c>
      <c r="I306" s="1074"/>
      <c r="J306" s="105"/>
      <c r="K306" s="60"/>
      <c r="L306" s="60"/>
      <c r="M306" s="60"/>
      <c r="N306" s="60"/>
      <c r="O306" s="60"/>
      <c r="P306" s="60"/>
      <c r="Q306" s="60"/>
      <c r="R306" s="60"/>
      <c r="S306" s="60"/>
      <c r="T306" s="60"/>
      <c r="U306" s="60"/>
      <c r="V306" s="60"/>
      <c r="W306" s="60"/>
      <c r="X306" s="60"/>
      <c r="Y306" s="60"/>
      <c r="Z306" s="60"/>
      <c r="AA306" s="60"/>
      <c r="AB306" s="60"/>
      <c r="AC306" s="60"/>
      <c r="AD306" s="60"/>
      <c r="AE306" s="60"/>
      <c r="AF306" s="60"/>
    </row>
    <row r="307" spans="1:32" s="96" customFormat="1" ht="25.5">
      <c r="A307" s="317"/>
      <c r="B307" s="619">
        <f t="shared" si="15"/>
        <v>20</v>
      </c>
      <c r="C307" s="609" t="s">
        <v>712</v>
      </c>
      <c r="D307" s="609" t="s">
        <v>733</v>
      </c>
      <c r="E307" s="608" t="s">
        <v>1508</v>
      </c>
      <c r="F307" s="646">
        <v>50</v>
      </c>
      <c r="G307" s="647">
        <v>313</v>
      </c>
      <c r="H307" s="319">
        <f t="shared" si="14"/>
        <v>15650</v>
      </c>
      <c r="I307" s="1074"/>
      <c r="J307" s="105"/>
      <c r="K307" s="60"/>
      <c r="L307" s="60"/>
      <c r="M307" s="60"/>
      <c r="N307" s="60"/>
      <c r="O307" s="60"/>
      <c r="P307" s="60"/>
      <c r="Q307" s="60"/>
      <c r="R307" s="60"/>
      <c r="S307" s="60"/>
      <c r="T307" s="60"/>
      <c r="U307" s="60"/>
      <c r="V307" s="60"/>
      <c r="W307" s="60"/>
      <c r="X307" s="60"/>
      <c r="Y307" s="60"/>
      <c r="Z307" s="60"/>
      <c r="AA307" s="60"/>
      <c r="AB307" s="60"/>
      <c r="AC307" s="60"/>
      <c r="AD307" s="60"/>
      <c r="AE307" s="60"/>
      <c r="AF307" s="60"/>
    </row>
    <row r="308" spans="1:32" s="96" customFormat="1" ht="25.5">
      <c r="A308" s="317"/>
      <c r="B308" s="619">
        <f t="shared" si="15"/>
        <v>21</v>
      </c>
      <c r="C308" s="609" t="s">
        <v>713</v>
      </c>
      <c r="D308" s="609" t="s">
        <v>734</v>
      </c>
      <c r="E308" s="608" t="s">
        <v>1508</v>
      </c>
      <c r="F308" s="646">
        <v>80</v>
      </c>
      <c r="G308" s="647">
        <v>12053</v>
      </c>
      <c r="H308" s="319">
        <f t="shared" si="14"/>
        <v>964240</v>
      </c>
      <c r="I308" s="1074"/>
      <c r="J308" s="105"/>
      <c r="K308" s="60"/>
      <c r="L308" s="60"/>
      <c r="M308" s="60"/>
      <c r="N308" s="60"/>
      <c r="O308" s="60"/>
      <c r="P308" s="60"/>
      <c r="Q308" s="60"/>
      <c r="R308" s="60"/>
      <c r="S308" s="60"/>
      <c r="T308" s="60"/>
      <c r="U308" s="60"/>
      <c r="V308" s="60"/>
      <c r="W308" s="60"/>
      <c r="X308" s="60"/>
      <c r="Y308" s="60"/>
      <c r="Z308" s="60"/>
      <c r="AA308" s="60"/>
      <c r="AB308" s="60"/>
      <c r="AC308" s="60"/>
      <c r="AD308" s="60"/>
      <c r="AE308" s="60"/>
      <c r="AF308" s="60"/>
    </row>
    <row r="309" spans="1:32" s="96" customFormat="1" ht="25.5">
      <c r="A309" s="317"/>
      <c r="B309" s="619">
        <f t="shared" si="15"/>
        <v>22</v>
      </c>
      <c r="C309" s="609" t="s">
        <v>714</v>
      </c>
      <c r="D309" s="609" t="s">
        <v>735</v>
      </c>
      <c r="E309" s="608" t="s">
        <v>1508</v>
      </c>
      <c r="F309" s="646">
        <v>45</v>
      </c>
      <c r="G309" s="647">
        <v>12471</v>
      </c>
      <c r="H309" s="319">
        <f t="shared" si="14"/>
        <v>561195</v>
      </c>
      <c r="I309" s="1074"/>
      <c r="J309" s="105"/>
      <c r="K309" s="60"/>
      <c r="L309" s="60"/>
      <c r="M309" s="60"/>
      <c r="N309" s="60"/>
      <c r="O309" s="60"/>
      <c r="P309" s="60"/>
      <c r="Q309" s="60"/>
      <c r="R309" s="60"/>
      <c r="S309" s="60"/>
      <c r="T309" s="60"/>
      <c r="U309" s="60"/>
      <c r="V309" s="60"/>
      <c r="W309" s="60"/>
      <c r="X309" s="60"/>
      <c r="Y309" s="60"/>
      <c r="Z309" s="60"/>
      <c r="AA309" s="60"/>
      <c r="AB309" s="60"/>
      <c r="AC309" s="60"/>
      <c r="AD309" s="60"/>
      <c r="AE309" s="60"/>
      <c r="AF309" s="60"/>
    </row>
    <row r="310" spans="1:32" s="96" customFormat="1" ht="38.25">
      <c r="A310" s="317"/>
      <c r="B310" s="619">
        <f t="shared" si="15"/>
        <v>23</v>
      </c>
      <c r="C310" s="609" t="s">
        <v>715</v>
      </c>
      <c r="D310" s="609" t="s">
        <v>736</v>
      </c>
      <c r="E310" s="608" t="s">
        <v>1508</v>
      </c>
      <c r="F310" s="646">
        <v>115</v>
      </c>
      <c r="G310" s="647">
        <v>1696</v>
      </c>
      <c r="H310" s="319">
        <f t="shared" si="14"/>
        <v>195040</v>
      </c>
      <c r="I310" s="1074"/>
      <c r="J310" s="105"/>
      <c r="K310" s="60"/>
      <c r="L310" s="60"/>
      <c r="M310" s="60"/>
      <c r="N310" s="60"/>
      <c r="O310" s="60"/>
      <c r="P310" s="60"/>
      <c r="Q310" s="60"/>
      <c r="R310" s="60"/>
      <c r="S310" s="60"/>
      <c r="T310" s="60"/>
      <c r="U310" s="60"/>
      <c r="V310" s="60"/>
      <c r="W310" s="60"/>
      <c r="X310" s="60"/>
      <c r="Y310" s="60"/>
      <c r="Z310" s="60"/>
      <c r="AA310" s="60"/>
      <c r="AB310" s="60"/>
      <c r="AC310" s="60"/>
      <c r="AD310" s="60"/>
      <c r="AE310" s="60"/>
      <c r="AF310" s="60"/>
    </row>
    <row r="311" spans="1:32" s="96" customFormat="1" ht="25.5">
      <c r="A311" s="317"/>
      <c r="B311" s="619">
        <f t="shared" si="15"/>
        <v>24</v>
      </c>
      <c r="C311" s="609" t="s">
        <v>716</v>
      </c>
      <c r="D311" s="609" t="s">
        <v>737</v>
      </c>
      <c r="E311" s="608" t="s">
        <v>295</v>
      </c>
      <c r="F311" s="646">
        <v>3</v>
      </c>
      <c r="G311" s="647">
        <v>1040</v>
      </c>
      <c r="H311" s="319">
        <f t="shared" si="14"/>
        <v>3120</v>
      </c>
      <c r="I311" s="1074"/>
      <c r="J311" s="105"/>
      <c r="K311" s="60"/>
      <c r="L311" s="60"/>
      <c r="M311" s="60"/>
      <c r="N311" s="60"/>
      <c r="O311" s="60"/>
      <c r="P311" s="60"/>
      <c r="Q311" s="60"/>
      <c r="R311" s="60"/>
      <c r="S311" s="60"/>
      <c r="T311" s="60"/>
      <c r="U311" s="60"/>
      <c r="V311" s="60"/>
      <c r="W311" s="60"/>
      <c r="X311" s="60"/>
      <c r="Y311" s="60"/>
      <c r="Z311" s="60"/>
      <c r="AA311" s="60"/>
      <c r="AB311" s="60"/>
      <c r="AC311" s="60"/>
      <c r="AD311" s="60"/>
      <c r="AE311" s="60"/>
      <c r="AF311" s="60"/>
    </row>
    <row r="312" spans="1:32" s="102" customFormat="1" ht="25.5">
      <c r="A312" s="317"/>
      <c r="B312" s="619">
        <f t="shared" si="15"/>
        <v>25</v>
      </c>
      <c r="C312" s="609" t="s">
        <v>716</v>
      </c>
      <c r="D312" s="609" t="s">
        <v>738</v>
      </c>
      <c r="E312" s="608" t="s">
        <v>295</v>
      </c>
      <c r="F312" s="646">
        <v>5</v>
      </c>
      <c r="G312" s="647">
        <v>1540</v>
      </c>
      <c r="H312" s="319">
        <f t="shared" si="14"/>
        <v>7700</v>
      </c>
      <c r="I312" s="1074"/>
      <c r="J312" s="105"/>
      <c r="K312" s="60"/>
      <c r="L312" s="60"/>
      <c r="M312" s="60"/>
      <c r="N312" s="60"/>
      <c r="O312" s="60"/>
      <c r="P312" s="60"/>
      <c r="Q312" s="60"/>
      <c r="R312" s="60"/>
      <c r="S312" s="60"/>
      <c r="T312" s="60"/>
      <c r="U312" s="60"/>
      <c r="V312" s="60"/>
      <c r="W312" s="60"/>
      <c r="X312" s="60"/>
      <c r="Y312" s="60"/>
      <c r="Z312" s="60"/>
      <c r="AA312" s="60"/>
      <c r="AB312" s="60"/>
      <c r="AC312" s="60"/>
      <c r="AD312" s="60"/>
      <c r="AE312" s="60"/>
      <c r="AF312" s="60"/>
    </row>
    <row r="313" spans="1:32" s="102" customFormat="1" ht="15">
      <c r="A313" s="317"/>
      <c r="B313" s="1379" t="s">
        <v>1827</v>
      </c>
      <c r="C313" s="1380"/>
      <c r="D313" s="1380"/>
      <c r="E313" s="1380"/>
      <c r="F313" s="1380"/>
      <c r="G313" s="1380"/>
      <c r="H313" s="1381"/>
      <c r="I313" s="1061"/>
      <c r="J313" s="105"/>
      <c r="K313" s="60"/>
      <c r="L313" s="60"/>
      <c r="M313" s="60"/>
      <c r="N313" s="60"/>
      <c r="O313" s="60"/>
      <c r="P313" s="60"/>
      <c r="Q313" s="60"/>
      <c r="R313" s="60"/>
      <c r="S313" s="60"/>
      <c r="T313" s="60"/>
      <c r="U313" s="60"/>
      <c r="V313" s="60"/>
      <c r="W313" s="60"/>
      <c r="X313" s="60"/>
      <c r="Y313" s="60"/>
      <c r="Z313" s="60"/>
      <c r="AA313" s="60"/>
      <c r="AB313" s="60"/>
      <c r="AC313" s="60"/>
      <c r="AD313" s="60"/>
      <c r="AE313" s="60"/>
      <c r="AF313" s="60"/>
    </row>
    <row r="314" spans="1:32" s="102" customFormat="1" ht="38.25">
      <c r="A314" s="317"/>
      <c r="B314" s="1062" t="s">
        <v>84</v>
      </c>
      <c r="C314" s="1062" t="s">
        <v>0</v>
      </c>
      <c r="D314" s="1062" t="s">
        <v>90</v>
      </c>
      <c r="E314" s="1062" t="s">
        <v>85</v>
      </c>
      <c r="F314" s="1062" t="s">
        <v>32</v>
      </c>
      <c r="G314" s="1062" t="s">
        <v>86</v>
      </c>
      <c r="H314" s="1062" t="s">
        <v>87</v>
      </c>
      <c r="I314" s="105"/>
      <c r="J314" s="105"/>
      <c r="K314" s="60"/>
      <c r="L314" s="60"/>
      <c r="M314" s="60"/>
      <c r="N314" s="60"/>
      <c r="O314" s="60"/>
      <c r="P314" s="60"/>
      <c r="Q314" s="60"/>
      <c r="R314" s="60"/>
      <c r="S314" s="60"/>
      <c r="T314" s="60"/>
      <c r="U314" s="60"/>
      <c r="V314" s="60"/>
      <c r="W314" s="60"/>
      <c r="X314" s="60"/>
      <c r="Y314" s="60"/>
      <c r="Z314" s="60"/>
      <c r="AA314" s="60"/>
      <c r="AB314" s="60"/>
      <c r="AC314" s="60"/>
      <c r="AD314" s="60"/>
      <c r="AE314" s="60"/>
      <c r="AF314" s="60"/>
    </row>
    <row r="315" spans="1:32" s="102" customFormat="1" ht="15">
      <c r="A315" s="317"/>
      <c r="B315" s="612"/>
      <c r="C315" s="606">
        <v>1</v>
      </c>
      <c r="D315" s="606">
        <v>2</v>
      </c>
      <c r="E315" s="606">
        <v>3</v>
      </c>
      <c r="F315" s="606">
        <v>4</v>
      </c>
      <c r="G315" s="606">
        <v>5</v>
      </c>
      <c r="H315" s="619">
        <v>6</v>
      </c>
      <c r="I315" s="105"/>
      <c r="J315" s="105"/>
      <c r="K315" s="60"/>
      <c r="L315" s="60"/>
      <c r="M315" s="60"/>
      <c r="N315" s="60"/>
      <c r="O315" s="60"/>
      <c r="P315" s="60"/>
      <c r="Q315" s="60"/>
      <c r="R315" s="60"/>
      <c r="S315" s="60"/>
      <c r="T315" s="60"/>
      <c r="U315" s="60"/>
      <c r="V315" s="60"/>
      <c r="W315" s="60"/>
      <c r="X315" s="60"/>
      <c r="Y315" s="60"/>
      <c r="Z315" s="60"/>
      <c r="AA315" s="60"/>
      <c r="AB315" s="60"/>
      <c r="AC315" s="60"/>
      <c r="AD315" s="60"/>
      <c r="AE315" s="60"/>
      <c r="AF315" s="60"/>
    </row>
    <row r="316" spans="1:32" s="43" customFormat="1" ht="15">
      <c r="A316" s="317"/>
      <c r="B316" s="623"/>
      <c r="C316" s="632" t="s">
        <v>213</v>
      </c>
      <c r="D316" s="633"/>
      <c r="E316" s="633"/>
      <c r="F316" s="621"/>
      <c r="G316" s="635"/>
      <c r="H316" s="636">
        <f>SUM(H317:H333)</f>
        <v>5088855</v>
      </c>
      <c r="I316" s="105">
        <f>H316/1.16</f>
        <v>4386943.9655172415</v>
      </c>
      <c r="J316" s="105"/>
      <c r="K316" s="60"/>
      <c r="L316" s="60"/>
      <c r="M316" s="60"/>
      <c r="N316" s="60"/>
      <c r="O316" s="60"/>
      <c r="P316" s="60"/>
      <c r="Q316" s="60"/>
      <c r="R316" s="60"/>
      <c r="S316" s="60"/>
      <c r="T316" s="60"/>
      <c r="U316" s="60"/>
      <c r="V316" s="60"/>
      <c r="W316" s="60"/>
      <c r="X316" s="60"/>
      <c r="Y316" s="60"/>
      <c r="Z316" s="60"/>
      <c r="AA316" s="60"/>
      <c r="AB316" s="60"/>
      <c r="AC316" s="60"/>
      <c r="AD316" s="60"/>
      <c r="AE316" s="60"/>
      <c r="AF316" s="60"/>
    </row>
    <row r="317" spans="1:32" s="96" customFormat="1" ht="25.5">
      <c r="A317" s="317"/>
      <c r="B317" s="619">
        <v>1</v>
      </c>
      <c r="C317" s="609" t="s">
        <v>741</v>
      </c>
      <c r="D317" s="609" t="s">
        <v>745</v>
      </c>
      <c r="E317" s="608" t="s">
        <v>295</v>
      </c>
      <c r="F317" s="1047">
        <v>120</v>
      </c>
      <c r="G317" s="647">
        <v>2100</v>
      </c>
      <c r="H317" s="319">
        <f t="shared" ref="H317:H333" si="16">F317*G317</f>
        <v>252000</v>
      </c>
      <c r="I317" s="105">
        <v>4128323.28</v>
      </c>
      <c r="J317" s="105"/>
      <c r="K317" s="60"/>
      <c r="L317" s="60"/>
      <c r="M317" s="60"/>
      <c r="N317" s="60"/>
      <c r="O317" s="60"/>
      <c r="P317" s="60"/>
      <c r="Q317" s="60"/>
      <c r="R317" s="60"/>
      <c r="S317" s="60"/>
      <c r="T317" s="60"/>
      <c r="U317" s="60"/>
      <c r="V317" s="60"/>
      <c r="W317" s="60"/>
      <c r="X317" s="60"/>
      <c r="Y317" s="60"/>
      <c r="Z317" s="60"/>
      <c r="AA317" s="60"/>
      <c r="AB317" s="60"/>
      <c r="AC317" s="60"/>
      <c r="AD317" s="60"/>
      <c r="AE317" s="60"/>
      <c r="AF317" s="60"/>
    </row>
    <row r="318" spans="1:32" s="96" customFormat="1" ht="63.75">
      <c r="A318" s="317"/>
      <c r="B318" s="619">
        <f t="shared" ref="B318:B333" si="17">B317+1</f>
        <v>2</v>
      </c>
      <c r="C318" s="609" t="s">
        <v>347</v>
      </c>
      <c r="D318" s="609" t="s">
        <v>1655</v>
      </c>
      <c r="E318" s="608" t="s">
        <v>1508</v>
      </c>
      <c r="F318" s="1047">
        <v>1200</v>
      </c>
      <c r="G318" s="647">
        <v>491</v>
      </c>
      <c r="H318" s="319">
        <f t="shared" si="16"/>
        <v>589200</v>
      </c>
      <c r="I318" s="1074">
        <f>I316-I317</f>
        <v>258620.68551724171</v>
      </c>
      <c r="J318" s="1074">
        <f>I318-I332</f>
        <v>-4.1379307222086936E-3</v>
      </c>
      <c r="K318" s="60"/>
      <c r="L318" s="60"/>
      <c r="M318" s="60"/>
      <c r="N318" s="60"/>
      <c r="O318" s="60"/>
      <c r="P318" s="60"/>
      <c r="Q318" s="60"/>
      <c r="R318" s="60"/>
      <c r="S318" s="60"/>
      <c r="T318" s="60"/>
      <c r="U318" s="60"/>
      <c r="V318" s="60"/>
      <c r="W318" s="60"/>
      <c r="X318" s="60"/>
      <c r="Y318" s="60"/>
      <c r="Z318" s="60"/>
      <c r="AA318" s="60"/>
      <c r="AB318" s="60"/>
      <c r="AC318" s="60"/>
      <c r="AD318" s="60"/>
      <c r="AE318" s="60"/>
      <c r="AF318" s="60"/>
    </row>
    <row r="319" spans="1:32" s="96" customFormat="1" ht="25.5">
      <c r="A319" s="317"/>
      <c r="B319" s="619">
        <f t="shared" si="17"/>
        <v>3</v>
      </c>
      <c r="C319" s="609" t="s">
        <v>348</v>
      </c>
      <c r="D319" s="609" t="s">
        <v>577</v>
      </c>
      <c r="E319" s="608" t="s">
        <v>1508</v>
      </c>
      <c r="F319" s="1047">
        <v>150</v>
      </c>
      <c r="G319" s="647">
        <v>1741</v>
      </c>
      <c r="H319" s="319">
        <f t="shared" si="16"/>
        <v>261150</v>
      </c>
      <c r="I319" s="105"/>
      <c r="J319" s="105"/>
      <c r="K319" s="60"/>
      <c r="L319" s="60"/>
      <c r="M319" s="60"/>
      <c r="N319" s="60"/>
      <c r="O319" s="60"/>
      <c r="P319" s="60"/>
      <c r="Q319" s="60"/>
      <c r="R319" s="60"/>
      <c r="S319" s="60"/>
      <c r="T319" s="60"/>
      <c r="U319" s="60"/>
      <c r="V319" s="60"/>
      <c r="W319" s="60"/>
      <c r="X319" s="60"/>
      <c r="Y319" s="60"/>
      <c r="Z319" s="60"/>
      <c r="AA319" s="60"/>
      <c r="AB319" s="60"/>
      <c r="AC319" s="60"/>
      <c r="AD319" s="60"/>
      <c r="AE319" s="60"/>
      <c r="AF319" s="60"/>
    </row>
    <row r="320" spans="1:32" s="96" customFormat="1" ht="89.25">
      <c r="A320" s="317"/>
      <c r="B320" s="619">
        <f t="shared" si="17"/>
        <v>4</v>
      </c>
      <c r="C320" s="609" t="s">
        <v>348</v>
      </c>
      <c r="D320" s="609" t="s">
        <v>1656</v>
      </c>
      <c r="E320" s="608" t="s">
        <v>1508</v>
      </c>
      <c r="F320" s="1047">
        <v>40</v>
      </c>
      <c r="G320" s="647">
        <v>2700</v>
      </c>
      <c r="H320" s="319">
        <f t="shared" si="16"/>
        <v>108000</v>
      </c>
      <c r="I320" s="105"/>
      <c r="J320" s="105"/>
      <c r="K320" s="60"/>
      <c r="L320" s="60"/>
      <c r="M320" s="60"/>
      <c r="N320" s="60"/>
      <c r="O320" s="60"/>
      <c r="P320" s="60"/>
      <c r="Q320" s="60"/>
      <c r="R320" s="60"/>
      <c r="S320" s="60"/>
      <c r="T320" s="60"/>
      <c r="U320" s="60"/>
      <c r="V320" s="60"/>
      <c r="W320" s="60"/>
      <c r="X320" s="60"/>
      <c r="Y320" s="60"/>
      <c r="Z320" s="60"/>
      <c r="AA320" s="60"/>
      <c r="AB320" s="60"/>
      <c r="AC320" s="60"/>
      <c r="AD320" s="60"/>
      <c r="AE320" s="60"/>
      <c r="AF320" s="60"/>
    </row>
    <row r="321" spans="1:32" s="96" customFormat="1" ht="51">
      <c r="A321" s="317"/>
      <c r="B321" s="619">
        <f t="shared" si="17"/>
        <v>5</v>
      </c>
      <c r="C321" s="609" t="s">
        <v>349</v>
      </c>
      <c r="D321" s="609" t="s">
        <v>578</v>
      </c>
      <c r="E321" s="608" t="s">
        <v>1508</v>
      </c>
      <c r="F321" s="1047">
        <v>30</v>
      </c>
      <c r="G321" s="647">
        <v>4285</v>
      </c>
      <c r="H321" s="319">
        <f t="shared" si="16"/>
        <v>128550</v>
      </c>
      <c r="I321" s="105"/>
      <c r="J321" s="105"/>
      <c r="K321" s="60"/>
      <c r="L321" s="60"/>
      <c r="M321" s="60"/>
      <c r="N321" s="60"/>
      <c r="O321" s="60"/>
      <c r="P321" s="60"/>
      <c r="Q321" s="60"/>
      <c r="R321" s="60"/>
      <c r="S321" s="60"/>
      <c r="T321" s="60"/>
      <c r="U321" s="60"/>
      <c r="V321" s="60"/>
      <c r="W321" s="60"/>
      <c r="X321" s="60"/>
      <c r="Y321" s="60"/>
      <c r="Z321" s="60"/>
      <c r="AA321" s="60"/>
      <c r="AB321" s="60"/>
      <c r="AC321" s="60"/>
      <c r="AD321" s="60"/>
      <c r="AE321" s="60"/>
      <c r="AF321" s="60"/>
    </row>
    <row r="322" spans="1:32" s="96" customFormat="1" ht="25.5">
      <c r="A322" s="317"/>
      <c r="B322" s="619">
        <f t="shared" si="17"/>
        <v>6</v>
      </c>
      <c r="C322" s="609" t="s">
        <v>350</v>
      </c>
      <c r="D322" s="609" t="s">
        <v>579</v>
      </c>
      <c r="E322" s="608" t="s">
        <v>1508</v>
      </c>
      <c r="F322" s="1047">
        <v>50</v>
      </c>
      <c r="G322" s="647">
        <v>401</v>
      </c>
      <c r="H322" s="319">
        <f t="shared" si="16"/>
        <v>20050</v>
      </c>
      <c r="I322" s="105"/>
      <c r="J322" s="105"/>
      <c r="K322" s="60"/>
      <c r="L322" s="60"/>
      <c r="M322" s="60"/>
      <c r="N322" s="60"/>
      <c r="O322" s="60"/>
      <c r="P322" s="60"/>
      <c r="Q322" s="60"/>
      <c r="R322" s="60"/>
      <c r="S322" s="60"/>
      <c r="T322" s="60"/>
      <c r="U322" s="60"/>
      <c r="V322" s="60"/>
      <c r="W322" s="60"/>
      <c r="X322" s="60"/>
      <c r="Y322" s="60"/>
      <c r="Z322" s="60"/>
      <c r="AA322" s="60"/>
      <c r="AB322" s="60"/>
      <c r="AC322" s="60"/>
      <c r="AD322" s="60"/>
      <c r="AE322" s="60"/>
      <c r="AF322" s="60"/>
    </row>
    <row r="323" spans="1:32" s="96" customFormat="1" ht="25.5">
      <c r="A323" s="317"/>
      <c r="B323" s="619">
        <f t="shared" si="17"/>
        <v>7</v>
      </c>
      <c r="C323" s="609" t="s">
        <v>351</v>
      </c>
      <c r="D323" s="609" t="s">
        <v>580</v>
      </c>
      <c r="E323" s="608" t="s">
        <v>1508</v>
      </c>
      <c r="F323" s="1047">
        <v>1200</v>
      </c>
      <c r="G323" s="647">
        <v>196</v>
      </c>
      <c r="H323" s="319">
        <f t="shared" si="16"/>
        <v>235200</v>
      </c>
      <c r="I323" s="105"/>
      <c r="J323" s="105"/>
      <c r="K323" s="60"/>
      <c r="L323" s="60"/>
      <c r="M323" s="60"/>
      <c r="N323" s="60"/>
      <c r="O323" s="60"/>
      <c r="P323" s="60"/>
      <c r="Q323" s="60"/>
      <c r="R323" s="60"/>
      <c r="S323" s="60"/>
      <c r="T323" s="60"/>
      <c r="U323" s="60"/>
      <c r="V323" s="60"/>
      <c r="W323" s="60"/>
      <c r="X323" s="60"/>
      <c r="Y323" s="60"/>
      <c r="Z323" s="60"/>
      <c r="AA323" s="60"/>
      <c r="AB323" s="60"/>
      <c r="AC323" s="60"/>
      <c r="AD323" s="60"/>
      <c r="AE323" s="60"/>
      <c r="AF323" s="60"/>
    </row>
    <row r="324" spans="1:32" s="96" customFormat="1" ht="25.5">
      <c r="A324" s="317"/>
      <c r="B324" s="619">
        <f t="shared" si="17"/>
        <v>8</v>
      </c>
      <c r="C324" s="609" t="s">
        <v>218</v>
      </c>
      <c r="D324" s="609" t="s">
        <v>581</v>
      </c>
      <c r="E324" s="608" t="s">
        <v>1508</v>
      </c>
      <c r="F324" s="1047">
        <v>150</v>
      </c>
      <c r="G324" s="647">
        <v>477</v>
      </c>
      <c r="H324" s="319">
        <f t="shared" si="16"/>
        <v>71550</v>
      </c>
      <c r="I324" s="105"/>
      <c r="J324" s="105"/>
      <c r="K324" s="60"/>
      <c r="L324" s="60"/>
      <c r="M324" s="60"/>
      <c r="N324" s="60"/>
      <c r="O324" s="60"/>
      <c r="P324" s="60"/>
      <c r="Q324" s="60"/>
      <c r="R324" s="60"/>
      <c r="S324" s="60"/>
      <c r="T324" s="60"/>
      <c r="U324" s="60"/>
      <c r="V324" s="60"/>
      <c r="W324" s="60"/>
      <c r="X324" s="60"/>
      <c r="Y324" s="60"/>
      <c r="Z324" s="60"/>
      <c r="AA324" s="60"/>
      <c r="AB324" s="60"/>
      <c r="AC324" s="60"/>
      <c r="AD324" s="60"/>
      <c r="AE324" s="60"/>
      <c r="AF324" s="60"/>
    </row>
    <row r="325" spans="1:32" s="96" customFormat="1" ht="130.5" customHeight="1">
      <c r="A325" s="317"/>
      <c r="B325" s="619">
        <f t="shared" si="17"/>
        <v>9</v>
      </c>
      <c r="C325" s="609" t="s">
        <v>355</v>
      </c>
      <c r="D325" s="609" t="s">
        <v>747</v>
      </c>
      <c r="E325" s="608" t="s">
        <v>1508</v>
      </c>
      <c r="F325" s="1047">
        <v>5</v>
      </c>
      <c r="G325" s="647">
        <v>6071</v>
      </c>
      <c r="H325" s="319">
        <f t="shared" si="16"/>
        <v>30355</v>
      </c>
      <c r="I325" s="105"/>
      <c r="J325" s="105"/>
      <c r="K325" s="60"/>
      <c r="L325" s="60"/>
      <c r="M325" s="60"/>
      <c r="N325" s="60"/>
      <c r="O325" s="60"/>
      <c r="P325" s="60"/>
      <c r="Q325" s="60"/>
      <c r="R325" s="60"/>
      <c r="S325" s="60"/>
      <c r="T325" s="60"/>
      <c r="U325" s="60"/>
      <c r="V325" s="60"/>
      <c r="W325" s="60"/>
      <c r="X325" s="60"/>
      <c r="Y325" s="60"/>
      <c r="Z325" s="60"/>
      <c r="AA325" s="60"/>
      <c r="AB325" s="60"/>
      <c r="AC325" s="60"/>
      <c r="AD325" s="60"/>
      <c r="AE325" s="60"/>
      <c r="AF325" s="60"/>
    </row>
    <row r="326" spans="1:32" s="96" customFormat="1" ht="89.25">
      <c r="A326" s="317"/>
      <c r="B326" s="619">
        <f t="shared" si="17"/>
        <v>10</v>
      </c>
      <c r="C326" s="609" t="s">
        <v>742</v>
      </c>
      <c r="D326" s="609" t="s">
        <v>748</v>
      </c>
      <c r="E326" s="608" t="s">
        <v>1508</v>
      </c>
      <c r="F326" s="1047">
        <v>1100</v>
      </c>
      <c r="G326" s="647">
        <v>366</v>
      </c>
      <c r="H326" s="319">
        <f>F326*G326</f>
        <v>402600</v>
      </c>
      <c r="I326" s="105"/>
      <c r="J326" s="105"/>
      <c r="K326" s="60"/>
      <c r="L326" s="60"/>
      <c r="M326" s="60"/>
      <c r="N326" s="60"/>
      <c r="O326" s="60"/>
      <c r="P326" s="60"/>
      <c r="Q326" s="60"/>
      <c r="R326" s="60"/>
      <c r="S326" s="60"/>
      <c r="T326" s="60"/>
      <c r="U326" s="60"/>
      <c r="V326" s="60"/>
      <c r="W326" s="60"/>
      <c r="X326" s="60"/>
      <c r="Y326" s="60"/>
      <c r="Z326" s="60"/>
      <c r="AA326" s="60"/>
      <c r="AB326" s="60"/>
      <c r="AC326" s="60"/>
      <c r="AD326" s="60"/>
      <c r="AE326" s="60"/>
      <c r="AF326" s="60"/>
    </row>
    <row r="327" spans="1:32" s="96" customFormat="1" ht="105" customHeight="1">
      <c r="A327" s="317"/>
      <c r="B327" s="619">
        <f t="shared" si="17"/>
        <v>11</v>
      </c>
      <c r="C327" s="609" t="s">
        <v>356</v>
      </c>
      <c r="D327" s="609" t="s">
        <v>1657</v>
      </c>
      <c r="E327" s="608" t="s">
        <v>1508</v>
      </c>
      <c r="F327" s="646">
        <v>110</v>
      </c>
      <c r="G327" s="647">
        <v>8000</v>
      </c>
      <c r="H327" s="319">
        <f t="shared" si="16"/>
        <v>880000</v>
      </c>
      <c r="I327" s="105"/>
      <c r="J327" s="105"/>
      <c r="K327" s="60"/>
      <c r="L327" s="60"/>
      <c r="M327" s="60"/>
      <c r="N327" s="60"/>
      <c r="O327" s="60"/>
      <c r="P327" s="60"/>
      <c r="Q327" s="60"/>
      <c r="R327" s="60"/>
      <c r="S327" s="60"/>
      <c r="T327" s="60"/>
      <c r="U327" s="60"/>
      <c r="V327" s="60"/>
      <c r="W327" s="60"/>
      <c r="X327" s="60"/>
      <c r="Y327" s="60"/>
      <c r="Z327" s="60"/>
      <c r="AA327" s="60"/>
      <c r="AB327" s="60"/>
      <c r="AC327" s="60"/>
      <c r="AD327" s="60"/>
      <c r="AE327" s="60"/>
      <c r="AF327" s="60"/>
    </row>
    <row r="328" spans="1:32" s="96" customFormat="1" ht="102">
      <c r="A328" s="317"/>
      <c r="B328" s="619">
        <f t="shared" si="17"/>
        <v>12</v>
      </c>
      <c r="C328" s="609" t="s">
        <v>357</v>
      </c>
      <c r="D328" s="609" t="s">
        <v>749</v>
      </c>
      <c r="E328" s="608" t="s">
        <v>1508</v>
      </c>
      <c r="F328" s="646">
        <v>350</v>
      </c>
      <c r="G328" s="647">
        <v>938</v>
      </c>
      <c r="H328" s="319">
        <f t="shared" si="16"/>
        <v>328300</v>
      </c>
      <c r="I328" s="105"/>
      <c r="J328" s="105"/>
      <c r="K328" s="60"/>
      <c r="L328" s="60"/>
      <c r="M328" s="60"/>
      <c r="N328" s="60"/>
      <c r="O328" s="60"/>
      <c r="P328" s="60"/>
      <c r="Q328" s="60"/>
      <c r="R328" s="60"/>
      <c r="S328" s="60"/>
      <c r="T328" s="60"/>
      <c r="U328" s="60"/>
      <c r="V328" s="60"/>
      <c r="W328" s="60"/>
      <c r="X328" s="60"/>
      <c r="Y328" s="60"/>
      <c r="Z328" s="60"/>
      <c r="AA328" s="60"/>
      <c r="AB328" s="60"/>
      <c r="AC328" s="60"/>
      <c r="AD328" s="60"/>
      <c r="AE328" s="60"/>
      <c r="AF328" s="60"/>
    </row>
    <row r="329" spans="1:32" s="96" customFormat="1" ht="89.25">
      <c r="A329" s="317"/>
      <c r="B329" s="619">
        <f t="shared" si="17"/>
        <v>13</v>
      </c>
      <c r="C329" s="609" t="s">
        <v>777</v>
      </c>
      <c r="D329" s="609" t="s">
        <v>750</v>
      </c>
      <c r="E329" s="608" t="s">
        <v>1508</v>
      </c>
      <c r="F329" s="646">
        <v>400</v>
      </c>
      <c r="G329" s="647">
        <v>1071</v>
      </c>
      <c r="H329" s="319">
        <f t="shared" si="16"/>
        <v>428400</v>
      </c>
      <c r="I329" s="105"/>
      <c r="J329" s="105"/>
      <c r="K329" s="60"/>
      <c r="L329" s="60"/>
      <c r="M329" s="60"/>
      <c r="N329" s="60"/>
      <c r="O329" s="60"/>
      <c r="P329" s="60"/>
      <c r="Q329" s="60"/>
      <c r="R329" s="60"/>
      <c r="S329" s="60"/>
      <c r="T329" s="60"/>
      <c r="U329" s="60"/>
      <c r="V329" s="60"/>
      <c r="W329" s="60"/>
      <c r="X329" s="60"/>
      <c r="Y329" s="60"/>
      <c r="Z329" s="60"/>
      <c r="AA329" s="60"/>
      <c r="AB329" s="60"/>
      <c r="AC329" s="60"/>
      <c r="AD329" s="60"/>
      <c r="AE329" s="60"/>
      <c r="AF329" s="60"/>
    </row>
    <row r="330" spans="1:32" s="96" customFormat="1" ht="76.5">
      <c r="A330" s="317"/>
      <c r="B330" s="619">
        <f t="shared" si="17"/>
        <v>14</v>
      </c>
      <c r="C330" s="609" t="s">
        <v>778</v>
      </c>
      <c r="D330" s="609" t="s">
        <v>779</v>
      </c>
      <c r="E330" s="608" t="s">
        <v>1508</v>
      </c>
      <c r="F330" s="646">
        <v>650</v>
      </c>
      <c r="G330" s="647">
        <v>1450</v>
      </c>
      <c r="H330" s="319">
        <f t="shared" si="16"/>
        <v>942500</v>
      </c>
      <c r="I330" s="105"/>
      <c r="J330" s="105"/>
      <c r="K330" s="60"/>
      <c r="L330" s="60"/>
      <c r="M330" s="60"/>
      <c r="N330" s="60"/>
      <c r="O330" s="60"/>
      <c r="P330" s="60"/>
      <c r="Q330" s="60"/>
      <c r="R330" s="60"/>
      <c r="S330" s="60"/>
      <c r="T330" s="60"/>
      <c r="U330" s="60"/>
      <c r="V330" s="60"/>
      <c r="W330" s="60"/>
      <c r="X330" s="60"/>
      <c r="Y330" s="60"/>
      <c r="Z330" s="60"/>
      <c r="AA330" s="60"/>
      <c r="AB330" s="60"/>
      <c r="AC330" s="60"/>
      <c r="AD330" s="60"/>
      <c r="AE330" s="60"/>
      <c r="AF330" s="60"/>
    </row>
    <row r="331" spans="1:32" s="96" customFormat="1" ht="89.25">
      <c r="A331" s="317"/>
      <c r="B331" s="619">
        <f t="shared" si="17"/>
        <v>15</v>
      </c>
      <c r="C331" s="609" t="s">
        <v>780</v>
      </c>
      <c r="D331" s="609" t="s">
        <v>781</v>
      </c>
      <c r="E331" s="608" t="s">
        <v>1508</v>
      </c>
      <c r="F331" s="646">
        <v>100</v>
      </c>
      <c r="G331" s="647">
        <v>950</v>
      </c>
      <c r="H331" s="319">
        <f t="shared" si="16"/>
        <v>95000</v>
      </c>
      <c r="I331" s="105"/>
      <c r="J331" s="105"/>
      <c r="K331" s="60"/>
      <c r="L331" s="60"/>
      <c r="M331" s="60"/>
      <c r="N331" s="60"/>
      <c r="O331" s="60"/>
      <c r="P331" s="60"/>
      <c r="Q331" s="60"/>
      <c r="R331" s="60"/>
      <c r="S331" s="60"/>
      <c r="T331" s="60"/>
      <c r="U331" s="60"/>
      <c r="V331" s="60"/>
      <c r="W331" s="60"/>
      <c r="X331" s="60"/>
      <c r="Y331" s="60"/>
      <c r="Z331" s="60"/>
      <c r="AA331" s="60"/>
      <c r="AB331" s="60"/>
      <c r="AC331" s="60"/>
      <c r="AD331" s="60"/>
      <c r="AE331" s="60"/>
      <c r="AF331" s="60"/>
    </row>
    <row r="332" spans="1:32" s="96" customFormat="1" ht="63.75">
      <c r="A332" s="317"/>
      <c r="B332" s="619">
        <f t="shared" si="17"/>
        <v>16</v>
      </c>
      <c r="C332" s="609" t="s">
        <v>349</v>
      </c>
      <c r="D332" s="609" t="s">
        <v>754</v>
      </c>
      <c r="E332" s="608" t="s">
        <v>1508</v>
      </c>
      <c r="F332" s="646">
        <v>50</v>
      </c>
      <c r="G332" s="647">
        <v>6000</v>
      </c>
      <c r="H332" s="319">
        <f t="shared" si="16"/>
        <v>300000</v>
      </c>
      <c r="I332" s="105">
        <f>H332/1.16</f>
        <v>258620.68965517243</v>
      </c>
      <c r="J332" s="105"/>
      <c r="K332" s="60"/>
      <c r="L332" s="60"/>
      <c r="M332" s="60"/>
      <c r="N332" s="60"/>
      <c r="O332" s="60"/>
      <c r="P332" s="60"/>
      <c r="Q332" s="60"/>
      <c r="R332" s="60"/>
      <c r="S332" s="60"/>
      <c r="T332" s="60"/>
      <c r="U332" s="60"/>
      <c r="V332" s="60"/>
      <c r="W332" s="60"/>
      <c r="X332" s="60"/>
      <c r="Y332" s="60"/>
      <c r="Z332" s="60"/>
      <c r="AA332" s="60"/>
      <c r="AB332" s="60"/>
      <c r="AC332" s="60"/>
      <c r="AD332" s="60"/>
      <c r="AE332" s="60"/>
      <c r="AF332" s="60"/>
    </row>
    <row r="333" spans="1:32" s="96" customFormat="1" ht="89.25">
      <c r="A333" s="317"/>
      <c r="B333" s="619">
        <f t="shared" si="17"/>
        <v>17</v>
      </c>
      <c r="C333" s="609" t="s">
        <v>1810</v>
      </c>
      <c r="D333" s="609" t="s">
        <v>1658</v>
      </c>
      <c r="E333" s="608" t="s">
        <v>1508</v>
      </c>
      <c r="F333" s="646">
        <v>20</v>
      </c>
      <c r="G333" s="646">
        <v>800</v>
      </c>
      <c r="H333" s="319">
        <f t="shared" si="16"/>
        <v>16000</v>
      </c>
      <c r="I333" s="105"/>
      <c r="J333" s="105"/>
      <c r="K333" s="60"/>
      <c r="L333" s="60"/>
      <c r="M333" s="60"/>
      <c r="N333" s="60"/>
      <c r="O333" s="60"/>
      <c r="P333" s="60"/>
      <c r="Q333" s="60"/>
      <c r="R333" s="60"/>
      <c r="S333" s="60"/>
      <c r="T333" s="60"/>
      <c r="U333" s="60"/>
      <c r="V333" s="60"/>
      <c r="W333" s="60"/>
      <c r="X333" s="60"/>
      <c r="Y333" s="60"/>
      <c r="Z333" s="60"/>
      <c r="AA333" s="60"/>
      <c r="AB333" s="60"/>
      <c r="AC333" s="60"/>
      <c r="AD333" s="60"/>
      <c r="AE333" s="60"/>
      <c r="AF333" s="60"/>
    </row>
    <row r="334" spans="1:32" s="96" customFormat="1" ht="15">
      <c r="A334" s="317"/>
      <c r="B334" s="1380" t="s">
        <v>1817</v>
      </c>
      <c r="C334" s="1380"/>
      <c r="D334" s="1380"/>
      <c r="E334" s="1380"/>
      <c r="F334" s="1380"/>
      <c r="G334" s="1380"/>
      <c r="H334" s="1380"/>
      <c r="I334" s="105"/>
      <c r="J334" s="105"/>
      <c r="K334" s="60"/>
      <c r="L334" s="60"/>
      <c r="M334" s="60"/>
      <c r="N334" s="60"/>
      <c r="O334" s="60"/>
      <c r="P334" s="60"/>
      <c r="Q334" s="60"/>
      <c r="R334" s="60"/>
      <c r="S334" s="60"/>
      <c r="T334" s="60"/>
      <c r="U334" s="60"/>
      <c r="V334" s="60"/>
      <c r="W334" s="60"/>
      <c r="X334" s="60"/>
      <c r="Y334" s="60"/>
      <c r="Z334" s="60"/>
      <c r="AA334" s="60"/>
      <c r="AB334" s="60"/>
      <c r="AC334" s="60"/>
      <c r="AD334" s="60"/>
      <c r="AE334" s="60"/>
      <c r="AF334" s="60"/>
    </row>
    <row r="335" spans="1:32" s="96" customFormat="1" ht="38.25">
      <c r="A335" s="317"/>
      <c r="B335" s="1062" t="s">
        <v>84</v>
      </c>
      <c r="C335" s="656" t="s">
        <v>0</v>
      </c>
      <c r="D335" s="1062" t="s">
        <v>90</v>
      </c>
      <c r="E335" s="1062" t="s">
        <v>85</v>
      </c>
      <c r="F335" s="1062" t="s">
        <v>32</v>
      </c>
      <c r="G335" s="1062" t="s">
        <v>86</v>
      </c>
      <c r="H335" s="1062" t="s">
        <v>87</v>
      </c>
      <c r="I335" s="105"/>
      <c r="J335" s="105"/>
      <c r="K335" s="60"/>
      <c r="L335" s="60"/>
      <c r="M335" s="60"/>
      <c r="N335" s="60"/>
      <c r="O335" s="60"/>
      <c r="P335" s="60"/>
      <c r="Q335" s="60"/>
      <c r="R335" s="60"/>
      <c r="S335" s="60"/>
      <c r="T335" s="60"/>
      <c r="U335" s="60"/>
      <c r="V335" s="60"/>
      <c r="W335" s="60"/>
      <c r="X335" s="60"/>
      <c r="Y335" s="60"/>
      <c r="Z335" s="60"/>
      <c r="AA335" s="60"/>
      <c r="AB335" s="60"/>
      <c r="AC335" s="60"/>
      <c r="AD335" s="60"/>
      <c r="AE335" s="60"/>
      <c r="AF335" s="60"/>
    </row>
    <row r="336" spans="1:32" s="96" customFormat="1" ht="15">
      <c r="A336" s="317"/>
      <c r="B336" s="612"/>
      <c r="C336" s="616">
        <v>1</v>
      </c>
      <c r="D336" s="606">
        <v>2</v>
      </c>
      <c r="E336" s="606">
        <v>3</v>
      </c>
      <c r="F336" s="606">
        <v>4</v>
      </c>
      <c r="G336" s="606">
        <v>5</v>
      </c>
      <c r="H336" s="619">
        <v>6</v>
      </c>
      <c r="I336" s="105"/>
      <c r="J336" s="105"/>
      <c r="K336" s="60"/>
      <c r="L336" s="60"/>
      <c r="M336" s="60"/>
      <c r="N336" s="60"/>
      <c r="O336" s="60"/>
      <c r="P336" s="60"/>
      <c r="Q336" s="60"/>
      <c r="R336" s="60"/>
      <c r="S336" s="60"/>
      <c r="T336" s="60"/>
      <c r="U336" s="60"/>
      <c r="V336" s="60"/>
      <c r="W336" s="60"/>
      <c r="X336" s="60"/>
      <c r="Y336" s="60"/>
      <c r="Z336" s="60"/>
      <c r="AA336" s="60"/>
      <c r="AB336" s="60"/>
      <c r="AC336" s="60"/>
      <c r="AD336" s="60"/>
      <c r="AE336" s="60"/>
      <c r="AF336" s="60"/>
    </row>
    <row r="337" spans="1:32" s="96" customFormat="1" ht="15" customHeight="1">
      <c r="A337" s="317"/>
      <c r="B337" s="1060"/>
      <c r="C337" s="1382" t="s">
        <v>1818</v>
      </c>
      <c r="D337" s="1382"/>
      <c r="E337" s="1383"/>
      <c r="F337" s="1383"/>
      <c r="G337" s="1383"/>
      <c r="H337" s="624">
        <f>SUM(H338:H340)</f>
        <v>7200000</v>
      </c>
      <c r="I337" s="105"/>
      <c r="J337" s="105"/>
      <c r="K337" s="60"/>
      <c r="L337" s="60"/>
      <c r="M337" s="60"/>
      <c r="N337" s="60"/>
      <c r="O337" s="60"/>
      <c r="P337" s="60"/>
      <c r="Q337" s="60"/>
      <c r="R337" s="60"/>
      <c r="S337" s="60"/>
      <c r="T337" s="60"/>
      <c r="U337" s="60"/>
      <c r="V337" s="60"/>
      <c r="W337" s="60"/>
      <c r="X337" s="60"/>
      <c r="Y337" s="60"/>
      <c r="Z337" s="60"/>
      <c r="AA337" s="60"/>
      <c r="AB337" s="60"/>
      <c r="AC337" s="60"/>
      <c r="AD337" s="60"/>
      <c r="AE337" s="60"/>
      <c r="AF337" s="60"/>
    </row>
    <row r="338" spans="1:32" s="96" customFormat="1" ht="76.5">
      <c r="A338" s="317"/>
      <c r="B338" s="619">
        <v>1</v>
      </c>
      <c r="C338" s="602" t="s">
        <v>1819</v>
      </c>
      <c r="D338" s="1089" t="s">
        <v>1820</v>
      </c>
      <c r="E338" s="608" t="s">
        <v>1508</v>
      </c>
      <c r="F338" s="646">
        <v>200</v>
      </c>
      <c r="G338" s="646">
        <v>10000</v>
      </c>
      <c r="H338" s="319">
        <f>F338*G338</f>
        <v>2000000</v>
      </c>
      <c r="I338" s="105"/>
      <c r="J338" s="105"/>
      <c r="K338" s="60"/>
      <c r="L338" s="60"/>
      <c r="M338" s="60"/>
      <c r="N338" s="60"/>
      <c r="O338" s="60"/>
      <c r="P338" s="60"/>
      <c r="Q338" s="60"/>
      <c r="R338" s="60"/>
      <c r="S338" s="60"/>
      <c r="T338" s="60"/>
      <c r="U338" s="60"/>
      <c r="V338" s="60"/>
      <c r="W338" s="60"/>
      <c r="X338" s="60"/>
      <c r="Y338" s="60"/>
      <c r="Z338" s="60"/>
      <c r="AA338" s="60"/>
      <c r="AB338" s="60"/>
      <c r="AC338" s="60"/>
      <c r="AD338" s="60"/>
      <c r="AE338" s="60"/>
      <c r="AF338" s="60"/>
    </row>
    <row r="339" spans="1:32" s="96" customFormat="1" ht="51">
      <c r="A339" s="317"/>
      <c r="B339" s="619">
        <v>2</v>
      </c>
      <c r="C339" s="658" t="s">
        <v>1821</v>
      </c>
      <c r="D339" s="602" t="s">
        <v>1822</v>
      </c>
      <c r="E339" s="608" t="s">
        <v>1508</v>
      </c>
      <c r="F339" s="646">
        <v>200</v>
      </c>
      <c r="G339" s="646">
        <v>8000</v>
      </c>
      <c r="H339" s="319">
        <f t="shared" ref="H339:H340" si="18">F339*G339</f>
        <v>1600000</v>
      </c>
      <c r="I339" s="105"/>
      <c r="J339" s="105"/>
      <c r="K339" s="60"/>
      <c r="L339" s="60"/>
      <c r="M339" s="60"/>
      <c r="N339" s="60"/>
      <c r="O339" s="60"/>
      <c r="P339" s="60"/>
      <c r="Q339" s="60"/>
      <c r="R339" s="60"/>
      <c r="S339" s="60"/>
      <c r="T339" s="60"/>
      <c r="U339" s="60"/>
      <c r="V339" s="60"/>
      <c r="W339" s="60"/>
      <c r="X339" s="60"/>
      <c r="Y339" s="60"/>
      <c r="Z339" s="60"/>
      <c r="AA339" s="60"/>
      <c r="AB339" s="60"/>
      <c r="AC339" s="60"/>
      <c r="AD339" s="60"/>
      <c r="AE339" s="60"/>
      <c r="AF339" s="60"/>
    </row>
    <row r="340" spans="1:32" s="96" customFormat="1" ht="51">
      <c r="A340" s="317"/>
      <c r="B340" s="619">
        <v>3</v>
      </c>
      <c r="C340" s="658" t="s">
        <v>1823</v>
      </c>
      <c r="D340" s="602" t="s">
        <v>1824</v>
      </c>
      <c r="E340" s="608" t="s">
        <v>1508</v>
      </c>
      <c r="F340" s="646">
        <v>360</v>
      </c>
      <c r="G340" s="646">
        <v>10000</v>
      </c>
      <c r="H340" s="319">
        <f t="shared" si="18"/>
        <v>3600000</v>
      </c>
      <c r="I340" s="105"/>
      <c r="J340" s="105"/>
      <c r="K340" s="60"/>
      <c r="L340" s="60"/>
      <c r="M340" s="60"/>
      <c r="N340" s="60"/>
      <c r="O340" s="60"/>
      <c r="P340" s="60"/>
      <c r="Q340" s="60"/>
      <c r="R340" s="60"/>
      <c r="S340" s="60"/>
      <c r="T340" s="60"/>
      <c r="U340" s="60"/>
      <c r="V340" s="60"/>
      <c r="W340" s="60"/>
      <c r="X340" s="60"/>
      <c r="Y340" s="60"/>
      <c r="Z340" s="60"/>
      <c r="AA340" s="60"/>
      <c r="AB340" s="60"/>
      <c r="AC340" s="60"/>
      <c r="AD340" s="60"/>
      <c r="AE340" s="60"/>
      <c r="AF340" s="60"/>
    </row>
    <row r="341" spans="1:32" s="96" customFormat="1" ht="15">
      <c r="A341" s="317"/>
      <c r="B341" s="1379" t="s">
        <v>1863</v>
      </c>
      <c r="C341" s="1380"/>
      <c r="D341" s="1380"/>
      <c r="E341" s="1380"/>
      <c r="F341" s="1380"/>
      <c r="G341" s="1380"/>
      <c r="H341" s="1381"/>
      <c r="I341" s="686"/>
      <c r="J341" s="105"/>
      <c r="K341" s="60"/>
      <c r="L341" s="60"/>
      <c r="M341" s="60"/>
      <c r="N341" s="60"/>
      <c r="O341" s="60"/>
      <c r="P341" s="60"/>
      <c r="Q341" s="60"/>
      <c r="R341" s="60"/>
      <c r="S341" s="60"/>
      <c r="T341" s="60"/>
      <c r="U341" s="60"/>
      <c r="V341" s="60"/>
      <c r="W341" s="60"/>
      <c r="X341" s="60"/>
      <c r="Y341" s="60"/>
      <c r="Z341" s="60"/>
      <c r="AA341" s="60"/>
      <c r="AB341" s="60"/>
      <c r="AC341" s="60"/>
      <c r="AD341" s="60"/>
      <c r="AE341" s="60"/>
      <c r="AF341" s="60"/>
    </row>
    <row r="342" spans="1:32" s="96" customFormat="1" ht="38.25">
      <c r="A342" s="317"/>
      <c r="B342" s="1062" t="s">
        <v>84</v>
      </c>
      <c r="C342" s="626" t="s">
        <v>0</v>
      </c>
      <c r="D342" s="1062" t="s">
        <v>90</v>
      </c>
      <c r="E342" s="1062" t="s">
        <v>85</v>
      </c>
      <c r="F342" s="1062" t="s">
        <v>32</v>
      </c>
      <c r="G342" s="1062" t="s">
        <v>86</v>
      </c>
      <c r="H342" s="1062" t="s">
        <v>87</v>
      </c>
      <c r="I342" s="1070"/>
      <c r="J342" s="105"/>
      <c r="K342" s="60"/>
      <c r="L342" s="60"/>
      <c r="M342" s="60"/>
      <c r="N342" s="60"/>
      <c r="O342" s="60"/>
      <c r="P342" s="60"/>
      <c r="Q342" s="60"/>
      <c r="R342" s="60"/>
      <c r="S342" s="60"/>
      <c r="T342" s="60"/>
      <c r="U342" s="60"/>
      <c r="V342" s="60"/>
      <c r="W342" s="60"/>
      <c r="X342" s="60"/>
      <c r="Y342" s="60"/>
      <c r="Z342" s="60"/>
      <c r="AA342" s="60"/>
      <c r="AB342" s="60"/>
      <c r="AC342" s="60"/>
      <c r="AD342" s="60"/>
      <c r="AE342" s="60"/>
      <c r="AF342" s="60"/>
    </row>
    <row r="343" spans="1:32" s="96" customFormat="1" ht="15">
      <c r="A343" s="317"/>
      <c r="B343" s="612"/>
      <c r="C343" s="606">
        <v>1</v>
      </c>
      <c r="D343" s="606">
        <v>2</v>
      </c>
      <c r="E343" s="606">
        <v>3</v>
      </c>
      <c r="F343" s="606">
        <v>4</v>
      </c>
      <c r="G343" s="606">
        <v>5</v>
      </c>
      <c r="H343" s="619">
        <v>6</v>
      </c>
      <c r="I343" s="1070"/>
      <c r="J343" s="105"/>
      <c r="K343" s="60"/>
      <c r="L343" s="60"/>
      <c r="M343" s="60"/>
      <c r="N343" s="60"/>
      <c r="O343" s="60"/>
      <c r="P343" s="60"/>
      <c r="Q343" s="60"/>
      <c r="R343" s="60"/>
      <c r="S343" s="60"/>
      <c r="T343" s="60"/>
      <c r="U343" s="60"/>
      <c r="V343" s="60"/>
      <c r="W343" s="60"/>
      <c r="X343" s="60"/>
      <c r="Y343" s="60"/>
      <c r="Z343" s="60"/>
      <c r="AA343" s="60"/>
      <c r="AB343" s="60"/>
      <c r="AC343" s="60"/>
      <c r="AD343" s="60"/>
      <c r="AE343" s="60"/>
      <c r="AF343" s="60"/>
    </row>
    <row r="344" spans="1:32" s="96" customFormat="1" ht="15">
      <c r="A344" s="317"/>
      <c r="B344" s="627"/>
      <c r="C344" s="627" t="s">
        <v>1864</v>
      </c>
      <c r="D344" s="628"/>
      <c r="E344" s="629"/>
      <c r="F344" s="630"/>
      <c r="G344" s="630"/>
      <c r="H344" s="631">
        <f>SUM(H345:H362)</f>
        <v>3087850</v>
      </c>
      <c r="I344" s="1070"/>
      <c r="J344" s="105"/>
      <c r="K344" s="60"/>
      <c r="L344" s="60"/>
      <c r="M344" s="60"/>
      <c r="N344" s="60"/>
      <c r="O344" s="60"/>
      <c r="P344" s="60"/>
      <c r="Q344" s="60"/>
      <c r="R344" s="60"/>
      <c r="S344" s="60"/>
      <c r="T344" s="60"/>
      <c r="U344" s="60"/>
      <c r="V344" s="60"/>
      <c r="W344" s="60"/>
      <c r="X344" s="60"/>
      <c r="Y344" s="60"/>
      <c r="Z344" s="60"/>
      <c r="AA344" s="60"/>
      <c r="AB344" s="60"/>
      <c r="AC344" s="60"/>
      <c r="AD344" s="60"/>
      <c r="AE344" s="60"/>
      <c r="AF344" s="60"/>
    </row>
    <row r="345" spans="1:32" s="96" customFormat="1" ht="38.25">
      <c r="A345" s="317"/>
      <c r="B345" s="619">
        <v>1</v>
      </c>
      <c r="C345" s="602" t="s">
        <v>1849</v>
      </c>
      <c r="D345" s="602" t="s">
        <v>1865</v>
      </c>
      <c r="E345" s="687" t="s">
        <v>1575</v>
      </c>
      <c r="F345" s="688">
        <v>5</v>
      </c>
      <c r="G345" s="1063">
        <v>44800</v>
      </c>
      <c r="H345" s="319">
        <f>F345*G345</f>
        <v>224000</v>
      </c>
      <c r="I345" s="1070"/>
      <c r="J345" s="105"/>
      <c r="K345" s="60"/>
      <c r="L345" s="60"/>
      <c r="M345" s="60"/>
      <c r="N345" s="60"/>
      <c r="O345" s="60"/>
      <c r="P345" s="60"/>
      <c r="Q345" s="60"/>
      <c r="R345" s="60"/>
      <c r="S345" s="60"/>
      <c r="T345" s="60"/>
      <c r="U345" s="60"/>
      <c r="V345" s="60"/>
      <c r="W345" s="60"/>
      <c r="X345" s="60"/>
      <c r="Y345" s="60"/>
      <c r="Z345" s="60"/>
      <c r="AA345" s="60"/>
      <c r="AB345" s="60"/>
      <c r="AC345" s="60"/>
      <c r="AD345" s="60"/>
      <c r="AE345" s="60"/>
      <c r="AF345" s="60"/>
    </row>
    <row r="346" spans="1:32" s="96" customFormat="1" ht="38.25">
      <c r="A346" s="317"/>
      <c r="B346" s="619">
        <f>B345+1</f>
        <v>2</v>
      </c>
      <c r="C346" s="602" t="s">
        <v>1849</v>
      </c>
      <c r="D346" s="602" t="s">
        <v>1866</v>
      </c>
      <c r="E346" s="687" t="s">
        <v>1575</v>
      </c>
      <c r="F346" s="688">
        <v>5</v>
      </c>
      <c r="G346" s="1063">
        <v>33600</v>
      </c>
      <c r="H346" s="319">
        <f t="shared" ref="H346:H362" si="19">F346*G346</f>
        <v>168000</v>
      </c>
      <c r="I346" s="105"/>
      <c r="J346" s="105"/>
      <c r="K346" s="60"/>
      <c r="L346" s="60"/>
      <c r="M346" s="60"/>
      <c r="N346" s="60"/>
      <c r="O346" s="60"/>
      <c r="P346" s="60"/>
      <c r="Q346" s="60"/>
      <c r="R346" s="60"/>
      <c r="S346" s="60"/>
      <c r="T346" s="60"/>
      <c r="U346" s="60"/>
      <c r="V346" s="60"/>
      <c r="W346" s="60"/>
      <c r="X346" s="60"/>
      <c r="Y346" s="60"/>
      <c r="Z346" s="60"/>
      <c r="AA346" s="60"/>
      <c r="AB346" s="60"/>
      <c r="AC346" s="60"/>
      <c r="AD346" s="60"/>
      <c r="AE346" s="60"/>
      <c r="AF346" s="60"/>
    </row>
    <row r="347" spans="1:32" s="96" customFormat="1" ht="38.25">
      <c r="A347" s="317"/>
      <c r="B347" s="619">
        <f t="shared" ref="B347:B362" si="20">B346+1</f>
        <v>3</v>
      </c>
      <c r="C347" s="602" t="s">
        <v>1850</v>
      </c>
      <c r="D347" s="602" t="s">
        <v>1867</v>
      </c>
      <c r="E347" s="687" t="s">
        <v>1575</v>
      </c>
      <c r="F347" s="688">
        <v>50</v>
      </c>
      <c r="G347" s="1063">
        <v>3360</v>
      </c>
      <c r="H347" s="319">
        <f t="shared" si="19"/>
        <v>168000</v>
      </c>
      <c r="I347" s="105"/>
      <c r="J347" s="105"/>
      <c r="K347" s="60"/>
      <c r="L347" s="60"/>
      <c r="M347" s="60"/>
      <c r="N347" s="60"/>
      <c r="O347" s="60"/>
      <c r="P347" s="60"/>
      <c r="Q347" s="60"/>
      <c r="R347" s="60"/>
      <c r="S347" s="60"/>
      <c r="T347" s="60"/>
      <c r="U347" s="60"/>
      <c r="V347" s="60"/>
      <c r="W347" s="60"/>
      <c r="X347" s="60"/>
      <c r="Y347" s="60"/>
      <c r="Z347" s="60"/>
      <c r="AA347" s="60"/>
      <c r="AB347" s="60"/>
      <c r="AC347" s="60"/>
      <c r="AD347" s="60"/>
      <c r="AE347" s="60"/>
      <c r="AF347" s="60"/>
    </row>
    <row r="348" spans="1:32" s="96" customFormat="1" ht="114.75">
      <c r="A348" s="317"/>
      <c r="B348" s="619">
        <f t="shared" si="20"/>
        <v>4</v>
      </c>
      <c r="C348" s="602" t="s">
        <v>2446</v>
      </c>
      <c r="D348" s="602" t="s">
        <v>1868</v>
      </c>
      <c r="E348" s="687" t="s">
        <v>233</v>
      </c>
      <c r="F348" s="688">
        <v>2</v>
      </c>
      <c r="G348" s="1063">
        <v>44800</v>
      </c>
      <c r="H348" s="319">
        <f t="shared" si="19"/>
        <v>89600</v>
      </c>
      <c r="I348" s="105"/>
      <c r="J348" s="105"/>
      <c r="K348" s="60"/>
      <c r="L348" s="60"/>
      <c r="M348" s="60"/>
      <c r="N348" s="60"/>
      <c r="O348" s="60"/>
      <c r="P348" s="60"/>
      <c r="Q348" s="60"/>
      <c r="R348" s="60"/>
      <c r="S348" s="60"/>
      <c r="T348" s="60"/>
      <c r="U348" s="60"/>
      <c r="V348" s="60"/>
      <c r="W348" s="60"/>
      <c r="X348" s="60"/>
      <c r="Y348" s="60"/>
      <c r="Z348" s="60"/>
      <c r="AA348" s="60"/>
      <c r="AB348" s="60"/>
      <c r="AC348" s="60"/>
      <c r="AD348" s="60"/>
      <c r="AE348" s="60"/>
      <c r="AF348" s="60"/>
    </row>
    <row r="349" spans="1:32" s="96" customFormat="1" ht="76.5">
      <c r="A349" s="317"/>
      <c r="B349" s="619">
        <f t="shared" si="20"/>
        <v>5</v>
      </c>
      <c r="C349" s="602" t="s">
        <v>2447</v>
      </c>
      <c r="D349" s="602" t="s">
        <v>1869</v>
      </c>
      <c r="E349" s="687" t="s">
        <v>233</v>
      </c>
      <c r="F349" s="688">
        <v>5</v>
      </c>
      <c r="G349" s="1063">
        <v>39200</v>
      </c>
      <c r="H349" s="319">
        <f t="shared" si="19"/>
        <v>196000</v>
      </c>
      <c r="I349" s="105"/>
      <c r="J349" s="105"/>
      <c r="K349" s="60"/>
      <c r="L349" s="60"/>
      <c r="M349" s="60"/>
      <c r="N349" s="60"/>
      <c r="O349" s="60"/>
      <c r="P349" s="60"/>
      <c r="Q349" s="60"/>
      <c r="R349" s="60"/>
      <c r="S349" s="60"/>
      <c r="T349" s="60"/>
      <c r="U349" s="60"/>
      <c r="V349" s="60"/>
      <c r="W349" s="60"/>
      <c r="X349" s="60"/>
      <c r="Y349" s="60"/>
      <c r="Z349" s="60"/>
      <c r="AA349" s="60"/>
      <c r="AB349" s="60"/>
      <c r="AC349" s="60"/>
      <c r="AD349" s="60"/>
      <c r="AE349" s="60"/>
      <c r="AF349" s="60"/>
    </row>
    <row r="350" spans="1:32" s="96" customFormat="1" ht="102">
      <c r="A350" s="317"/>
      <c r="B350" s="619">
        <f t="shared" si="20"/>
        <v>6</v>
      </c>
      <c r="C350" s="602" t="s">
        <v>2448</v>
      </c>
      <c r="D350" s="602" t="s">
        <v>1870</v>
      </c>
      <c r="E350" s="687" t="s">
        <v>233</v>
      </c>
      <c r="F350" s="688">
        <v>5</v>
      </c>
      <c r="G350" s="1063">
        <v>39200</v>
      </c>
      <c r="H350" s="319">
        <f t="shared" si="19"/>
        <v>196000</v>
      </c>
      <c r="I350" s="105"/>
      <c r="J350" s="105"/>
      <c r="K350" s="60"/>
      <c r="L350" s="60"/>
      <c r="M350" s="60"/>
      <c r="N350" s="60"/>
      <c r="O350" s="60"/>
      <c r="P350" s="60"/>
      <c r="Q350" s="60"/>
      <c r="R350" s="60"/>
      <c r="S350" s="60"/>
      <c r="T350" s="60"/>
      <c r="U350" s="60"/>
      <c r="V350" s="60"/>
      <c r="W350" s="60"/>
      <c r="X350" s="60"/>
      <c r="Y350" s="60"/>
      <c r="Z350" s="60"/>
      <c r="AA350" s="60"/>
      <c r="AB350" s="60"/>
      <c r="AC350" s="60"/>
      <c r="AD350" s="60"/>
      <c r="AE350" s="60"/>
      <c r="AF350" s="60"/>
    </row>
    <row r="351" spans="1:32" s="96" customFormat="1" ht="38.25">
      <c r="A351" s="317"/>
      <c r="B351" s="619">
        <f t="shared" si="20"/>
        <v>7</v>
      </c>
      <c r="C351" s="602" t="s">
        <v>1851</v>
      </c>
      <c r="D351" s="602" t="s">
        <v>1871</v>
      </c>
      <c r="E351" s="687" t="s">
        <v>233</v>
      </c>
      <c r="F351" s="688">
        <v>5</v>
      </c>
      <c r="G351" s="1063">
        <v>22400</v>
      </c>
      <c r="H351" s="319">
        <f t="shared" si="19"/>
        <v>112000</v>
      </c>
      <c r="I351" s="105"/>
      <c r="J351" s="105"/>
      <c r="K351" s="60"/>
      <c r="L351" s="60"/>
      <c r="M351" s="60"/>
      <c r="N351" s="60"/>
      <c r="O351" s="60"/>
      <c r="P351" s="60"/>
      <c r="Q351" s="60"/>
      <c r="R351" s="60"/>
      <c r="S351" s="60"/>
      <c r="T351" s="60"/>
      <c r="U351" s="60"/>
      <c r="V351" s="60"/>
      <c r="W351" s="60"/>
      <c r="X351" s="60"/>
      <c r="Y351" s="60"/>
      <c r="Z351" s="60"/>
      <c r="AA351" s="60"/>
      <c r="AB351" s="60"/>
      <c r="AC351" s="60"/>
      <c r="AD351" s="60"/>
      <c r="AE351" s="60"/>
      <c r="AF351" s="60"/>
    </row>
    <row r="352" spans="1:32" s="96" customFormat="1" ht="38.25">
      <c r="A352" s="317"/>
      <c r="B352" s="619">
        <f t="shared" si="20"/>
        <v>8</v>
      </c>
      <c r="C352" s="602" t="s">
        <v>1852</v>
      </c>
      <c r="D352" s="602" t="s">
        <v>1872</v>
      </c>
      <c r="E352" s="687" t="s">
        <v>233</v>
      </c>
      <c r="F352" s="688">
        <v>5</v>
      </c>
      <c r="G352" s="1063">
        <v>28000</v>
      </c>
      <c r="H352" s="319">
        <f t="shared" si="19"/>
        <v>140000</v>
      </c>
      <c r="I352" s="105"/>
      <c r="J352" s="105"/>
      <c r="K352" s="60"/>
      <c r="L352" s="60"/>
      <c r="M352" s="60"/>
      <c r="N352" s="60"/>
      <c r="O352" s="60"/>
      <c r="P352" s="60"/>
      <c r="Q352" s="60"/>
      <c r="R352" s="60"/>
      <c r="S352" s="60"/>
      <c r="T352" s="60"/>
      <c r="U352" s="60"/>
      <c r="V352" s="60"/>
      <c r="W352" s="60"/>
      <c r="X352" s="60"/>
      <c r="Y352" s="60"/>
      <c r="Z352" s="60"/>
      <c r="AA352" s="60"/>
      <c r="AB352" s="60"/>
      <c r="AC352" s="60"/>
      <c r="AD352" s="60"/>
      <c r="AE352" s="60"/>
      <c r="AF352" s="60"/>
    </row>
    <row r="353" spans="1:33" s="96" customFormat="1" ht="25.5">
      <c r="A353" s="317"/>
      <c r="B353" s="619">
        <f t="shared" si="20"/>
        <v>9</v>
      </c>
      <c r="C353" s="602" t="s">
        <v>1853</v>
      </c>
      <c r="D353" s="602" t="s">
        <v>1873</v>
      </c>
      <c r="E353" s="687" t="s">
        <v>233</v>
      </c>
      <c r="F353" s="688">
        <v>5</v>
      </c>
      <c r="G353" s="1063">
        <v>44800</v>
      </c>
      <c r="H353" s="319">
        <f t="shared" si="19"/>
        <v>224000</v>
      </c>
      <c r="I353" s="105"/>
      <c r="J353" s="105"/>
      <c r="K353" s="60"/>
      <c r="L353" s="60"/>
      <c r="M353" s="60"/>
      <c r="N353" s="60"/>
      <c r="O353" s="60"/>
      <c r="P353" s="60"/>
      <c r="Q353" s="60"/>
      <c r="R353" s="60"/>
      <c r="S353" s="60"/>
      <c r="T353" s="60"/>
      <c r="U353" s="60"/>
      <c r="V353" s="60"/>
      <c r="W353" s="60"/>
      <c r="X353" s="60"/>
      <c r="Y353" s="60"/>
      <c r="Z353" s="60"/>
      <c r="AA353" s="60"/>
      <c r="AB353" s="60"/>
      <c r="AC353" s="60"/>
      <c r="AD353" s="60"/>
      <c r="AE353" s="60"/>
      <c r="AF353" s="60"/>
    </row>
    <row r="354" spans="1:33" s="96" customFormat="1" ht="51">
      <c r="A354" s="317"/>
      <c r="B354" s="619">
        <f t="shared" si="20"/>
        <v>10</v>
      </c>
      <c r="C354" s="602" t="s">
        <v>1854</v>
      </c>
      <c r="D354" s="602" t="s">
        <v>1874</v>
      </c>
      <c r="E354" s="687" t="s">
        <v>1575</v>
      </c>
      <c r="F354" s="688">
        <v>15</v>
      </c>
      <c r="G354" s="1063">
        <v>11200</v>
      </c>
      <c r="H354" s="319">
        <f t="shared" si="19"/>
        <v>168000</v>
      </c>
      <c r="I354" s="105"/>
      <c r="J354" s="105"/>
      <c r="K354" s="60"/>
      <c r="L354" s="60"/>
      <c r="M354" s="60"/>
      <c r="N354" s="60"/>
      <c r="O354" s="60"/>
      <c r="P354" s="60"/>
      <c r="Q354" s="60"/>
      <c r="R354" s="60"/>
      <c r="S354" s="60"/>
      <c r="T354" s="60"/>
      <c r="U354" s="60"/>
      <c r="V354" s="60"/>
      <c r="W354" s="60"/>
      <c r="X354" s="60"/>
      <c r="Y354" s="60"/>
      <c r="Z354" s="60"/>
      <c r="AA354" s="60"/>
      <c r="AB354" s="60"/>
      <c r="AC354" s="60"/>
      <c r="AD354" s="60"/>
      <c r="AE354" s="60"/>
      <c r="AF354" s="60"/>
    </row>
    <row r="355" spans="1:33" s="96" customFormat="1" ht="25.5">
      <c r="A355" s="317"/>
      <c r="B355" s="619">
        <f t="shared" si="20"/>
        <v>11</v>
      </c>
      <c r="C355" s="602" t="s">
        <v>1855</v>
      </c>
      <c r="D355" s="602" t="s">
        <v>1875</v>
      </c>
      <c r="E355" s="687" t="s">
        <v>233</v>
      </c>
      <c r="F355" s="688">
        <v>150</v>
      </c>
      <c r="G355" s="1063">
        <v>575</v>
      </c>
      <c r="H355" s="319">
        <f t="shared" si="19"/>
        <v>86250</v>
      </c>
      <c r="I355" s="105"/>
      <c r="J355" s="105"/>
      <c r="K355" s="60"/>
      <c r="L355" s="60"/>
      <c r="M355" s="60"/>
      <c r="N355" s="60"/>
      <c r="O355" s="60"/>
      <c r="P355" s="60"/>
      <c r="Q355" s="60"/>
      <c r="R355" s="60"/>
      <c r="S355" s="60"/>
      <c r="T355" s="60"/>
      <c r="U355" s="60"/>
      <c r="V355" s="60"/>
      <c r="W355" s="60"/>
      <c r="X355" s="60"/>
      <c r="Y355" s="60"/>
      <c r="Z355" s="60"/>
      <c r="AA355" s="60"/>
      <c r="AB355" s="60"/>
      <c r="AC355" s="60"/>
      <c r="AD355" s="60"/>
      <c r="AE355" s="60"/>
      <c r="AF355" s="60"/>
    </row>
    <row r="356" spans="1:33" s="96" customFormat="1" ht="63.75">
      <c r="A356" s="317"/>
      <c r="B356" s="619">
        <f t="shared" si="20"/>
        <v>12</v>
      </c>
      <c r="C356" s="602" t="s">
        <v>1856</v>
      </c>
      <c r="D356" s="602" t="s">
        <v>1876</v>
      </c>
      <c r="E356" s="687" t="s">
        <v>233</v>
      </c>
      <c r="F356" s="688">
        <v>10</v>
      </c>
      <c r="G356" s="1063">
        <v>8960</v>
      </c>
      <c r="H356" s="319">
        <f t="shared" si="19"/>
        <v>89600</v>
      </c>
      <c r="I356" s="105"/>
      <c r="J356" s="105"/>
      <c r="K356" s="60"/>
      <c r="L356" s="60"/>
      <c r="M356" s="60"/>
      <c r="N356" s="60"/>
      <c r="O356" s="60"/>
      <c r="P356" s="60"/>
      <c r="Q356" s="60"/>
      <c r="R356" s="60"/>
      <c r="S356" s="60"/>
      <c r="T356" s="60"/>
      <c r="U356" s="60"/>
      <c r="V356" s="60"/>
      <c r="W356" s="60"/>
      <c r="X356" s="60"/>
      <c r="Y356" s="60"/>
      <c r="Z356" s="60"/>
      <c r="AA356" s="60"/>
      <c r="AB356" s="60"/>
      <c r="AC356" s="60"/>
      <c r="AD356" s="60"/>
      <c r="AE356" s="60"/>
      <c r="AF356" s="60"/>
    </row>
    <row r="357" spans="1:33" s="96" customFormat="1" ht="76.5">
      <c r="A357" s="317"/>
      <c r="B357" s="619">
        <f t="shared" si="20"/>
        <v>13</v>
      </c>
      <c r="C357" s="602" t="s">
        <v>1857</v>
      </c>
      <c r="D357" s="602" t="s">
        <v>1877</v>
      </c>
      <c r="E357" s="687" t="s">
        <v>233</v>
      </c>
      <c r="F357" s="688">
        <v>10</v>
      </c>
      <c r="G357" s="1063">
        <v>22400</v>
      </c>
      <c r="H357" s="319">
        <f t="shared" si="19"/>
        <v>224000</v>
      </c>
      <c r="I357" s="105"/>
      <c r="J357" s="105"/>
      <c r="K357" s="60"/>
      <c r="L357" s="60"/>
      <c r="M357" s="60"/>
      <c r="N357" s="60"/>
      <c r="O357" s="60"/>
      <c r="P357" s="60"/>
      <c r="Q357" s="60"/>
      <c r="R357" s="60"/>
      <c r="S357" s="60"/>
      <c r="T357" s="60"/>
      <c r="U357" s="60"/>
      <c r="V357" s="60"/>
      <c r="W357" s="60"/>
      <c r="X357" s="60"/>
      <c r="Y357" s="60"/>
      <c r="Z357" s="60"/>
      <c r="AA357" s="60"/>
      <c r="AB357" s="60"/>
      <c r="AC357" s="60"/>
      <c r="AD357" s="60"/>
      <c r="AE357" s="60"/>
      <c r="AF357" s="60"/>
    </row>
    <row r="358" spans="1:33" s="96" customFormat="1" ht="25.5">
      <c r="A358" s="317"/>
      <c r="B358" s="619">
        <f t="shared" si="20"/>
        <v>14</v>
      </c>
      <c r="C358" s="602" t="s">
        <v>1858</v>
      </c>
      <c r="D358" s="602" t="s">
        <v>1878</v>
      </c>
      <c r="E358" s="687" t="s">
        <v>233</v>
      </c>
      <c r="F358" s="688">
        <v>5</v>
      </c>
      <c r="G358" s="1063">
        <v>7840</v>
      </c>
      <c r="H358" s="319">
        <f t="shared" si="19"/>
        <v>39200</v>
      </c>
      <c r="I358" s="105"/>
      <c r="J358" s="105"/>
      <c r="K358" s="60"/>
      <c r="L358" s="60"/>
      <c r="M358" s="60"/>
      <c r="N358" s="60"/>
      <c r="O358" s="60"/>
      <c r="P358" s="60"/>
      <c r="Q358" s="60"/>
      <c r="R358" s="60"/>
      <c r="S358" s="60"/>
      <c r="T358" s="60"/>
      <c r="U358" s="60"/>
      <c r="V358" s="60"/>
      <c r="W358" s="60"/>
      <c r="X358" s="60"/>
      <c r="Y358" s="60"/>
      <c r="Z358" s="60"/>
      <c r="AA358" s="60"/>
      <c r="AB358" s="60"/>
      <c r="AC358" s="60"/>
      <c r="AD358" s="60"/>
      <c r="AE358" s="60"/>
      <c r="AF358" s="60"/>
    </row>
    <row r="359" spans="1:33" s="96" customFormat="1" ht="94.5" customHeight="1">
      <c r="A359" s="317"/>
      <c r="B359" s="619">
        <f t="shared" si="20"/>
        <v>15</v>
      </c>
      <c r="C359" s="602" t="s">
        <v>1859</v>
      </c>
      <c r="D359" s="602" t="s">
        <v>1879</v>
      </c>
      <c r="E359" s="687" t="s">
        <v>233</v>
      </c>
      <c r="F359" s="688">
        <v>20</v>
      </c>
      <c r="G359" s="1063">
        <v>28000</v>
      </c>
      <c r="H359" s="319">
        <f t="shared" si="19"/>
        <v>560000</v>
      </c>
      <c r="I359" s="105"/>
      <c r="J359" s="105"/>
      <c r="K359" s="60"/>
      <c r="L359" s="60"/>
      <c r="M359" s="60"/>
      <c r="N359" s="60"/>
      <c r="O359" s="60"/>
      <c r="P359" s="60"/>
      <c r="Q359" s="60"/>
      <c r="R359" s="60"/>
      <c r="S359" s="60"/>
      <c r="T359" s="60"/>
      <c r="U359" s="60"/>
      <c r="V359" s="60"/>
      <c r="W359" s="60"/>
      <c r="X359" s="60"/>
      <c r="Y359" s="60"/>
      <c r="Z359" s="60"/>
      <c r="AA359" s="60"/>
      <c r="AB359" s="60"/>
      <c r="AC359" s="60"/>
      <c r="AD359" s="60"/>
      <c r="AE359" s="60"/>
      <c r="AF359" s="60"/>
    </row>
    <row r="360" spans="1:33" s="96" customFormat="1" ht="38.25">
      <c r="A360" s="317"/>
      <c r="B360" s="619">
        <f t="shared" si="20"/>
        <v>16</v>
      </c>
      <c r="C360" s="602" t="s">
        <v>1860</v>
      </c>
      <c r="D360" s="602" t="s">
        <v>1880</v>
      </c>
      <c r="E360" s="687" t="s">
        <v>233</v>
      </c>
      <c r="F360" s="688">
        <v>20</v>
      </c>
      <c r="G360" s="1063">
        <v>5600</v>
      </c>
      <c r="H360" s="319">
        <f t="shared" si="19"/>
        <v>112000</v>
      </c>
      <c r="I360" s="105"/>
      <c r="J360" s="105"/>
      <c r="K360" s="60"/>
      <c r="L360" s="60"/>
      <c r="M360" s="60"/>
      <c r="N360" s="60"/>
      <c r="O360" s="60"/>
      <c r="P360" s="60"/>
      <c r="Q360" s="60"/>
      <c r="R360" s="60"/>
      <c r="S360" s="60"/>
      <c r="T360" s="60"/>
      <c r="U360" s="60"/>
      <c r="V360" s="60"/>
      <c r="W360" s="60"/>
      <c r="X360" s="60"/>
      <c r="Y360" s="60"/>
      <c r="Z360" s="60"/>
      <c r="AA360" s="60"/>
      <c r="AB360" s="60"/>
      <c r="AC360" s="60"/>
      <c r="AD360" s="60"/>
      <c r="AE360" s="60"/>
      <c r="AF360" s="60"/>
    </row>
    <row r="361" spans="1:33" s="96" customFormat="1" ht="25.5">
      <c r="A361" s="317"/>
      <c r="B361" s="619">
        <f t="shared" si="20"/>
        <v>17</v>
      </c>
      <c r="C361" s="602" t="s">
        <v>1861</v>
      </c>
      <c r="D361" s="602" t="s">
        <v>1881</v>
      </c>
      <c r="E361" s="687" t="s">
        <v>233</v>
      </c>
      <c r="F361" s="688">
        <v>20</v>
      </c>
      <c r="G361" s="1063">
        <v>5600</v>
      </c>
      <c r="H361" s="319">
        <f t="shared" si="19"/>
        <v>112000</v>
      </c>
      <c r="I361" s="105"/>
      <c r="J361" s="105"/>
      <c r="K361" s="60"/>
      <c r="L361" s="60"/>
      <c r="M361" s="60"/>
      <c r="N361" s="60"/>
      <c r="O361" s="60"/>
      <c r="P361" s="60"/>
      <c r="Q361" s="60"/>
      <c r="R361" s="60"/>
      <c r="S361" s="60"/>
      <c r="T361" s="60"/>
      <c r="U361" s="60"/>
      <c r="V361" s="60"/>
      <c r="W361" s="60"/>
      <c r="X361" s="60"/>
      <c r="Y361" s="60"/>
      <c r="Z361" s="60"/>
      <c r="AA361" s="60"/>
      <c r="AB361" s="60"/>
      <c r="AC361" s="60"/>
      <c r="AD361" s="60"/>
      <c r="AE361" s="60"/>
      <c r="AF361" s="60"/>
    </row>
    <row r="362" spans="1:33" s="96" customFormat="1" ht="25.5">
      <c r="A362" s="317"/>
      <c r="B362" s="619">
        <f t="shared" si="20"/>
        <v>18</v>
      </c>
      <c r="C362" s="602" t="s">
        <v>1862</v>
      </c>
      <c r="D362" s="602" t="s">
        <v>1882</v>
      </c>
      <c r="E362" s="687" t="s">
        <v>233</v>
      </c>
      <c r="F362" s="688">
        <v>4</v>
      </c>
      <c r="G362" s="1063">
        <v>44800</v>
      </c>
      <c r="H362" s="319">
        <f t="shared" si="19"/>
        <v>179200</v>
      </c>
      <c r="I362" s="105"/>
      <c r="J362" s="105"/>
      <c r="K362" s="60"/>
      <c r="L362" s="60"/>
      <c r="M362" s="60"/>
      <c r="N362" s="60"/>
      <c r="O362" s="60"/>
      <c r="P362" s="60"/>
      <c r="Q362" s="60"/>
      <c r="R362" s="60"/>
      <c r="S362" s="60"/>
      <c r="T362" s="60"/>
      <c r="U362" s="60"/>
      <c r="V362" s="60"/>
      <c r="W362" s="60"/>
      <c r="X362" s="60"/>
      <c r="Y362" s="60"/>
      <c r="Z362" s="60"/>
      <c r="AA362" s="60"/>
      <c r="AB362" s="60"/>
      <c r="AC362" s="60"/>
      <c r="AD362" s="60"/>
      <c r="AE362" s="60"/>
      <c r="AF362" s="60"/>
    </row>
    <row r="363" spans="1:33" s="43" customFormat="1" ht="15">
      <c r="A363" s="1394" t="s">
        <v>755</v>
      </c>
      <c r="B363" s="1394"/>
      <c r="C363" s="1394"/>
      <c r="D363" s="1394"/>
      <c r="E363" s="1394"/>
      <c r="F363" s="1394"/>
      <c r="G363" s="1394"/>
      <c r="H363" s="1394"/>
      <c r="I363" s="105"/>
      <c r="J363" s="105"/>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row>
    <row r="364" spans="1:33" s="43" customFormat="1" ht="38.25">
      <c r="A364" s="317"/>
      <c r="B364" s="1062" t="s">
        <v>84</v>
      </c>
      <c r="C364" s="626" t="s">
        <v>0</v>
      </c>
      <c r="D364" s="1062" t="s">
        <v>90</v>
      </c>
      <c r="E364" s="1062" t="s">
        <v>85</v>
      </c>
      <c r="F364" s="1062" t="s">
        <v>32</v>
      </c>
      <c r="G364" s="1062" t="s">
        <v>86</v>
      </c>
      <c r="H364" s="1062" t="s">
        <v>87</v>
      </c>
      <c r="I364" s="105"/>
      <c r="J364" s="105"/>
      <c r="K364" s="60"/>
      <c r="L364" s="60"/>
      <c r="M364" s="60"/>
      <c r="N364" s="60"/>
      <c r="O364" s="60"/>
      <c r="P364" s="60"/>
      <c r="Q364" s="60"/>
      <c r="R364" s="60"/>
      <c r="S364" s="60"/>
      <c r="T364" s="60"/>
      <c r="U364" s="60"/>
      <c r="V364" s="60"/>
      <c r="W364" s="60"/>
      <c r="X364" s="60"/>
      <c r="Y364" s="60"/>
      <c r="Z364" s="60"/>
      <c r="AA364" s="60"/>
      <c r="AB364" s="60"/>
      <c r="AC364" s="60"/>
      <c r="AD364" s="60"/>
      <c r="AE364" s="60"/>
      <c r="AF364" s="60"/>
    </row>
    <row r="365" spans="1:33" s="60" customFormat="1" ht="15">
      <c r="A365" s="317"/>
      <c r="B365" s="612"/>
      <c r="C365" s="606">
        <v>1</v>
      </c>
      <c r="D365" s="606">
        <v>2</v>
      </c>
      <c r="E365" s="606">
        <v>3</v>
      </c>
      <c r="F365" s="606">
        <v>4</v>
      </c>
      <c r="G365" s="606">
        <v>5</v>
      </c>
      <c r="H365" s="619">
        <v>6</v>
      </c>
      <c r="I365" s="105"/>
      <c r="J365" s="105"/>
    </row>
    <row r="366" spans="1:33" s="60" customFormat="1" ht="15">
      <c r="A366" s="317"/>
      <c r="B366" s="627"/>
      <c r="C366" s="627" t="s">
        <v>88</v>
      </c>
      <c r="D366" s="628"/>
      <c r="E366" s="629"/>
      <c r="F366" s="630"/>
      <c r="G366" s="630"/>
      <c r="H366" s="631">
        <f>SUM(H367:H452)</f>
        <v>8721137</v>
      </c>
      <c r="I366" s="105">
        <f>H366/1.16</f>
        <v>7518221.5517241387</v>
      </c>
      <c r="J366" s="105"/>
    </row>
    <row r="367" spans="1:33" s="101" customFormat="1" ht="51">
      <c r="A367" s="317"/>
      <c r="B367" s="606">
        <v>1</v>
      </c>
      <c r="C367" s="1064" t="s">
        <v>294</v>
      </c>
      <c r="D367" s="1064" t="s">
        <v>1659</v>
      </c>
      <c r="E367" s="606" t="s">
        <v>302</v>
      </c>
      <c r="F367" s="639">
        <v>1500</v>
      </c>
      <c r="G367" s="596">
        <v>2900</v>
      </c>
      <c r="H367" s="319">
        <f>F367*G367</f>
        <v>4350000</v>
      </c>
      <c r="I367" s="105"/>
      <c r="J367" s="105"/>
      <c r="K367" s="60"/>
      <c r="L367" s="60"/>
      <c r="M367" s="60"/>
      <c r="N367" s="60"/>
      <c r="O367" s="60"/>
      <c r="P367" s="60"/>
      <c r="Q367" s="60"/>
      <c r="R367" s="60"/>
      <c r="S367" s="60"/>
      <c r="T367" s="60"/>
      <c r="U367" s="60"/>
      <c r="V367" s="60"/>
      <c r="W367" s="60"/>
      <c r="X367" s="60"/>
      <c r="Y367" s="60"/>
      <c r="Z367" s="60"/>
      <c r="AA367" s="60"/>
      <c r="AB367" s="60"/>
      <c r="AC367" s="60"/>
      <c r="AD367" s="60"/>
      <c r="AE367" s="60"/>
      <c r="AF367" s="60"/>
    </row>
    <row r="368" spans="1:33" s="101" customFormat="1" ht="38.25">
      <c r="A368" s="317"/>
      <c r="B368" s="606">
        <f>B367+1</f>
        <v>2</v>
      </c>
      <c r="C368" s="640" t="s">
        <v>1660</v>
      </c>
      <c r="D368" s="610" t="s">
        <v>1661</v>
      </c>
      <c r="E368" s="606" t="s">
        <v>302</v>
      </c>
      <c r="F368" s="639">
        <v>54</v>
      </c>
      <c r="G368" s="596">
        <v>4500</v>
      </c>
      <c r="H368" s="319">
        <f t="shared" ref="H368:H431" si="21">F368*G368</f>
        <v>243000</v>
      </c>
      <c r="I368" s="105"/>
      <c r="J368" s="105"/>
      <c r="K368" s="60"/>
      <c r="L368" s="60"/>
      <c r="M368" s="60"/>
      <c r="N368" s="60"/>
      <c r="O368" s="60"/>
      <c r="P368" s="60"/>
      <c r="Q368" s="60"/>
      <c r="R368" s="60"/>
      <c r="S368" s="60"/>
      <c r="T368" s="60"/>
      <c r="U368" s="60"/>
      <c r="V368" s="60"/>
      <c r="W368" s="60"/>
      <c r="X368" s="60"/>
      <c r="Y368" s="60"/>
      <c r="Z368" s="60"/>
      <c r="AA368" s="60"/>
      <c r="AB368" s="60"/>
      <c r="AC368" s="60"/>
      <c r="AD368" s="60"/>
      <c r="AE368" s="60"/>
      <c r="AF368" s="60"/>
    </row>
    <row r="369" spans="1:32" s="101" customFormat="1" ht="15">
      <c r="A369" s="317"/>
      <c r="B369" s="606">
        <f t="shared" ref="B369:B432" si="22">B368+1</f>
        <v>3</v>
      </c>
      <c r="C369" s="640" t="s">
        <v>1662</v>
      </c>
      <c r="D369" s="610" t="s">
        <v>1662</v>
      </c>
      <c r="E369" s="606" t="s">
        <v>295</v>
      </c>
      <c r="F369" s="639">
        <v>75</v>
      </c>
      <c r="G369" s="596">
        <v>1350</v>
      </c>
      <c r="H369" s="319">
        <f t="shared" si="21"/>
        <v>101250</v>
      </c>
      <c r="I369" s="105"/>
      <c r="J369" s="105"/>
      <c r="K369" s="60"/>
      <c r="L369" s="60"/>
      <c r="M369" s="60"/>
      <c r="N369" s="60"/>
      <c r="O369" s="60"/>
      <c r="P369" s="60"/>
      <c r="Q369" s="60"/>
      <c r="R369" s="60"/>
      <c r="S369" s="60"/>
      <c r="T369" s="60"/>
      <c r="U369" s="60"/>
      <c r="V369" s="60"/>
      <c r="W369" s="60"/>
      <c r="X369" s="60"/>
      <c r="Y369" s="60"/>
      <c r="Z369" s="60"/>
      <c r="AA369" s="60"/>
      <c r="AB369" s="60"/>
      <c r="AC369" s="60"/>
      <c r="AD369" s="60"/>
      <c r="AE369" s="60"/>
      <c r="AF369" s="60"/>
    </row>
    <row r="370" spans="1:32" s="101" customFormat="1" ht="15">
      <c r="A370" s="317"/>
      <c r="B370" s="606">
        <f t="shared" si="22"/>
        <v>4</v>
      </c>
      <c r="C370" s="640" t="s">
        <v>1663</v>
      </c>
      <c r="D370" s="610" t="s">
        <v>1663</v>
      </c>
      <c r="E370" s="606" t="s">
        <v>295</v>
      </c>
      <c r="F370" s="639">
        <v>42</v>
      </c>
      <c r="G370" s="596">
        <v>750</v>
      </c>
      <c r="H370" s="319">
        <f t="shared" si="21"/>
        <v>31500</v>
      </c>
      <c r="I370" s="105"/>
      <c r="J370" s="105"/>
      <c r="K370" s="60"/>
      <c r="L370" s="60"/>
      <c r="M370" s="60"/>
      <c r="N370" s="60"/>
      <c r="O370" s="60"/>
      <c r="P370" s="60"/>
      <c r="Q370" s="60"/>
      <c r="R370" s="60"/>
      <c r="S370" s="60"/>
      <c r="T370" s="60"/>
      <c r="U370" s="60"/>
      <c r="V370" s="60"/>
      <c r="W370" s="60"/>
      <c r="X370" s="60"/>
      <c r="Y370" s="60"/>
      <c r="Z370" s="60"/>
      <c r="AA370" s="60"/>
      <c r="AB370" s="60"/>
      <c r="AC370" s="60"/>
      <c r="AD370" s="60"/>
      <c r="AE370" s="60"/>
      <c r="AF370" s="60"/>
    </row>
    <row r="371" spans="1:32" s="101" customFormat="1" ht="25.5">
      <c r="A371" s="317"/>
      <c r="B371" s="606">
        <f t="shared" si="22"/>
        <v>5</v>
      </c>
      <c r="C371" s="640" t="s">
        <v>1664</v>
      </c>
      <c r="D371" s="610" t="s">
        <v>1665</v>
      </c>
      <c r="E371" s="606" t="s">
        <v>302</v>
      </c>
      <c r="F371" s="639">
        <v>30</v>
      </c>
      <c r="G371" s="596">
        <v>1200</v>
      </c>
      <c r="H371" s="319">
        <f t="shared" si="21"/>
        <v>36000</v>
      </c>
      <c r="I371" s="105"/>
      <c r="J371" s="105"/>
      <c r="K371" s="60"/>
      <c r="L371" s="60"/>
      <c r="M371" s="60"/>
      <c r="N371" s="60"/>
      <c r="O371" s="60"/>
      <c r="P371" s="60"/>
      <c r="Q371" s="60"/>
      <c r="R371" s="60"/>
      <c r="S371" s="60"/>
      <c r="T371" s="60"/>
      <c r="U371" s="60"/>
      <c r="V371" s="60"/>
      <c r="W371" s="60"/>
      <c r="X371" s="60"/>
      <c r="Y371" s="60"/>
      <c r="Z371" s="60"/>
      <c r="AA371" s="60"/>
      <c r="AB371" s="60"/>
      <c r="AC371" s="60"/>
      <c r="AD371" s="60"/>
      <c r="AE371" s="60"/>
      <c r="AF371" s="60"/>
    </row>
    <row r="372" spans="1:32" s="101" customFormat="1" ht="38.25">
      <c r="A372" s="317"/>
      <c r="B372" s="606">
        <f t="shared" si="22"/>
        <v>6</v>
      </c>
      <c r="C372" s="1032" t="s">
        <v>1666</v>
      </c>
      <c r="D372" s="1032" t="s">
        <v>1667</v>
      </c>
      <c r="E372" s="1033" t="s">
        <v>1508</v>
      </c>
      <c r="F372" s="667">
        <v>80</v>
      </c>
      <c r="G372" s="1033">
        <v>1700</v>
      </c>
      <c r="H372" s="1034">
        <f t="shared" si="21"/>
        <v>136000</v>
      </c>
      <c r="I372" s="105"/>
      <c r="J372" s="105"/>
      <c r="K372" s="60"/>
      <c r="L372" s="60"/>
      <c r="M372" s="60"/>
      <c r="N372" s="60"/>
      <c r="O372" s="60"/>
      <c r="P372" s="60"/>
      <c r="Q372" s="60"/>
      <c r="R372" s="60"/>
      <c r="S372" s="60"/>
      <c r="T372" s="60"/>
      <c r="U372" s="60"/>
      <c r="V372" s="60"/>
      <c r="W372" s="60"/>
      <c r="X372" s="60"/>
      <c r="Y372" s="60"/>
      <c r="Z372" s="60"/>
      <c r="AA372" s="60"/>
      <c r="AB372" s="60"/>
      <c r="AC372" s="60"/>
      <c r="AD372" s="60"/>
      <c r="AE372" s="60"/>
      <c r="AF372" s="60"/>
    </row>
    <row r="373" spans="1:32" s="101" customFormat="1" ht="38.25">
      <c r="A373" s="317"/>
      <c r="B373" s="606">
        <f t="shared" si="22"/>
        <v>7</v>
      </c>
      <c r="C373" s="1032" t="s">
        <v>299</v>
      </c>
      <c r="D373" s="1032" t="s">
        <v>1668</v>
      </c>
      <c r="E373" s="1033" t="s">
        <v>1508</v>
      </c>
      <c r="F373" s="667">
        <v>36</v>
      </c>
      <c r="G373" s="1033">
        <v>1000</v>
      </c>
      <c r="H373" s="1034">
        <f t="shared" si="21"/>
        <v>36000</v>
      </c>
      <c r="I373" s="105"/>
      <c r="J373" s="105"/>
      <c r="K373" s="60"/>
      <c r="L373" s="60"/>
      <c r="M373" s="60"/>
      <c r="N373" s="60"/>
      <c r="O373" s="60"/>
      <c r="P373" s="60"/>
      <c r="Q373" s="60"/>
      <c r="R373" s="60"/>
      <c r="S373" s="60"/>
      <c r="T373" s="60"/>
      <c r="U373" s="60"/>
      <c r="V373" s="60"/>
      <c r="W373" s="60"/>
      <c r="X373" s="60"/>
      <c r="Y373" s="60"/>
      <c r="Z373" s="60"/>
      <c r="AA373" s="60"/>
      <c r="AB373" s="60"/>
      <c r="AC373" s="60"/>
      <c r="AD373" s="60"/>
      <c r="AE373" s="60"/>
      <c r="AF373" s="60"/>
    </row>
    <row r="374" spans="1:32" s="101" customFormat="1" ht="63.75">
      <c r="A374" s="317"/>
      <c r="B374" s="606">
        <f t="shared" si="22"/>
        <v>8</v>
      </c>
      <c r="C374" s="1032" t="s">
        <v>1669</v>
      </c>
      <c r="D374" s="1032" t="s">
        <v>1670</v>
      </c>
      <c r="E374" s="1033" t="s">
        <v>1508</v>
      </c>
      <c r="F374" s="667">
        <v>6</v>
      </c>
      <c r="G374" s="1033">
        <v>350</v>
      </c>
      <c r="H374" s="1034">
        <f t="shared" si="21"/>
        <v>2100</v>
      </c>
      <c r="I374" s="105"/>
      <c r="J374" s="105"/>
      <c r="K374" s="60"/>
      <c r="L374" s="60"/>
      <c r="M374" s="60"/>
      <c r="N374" s="60"/>
      <c r="O374" s="60"/>
      <c r="P374" s="60"/>
      <c r="Q374" s="60"/>
      <c r="R374" s="60"/>
      <c r="S374" s="60"/>
      <c r="T374" s="60"/>
      <c r="U374" s="60"/>
      <c r="V374" s="60"/>
      <c r="W374" s="60"/>
      <c r="X374" s="60"/>
      <c r="Y374" s="60"/>
      <c r="Z374" s="60"/>
      <c r="AA374" s="60"/>
      <c r="AB374" s="60"/>
      <c r="AC374" s="60"/>
      <c r="AD374" s="60"/>
      <c r="AE374" s="60"/>
      <c r="AF374" s="60"/>
    </row>
    <row r="375" spans="1:32" s="101" customFormat="1" ht="25.5">
      <c r="A375" s="317"/>
      <c r="B375" s="606">
        <f t="shared" si="22"/>
        <v>9</v>
      </c>
      <c r="C375" s="1032" t="s">
        <v>300</v>
      </c>
      <c r="D375" s="1036" t="s">
        <v>605</v>
      </c>
      <c r="E375" s="1033" t="s">
        <v>295</v>
      </c>
      <c r="F375" s="667">
        <v>40</v>
      </c>
      <c r="G375" s="1033">
        <v>1450</v>
      </c>
      <c r="H375" s="1034">
        <f t="shared" si="21"/>
        <v>58000</v>
      </c>
      <c r="I375" s="105"/>
      <c r="J375" s="105"/>
      <c r="K375" s="60"/>
      <c r="L375" s="60"/>
      <c r="M375" s="60"/>
      <c r="N375" s="60"/>
      <c r="O375" s="60"/>
      <c r="P375" s="60"/>
      <c r="Q375" s="60"/>
      <c r="R375" s="60"/>
      <c r="S375" s="60"/>
      <c r="T375" s="60"/>
      <c r="U375" s="60"/>
      <c r="V375" s="60"/>
      <c r="W375" s="60"/>
      <c r="X375" s="60"/>
      <c r="Y375" s="60"/>
      <c r="Z375" s="60"/>
      <c r="AA375" s="60"/>
      <c r="AB375" s="60"/>
      <c r="AC375" s="60"/>
      <c r="AD375" s="60"/>
      <c r="AE375" s="60"/>
      <c r="AF375" s="60"/>
    </row>
    <row r="376" spans="1:32" s="43" customFormat="1" ht="76.5">
      <c r="A376" s="642"/>
      <c r="B376" s="596">
        <f t="shared" si="22"/>
        <v>10</v>
      </c>
      <c r="C376" s="1032" t="s">
        <v>1671</v>
      </c>
      <c r="D376" s="1032" t="s">
        <v>1672</v>
      </c>
      <c r="E376" s="1033" t="s">
        <v>295</v>
      </c>
      <c r="F376" s="667">
        <v>80</v>
      </c>
      <c r="G376" s="1033">
        <v>1500</v>
      </c>
      <c r="H376" s="1034">
        <f t="shared" si="21"/>
        <v>120000</v>
      </c>
      <c r="I376" s="9"/>
      <c r="J376" s="9"/>
    </row>
    <row r="377" spans="1:32" s="43" customFormat="1" ht="38.25">
      <c r="A377" s="642"/>
      <c r="B377" s="596">
        <f t="shared" si="22"/>
        <v>11</v>
      </c>
      <c r="C377" s="1032" t="s">
        <v>1673</v>
      </c>
      <c r="D377" s="1036" t="s">
        <v>1674</v>
      </c>
      <c r="E377" s="1033" t="s">
        <v>1508</v>
      </c>
      <c r="F377" s="667">
        <v>10</v>
      </c>
      <c r="G377" s="1035">
        <v>30000</v>
      </c>
      <c r="H377" s="1034">
        <f t="shared" si="21"/>
        <v>300000</v>
      </c>
      <c r="I377" s="9"/>
      <c r="J377" s="9"/>
    </row>
    <row r="378" spans="1:32" s="43" customFormat="1" ht="63.75">
      <c r="A378" s="642"/>
      <c r="B378" s="596">
        <f t="shared" si="22"/>
        <v>12</v>
      </c>
      <c r="C378" s="1032" t="s">
        <v>2416</v>
      </c>
      <c r="D378" s="1033" t="s">
        <v>1675</v>
      </c>
      <c r="E378" s="1033" t="s">
        <v>1508</v>
      </c>
      <c r="F378" s="667">
        <v>300</v>
      </c>
      <c r="G378" s="1035">
        <v>260</v>
      </c>
      <c r="H378" s="1034">
        <f t="shared" si="21"/>
        <v>78000</v>
      </c>
      <c r="I378" s="9"/>
      <c r="J378" s="9"/>
    </row>
    <row r="379" spans="1:32" s="43" customFormat="1" ht="63.75">
      <c r="A379" s="642"/>
      <c r="B379" s="596">
        <f t="shared" si="22"/>
        <v>13</v>
      </c>
      <c r="C379" s="1032" t="s">
        <v>1676</v>
      </c>
      <c r="D379" s="1033" t="s">
        <v>1677</v>
      </c>
      <c r="E379" s="1033" t="s">
        <v>1508</v>
      </c>
      <c r="F379" s="667">
        <v>150</v>
      </c>
      <c r="G379" s="1035">
        <v>260</v>
      </c>
      <c r="H379" s="1034">
        <f t="shared" si="21"/>
        <v>39000</v>
      </c>
      <c r="I379" s="9"/>
      <c r="J379" s="9"/>
    </row>
    <row r="380" spans="1:32" s="43" customFormat="1" ht="63.75">
      <c r="A380" s="642"/>
      <c r="B380" s="596">
        <f t="shared" si="22"/>
        <v>14</v>
      </c>
      <c r="C380" s="1032" t="s">
        <v>1678</v>
      </c>
      <c r="D380" s="1033" t="s">
        <v>1679</v>
      </c>
      <c r="E380" s="1033" t="s">
        <v>1508</v>
      </c>
      <c r="F380" s="667">
        <v>150</v>
      </c>
      <c r="G380" s="1035">
        <v>260</v>
      </c>
      <c r="H380" s="1034">
        <f t="shared" si="21"/>
        <v>39000</v>
      </c>
      <c r="I380" s="9"/>
      <c r="J380" s="9"/>
    </row>
    <row r="381" spans="1:32" s="43" customFormat="1" ht="63.75">
      <c r="A381" s="642"/>
      <c r="B381" s="596">
        <f t="shared" si="22"/>
        <v>15</v>
      </c>
      <c r="C381" s="1032" t="s">
        <v>1680</v>
      </c>
      <c r="D381" s="1033" t="s">
        <v>1681</v>
      </c>
      <c r="E381" s="1033" t="s">
        <v>1508</v>
      </c>
      <c r="F381" s="667">
        <v>70</v>
      </c>
      <c r="G381" s="1035">
        <v>260</v>
      </c>
      <c r="H381" s="1034">
        <f t="shared" si="21"/>
        <v>18200</v>
      </c>
      <c r="I381" s="9"/>
      <c r="J381" s="9"/>
    </row>
    <row r="382" spans="1:32" s="43" customFormat="1" ht="25.5">
      <c r="A382" s="642"/>
      <c r="B382" s="596">
        <f t="shared" si="22"/>
        <v>16</v>
      </c>
      <c r="C382" s="1032" t="s">
        <v>1682</v>
      </c>
      <c r="D382" s="1032" t="s">
        <v>1683</v>
      </c>
      <c r="E382" s="1033" t="s">
        <v>1508</v>
      </c>
      <c r="F382" s="667">
        <v>120</v>
      </c>
      <c r="G382" s="1033">
        <v>250</v>
      </c>
      <c r="H382" s="1034">
        <f t="shared" si="21"/>
        <v>30000</v>
      </c>
      <c r="I382" s="9"/>
      <c r="J382" s="9"/>
    </row>
    <row r="383" spans="1:32" s="43" customFormat="1" ht="38.25">
      <c r="A383" s="642"/>
      <c r="B383" s="596">
        <f t="shared" si="22"/>
        <v>17</v>
      </c>
      <c r="C383" s="1032" t="s">
        <v>1684</v>
      </c>
      <c r="D383" s="1036" t="s">
        <v>1685</v>
      </c>
      <c r="E383" s="1033" t="s">
        <v>295</v>
      </c>
      <c r="F383" s="667">
        <v>10</v>
      </c>
      <c r="G383" s="1033">
        <v>1850</v>
      </c>
      <c r="H383" s="1034">
        <f t="shared" si="21"/>
        <v>18500</v>
      </c>
      <c r="I383" s="9"/>
      <c r="J383" s="9"/>
    </row>
    <row r="384" spans="1:32" s="43" customFormat="1" ht="63.75">
      <c r="A384" s="642"/>
      <c r="B384" s="596">
        <f t="shared" si="22"/>
        <v>18</v>
      </c>
      <c r="C384" s="1032" t="s">
        <v>1686</v>
      </c>
      <c r="D384" s="1032" t="s">
        <v>1687</v>
      </c>
      <c r="E384" s="1033" t="s">
        <v>302</v>
      </c>
      <c r="F384" s="667">
        <v>60</v>
      </c>
      <c r="G384" s="1033">
        <v>650</v>
      </c>
      <c r="H384" s="1034">
        <f t="shared" si="21"/>
        <v>39000</v>
      </c>
      <c r="I384" s="9"/>
      <c r="J384" s="9"/>
    </row>
    <row r="385" spans="1:32" s="43" customFormat="1" ht="38.25">
      <c r="A385" s="642"/>
      <c r="B385" s="596">
        <f t="shared" si="22"/>
        <v>19</v>
      </c>
      <c r="C385" s="1029" t="s">
        <v>1688</v>
      </c>
      <c r="D385" s="1032" t="s">
        <v>1689</v>
      </c>
      <c r="E385" s="1033" t="s">
        <v>295</v>
      </c>
      <c r="F385" s="667">
        <v>24</v>
      </c>
      <c r="G385" s="1033">
        <v>550</v>
      </c>
      <c r="H385" s="1034">
        <f t="shared" si="21"/>
        <v>13200</v>
      </c>
      <c r="I385" s="9"/>
      <c r="J385" s="9"/>
    </row>
    <row r="386" spans="1:32" s="43" customFormat="1" ht="63.75">
      <c r="A386" s="642"/>
      <c r="B386" s="596">
        <f t="shared" si="22"/>
        <v>20</v>
      </c>
      <c r="C386" s="1032" t="s">
        <v>296</v>
      </c>
      <c r="D386" s="1032" t="s">
        <v>584</v>
      </c>
      <c r="E386" s="1033" t="s">
        <v>295</v>
      </c>
      <c r="F386" s="667">
        <v>100</v>
      </c>
      <c r="G386" s="1033">
        <v>380</v>
      </c>
      <c r="H386" s="1034">
        <f t="shared" si="21"/>
        <v>38000</v>
      </c>
      <c r="I386" s="9"/>
      <c r="J386" s="9"/>
    </row>
    <row r="387" spans="1:32" s="43" customFormat="1" ht="25.5">
      <c r="A387" s="642"/>
      <c r="B387" s="596">
        <f t="shared" si="22"/>
        <v>21</v>
      </c>
      <c r="C387" s="1032" t="s">
        <v>1690</v>
      </c>
      <c r="D387" s="1032" t="s">
        <v>1691</v>
      </c>
      <c r="E387" s="1033" t="s">
        <v>1508</v>
      </c>
      <c r="F387" s="667">
        <v>100</v>
      </c>
      <c r="G387" s="1033">
        <v>850</v>
      </c>
      <c r="H387" s="1034">
        <f t="shared" si="21"/>
        <v>85000</v>
      </c>
      <c r="I387" s="9"/>
      <c r="J387" s="9"/>
    </row>
    <row r="388" spans="1:32" s="43" customFormat="1" ht="25.5">
      <c r="A388" s="642"/>
      <c r="B388" s="596">
        <f t="shared" si="22"/>
        <v>22</v>
      </c>
      <c r="C388" s="1032" t="s">
        <v>1692</v>
      </c>
      <c r="D388" s="1032" t="s">
        <v>1693</v>
      </c>
      <c r="E388" s="1033" t="s">
        <v>1508</v>
      </c>
      <c r="F388" s="667">
        <v>50</v>
      </c>
      <c r="G388" s="1033">
        <v>1250</v>
      </c>
      <c r="H388" s="1034">
        <f t="shared" si="21"/>
        <v>62500</v>
      </c>
      <c r="I388" s="9"/>
      <c r="J388" s="9"/>
    </row>
    <row r="389" spans="1:32" s="43" customFormat="1" ht="25.5">
      <c r="A389" s="642"/>
      <c r="B389" s="596">
        <f t="shared" si="22"/>
        <v>23</v>
      </c>
      <c r="C389" s="1032" t="s">
        <v>1694</v>
      </c>
      <c r="D389" s="1032" t="s">
        <v>1695</v>
      </c>
      <c r="E389" s="1033" t="s">
        <v>1508</v>
      </c>
      <c r="F389" s="667">
        <v>107</v>
      </c>
      <c r="G389" s="1033">
        <v>2250</v>
      </c>
      <c r="H389" s="1034">
        <f t="shared" si="21"/>
        <v>240750</v>
      </c>
      <c r="I389" s="9"/>
      <c r="J389" s="9"/>
    </row>
    <row r="390" spans="1:32" s="43" customFormat="1" ht="25.5">
      <c r="A390" s="642"/>
      <c r="B390" s="596">
        <f t="shared" si="22"/>
        <v>24</v>
      </c>
      <c r="C390" s="1032" t="s">
        <v>1696</v>
      </c>
      <c r="D390" s="1032" t="s">
        <v>1697</v>
      </c>
      <c r="E390" s="1033" t="s">
        <v>1508</v>
      </c>
      <c r="F390" s="667">
        <v>60</v>
      </c>
      <c r="G390" s="1033">
        <v>1500</v>
      </c>
      <c r="H390" s="1034">
        <f t="shared" si="21"/>
        <v>90000</v>
      </c>
      <c r="I390" s="9"/>
      <c r="J390" s="9"/>
    </row>
    <row r="391" spans="1:32" s="43" customFormat="1" ht="25.5">
      <c r="A391" s="642"/>
      <c r="B391" s="596">
        <f t="shared" si="22"/>
        <v>25</v>
      </c>
      <c r="C391" s="1032" t="s">
        <v>1698</v>
      </c>
      <c r="D391" s="1032" t="s">
        <v>1699</v>
      </c>
      <c r="E391" s="1033" t="s">
        <v>1508</v>
      </c>
      <c r="F391" s="667">
        <v>10</v>
      </c>
      <c r="G391" s="1033">
        <v>1200</v>
      </c>
      <c r="H391" s="1034">
        <f t="shared" si="21"/>
        <v>12000</v>
      </c>
      <c r="I391" s="9"/>
      <c r="J391" s="9"/>
    </row>
    <row r="392" spans="1:32" s="43" customFormat="1" ht="25.5">
      <c r="A392" s="642"/>
      <c r="B392" s="596">
        <f t="shared" si="22"/>
        <v>26</v>
      </c>
      <c r="C392" s="1036" t="s">
        <v>1700</v>
      </c>
      <c r="D392" s="1036" t="s">
        <v>1701</v>
      </c>
      <c r="E392" s="1033" t="s">
        <v>1508</v>
      </c>
      <c r="F392" s="667">
        <v>10</v>
      </c>
      <c r="G392" s="1033">
        <v>450</v>
      </c>
      <c r="H392" s="1034">
        <f t="shared" si="21"/>
        <v>4500</v>
      </c>
      <c r="I392" s="9"/>
      <c r="J392" s="9"/>
    </row>
    <row r="393" spans="1:32" s="43" customFormat="1" ht="15">
      <c r="A393" s="642"/>
      <c r="B393" s="596">
        <f t="shared" si="22"/>
        <v>27</v>
      </c>
      <c r="C393" s="1029" t="s">
        <v>1702</v>
      </c>
      <c r="D393" s="1090" t="s">
        <v>1702</v>
      </c>
      <c r="E393" s="1033" t="s">
        <v>1508</v>
      </c>
      <c r="F393" s="667">
        <v>60</v>
      </c>
      <c r="G393" s="1033">
        <v>1450</v>
      </c>
      <c r="H393" s="1034">
        <f t="shared" si="21"/>
        <v>87000</v>
      </c>
      <c r="I393" s="9"/>
      <c r="J393" s="9"/>
    </row>
    <row r="394" spans="1:32" s="43" customFormat="1" ht="15">
      <c r="A394" s="642"/>
      <c r="B394" s="596">
        <f t="shared" si="22"/>
        <v>28</v>
      </c>
      <c r="C394" s="1029" t="s">
        <v>1703</v>
      </c>
      <c r="D394" s="1090" t="s">
        <v>1703</v>
      </c>
      <c r="E394" s="1033" t="s">
        <v>1508</v>
      </c>
      <c r="F394" s="667">
        <v>40</v>
      </c>
      <c r="G394" s="1033">
        <v>1260</v>
      </c>
      <c r="H394" s="1034">
        <f t="shared" si="21"/>
        <v>50400</v>
      </c>
      <c r="I394" s="9"/>
      <c r="J394" s="9"/>
    </row>
    <row r="395" spans="1:32" s="43" customFormat="1" ht="15">
      <c r="A395" s="642"/>
      <c r="B395" s="596">
        <f t="shared" si="22"/>
        <v>29</v>
      </c>
      <c r="C395" s="1029" t="s">
        <v>1704</v>
      </c>
      <c r="D395" s="1036" t="s">
        <v>1705</v>
      </c>
      <c r="E395" s="1033" t="s">
        <v>1508</v>
      </c>
      <c r="F395" s="667">
        <v>1</v>
      </c>
      <c r="G395" s="1033">
        <v>35000</v>
      </c>
      <c r="H395" s="1034">
        <f t="shared" si="21"/>
        <v>35000</v>
      </c>
      <c r="I395" s="9"/>
      <c r="J395" s="9"/>
    </row>
    <row r="396" spans="1:32" s="43" customFormat="1" ht="63.75">
      <c r="A396" s="642"/>
      <c r="B396" s="596">
        <f t="shared" si="22"/>
        <v>30</v>
      </c>
      <c r="C396" s="1032" t="s">
        <v>1706</v>
      </c>
      <c r="D396" s="1036" t="s">
        <v>1707</v>
      </c>
      <c r="E396" s="1033" t="s">
        <v>1508</v>
      </c>
      <c r="F396" s="667">
        <v>1</v>
      </c>
      <c r="G396" s="1033">
        <v>40000</v>
      </c>
      <c r="H396" s="1034">
        <f t="shared" si="21"/>
        <v>40000</v>
      </c>
      <c r="I396" s="9"/>
      <c r="J396" s="9"/>
    </row>
    <row r="397" spans="1:32" s="43" customFormat="1" ht="51">
      <c r="A397" s="642"/>
      <c r="B397" s="596">
        <f t="shared" si="22"/>
        <v>31</v>
      </c>
      <c r="C397" s="1029" t="s">
        <v>1708</v>
      </c>
      <c r="D397" s="1036" t="s">
        <v>606</v>
      </c>
      <c r="E397" s="1033" t="s">
        <v>295</v>
      </c>
      <c r="F397" s="667">
        <v>200</v>
      </c>
      <c r="G397" s="1033">
        <v>370</v>
      </c>
      <c r="H397" s="1034">
        <f t="shared" si="21"/>
        <v>74000</v>
      </c>
      <c r="I397" s="9"/>
      <c r="J397" s="9"/>
    </row>
    <row r="398" spans="1:32" s="43" customFormat="1" ht="15">
      <c r="A398" s="642"/>
      <c r="B398" s="596">
        <f t="shared" si="22"/>
        <v>32</v>
      </c>
      <c r="C398" s="1029" t="s">
        <v>1709</v>
      </c>
      <c r="D398" s="1090" t="s">
        <v>1709</v>
      </c>
      <c r="E398" s="1033" t="s">
        <v>295</v>
      </c>
      <c r="F398" s="667">
        <v>10</v>
      </c>
      <c r="G398" s="1033">
        <v>450</v>
      </c>
      <c r="H398" s="1034">
        <f t="shared" si="21"/>
        <v>4500</v>
      </c>
      <c r="I398" s="9"/>
      <c r="J398" s="9"/>
    </row>
    <row r="399" spans="1:32" s="101" customFormat="1" ht="25.5">
      <c r="A399" s="317"/>
      <c r="B399" s="606">
        <f t="shared" si="22"/>
        <v>33</v>
      </c>
      <c r="C399" s="1029" t="s">
        <v>1710</v>
      </c>
      <c r="D399" s="1032" t="s">
        <v>589</v>
      </c>
      <c r="E399" s="1033" t="s">
        <v>295</v>
      </c>
      <c r="F399" s="667">
        <v>100</v>
      </c>
      <c r="G399" s="1033">
        <v>230</v>
      </c>
      <c r="H399" s="1034">
        <f t="shared" si="21"/>
        <v>23000</v>
      </c>
      <c r="I399" s="105"/>
      <c r="J399" s="105"/>
      <c r="K399" s="60"/>
      <c r="L399" s="60"/>
      <c r="M399" s="60"/>
      <c r="N399" s="60"/>
      <c r="O399" s="60"/>
      <c r="P399" s="60"/>
      <c r="Q399" s="60"/>
      <c r="R399" s="60"/>
      <c r="S399" s="60"/>
      <c r="T399" s="60"/>
      <c r="U399" s="60"/>
      <c r="V399" s="60"/>
      <c r="W399" s="60"/>
      <c r="X399" s="60"/>
      <c r="Y399" s="60"/>
      <c r="Z399" s="60"/>
      <c r="AA399" s="60"/>
      <c r="AB399" s="60"/>
      <c r="AC399" s="60"/>
      <c r="AD399" s="60"/>
      <c r="AE399" s="60"/>
      <c r="AF399" s="60"/>
    </row>
    <row r="400" spans="1:32" s="101" customFormat="1" ht="25.5">
      <c r="A400" s="317"/>
      <c r="B400" s="606">
        <f t="shared" si="22"/>
        <v>34</v>
      </c>
      <c r="C400" s="1029" t="s">
        <v>1711</v>
      </c>
      <c r="D400" s="1032" t="s">
        <v>1712</v>
      </c>
      <c r="E400" s="1033" t="s">
        <v>1508</v>
      </c>
      <c r="F400" s="667">
        <v>50</v>
      </c>
      <c r="G400" s="1033">
        <v>1200</v>
      </c>
      <c r="H400" s="1034">
        <f t="shared" si="21"/>
        <v>60000</v>
      </c>
      <c r="I400" s="105"/>
      <c r="J400" s="105"/>
      <c r="K400" s="60"/>
      <c r="L400" s="60"/>
      <c r="M400" s="60"/>
      <c r="N400" s="60"/>
      <c r="O400" s="60"/>
      <c r="P400" s="60"/>
      <c r="Q400" s="60"/>
      <c r="R400" s="60"/>
      <c r="S400" s="60"/>
      <c r="T400" s="60"/>
      <c r="U400" s="60"/>
      <c r="V400" s="60"/>
      <c r="W400" s="60"/>
      <c r="X400" s="60"/>
      <c r="Y400" s="60"/>
      <c r="Z400" s="60"/>
      <c r="AA400" s="60"/>
      <c r="AB400" s="60"/>
      <c r="AC400" s="60"/>
      <c r="AD400" s="60"/>
      <c r="AE400" s="60"/>
      <c r="AF400" s="60"/>
    </row>
    <row r="401" spans="1:32" s="101" customFormat="1" ht="38.25">
      <c r="A401" s="317"/>
      <c r="B401" s="606">
        <f t="shared" si="22"/>
        <v>35</v>
      </c>
      <c r="C401" s="1029" t="s">
        <v>1713</v>
      </c>
      <c r="D401" s="1036" t="s">
        <v>1714</v>
      </c>
      <c r="E401" s="1033" t="s">
        <v>1508</v>
      </c>
      <c r="F401" s="667">
        <v>105</v>
      </c>
      <c r="G401" s="1033">
        <v>500</v>
      </c>
      <c r="H401" s="1034">
        <f t="shared" si="21"/>
        <v>52500</v>
      </c>
      <c r="I401" s="105"/>
      <c r="J401" s="105"/>
      <c r="K401" s="60"/>
      <c r="L401" s="60"/>
      <c r="M401" s="60"/>
      <c r="N401" s="60"/>
      <c r="O401" s="60"/>
      <c r="P401" s="60"/>
      <c r="Q401" s="60"/>
      <c r="R401" s="60"/>
      <c r="S401" s="60"/>
      <c r="T401" s="60"/>
      <c r="U401" s="60"/>
      <c r="V401" s="60"/>
      <c r="W401" s="60"/>
      <c r="X401" s="60"/>
      <c r="Y401" s="60"/>
      <c r="Z401" s="60"/>
      <c r="AA401" s="60"/>
      <c r="AB401" s="60"/>
      <c r="AC401" s="60"/>
      <c r="AD401" s="60"/>
      <c r="AE401" s="60"/>
      <c r="AF401" s="60"/>
    </row>
    <row r="402" spans="1:32" s="101" customFormat="1" ht="15">
      <c r="A402" s="317"/>
      <c r="B402" s="606">
        <f t="shared" si="22"/>
        <v>36</v>
      </c>
      <c r="C402" s="1029" t="s">
        <v>1715</v>
      </c>
      <c r="D402" s="1032" t="s">
        <v>1716</v>
      </c>
      <c r="E402" s="1033" t="s">
        <v>1508</v>
      </c>
      <c r="F402" s="667">
        <v>12</v>
      </c>
      <c r="G402" s="1033">
        <v>650</v>
      </c>
      <c r="H402" s="1034">
        <f t="shared" si="21"/>
        <v>7800</v>
      </c>
      <c r="I402" s="105"/>
      <c r="J402" s="105"/>
      <c r="K402" s="60"/>
      <c r="L402" s="60"/>
      <c r="M402" s="60"/>
      <c r="N402" s="60"/>
      <c r="O402" s="60"/>
      <c r="P402" s="60"/>
      <c r="Q402" s="60"/>
      <c r="R402" s="60"/>
      <c r="S402" s="60"/>
      <c r="T402" s="60"/>
      <c r="U402" s="60"/>
      <c r="V402" s="60"/>
      <c r="W402" s="60"/>
      <c r="X402" s="60"/>
      <c r="Y402" s="60"/>
      <c r="Z402" s="60"/>
      <c r="AA402" s="60"/>
      <c r="AB402" s="60"/>
      <c r="AC402" s="60"/>
      <c r="AD402" s="60"/>
      <c r="AE402" s="60"/>
      <c r="AF402" s="60"/>
    </row>
    <row r="403" spans="1:32" s="101" customFormat="1" ht="25.5">
      <c r="A403" s="317"/>
      <c r="B403" s="606">
        <f t="shared" si="22"/>
        <v>37</v>
      </c>
      <c r="C403" s="1032" t="s">
        <v>301</v>
      </c>
      <c r="D403" s="1036" t="s">
        <v>587</v>
      </c>
      <c r="E403" s="1033" t="s">
        <v>1508</v>
      </c>
      <c r="F403" s="667">
        <v>33</v>
      </c>
      <c r="G403" s="1033">
        <v>1300</v>
      </c>
      <c r="H403" s="1034">
        <f t="shared" si="21"/>
        <v>42900</v>
      </c>
      <c r="I403" s="105"/>
      <c r="J403" s="105"/>
      <c r="K403" s="60"/>
      <c r="L403" s="60"/>
      <c r="M403" s="60"/>
      <c r="N403" s="60"/>
      <c r="O403" s="60"/>
      <c r="P403" s="60"/>
      <c r="Q403" s="60"/>
      <c r="R403" s="60"/>
      <c r="S403" s="60"/>
      <c r="T403" s="60"/>
      <c r="U403" s="60"/>
      <c r="V403" s="60"/>
      <c r="W403" s="60"/>
      <c r="X403" s="60"/>
      <c r="Y403" s="60"/>
      <c r="Z403" s="60"/>
      <c r="AA403" s="60"/>
      <c r="AB403" s="60"/>
      <c r="AC403" s="60"/>
      <c r="AD403" s="60"/>
      <c r="AE403" s="60"/>
      <c r="AF403" s="60"/>
    </row>
    <row r="404" spans="1:32" s="101" customFormat="1" ht="25.5">
      <c r="A404" s="317"/>
      <c r="B404" s="606">
        <f t="shared" si="22"/>
        <v>38</v>
      </c>
      <c r="C404" s="1032" t="s">
        <v>1717</v>
      </c>
      <c r="D404" s="1036" t="s">
        <v>1718</v>
      </c>
      <c r="E404" s="1033" t="s">
        <v>1508</v>
      </c>
      <c r="F404" s="667">
        <v>50</v>
      </c>
      <c r="G404" s="1033">
        <v>1300</v>
      </c>
      <c r="H404" s="1034">
        <f t="shared" si="21"/>
        <v>65000</v>
      </c>
      <c r="I404" s="105"/>
      <c r="J404" s="105"/>
      <c r="K404" s="60"/>
      <c r="L404" s="60"/>
      <c r="M404" s="60"/>
      <c r="N404" s="60"/>
      <c r="O404" s="60"/>
      <c r="P404" s="60"/>
      <c r="Q404" s="60"/>
      <c r="R404" s="60"/>
      <c r="S404" s="60"/>
      <c r="T404" s="60"/>
      <c r="U404" s="60"/>
      <c r="V404" s="60"/>
      <c r="W404" s="60"/>
      <c r="X404" s="60"/>
      <c r="Y404" s="60"/>
      <c r="Z404" s="60"/>
      <c r="AA404" s="60"/>
      <c r="AB404" s="60"/>
      <c r="AC404" s="60"/>
      <c r="AD404" s="60"/>
      <c r="AE404" s="60"/>
      <c r="AF404" s="60"/>
    </row>
    <row r="405" spans="1:32" s="101" customFormat="1" ht="25.5">
      <c r="A405" s="317"/>
      <c r="B405" s="606">
        <f t="shared" si="22"/>
        <v>39</v>
      </c>
      <c r="C405" s="1032" t="s">
        <v>602</v>
      </c>
      <c r="D405" s="1036" t="s">
        <v>603</v>
      </c>
      <c r="E405" s="1033" t="s">
        <v>1508</v>
      </c>
      <c r="F405" s="667">
        <v>50</v>
      </c>
      <c r="G405" s="1033">
        <v>984</v>
      </c>
      <c r="H405" s="1034">
        <f t="shared" si="21"/>
        <v>49200</v>
      </c>
      <c r="I405" s="105"/>
      <c r="J405" s="105"/>
      <c r="K405" s="60"/>
      <c r="L405" s="60"/>
      <c r="M405" s="60"/>
      <c r="N405" s="60"/>
      <c r="O405" s="60"/>
      <c r="P405" s="60"/>
      <c r="Q405" s="60"/>
      <c r="R405" s="60"/>
      <c r="S405" s="60"/>
      <c r="T405" s="60"/>
      <c r="U405" s="60"/>
      <c r="V405" s="60"/>
      <c r="W405" s="60"/>
      <c r="X405" s="60"/>
      <c r="Y405" s="60"/>
      <c r="Z405" s="60"/>
      <c r="AA405" s="60"/>
      <c r="AB405" s="60"/>
      <c r="AC405" s="60"/>
      <c r="AD405" s="60"/>
      <c r="AE405" s="60"/>
      <c r="AF405" s="60"/>
    </row>
    <row r="406" spans="1:32" s="101" customFormat="1" ht="25.5">
      <c r="A406" s="317"/>
      <c r="B406" s="606">
        <f t="shared" si="22"/>
        <v>40</v>
      </c>
      <c r="C406" s="1032" t="s">
        <v>601</v>
      </c>
      <c r="D406" s="1036" t="s">
        <v>588</v>
      </c>
      <c r="E406" s="1033" t="s">
        <v>1508</v>
      </c>
      <c r="F406" s="667">
        <v>50</v>
      </c>
      <c r="G406" s="1033">
        <v>984</v>
      </c>
      <c r="H406" s="1034">
        <f t="shared" si="21"/>
        <v>49200</v>
      </c>
      <c r="I406" s="105"/>
      <c r="J406" s="105"/>
      <c r="K406" s="60"/>
      <c r="L406" s="60"/>
      <c r="M406" s="60"/>
      <c r="N406" s="60"/>
      <c r="O406" s="60"/>
      <c r="P406" s="60"/>
      <c r="Q406" s="60"/>
      <c r="R406" s="60"/>
      <c r="S406" s="60"/>
      <c r="T406" s="60"/>
      <c r="U406" s="60"/>
      <c r="V406" s="60"/>
      <c r="W406" s="60"/>
      <c r="X406" s="60"/>
      <c r="Y406" s="60"/>
      <c r="Z406" s="60"/>
      <c r="AA406" s="60"/>
      <c r="AB406" s="60"/>
      <c r="AC406" s="60"/>
      <c r="AD406" s="60"/>
      <c r="AE406" s="60"/>
      <c r="AF406" s="60"/>
    </row>
    <row r="407" spans="1:32" s="101" customFormat="1" ht="25.5">
      <c r="A407" s="317"/>
      <c r="B407" s="606">
        <f t="shared" si="22"/>
        <v>41</v>
      </c>
      <c r="C407" s="1029" t="s">
        <v>1719</v>
      </c>
      <c r="D407" s="1033" t="s">
        <v>1720</v>
      </c>
      <c r="E407" s="1033" t="s">
        <v>1508</v>
      </c>
      <c r="F407" s="667">
        <v>60</v>
      </c>
      <c r="G407" s="1033">
        <v>1600</v>
      </c>
      <c r="H407" s="1034">
        <f t="shared" si="21"/>
        <v>96000</v>
      </c>
      <c r="I407" s="105"/>
      <c r="J407" s="105"/>
      <c r="K407" s="60"/>
      <c r="L407" s="60"/>
      <c r="M407" s="60"/>
      <c r="N407" s="60"/>
      <c r="O407" s="60"/>
      <c r="P407" s="60"/>
      <c r="Q407" s="60"/>
      <c r="R407" s="60"/>
      <c r="S407" s="60"/>
      <c r="T407" s="60"/>
      <c r="U407" s="60"/>
      <c r="V407" s="60"/>
      <c r="W407" s="60"/>
      <c r="X407" s="60"/>
      <c r="Y407" s="60"/>
      <c r="Z407" s="60"/>
      <c r="AA407" s="60"/>
      <c r="AB407" s="60"/>
      <c r="AC407" s="60"/>
      <c r="AD407" s="60"/>
      <c r="AE407" s="60"/>
      <c r="AF407" s="60"/>
    </row>
    <row r="408" spans="1:32" s="101" customFormat="1" ht="25.5">
      <c r="A408" s="317"/>
      <c r="B408" s="606">
        <f t="shared" si="22"/>
        <v>42</v>
      </c>
      <c r="C408" s="1029" t="s">
        <v>1721</v>
      </c>
      <c r="D408" s="1033" t="s">
        <v>1722</v>
      </c>
      <c r="E408" s="1033" t="s">
        <v>1508</v>
      </c>
      <c r="F408" s="667">
        <v>40</v>
      </c>
      <c r="G408" s="1033">
        <v>500</v>
      </c>
      <c r="H408" s="1034">
        <f t="shared" si="21"/>
        <v>20000</v>
      </c>
      <c r="I408" s="105"/>
      <c r="J408" s="105"/>
      <c r="K408" s="60"/>
      <c r="L408" s="60"/>
      <c r="M408" s="60"/>
      <c r="N408" s="60"/>
      <c r="O408" s="60"/>
      <c r="P408" s="60"/>
      <c r="Q408" s="60"/>
      <c r="R408" s="60"/>
      <c r="S408" s="60"/>
      <c r="T408" s="60"/>
      <c r="U408" s="60"/>
      <c r="V408" s="60"/>
      <c r="W408" s="60"/>
      <c r="X408" s="60"/>
      <c r="Y408" s="60"/>
      <c r="Z408" s="60"/>
      <c r="AA408" s="60"/>
      <c r="AB408" s="60"/>
      <c r="AC408" s="60"/>
      <c r="AD408" s="60"/>
      <c r="AE408" s="60"/>
      <c r="AF408" s="60"/>
    </row>
    <row r="409" spans="1:32" s="101" customFormat="1" ht="38.25">
      <c r="A409" s="317"/>
      <c r="B409" s="606">
        <f t="shared" si="22"/>
        <v>43</v>
      </c>
      <c r="C409" s="1032" t="s">
        <v>1811</v>
      </c>
      <c r="D409" s="1033" t="s">
        <v>1723</v>
      </c>
      <c r="E409" s="1033" t="s">
        <v>295</v>
      </c>
      <c r="F409" s="667">
        <v>40</v>
      </c>
      <c r="G409" s="1033">
        <v>2300</v>
      </c>
      <c r="H409" s="1034">
        <f t="shared" si="21"/>
        <v>92000</v>
      </c>
      <c r="I409" s="105"/>
      <c r="J409" s="105"/>
      <c r="K409" s="60"/>
      <c r="L409" s="60"/>
      <c r="M409" s="60"/>
      <c r="N409" s="60"/>
      <c r="O409" s="60"/>
      <c r="P409" s="60"/>
      <c r="Q409" s="60"/>
      <c r="R409" s="60"/>
      <c r="S409" s="60"/>
      <c r="T409" s="60"/>
      <c r="U409" s="60"/>
      <c r="V409" s="60"/>
      <c r="W409" s="60"/>
      <c r="X409" s="60"/>
      <c r="Y409" s="60"/>
      <c r="Z409" s="60"/>
      <c r="AA409" s="60"/>
      <c r="AB409" s="60"/>
      <c r="AC409" s="60"/>
      <c r="AD409" s="60"/>
      <c r="AE409" s="60"/>
      <c r="AF409" s="60"/>
    </row>
    <row r="410" spans="1:32" s="101" customFormat="1" ht="25.5">
      <c r="A410" s="317"/>
      <c r="B410" s="606">
        <f t="shared" si="22"/>
        <v>44</v>
      </c>
      <c r="C410" s="1032" t="s">
        <v>1724</v>
      </c>
      <c r="D410" s="1032" t="s">
        <v>1724</v>
      </c>
      <c r="E410" s="1033" t="s">
        <v>295</v>
      </c>
      <c r="F410" s="667">
        <v>4</v>
      </c>
      <c r="G410" s="1033">
        <v>3500</v>
      </c>
      <c r="H410" s="1034">
        <f t="shared" si="21"/>
        <v>14000</v>
      </c>
      <c r="I410" s="105"/>
      <c r="J410" s="105"/>
      <c r="K410" s="60"/>
      <c r="L410" s="60"/>
      <c r="M410" s="60"/>
      <c r="N410" s="60"/>
      <c r="O410" s="60"/>
      <c r="P410" s="60"/>
      <c r="Q410" s="60"/>
      <c r="R410" s="60"/>
      <c r="S410" s="60"/>
      <c r="T410" s="60"/>
      <c r="U410" s="60"/>
      <c r="V410" s="60"/>
      <c r="W410" s="60"/>
      <c r="X410" s="60"/>
      <c r="Y410" s="60"/>
      <c r="Z410" s="60"/>
      <c r="AA410" s="60"/>
      <c r="AB410" s="60"/>
      <c r="AC410" s="60"/>
      <c r="AD410" s="60"/>
      <c r="AE410" s="60"/>
      <c r="AF410" s="60"/>
    </row>
    <row r="411" spans="1:32" s="101" customFormat="1" ht="15">
      <c r="A411" s="317"/>
      <c r="B411" s="606">
        <f t="shared" si="22"/>
        <v>45</v>
      </c>
      <c r="C411" s="1029" t="s">
        <v>1725</v>
      </c>
      <c r="D411" s="1032" t="s">
        <v>1726</v>
      </c>
      <c r="E411" s="1033" t="s">
        <v>1508</v>
      </c>
      <c r="F411" s="667">
        <v>50</v>
      </c>
      <c r="G411" s="1033">
        <v>300</v>
      </c>
      <c r="H411" s="1034">
        <f t="shared" si="21"/>
        <v>15000</v>
      </c>
      <c r="I411" s="105"/>
      <c r="J411" s="105"/>
      <c r="K411" s="60"/>
      <c r="L411" s="60"/>
      <c r="M411" s="60"/>
      <c r="N411" s="60"/>
      <c r="O411" s="60"/>
      <c r="P411" s="60"/>
      <c r="Q411" s="60"/>
      <c r="R411" s="60"/>
      <c r="S411" s="60"/>
      <c r="T411" s="60"/>
      <c r="U411" s="60"/>
      <c r="V411" s="60"/>
      <c r="W411" s="60"/>
      <c r="X411" s="60"/>
      <c r="Y411" s="60"/>
      <c r="Z411" s="60"/>
      <c r="AA411" s="60"/>
      <c r="AB411" s="60"/>
      <c r="AC411" s="60"/>
      <c r="AD411" s="60"/>
      <c r="AE411" s="60"/>
      <c r="AF411" s="60"/>
    </row>
    <row r="412" spans="1:32" s="101" customFormat="1" ht="25.5">
      <c r="A412" s="317"/>
      <c r="B412" s="606">
        <f t="shared" si="22"/>
        <v>46</v>
      </c>
      <c r="C412" s="1032" t="s">
        <v>1727</v>
      </c>
      <c r="D412" s="1033" t="s">
        <v>1728</v>
      </c>
      <c r="E412" s="1033" t="s">
        <v>1508</v>
      </c>
      <c r="F412" s="667">
        <v>172</v>
      </c>
      <c r="G412" s="1033">
        <v>1450</v>
      </c>
      <c r="H412" s="1034">
        <f t="shared" si="21"/>
        <v>249400</v>
      </c>
      <c r="I412" s="105"/>
      <c r="J412" s="105"/>
      <c r="K412" s="60"/>
      <c r="L412" s="60"/>
      <c r="M412" s="60"/>
      <c r="N412" s="60"/>
      <c r="O412" s="60"/>
      <c r="P412" s="60"/>
      <c r="Q412" s="60"/>
      <c r="R412" s="60"/>
      <c r="S412" s="60"/>
      <c r="T412" s="60"/>
      <c r="U412" s="60"/>
      <c r="V412" s="60"/>
      <c r="W412" s="60"/>
      <c r="X412" s="60"/>
      <c r="Y412" s="60"/>
      <c r="Z412" s="60"/>
      <c r="AA412" s="60"/>
      <c r="AB412" s="60"/>
      <c r="AC412" s="60"/>
      <c r="AD412" s="60"/>
      <c r="AE412" s="60"/>
      <c r="AF412" s="60"/>
    </row>
    <row r="413" spans="1:32" s="101" customFormat="1" ht="63.75">
      <c r="A413" s="317"/>
      <c r="B413" s="606">
        <f t="shared" si="22"/>
        <v>47</v>
      </c>
      <c r="C413" s="1032" t="s">
        <v>1729</v>
      </c>
      <c r="D413" s="1032" t="s">
        <v>1730</v>
      </c>
      <c r="E413" s="1033" t="s">
        <v>1508</v>
      </c>
      <c r="F413" s="667">
        <v>35</v>
      </c>
      <c r="G413" s="1033">
        <v>2500</v>
      </c>
      <c r="H413" s="1034">
        <f t="shared" si="21"/>
        <v>87500</v>
      </c>
      <c r="I413" s="105"/>
      <c r="J413" s="105"/>
      <c r="K413" s="60"/>
      <c r="L413" s="60"/>
      <c r="M413" s="60"/>
      <c r="N413" s="60"/>
      <c r="O413" s="60"/>
      <c r="P413" s="60"/>
      <c r="Q413" s="60"/>
      <c r="R413" s="60"/>
      <c r="S413" s="60"/>
      <c r="T413" s="60"/>
      <c r="U413" s="60"/>
      <c r="V413" s="60"/>
      <c r="W413" s="60"/>
      <c r="X413" s="60"/>
      <c r="Y413" s="60"/>
      <c r="Z413" s="60"/>
      <c r="AA413" s="60"/>
      <c r="AB413" s="60"/>
      <c r="AC413" s="60"/>
      <c r="AD413" s="60"/>
      <c r="AE413" s="60"/>
      <c r="AF413" s="60"/>
    </row>
    <row r="414" spans="1:32" s="101" customFormat="1" ht="63.75">
      <c r="A414" s="317"/>
      <c r="B414" s="606">
        <f t="shared" si="22"/>
        <v>48</v>
      </c>
      <c r="C414" s="1032" t="s">
        <v>1731</v>
      </c>
      <c r="D414" s="1032" t="s">
        <v>1732</v>
      </c>
      <c r="E414" s="1033" t="s">
        <v>1508</v>
      </c>
      <c r="F414" s="667">
        <v>50</v>
      </c>
      <c r="G414" s="1033">
        <v>2000</v>
      </c>
      <c r="H414" s="1034">
        <f t="shared" si="21"/>
        <v>100000</v>
      </c>
      <c r="I414" s="105"/>
      <c r="J414" s="105"/>
      <c r="K414" s="60"/>
      <c r="L414" s="60"/>
      <c r="M414" s="60"/>
      <c r="N414" s="60"/>
      <c r="O414" s="60"/>
      <c r="P414" s="60"/>
      <c r="Q414" s="60"/>
      <c r="R414" s="60"/>
      <c r="S414" s="60"/>
      <c r="T414" s="60"/>
      <c r="U414" s="60"/>
      <c r="V414" s="60"/>
      <c r="W414" s="60"/>
      <c r="X414" s="60"/>
      <c r="Y414" s="60"/>
      <c r="Z414" s="60"/>
      <c r="AA414" s="60"/>
      <c r="AB414" s="60"/>
      <c r="AC414" s="60"/>
      <c r="AD414" s="60"/>
      <c r="AE414" s="60"/>
      <c r="AF414" s="60"/>
    </row>
    <row r="415" spans="1:32" s="101" customFormat="1" ht="38.25">
      <c r="A415" s="317"/>
      <c r="B415" s="606">
        <f t="shared" si="22"/>
        <v>49</v>
      </c>
      <c r="C415" s="1032" t="s">
        <v>1733</v>
      </c>
      <c r="D415" s="1036" t="s">
        <v>1734</v>
      </c>
      <c r="E415" s="1033" t="s">
        <v>1508</v>
      </c>
      <c r="F415" s="667">
        <v>30</v>
      </c>
      <c r="G415" s="1033">
        <v>3500</v>
      </c>
      <c r="H415" s="1034">
        <f t="shared" si="21"/>
        <v>105000</v>
      </c>
      <c r="I415" s="105"/>
      <c r="J415" s="105"/>
      <c r="K415" s="60"/>
      <c r="L415" s="60"/>
      <c r="M415" s="60"/>
      <c r="N415" s="60"/>
      <c r="O415" s="60"/>
      <c r="P415" s="60"/>
      <c r="Q415" s="60"/>
      <c r="R415" s="60"/>
      <c r="S415" s="60"/>
      <c r="T415" s="60"/>
      <c r="U415" s="60"/>
      <c r="V415" s="60"/>
      <c r="W415" s="60"/>
      <c r="X415" s="60"/>
      <c r="Y415" s="60"/>
      <c r="Z415" s="60"/>
      <c r="AA415" s="60"/>
      <c r="AB415" s="60"/>
      <c r="AC415" s="60"/>
      <c r="AD415" s="60"/>
      <c r="AE415" s="60"/>
      <c r="AF415" s="60"/>
    </row>
    <row r="416" spans="1:32" s="101" customFormat="1" ht="51">
      <c r="A416" s="317"/>
      <c r="B416" s="606">
        <f t="shared" si="22"/>
        <v>50</v>
      </c>
      <c r="C416" s="1029" t="s">
        <v>1735</v>
      </c>
      <c r="D416" s="1036" t="s">
        <v>1736</v>
      </c>
      <c r="E416" s="1033" t="s">
        <v>1508</v>
      </c>
      <c r="F416" s="667">
        <v>30</v>
      </c>
      <c r="G416" s="1033">
        <v>3200</v>
      </c>
      <c r="H416" s="1034">
        <f t="shared" si="21"/>
        <v>96000</v>
      </c>
      <c r="I416" s="105"/>
      <c r="J416" s="105"/>
      <c r="K416" s="60"/>
      <c r="L416" s="60"/>
      <c r="M416" s="60"/>
      <c r="N416" s="60"/>
      <c r="O416" s="60"/>
      <c r="P416" s="60"/>
      <c r="Q416" s="60"/>
      <c r="R416" s="60"/>
      <c r="S416" s="60"/>
      <c r="T416" s="60"/>
      <c r="U416" s="60"/>
      <c r="V416" s="60"/>
      <c r="W416" s="60"/>
      <c r="X416" s="60"/>
      <c r="Y416" s="60"/>
      <c r="Z416" s="60"/>
      <c r="AA416" s="60"/>
      <c r="AB416" s="60"/>
      <c r="AC416" s="60"/>
      <c r="AD416" s="60"/>
      <c r="AE416" s="60"/>
      <c r="AF416" s="60"/>
    </row>
    <row r="417" spans="1:32" s="101" customFormat="1" ht="38.25">
      <c r="A417" s="317"/>
      <c r="B417" s="606">
        <f t="shared" si="22"/>
        <v>51</v>
      </c>
      <c r="C417" s="1032" t="s">
        <v>1737</v>
      </c>
      <c r="D417" s="1032" t="s">
        <v>1738</v>
      </c>
      <c r="E417" s="1033" t="s">
        <v>1508</v>
      </c>
      <c r="F417" s="667">
        <v>114</v>
      </c>
      <c r="G417" s="1033">
        <v>320</v>
      </c>
      <c r="H417" s="1034">
        <f t="shared" si="21"/>
        <v>36480</v>
      </c>
      <c r="I417" s="105"/>
      <c r="J417" s="105"/>
      <c r="K417" s="60"/>
      <c r="L417" s="60"/>
      <c r="M417" s="60"/>
      <c r="N417" s="60"/>
      <c r="O417" s="60"/>
      <c r="P417" s="60"/>
      <c r="Q417" s="60"/>
      <c r="R417" s="60"/>
      <c r="S417" s="60"/>
      <c r="T417" s="60"/>
      <c r="U417" s="60"/>
      <c r="V417" s="60"/>
      <c r="W417" s="60"/>
      <c r="X417" s="60"/>
      <c r="Y417" s="60"/>
      <c r="Z417" s="60"/>
      <c r="AA417" s="60"/>
      <c r="AB417" s="60"/>
      <c r="AC417" s="60"/>
      <c r="AD417" s="60"/>
      <c r="AE417" s="60"/>
      <c r="AF417" s="60"/>
    </row>
    <row r="418" spans="1:32" s="101" customFormat="1" ht="38.25">
      <c r="A418" s="317"/>
      <c r="B418" s="606">
        <f t="shared" si="22"/>
        <v>52</v>
      </c>
      <c r="C418" s="1032" t="s">
        <v>2437</v>
      </c>
      <c r="D418" s="1032" t="s">
        <v>2438</v>
      </c>
      <c r="E418" s="1033" t="s">
        <v>1508</v>
      </c>
      <c r="F418" s="667">
        <v>50</v>
      </c>
      <c r="G418" s="1033">
        <v>3500</v>
      </c>
      <c r="H418" s="1034">
        <f t="shared" si="21"/>
        <v>175000</v>
      </c>
      <c r="I418" s="105"/>
      <c r="J418" s="105"/>
      <c r="K418" s="60"/>
      <c r="L418" s="60"/>
      <c r="M418" s="60"/>
      <c r="N418" s="60"/>
      <c r="O418" s="60"/>
      <c r="P418" s="60"/>
      <c r="Q418" s="60"/>
      <c r="R418" s="60"/>
      <c r="S418" s="60"/>
      <c r="T418" s="60"/>
      <c r="U418" s="60"/>
      <c r="V418" s="60"/>
      <c r="W418" s="60"/>
      <c r="X418" s="60"/>
      <c r="Y418" s="60"/>
      <c r="Z418" s="60"/>
      <c r="AA418" s="60"/>
      <c r="AB418" s="60"/>
      <c r="AC418" s="60"/>
      <c r="AD418" s="60"/>
      <c r="AE418" s="60"/>
      <c r="AF418" s="60"/>
    </row>
    <row r="419" spans="1:32" s="101" customFormat="1" ht="38.25">
      <c r="A419" s="317"/>
      <c r="B419" s="606">
        <f t="shared" si="22"/>
        <v>53</v>
      </c>
      <c r="C419" s="1029" t="s">
        <v>1739</v>
      </c>
      <c r="D419" s="1032" t="s">
        <v>1740</v>
      </c>
      <c r="E419" s="1033" t="s">
        <v>295</v>
      </c>
      <c r="F419" s="667">
        <v>20</v>
      </c>
      <c r="G419" s="1033">
        <v>520</v>
      </c>
      <c r="H419" s="1034">
        <f t="shared" si="21"/>
        <v>10400</v>
      </c>
      <c r="I419" s="105"/>
      <c r="J419" s="105"/>
      <c r="K419" s="60"/>
      <c r="L419" s="60"/>
      <c r="M419" s="60"/>
      <c r="N419" s="60"/>
      <c r="O419" s="60"/>
      <c r="P419" s="60"/>
      <c r="Q419" s="60"/>
      <c r="R419" s="60"/>
      <c r="S419" s="60"/>
      <c r="T419" s="60"/>
      <c r="U419" s="60"/>
      <c r="V419" s="60"/>
      <c r="W419" s="60"/>
      <c r="X419" s="60"/>
      <c r="Y419" s="60"/>
      <c r="Z419" s="60"/>
      <c r="AA419" s="60"/>
      <c r="AB419" s="60"/>
      <c r="AC419" s="60"/>
      <c r="AD419" s="60"/>
      <c r="AE419" s="60"/>
      <c r="AF419" s="60"/>
    </row>
    <row r="420" spans="1:32" s="101" customFormat="1" ht="25.5">
      <c r="A420" s="317"/>
      <c r="B420" s="606">
        <f t="shared" si="22"/>
        <v>54</v>
      </c>
      <c r="C420" s="1029" t="s">
        <v>1741</v>
      </c>
      <c r="D420" s="1032" t="s">
        <v>1742</v>
      </c>
      <c r="E420" s="1033" t="s">
        <v>295</v>
      </c>
      <c r="F420" s="667">
        <v>30</v>
      </c>
      <c r="G420" s="1033">
        <v>295</v>
      </c>
      <c r="H420" s="1034">
        <f t="shared" si="21"/>
        <v>8850</v>
      </c>
      <c r="I420" s="105"/>
      <c r="J420" s="105"/>
      <c r="K420" s="60"/>
      <c r="L420" s="60"/>
      <c r="M420" s="60"/>
      <c r="N420" s="60"/>
      <c r="O420" s="60"/>
      <c r="P420" s="60"/>
      <c r="Q420" s="60"/>
      <c r="R420" s="60"/>
      <c r="S420" s="60"/>
      <c r="T420" s="60"/>
      <c r="U420" s="60"/>
      <c r="V420" s="60"/>
      <c r="W420" s="60"/>
      <c r="X420" s="60"/>
      <c r="Y420" s="60"/>
      <c r="Z420" s="60"/>
      <c r="AA420" s="60"/>
      <c r="AB420" s="60"/>
      <c r="AC420" s="60"/>
      <c r="AD420" s="60"/>
      <c r="AE420" s="60"/>
      <c r="AF420" s="60"/>
    </row>
    <row r="421" spans="1:32" s="101" customFormat="1" ht="25.5">
      <c r="A421" s="317"/>
      <c r="B421" s="606">
        <f t="shared" si="22"/>
        <v>55</v>
      </c>
      <c r="C421" s="1029" t="s">
        <v>1743</v>
      </c>
      <c r="D421" s="1032" t="s">
        <v>1744</v>
      </c>
      <c r="E421" s="1033" t="s">
        <v>295</v>
      </c>
      <c r="F421" s="667">
        <v>4</v>
      </c>
      <c r="G421" s="1033">
        <v>1850</v>
      </c>
      <c r="H421" s="1034">
        <f t="shared" si="21"/>
        <v>7400</v>
      </c>
      <c r="I421" s="105"/>
      <c r="J421" s="105"/>
      <c r="K421" s="60"/>
      <c r="L421" s="60"/>
      <c r="M421" s="60"/>
      <c r="N421" s="60"/>
      <c r="O421" s="60"/>
      <c r="P421" s="60"/>
      <c r="Q421" s="60"/>
      <c r="R421" s="60"/>
      <c r="S421" s="60"/>
      <c r="T421" s="60"/>
      <c r="U421" s="60"/>
      <c r="V421" s="60"/>
      <c r="W421" s="60"/>
      <c r="X421" s="60"/>
      <c r="Y421" s="60"/>
      <c r="Z421" s="60"/>
      <c r="AA421" s="60"/>
      <c r="AB421" s="60"/>
      <c r="AC421" s="60"/>
      <c r="AD421" s="60"/>
      <c r="AE421" s="60"/>
      <c r="AF421" s="60"/>
    </row>
    <row r="422" spans="1:32" s="101" customFormat="1" ht="25.5">
      <c r="A422" s="317"/>
      <c r="B422" s="606">
        <f t="shared" si="22"/>
        <v>56</v>
      </c>
      <c r="C422" s="1064" t="s">
        <v>1745</v>
      </c>
      <c r="D422" s="1064" t="s">
        <v>1746</v>
      </c>
      <c r="E422" s="606" t="s">
        <v>295</v>
      </c>
      <c r="F422" s="639">
        <v>4</v>
      </c>
      <c r="G422" s="596">
        <v>1000</v>
      </c>
      <c r="H422" s="319">
        <f t="shared" si="21"/>
        <v>4000</v>
      </c>
      <c r="I422" s="105"/>
      <c r="J422" s="105"/>
      <c r="K422" s="60"/>
      <c r="L422" s="60"/>
      <c r="M422" s="60"/>
      <c r="N422" s="60"/>
      <c r="O422" s="60"/>
      <c r="P422" s="60"/>
      <c r="Q422" s="60"/>
      <c r="R422" s="60"/>
      <c r="S422" s="60"/>
      <c r="T422" s="60"/>
      <c r="U422" s="60"/>
      <c r="V422" s="60"/>
      <c r="W422" s="60"/>
      <c r="X422" s="60"/>
      <c r="Y422" s="60"/>
      <c r="Z422" s="60"/>
      <c r="AA422" s="60"/>
      <c r="AB422" s="60"/>
      <c r="AC422" s="60"/>
      <c r="AD422" s="60"/>
      <c r="AE422" s="60"/>
      <c r="AF422" s="60"/>
    </row>
    <row r="423" spans="1:32" s="101" customFormat="1" ht="25.5">
      <c r="A423" s="317"/>
      <c r="B423" s="606">
        <f t="shared" si="22"/>
        <v>57</v>
      </c>
      <c r="C423" s="1064" t="s">
        <v>1747</v>
      </c>
      <c r="D423" s="1064" t="s">
        <v>1748</v>
      </c>
      <c r="E423" s="606" t="s">
        <v>295</v>
      </c>
      <c r="F423" s="639">
        <v>6</v>
      </c>
      <c r="G423" s="596">
        <v>950</v>
      </c>
      <c r="H423" s="319">
        <f t="shared" si="21"/>
        <v>5700</v>
      </c>
      <c r="I423" s="105"/>
      <c r="J423" s="105"/>
      <c r="K423" s="60"/>
      <c r="L423" s="60"/>
      <c r="M423" s="60"/>
      <c r="N423" s="60"/>
      <c r="O423" s="60"/>
      <c r="P423" s="60"/>
      <c r="Q423" s="60"/>
      <c r="R423" s="60"/>
      <c r="S423" s="60"/>
      <c r="T423" s="60"/>
      <c r="U423" s="60"/>
      <c r="V423" s="60"/>
      <c r="W423" s="60"/>
      <c r="X423" s="60"/>
      <c r="Y423" s="60"/>
      <c r="Z423" s="60"/>
      <c r="AA423" s="60"/>
      <c r="AB423" s="60"/>
      <c r="AC423" s="60"/>
      <c r="AD423" s="60"/>
      <c r="AE423" s="60"/>
      <c r="AF423" s="60"/>
    </row>
    <row r="424" spans="1:32" s="101" customFormat="1" ht="18.75" customHeight="1">
      <c r="A424" s="317"/>
      <c r="B424" s="606">
        <f t="shared" si="22"/>
        <v>58</v>
      </c>
      <c r="C424" s="640" t="s">
        <v>1749</v>
      </c>
      <c r="D424" s="1064" t="s">
        <v>1749</v>
      </c>
      <c r="E424" s="606" t="s">
        <v>295</v>
      </c>
      <c r="F424" s="639">
        <v>5</v>
      </c>
      <c r="G424" s="596">
        <v>300</v>
      </c>
      <c r="H424" s="319">
        <f t="shared" si="21"/>
        <v>1500</v>
      </c>
      <c r="I424" s="105"/>
      <c r="J424" s="105"/>
      <c r="K424" s="60"/>
      <c r="L424" s="60"/>
      <c r="M424" s="60"/>
      <c r="N424" s="60"/>
      <c r="O424" s="60"/>
      <c r="P424" s="60"/>
      <c r="Q424" s="60"/>
      <c r="R424" s="60"/>
      <c r="S424" s="60"/>
      <c r="T424" s="60"/>
      <c r="U424" s="60"/>
      <c r="V424" s="60"/>
      <c r="W424" s="60"/>
      <c r="X424" s="60"/>
      <c r="Y424" s="60"/>
      <c r="Z424" s="60"/>
      <c r="AA424" s="60"/>
      <c r="AB424" s="60"/>
      <c r="AC424" s="60"/>
      <c r="AD424" s="60"/>
      <c r="AE424" s="60"/>
      <c r="AF424" s="60"/>
    </row>
    <row r="425" spans="1:32" s="101" customFormat="1" ht="63.75">
      <c r="A425" s="317"/>
      <c r="B425" s="606">
        <f t="shared" si="22"/>
        <v>59</v>
      </c>
      <c r="C425" s="640" t="s">
        <v>1750</v>
      </c>
      <c r="D425" s="610" t="s">
        <v>1751</v>
      </c>
      <c r="E425" s="606" t="s">
        <v>1508</v>
      </c>
      <c r="F425" s="639">
        <v>15</v>
      </c>
      <c r="G425" s="596">
        <v>3720</v>
      </c>
      <c r="H425" s="319">
        <f t="shared" si="21"/>
        <v>55800</v>
      </c>
      <c r="I425" s="105"/>
      <c r="J425" s="105"/>
      <c r="K425" s="60"/>
      <c r="L425" s="60"/>
      <c r="M425" s="60"/>
      <c r="N425" s="60"/>
      <c r="O425" s="60"/>
      <c r="P425" s="60"/>
      <c r="Q425" s="60"/>
      <c r="R425" s="60"/>
      <c r="S425" s="60"/>
      <c r="T425" s="60"/>
      <c r="U425" s="60"/>
      <c r="V425" s="60"/>
      <c r="W425" s="60"/>
      <c r="X425" s="60"/>
      <c r="Y425" s="60"/>
      <c r="Z425" s="60"/>
      <c r="AA425" s="60"/>
      <c r="AB425" s="60"/>
      <c r="AC425" s="60"/>
      <c r="AD425" s="60"/>
      <c r="AE425" s="60"/>
      <c r="AF425" s="60"/>
    </row>
    <row r="426" spans="1:32" s="101" customFormat="1" ht="23.25" customHeight="1">
      <c r="A426" s="317"/>
      <c r="B426" s="606">
        <f t="shared" si="22"/>
        <v>60</v>
      </c>
      <c r="C426" s="641" t="s">
        <v>1752</v>
      </c>
      <c r="D426" s="641" t="s">
        <v>1753</v>
      </c>
      <c r="E426" s="606" t="s">
        <v>1508</v>
      </c>
      <c r="F426" s="639">
        <v>3</v>
      </c>
      <c r="G426" s="596">
        <v>4589</v>
      </c>
      <c r="H426" s="319">
        <f t="shared" si="21"/>
        <v>13767</v>
      </c>
      <c r="I426" s="105"/>
      <c r="J426" s="105"/>
      <c r="K426" s="60"/>
      <c r="L426" s="60"/>
      <c r="M426" s="60"/>
      <c r="N426" s="60"/>
      <c r="O426" s="60"/>
      <c r="P426" s="60"/>
      <c r="Q426" s="60"/>
      <c r="R426" s="60"/>
      <c r="S426" s="60"/>
      <c r="T426" s="60"/>
      <c r="U426" s="60"/>
      <c r="V426" s="60"/>
      <c r="W426" s="60"/>
      <c r="X426" s="60"/>
      <c r="Y426" s="60"/>
      <c r="Z426" s="60"/>
      <c r="AA426" s="60"/>
      <c r="AB426" s="60"/>
      <c r="AC426" s="60"/>
      <c r="AD426" s="60"/>
      <c r="AE426" s="60"/>
      <c r="AF426" s="60"/>
    </row>
    <row r="427" spans="1:32" s="101" customFormat="1" ht="93" customHeight="1">
      <c r="A427" s="317"/>
      <c r="B427" s="606">
        <f t="shared" si="22"/>
        <v>61</v>
      </c>
      <c r="C427" s="1064" t="s">
        <v>1754</v>
      </c>
      <c r="D427" s="610" t="s">
        <v>1755</v>
      </c>
      <c r="E427" s="606" t="s">
        <v>1575</v>
      </c>
      <c r="F427" s="639">
        <v>3</v>
      </c>
      <c r="G427" s="596">
        <v>23000</v>
      </c>
      <c r="H427" s="319">
        <f t="shared" si="21"/>
        <v>69000</v>
      </c>
      <c r="I427" s="105"/>
      <c r="J427" s="105"/>
      <c r="K427" s="60"/>
      <c r="L427" s="60"/>
      <c r="M427" s="60"/>
      <c r="N427" s="60"/>
      <c r="O427" s="60"/>
      <c r="P427" s="60"/>
      <c r="Q427" s="60"/>
      <c r="R427" s="60"/>
      <c r="S427" s="60"/>
      <c r="T427" s="60"/>
      <c r="U427" s="60"/>
      <c r="V427" s="60"/>
      <c r="W427" s="60"/>
      <c r="X427" s="60"/>
      <c r="Y427" s="60"/>
      <c r="Z427" s="60"/>
      <c r="AA427" s="60"/>
      <c r="AB427" s="60"/>
      <c r="AC427" s="60"/>
      <c r="AD427" s="60"/>
      <c r="AE427" s="60"/>
      <c r="AF427" s="60"/>
    </row>
    <row r="428" spans="1:32" s="101" customFormat="1" ht="25.5">
      <c r="A428" s="317"/>
      <c r="B428" s="606">
        <f t="shared" si="22"/>
        <v>62</v>
      </c>
      <c r="C428" s="640" t="s">
        <v>1756</v>
      </c>
      <c r="D428" s="610" t="s">
        <v>1757</v>
      </c>
      <c r="E428" s="606" t="s">
        <v>295</v>
      </c>
      <c r="F428" s="639">
        <v>30</v>
      </c>
      <c r="G428" s="596">
        <v>1500</v>
      </c>
      <c r="H428" s="319">
        <f t="shared" si="21"/>
        <v>45000</v>
      </c>
      <c r="I428" s="105"/>
      <c r="J428" s="105"/>
      <c r="K428" s="60"/>
      <c r="L428" s="60"/>
      <c r="M428" s="60"/>
      <c r="N428" s="60"/>
      <c r="O428" s="60"/>
      <c r="P428" s="60"/>
      <c r="Q428" s="60"/>
      <c r="R428" s="60"/>
      <c r="S428" s="60"/>
      <c r="T428" s="60"/>
      <c r="U428" s="60"/>
      <c r="V428" s="60"/>
      <c r="W428" s="60"/>
      <c r="X428" s="60"/>
      <c r="Y428" s="60"/>
      <c r="Z428" s="60"/>
      <c r="AA428" s="60"/>
      <c r="AB428" s="60"/>
      <c r="AC428" s="60"/>
      <c r="AD428" s="60"/>
      <c r="AE428" s="60"/>
      <c r="AF428" s="60"/>
    </row>
    <row r="429" spans="1:32" s="101" customFormat="1" ht="15">
      <c r="A429" s="317"/>
      <c r="B429" s="606">
        <f t="shared" si="22"/>
        <v>63</v>
      </c>
      <c r="C429" s="640" t="s">
        <v>1812</v>
      </c>
      <c r="D429" s="641" t="s">
        <v>1758</v>
      </c>
      <c r="E429" s="606" t="s">
        <v>1508</v>
      </c>
      <c r="F429" s="667">
        <v>60</v>
      </c>
      <c r="G429" s="596">
        <v>350</v>
      </c>
      <c r="H429" s="319">
        <f t="shared" si="21"/>
        <v>21000</v>
      </c>
      <c r="I429" s="105"/>
      <c r="J429" s="105"/>
      <c r="K429" s="60"/>
      <c r="L429" s="60"/>
      <c r="M429" s="60"/>
      <c r="N429" s="60"/>
      <c r="O429" s="60"/>
      <c r="P429" s="60"/>
      <c r="Q429" s="60"/>
      <c r="R429" s="60"/>
      <c r="S429" s="60"/>
      <c r="T429" s="60"/>
      <c r="U429" s="60"/>
      <c r="V429" s="60"/>
      <c r="W429" s="60"/>
      <c r="X429" s="60"/>
      <c r="Y429" s="60"/>
      <c r="Z429" s="60"/>
      <c r="AA429" s="60"/>
      <c r="AB429" s="60"/>
      <c r="AC429" s="60"/>
      <c r="AD429" s="60"/>
      <c r="AE429" s="60"/>
      <c r="AF429" s="60"/>
    </row>
    <row r="430" spans="1:32" s="101" customFormat="1" ht="25.5">
      <c r="A430" s="317"/>
      <c r="B430" s="606">
        <f t="shared" si="22"/>
        <v>64</v>
      </c>
      <c r="C430" s="641" t="s">
        <v>1759</v>
      </c>
      <c r="D430" s="641" t="s">
        <v>1760</v>
      </c>
      <c r="E430" s="606" t="s">
        <v>1508</v>
      </c>
      <c r="F430" s="639">
        <v>1</v>
      </c>
      <c r="G430" s="596">
        <v>1550</v>
      </c>
      <c r="H430" s="319">
        <f t="shared" si="21"/>
        <v>1550</v>
      </c>
      <c r="I430" s="105"/>
      <c r="J430" s="105"/>
      <c r="K430" s="60"/>
      <c r="L430" s="60"/>
      <c r="M430" s="60"/>
      <c r="N430" s="60"/>
      <c r="O430" s="60"/>
      <c r="P430" s="60"/>
      <c r="Q430" s="60"/>
      <c r="R430" s="60"/>
      <c r="S430" s="60"/>
      <c r="T430" s="60"/>
      <c r="U430" s="60"/>
      <c r="V430" s="60"/>
      <c r="W430" s="60"/>
      <c r="X430" s="60"/>
      <c r="Y430" s="60"/>
      <c r="Z430" s="60"/>
      <c r="AA430" s="60"/>
      <c r="AB430" s="60"/>
      <c r="AC430" s="60"/>
      <c r="AD430" s="60"/>
      <c r="AE430" s="60"/>
      <c r="AF430" s="60"/>
    </row>
    <row r="431" spans="1:32" s="101" customFormat="1" ht="25.5">
      <c r="A431" s="317"/>
      <c r="B431" s="606">
        <f t="shared" si="22"/>
        <v>65</v>
      </c>
      <c r="C431" s="641" t="s">
        <v>1761</v>
      </c>
      <c r="D431" s="641" t="s">
        <v>1762</v>
      </c>
      <c r="E431" s="606" t="s">
        <v>1508</v>
      </c>
      <c r="F431" s="639">
        <v>1</v>
      </c>
      <c r="G431" s="596">
        <v>1540</v>
      </c>
      <c r="H431" s="319">
        <f t="shared" si="21"/>
        <v>1540</v>
      </c>
      <c r="I431" s="105"/>
      <c r="J431" s="105"/>
      <c r="K431" s="60"/>
      <c r="L431" s="60"/>
      <c r="M431" s="60"/>
      <c r="N431" s="60"/>
      <c r="O431" s="60"/>
      <c r="P431" s="60"/>
      <c r="Q431" s="60"/>
      <c r="R431" s="60"/>
      <c r="S431" s="60"/>
      <c r="T431" s="60"/>
      <c r="U431" s="60"/>
      <c r="V431" s="60"/>
      <c r="W431" s="60"/>
      <c r="X431" s="60"/>
      <c r="Y431" s="60"/>
      <c r="Z431" s="60"/>
      <c r="AA431" s="60"/>
      <c r="AB431" s="60"/>
      <c r="AC431" s="60"/>
      <c r="AD431" s="60"/>
      <c r="AE431" s="60"/>
      <c r="AF431" s="60"/>
    </row>
    <row r="432" spans="1:32" s="101" customFormat="1" ht="28.5" customHeight="1">
      <c r="A432" s="317"/>
      <c r="B432" s="606">
        <f t="shared" si="22"/>
        <v>66</v>
      </c>
      <c r="C432" s="640" t="s">
        <v>298</v>
      </c>
      <c r="D432" s="1064" t="s">
        <v>586</v>
      </c>
      <c r="E432" s="606" t="s">
        <v>1508</v>
      </c>
      <c r="F432" s="639">
        <v>50</v>
      </c>
      <c r="G432" s="596">
        <v>250</v>
      </c>
      <c r="H432" s="319">
        <f t="shared" ref="H432:H452" si="23">F432*G432</f>
        <v>12500</v>
      </c>
      <c r="I432" s="105"/>
      <c r="J432" s="105"/>
      <c r="K432" s="60"/>
      <c r="L432" s="60"/>
      <c r="M432" s="60"/>
      <c r="N432" s="60"/>
      <c r="O432" s="60"/>
      <c r="P432" s="60"/>
      <c r="Q432" s="60"/>
      <c r="R432" s="60"/>
      <c r="S432" s="60"/>
      <c r="T432" s="60"/>
      <c r="U432" s="60"/>
      <c r="V432" s="60"/>
      <c r="W432" s="60"/>
      <c r="X432" s="60"/>
      <c r="Y432" s="60"/>
      <c r="Z432" s="60"/>
      <c r="AA432" s="60"/>
      <c r="AB432" s="60"/>
      <c r="AC432" s="60"/>
      <c r="AD432" s="60"/>
      <c r="AE432" s="60"/>
      <c r="AF432" s="60"/>
    </row>
    <row r="433" spans="1:32" s="101" customFormat="1" ht="26.25" customHeight="1">
      <c r="A433" s="317"/>
      <c r="B433" s="606">
        <f t="shared" ref="B433:B452" si="24">B432+1</f>
        <v>67</v>
      </c>
      <c r="C433" s="640" t="s">
        <v>297</v>
      </c>
      <c r="D433" s="1064" t="s">
        <v>585</v>
      </c>
      <c r="E433" s="606" t="s">
        <v>1508</v>
      </c>
      <c r="F433" s="639">
        <v>50</v>
      </c>
      <c r="G433" s="596">
        <v>230</v>
      </c>
      <c r="H433" s="319">
        <f t="shared" si="23"/>
        <v>11500</v>
      </c>
      <c r="I433" s="105"/>
      <c r="J433" s="105"/>
      <c r="K433" s="60"/>
      <c r="L433" s="60"/>
      <c r="M433" s="60"/>
      <c r="N433" s="60"/>
      <c r="O433" s="60"/>
      <c r="P433" s="60"/>
      <c r="Q433" s="60"/>
      <c r="R433" s="60"/>
      <c r="S433" s="60"/>
      <c r="T433" s="60"/>
      <c r="U433" s="60"/>
      <c r="V433" s="60"/>
      <c r="W433" s="60"/>
      <c r="X433" s="60"/>
      <c r="Y433" s="60"/>
      <c r="Z433" s="60"/>
      <c r="AA433" s="60"/>
      <c r="AB433" s="60"/>
      <c r="AC433" s="60"/>
      <c r="AD433" s="60"/>
      <c r="AE433" s="60"/>
      <c r="AF433" s="60"/>
    </row>
    <row r="434" spans="1:32" s="101" customFormat="1" ht="38.25">
      <c r="A434" s="317"/>
      <c r="B434" s="606">
        <f t="shared" si="24"/>
        <v>68</v>
      </c>
      <c r="C434" s="640" t="s">
        <v>1763</v>
      </c>
      <c r="D434" s="1064" t="s">
        <v>1764</v>
      </c>
      <c r="E434" s="606" t="s">
        <v>1508</v>
      </c>
      <c r="F434" s="639">
        <v>10</v>
      </c>
      <c r="G434" s="596">
        <v>200</v>
      </c>
      <c r="H434" s="319">
        <f t="shared" si="23"/>
        <v>2000</v>
      </c>
      <c r="I434" s="105"/>
      <c r="J434" s="105"/>
      <c r="K434" s="60"/>
      <c r="L434" s="60"/>
      <c r="M434" s="60"/>
      <c r="N434" s="60"/>
      <c r="O434" s="60"/>
      <c r="P434" s="60"/>
      <c r="Q434" s="60"/>
      <c r="R434" s="60"/>
      <c r="S434" s="60"/>
      <c r="T434" s="60"/>
      <c r="U434" s="60"/>
      <c r="V434" s="60"/>
      <c r="W434" s="60"/>
      <c r="X434" s="60"/>
      <c r="Y434" s="60"/>
      <c r="Z434" s="60"/>
      <c r="AA434" s="60"/>
      <c r="AB434" s="60"/>
      <c r="AC434" s="60"/>
      <c r="AD434" s="60"/>
      <c r="AE434" s="60"/>
      <c r="AF434" s="60"/>
    </row>
    <row r="435" spans="1:32" s="101" customFormat="1" ht="15">
      <c r="A435" s="317"/>
      <c r="B435" s="606">
        <f t="shared" si="24"/>
        <v>69</v>
      </c>
      <c r="C435" s="640" t="s">
        <v>1813</v>
      </c>
      <c r="D435" s="1064" t="s">
        <v>604</v>
      </c>
      <c r="E435" s="606" t="s">
        <v>295</v>
      </c>
      <c r="F435" s="639">
        <v>15</v>
      </c>
      <c r="G435" s="596">
        <v>1250</v>
      </c>
      <c r="H435" s="319">
        <f t="shared" si="23"/>
        <v>18750</v>
      </c>
      <c r="I435" s="105"/>
      <c r="J435" s="105"/>
      <c r="K435" s="60"/>
      <c r="L435" s="60"/>
      <c r="M435" s="60"/>
      <c r="N435" s="60"/>
      <c r="O435" s="60"/>
      <c r="P435" s="60"/>
      <c r="Q435" s="60"/>
      <c r="R435" s="60"/>
      <c r="S435" s="60"/>
      <c r="T435" s="60"/>
      <c r="U435" s="60"/>
      <c r="V435" s="60"/>
      <c r="W435" s="60"/>
      <c r="X435" s="60"/>
      <c r="Y435" s="60"/>
      <c r="Z435" s="60"/>
      <c r="AA435" s="60"/>
      <c r="AB435" s="60"/>
      <c r="AC435" s="60"/>
      <c r="AD435" s="60"/>
      <c r="AE435" s="60"/>
      <c r="AF435" s="60"/>
    </row>
    <row r="436" spans="1:32" s="101" customFormat="1" ht="15">
      <c r="A436" s="317"/>
      <c r="B436" s="606">
        <f t="shared" si="24"/>
        <v>70</v>
      </c>
      <c r="C436" s="640" t="s">
        <v>1814</v>
      </c>
      <c r="D436" s="1064" t="s">
        <v>1765</v>
      </c>
      <c r="E436" s="606" t="s">
        <v>295</v>
      </c>
      <c r="F436" s="639">
        <v>7</v>
      </c>
      <c r="G436" s="596">
        <v>1300</v>
      </c>
      <c r="H436" s="319">
        <f t="shared" si="23"/>
        <v>9100</v>
      </c>
      <c r="I436" s="105"/>
      <c r="J436" s="105"/>
      <c r="K436" s="60"/>
      <c r="L436" s="60"/>
      <c r="M436" s="60"/>
      <c r="N436" s="60"/>
      <c r="O436" s="60"/>
      <c r="P436" s="60"/>
      <c r="Q436" s="60"/>
      <c r="R436" s="60"/>
      <c r="S436" s="60"/>
      <c r="T436" s="60"/>
      <c r="U436" s="60"/>
      <c r="V436" s="60"/>
      <c r="W436" s="60"/>
      <c r="X436" s="60"/>
      <c r="Y436" s="60"/>
      <c r="Z436" s="60"/>
      <c r="AA436" s="60"/>
      <c r="AB436" s="60"/>
      <c r="AC436" s="60"/>
      <c r="AD436" s="60"/>
      <c r="AE436" s="60"/>
      <c r="AF436" s="60"/>
    </row>
    <row r="437" spans="1:32" s="101" customFormat="1" ht="38.25">
      <c r="A437" s="317"/>
      <c r="B437" s="606">
        <f t="shared" si="24"/>
        <v>71</v>
      </c>
      <c r="C437" s="640" t="s">
        <v>1766</v>
      </c>
      <c r="D437" s="610" t="s">
        <v>1767</v>
      </c>
      <c r="E437" s="606" t="s">
        <v>295</v>
      </c>
      <c r="F437" s="639">
        <v>10</v>
      </c>
      <c r="G437" s="596">
        <v>2500</v>
      </c>
      <c r="H437" s="319">
        <f t="shared" si="23"/>
        <v>25000</v>
      </c>
      <c r="I437" s="105"/>
      <c r="J437" s="105"/>
      <c r="K437" s="60"/>
      <c r="L437" s="60"/>
      <c r="M437" s="60"/>
      <c r="N437" s="60"/>
      <c r="O437" s="60"/>
      <c r="P437" s="60"/>
      <c r="Q437" s="60"/>
      <c r="R437" s="60"/>
      <c r="S437" s="60"/>
      <c r="T437" s="60"/>
      <c r="U437" s="60"/>
      <c r="V437" s="60"/>
      <c r="W437" s="60"/>
      <c r="X437" s="60"/>
      <c r="Y437" s="60"/>
      <c r="Z437" s="60"/>
      <c r="AA437" s="60"/>
      <c r="AB437" s="60"/>
      <c r="AC437" s="60"/>
      <c r="AD437" s="60"/>
      <c r="AE437" s="60"/>
      <c r="AF437" s="60"/>
    </row>
    <row r="438" spans="1:32" s="101" customFormat="1" ht="15">
      <c r="A438" s="317"/>
      <c r="B438" s="606">
        <f t="shared" si="24"/>
        <v>72</v>
      </c>
      <c r="C438" s="640" t="s">
        <v>1768</v>
      </c>
      <c r="D438" s="1064" t="s">
        <v>1769</v>
      </c>
      <c r="E438" s="606" t="s">
        <v>1508</v>
      </c>
      <c r="F438" s="639">
        <v>15</v>
      </c>
      <c r="G438" s="596">
        <v>1100</v>
      </c>
      <c r="H438" s="319">
        <f t="shared" si="23"/>
        <v>16500</v>
      </c>
      <c r="I438" s="105"/>
      <c r="J438" s="105"/>
      <c r="K438" s="60"/>
      <c r="L438" s="60"/>
      <c r="M438" s="60"/>
      <c r="N438" s="60"/>
      <c r="O438" s="60"/>
      <c r="P438" s="60"/>
      <c r="Q438" s="60"/>
      <c r="R438" s="60"/>
      <c r="S438" s="60"/>
      <c r="T438" s="60"/>
      <c r="U438" s="60"/>
      <c r="V438" s="60"/>
      <c r="W438" s="60"/>
      <c r="X438" s="60"/>
      <c r="Y438" s="60"/>
      <c r="Z438" s="60"/>
      <c r="AA438" s="60"/>
      <c r="AB438" s="60"/>
      <c r="AC438" s="60"/>
      <c r="AD438" s="60"/>
      <c r="AE438" s="60"/>
      <c r="AF438" s="60"/>
    </row>
    <row r="439" spans="1:32" s="101" customFormat="1" ht="89.25">
      <c r="A439" s="317"/>
      <c r="B439" s="606">
        <f t="shared" si="24"/>
        <v>73</v>
      </c>
      <c r="C439" s="640" t="s">
        <v>1770</v>
      </c>
      <c r="D439" s="610" t="s">
        <v>1771</v>
      </c>
      <c r="E439" s="606" t="s">
        <v>1508</v>
      </c>
      <c r="F439" s="639">
        <v>15</v>
      </c>
      <c r="G439" s="596">
        <v>14500</v>
      </c>
      <c r="H439" s="319">
        <f t="shared" si="23"/>
        <v>217500</v>
      </c>
      <c r="I439" s="105"/>
      <c r="J439" s="105"/>
      <c r="K439" s="60"/>
      <c r="L439" s="60"/>
      <c r="M439" s="60"/>
      <c r="N439" s="60"/>
      <c r="O439" s="60"/>
      <c r="P439" s="60"/>
      <c r="Q439" s="60"/>
      <c r="R439" s="60"/>
      <c r="S439" s="60"/>
      <c r="T439" s="60"/>
      <c r="U439" s="60"/>
      <c r="V439" s="60"/>
      <c r="W439" s="60"/>
      <c r="X439" s="60"/>
      <c r="Y439" s="60"/>
      <c r="Z439" s="60"/>
      <c r="AA439" s="60"/>
      <c r="AB439" s="60"/>
      <c r="AC439" s="60"/>
      <c r="AD439" s="60"/>
      <c r="AE439" s="60"/>
      <c r="AF439" s="60"/>
    </row>
    <row r="440" spans="1:32" s="101" customFormat="1" ht="25.5">
      <c r="A440" s="317"/>
      <c r="B440" s="606">
        <f t="shared" si="24"/>
        <v>74</v>
      </c>
      <c r="C440" s="1064" t="s">
        <v>1772</v>
      </c>
      <c r="D440" s="1064" t="s">
        <v>1773</v>
      </c>
      <c r="E440" s="619" t="s">
        <v>302</v>
      </c>
      <c r="F440" s="639">
        <v>30</v>
      </c>
      <c r="G440" s="596">
        <v>570</v>
      </c>
      <c r="H440" s="319">
        <f t="shared" si="23"/>
        <v>17100</v>
      </c>
      <c r="I440" s="105"/>
      <c r="J440" s="105"/>
      <c r="K440" s="60"/>
      <c r="L440" s="60"/>
      <c r="M440" s="60"/>
      <c r="N440" s="60"/>
      <c r="O440" s="60"/>
      <c r="P440" s="60"/>
      <c r="Q440" s="60"/>
      <c r="R440" s="60"/>
      <c r="S440" s="60"/>
      <c r="T440" s="60"/>
      <c r="U440" s="60"/>
      <c r="V440" s="60"/>
      <c r="W440" s="60"/>
      <c r="X440" s="60"/>
      <c r="Y440" s="60"/>
      <c r="Z440" s="60"/>
      <c r="AA440" s="60"/>
      <c r="AB440" s="60"/>
      <c r="AC440" s="60"/>
      <c r="AD440" s="60"/>
      <c r="AE440" s="60"/>
      <c r="AF440" s="60"/>
    </row>
    <row r="441" spans="1:32" s="101" customFormat="1" ht="15">
      <c r="A441" s="317"/>
      <c r="B441" s="606">
        <f t="shared" si="24"/>
        <v>75</v>
      </c>
      <c r="C441" s="640" t="s">
        <v>1774</v>
      </c>
      <c r="D441" s="1064" t="s">
        <v>1775</v>
      </c>
      <c r="E441" s="606" t="s">
        <v>295</v>
      </c>
      <c r="F441" s="639">
        <v>10</v>
      </c>
      <c r="G441" s="596">
        <v>560</v>
      </c>
      <c r="H441" s="319">
        <f t="shared" si="23"/>
        <v>5600</v>
      </c>
      <c r="I441" s="105"/>
      <c r="J441" s="105"/>
      <c r="K441" s="60"/>
      <c r="L441" s="60"/>
      <c r="M441" s="60"/>
      <c r="N441" s="60"/>
      <c r="O441" s="60"/>
      <c r="P441" s="60"/>
      <c r="Q441" s="60"/>
      <c r="R441" s="60"/>
      <c r="S441" s="60"/>
      <c r="T441" s="60"/>
      <c r="U441" s="60"/>
      <c r="V441" s="60"/>
      <c r="W441" s="60"/>
      <c r="X441" s="60"/>
      <c r="Y441" s="60"/>
      <c r="Z441" s="60"/>
      <c r="AA441" s="60"/>
      <c r="AB441" s="60"/>
      <c r="AC441" s="60"/>
      <c r="AD441" s="60"/>
      <c r="AE441" s="60"/>
      <c r="AF441" s="60"/>
    </row>
    <row r="442" spans="1:32" s="101" customFormat="1" ht="51">
      <c r="A442" s="317"/>
      <c r="B442" s="606">
        <f t="shared" si="24"/>
        <v>76</v>
      </c>
      <c r="C442" s="640" t="s">
        <v>1815</v>
      </c>
      <c r="D442" s="610" t="s">
        <v>1776</v>
      </c>
      <c r="E442" s="606" t="s">
        <v>1508</v>
      </c>
      <c r="F442" s="639">
        <v>10</v>
      </c>
      <c r="G442" s="596">
        <v>3700</v>
      </c>
      <c r="H442" s="319">
        <f t="shared" si="23"/>
        <v>37000</v>
      </c>
      <c r="I442" s="105"/>
      <c r="J442" s="105"/>
      <c r="K442" s="60"/>
      <c r="L442" s="60"/>
      <c r="M442" s="60"/>
      <c r="N442" s="60"/>
      <c r="O442" s="60"/>
      <c r="P442" s="60"/>
      <c r="Q442" s="60"/>
      <c r="R442" s="60"/>
      <c r="S442" s="60"/>
      <c r="T442" s="60"/>
      <c r="U442" s="60"/>
      <c r="V442" s="60"/>
      <c r="W442" s="60"/>
      <c r="X442" s="60"/>
      <c r="Y442" s="60"/>
      <c r="Z442" s="60"/>
      <c r="AA442" s="60"/>
      <c r="AB442" s="60"/>
      <c r="AC442" s="60"/>
      <c r="AD442" s="60"/>
      <c r="AE442" s="60"/>
      <c r="AF442" s="60"/>
    </row>
    <row r="443" spans="1:32" s="101" customFormat="1" ht="38.25">
      <c r="A443" s="317"/>
      <c r="B443" s="606">
        <f t="shared" si="24"/>
        <v>77</v>
      </c>
      <c r="C443" s="640" t="s">
        <v>1777</v>
      </c>
      <c r="D443" s="610" t="s">
        <v>1778</v>
      </c>
      <c r="E443" s="606" t="s">
        <v>1508</v>
      </c>
      <c r="F443" s="639">
        <v>10</v>
      </c>
      <c r="G443" s="596">
        <v>300</v>
      </c>
      <c r="H443" s="319">
        <f t="shared" si="23"/>
        <v>3000</v>
      </c>
      <c r="I443" s="105"/>
      <c r="J443" s="105"/>
      <c r="K443" s="60"/>
      <c r="L443" s="60"/>
      <c r="M443" s="60"/>
      <c r="N443" s="60"/>
      <c r="O443" s="60"/>
      <c r="P443" s="60"/>
      <c r="Q443" s="60"/>
      <c r="R443" s="60"/>
      <c r="S443" s="60"/>
      <c r="T443" s="60"/>
      <c r="U443" s="60"/>
      <c r="V443" s="60"/>
      <c r="W443" s="60"/>
      <c r="X443" s="60"/>
      <c r="Y443" s="60"/>
      <c r="Z443" s="60"/>
      <c r="AA443" s="60"/>
      <c r="AB443" s="60"/>
      <c r="AC443" s="60"/>
      <c r="AD443" s="60"/>
      <c r="AE443" s="60"/>
      <c r="AF443" s="60"/>
    </row>
    <row r="444" spans="1:32" s="101" customFormat="1" ht="51">
      <c r="A444" s="317"/>
      <c r="B444" s="606">
        <f t="shared" si="24"/>
        <v>78</v>
      </c>
      <c r="C444" s="1064" t="s">
        <v>1779</v>
      </c>
      <c r="D444" s="610" t="s">
        <v>1780</v>
      </c>
      <c r="E444" s="606" t="s">
        <v>1508</v>
      </c>
      <c r="F444" s="639">
        <v>15</v>
      </c>
      <c r="G444" s="596">
        <v>450</v>
      </c>
      <c r="H444" s="319">
        <f t="shared" si="23"/>
        <v>6750</v>
      </c>
      <c r="I444" s="105"/>
      <c r="J444" s="105"/>
      <c r="K444" s="60"/>
      <c r="L444" s="60"/>
      <c r="M444" s="60"/>
      <c r="N444" s="60"/>
      <c r="O444" s="60"/>
      <c r="P444" s="60"/>
      <c r="Q444" s="60"/>
      <c r="R444" s="60"/>
      <c r="S444" s="60"/>
      <c r="T444" s="60"/>
      <c r="U444" s="60"/>
      <c r="V444" s="60"/>
      <c r="W444" s="60"/>
      <c r="X444" s="60"/>
      <c r="Y444" s="60"/>
      <c r="Z444" s="60"/>
      <c r="AA444" s="60"/>
      <c r="AB444" s="60"/>
      <c r="AC444" s="60"/>
      <c r="AD444" s="60"/>
      <c r="AE444" s="60"/>
      <c r="AF444" s="60"/>
    </row>
    <row r="445" spans="1:32" s="101" customFormat="1" ht="51">
      <c r="A445" s="317"/>
      <c r="B445" s="606">
        <f t="shared" si="24"/>
        <v>79</v>
      </c>
      <c r="C445" s="1064" t="s">
        <v>1781</v>
      </c>
      <c r="D445" s="610" t="s">
        <v>1782</v>
      </c>
      <c r="E445" s="606" t="s">
        <v>1508</v>
      </c>
      <c r="F445" s="639">
        <v>6</v>
      </c>
      <c r="G445" s="596">
        <v>2000</v>
      </c>
      <c r="H445" s="319">
        <f t="shared" si="23"/>
        <v>12000</v>
      </c>
      <c r="I445" s="105"/>
      <c r="J445" s="105"/>
      <c r="K445" s="60"/>
      <c r="L445" s="60"/>
      <c r="M445" s="60"/>
      <c r="N445" s="60"/>
      <c r="O445" s="60"/>
      <c r="P445" s="60"/>
      <c r="Q445" s="60"/>
      <c r="R445" s="60"/>
      <c r="S445" s="60"/>
      <c r="T445" s="60"/>
      <c r="U445" s="60"/>
      <c r="V445" s="60"/>
      <c r="W445" s="60"/>
      <c r="X445" s="60"/>
      <c r="Y445" s="60"/>
      <c r="Z445" s="60"/>
      <c r="AA445" s="60"/>
      <c r="AB445" s="60"/>
      <c r="AC445" s="60"/>
      <c r="AD445" s="60"/>
      <c r="AE445" s="60"/>
      <c r="AF445" s="60"/>
    </row>
    <row r="446" spans="1:32" s="101" customFormat="1" ht="38.25">
      <c r="A446" s="317"/>
      <c r="B446" s="606">
        <f t="shared" si="24"/>
        <v>80</v>
      </c>
      <c r="C446" s="1064" t="s">
        <v>1783</v>
      </c>
      <c r="D446" s="610" t="s">
        <v>1784</v>
      </c>
      <c r="E446" s="606" t="s">
        <v>1785</v>
      </c>
      <c r="F446" s="639">
        <v>6</v>
      </c>
      <c r="G446" s="596">
        <v>9500</v>
      </c>
      <c r="H446" s="319">
        <f t="shared" si="23"/>
        <v>57000</v>
      </c>
      <c r="I446" s="105"/>
      <c r="J446" s="105"/>
      <c r="K446" s="60"/>
      <c r="L446" s="60"/>
      <c r="M446" s="60"/>
      <c r="N446" s="60"/>
      <c r="O446" s="60"/>
      <c r="P446" s="60"/>
      <c r="Q446" s="60"/>
      <c r="R446" s="60"/>
      <c r="S446" s="60"/>
      <c r="T446" s="60"/>
      <c r="U446" s="60"/>
      <c r="V446" s="60"/>
      <c r="W446" s="60"/>
      <c r="X446" s="60"/>
      <c r="Y446" s="60"/>
      <c r="Z446" s="60"/>
      <c r="AA446" s="60"/>
      <c r="AB446" s="60"/>
      <c r="AC446" s="60"/>
      <c r="AD446" s="60"/>
      <c r="AE446" s="60"/>
      <c r="AF446" s="60"/>
    </row>
    <row r="447" spans="1:32" s="101" customFormat="1" ht="25.5">
      <c r="A447" s="317"/>
      <c r="B447" s="606">
        <f t="shared" si="24"/>
        <v>81</v>
      </c>
      <c r="C447" s="1064" t="s">
        <v>1786</v>
      </c>
      <c r="D447" s="610" t="s">
        <v>1796</v>
      </c>
      <c r="E447" s="606" t="s">
        <v>1508</v>
      </c>
      <c r="F447" s="639">
        <v>30</v>
      </c>
      <c r="G447" s="596">
        <v>750</v>
      </c>
      <c r="H447" s="319">
        <f t="shared" si="23"/>
        <v>22500</v>
      </c>
      <c r="I447" s="105"/>
      <c r="J447" s="105"/>
      <c r="K447" s="60"/>
      <c r="L447" s="60"/>
      <c r="M447" s="60"/>
      <c r="N447" s="60"/>
      <c r="O447" s="60"/>
      <c r="P447" s="60"/>
      <c r="Q447" s="60"/>
      <c r="R447" s="60"/>
      <c r="S447" s="60"/>
      <c r="T447" s="60"/>
      <c r="U447" s="60"/>
      <c r="V447" s="60"/>
      <c r="W447" s="60"/>
      <c r="X447" s="60"/>
      <c r="Y447" s="60"/>
      <c r="Z447" s="60"/>
      <c r="AA447" s="60"/>
      <c r="AB447" s="60"/>
      <c r="AC447" s="60"/>
      <c r="AD447" s="60"/>
      <c r="AE447" s="60"/>
      <c r="AF447" s="60"/>
    </row>
    <row r="448" spans="1:32" s="101" customFormat="1" ht="128.25" customHeight="1">
      <c r="A448" s="317"/>
      <c r="B448" s="606">
        <f t="shared" si="24"/>
        <v>82</v>
      </c>
      <c r="C448" s="1064" t="s">
        <v>1787</v>
      </c>
      <c r="D448" s="1064" t="s">
        <v>1788</v>
      </c>
      <c r="E448" s="606" t="s">
        <v>1789</v>
      </c>
      <c r="F448" s="639">
        <v>5</v>
      </c>
      <c r="G448" s="596">
        <v>6000</v>
      </c>
      <c r="H448" s="319">
        <f t="shared" si="23"/>
        <v>30000</v>
      </c>
      <c r="I448" s="105"/>
      <c r="J448" s="105"/>
      <c r="K448" s="60"/>
      <c r="L448" s="60"/>
      <c r="M448" s="60"/>
      <c r="N448" s="60"/>
      <c r="O448" s="60"/>
      <c r="P448" s="60"/>
      <c r="Q448" s="60"/>
      <c r="R448" s="60"/>
      <c r="S448" s="60"/>
      <c r="T448" s="60"/>
      <c r="U448" s="60"/>
      <c r="V448" s="60"/>
      <c r="W448" s="60"/>
      <c r="X448" s="60"/>
      <c r="Y448" s="60"/>
      <c r="Z448" s="60"/>
      <c r="AA448" s="60"/>
      <c r="AB448" s="60"/>
      <c r="AC448" s="60"/>
      <c r="AD448" s="60"/>
      <c r="AE448" s="60"/>
      <c r="AF448" s="60"/>
    </row>
    <row r="449" spans="1:33" s="101" customFormat="1" ht="38.25">
      <c r="A449" s="317"/>
      <c r="B449" s="606">
        <f t="shared" si="24"/>
        <v>83</v>
      </c>
      <c r="C449" s="1064" t="s">
        <v>1790</v>
      </c>
      <c r="D449" s="602" t="s">
        <v>1791</v>
      </c>
      <c r="E449" s="606" t="s">
        <v>1508</v>
      </c>
      <c r="F449" s="639">
        <v>50</v>
      </c>
      <c r="G449" s="596">
        <v>80</v>
      </c>
      <c r="H449" s="319">
        <f t="shared" si="23"/>
        <v>4000</v>
      </c>
      <c r="I449" s="105"/>
      <c r="J449" s="105"/>
      <c r="K449" s="60"/>
      <c r="L449" s="60"/>
      <c r="M449" s="60"/>
      <c r="N449" s="60"/>
      <c r="O449" s="60"/>
      <c r="P449" s="60"/>
      <c r="Q449" s="60"/>
      <c r="R449" s="60"/>
      <c r="S449" s="60"/>
      <c r="T449" s="60"/>
      <c r="U449" s="60"/>
      <c r="V449" s="60"/>
      <c r="W449" s="60"/>
      <c r="X449" s="60"/>
      <c r="Y449" s="60"/>
      <c r="Z449" s="60"/>
      <c r="AA449" s="60"/>
      <c r="AB449" s="60"/>
      <c r="AC449" s="60"/>
      <c r="AD449" s="60"/>
      <c r="AE449" s="60"/>
      <c r="AF449" s="60"/>
    </row>
    <row r="450" spans="1:33" s="101" customFormat="1" ht="63.75">
      <c r="A450" s="317"/>
      <c r="B450" s="606">
        <f t="shared" si="24"/>
        <v>84</v>
      </c>
      <c r="C450" s="602" t="s">
        <v>1792</v>
      </c>
      <c r="D450" s="602" t="s">
        <v>1793</v>
      </c>
      <c r="E450" s="606" t="s">
        <v>1508</v>
      </c>
      <c r="F450" s="639">
        <v>5</v>
      </c>
      <c r="G450" s="596">
        <v>1650</v>
      </c>
      <c r="H450" s="319">
        <f t="shared" si="23"/>
        <v>8250</v>
      </c>
      <c r="I450" s="105"/>
      <c r="J450" s="105"/>
      <c r="K450" s="60"/>
      <c r="L450" s="60"/>
      <c r="M450" s="60"/>
      <c r="N450" s="60"/>
      <c r="O450" s="60"/>
      <c r="P450" s="60"/>
      <c r="Q450" s="60"/>
      <c r="R450" s="60"/>
      <c r="S450" s="60"/>
      <c r="T450" s="60"/>
      <c r="U450" s="60"/>
      <c r="V450" s="60"/>
      <c r="W450" s="60"/>
      <c r="X450" s="60"/>
      <c r="Y450" s="60"/>
      <c r="Z450" s="60"/>
      <c r="AA450" s="60"/>
      <c r="AB450" s="60"/>
      <c r="AC450" s="60"/>
      <c r="AD450" s="60"/>
      <c r="AE450" s="60"/>
      <c r="AF450" s="60"/>
    </row>
    <row r="451" spans="1:33" s="101" customFormat="1" ht="63.75">
      <c r="A451" s="317"/>
      <c r="B451" s="606">
        <f t="shared" si="24"/>
        <v>85</v>
      </c>
      <c r="C451" s="602" t="s">
        <v>1792</v>
      </c>
      <c r="D451" s="602" t="s">
        <v>1794</v>
      </c>
      <c r="E451" s="606" t="s">
        <v>1508</v>
      </c>
      <c r="F451" s="639">
        <v>2</v>
      </c>
      <c r="G451" s="596">
        <v>2500</v>
      </c>
      <c r="H451" s="319">
        <f t="shared" si="23"/>
        <v>5000</v>
      </c>
      <c r="I451" s="105"/>
      <c r="J451" s="105"/>
      <c r="K451" s="60"/>
      <c r="L451" s="60"/>
      <c r="M451" s="60"/>
      <c r="N451" s="60"/>
      <c r="O451" s="60"/>
      <c r="P451" s="60"/>
      <c r="Q451" s="60"/>
      <c r="R451" s="60"/>
      <c r="S451" s="60"/>
      <c r="T451" s="60"/>
      <c r="U451" s="60"/>
      <c r="V451" s="60"/>
      <c r="W451" s="60"/>
      <c r="X451" s="60"/>
      <c r="Y451" s="60"/>
      <c r="Z451" s="60"/>
      <c r="AA451" s="60"/>
      <c r="AB451" s="60"/>
      <c r="AC451" s="60"/>
      <c r="AD451" s="60"/>
      <c r="AE451" s="60"/>
      <c r="AF451" s="60"/>
    </row>
    <row r="452" spans="1:33" s="101" customFormat="1" ht="25.5">
      <c r="A452" s="317"/>
      <c r="B452" s="606">
        <f t="shared" si="24"/>
        <v>86</v>
      </c>
      <c r="C452" s="602" t="s">
        <v>1816</v>
      </c>
      <c r="D452" s="602" t="s">
        <v>1795</v>
      </c>
      <c r="E452" s="606" t="s">
        <v>1508</v>
      </c>
      <c r="F452" s="639">
        <v>10</v>
      </c>
      <c r="G452" s="596">
        <v>620</v>
      </c>
      <c r="H452" s="319">
        <f t="shared" si="23"/>
        <v>6200</v>
      </c>
      <c r="I452" s="105"/>
      <c r="J452" s="105"/>
      <c r="K452" s="60"/>
      <c r="L452" s="60"/>
      <c r="M452" s="60"/>
      <c r="N452" s="60"/>
      <c r="O452" s="60"/>
      <c r="P452" s="60"/>
      <c r="Q452" s="60"/>
      <c r="R452" s="60"/>
      <c r="S452" s="60"/>
      <c r="T452" s="60"/>
      <c r="U452" s="60"/>
      <c r="V452" s="60"/>
      <c r="W452" s="60"/>
      <c r="X452" s="60"/>
      <c r="Y452" s="60"/>
      <c r="Z452" s="60"/>
      <c r="AA452" s="60"/>
      <c r="AB452" s="60"/>
      <c r="AC452" s="60"/>
      <c r="AD452" s="60"/>
      <c r="AE452" s="60"/>
      <c r="AF452" s="60"/>
    </row>
    <row r="453" spans="1:33" s="60" customFormat="1" ht="15">
      <c r="A453" s="105"/>
      <c r="B453" s="659"/>
      <c r="C453" s="659" t="s">
        <v>1825</v>
      </c>
      <c r="D453" s="660"/>
      <c r="E453" s="179"/>
      <c r="F453" s="179"/>
      <c r="G453" s="179"/>
      <c r="H453" s="661"/>
      <c r="I453" s="105"/>
      <c r="J453" s="105"/>
    </row>
    <row r="454" spans="1:33" s="101" customFormat="1" ht="25.5">
      <c r="A454" s="105"/>
      <c r="B454" s="1055" t="s">
        <v>7</v>
      </c>
      <c r="C454" s="211" t="s">
        <v>0</v>
      </c>
      <c r="D454" s="1055" t="s">
        <v>590</v>
      </c>
      <c r="E454" s="1055" t="s">
        <v>85</v>
      </c>
      <c r="F454" s="1055" t="s">
        <v>127</v>
      </c>
      <c r="G454" s="1055" t="s">
        <v>591</v>
      </c>
      <c r="H454" s="1055" t="s">
        <v>87</v>
      </c>
      <c r="I454" s="105"/>
      <c r="J454" s="105"/>
      <c r="K454" s="60"/>
      <c r="L454" s="60"/>
      <c r="M454" s="60"/>
      <c r="N454" s="60"/>
      <c r="O454" s="60"/>
      <c r="P454" s="60"/>
      <c r="Q454" s="60"/>
      <c r="R454" s="60"/>
      <c r="S454" s="60"/>
      <c r="T454" s="60"/>
      <c r="U454" s="60"/>
      <c r="V454" s="60"/>
      <c r="W454" s="60"/>
      <c r="X454" s="60"/>
      <c r="Y454" s="60"/>
      <c r="Z454" s="60"/>
      <c r="AA454" s="60"/>
      <c r="AB454" s="60"/>
      <c r="AC454" s="60"/>
      <c r="AD454" s="60"/>
      <c r="AE454" s="60"/>
      <c r="AF454" s="60"/>
    </row>
    <row r="455" spans="1:33" s="101" customFormat="1" ht="15">
      <c r="A455" s="105"/>
      <c r="B455" s="110"/>
      <c r="C455" s="125">
        <v>1</v>
      </c>
      <c r="D455" s="125">
        <v>2</v>
      </c>
      <c r="E455" s="65">
        <v>3</v>
      </c>
      <c r="F455" s="65">
        <v>4</v>
      </c>
      <c r="G455" s="65">
        <v>5</v>
      </c>
      <c r="H455" s="65">
        <v>6</v>
      </c>
      <c r="I455" s="105"/>
      <c r="J455" s="105"/>
      <c r="K455" s="60"/>
      <c r="L455" s="60"/>
      <c r="M455" s="60"/>
      <c r="N455" s="60"/>
      <c r="O455" s="60"/>
      <c r="P455" s="60"/>
      <c r="Q455" s="60"/>
      <c r="R455" s="60"/>
      <c r="S455" s="60"/>
      <c r="T455" s="60"/>
      <c r="U455" s="60"/>
      <c r="V455" s="60"/>
      <c r="W455" s="60"/>
      <c r="X455" s="60"/>
      <c r="Y455" s="60"/>
      <c r="Z455" s="60"/>
      <c r="AA455" s="60"/>
      <c r="AB455" s="60"/>
      <c r="AC455" s="60"/>
      <c r="AD455" s="60"/>
      <c r="AE455" s="60"/>
      <c r="AF455" s="60"/>
    </row>
    <row r="456" spans="1:33" s="101" customFormat="1" ht="15" customHeight="1">
      <c r="A456" s="105"/>
      <c r="B456" s="662"/>
      <c r="C456" s="1385" t="s">
        <v>1826</v>
      </c>
      <c r="D456" s="1385"/>
      <c r="E456" s="1385"/>
      <c r="F456" s="1385"/>
      <c r="G456" s="1386"/>
      <c r="H456" s="663">
        <f>H457+H465+H486</f>
        <v>762548.95</v>
      </c>
      <c r="I456" s="105"/>
      <c r="J456" s="105"/>
      <c r="K456" s="60"/>
      <c r="L456" s="60"/>
      <c r="M456" s="60"/>
      <c r="N456" s="60"/>
      <c r="O456" s="60"/>
      <c r="P456" s="60"/>
      <c r="Q456" s="60"/>
      <c r="R456" s="60"/>
      <c r="S456" s="60"/>
      <c r="T456" s="60"/>
      <c r="U456" s="60"/>
      <c r="V456" s="60"/>
      <c r="W456" s="60"/>
      <c r="X456" s="60"/>
      <c r="Y456" s="60"/>
      <c r="Z456" s="60"/>
      <c r="AA456" s="60"/>
      <c r="AB456" s="60"/>
      <c r="AC456" s="60"/>
      <c r="AD456" s="60"/>
      <c r="AE456" s="60"/>
      <c r="AF456" s="60"/>
    </row>
    <row r="457" spans="1:33" s="101" customFormat="1" ht="15">
      <c r="A457" s="105"/>
      <c r="B457" s="642"/>
      <c r="C457" s="1071" t="s">
        <v>1491</v>
      </c>
      <c r="D457" s="247"/>
      <c r="E457" s="117"/>
      <c r="F457" s="178"/>
      <c r="G457" s="178"/>
      <c r="H457" s="316">
        <f>SUM(H458:H463)</f>
        <v>161635.56</v>
      </c>
      <c r="I457" s="105"/>
      <c r="J457" s="105"/>
      <c r="K457" s="60"/>
      <c r="L457" s="60"/>
      <c r="M457" s="60"/>
      <c r="N457" s="60"/>
      <c r="O457" s="60"/>
      <c r="P457" s="60"/>
      <c r="Q457" s="60"/>
      <c r="R457" s="60"/>
      <c r="S457" s="60"/>
      <c r="T457" s="60"/>
      <c r="U457" s="60"/>
      <c r="V457" s="60"/>
      <c r="W457" s="60"/>
      <c r="X457" s="60"/>
      <c r="Y457" s="60"/>
      <c r="Z457" s="60"/>
      <c r="AA457" s="60"/>
      <c r="AB457" s="60"/>
      <c r="AC457" s="60"/>
      <c r="AD457" s="60"/>
      <c r="AE457" s="60"/>
      <c r="AF457" s="60"/>
    </row>
    <row r="458" spans="1:33" s="43" customFormat="1" ht="15">
      <c r="A458" s="105"/>
      <c r="B458" s="109">
        <v>1</v>
      </c>
      <c r="C458" s="603" t="s">
        <v>364</v>
      </c>
      <c r="D458" s="23" t="s">
        <v>592</v>
      </c>
      <c r="E458" s="58" t="s">
        <v>33</v>
      </c>
      <c r="F458" s="59">
        <v>1</v>
      </c>
      <c r="G458" s="25">
        <v>54126.6</v>
      </c>
      <c r="H458" s="312">
        <f t="shared" ref="H458:H463" si="25">F458*G458</f>
        <v>54126.6</v>
      </c>
      <c r="I458" s="105"/>
      <c r="J458" s="105"/>
      <c r="K458" s="60"/>
      <c r="L458" s="60"/>
      <c r="M458" s="60"/>
      <c r="N458" s="60"/>
      <c r="O458" s="60"/>
      <c r="P458" s="60"/>
      <c r="Q458" s="60"/>
      <c r="R458" s="60"/>
      <c r="S458" s="60"/>
      <c r="T458" s="60"/>
      <c r="U458" s="60"/>
      <c r="V458" s="60"/>
      <c r="W458" s="60"/>
      <c r="X458" s="60"/>
      <c r="Y458" s="60"/>
      <c r="Z458" s="60"/>
      <c r="AA458" s="60"/>
      <c r="AB458" s="60"/>
      <c r="AC458" s="60"/>
      <c r="AD458" s="60"/>
      <c r="AE458" s="60"/>
      <c r="AF458" s="60"/>
    </row>
    <row r="459" spans="1:33" s="43" customFormat="1" ht="15">
      <c r="A459" s="105"/>
      <c r="B459" s="187">
        <f>B458+1</f>
        <v>2</v>
      </c>
      <c r="C459" s="603" t="s">
        <v>365</v>
      </c>
      <c r="D459" s="23" t="s">
        <v>593</v>
      </c>
      <c r="E459" s="58" t="s">
        <v>33</v>
      </c>
      <c r="F459" s="59">
        <v>1</v>
      </c>
      <c r="G459" s="25">
        <v>54126.6</v>
      </c>
      <c r="H459" s="312">
        <f t="shared" si="25"/>
        <v>54126.6</v>
      </c>
      <c r="I459" s="105"/>
      <c r="J459" s="105"/>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row>
    <row r="460" spans="1:33" s="43" customFormat="1" ht="15">
      <c r="A460" s="105"/>
      <c r="B460" s="187">
        <f>B459+1</f>
        <v>3</v>
      </c>
      <c r="C460" s="603" t="s">
        <v>366</v>
      </c>
      <c r="D460" s="23" t="s">
        <v>594</v>
      </c>
      <c r="E460" s="58" t="s">
        <v>33</v>
      </c>
      <c r="F460" s="58">
        <v>1</v>
      </c>
      <c r="G460" s="25">
        <v>11098.08</v>
      </c>
      <c r="H460" s="312">
        <f t="shared" si="25"/>
        <v>11098.08</v>
      </c>
      <c r="I460" s="105"/>
      <c r="J460" s="105"/>
      <c r="K460" s="60"/>
      <c r="L460" s="60"/>
      <c r="M460" s="60"/>
      <c r="N460" s="60"/>
      <c r="O460" s="60"/>
      <c r="P460" s="60"/>
      <c r="Q460" s="60"/>
      <c r="R460" s="60"/>
      <c r="S460" s="60"/>
      <c r="T460" s="60"/>
      <c r="U460" s="60"/>
      <c r="V460" s="60"/>
      <c r="W460" s="60"/>
      <c r="X460" s="60"/>
      <c r="Y460" s="60"/>
      <c r="Z460" s="60"/>
      <c r="AA460" s="60"/>
      <c r="AB460" s="60"/>
      <c r="AC460" s="60"/>
      <c r="AD460" s="60"/>
      <c r="AE460" s="60"/>
      <c r="AF460" s="60"/>
    </row>
    <row r="461" spans="1:33" s="43" customFormat="1" ht="15">
      <c r="A461" s="105"/>
      <c r="B461" s="187">
        <f>B460+1</f>
        <v>4</v>
      </c>
      <c r="C461" s="603" t="s">
        <v>367</v>
      </c>
      <c r="D461" s="23" t="s">
        <v>595</v>
      </c>
      <c r="E461" s="58" t="s">
        <v>33</v>
      </c>
      <c r="F461" s="58">
        <v>1</v>
      </c>
      <c r="G461" s="25">
        <v>17511.599999999999</v>
      </c>
      <c r="H461" s="312">
        <f t="shared" si="25"/>
        <v>17511.599999999999</v>
      </c>
      <c r="I461" s="105"/>
      <c r="J461" s="105"/>
      <c r="K461" s="60"/>
      <c r="L461" s="60"/>
      <c r="M461" s="60"/>
      <c r="N461" s="60"/>
      <c r="O461" s="60"/>
      <c r="P461" s="60"/>
      <c r="Q461" s="60"/>
      <c r="R461" s="60"/>
      <c r="S461" s="60"/>
      <c r="T461" s="60"/>
      <c r="U461" s="60"/>
      <c r="V461" s="60"/>
      <c r="W461" s="60"/>
      <c r="X461" s="60"/>
      <c r="Y461" s="60"/>
      <c r="Z461" s="60"/>
      <c r="AA461" s="60"/>
      <c r="AB461" s="60"/>
      <c r="AC461" s="60"/>
      <c r="AD461" s="60"/>
      <c r="AE461" s="60"/>
      <c r="AF461" s="60"/>
    </row>
    <row r="462" spans="1:33" s="43" customFormat="1" ht="15">
      <c r="A462" s="105"/>
      <c r="B462" s="187">
        <f>B461+1</f>
        <v>5</v>
      </c>
      <c r="C462" s="605" t="s">
        <v>607</v>
      </c>
      <c r="D462" s="23" t="s">
        <v>595</v>
      </c>
      <c r="E462" s="58" t="s">
        <v>33</v>
      </c>
      <c r="F462" s="59">
        <v>1</v>
      </c>
      <c r="G462" s="25">
        <v>11622.12</v>
      </c>
      <c r="H462" s="312">
        <f t="shared" si="25"/>
        <v>11622.12</v>
      </c>
      <c r="I462" s="105"/>
      <c r="J462" s="105"/>
      <c r="K462" s="60"/>
      <c r="L462" s="60"/>
      <c r="M462" s="60"/>
      <c r="N462" s="60"/>
      <c r="O462" s="60"/>
      <c r="P462" s="60"/>
      <c r="Q462" s="60"/>
      <c r="R462" s="60"/>
      <c r="S462" s="60"/>
      <c r="T462" s="60"/>
      <c r="U462" s="60"/>
      <c r="V462" s="60"/>
      <c r="W462" s="60"/>
      <c r="X462" s="60"/>
      <c r="Y462" s="60"/>
      <c r="Z462" s="60"/>
      <c r="AA462" s="60"/>
      <c r="AB462" s="60"/>
      <c r="AC462" s="60"/>
      <c r="AD462" s="60"/>
      <c r="AE462" s="60"/>
      <c r="AF462" s="60"/>
    </row>
    <row r="463" spans="1:33" s="43" customFormat="1" ht="25.5">
      <c r="A463" s="105"/>
      <c r="B463" s="187">
        <f>B462+1</f>
        <v>6</v>
      </c>
      <c r="C463" s="603" t="s">
        <v>608</v>
      </c>
      <c r="D463" s="23" t="s">
        <v>595</v>
      </c>
      <c r="E463" s="58" t="s">
        <v>33</v>
      </c>
      <c r="F463" s="59">
        <v>1</v>
      </c>
      <c r="G463" s="25">
        <v>13150.56</v>
      </c>
      <c r="H463" s="312">
        <f t="shared" si="25"/>
        <v>13150.56</v>
      </c>
      <c r="I463" s="105"/>
      <c r="J463" s="105"/>
      <c r="K463" s="60"/>
      <c r="L463" s="60"/>
      <c r="M463" s="60"/>
      <c r="N463" s="60"/>
      <c r="O463" s="60"/>
      <c r="P463" s="60"/>
      <c r="Q463" s="60"/>
      <c r="R463" s="60"/>
      <c r="S463" s="60"/>
      <c r="T463" s="60"/>
      <c r="U463" s="60"/>
      <c r="V463" s="60"/>
      <c r="W463" s="60"/>
      <c r="X463" s="60"/>
      <c r="Y463" s="60"/>
      <c r="Z463" s="60"/>
      <c r="AA463" s="60"/>
      <c r="AB463" s="60"/>
      <c r="AC463" s="60"/>
      <c r="AD463" s="60"/>
      <c r="AE463" s="60"/>
      <c r="AF463" s="60"/>
    </row>
    <row r="464" spans="1:33" s="100" customFormat="1" ht="15">
      <c r="A464" s="105"/>
      <c r="B464" s="92"/>
      <c r="C464" s="603"/>
      <c r="D464" s="188"/>
      <c r="E464" s="188"/>
      <c r="F464" s="251"/>
      <c r="G464" s="313"/>
      <c r="H464" s="314"/>
      <c r="I464" s="105"/>
      <c r="J464" s="105"/>
      <c r="K464" s="60"/>
      <c r="L464" s="60"/>
      <c r="M464" s="60"/>
      <c r="N464" s="60"/>
      <c r="O464" s="60"/>
      <c r="P464" s="60"/>
      <c r="Q464" s="60"/>
      <c r="R464" s="60"/>
      <c r="S464" s="60"/>
      <c r="T464" s="60"/>
      <c r="U464" s="60"/>
      <c r="V464" s="60"/>
      <c r="W464" s="60"/>
      <c r="X464" s="60"/>
      <c r="Y464" s="60"/>
      <c r="Z464" s="60"/>
      <c r="AA464" s="60"/>
      <c r="AB464" s="60"/>
      <c r="AC464" s="60"/>
      <c r="AD464" s="60"/>
      <c r="AE464" s="60"/>
      <c r="AF464" s="60"/>
    </row>
    <row r="465" spans="1:32" s="100" customFormat="1" ht="15">
      <c r="A465" s="253"/>
      <c r="B465" s="65"/>
      <c r="C465" s="831" t="s">
        <v>1492</v>
      </c>
      <c r="D465" s="23"/>
      <c r="E465" s="58" t="s">
        <v>33</v>
      </c>
      <c r="F465" s="59"/>
      <c r="G465" s="25"/>
      <c r="H465" s="314">
        <f>SUM(H466:H484)</f>
        <v>488568.18999999994</v>
      </c>
      <c r="I465" s="105"/>
      <c r="J465" s="105"/>
      <c r="K465" s="60"/>
      <c r="L465" s="60"/>
      <c r="M465" s="60"/>
      <c r="N465" s="60"/>
      <c r="O465" s="60"/>
      <c r="P465" s="60"/>
      <c r="Q465" s="60"/>
      <c r="R465" s="60"/>
      <c r="S465" s="60"/>
      <c r="T465" s="60"/>
      <c r="U465" s="60"/>
      <c r="V465" s="60"/>
      <c r="W465" s="60"/>
      <c r="X465" s="60"/>
      <c r="Y465" s="60"/>
      <c r="Z465" s="60"/>
      <c r="AA465" s="60"/>
      <c r="AB465" s="60"/>
      <c r="AC465" s="60"/>
      <c r="AD465" s="60"/>
      <c r="AE465" s="60"/>
      <c r="AF465" s="60"/>
    </row>
    <row r="466" spans="1:32" s="100" customFormat="1" ht="15">
      <c r="A466" s="253"/>
      <c r="B466" s="65">
        <f>B463+1</f>
        <v>7</v>
      </c>
      <c r="C466" s="603" t="s">
        <v>368</v>
      </c>
      <c r="D466" s="23" t="s">
        <v>596</v>
      </c>
      <c r="E466" s="58" t="s">
        <v>33</v>
      </c>
      <c r="F466" s="59">
        <v>1</v>
      </c>
      <c r="G466" s="25">
        <v>21690.080000000002</v>
      </c>
      <c r="H466" s="315">
        <f t="shared" ref="H466:H484" si="26">F466*G466</f>
        <v>21690.080000000002</v>
      </c>
      <c r="I466" s="105"/>
      <c r="J466" s="105"/>
      <c r="K466" s="60"/>
      <c r="L466" s="60"/>
      <c r="M466" s="60"/>
      <c r="N466" s="60"/>
      <c r="O466" s="60"/>
      <c r="P466" s="60"/>
      <c r="Q466" s="60"/>
      <c r="R466" s="60"/>
      <c r="S466" s="60"/>
      <c r="T466" s="60"/>
      <c r="U466" s="60"/>
      <c r="V466" s="60"/>
      <c r="W466" s="60"/>
      <c r="X466" s="60"/>
      <c r="Y466" s="60"/>
      <c r="Z466" s="60"/>
      <c r="AA466" s="60"/>
      <c r="AB466" s="60"/>
      <c r="AC466" s="60"/>
      <c r="AD466" s="60"/>
      <c r="AE466" s="60"/>
      <c r="AF466" s="60"/>
    </row>
    <row r="467" spans="1:32" s="100" customFormat="1" ht="25.5">
      <c r="A467" s="253"/>
      <c r="B467" s="65">
        <f t="shared" ref="B467:B484" si="27">B466+1</f>
        <v>8</v>
      </c>
      <c r="C467" s="603" t="s">
        <v>1493</v>
      </c>
      <c r="D467" s="23" t="s">
        <v>597</v>
      </c>
      <c r="E467" s="58" t="s">
        <v>33</v>
      </c>
      <c r="F467" s="59">
        <v>1</v>
      </c>
      <c r="G467" s="25">
        <v>78493.08</v>
      </c>
      <c r="H467" s="315">
        <f t="shared" si="26"/>
        <v>78493.08</v>
      </c>
      <c r="I467" s="105"/>
      <c r="J467" s="105"/>
      <c r="K467" s="60"/>
      <c r="L467" s="60"/>
      <c r="M467" s="60"/>
      <c r="N467" s="60"/>
      <c r="O467" s="60"/>
      <c r="P467" s="60"/>
      <c r="Q467" s="60"/>
      <c r="R467" s="60"/>
      <c r="S467" s="60"/>
      <c r="T467" s="60"/>
      <c r="U467" s="60"/>
      <c r="V467" s="60"/>
      <c r="W467" s="60"/>
      <c r="X467" s="60"/>
      <c r="Y467" s="60"/>
      <c r="Z467" s="60"/>
      <c r="AA467" s="60"/>
      <c r="AB467" s="60"/>
      <c r="AC467" s="60"/>
      <c r="AD467" s="60"/>
      <c r="AE467" s="60"/>
      <c r="AF467" s="60"/>
    </row>
    <row r="468" spans="1:32" s="100" customFormat="1" ht="25.5">
      <c r="A468" s="253"/>
      <c r="B468" s="65">
        <f t="shared" si="27"/>
        <v>9</v>
      </c>
      <c r="C468" s="603" t="s">
        <v>369</v>
      </c>
      <c r="D468" s="23" t="s">
        <v>597</v>
      </c>
      <c r="E468" s="58" t="s">
        <v>33</v>
      </c>
      <c r="F468" s="59">
        <v>1</v>
      </c>
      <c r="G468" s="25">
        <v>32856.25</v>
      </c>
      <c r="H468" s="315">
        <f t="shared" si="26"/>
        <v>32856.25</v>
      </c>
      <c r="I468" s="105"/>
      <c r="J468" s="105"/>
      <c r="K468" s="60"/>
      <c r="L468" s="60"/>
      <c r="M468" s="60"/>
      <c r="N468" s="60"/>
      <c r="O468" s="60"/>
      <c r="P468" s="60"/>
      <c r="Q468" s="60"/>
      <c r="R468" s="60"/>
      <c r="S468" s="60"/>
      <c r="T468" s="60"/>
      <c r="U468" s="60"/>
      <c r="V468" s="60"/>
      <c r="W468" s="60"/>
      <c r="X468" s="60"/>
      <c r="Y468" s="60"/>
      <c r="Z468" s="60"/>
      <c r="AA468" s="60"/>
      <c r="AB468" s="60"/>
      <c r="AC468" s="60"/>
      <c r="AD468" s="60"/>
      <c r="AE468" s="60"/>
      <c r="AF468" s="60"/>
    </row>
    <row r="469" spans="1:32" s="100" customFormat="1" ht="15">
      <c r="A469" s="253"/>
      <c r="B469" s="65">
        <f>B468+1</f>
        <v>10</v>
      </c>
      <c r="C469" s="604" t="s">
        <v>1494</v>
      </c>
      <c r="D469" s="23" t="s">
        <v>598</v>
      </c>
      <c r="E469" s="58" t="s">
        <v>33</v>
      </c>
      <c r="F469" s="59">
        <v>1</v>
      </c>
      <c r="G469" s="25">
        <v>12565.92</v>
      </c>
      <c r="H469" s="315">
        <f t="shared" si="26"/>
        <v>12565.92</v>
      </c>
      <c r="I469" s="105"/>
      <c r="J469" s="105"/>
      <c r="K469" s="60"/>
      <c r="L469" s="60"/>
      <c r="M469" s="60"/>
      <c r="N469" s="60"/>
      <c r="O469" s="60"/>
      <c r="P469" s="60"/>
      <c r="Q469" s="60"/>
      <c r="R469" s="60"/>
      <c r="S469" s="60"/>
      <c r="T469" s="60"/>
      <c r="U469" s="60"/>
      <c r="V469" s="60"/>
      <c r="W469" s="60"/>
      <c r="X469" s="60"/>
      <c r="Y469" s="60"/>
      <c r="Z469" s="60"/>
      <c r="AA469" s="60"/>
      <c r="AB469" s="60"/>
      <c r="AC469" s="60"/>
      <c r="AD469" s="60"/>
      <c r="AE469" s="60"/>
      <c r="AF469" s="60"/>
    </row>
    <row r="470" spans="1:32" s="43" customFormat="1" ht="25.5">
      <c r="A470" s="253"/>
      <c r="B470" s="65">
        <f t="shared" si="27"/>
        <v>11</v>
      </c>
      <c r="C470" s="603" t="s">
        <v>1495</v>
      </c>
      <c r="D470" s="23" t="s">
        <v>599</v>
      </c>
      <c r="E470" s="58" t="s">
        <v>33</v>
      </c>
      <c r="F470" s="59">
        <v>1</v>
      </c>
      <c r="G470" s="25">
        <v>12565.92</v>
      </c>
      <c r="H470" s="315">
        <f t="shared" si="26"/>
        <v>12565.92</v>
      </c>
      <c r="I470" s="105"/>
      <c r="J470" s="105"/>
      <c r="K470" s="60"/>
      <c r="L470" s="60"/>
      <c r="M470" s="60"/>
      <c r="N470" s="60"/>
      <c r="O470" s="60"/>
      <c r="P470" s="60"/>
      <c r="Q470" s="60"/>
      <c r="R470" s="60"/>
      <c r="S470" s="60"/>
      <c r="T470" s="60"/>
      <c r="U470" s="60"/>
      <c r="V470" s="60"/>
      <c r="W470" s="60"/>
      <c r="X470" s="60"/>
      <c r="Y470" s="60"/>
      <c r="Z470" s="60"/>
      <c r="AA470" s="60"/>
      <c r="AB470" s="60"/>
      <c r="AC470" s="60"/>
      <c r="AD470" s="60"/>
      <c r="AE470" s="60"/>
      <c r="AF470" s="60"/>
    </row>
    <row r="471" spans="1:32" s="100" customFormat="1" ht="25.5">
      <c r="A471" s="253"/>
      <c r="B471" s="65">
        <f t="shared" si="27"/>
        <v>12</v>
      </c>
      <c r="C471" s="604" t="s">
        <v>370</v>
      </c>
      <c r="D471" s="23" t="s">
        <v>600</v>
      </c>
      <c r="E471" s="58" t="s">
        <v>33</v>
      </c>
      <c r="F471" s="59">
        <v>1</v>
      </c>
      <c r="G471" s="25">
        <v>12614.64</v>
      </c>
      <c r="H471" s="315">
        <f t="shared" si="26"/>
        <v>12614.64</v>
      </c>
      <c r="I471" s="105"/>
      <c r="J471" s="105"/>
      <c r="K471" s="60"/>
      <c r="L471" s="60"/>
      <c r="M471" s="60"/>
      <c r="N471" s="60"/>
      <c r="O471" s="60"/>
      <c r="P471" s="60"/>
      <c r="Q471" s="60"/>
      <c r="R471" s="60"/>
      <c r="S471" s="60"/>
      <c r="T471" s="60"/>
      <c r="U471" s="60"/>
      <c r="V471" s="60"/>
      <c r="W471" s="60"/>
      <c r="X471" s="60"/>
      <c r="Y471" s="60"/>
      <c r="Z471" s="60"/>
      <c r="AA471" s="60"/>
      <c r="AB471" s="60"/>
      <c r="AC471" s="60"/>
      <c r="AD471" s="60"/>
      <c r="AE471" s="60"/>
      <c r="AF471" s="60"/>
    </row>
    <row r="472" spans="1:32" s="100" customFormat="1" ht="25.5">
      <c r="A472" s="253"/>
      <c r="B472" s="65">
        <f t="shared" si="27"/>
        <v>13</v>
      </c>
      <c r="C472" s="603" t="s">
        <v>371</v>
      </c>
      <c r="D472" s="23" t="s">
        <v>600</v>
      </c>
      <c r="E472" s="58" t="s">
        <v>33</v>
      </c>
      <c r="F472" s="59">
        <v>1</v>
      </c>
      <c r="G472" s="25">
        <v>15642.24</v>
      </c>
      <c r="H472" s="315">
        <f t="shared" si="26"/>
        <v>15642.24</v>
      </c>
      <c r="I472" s="105"/>
      <c r="J472" s="105"/>
      <c r="K472" s="60"/>
      <c r="L472" s="60"/>
      <c r="M472" s="60"/>
      <c r="N472" s="60"/>
      <c r="O472" s="60"/>
      <c r="P472" s="60"/>
      <c r="Q472" s="60"/>
      <c r="R472" s="60"/>
      <c r="S472" s="60"/>
      <c r="T472" s="60"/>
      <c r="U472" s="60"/>
      <c r="V472" s="60"/>
      <c r="W472" s="60"/>
      <c r="X472" s="60"/>
      <c r="Y472" s="60"/>
      <c r="Z472" s="60"/>
      <c r="AA472" s="60"/>
      <c r="AB472" s="60"/>
      <c r="AC472" s="60"/>
      <c r="AD472" s="60"/>
      <c r="AE472" s="60"/>
      <c r="AF472" s="60"/>
    </row>
    <row r="473" spans="1:32" s="100" customFormat="1" ht="15">
      <c r="A473" s="253"/>
      <c r="B473" s="65">
        <f t="shared" si="27"/>
        <v>14</v>
      </c>
      <c r="C473" s="604" t="s">
        <v>372</v>
      </c>
      <c r="D473" s="23" t="s">
        <v>597</v>
      </c>
      <c r="E473" s="58" t="s">
        <v>33</v>
      </c>
      <c r="F473" s="59">
        <v>1</v>
      </c>
      <c r="G473" s="25">
        <v>18097.439999999999</v>
      </c>
      <c r="H473" s="315">
        <f t="shared" si="26"/>
        <v>18097.439999999999</v>
      </c>
      <c r="I473" s="105"/>
      <c r="J473" s="105"/>
      <c r="K473" s="60"/>
      <c r="L473" s="60"/>
      <c r="M473" s="60"/>
      <c r="N473" s="60"/>
      <c r="O473" s="60"/>
      <c r="P473" s="60"/>
      <c r="Q473" s="60"/>
      <c r="R473" s="60"/>
      <c r="S473" s="60"/>
      <c r="T473" s="60"/>
      <c r="U473" s="60"/>
      <c r="V473" s="60"/>
      <c r="W473" s="60"/>
      <c r="X473" s="60"/>
      <c r="Y473" s="60"/>
      <c r="Z473" s="60"/>
      <c r="AA473" s="60"/>
      <c r="AB473" s="60"/>
      <c r="AC473" s="60"/>
      <c r="AD473" s="60"/>
      <c r="AE473" s="60"/>
      <c r="AF473" s="60"/>
    </row>
    <row r="474" spans="1:32" s="100" customFormat="1" ht="25.5">
      <c r="A474" s="253"/>
      <c r="B474" s="65">
        <f t="shared" si="27"/>
        <v>15</v>
      </c>
      <c r="C474" s="604" t="s">
        <v>1496</v>
      </c>
      <c r="D474" s="23" t="s">
        <v>600</v>
      </c>
      <c r="E474" s="58" t="s">
        <v>33</v>
      </c>
      <c r="F474" s="59">
        <v>1</v>
      </c>
      <c r="G474" s="25">
        <v>18097.439999999999</v>
      </c>
      <c r="H474" s="315">
        <f t="shared" si="26"/>
        <v>18097.439999999999</v>
      </c>
      <c r="I474" s="105"/>
      <c r="J474" s="105"/>
      <c r="K474" s="60"/>
      <c r="L474" s="60"/>
      <c r="M474" s="60"/>
      <c r="N474" s="60"/>
      <c r="O474" s="60"/>
      <c r="P474" s="60"/>
      <c r="Q474" s="60"/>
      <c r="R474" s="60"/>
      <c r="S474" s="60"/>
      <c r="T474" s="60"/>
      <c r="U474" s="60"/>
      <c r="V474" s="60"/>
      <c r="W474" s="60"/>
      <c r="X474" s="60"/>
      <c r="Y474" s="60"/>
      <c r="Z474" s="60"/>
      <c r="AA474" s="60"/>
      <c r="AB474" s="60"/>
      <c r="AC474" s="60"/>
      <c r="AD474" s="60"/>
      <c r="AE474" s="60"/>
      <c r="AF474" s="60"/>
    </row>
    <row r="475" spans="1:32" s="100" customFormat="1" ht="15">
      <c r="A475" s="253"/>
      <c r="B475" s="65">
        <f t="shared" si="27"/>
        <v>16</v>
      </c>
      <c r="C475" s="604" t="s">
        <v>373</v>
      </c>
      <c r="D475" s="23" t="s">
        <v>599</v>
      </c>
      <c r="E475" s="58" t="s">
        <v>33</v>
      </c>
      <c r="F475" s="59">
        <v>1</v>
      </c>
      <c r="G475" s="25">
        <v>10752.12</v>
      </c>
      <c r="H475" s="315">
        <f t="shared" si="26"/>
        <v>10752.12</v>
      </c>
      <c r="I475" s="105"/>
      <c r="J475" s="105"/>
      <c r="K475" s="60"/>
      <c r="L475" s="60"/>
      <c r="M475" s="60"/>
      <c r="N475" s="60"/>
      <c r="O475" s="60"/>
      <c r="P475" s="60"/>
      <c r="Q475" s="60"/>
      <c r="R475" s="60"/>
      <c r="S475" s="60"/>
      <c r="T475" s="60"/>
      <c r="U475" s="60"/>
      <c r="V475" s="60"/>
      <c r="W475" s="60"/>
      <c r="X475" s="60"/>
      <c r="Y475" s="60"/>
      <c r="Z475" s="60"/>
      <c r="AA475" s="60"/>
      <c r="AB475" s="60"/>
      <c r="AC475" s="60"/>
      <c r="AD475" s="60"/>
      <c r="AE475" s="60"/>
      <c r="AF475" s="60"/>
    </row>
    <row r="476" spans="1:32" s="100" customFormat="1" ht="25.5">
      <c r="A476" s="253"/>
      <c r="B476" s="65">
        <f t="shared" si="27"/>
        <v>17</v>
      </c>
      <c r="C476" s="603" t="s">
        <v>1497</v>
      </c>
      <c r="D476" s="23" t="s">
        <v>600</v>
      </c>
      <c r="E476" s="58" t="s">
        <v>33</v>
      </c>
      <c r="F476" s="59">
        <v>1</v>
      </c>
      <c r="G476" s="25">
        <v>3524.52</v>
      </c>
      <c r="H476" s="315">
        <f t="shared" si="26"/>
        <v>3524.52</v>
      </c>
      <c r="I476" s="105"/>
      <c r="J476" s="105"/>
      <c r="K476" s="60"/>
      <c r="L476" s="60"/>
      <c r="M476" s="60"/>
      <c r="N476" s="60"/>
      <c r="O476" s="60"/>
      <c r="P476" s="60"/>
      <c r="Q476" s="60"/>
      <c r="R476" s="60"/>
      <c r="S476" s="60"/>
      <c r="T476" s="60"/>
      <c r="U476" s="60"/>
      <c r="V476" s="60"/>
      <c r="W476" s="60"/>
      <c r="X476" s="60"/>
      <c r="Y476" s="60"/>
      <c r="Z476" s="60"/>
      <c r="AA476" s="60"/>
      <c r="AB476" s="60"/>
      <c r="AC476" s="60"/>
      <c r="AD476" s="60"/>
      <c r="AE476" s="60"/>
      <c r="AF476" s="60"/>
    </row>
    <row r="477" spans="1:32" s="100" customFormat="1" ht="15">
      <c r="A477" s="317"/>
      <c r="B477" s="65">
        <f t="shared" si="27"/>
        <v>18</v>
      </c>
      <c r="C477" s="605" t="s">
        <v>1498</v>
      </c>
      <c r="D477" s="23" t="s">
        <v>600</v>
      </c>
      <c r="E477" s="58" t="s">
        <v>33</v>
      </c>
      <c r="F477" s="318">
        <v>1</v>
      </c>
      <c r="G477" s="319">
        <v>15240.84</v>
      </c>
      <c r="H477" s="315">
        <f t="shared" si="26"/>
        <v>15240.84</v>
      </c>
      <c r="I477" s="105"/>
      <c r="J477" s="105"/>
      <c r="K477" s="60"/>
      <c r="L477" s="60"/>
      <c r="M477" s="60"/>
      <c r="N477" s="60"/>
      <c r="O477" s="60"/>
      <c r="P477" s="60"/>
      <c r="Q477" s="60"/>
      <c r="R477" s="60"/>
      <c r="S477" s="60"/>
      <c r="T477" s="60"/>
      <c r="U477" s="60"/>
      <c r="V477" s="60"/>
      <c r="W477" s="60"/>
      <c r="X477" s="60"/>
      <c r="Y477" s="60"/>
      <c r="Z477" s="60"/>
      <c r="AA477" s="60"/>
      <c r="AB477" s="60"/>
      <c r="AC477" s="60"/>
      <c r="AD477" s="60"/>
      <c r="AE477" s="60"/>
      <c r="AF477" s="60"/>
    </row>
    <row r="478" spans="1:32" s="100" customFormat="1" ht="15">
      <c r="A478" s="253"/>
      <c r="B478" s="65">
        <f t="shared" si="27"/>
        <v>19</v>
      </c>
      <c r="C478" s="604" t="s">
        <v>609</v>
      </c>
      <c r="D478" s="23" t="s">
        <v>599</v>
      </c>
      <c r="E478" s="58" t="s">
        <v>33</v>
      </c>
      <c r="F478" s="59">
        <v>1</v>
      </c>
      <c r="G478" s="25">
        <v>9549.68</v>
      </c>
      <c r="H478" s="315">
        <f t="shared" si="26"/>
        <v>9549.68</v>
      </c>
      <c r="I478" s="105"/>
      <c r="J478" s="105"/>
      <c r="K478" s="60"/>
      <c r="L478" s="60"/>
      <c r="M478" s="60"/>
      <c r="N478" s="60"/>
      <c r="O478" s="60"/>
      <c r="P478" s="60"/>
      <c r="Q478" s="60"/>
      <c r="R478" s="60"/>
      <c r="S478" s="60"/>
      <c r="T478" s="60"/>
      <c r="U478" s="60"/>
      <c r="V478" s="60"/>
      <c r="W478" s="60"/>
      <c r="X478" s="60"/>
      <c r="Y478" s="60"/>
      <c r="Z478" s="60"/>
      <c r="AA478" s="60"/>
      <c r="AB478" s="60"/>
      <c r="AC478" s="60"/>
      <c r="AD478" s="60"/>
      <c r="AE478" s="60"/>
      <c r="AF478" s="60"/>
    </row>
    <row r="479" spans="1:32" s="100" customFormat="1" ht="15">
      <c r="A479" s="253"/>
      <c r="B479" s="65">
        <f t="shared" si="27"/>
        <v>20</v>
      </c>
      <c r="C479" s="603" t="s">
        <v>374</v>
      </c>
      <c r="D479" s="23" t="s">
        <v>599</v>
      </c>
      <c r="E479" s="58" t="s">
        <v>33</v>
      </c>
      <c r="F479" s="59">
        <v>1</v>
      </c>
      <c r="G479" s="25">
        <v>9586.6200000000008</v>
      </c>
      <c r="H479" s="315">
        <f t="shared" si="26"/>
        <v>9586.6200000000008</v>
      </c>
      <c r="I479" s="105"/>
      <c r="J479" s="105"/>
      <c r="K479" s="60"/>
      <c r="L479" s="60"/>
      <c r="M479" s="60"/>
      <c r="N479" s="60"/>
      <c r="O479" s="60"/>
      <c r="P479" s="60"/>
      <c r="Q479" s="60"/>
      <c r="R479" s="60"/>
      <c r="S479" s="60"/>
      <c r="T479" s="60"/>
      <c r="U479" s="60"/>
      <c r="V479" s="60"/>
      <c r="W479" s="60"/>
      <c r="X479" s="60"/>
      <c r="Y479" s="60"/>
      <c r="Z479" s="60"/>
      <c r="AA479" s="60"/>
      <c r="AB479" s="60"/>
      <c r="AC479" s="60"/>
      <c r="AD479" s="60"/>
      <c r="AE479" s="60"/>
      <c r="AF479" s="60"/>
    </row>
    <row r="480" spans="1:32" s="100" customFormat="1" ht="79.5" customHeight="1">
      <c r="A480" s="253"/>
      <c r="B480" s="65">
        <f t="shared" si="27"/>
        <v>21</v>
      </c>
      <c r="C480" s="604" t="s">
        <v>1499</v>
      </c>
      <c r="D480" s="23" t="s">
        <v>599</v>
      </c>
      <c r="E480" s="58" t="s">
        <v>33</v>
      </c>
      <c r="F480" s="59">
        <v>1</v>
      </c>
      <c r="G480" s="25">
        <v>16821.12</v>
      </c>
      <c r="H480" s="315">
        <f t="shared" si="26"/>
        <v>16821.12</v>
      </c>
      <c r="I480" s="105"/>
      <c r="J480" s="105"/>
      <c r="K480" s="60"/>
      <c r="L480" s="60"/>
      <c r="M480" s="60"/>
      <c r="N480" s="60"/>
      <c r="O480" s="60"/>
      <c r="P480" s="60"/>
      <c r="Q480" s="60"/>
      <c r="R480" s="60"/>
      <c r="S480" s="60"/>
      <c r="T480" s="60"/>
      <c r="U480" s="60"/>
      <c r="V480" s="60"/>
      <c r="W480" s="60"/>
      <c r="X480" s="60"/>
      <c r="Y480" s="60"/>
      <c r="Z480" s="60"/>
      <c r="AA480" s="60"/>
      <c r="AB480" s="60"/>
      <c r="AC480" s="60"/>
      <c r="AD480" s="60"/>
      <c r="AE480" s="60"/>
      <c r="AF480" s="60"/>
    </row>
    <row r="481" spans="1:33" s="100" customFormat="1" ht="81.75" customHeight="1">
      <c r="A481" s="253"/>
      <c r="B481" s="65">
        <f t="shared" si="27"/>
        <v>22</v>
      </c>
      <c r="C481" s="604" t="s">
        <v>1500</v>
      </c>
      <c r="D481" s="23" t="s">
        <v>599</v>
      </c>
      <c r="E481" s="58" t="s">
        <v>33</v>
      </c>
      <c r="F481" s="59">
        <v>1</v>
      </c>
      <c r="G481" s="25">
        <v>16821.12</v>
      </c>
      <c r="H481" s="315">
        <f t="shared" si="26"/>
        <v>16821.12</v>
      </c>
      <c r="I481" s="105"/>
      <c r="J481" s="105"/>
      <c r="K481" s="60"/>
      <c r="L481" s="60"/>
      <c r="M481" s="60"/>
      <c r="N481" s="60"/>
      <c r="O481" s="60"/>
      <c r="P481" s="60"/>
      <c r="Q481" s="60"/>
      <c r="R481" s="60"/>
      <c r="S481" s="60"/>
      <c r="T481" s="60"/>
      <c r="U481" s="60"/>
      <c r="V481" s="60"/>
      <c r="W481" s="60"/>
      <c r="X481" s="60"/>
      <c r="Y481" s="60"/>
      <c r="Z481" s="60"/>
      <c r="AA481" s="60"/>
      <c r="AB481" s="60"/>
      <c r="AC481" s="60"/>
      <c r="AD481" s="60"/>
      <c r="AE481" s="60"/>
      <c r="AF481" s="60"/>
    </row>
    <row r="482" spans="1:33" s="100" customFormat="1" ht="25.5">
      <c r="A482" s="253"/>
      <c r="B482" s="65">
        <f t="shared" si="27"/>
        <v>23</v>
      </c>
      <c r="C482" s="1337" t="s">
        <v>610</v>
      </c>
      <c r="D482" s="1338" t="s">
        <v>599</v>
      </c>
      <c r="E482" s="58" t="s">
        <v>33</v>
      </c>
      <c r="F482" s="59">
        <v>1</v>
      </c>
      <c r="G482" s="25">
        <v>12648.72</v>
      </c>
      <c r="H482" s="315">
        <f t="shared" si="26"/>
        <v>12648.72</v>
      </c>
      <c r="I482" s="105"/>
      <c r="J482" s="105"/>
      <c r="K482" s="60"/>
      <c r="L482" s="60"/>
      <c r="M482" s="60"/>
      <c r="N482" s="60"/>
      <c r="O482" s="60"/>
      <c r="P482" s="60"/>
      <c r="Q482" s="60"/>
      <c r="R482" s="60"/>
      <c r="S482" s="60"/>
      <c r="T482" s="60"/>
      <c r="U482" s="60"/>
      <c r="V482" s="60"/>
      <c r="W482" s="60"/>
      <c r="X482" s="60"/>
      <c r="Y482" s="60"/>
      <c r="Z482" s="60"/>
      <c r="AA482" s="60"/>
      <c r="AB482" s="60"/>
      <c r="AC482" s="60"/>
      <c r="AD482" s="60"/>
      <c r="AE482" s="60"/>
      <c r="AF482" s="60"/>
    </row>
    <row r="483" spans="1:33" s="100" customFormat="1" ht="15">
      <c r="A483" s="1049"/>
      <c r="B483" s="65">
        <f t="shared" si="27"/>
        <v>24</v>
      </c>
      <c r="C483" s="1032" t="s">
        <v>2449</v>
      </c>
      <c r="D483" s="1338" t="s">
        <v>600</v>
      </c>
      <c r="E483" s="58" t="s">
        <v>33</v>
      </c>
      <c r="F483" s="318">
        <v>1</v>
      </c>
      <c r="G483" s="319">
        <v>65000.44</v>
      </c>
      <c r="H483" s="812">
        <f t="shared" si="26"/>
        <v>65000.44</v>
      </c>
      <c r="I483" s="105"/>
      <c r="J483" s="105"/>
      <c r="K483" s="60"/>
      <c r="L483" s="60"/>
      <c r="M483" s="60"/>
      <c r="N483" s="60"/>
      <c r="O483" s="60"/>
      <c r="P483" s="60"/>
      <c r="Q483" s="60"/>
      <c r="R483" s="60"/>
      <c r="S483" s="60"/>
      <c r="T483" s="60"/>
      <c r="U483" s="60"/>
      <c r="V483" s="60"/>
      <c r="W483" s="60"/>
      <c r="X483" s="60"/>
      <c r="Y483" s="60"/>
      <c r="Z483" s="60"/>
      <c r="AA483" s="60"/>
      <c r="AB483" s="60"/>
      <c r="AC483" s="60"/>
      <c r="AD483" s="60"/>
      <c r="AE483" s="60"/>
      <c r="AF483" s="60"/>
    </row>
    <row r="484" spans="1:33" s="100" customFormat="1" ht="15">
      <c r="A484" s="105"/>
      <c r="B484" s="65">
        <f t="shared" si="27"/>
        <v>25</v>
      </c>
      <c r="C484" s="1032" t="s">
        <v>2450</v>
      </c>
      <c r="D484" s="1338" t="s">
        <v>600</v>
      </c>
      <c r="E484" s="58" t="s">
        <v>33</v>
      </c>
      <c r="F484" s="318">
        <v>2</v>
      </c>
      <c r="G484" s="600">
        <v>53000</v>
      </c>
      <c r="H484" s="812">
        <f t="shared" si="26"/>
        <v>106000</v>
      </c>
      <c r="I484" s="105"/>
      <c r="J484" s="105"/>
      <c r="K484" s="60"/>
      <c r="L484" s="60"/>
      <c r="M484" s="60"/>
      <c r="N484" s="60"/>
      <c r="O484" s="60"/>
      <c r="P484" s="60"/>
      <c r="Q484" s="60"/>
      <c r="R484" s="60"/>
      <c r="S484" s="60"/>
      <c r="T484" s="60"/>
      <c r="U484" s="60"/>
      <c r="V484" s="60"/>
      <c r="W484" s="60"/>
      <c r="X484" s="60"/>
      <c r="Y484" s="60"/>
      <c r="Z484" s="60"/>
      <c r="AA484" s="60"/>
      <c r="AB484" s="60"/>
      <c r="AC484" s="60"/>
      <c r="AD484" s="60"/>
      <c r="AE484" s="60"/>
      <c r="AF484" s="60"/>
    </row>
    <row r="485" spans="1:33" s="100" customFormat="1" ht="15">
      <c r="A485" s="105"/>
      <c r="B485" s="65"/>
      <c r="C485" s="1032"/>
      <c r="D485" s="599"/>
      <c r="E485" s="599"/>
      <c r="F485" s="318"/>
      <c r="G485" s="600"/>
      <c r="H485" s="601"/>
      <c r="I485" s="105"/>
      <c r="J485" s="105"/>
      <c r="K485" s="60"/>
      <c r="L485" s="60"/>
      <c r="M485" s="60"/>
      <c r="N485" s="60"/>
      <c r="O485" s="60"/>
      <c r="P485" s="60"/>
      <c r="Q485" s="60"/>
      <c r="R485" s="60"/>
      <c r="S485" s="60"/>
      <c r="T485" s="60"/>
      <c r="U485" s="60"/>
      <c r="V485" s="60"/>
      <c r="W485" s="60"/>
      <c r="X485" s="60"/>
      <c r="Y485" s="60"/>
      <c r="Z485" s="60"/>
      <c r="AA485" s="60"/>
      <c r="AB485" s="60"/>
      <c r="AC485" s="60"/>
      <c r="AD485" s="60"/>
      <c r="AE485" s="60"/>
      <c r="AF485" s="60"/>
    </row>
    <row r="486" spans="1:33" s="100" customFormat="1" ht="15">
      <c r="A486" s="105"/>
      <c r="B486" s="598">
        <f>B484+1</f>
        <v>26</v>
      </c>
      <c r="C486" s="1094" t="s">
        <v>1501</v>
      </c>
      <c r="D486" s="599"/>
      <c r="E486" s="599"/>
      <c r="F486" s="318"/>
      <c r="G486" s="600"/>
      <c r="H486" s="601">
        <f>H487</f>
        <v>112345.2</v>
      </c>
      <c r="I486" s="105"/>
      <c r="J486" s="105"/>
      <c r="K486" s="60"/>
      <c r="L486" s="60"/>
      <c r="M486" s="60"/>
      <c r="N486" s="60"/>
      <c r="O486" s="60"/>
      <c r="P486" s="60"/>
      <c r="Q486" s="60"/>
      <c r="R486" s="60"/>
      <c r="S486" s="60"/>
      <c r="T486" s="60"/>
      <c r="U486" s="60"/>
      <c r="V486" s="60"/>
      <c r="W486" s="60"/>
      <c r="X486" s="60"/>
      <c r="Y486" s="60"/>
      <c r="Z486" s="60"/>
      <c r="AA486" s="60"/>
      <c r="AB486" s="60"/>
      <c r="AC486" s="60"/>
      <c r="AD486" s="60"/>
      <c r="AE486" s="60"/>
      <c r="AF486" s="60"/>
    </row>
    <row r="487" spans="1:33" s="100" customFormat="1" ht="15">
      <c r="A487" s="105"/>
      <c r="B487" s="598"/>
      <c r="C487" s="604" t="s">
        <v>1502</v>
      </c>
      <c r="D487" s="599" t="s">
        <v>597</v>
      </c>
      <c r="E487" s="58" t="s">
        <v>33</v>
      </c>
      <c r="F487" s="59">
        <v>1</v>
      </c>
      <c r="G487" s="600">
        <v>112345.2</v>
      </c>
      <c r="H487" s="315">
        <f>F487*G487</f>
        <v>112345.2</v>
      </c>
      <c r="I487" s="105"/>
      <c r="J487" s="105"/>
      <c r="K487" s="60"/>
      <c r="L487" s="60"/>
      <c r="M487" s="60"/>
      <c r="N487" s="60"/>
      <c r="O487" s="60"/>
      <c r="P487" s="60"/>
      <c r="Q487" s="60"/>
      <c r="R487" s="60"/>
      <c r="S487" s="60"/>
      <c r="T487" s="60"/>
      <c r="U487" s="60"/>
      <c r="V487" s="60"/>
      <c r="W487" s="60"/>
      <c r="X487" s="60"/>
      <c r="Y487" s="60"/>
      <c r="Z487" s="60"/>
      <c r="AA487" s="60"/>
      <c r="AB487" s="60"/>
      <c r="AC487" s="60"/>
      <c r="AD487" s="60"/>
      <c r="AE487" s="60"/>
      <c r="AF487" s="60"/>
    </row>
    <row r="488" spans="1:33" s="100" customFormat="1" ht="15">
      <c r="A488" s="105"/>
      <c r="B488" s="114"/>
      <c r="C488" s="258"/>
      <c r="D488" s="111"/>
      <c r="E488" s="175"/>
      <c r="F488" s="120"/>
      <c r="G488" s="112"/>
      <c r="H488" s="597"/>
      <c r="I488" s="105"/>
      <c r="J488" s="105"/>
      <c r="K488" s="60"/>
      <c r="L488" s="60"/>
      <c r="M488" s="60"/>
      <c r="N488" s="60"/>
      <c r="O488" s="60"/>
      <c r="P488" s="60"/>
      <c r="Q488" s="60"/>
      <c r="R488" s="60"/>
      <c r="S488" s="60"/>
      <c r="T488" s="60"/>
      <c r="U488" s="60"/>
      <c r="V488" s="60"/>
      <c r="W488" s="60"/>
      <c r="X488" s="60"/>
      <c r="Y488" s="60"/>
      <c r="Z488" s="60"/>
      <c r="AA488" s="60"/>
      <c r="AB488" s="60"/>
      <c r="AC488" s="60"/>
      <c r="AD488" s="60"/>
      <c r="AE488" s="60"/>
      <c r="AF488" s="60"/>
    </row>
    <row r="489" spans="1:33" s="43" customFormat="1" ht="15">
      <c r="A489" s="105"/>
      <c r="B489" s="274"/>
      <c r="C489" s="1395" t="s">
        <v>768</v>
      </c>
      <c r="D489" s="1395"/>
      <c r="E489" s="1395"/>
      <c r="F489" s="180"/>
      <c r="G489" s="193"/>
      <c r="H489" s="275">
        <f>H490+H494+H497</f>
        <v>61221609.38970273</v>
      </c>
      <c r="I489" s="1072"/>
      <c r="J489" s="9"/>
      <c r="K489" s="241"/>
      <c r="L489" s="60"/>
      <c r="M489" s="60"/>
      <c r="N489" s="60"/>
      <c r="O489" s="60"/>
      <c r="P489" s="60"/>
      <c r="Q489" s="60"/>
      <c r="R489" s="60"/>
      <c r="S489" s="60"/>
      <c r="T489" s="60"/>
      <c r="U489" s="60"/>
      <c r="V489" s="60"/>
      <c r="W489" s="60"/>
      <c r="X489" s="60"/>
      <c r="Y489" s="60"/>
      <c r="Z489" s="60"/>
      <c r="AA489" s="60"/>
      <c r="AB489" s="60"/>
      <c r="AC489" s="60"/>
      <c r="AD489" s="60"/>
      <c r="AE489" s="60"/>
      <c r="AF489" s="60"/>
      <c r="AG489" s="60"/>
    </row>
    <row r="490" spans="1:33" s="43" customFormat="1" ht="15">
      <c r="A490" s="105"/>
      <c r="B490" s="133"/>
      <c r="C490" s="1396" t="s">
        <v>769</v>
      </c>
      <c r="D490" s="1396"/>
      <c r="E490" s="1396"/>
      <c r="F490" s="130"/>
      <c r="G490" s="36"/>
      <c r="H490" s="269">
        <f>H492+H493</f>
        <v>12485303.681760002</v>
      </c>
      <c r="I490" s="1073"/>
      <c r="J490" s="1073"/>
      <c r="K490" s="241"/>
      <c r="L490" s="60"/>
      <c r="M490" s="60"/>
      <c r="N490" s="60"/>
      <c r="O490" s="60"/>
      <c r="P490" s="60"/>
      <c r="Q490" s="60"/>
      <c r="R490" s="60"/>
      <c r="S490" s="60"/>
      <c r="T490" s="60"/>
      <c r="U490" s="60"/>
      <c r="V490" s="60"/>
      <c r="W490" s="60"/>
      <c r="X490" s="60"/>
      <c r="Y490" s="60"/>
      <c r="Z490" s="60"/>
      <c r="AA490" s="60"/>
      <c r="AB490" s="60"/>
      <c r="AC490" s="60"/>
      <c r="AD490" s="60"/>
      <c r="AE490" s="60"/>
      <c r="AF490" s="60"/>
      <c r="AG490" s="60"/>
    </row>
    <row r="491" spans="1:33" s="43" customFormat="1" ht="38.25">
      <c r="A491" s="105"/>
      <c r="B491" s="1055" t="s">
        <v>79</v>
      </c>
      <c r="C491" s="116" t="s">
        <v>130</v>
      </c>
      <c r="D491" s="1055" t="s">
        <v>94</v>
      </c>
      <c r="E491" s="166" t="s">
        <v>165</v>
      </c>
      <c r="F491" s="1055" t="s">
        <v>134</v>
      </c>
      <c r="G491" s="1057" t="s">
        <v>95</v>
      </c>
      <c r="H491" s="1055" t="s">
        <v>859</v>
      </c>
      <c r="I491" s="302"/>
      <c r="J491" s="1052"/>
      <c r="K491" s="303"/>
      <c r="L491" s="60"/>
      <c r="M491" s="60"/>
      <c r="N491" s="60"/>
      <c r="O491" s="60"/>
      <c r="P491" s="60"/>
      <c r="Q491" s="60"/>
      <c r="R491" s="60"/>
      <c r="S491" s="60"/>
      <c r="T491" s="60"/>
      <c r="U491" s="60"/>
      <c r="V491" s="60"/>
      <c r="W491" s="60"/>
      <c r="X491" s="60"/>
      <c r="Y491" s="60"/>
      <c r="Z491" s="60"/>
      <c r="AA491" s="60"/>
      <c r="AB491" s="60"/>
      <c r="AC491" s="60"/>
      <c r="AD491" s="60"/>
      <c r="AE491" s="60"/>
      <c r="AF491" s="60"/>
      <c r="AG491" s="60"/>
    </row>
    <row r="492" spans="1:33" s="94" customFormat="1" ht="15">
      <c r="A492" s="105"/>
      <c r="B492" s="61">
        <v>1</v>
      </c>
      <c r="C492" s="1339" t="s">
        <v>96</v>
      </c>
      <c r="D492" s="1340">
        <f>18573*1.3</f>
        <v>24144.9</v>
      </c>
      <c r="E492" s="1341">
        <f>290.77*1.12</f>
        <v>325.66239999999999</v>
      </c>
      <c r="F492" s="239">
        <f>D492*E492</f>
        <v>7863086.0817600004</v>
      </c>
      <c r="G492" s="295">
        <v>1186</v>
      </c>
      <c r="H492" s="296">
        <f>F492</f>
        <v>7863086.0817600004</v>
      </c>
      <c r="I492" s="304"/>
      <c r="J492" s="304"/>
      <c r="K492" s="304"/>
      <c r="L492" s="60"/>
      <c r="M492" s="60"/>
      <c r="N492" s="60"/>
      <c r="O492" s="60"/>
      <c r="P492" s="60"/>
      <c r="Q492" s="60"/>
      <c r="R492" s="60"/>
      <c r="S492" s="60"/>
      <c r="T492" s="60"/>
      <c r="U492" s="60"/>
      <c r="V492" s="60"/>
      <c r="W492" s="60"/>
      <c r="X492" s="60"/>
      <c r="Y492" s="60"/>
      <c r="Z492" s="60"/>
      <c r="AA492" s="60"/>
      <c r="AB492" s="60"/>
      <c r="AC492" s="60"/>
      <c r="AD492" s="60"/>
      <c r="AE492" s="60"/>
      <c r="AF492" s="60"/>
      <c r="AG492" s="60"/>
    </row>
    <row r="493" spans="1:33" s="94" customFormat="1" ht="15">
      <c r="A493" s="105"/>
      <c r="B493" s="61">
        <v>2</v>
      </c>
      <c r="C493" s="1339" t="s">
        <v>415</v>
      </c>
      <c r="D493" s="1340">
        <f>20000*1.3</f>
        <v>26000</v>
      </c>
      <c r="E493" s="1341">
        <f>158.73*1.12</f>
        <v>177.77760000000001</v>
      </c>
      <c r="F493" s="239">
        <f>D493*E493</f>
        <v>4622217.6000000006</v>
      </c>
      <c r="G493" s="295">
        <v>1186</v>
      </c>
      <c r="H493" s="296">
        <f>F493</f>
        <v>4622217.6000000006</v>
      </c>
      <c r="I493" s="304"/>
      <c r="J493" s="304"/>
      <c r="K493" s="304"/>
      <c r="L493" s="60"/>
      <c r="M493" s="60"/>
      <c r="N493" s="60"/>
      <c r="O493" s="60"/>
      <c r="P493" s="60"/>
      <c r="Q493" s="60"/>
      <c r="R493" s="60"/>
      <c r="S493" s="60"/>
      <c r="T493" s="60"/>
      <c r="U493" s="60"/>
      <c r="V493" s="60"/>
      <c r="W493" s="60"/>
      <c r="X493" s="60"/>
      <c r="Y493" s="60"/>
      <c r="Z493" s="60"/>
      <c r="AA493" s="60"/>
      <c r="AB493" s="60"/>
      <c r="AC493" s="60"/>
      <c r="AD493" s="60"/>
      <c r="AE493" s="60"/>
      <c r="AF493" s="60"/>
      <c r="AG493" s="60"/>
    </row>
    <row r="494" spans="1:33" s="43" customFormat="1" ht="15">
      <c r="A494" s="105"/>
      <c r="B494" s="105"/>
      <c r="C494" s="1397" t="s">
        <v>770</v>
      </c>
      <c r="D494" s="1397"/>
      <c r="E494" s="1342"/>
      <c r="F494" s="130"/>
      <c r="G494" s="202"/>
      <c r="H494" s="230">
        <f>H496</f>
        <v>18549440.000000004</v>
      </c>
      <c r="I494" s="9"/>
      <c r="J494" s="9"/>
      <c r="K494" s="241"/>
      <c r="L494" s="60"/>
      <c r="M494" s="60"/>
      <c r="N494" s="60"/>
      <c r="O494" s="60"/>
      <c r="P494" s="60"/>
      <c r="Q494" s="60"/>
      <c r="R494" s="60"/>
      <c r="S494" s="60"/>
      <c r="T494" s="60"/>
      <c r="U494" s="60"/>
      <c r="V494" s="60"/>
      <c r="W494" s="60"/>
      <c r="X494" s="60"/>
      <c r="Y494" s="60"/>
      <c r="Z494" s="60"/>
      <c r="AA494" s="60"/>
      <c r="AB494" s="60"/>
      <c r="AC494" s="60"/>
      <c r="AD494" s="60"/>
      <c r="AE494" s="60"/>
      <c r="AF494" s="60"/>
      <c r="AG494" s="60"/>
    </row>
    <row r="495" spans="1:33" s="43" customFormat="1" ht="76.5">
      <c r="A495" s="105"/>
      <c r="B495" s="1055" t="s">
        <v>79</v>
      </c>
      <c r="C495" s="1343" t="s">
        <v>130</v>
      </c>
      <c r="D495" s="1344" t="s">
        <v>97</v>
      </c>
      <c r="E495" s="1344" t="s">
        <v>239</v>
      </c>
      <c r="F495" s="1055" t="s">
        <v>135</v>
      </c>
      <c r="G495" s="6" t="s">
        <v>95</v>
      </c>
      <c r="H495" s="6" t="s">
        <v>859</v>
      </c>
      <c r="I495" s="302"/>
      <c r="J495" s="1052"/>
      <c r="K495" s="303"/>
      <c r="L495" s="60"/>
      <c r="M495" s="60"/>
      <c r="N495" s="60"/>
      <c r="O495" s="60"/>
      <c r="P495" s="60"/>
      <c r="Q495" s="60"/>
      <c r="R495" s="60"/>
      <c r="S495" s="60"/>
      <c r="T495" s="60"/>
      <c r="U495" s="60"/>
      <c r="V495" s="60"/>
      <c r="W495" s="60"/>
      <c r="X495" s="60"/>
      <c r="Y495" s="60"/>
      <c r="Z495" s="60"/>
      <c r="AA495" s="60"/>
      <c r="AB495" s="60"/>
      <c r="AC495" s="60"/>
      <c r="AD495" s="60"/>
      <c r="AE495" s="60"/>
      <c r="AF495" s="60"/>
      <c r="AG495" s="60"/>
    </row>
    <row r="496" spans="1:33" s="94" customFormat="1" ht="15">
      <c r="A496" s="105"/>
      <c r="B496" s="129" t="s">
        <v>235</v>
      </c>
      <c r="C496" s="1339" t="s">
        <v>136</v>
      </c>
      <c r="D496" s="1340">
        <f>400000*1.3</f>
        <v>520000</v>
      </c>
      <c r="E496" s="1345">
        <f>31.85*1.12</f>
        <v>35.672000000000004</v>
      </c>
      <c r="F496" s="240">
        <f>D496*E496</f>
        <v>18549440.000000004</v>
      </c>
      <c r="G496" s="25">
        <v>1186</v>
      </c>
      <c r="H496" s="296">
        <f>F496</f>
        <v>18549440.000000004</v>
      </c>
      <c r="I496" s="304"/>
      <c r="J496" s="304"/>
      <c r="K496" s="304"/>
      <c r="L496" s="60"/>
      <c r="M496" s="60"/>
      <c r="N496" s="60"/>
      <c r="O496" s="60"/>
      <c r="P496" s="60"/>
      <c r="Q496" s="60"/>
      <c r="R496" s="60"/>
      <c r="S496" s="60"/>
      <c r="T496" s="60"/>
      <c r="U496" s="60"/>
      <c r="V496" s="60"/>
      <c r="W496" s="60"/>
      <c r="X496" s="60"/>
      <c r="Y496" s="60"/>
      <c r="Z496" s="60"/>
      <c r="AA496" s="60"/>
      <c r="AB496" s="60"/>
      <c r="AC496" s="60"/>
      <c r="AD496" s="60"/>
      <c r="AE496" s="60"/>
      <c r="AF496" s="60"/>
      <c r="AG496" s="60"/>
    </row>
    <row r="497" spans="1:33" s="43" customFormat="1" ht="15">
      <c r="A497" s="105"/>
      <c r="B497" s="105"/>
      <c r="C497" s="1397" t="s">
        <v>771</v>
      </c>
      <c r="D497" s="1397"/>
      <c r="E497" s="1342"/>
      <c r="F497" s="130"/>
      <c r="G497" s="36"/>
      <c r="H497" s="269">
        <f>H499+H500+H503+H501+H502</f>
        <v>30186865.707942724</v>
      </c>
      <c r="I497" s="1073"/>
      <c r="J497" s="9"/>
      <c r="K497" s="241"/>
      <c r="L497" s="60"/>
      <c r="M497" s="60"/>
      <c r="N497" s="60"/>
      <c r="O497" s="60"/>
      <c r="P497" s="60"/>
      <c r="Q497" s="60"/>
      <c r="R497" s="60"/>
      <c r="S497" s="60"/>
      <c r="T497" s="60"/>
      <c r="U497" s="60"/>
      <c r="V497" s="60"/>
      <c r="W497" s="60"/>
      <c r="X497" s="60"/>
      <c r="Y497" s="60"/>
      <c r="Z497" s="60"/>
      <c r="AA497" s="60"/>
      <c r="AB497" s="60"/>
      <c r="AC497" s="60"/>
      <c r="AD497" s="60"/>
      <c r="AE497" s="60"/>
      <c r="AF497" s="60"/>
      <c r="AG497" s="60"/>
    </row>
    <row r="498" spans="1:33" s="43" customFormat="1" ht="51">
      <c r="A498" s="105"/>
      <c r="B498" s="1055" t="s">
        <v>79</v>
      </c>
      <c r="C498" s="1346" t="s">
        <v>130</v>
      </c>
      <c r="D498" s="1344" t="s">
        <v>148</v>
      </c>
      <c r="E498" s="1344" t="s">
        <v>172</v>
      </c>
      <c r="F498" s="1055" t="s">
        <v>877</v>
      </c>
      <c r="G498" s="1055" t="s">
        <v>98</v>
      </c>
      <c r="H498" s="1055" t="s">
        <v>859</v>
      </c>
      <c r="I498" s="302"/>
      <c r="J498" s="1052"/>
      <c r="K498" s="303"/>
      <c r="L498" s="60"/>
      <c r="M498" s="60"/>
      <c r="N498" s="60"/>
      <c r="O498" s="60"/>
      <c r="P498" s="60"/>
      <c r="Q498" s="60"/>
      <c r="R498" s="60"/>
      <c r="S498" s="60"/>
      <c r="T498" s="60"/>
      <c r="U498" s="60"/>
      <c r="V498" s="60"/>
      <c r="W498" s="60"/>
      <c r="X498" s="60"/>
      <c r="Y498" s="60"/>
      <c r="Z498" s="60"/>
      <c r="AA498" s="60"/>
      <c r="AB498" s="60"/>
      <c r="AC498" s="60"/>
      <c r="AD498" s="60"/>
      <c r="AE498" s="60"/>
      <c r="AF498" s="60"/>
      <c r="AG498" s="60"/>
    </row>
    <row r="499" spans="1:33" s="94" customFormat="1" ht="15">
      <c r="A499" s="105"/>
      <c r="B499" s="129" t="s">
        <v>235</v>
      </c>
      <c r="C499" s="1339" t="s">
        <v>145</v>
      </c>
      <c r="D499" s="684">
        <f>265.64*1.3</f>
        <v>345.33199999999999</v>
      </c>
      <c r="E499" s="1345">
        <f>13981.02*1.12</f>
        <v>15658.742400000003</v>
      </c>
      <c r="F499" s="240">
        <f>D499*E499</f>
        <v>5407464.8304768009</v>
      </c>
      <c r="G499" s="240">
        <v>12</v>
      </c>
      <c r="H499" s="240">
        <f>F499</f>
        <v>5407464.8304768009</v>
      </c>
      <c r="I499" s="304"/>
      <c r="J499" s="304"/>
      <c r="K499" s="304"/>
      <c r="L499" s="60"/>
      <c r="M499" s="60"/>
      <c r="N499" s="60"/>
      <c r="O499" s="60"/>
      <c r="P499" s="60"/>
      <c r="Q499" s="60"/>
      <c r="R499" s="60"/>
      <c r="S499" s="60"/>
      <c r="T499" s="60"/>
      <c r="U499" s="60"/>
      <c r="V499" s="60"/>
      <c r="W499" s="60"/>
      <c r="X499" s="60"/>
      <c r="Y499" s="60"/>
      <c r="Z499" s="60"/>
      <c r="AA499" s="60"/>
      <c r="AB499" s="60"/>
      <c r="AC499" s="60"/>
      <c r="AD499" s="60"/>
      <c r="AE499" s="60"/>
      <c r="AF499" s="60"/>
      <c r="AG499" s="60"/>
    </row>
    <row r="500" spans="1:33" s="94" customFormat="1" ht="15">
      <c r="A500" s="105"/>
      <c r="B500" s="129" t="s">
        <v>236</v>
      </c>
      <c r="C500" s="1347" t="s">
        <v>146</v>
      </c>
      <c r="D500" s="1348">
        <f>900*1.3</f>
        <v>1170</v>
      </c>
      <c r="E500" s="1345">
        <f>13981.02*1.12</f>
        <v>15658.742400000003</v>
      </c>
      <c r="F500" s="240">
        <f>D500*E500</f>
        <v>18320728.608000003</v>
      </c>
      <c r="G500" s="240">
        <v>7</v>
      </c>
      <c r="H500" s="240">
        <f>F500</f>
        <v>18320728.608000003</v>
      </c>
      <c r="I500" s="304"/>
      <c r="J500" s="304"/>
      <c r="K500" s="304"/>
      <c r="L500" s="60"/>
      <c r="M500" s="60"/>
      <c r="N500" s="60"/>
      <c r="O500" s="60"/>
      <c r="P500" s="60"/>
      <c r="Q500" s="60"/>
      <c r="R500" s="60"/>
      <c r="S500" s="60"/>
      <c r="T500" s="60"/>
      <c r="U500" s="60"/>
      <c r="V500" s="60"/>
      <c r="W500" s="60"/>
      <c r="X500" s="60"/>
      <c r="Y500" s="60"/>
      <c r="Z500" s="60"/>
      <c r="AA500" s="60"/>
      <c r="AB500" s="60"/>
      <c r="AC500" s="60"/>
      <c r="AD500" s="60"/>
      <c r="AE500" s="60"/>
      <c r="AF500" s="60"/>
      <c r="AG500" s="60"/>
    </row>
    <row r="501" spans="1:33" s="94" customFormat="1" ht="15">
      <c r="A501" s="105"/>
      <c r="B501" s="129" t="s">
        <v>237</v>
      </c>
      <c r="C501" s="1347" t="s">
        <v>416</v>
      </c>
      <c r="D501" s="1348">
        <f>21.083*1.3</f>
        <v>27.407899999999998</v>
      </c>
      <c r="E501" s="1345">
        <f>13981.02*1.12</f>
        <v>15658.742400000003</v>
      </c>
      <c r="F501" s="240">
        <f>D501*E501</f>
        <v>429173.24582496006</v>
      </c>
      <c r="G501" s="240">
        <v>12</v>
      </c>
      <c r="H501" s="240">
        <f>F501</f>
        <v>429173.24582496006</v>
      </c>
      <c r="I501" s="304"/>
      <c r="J501" s="304"/>
      <c r="K501" s="304"/>
      <c r="L501" s="60"/>
      <c r="M501" s="60"/>
      <c r="N501" s="60"/>
      <c r="O501" s="60"/>
      <c r="P501" s="60"/>
      <c r="Q501" s="60"/>
      <c r="R501" s="60"/>
      <c r="S501" s="60"/>
      <c r="T501" s="60"/>
      <c r="U501" s="60"/>
      <c r="V501" s="60"/>
      <c r="W501" s="60"/>
      <c r="X501" s="60"/>
      <c r="Y501" s="60"/>
      <c r="Z501" s="60"/>
      <c r="AA501" s="60"/>
      <c r="AB501" s="60"/>
      <c r="AC501" s="60"/>
      <c r="AD501" s="60"/>
      <c r="AE501" s="60"/>
      <c r="AF501" s="60"/>
      <c r="AG501" s="60"/>
    </row>
    <row r="502" spans="1:33" s="94" customFormat="1" ht="15">
      <c r="A502" s="105"/>
      <c r="B502" s="129" t="s">
        <v>418</v>
      </c>
      <c r="C502" s="1347" t="s">
        <v>417</v>
      </c>
      <c r="D502" s="1348">
        <f>250.258*1.3</f>
        <v>325.33540000000005</v>
      </c>
      <c r="E502" s="1345">
        <f>13981.02*1.12</f>
        <v>15658.742400000003</v>
      </c>
      <c r="F502" s="240">
        <f>D502*E502</f>
        <v>5094343.2222009618</v>
      </c>
      <c r="G502" s="240">
        <v>7</v>
      </c>
      <c r="H502" s="240">
        <f>F502</f>
        <v>5094343.2222009618</v>
      </c>
      <c r="I502" s="304"/>
      <c r="J502" s="304"/>
      <c r="K502" s="304"/>
      <c r="L502" s="60"/>
      <c r="M502" s="60"/>
      <c r="N502" s="60"/>
      <c r="O502" s="60"/>
      <c r="P502" s="60"/>
      <c r="Q502" s="60"/>
      <c r="R502" s="60"/>
      <c r="S502" s="60"/>
      <c r="T502" s="60"/>
      <c r="U502" s="60"/>
      <c r="V502" s="60"/>
      <c r="W502" s="60"/>
      <c r="X502" s="60"/>
      <c r="Y502" s="60"/>
      <c r="Z502" s="60"/>
      <c r="AA502" s="60"/>
      <c r="AB502" s="60"/>
      <c r="AC502" s="60"/>
      <c r="AD502" s="60"/>
      <c r="AE502" s="60"/>
      <c r="AF502" s="60"/>
      <c r="AG502" s="60"/>
    </row>
    <row r="503" spans="1:33" s="43" customFormat="1" ht="15">
      <c r="A503" s="105"/>
      <c r="B503" s="129" t="s">
        <v>419</v>
      </c>
      <c r="C503" s="1339" t="s">
        <v>147</v>
      </c>
      <c r="D503" s="1349">
        <f>4579*1.3</f>
        <v>5952.7</v>
      </c>
      <c r="E503" s="1350">
        <f>140.06*1.12</f>
        <v>156.86720000000003</v>
      </c>
      <c r="F503" s="240">
        <f>D503*E503</f>
        <v>933783.38144000014</v>
      </c>
      <c r="G503" s="240">
        <v>12</v>
      </c>
      <c r="H503" s="240">
        <f>F503+1324.3+48.12</f>
        <v>935155.80144000018</v>
      </c>
      <c r="I503" s="304"/>
      <c r="J503" s="304"/>
      <c r="K503" s="304"/>
      <c r="L503" s="60"/>
      <c r="M503" s="60"/>
      <c r="N503" s="60"/>
      <c r="O503" s="60"/>
      <c r="P503" s="60"/>
      <c r="Q503" s="60"/>
      <c r="R503" s="60"/>
      <c r="S503" s="60"/>
      <c r="T503" s="60"/>
      <c r="U503" s="60"/>
      <c r="V503" s="60"/>
      <c r="W503" s="60"/>
      <c r="X503" s="60"/>
      <c r="Y503" s="60"/>
      <c r="Z503" s="60"/>
      <c r="AA503" s="60"/>
      <c r="AB503" s="60"/>
      <c r="AC503" s="60"/>
      <c r="AD503" s="60"/>
      <c r="AE503" s="60"/>
      <c r="AF503" s="60"/>
      <c r="AG503" s="60"/>
    </row>
    <row r="504" spans="1:33" s="43" customFormat="1" ht="15">
      <c r="A504" s="105"/>
      <c r="B504" s="105"/>
      <c r="C504" s="135"/>
      <c r="D504" s="120"/>
      <c r="E504" s="120"/>
      <c r="F504" s="120"/>
      <c r="G504" s="136"/>
      <c r="H504" s="136"/>
      <c r="I504" s="9"/>
      <c r="J504" s="9"/>
      <c r="L504" s="60"/>
      <c r="M504" s="60"/>
      <c r="N504" s="60"/>
      <c r="O504" s="60"/>
      <c r="P504" s="60"/>
      <c r="Q504" s="60"/>
      <c r="R504" s="60"/>
      <c r="S504" s="60"/>
      <c r="T504" s="60"/>
      <c r="U504" s="60"/>
      <c r="V504" s="60"/>
      <c r="W504" s="60"/>
      <c r="X504" s="60"/>
      <c r="Y504" s="60"/>
      <c r="Z504" s="60"/>
      <c r="AA504" s="60"/>
      <c r="AB504" s="60"/>
      <c r="AC504" s="60"/>
      <c r="AD504" s="60"/>
      <c r="AE504" s="60"/>
      <c r="AF504" s="60"/>
      <c r="AG504" s="60"/>
    </row>
    <row r="505" spans="1:33" s="43" customFormat="1" ht="15">
      <c r="A505" s="105"/>
      <c r="B505" s="169"/>
      <c r="C505" s="276" t="s">
        <v>772</v>
      </c>
      <c r="D505" s="276"/>
      <c r="E505" s="180"/>
      <c r="F505" s="180"/>
      <c r="G505" s="193"/>
      <c r="H505" s="277">
        <f>SUM(H507:H507)</f>
        <v>11100000</v>
      </c>
      <c r="I505" s="105"/>
      <c r="J505" s="105"/>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row>
    <row r="506" spans="1:33" s="43" customFormat="1" ht="25.5">
      <c r="A506" s="105"/>
      <c r="B506" s="1055" t="s">
        <v>79</v>
      </c>
      <c r="C506" s="166" t="s">
        <v>99</v>
      </c>
      <c r="D506" s="1055" t="s">
        <v>100</v>
      </c>
      <c r="E506" s="1398" t="s">
        <v>101</v>
      </c>
      <c r="F506" s="1399"/>
      <c r="G506" s="1055" t="s">
        <v>102</v>
      </c>
      <c r="H506" s="1055" t="s">
        <v>862</v>
      </c>
      <c r="I506" s="105"/>
      <c r="J506" s="105"/>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row>
    <row r="507" spans="1:33" s="43" customFormat="1" ht="25.5">
      <c r="A507" s="105"/>
      <c r="B507" s="125">
        <v>1</v>
      </c>
      <c r="C507" s="212" t="s">
        <v>178</v>
      </c>
      <c r="D507" s="168">
        <v>1</v>
      </c>
      <c r="E507" s="1400">
        <v>925000</v>
      </c>
      <c r="F507" s="1401"/>
      <c r="G507" s="89">
        <v>12</v>
      </c>
      <c r="H507" s="240">
        <f>E507*G507</f>
        <v>11100000</v>
      </c>
      <c r="I507" s="1070"/>
      <c r="J507" s="105"/>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row>
    <row r="508" spans="1:33" s="43" customFormat="1" ht="15">
      <c r="A508" s="105"/>
      <c r="B508" s="9"/>
      <c r="C508" s="87"/>
      <c r="D508" s="115"/>
      <c r="E508" s="126"/>
      <c r="F508" s="127"/>
      <c r="G508" s="115"/>
      <c r="H508" s="120"/>
      <c r="I508" s="105"/>
      <c r="J508" s="105"/>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row>
    <row r="509" spans="1:33" s="43" customFormat="1" ht="15">
      <c r="A509" s="105"/>
      <c r="B509" s="169"/>
      <c r="C509" s="1392" t="s">
        <v>773</v>
      </c>
      <c r="D509" s="1392"/>
      <c r="E509" s="180"/>
      <c r="F509" s="180"/>
      <c r="G509" s="193"/>
      <c r="H509" s="275">
        <f>SUM(H511:H529)</f>
        <v>85576966</v>
      </c>
      <c r="I509" s="105"/>
      <c r="J509" s="105"/>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row>
    <row r="510" spans="1:33" s="43" customFormat="1" ht="38.25">
      <c r="A510" s="105"/>
      <c r="B510" s="1055" t="s">
        <v>79</v>
      </c>
      <c r="C510" s="1057" t="s">
        <v>883</v>
      </c>
      <c r="D510" s="1055" t="s">
        <v>55</v>
      </c>
      <c r="E510" s="1055" t="s">
        <v>32</v>
      </c>
      <c r="F510" s="1055" t="s">
        <v>102</v>
      </c>
      <c r="G510" s="1055" t="s">
        <v>211</v>
      </c>
      <c r="H510" s="1055" t="s">
        <v>863</v>
      </c>
      <c r="I510" s="105"/>
      <c r="J510" s="105"/>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row>
    <row r="511" spans="1:33" s="97" customFormat="1" ht="15">
      <c r="A511" s="105"/>
      <c r="B511" s="65">
        <v>1</v>
      </c>
      <c r="C511" s="279" t="s">
        <v>612</v>
      </c>
      <c r="D511" s="249" t="s">
        <v>129</v>
      </c>
      <c r="E511" s="89">
        <v>1</v>
      </c>
      <c r="F511" s="28">
        <v>12</v>
      </c>
      <c r="G511" s="294">
        <f>2951424/3*3.5</f>
        <v>3443328</v>
      </c>
      <c r="H511" s="684">
        <f>G511*F511</f>
        <v>41319936</v>
      </c>
      <c r="I511" s="1074">
        <v>6207567.5999999996</v>
      </c>
      <c r="J511" s="1074"/>
      <c r="K511" s="288"/>
      <c r="L511" s="60"/>
      <c r="M511" s="60"/>
      <c r="N511" s="60"/>
      <c r="O511" s="60"/>
      <c r="P511" s="60"/>
      <c r="Q511" s="60"/>
      <c r="R511" s="60"/>
      <c r="S511" s="60"/>
      <c r="T511" s="60"/>
      <c r="U511" s="60"/>
      <c r="V511" s="60"/>
      <c r="W511" s="60"/>
      <c r="X511" s="60"/>
      <c r="Y511" s="60"/>
      <c r="Z511" s="60"/>
      <c r="AA511" s="60"/>
      <c r="AB511" s="60"/>
      <c r="AC511" s="60"/>
      <c r="AD511" s="60"/>
      <c r="AE511" s="60"/>
      <c r="AF511" s="60"/>
      <c r="AG511" s="60"/>
    </row>
    <row r="512" spans="1:33" s="97" customFormat="1" ht="15">
      <c r="A512" s="105"/>
      <c r="B512" s="65">
        <f>B511+1</f>
        <v>2</v>
      </c>
      <c r="C512" s="4" t="s">
        <v>756</v>
      </c>
      <c r="D512" s="249" t="s">
        <v>129</v>
      </c>
      <c r="E512" s="89">
        <v>1</v>
      </c>
      <c r="F512" s="28">
        <v>12</v>
      </c>
      <c r="G512" s="684">
        <v>140000</v>
      </c>
      <c r="H512" s="684">
        <f>E512*F512*G512</f>
        <v>1680000</v>
      </c>
      <c r="I512" s="1074"/>
      <c r="J512" s="1357">
        <v>1132657.04</v>
      </c>
      <c r="K512" s="60">
        <f>J512*9*3</f>
        <v>30581740.079999998</v>
      </c>
      <c r="L512" s="60"/>
      <c r="M512" s="60"/>
      <c r="N512" s="60"/>
      <c r="O512" s="60"/>
      <c r="P512" s="60"/>
      <c r="Q512" s="60"/>
      <c r="R512" s="60"/>
      <c r="S512" s="60"/>
      <c r="T512" s="60"/>
      <c r="U512" s="60"/>
      <c r="V512" s="60"/>
      <c r="W512" s="60"/>
      <c r="X512" s="60"/>
      <c r="Y512" s="60"/>
      <c r="Z512" s="60"/>
      <c r="AA512" s="60"/>
      <c r="AB512" s="60"/>
      <c r="AC512" s="60"/>
      <c r="AD512" s="60"/>
      <c r="AE512" s="60"/>
      <c r="AF512" s="60"/>
      <c r="AG512" s="60"/>
    </row>
    <row r="513" spans="1:33" s="97" customFormat="1" ht="57" customHeight="1">
      <c r="A513" s="105"/>
      <c r="B513" s="65">
        <f t="shared" ref="B513:B529" si="28">B512+1</f>
        <v>3</v>
      </c>
      <c r="C513" s="41" t="s">
        <v>757</v>
      </c>
      <c r="D513" s="249" t="s">
        <v>129</v>
      </c>
      <c r="E513" s="89">
        <v>1</v>
      </c>
      <c r="F513" s="28">
        <v>12</v>
      </c>
      <c r="G513" s="240">
        <v>448000</v>
      </c>
      <c r="H513" s="684">
        <f t="shared" ref="H513:H529" si="29">E513*F513*G513</f>
        <v>5376000</v>
      </c>
      <c r="I513" s="1074">
        <f>H511-I511</f>
        <v>35112368.399999999</v>
      </c>
      <c r="J513" s="1074">
        <f>J512*3</f>
        <v>3397971.12</v>
      </c>
      <c r="K513" s="60">
        <f>J512*4</f>
        <v>4530628.16</v>
      </c>
      <c r="L513" s="60"/>
      <c r="M513" s="60"/>
      <c r="N513" s="60"/>
      <c r="O513" s="60"/>
      <c r="P513" s="60"/>
      <c r="Q513" s="60"/>
      <c r="R513" s="60"/>
      <c r="S513" s="60"/>
      <c r="T513" s="60"/>
      <c r="U513" s="60"/>
      <c r="V513" s="60"/>
      <c r="W513" s="60"/>
      <c r="X513" s="60"/>
      <c r="Y513" s="60"/>
      <c r="Z513" s="60"/>
      <c r="AA513" s="60"/>
      <c r="AB513" s="60"/>
      <c r="AC513" s="60"/>
      <c r="AD513" s="60"/>
      <c r="AE513" s="60"/>
      <c r="AF513" s="60"/>
      <c r="AG513" s="60"/>
    </row>
    <row r="514" spans="1:33" s="97" customFormat="1" ht="25.5">
      <c r="A514" s="105"/>
      <c r="B514" s="65">
        <f t="shared" si="28"/>
        <v>4</v>
      </c>
      <c r="C514" s="250" t="s">
        <v>758</v>
      </c>
      <c r="D514" s="249" t="s">
        <v>129</v>
      </c>
      <c r="E514" s="89">
        <v>1</v>
      </c>
      <c r="F514" s="28">
        <v>1</v>
      </c>
      <c r="G514" s="240">
        <v>550000</v>
      </c>
      <c r="H514" s="684">
        <f t="shared" si="29"/>
        <v>550000</v>
      </c>
      <c r="I514" s="1074"/>
      <c r="J514" s="105">
        <f>J513*5</f>
        <v>16989855.600000001</v>
      </c>
      <c r="K514" s="60">
        <f>K513*4</f>
        <v>18122512.640000001</v>
      </c>
      <c r="L514" s="60"/>
      <c r="M514" s="60"/>
      <c r="N514" s="60"/>
      <c r="O514" s="60"/>
      <c r="P514" s="60"/>
      <c r="Q514" s="60"/>
      <c r="R514" s="60"/>
      <c r="S514" s="60"/>
      <c r="T514" s="60"/>
      <c r="U514" s="60"/>
      <c r="V514" s="60"/>
      <c r="W514" s="60"/>
      <c r="X514" s="60"/>
      <c r="Y514" s="60"/>
      <c r="Z514" s="60"/>
      <c r="AA514" s="60"/>
      <c r="AB514" s="60"/>
      <c r="AC514" s="60"/>
      <c r="AD514" s="60"/>
      <c r="AE514" s="60"/>
      <c r="AF514" s="60"/>
      <c r="AG514" s="60"/>
    </row>
    <row r="515" spans="1:33" s="97" customFormat="1" ht="25.5">
      <c r="A515" s="105"/>
      <c r="B515" s="65">
        <f t="shared" si="28"/>
        <v>5</v>
      </c>
      <c r="C515" s="281" t="s">
        <v>759</v>
      </c>
      <c r="D515" s="249" t="s">
        <v>129</v>
      </c>
      <c r="E515" s="89">
        <v>1</v>
      </c>
      <c r="F515" s="28">
        <v>12</v>
      </c>
      <c r="G515" s="240">
        <v>100000</v>
      </c>
      <c r="H515" s="684">
        <f t="shared" si="29"/>
        <v>1200000</v>
      </c>
      <c r="I515" s="1074"/>
      <c r="J515" s="105"/>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row>
    <row r="516" spans="1:33" s="97" customFormat="1" ht="15">
      <c r="A516" s="105"/>
      <c r="B516" s="65">
        <f t="shared" si="28"/>
        <v>6</v>
      </c>
      <c r="C516" s="282" t="s">
        <v>760</v>
      </c>
      <c r="D516" s="249" t="s">
        <v>129</v>
      </c>
      <c r="E516" s="89">
        <v>1</v>
      </c>
      <c r="F516" s="28">
        <v>12</v>
      </c>
      <c r="G516" s="240">
        <v>80000</v>
      </c>
      <c r="H516" s="684">
        <f t="shared" si="29"/>
        <v>960000</v>
      </c>
      <c r="I516" s="1074"/>
      <c r="J516" s="105"/>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row>
    <row r="517" spans="1:33" s="97" customFormat="1" ht="25.5">
      <c r="A517" s="105"/>
      <c r="B517" s="65">
        <f t="shared" si="28"/>
        <v>7</v>
      </c>
      <c r="C517" s="5" t="s">
        <v>762</v>
      </c>
      <c r="D517" s="249" t="s">
        <v>129</v>
      </c>
      <c r="E517" s="89">
        <v>1</v>
      </c>
      <c r="F517" s="28">
        <v>1</v>
      </c>
      <c r="G517" s="240">
        <v>15000</v>
      </c>
      <c r="H517" s="684">
        <f t="shared" si="29"/>
        <v>15000</v>
      </c>
      <c r="I517" s="1074"/>
      <c r="J517" s="105"/>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row>
    <row r="518" spans="1:33" s="97" customFormat="1" ht="38.25">
      <c r="A518" s="105"/>
      <c r="B518" s="65">
        <f t="shared" si="28"/>
        <v>8</v>
      </c>
      <c r="C518" s="5" t="s">
        <v>763</v>
      </c>
      <c r="D518" s="249" t="s">
        <v>129</v>
      </c>
      <c r="E518" s="89">
        <v>1</v>
      </c>
      <c r="F518" s="28">
        <v>12</v>
      </c>
      <c r="G518" s="240">
        <v>32000</v>
      </c>
      <c r="H518" s="684">
        <f t="shared" si="29"/>
        <v>384000</v>
      </c>
      <c r="I518" s="1074"/>
      <c r="J518" s="105"/>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row>
    <row r="519" spans="1:33" s="97" customFormat="1" ht="38.25">
      <c r="A519" s="105"/>
      <c r="B519" s="65">
        <f t="shared" si="28"/>
        <v>9</v>
      </c>
      <c r="C519" s="5" t="s">
        <v>764</v>
      </c>
      <c r="D519" s="284" t="s">
        <v>129</v>
      </c>
      <c r="E519" s="7">
        <v>1</v>
      </c>
      <c r="F519" s="8">
        <v>12</v>
      </c>
      <c r="G519" s="32">
        <v>1740102.5</v>
      </c>
      <c r="H519" s="684">
        <f t="shared" si="29"/>
        <v>20881230</v>
      </c>
      <c r="I519" s="1074"/>
      <c r="J519" s="105"/>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row>
    <row r="520" spans="1:33" s="97" customFormat="1" ht="38.25">
      <c r="A520" s="105"/>
      <c r="B520" s="65">
        <f t="shared" si="28"/>
        <v>10</v>
      </c>
      <c r="C520" s="5" t="s">
        <v>765</v>
      </c>
      <c r="D520" s="284" t="s">
        <v>129</v>
      </c>
      <c r="E520" s="7">
        <v>1</v>
      </c>
      <c r="F520" s="8">
        <v>4</v>
      </c>
      <c r="G520" s="32">
        <v>375000</v>
      </c>
      <c r="H520" s="684">
        <f t="shared" si="29"/>
        <v>1500000</v>
      </c>
      <c r="I520" s="1074"/>
      <c r="J520" s="105"/>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row>
    <row r="521" spans="1:33" s="97" customFormat="1" ht="25.5">
      <c r="A521" s="105"/>
      <c r="B521" s="65">
        <f t="shared" si="28"/>
        <v>11</v>
      </c>
      <c r="C521" s="5" t="s">
        <v>766</v>
      </c>
      <c r="D521" s="284" t="s">
        <v>129</v>
      </c>
      <c r="E521" s="7">
        <v>1</v>
      </c>
      <c r="F521" s="8">
        <v>4</v>
      </c>
      <c r="G521" s="32">
        <v>360000</v>
      </c>
      <c r="H521" s="684">
        <f t="shared" si="29"/>
        <v>1440000</v>
      </c>
      <c r="I521" s="1074"/>
      <c r="J521" s="105"/>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row>
    <row r="522" spans="1:33" s="97" customFormat="1" ht="15">
      <c r="A522" s="105"/>
      <c r="B522" s="65">
        <f t="shared" si="28"/>
        <v>12</v>
      </c>
      <c r="C522" s="282" t="s">
        <v>761</v>
      </c>
      <c r="D522" s="284" t="s">
        <v>129</v>
      </c>
      <c r="E522" s="7">
        <v>1</v>
      </c>
      <c r="F522" s="8">
        <v>4</v>
      </c>
      <c r="G522" s="32">
        <v>100000</v>
      </c>
      <c r="H522" s="32">
        <f t="shared" si="29"/>
        <v>400000</v>
      </c>
      <c r="I522" s="1074"/>
      <c r="J522" s="105"/>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row>
    <row r="523" spans="1:33" s="97" customFormat="1" ht="25.5">
      <c r="A523" s="105"/>
      <c r="B523" s="65">
        <f t="shared" si="28"/>
        <v>13</v>
      </c>
      <c r="C523" s="41" t="s">
        <v>797</v>
      </c>
      <c r="D523" s="280" t="s">
        <v>129</v>
      </c>
      <c r="E523" s="89">
        <v>1</v>
      </c>
      <c r="F523" s="89">
        <v>1</v>
      </c>
      <c r="G523" s="25">
        <v>800000</v>
      </c>
      <c r="H523" s="32">
        <f t="shared" si="29"/>
        <v>800000</v>
      </c>
      <c r="I523" s="1074"/>
      <c r="J523" s="105"/>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row>
    <row r="524" spans="1:33" s="97" customFormat="1" ht="15">
      <c r="A524" s="105"/>
      <c r="B524" s="65">
        <f t="shared" si="28"/>
        <v>14</v>
      </c>
      <c r="C524" s="41" t="s">
        <v>798</v>
      </c>
      <c r="D524" s="280" t="s">
        <v>129</v>
      </c>
      <c r="E524" s="89">
        <v>1</v>
      </c>
      <c r="F524" s="89">
        <v>1</v>
      </c>
      <c r="G524" s="25">
        <v>1300000</v>
      </c>
      <c r="H524" s="32">
        <f t="shared" si="29"/>
        <v>1300000</v>
      </c>
      <c r="I524" s="1074"/>
      <c r="J524" s="105"/>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row>
    <row r="525" spans="1:33" s="97" customFormat="1" ht="15">
      <c r="A525" s="105"/>
      <c r="B525" s="65">
        <f t="shared" si="28"/>
        <v>15</v>
      </c>
      <c r="C525" s="602" t="s">
        <v>1834</v>
      </c>
      <c r="D525" s="280" t="s">
        <v>129</v>
      </c>
      <c r="E525" s="89">
        <v>1</v>
      </c>
      <c r="F525" s="89">
        <v>12</v>
      </c>
      <c r="G525" s="319">
        <v>5000</v>
      </c>
      <c r="H525" s="666">
        <f t="shared" si="29"/>
        <v>60000</v>
      </c>
      <c r="I525" s="1074"/>
      <c r="J525" s="105"/>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row>
    <row r="526" spans="1:33" s="97" customFormat="1" ht="15">
      <c r="A526" s="105"/>
      <c r="B526" s="65">
        <f t="shared" si="28"/>
        <v>16</v>
      </c>
      <c r="C526" s="602" t="s">
        <v>1835</v>
      </c>
      <c r="D526" s="280" t="s">
        <v>129</v>
      </c>
      <c r="E526" s="669">
        <v>1</v>
      </c>
      <c r="F526" s="666">
        <v>1</v>
      </c>
      <c r="G526" s="666">
        <v>2800000</v>
      </c>
      <c r="H526" s="666">
        <f t="shared" si="29"/>
        <v>2800000</v>
      </c>
      <c r="I526" s="1074"/>
      <c r="J526" s="105"/>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row>
    <row r="527" spans="1:33" s="97" customFormat="1" ht="25.5">
      <c r="A527" s="105"/>
      <c r="B527" s="65">
        <f t="shared" si="28"/>
        <v>17</v>
      </c>
      <c r="C527" s="602" t="s">
        <v>1836</v>
      </c>
      <c r="D527" s="280" t="s">
        <v>129</v>
      </c>
      <c r="E527" s="669">
        <v>1</v>
      </c>
      <c r="F527" s="666">
        <v>1</v>
      </c>
      <c r="G527" s="666">
        <v>1400000</v>
      </c>
      <c r="H527" s="666">
        <f t="shared" si="29"/>
        <v>1400000</v>
      </c>
      <c r="I527" s="1074"/>
      <c r="J527" s="105"/>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row>
    <row r="528" spans="1:33" s="97" customFormat="1" ht="15">
      <c r="A528" s="105"/>
      <c r="B528" s="65">
        <f t="shared" si="28"/>
        <v>18</v>
      </c>
      <c r="C528" s="604" t="s">
        <v>1837</v>
      </c>
      <c r="D528" s="670" t="s">
        <v>129</v>
      </c>
      <c r="E528" s="668">
        <v>1</v>
      </c>
      <c r="F528" s="671">
        <v>1</v>
      </c>
      <c r="G528" s="666">
        <v>560000</v>
      </c>
      <c r="H528" s="666">
        <f t="shared" si="29"/>
        <v>560000</v>
      </c>
      <c r="I528" s="1074"/>
      <c r="J528" s="105"/>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row>
    <row r="529" spans="1:33" s="97" customFormat="1" ht="51">
      <c r="A529" s="105"/>
      <c r="B529" s="65">
        <f t="shared" si="28"/>
        <v>19</v>
      </c>
      <c r="C529" s="602" t="s">
        <v>1838</v>
      </c>
      <c r="D529" s="672" t="s">
        <v>129</v>
      </c>
      <c r="E529" s="619">
        <v>1</v>
      </c>
      <c r="F529" s="669">
        <v>12</v>
      </c>
      <c r="G529" s="666">
        <v>245900</v>
      </c>
      <c r="H529" s="666">
        <f t="shared" si="29"/>
        <v>2950800</v>
      </c>
      <c r="I529" s="1074"/>
      <c r="J529" s="105"/>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row>
    <row r="530" spans="1:33" s="97" customFormat="1" ht="15">
      <c r="A530" s="105"/>
      <c r="B530" s="115"/>
      <c r="C530" s="87"/>
      <c r="D530" s="118"/>
      <c r="E530" s="115"/>
      <c r="F530" s="115"/>
      <c r="G530" s="120"/>
      <c r="H530" s="126"/>
      <c r="I530" s="105"/>
      <c r="J530" s="105"/>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row>
    <row r="531" spans="1:33" s="43" customFormat="1" ht="15">
      <c r="A531" s="105"/>
      <c r="B531" s="197"/>
      <c r="C531" s="1054" t="s">
        <v>774</v>
      </c>
      <c r="D531" s="189"/>
      <c r="E531" s="198"/>
      <c r="F531" s="199"/>
      <c r="G531" s="198"/>
      <c r="H531" s="275">
        <f>H533</f>
        <v>5256583</v>
      </c>
      <c r="I531" s="105"/>
      <c r="J531" s="105"/>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row>
    <row r="532" spans="1:33" s="43" customFormat="1" ht="63.75">
      <c r="A532" s="105"/>
      <c r="B532" s="129" t="s">
        <v>7</v>
      </c>
      <c r="C532" s="1095" t="s">
        <v>34</v>
      </c>
      <c r="D532" s="117" t="s">
        <v>414</v>
      </c>
      <c r="E532" s="117" t="s">
        <v>423</v>
      </c>
      <c r="F532" s="117" t="s">
        <v>424</v>
      </c>
      <c r="G532" s="117" t="s">
        <v>103</v>
      </c>
      <c r="H532" s="1055" t="s">
        <v>555</v>
      </c>
      <c r="I532" s="105"/>
      <c r="J532" s="105"/>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row>
    <row r="533" spans="1:33" s="43" customFormat="1" ht="25.5">
      <c r="A533" s="105"/>
      <c r="B533" s="187">
        <v>1</v>
      </c>
      <c r="C533" s="291" t="s">
        <v>882</v>
      </c>
      <c r="D533" s="8">
        <f>4325*2</f>
        <v>8650</v>
      </c>
      <c r="E533" s="25">
        <f>'План командир 2026'!P33/'План командир 2026'!F33</f>
        <v>38684.210526315786</v>
      </c>
      <c r="F533" s="25">
        <v>31</v>
      </c>
      <c r="G533" s="248">
        <f>'План командир 2026'!M33/'План командир 2026'!H33</f>
        <v>29244.451612903227</v>
      </c>
      <c r="H533" s="242">
        <f>'План командир 2026'!R33</f>
        <v>5256583</v>
      </c>
      <c r="I533" s="105"/>
      <c r="J533" s="105"/>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row>
    <row r="534" spans="1:33" s="43" customFormat="1" ht="15">
      <c r="A534" s="105"/>
      <c r="B534" s="115"/>
      <c r="C534" s="87"/>
      <c r="D534" s="112"/>
      <c r="E534" s="112"/>
      <c r="F534" s="36"/>
      <c r="G534" s="172"/>
      <c r="H534" s="194"/>
      <c r="I534" s="105"/>
      <c r="J534" s="105"/>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row>
    <row r="535" spans="1:33" s="43" customFormat="1" ht="15">
      <c r="A535" s="105"/>
      <c r="B535" s="1402" t="s">
        <v>184</v>
      </c>
      <c r="C535" s="1402"/>
      <c r="D535" s="1402"/>
      <c r="E535" s="1402"/>
      <c r="F535" s="1402"/>
      <c r="G535" s="1402"/>
      <c r="H535" s="194"/>
      <c r="I535" s="105"/>
      <c r="J535" s="105"/>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row>
    <row r="536" spans="1:33" s="43" customFormat="1" ht="15">
      <c r="A536" s="105"/>
      <c r="B536" s="1393" t="s">
        <v>775</v>
      </c>
      <c r="C536" s="1393"/>
      <c r="D536" s="1393"/>
      <c r="E536" s="1393"/>
      <c r="F536" s="1393"/>
      <c r="G536" s="170">
        <f>G540</f>
        <v>362880000</v>
      </c>
      <c r="H536" s="194"/>
      <c r="I536" s="105"/>
      <c r="J536" s="105"/>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row>
    <row r="537" spans="1:33" s="43" customFormat="1" ht="51">
      <c r="A537" s="105"/>
      <c r="B537" s="1055" t="s">
        <v>79</v>
      </c>
      <c r="C537" s="1055" t="s">
        <v>34</v>
      </c>
      <c r="D537" s="1055" t="s">
        <v>156</v>
      </c>
      <c r="E537" s="1055" t="s">
        <v>123</v>
      </c>
      <c r="F537" s="1055" t="s">
        <v>157</v>
      </c>
      <c r="G537" s="1055" t="s">
        <v>864</v>
      </c>
      <c r="H537" s="194"/>
      <c r="I537" s="105"/>
      <c r="J537" s="105"/>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row>
    <row r="538" spans="1:33" s="43" customFormat="1" ht="15">
      <c r="A538" s="105"/>
      <c r="B538" s="65">
        <v>1</v>
      </c>
      <c r="C538" s="65">
        <v>2</v>
      </c>
      <c r="D538" s="65">
        <v>3</v>
      </c>
      <c r="E538" s="65">
        <v>4</v>
      </c>
      <c r="F538" s="65">
        <v>5</v>
      </c>
      <c r="G538" s="65">
        <v>6</v>
      </c>
      <c r="H538" s="194"/>
      <c r="I538" s="105"/>
      <c r="J538" s="105"/>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row>
    <row r="539" spans="1:33" s="43" customFormat="1" ht="38.25">
      <c r="A539" s="105"/>
      <c r="B539" s="65" t="s">
        <v>138</v>
      </c>
      <c r="C539" s="1053" t="s">
        <v>243</v>
      </c>
      <c r="D539" s="65">
        <v>360</v>
      </c>
      <c r="E539" s="119">
        <f>E555</f>
        <v>252</v>
      </c>
      <c r="F539" s="213">
        <v>4000</v>
      </c>
      <c r="G539" s="33">
        <f>E539*F539*D539</f>
        <v>362880000</v>
      </c>
      <c r="H539" s="194"/>
      <c r="I539" s="105"/>
      <c r="J539" s="105"/>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row>
    <row r="540" spans="1:33" s="43" customFormat="1" ht="15">
      <c r="A540" s="105"/>
      <c r="B540" s="1055"/>
      <c r="C540" s="211" t="s">
        <v>158</v>
      </c>
      <c r="D540" s="1055"/>
      <c r="E540" s="1055"/>
      <c r="F540" s="6"/>
      <c r="G540" s="34">
        <f>G539</f>
        <v>362880000</v>
      </c>
      <c r="H540" s="194"/>
      <c r="I540" s="105"/>
      <c r="J540" s="105"/>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row>
    <row r="541" spans="1:33" s="43" customFormat="1" ht="15">
      <c r="A541" s="105"/>
      <c r="B541" s="253"/>
      <c r="C541" s="134"/>
      <c r="D541" s="131"/>
      <c r="E541" s="89"/>
      <c r="F541" s="7"/>
      <c r="G541" s="65"/>
      <c r="H541" s="194"/>
      <c r="I541" s="105"/>
      <c r="J541" s="105"/>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row>
    <row r="542" spans="1:33" s="43" customFormat="1" ht="51">
      <c r="A542" s="105"/>
      <c r="B542" s="1055" t="s">
        <v>79</v>
      </c>
      <c r="C542" s="1055" t="s">
        <v>124</v>
      </c>
      <c r="D542" s="1055" t="s">
        <v>174</v>
      </c>
      <c r="E542" s="1055" t="s">
        <v>41</v>
      </c>
      <c r="F542" s="6" t="s">
        <v>173</v>
      </c>
      <c r="G542" s="1055" t="s">
        <v>801</v>
      </c>
      <c r="H542" s="194"/>
      <c r="I542" s="105"/>
      <c r="J542" s="105"/>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row>
    <row r="543" spans="1:33" s="43" customFormat="1" ht="15">
      <c r="A543" s="105"/>
      <c r="B543" s="61">
        <v>1</v>
      </c>
      <c r="C543" s="134" t="s">
        <v>175</v>
      </c>
      <c r="D543" s="23">
        <v>360</v>
      </c>
      <c r="E543" s="297">
        <v>25</v>
      </c>
      <c r="F543" s="213">
        <v>4000</v>
      </c>
      <c r="G543" s="1056">
        <f>D543*E543*F543</f>
        <v>36000000</v>
      </c>
      <c r="H543" s="194"/>
      <c r="I543" s="105"/>
      <c r="J543" s="105"/>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row>
    <row r="544" spans="1:33" s="43" customFormat="1" ht="15">
      <c r="A544" s="105"/>
      <c r="B544" s="61">
        <v>2</v>
      </c>
      <c r="C544" s="134" t="s">
        <v>21</v>
      </c>
      <c r="D544" s="65">
        <v>360</v>
      </c>
      <c r="E544" s="297">
        <v>28</v>
      </c>
      <c r="F544" s="213">
        <v>4000</v>
      </c>
      <c r="G544" s="25">
        <f t="shared" ref="G544:G554" si="30">D544*E544*F544</f>
        <v>40320000</v>
      </c>
      <c r="H544" s="194"/>
      <c r="I544" s="105"/>
      <c r="J544" s="105"/>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row>
    <row r="545" spans="1:33" s="43" customFormat="1" ht="15">
      <c r="A545" s="105"/>
      <c r="B545" s="61">
        <v>3</v>
      </c>
      <c r="C545" s="134" t="s">
        <v>22</v>
      </c>
      <c r="D545" s="65">
        <v>360</v>
      </c>
      <c r="E545" s="297">
        <v>22</v>
      </c>
      <c r="F545" s="213">
        <v>4000</v>
      </c>
      <c r="G545" s="1056">
        <f t="shared" si="30"/>
        <v>31680000</v>
      </c>
      <c r="H545" s="194"/>
      <c r="I545" s="105"/>
      <c r="J545" s="105"/>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row>
    <row r="546" spans="1:33" s="43" customFormat="1" ht="15">
      <c r="A546" s="105"/>
      <c r="B546" s="61">
        <v>4</v>
      </c>
      <c r="C546" s="134" t="s">
        <v>176</v>
      </c>
      <c r="D546" s="65">
        <v>360</v>
      </c>
      <c r="E546" s="297">
        <v>30</v>
      </c>
      <c r="F546" s="213">
        <v>4000</v>
      </c>
      <c r="G546" s="1056">
        <f t="shared" si="30"/>
        <v>43200000</v>
      </c>
      <c r="H546" s="194"/>
      <c r="I546" s="105"/>
      <c r="J546" s="105"/>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row>
    <row r="547" spans="1:33" s="43" customFormat="1" ht="15">
      <c r="A547" s="105"/>
      <c r="B547" s="61">
        <v>5</v>
      </c>
      <c r="C547" s="134" t="s">
        <v>23</v>
      </c>
      <c r="D547" s="65">
        <v>360</v>
      </c>
      <c r="E547" s="297">
        <v>22</v>
      </c>
      <c r="F547" s="213">
        <v>4000</v>
      </c>
      <c r="G547" s="1056">
        <f t="shared" si="30"/>
        <v>31680000</v>
      </c>
      <c r="H547" s="194"/>
      <c r="I547" s="105"/>
      <c r="J547" s="105"/>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row>
    <row r="548" spans="1:33" s="43" customFormat="1" ht="15">
      <c r="A548" s="105"/>
      <c r="B548" s="61">
        <v>6</v>
      </c>
      <c r="C548" s="134" t="s">
        <v>24</v>
      </c>
      <c r="D548" s="65">
        <v>360</v>
      </c>
      <c r="E548" s="297">
        <v>15</v>
      </c>
      <c r="F548" s="213">
        <v>4000</v>
      </c>
      <c r="G548" s="1056">
        <f t="shared" si="30"/>
        <v>21600000</v>
      </c>
      <c r="H548" s="194"/>
      <c r="I548" s="105"/>
      <c r="J548" s="105"/>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row>
    <row r="549" spans="1:33" s="43" customFormat="1" ht="15">
      <c r="A549" s="105"/>
      <c r="B549" s="61">
        <v>7</v>
      </c>
      <c r="C549" s="134" t="s">
        <v>177</v>
      </c>
      <c r="D549" s="65">
        <v>360</v>
      </c>
      <c r="E549" s="297">
        <v>0</v>
      </c>
      <c r="F549" s="213">
        <v>4000</v>
      </c>
      <c r="G549" s="1056">
        <f t="shared" si="30"/>
        <v>0</v>
      </c>
      <c r="H549" s="194"/>
      <c r="I549" s="105"/>
      <c r="J549" s="105"/>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row>
    <row r="550" spans="1:33" s="43" customFormat="1" ht="15">
      <c r="A550" s="105"/>
      <c r="B550" s="61">
        <v>8</v>
      </c>
      <c r="C550" s="134" t="s">
        <v>25</v>
      </c>
      <c r="D550" s="65">
        <v>360</v>
      </c>
      <c r="E550" s="298">
        <v>0</v>
      </c>
      <c r="F550" s="213">
        <v>4000</v>
      </c>
      <c r="G550" s="1056">
        <f t="shared" si="30"/>
        <v>0</v>
      </c>
      <c r="H550" s="194"/>
      <c r="I550" s="105"/>
      <c r="J550" s="105"/>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row>
    <row r="551" spans="1:33" s="43" customFormat="1" ht="15">
      <c r="A551" s="105"/>
      <c r="B551" s="61">
        <v>9</v>
      </c>
      <c r="C551" s="134" t="s">
        <v>26</v>
      </c>
      <c r="D551" s="65">
        <v>360</v>
      </c>
      <c r="E551" s="297">
        <v>30</v>
      </c>
      <c r="F551" s="213">
        <v>4000</v>
      </c>
      <c r="G551" s="1056">
        <f t="shared" si="30"/>
        <v>43200000</v>
      </c>
      <c r="H551" s="194"/>
      <c r="I551" s="105"/>
      <c r="J551" s="105"/>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row>
    <row r="552" spans="1:33" s="43" customFormat="1" ht="15">
      <c r="A552" s="105"/>
      <c r="B552" s="61">
        <v>10</v>
      </c>
      <c r="C552" s="134" t="s">
        <v>27</v>
      </c>
      <c r="D552" s="65">
        <v>360</v>
      </c>
      <c r="E552" s="297">
        <v>30</v>
      </c>
      <c r="F552" s="213">
        <v>4000</v>
      </c>
      <c r="G552" s="1056">
        <f t="shared" si="30"/>
        <v>43200000</v>
      </c>
      <c r="H552" s="194"/>
      <c r="I552" s="105"/>
      <c r="J552" s="105"/>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row>
    <row r="553" spans="1:33" s="43" customFormat="1" ht="15">
      <c r="A553" s="105"/>
      <c r="B553" s="61">
        <v>11</v>
      </c>
      <c r="C553" s="134" t="s">
        <v>28</v>
      </c>
      <c r="D553" s="65">
        <v>360</v>
      </c>
      <c r="E553" s="297">
        <v>25</v>
      </c>
      <c r="F553" s="213">
        <v>4000</v>
      </c>
      <c r="G553" s="1056">
        <f t="shared" si="30"/>
        <v>36000000</v>
      </c>
      <c r="H553" s="194"/>
      <c r="I553" s="105"/>
      <c r="J553" s="105"/>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row>
    <row r="554" spans="1:33" s="43" customFormat="1" ht="15">
      <c r="A554" s="105"/>
      <c r="B554" s="61">
        <v>12</v>
      </c>
      <c r="C554" s="134" t="s">
        <v>29</v>
      </c>
      <c r="D554" s="65">
        <v>360</v>
      </c>
      <c r="E554" s="297">
        <v>25</v>
      </c>
      <c r="F554" s="213">
        <v>4000</v>
      </c>
      <c r="G554" s="1056">
        <f t="shared" si="30"/>
        <v>36000000</v>
      </c>
      <c r="H554" s="194"/>
      <c r="I554" s="105"/>
      <c r="J554" s="105"/>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row>
    <row r="555" spans="1:33" s="43" customFormat="1" ht="15">
      <c r="A555" s="105"/>
      <c r="B555" s="253"/>
      <c r="C555" s="134"/>
      <c r="D555" s="131"/>
      <c r="E555" s="293">
        <f>SUM(E543:E554)</f>
        <v>252</v>
      </c>
      <c r="F555" s="219"/>
      <c r="G555" s="29">
        <f>SUM(G543:G554)</f>
        <v>362880000</v>
      </c>
      <c r="H555" s="268"/>
      <c r="I555" s="105"/>
      <c r="J555" s="105"/>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row>
    <row r="556" spans="1:33" s="43" customFormat="1" ht="35.25" customHeight="1">
      <c r="A556" s="105"/>
      <c r="B556" s="1388" t="s">
        <v>284</v>
      </c>
      <c r="C556" s="1389"/>
      <c r="D556" s="1389"/>
      <c r="E556" s="176"/>
      <c r="F556" s="121"/>
      <c r="G556" s="167"/>
      <c r="H556" s="270"/>
      <c r="I556" s="105"/>
      <c r="J556" s="105"/>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row>
    <row r="557" spans="1:33" s="43" customFormat="1" ht="15">
      <c r="A557" s="105"/>
      <c r="B557" s="1390" t="s">
        <v>160</v>
      </c>
      <c r="C557" s="1390"/>
      <c r="D557" s="1390"/>
      <c r="E557" s="176">
        <f>E559*20%</f>
        <v>1000</v>
      </c>
      <c r="F557" s="115" t="s">
        <v>8</v>
      </c>
      <c r="G557" s="121"/>
      <c r="H557" s="1067"/>
      <c r="I557" s="105"/>
      <c r="J557" s="105"/>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row>
    <row r="558" spans="1:33" s="43" customFormat="1" ht="19.5" customHeight="1">
      <c r="A558" s="105"/>
      <c r="B558" s="1390" t="s">
        <v>161</v>
      </c>
      <c r="C558" s="1390"/>
      <c r="D558" s="1390"/>
      <c r="E558" s="176">
        <f>E559*80%</f>
        <v>4000</v>
      </c>
      <c r="F558" s="115" t="s">
        <v>8</v>
      </c>
      <c r="G558" s="121"/>
      <c r="H558" s="172"/>
      <c r="I558" s="105"/>
      <c r="J558" s="105"/>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row>
    <row r="559" spans="1:33" s="43" customFormat="1" ht="26.25" customHeight="1">
      <c r="A559" s="105"/>
      <c r="B559" s="1391" t="s">
        <v>289</v>
      </c>
      <c r="C559" s="1391"/>
      <c r="D559" s="1391"/>
      <c r="E559" s="176">
        <v>5000</v>
      </c>
      <c r="F559" s="115" t="s">
        <v>8</v>
      </c>
      <c r="G559" s="121"/>
      <c r="H559" s="172"/>
      <c r="I559" s="105"/>
      <c r="J559" s="105"/>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row>
    <row r="560" spans="1:33" s="43" customFormat="1" ht="15">
      <c r="A560" s="105"/>
      <c r="B560" s="1059"/>
      <c r="C560" s="1058"/>
      <c r="D560" s="1058"/>
      <c r="E560" s="176"/>
      <c r="F560" s="115"/>
      <c r="G560" s="121"/>
      <c r="H560" s="172"/>
      <c r="I560" s="105"/>
      <c r="J560" s="105"/>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row>
    <row r="561" spans="1:33" s="43" customFormat="1" ht="15">
      <c r="A561" s="105"/>
      <c r="B561" s="169"/>
      <c r="C561" s="1392" t="s">
        <v>2442</v>
      </c>
      <c r="D561" s="1392"/>
      <c r="E561" s="1392"/>
      <c r="F561" s="1392"/>
      <c r="G561" s="181"/>
      <c r="H561" s="283">
        <f>SUM(H564:H570)</f>
        <v>144022.5</v>
      </c>
      <c r="I561" s="105"/>
      <c r="J561" s="105"/>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row>
    <row r="562" spans="1:33" s="43" customFormat="1" ht="38.25">
      <c r="A562" s="105"/>
      <c r="B562" s="6" t="s">
        <v>7</v>
      </c>
      <c r="C562" s="6" t="s">
        <v>36</v>
      </c>
      <c r="D562" s="6" t="s">
        <v>291</v>
      </c>
      <c r="E562" s="6" t="s">
        <v>292</v>
      </c>
      <c r="F562" s="6" t="s">
        <v>782</v>
      </c>
      <c r="G562" s="1055" t="s">
        <v>2418</v>
      </c>
      <c r="H562" s="6" t="s">
        <v>784</v>
      </c>
      <c r="I562" s="105"/>
      <c r="J562" s="105"/>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row>
    <row r="563" spans="1:33" s="43" customFormat="1" ht="15">
      <c r="A563" s="105"/>
      <c r="B563" s="23"/>
      <c r="C563" s="211" t="s">
        <v>285</v>
      </c>
      <c r="D563" s="50"/>
      <c r="E563" s="89"/>
      <c r="F563" s="128"/>
      <c r="G563" s="91"/>
      <c r="H563" s="132"/>
      <c r="I563" s="105"/>
      <c r="J563" s="105"/>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row>
    <row r="564" spans="1:33" s="43" customFormat="1" ht="127.5">
      <c r="A564" s="105"/>
      <c r="B564" s="23">
        <v>1</v>
      </c>
      <c r="C564" s="212" t="s">
        <v>2419</v>
      </c>
      <c r="D564" s="213" t="s">
        <v>377</v>
      </c>
      <c r="E564" s="214">
        <v>1</v>
      </c>
      <c r="F564" s="214">
        <f>1000%*4325</f>
        <v>43250</v>
      </c>
      <c r="G564" s="164">
        <f>4325*7</f>
        <v>30275</v>
      </c>
      <c r="H564" s="32">
        <f t="shared" ref="H564:H570" si="31">(F564+G564)*E564</f>
        <v>73525</v>
      </c>
      <c r="I564" s="105"/>
      <c r="J564" s="105"/>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row>
    <row r="565" spans="1:33" s="43" customFormat="1" ht="38.25">
      <c r="A565" s="105"/>
      <c r="B565" s="23">
        <v>2</v>
      </c>
      <c r="C565" s="215" t="s">
        <v>378</v>
      </c>
      <c r="D565" s="213" t="s">
        <v>377</v>
      </c>
      <c r="E565" s="214">
        <v>1</v>
      </c>
      <c r="F565" s="214">
        <f>50%*4325</f>
        <v>2162.5</v>
      </c>
      <c r="G565" s="164">
        <f>4325*2</f>
        <v>8650</v>
      </c>
      <c r="H565" s="32">
        <f t="shared" si="31"/>
        <v>10812.5</v>
      </c>
      <c r="I565" s="105"/>
      <c r="J565" s="105"/>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row>
    <row r="566" spans="1:33" s="43" customFormat="1" ht="89.25">
      <c r="A566" s="105"/>
      <c r="B566" s="23">
        <v>3</v>
      </c>
      <c r="C566" s="215" t="s">
        <v>2420</v>
      </c>
      <c r="D566" s="213" t="s">
        <v>377</v>
      </c>
      <c r="E566" s="214">
        <v>1</v>
      </c>
      <c r="F566" s="214">
        <f>10%*4325</f>
        <v>432.5</v>
      </c>
      <c r="G566" s="164">
        <v>4325</v>
      </c>
      <c r="H566" s="32">
        <f t="shared" si="31"/>
        <v>4757.5</v>
      </c>
      <c r="I566" s="105"/>
      <c r="J566" s="105"/>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row>
    <row r="567" spans="1:33" s="43" customFormat="1" ht="38.25">
      <c r="A567" s="105"/>
      <c r="B567" s="23">
        <v>4</v>
      </c>
      <c r="C567" s="215" t="s">
        <v>379</v>
      </c>
      <c r="D567" s="213" t="s">
        <v>377</v>
      </c>
      <c r="E567" s="214">
        <v>1</v>
      </c>
      <c r="F567" s="214">
        <f>50%*4325</f>
        <v>2162.5</v>
      </c>
      <c r="G567" s="164">
        <v>4325</v>
      </c>
      <c r="H567" s="32">
        <f t="shared" si="31"/>
        <v>6487.5</v>
      </c>
      <c r="I567" s="105"/>
      <c r="J567" s="105"/>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row>
    <row r="568" spans="1:33" s="43" customFormat="1" ht="76.5">
      <c r="A568" s="105"/>
      <c r="B568" s="23">
        <v>5</v>
      </c>
      <c r="C568" s="215" t="s">
        <v>380</v>
      </c>
      <c r="D568" s="213" t="s">
        <v>377</v>
      </c>
      <c r="E568" s="214">
        <v>1</v>
      </c>
      <c r="F568" s="214">
        <f>20%*4325</f>
        <v>865</v>
      </c>
      <c r="G568" s="164">
        <f>4325*7</f>
        <v>30275</v>
      </c>
      <c r="H568" s="32">
        <f t="shared" si="31"/>
        <v>31140</v>
      </c>
      <c r="I568" s="105"/>
      <c r="J568" s="105"/>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row>
    <row r="569" spans="1:33" s="43" customFormat="1" ht="15">
      <c r="A569" s="105"/>
      <c r="B569" s="23">
        <v>6</v>
      </c>
      <c r="C569" s="215" t="s">
        <v>381</v>
      </c>
      <c r="D569" s="213" t="s">
        <v>377</v>
      </c>
      <c r="E569" s="214">
        <v>1</v>
      </c>
      <c r="F569" s="214">
        <f>100%*4325</f>
        <v>4325</v>
      </c>
      <c r="G569" s="164">
        <f>2*4325</f>
        <v>8650</v>
      </c>
      <c r="H569" s="32">
        <f t="shared" si="31"/>
        <v>12975</v>
      </c>
      <c r="I569" s="105"/>
      <c r="J569" s="105"/>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row>
    <row r="570" spans="1:33" s="43" customFormat="1" ht="51">
      <c r="A570" s="105"/>
      <c r="B570" s="23">
        <v>7</v>
      </c>
      <c r="C570" s="215" t="s">
        <v>382</v>
      </c>
      <c r="D570" s="213" t="s">
        <v>377</v>
      </c>
      <c r="E570" s="214">
        <v>1</v>
      </c>
      <c r="F570" s="214">
        <f>50%*4325</f>
        <v>2162.5</v>
      </c>
      <c r="G570" s="164">
        <f>0.5*4325</f>
        <v>2162.5</v>
      </c>
      <c r="H570" s="32">
        <f t="shared" si="31"/>
        <v>4325</v>
      </c>
      <c r="I570" s="105"/>
      <c r="J570" s="105"/>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row>
    <row r="571" spans="1:33" s="43" customFormat="1" ht="15">
      <c r="A571" s="105"/>
      <c r="B571" s="208"/>
      <c r="C571" s="87"/>
      <c r="D571" s="118"/>
      <c r="E571" s="115"/>
      <c r="F571" s="209"/>
      <c r="G571" s="120"/>
      <c r="H571" s="210"/>
      <c r="I571" s="105"/>
      <c r="J571" s="105"/>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row>
    <row r="572" spans="1:33" s="43" customFormat="1" ht="15">
      <c r="A572" s="105"/>
      <c r="B572" s="1059"/>
      <c r="C572" s="1058"/>
      <c r="D572" s="1058"/>
      <c r="E572" s="176"/>
      <c r="F572" s="115"/>
      <c r="G572" s="121"/>
      <c r="H572" s="172"/>
      <c r="I572" s="105"/>
      <c r="J572" s="105"/>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row>
    <row r="573" spans="1:33" s="43" customFormat="1" ht="15">
      <c r="A573" s="105"/>
      <c r="B573" s="1059"/>
      <c r="C573" s="256" t="s">
        <v>232</v>
      </c>
      <c r="D573" s="1061"/>
      <c r="E573" s="121"/>
      <c r="F573" s="115"/>
      <c r="G573" s="115"/>
      <c r="H573" s="226">
        <f>H8+G18+H79+H38+H84+H489+H505+H509+H531+G536+H561</f>
        <v>2692117127.9975052</v>
      </c>
      <c r="I573" s="105"/>
      <c r="J573" s="105"/>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row>
    <row r="574" spans="1:33" s="43" customFormat="1" ht="15">
      <c r="A574" s="105"/>
      <c r="B574" s="1333"/>
      <c r="C574" s="256"/>
      <c r="D574" s="1334"/>
      <c r="E574" s="121"/>
      <c r="F574" s="115"/>
      <c r="G574" s="115"/>
      <c r="H574" s="1354"/>
      <c r="I574" s="105"/>
      <c r="J574" s="105"/>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row>
    <row r="575" spans="1:33" s="43" customFormat="1" ht="15">
      <c r="A575" s="105"/>
      <c r="B575" s="1333"/>
      <c r="C575" s="256"/>
      <c r="D575" s="1334"/>
      <c r="E575" s="121"/>
      <c r="F575" s="115"/>
      <c r="G575" s="115"/>
      <c r="H575" s="1354"/>
      <c r="I575" s="105"/>
      <c r="J575" s="105"/>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row>
    <row r="576" spans="1:33" s="43" customFormat="1" ht="15">
      <c r="A576" s="105"/>
      <c r="B576" s="1333"/>
      <c r="C576" s="256"/>
      <c r="D576" s="1334"/>
      <c r="E576" s="121"/>
      <c r="F576" s="115"/>
      <c r="G576" s="115"/>
      <c r="H576" s="1354"/>
      <c r="I576" s="105"/>
      <c r="J576" s="105"/>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row>
    <row r="577" spans="1:33" s="43" customFormat="1" ht="15">
      <c r="A577" s="105"/>
      <c r="B577" s="105"/>
      <c r="C577" s="135"/>
      <c r="D577" s="107"/>
      <c r="E577" s="115"/>
      <c r="F577" s="115"/>
      <c r="G577" s="115"/>
      <c r="H577" s="112"/>
      <c r="I577" s="1074"/>
      <c r="J577" s="105"/>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row>
    <row r="578" spans="1:33" s="43" customFormat="1" ht="15" hidden="1">
      <c r="A578" s="105"/>
      <c r="B578" s="105"/>
      <c r="C578" s="1075" t="s">
        <v>240</v>
      </c>
      <c r="D578" s="1091"/>
      <c r="E578" s="9"/>
      <c r="F578" s="105"/>
      <c r="G578" s="1076"/>
      <c r="H578" s="112"/>
      <c r="I578" s="1074"/>
      <c r="J578" s="105"/>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row>
    <row r="579" spans="1:33" s="43" customFormat="1" ht="15" hidden="1">
      <c r="A579" s="105"/>
      <c r="B579" s="108"/>
      <c r="C579" s="1387" t="s">
        <v>166</v>
      </c>
      <c r="D579" s="1387"/>
      <c r="E579" s="1077"/>
      <c r="F579" s="1076"/>
      <c r="G579" s="9"/>
      <c r="H579" s="1076" t="s">
        <v>407</v>
      </c>
      <c r="I579" s="105"/>
      <c r="J579" s="105"/>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row>
    <row r="580" spans="1:33" s="43" customFormat="1" ht="15" hidden="1">
      <c r="A580" s="105"/>
      <c r="B580" s="108"/>
      <c r="C580" s="9"/>
      <c r="D580" s="1092"/>
      <c r="E580" s="1078"/>
      <c r="F580" s="1076"/>
      <c r="G580" s="9"/>
      <c r="H580" s="9"/>
      <c r="I580" s="105"/>
      <c r="J580" s="105"/>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row>
    <row r="581" spans="1:33" s="43" customFormat="1" ht="15" hidden="1">
      <c r="A581" s="105"/>
      <c r="B581" s="108"/>
      <c r="C581" s="1387" t="s">
        <v>167</v>
      </c>
      <c r="D581" s="1387"/>
      <c r="E581" s="1077"/>
      <c r="F581" s="172"/>
      <c r="G581" s="9"/>
      <c r="H581" s="1076" t="s">
        <v>407</v>
      </c>
      <c r="I581" s="105"/>
      <c r="J581" s="105"/>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row>
    <row r="582" spans="1:33" s="43" customFormat="1" ht="15" hidden="1">
      <c r="A582" s="105"/>
      <c r="B582" s="108"/>
      <c r="C582" s="9"/>
      <c r="D582" s="1091"/>
      <c r="E582" s="9"/>
      <c r="F582" s="172"/>
      <c r="G582" s="9"/>
      <c r="H582" s="9"/>
      <c r="I582" s="105"/>
      <c r="J582" s="105"/>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row>
    <row r="583" spans="1:33" s="43" customFormat="1" ht="15" hidden="1">
      <c r="A583" s="105"/>
      <c r="B583" s="108"/>
      <c r="C583" s="1079" t="s">
        <v>168</v>
      </c>
      <c r="D583" s="1093"/>
      <c r="E583" s="9"/>
      <c r="F583" s="172"/>
      <c r="G583" s="9"/>
      <c r="H583" s="1076" t="s">
        <v>407</v>
      </c>
      <c r="I583" s="105"/>
      <c r="J583" s="105"/>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row>
    <row r="584" spans="1:33" s="43" customFormat="1" ht="15" hidden="1">
      <c r="A584" s="105"/>
      <c r="B584" s="108"/>
      <c r="C584" s="9"/>
      <c r="D584" s="1387"/>
      <c r="E584" s="1387"/>
      <c r="F584" s="172"/>
      <c r="G584" s="9"/>
      <c r="H584" s="9"/>
      <c r="I584" s="105"/>
      <c r="J584" s="105"/>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row>
    <row r="585" spans="1:33" s="43" customFormat="1" ht="15" hidden="1">
      <c r="A585" s="105"/>
      <c r="B585" s="108"/>
      <c r="C585" s="1075" t="s">
        <v>216</v>
      </c>
      <c r="D585" s="1091"/>
      <c r="E585" s="9"/>
      <c r="F585" s="172"/>
      <c r="G585" s="9"/>
      <c r="H585" s="9"/>
      <c r="I585" s="105"/>
      <c r="J585" s="105"/>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row>
    <row r="586" spans="1:33" s="43" customFormat="1" ht="15" hidden="1">
      <c r="A586" s="105"/>
      <c r="B586" s="108"/>
      <c r="C586" s="1387" t="s">
        <v>403</v>
      </c>
      <c r="D586" s="1387"/>
      <c r="E586" s="1077"/>
      <c r="F586" s="172"/>
      <c r="G586" s="9"/>
      <c r="H586" s="1076" t="s">
        <v>407</v>
      </c>
      <c r="I586" s="105"/>
      <c r="J586" s="105"/>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row>
    <row r="587" spans="1:33" s="43" customFormat="1" ht="24.95" customHeight="1">
      <c r="A587" s="60"/>
      <c r="C587" s="1351" t="s">
        <v>2475</v>
      </c>
      <c r="D587" s="1351"/>
      <c r="E587" s="1351"/>
      <c r="F587" s="1352"/>
      <c r="H587" s="1351" t="s">
        <v>2476</v>
      </c>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row>
    <row r="588" spans="1:33" s="43" customFormat="1" ht="24.95" customHeight="1">
      <c r="A588" s="60"/>
      <c r="C588" s="1351"/>
      <c r="D588" s="1351"/>
      <c r="E588" s="1351"/>
      <c r="F588" s="1352"/>
      <c r="H588" s="1351"/>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row>
    <row r="589" spans="1:33" s="43" customFormat="1" ht="24.95" customHeight="1">
      <c r="A589" s="60"/>
      <c r="C589" s="1351" t="s">
        <v>52</v>
      </c>
      <c r="D589" s="1351"/>
      <c r="E589" s="1351"/>
      <c r="F589" s="1352"/>
      <c r="H589" s="1351" t="s">
        <v>386</v>
      </c>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row>
    <row r="590" spans="1:33" s="43" customFormat="1" ht="15">
      <c r="A590" s="60"/>
      <c r="B590" s="60"/>
      <c r="C590" s="260"/>
      <c r="D590" s="66"/>
      <c r="E590" s="165"/>
      <c r="F590" s="165"/>
      <c r="G590" s="165"/>
      <c r="H590" s="165"/>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row>
    <row r="591" spans="1:33" s="43" customFormat="1" ht="15.75">
      <c r="A591" s="60"/>
      <c r="B591" s="60"/>
      <c r="C591" s="87"/>
      <c r="D591" s="114"/>
      <c r="E591" s="70"/>
      <c r="F591" s="67"/>
      <c r="G591" s="67"/>
      <c r="H591" s="67"/>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row>
    <row r="592" spans="1:33" s="43" customFormat="1" ht="15">
      <c r="A592" s="60"/>
      <c r="B592" s="60"/>
      <c r="C592" s="260"/>
      <c r="D592" s="66"/>
      <c r="E592" s="165"/>
      <c r="F592" s="165"/>
      <c r="G592" s="165"/>
      <c r="H592" s="165"/>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row>
    <row r="593" spans="1:33" s="43" customFormat="1" ht="15">
      <c r="A593" s="60"/>
      <c r="B593" s="60"/>
      <c r="C593" s="260"/>
      <c r="D593" s="66"/>
      <c r="E593" s="165"/>
      <c r="F593" s="165"/>
      <c r="G593" s="165"/>
      <c r="H593" s="165"/>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row>
    <row r="594" spans="1:33" s="43" customFormat="1" ht="15">
      <c r="A594" s="60"/>
      <c r="B594" s="115"/>
      <c r="C594" s="260"/>
      <c r="D594" s="66"/>
      <c r="E594" s="165"/>
      <c r="F594" s="165"/>
      <c r="G594" s="165"/>
      <c r="H594" s="165"/>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row>
    <row r="595" spans="1:33" s="43" customFormat="1" ht="15">
      <c r="A595" s="60"/>
      <c r="B595" s="60"/>
      <c r="C595" s="260"/>
      <c r="D595" s="66"/>
      <c r="E595" s="165"/>
      <c r="F595" s="165"/>
      <c r="G595" s="165"/>
      <c r="H595" s="165"/>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row>
    <row r="596" spans="1:33" s="43" customFormat="1" ht="15">
      <c r="A596" s="60"/>
      <c r="B596" s="60"/>
      <c r="C596" s="260"/>
      <c r="D596" s="66"/>
      <c r="E596" s="165"/>
      <c r="F596" s="165"/>
      <c r="G596" s="165"/>
      <c r="H596" s="165"/>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row>
    <row r="597" spans="1:33" s="43" customFormat="1" ht="15">
      <c r="A597" s="60"/>
      <c r="B597" s="60"/>
      <c r="C597" s="260"/>
      <c r="D597" s="66"/>
      <c r="E597" s="165"/>
      <c r="F597" s="165"/>
      <c r="G597" s="165"/>
      <c r="H597" s="165"/>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row>
    <row r="598" spans="1:33" s="43" customFormat="1" ht="15">
      <c r="A598" s="60"/>
      <c r="B598" s="60"/>
      <c r="C598" s="260"/>
      <c r="D598" s="66"/>
      <c r="E598" s="165"/>
      <c r="F598" s="165"/>
      <c r="G598" s="165"/>
      <c r="H598" s="165"/>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row>
    <row r="599" spans="1:33" s="43" customFormat="1" ht="15">
      <c r="A599" s="60"/>
      <c r="B599" s="60"/>
      <c r="C599" s="260"/>
      <c r="D599" s="66"/>
      <c r="E599" s="165"/>
      <c r="F599" s="165"/>
      <c r="G599" s="165"/>
      <c r="H599" s="165"/>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row>
    <row r="600" spans="1:33" s="43" customFormat="1" ht="15">
      <c r="A600" s="60"/>
      <c r="B600" s="60"/>
      <c r="C600" s="260"/>
      <c r="D600" s="66"/>
      <c r="E600" s="165"/>
      <c r="F600" s="165"/>
      <c r="G600" s="165"/>
      <c r="H600" s="165"/>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row>
    <row r="601" spans="1:33" s="43" customFormat="1" ht="15">
      <c r="A601" s="60"/>
      <c r="B601" s="60"/>
      <c r="C601" s="260"/>
      <c r="D601" s="66"/>
      <c r="E601" s="165"/>
      <c r="F601" s="165"/>
      <c r="G601" s="165"/>
      <c r="H601" s="165"/>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row>
    <row r="602" spans="1:33" s="43" customFormat="1" ht="15">
      <c r="A602" s="60"/>
      <c r="B602" s="60"/>
      <c r="C602" s="260"/>
      <c r="D602" s="66"/>
      <c r="E602" s="165"/>
      <c r="F602" s="165"/>
      <c r="G602" s="165"/>
      <c r="H602" s="165"/>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row>
    <row r="603" spans="1:33" s="43" customFormat="1" ht="15">
      <c r="A603" s="60"/>
      <c r="B603" s="60"/>
      <c r="C603" s="260"/>
      <c r="D603" s="66"/>
      <c r="E603" s="165"/>
      <c r="F603" s="165"/>
      <c r="G603" s="165"/>
      <c r="H603" s="165"/>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row>
    <row r="604" spans="1:33" s="43" customFormat="1" ht="15">
      <c r="A604" s="60"/>
      <c r="B604" s="60"/>
      <c r="C604" s="260"/>
      <c r="D604" s="66"/>
      <c r="E604" s="165"/>
      <c r="F604" s="165"/>
      <c r="G604" s="165"/>
      <c r="H604" s="165"/>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row>
    <row r="605" spans="1:33" s="43" customFormat="1" ht="15">
      <c r="A605" s="60"/>
      <c r="B605" s="60"/>
      <c r="C605" s="260"/>
      <c r="D605" s="66"/>
      <c r="E605" s="165"/>
      <c r="F605" s="165"/>
      <c r="G605" s="165"/>
      <c r="H605" s="165"/>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row>
    <row r="606" spans="1:33" s="43" customFormat="1" ht="15">
      <c r="A606" s="60"/>
      <c r="B606" s="60"/>
      <c r="C606" s="260"/>
      <c r="D606" s="66"/>
      <c r="E606" s="165"/>
      <c r="F606" s="165"/>
      <c r="G606" s="165"/>
      <c r="H606" s="165"/>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row>
    <row r="607" spans="1:33" s="43" customFormat="1" ht="15">
      <c r="A607" s="60"/>
      <c r="B607" s="60"/>
      <c r="C607" s="260"/>
      <c r="D607" s="66"/>
      <c r="E607" s="165"/>
      <c r="F607" s="165"/>
      <c r="G607" s="165"/>
      <c r="H607" s="165"/>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row>
    <row r="608" spans="1:33" s="43" customFormat="1" ht="15">
      <c r="A608" s="60"/>
      <c r="B608" s="60"/>
      <c r="C608" s="260"/>
      <c r="D608" s="66"/>
      <c r="E608" s="165"/>
      <c r="F608" s="165"/>
      <c r="G608" s="165"/>
      <c r="H608" s="165"/>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row>
    <row r="609" spans="1:33" s="43" customFormat="1" ht="15">
      <c r="A609" s="60"/>
      <c r="B609" s="60"/>
      <c r="C609" s="260"/>
      <c r="D609" s="66"/>
      <c r="E609" s="165"/>
      <c r="F609" s="165"/>
      <c r="G609" s="165"/>
      <c r="H609" s="165"/>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row>
    <row r="610" spans="1:33" s="43" customFormat="1" ht="15">
      <c r="A610" s="60"/>
      <c r="B610" s="60"/>
      <c r="C610" s="260"/>
      <c r="D610" s="66"/>
      <c r="E610" s="165"/>
      <c r="F610" s="165"/>
      <c r="G610" s="165"/>
      <c r="H610" s="165"/>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row>
    <row r="611" spans="1:33" s="43" customFormat="1" ht="15">
      <c r="A611" s="60"/>
      <c r="B611" s="60"/>
      <c r="C611" s="260"/>
      <c r="D611" s="66"/>
      <c r="E611" s="165"/>
      <c r="F611" s="165"/>
      <c r="G611" s="165"/>
      <c r="H611" s="165"/>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row>
    <row r="612" spans="1:33" s="43" customFormat="1" ht="15">
      <c r="A612" s="60"/>
      <c r="B612" s="60"/>
      <c r="C612" s="260"/>
      <c r="D612" s="66"/>
      <c r="E612" s="165"/>
      <c r="F612" s="165"/>
      <c r="G612" s="165"/>
      <c r="H612" s="165"/>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row>
    <row r="613" spans="1:33" s="43" customFormat="1" ht="15">
      <c r="A613" s="60"/>
      <c r="B613" s="60"/>
      <c r="C613" s="260"/>
      <c r="D613" s="66"/>
      <c r="E613" s="165"/>
      <c r="F613" s="165"/>
      <c r="G613" s="165"/>
      <c r="H613" s="165"/>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row>
    <row r="614" spans="1:33" s="43" customFormat="1" ht="15">
      <c r="A614" s="60"/>
      <c r="B614" s="60"/>
      <c r="C614" s="260"/>
      <c r="D614" s="66"/>
      <c r="E614" s="165"/>
      <c r="F614" s="165"/>
      <c r="G614" s="165"/>
      <c r="H614" s="165"/>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row>
    <row r="615" spans="1:33" s="43" customFormat="1" ht="15">
      <c r="A615" s="60"/>
      <c r="B615" s="60"/>
      <c r="C615" s="260"/>
      <c r="D615" s="66"/>
      <c r="E615" s="165"/>
      <c r="F615" s="165"/>
      <c r="G615" s="165"/>
      <c r="H615" s="165"/>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row>
    <row r="616" spans="1:33" s="43" customFormat="1" ht="15">
      <c r="A616" s="60"/>
      <c r="B616" s="60"/>
      <c r="C616" s="260"/>
      <c r="D616" s="66"/>
      <c r="E616" s="165"/>
      <c r="F616" s="165"/>
      <c r="G616" s="165"/>
      <c r="H616" s="165"/>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row>
    <row r="617" spans="1:33" s="43" customFormat="1" ht="15">
      <c r="A617" s="60"/>
      <c r="B617" s="60"/>
      <c r="C617" s="260"/>
      <c r="D617" s="66"/>
      <c r="E617" s="165"/>
      <c r="F617" s="165"/>
      <c r="G617" s="165"/>
      <c r="H617" s="165"/>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row>
    <row r="618" spans="1:33" s="43" customFormat="1" ht="15">
      <c r="A618" s="60"/>
      <c r="B618" s="60"/>
      <c r="C618" s="260"/>
      <c r="D618" s="66"/>
      <c r="E618" s="165"/>
      <c r="F618" s="165"/>
      <c r="G618" s="165"/>
      <c r="H618" s="165"/>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row>
    <row r="619" spans="1:33" s="43" customFormat="1" ht="15">
      <c r="A619" s="60"/>
      <c r="B619" s="60"/>
      <c r="C619" s="260"/>
      <c r="D619" s="66"/>
      <c r="E619" s="165"/>
      <c r="F619" s="165"/>
      <c r="G619" s="165"/>
      <c r="H619" s="165"/>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row>
    <row r="620" spans="1:33" s="43" customFormat="1" ht="15">
      <c r="A620" s="60"/>
      <c r="B620" s="60"/>
      <c r="C620" s="260"/>
      <c r="D620" s="66"/>
      <c r="E620" s="165"/>
      <c r="F620" s="165"/>
      <c r="G620" s="165"/>
      <c r="H620" s="165"/>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row>
    <row r="621" spans="1:33" s="43" customFormat="1" ht="15">
      <c r="A621" s="60"/>
      <c r="B621" s="60"/>
      <c r="C621" s="260"/>
      <c r="D621" s="66"/>
      <c r="E621" s="165"/>
      <c r="F621" s="165"/>
      <c r="G621" s="165"/>
      <c r="H621" s="165"/>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row>
    <row r="622" spans="1:33" s="43" customFormat="1" ht="15">
      <c r="A622" s="60"/>
      <c r="B622" s="60"/>
      <c r="C622" s="260"/>
      <c r="D622" s="66"/>
      <c r="E622" s="165"/>
      <c r="F622" s="165"/>
      <c r="G622" s="165"/>
      <c r="H622" s="165"/>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row>
    <row r="623" spans="1:33" s="43" customFormat="1" ht="15">
      <c r="A623" s="60"/>
      <c r="B623" s="60"/>
      <c r="C623" s="260"/>
      <c r="D623" s="66"/>
      <c r="E623" s="165"/>
      <c r="F623" s="165"/>
      <c r="G623" s="165"/>
      <c r="H623" s="165"/>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row>
    <row r="624" spans="1:33" s="43" customFormat="1" ht="15">
      <c r="A624" s="60"/>
      <c r="B624" s="60"/>
      <c r="C624" s="260"/>
      <c r="D624" s="66"/>
      <c r="E624" s="165"/>
      <c r="F624" s="165"/>
      <c r="G624" s="165"/>
      <c r="H624" s="165"/>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row>
    <row r="625" spans="1:33" s="43" customFormat="1" ht="15">
      <c r="A625" s="60"/>
      <c r="B625" s="60"/>
      <c r="C625" s="260"/>
      <c r="D625" s="66"/>
      <c r="E625" s="165"/>
      <c r="F625" s="165"/>
      <c r="G625" s="165"/>
      <c r="H625" s="165"/>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row>
    <row r="626" spans="1:33" ht="15">
      <c r="B626" s="43"/>
    </row>
    <row r="627" spans="1:33" ht="15">
      <c r="B627" s="43"/>
    </row>
    <row r="628" spans="1:33" ht="15">
      <c r="B628" s="43"/>
    </row>
    <row r="644" spans="3:8" ht="15">
      <c r="C644" s="27"/>
      <c r="D644" s="190"/>
      <c r="E644" s="183"/>
      <c r="F644" s="184"/>
      <c r="G644" s="184"/>
      <c r="H644" s="186"/>
    </row>
    <row r="645" spans="3:8">
      <c r="C645" s="262"/>
      <c r="D645" s="191"/>
      <c r="E645" s="185"/>
      <c r="F645" s="186"/>
      <c r="G645" s="186"/>
      <c r="H645" s="186"/>
    </row>
  </sheetData>
  <mergeCells count="62">
    <mergeCell ref="C16:F16"/>
    <mergeCell ref="C3:H3"/>
    <mergeCell ref="C4:H4"/>
    <mergeCell ref="C5:H5"/>
    <mergeCell ref="C6:H6"/>
    <mergeCell ref="C8:F8"/>
    <mergeCell ref="C9:G9"/>
    <mergeCell ref="C10:F10"/>
    <mergeCell ref="C11:F11"/>
    <mergeCell ref="C12:F12"/>
    <mergeCell ref="C14:F14"/>
    <mergeCell ref="C15:F15"/>
    <mergeCell ref="C13:F13"/>
    <mergeCell ref="C18:F18"/>
    <mergeCell ref="B21:H21"/>
    <mergeCell ref="G91:H91"/>
    <mergeCell ref="G87:H87"/>
    <mergeCell ref="C84:F84"/>
    <mergeCell ref="G85:H85"/>
    <mergeCell ref="G86:H86"/>
    <mergeCell ref="G90:H90"/>
    <mergeCell ref="G93:H93"/>
    <mergeCell ref="G88:H88"/>
    <mergeCell ref="G89:H89"/>
    <mergeCell ref="C38:G38"/>
    <mergeCell ref="G39:H39"/>
    <mergeCell ref="G40:H40"/>
    <mergeCell ref="G92:H92"/>
    <mergeCell ref="C79:F79"/>
    <mergeCell ref="G80:H80"/>
    <mergeCell ref="G81:H81"/>
    <mergeCell ref="G82:H82"/>
    <mergeCell ref="C497:D497"/>
    <mergeCell ref="E506:F506"/>
    <mergeCell ref="E507:F507"/>
    <mergeCell ref="C509:D509"/>
    <mergeCell ref="B535:G535"/>
    <mergeCell ref="C456:G456"/>
    <mergeCell ref="B341:H341"/>
    <mergeCell ref="C581:D581"/>
    <mergeCell ref="D584:E584"/>
    <mergeCell ref="C586:D586"/>
    <mergeCell ref="B556:D556"/>
    <mergeCell ref="B557:D557"/>
    <mergeCell ref="B558:D558"/>
    <mergeCell ref="B559:D559"/>
    <mergeCell ref="C561:F561"/>
    <mergeCell ref="C579:D579"/>
    <mergeCell ref="B536:F536"/>
    <mergeCell ref="A363:H363"/>
    <mergeCell ref="C489:E489"/>
    <mergeCell ref="C490:E490"/>
    <mergeCell ref="C494:D494"/>
    <mergeCell ref="B313:H313"/>
    <mergeCell ref="B284:H284"/>
    <mergeCell ref="B334:H334"/>
    <mergeCell ref="C337:G337"/>
    <mergeCell ref="B94:H94"/>
    <mergeCell ref="B95:H95"/>
    <mergeCell ref="B96:H96"/>
    <mergeCell ref="B97:H97"/>
    <mergeCell ref="B277:H277"/>
  </mergeCells>
  <hyperlinks>
    <hyperlink ref="C190" r:id="rId1" display="https://lidercom.kz/p40557230-tryapka-dlya-mytya.html" xr:uid="{5E0863BB-6136-4DC8-833E-C4A32E796D72}"/>
  </hyperlinks>
  <pageMargins left="0.39370078740157483" right="0.19685039370078741" top="0.39370078740157483" bottom="0.19685039370078741" header="0.31496062992125984" footer="0.31496062992125984"/>
  <pageSetup paperSize="9" scale="70" fitToHeight="0"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F8AE9-637D-459E-ACB8-FB9272DE6231}">
  <dimension ref="A1:AG640"/>
  <sheetViews>
    <sheetView topLeftCell="B566" zoomScaleNormal="100" zoomScaleSheetLayoutView="100" workbookViewId="0">
      <selection activeCell="I573" sqref="I573"/>
    </sheetView>
  </sheetViews>
  <sheetFormatPr defaultColWidth="8.85546875" defaultRowHeight="12.75"/>
  <cols>
    <col min="1" max="1" width="9.140625" hidden="1" customWidth="1"/>
    <col min="2" max="2" width="5.42578125" customWidth="1"/>
    <col min="3" max="3" width="28.42578125" style="261" customWidth="1"/>
    <col min="4" max="4" width="26.140625" style="62" customWidth="1"/>
    <col min="5" max="5" width="14.42578125" style="177" customWidth="1"/>
    <col min="6" max="6" width="14.85546875" style="182" customWidth="1"/>
    <col min="7" max="7" width="15.140625" style="182" customWidth="1"/>
    <col min="8" max="8" width="19.42578125" style="182" customWidth="1"/>
    <col min="9" max="9" width="19.7109375" customWidth="1"/>
  </cols>
  <sheetData>
    <row r="1" spans="1:33">
      <c r="A1" s="57"/>
      <c r="B1" s="57"/>
      <c r="C1" s="216"/>
      <c r="D1" s="103"/>
      <c r="F1" s="177"/>
      <c r="G1" s="177"/>
      <c r="H1" s="177"/>
      <c r="I1" s="57"/>
      <c r="J1" s="57"/>
      <c r="K1" s="57"/>
      <c r="L1" s="57"/>
      <c r="M1" s="57"/>
      <c r="N1" s="57"/>
      <c r="O1" s="57"/>
      <c r="P1" s="57"/>
      <c r="Q1" s="57"/>
      <c r="R1" s="57"/>
      <c r="S1" s="57"/>
      <c r="T1" s="57"/>
      <c r="U1" s="57"/>
      <c r="V1" s="57"/>
      <c r="W1" s="57"/>
      <c r="X1" s="57"/>
      <c r="Y1" s="57"/>
      <c r="Z1" s="57"/>
      <c r="AA1" s="57"/>
      <c r="AB1" s="57"/>
      <c r="AC1" s="57"/>
      <c r="AD1" s="57"/>
      <c r="AE1" s="57"/>
      <c r="AF1" s="57"/>
      <c r="AG1" s="57"/>
    </row>
    <row r="2" spans="1:33">
      <c r="A2" s="57"/>
      <c r="B2" s="57"/>
      <c r="C2" s="216"/>
      <c r="D2" s="103"/>
      <c r="F2" s="177"/>
      <c r="G2" s="177"/>
      <c r="H2" s="177"/>
      <c r="I2" s="57"/>
      <c r="J2" s="57"/>
      <c r="K2" s="57"/>
      <c r="L2" s="57"/>
      <c r="M2" s="57"/>
      <c r="N2" s="57"/>
      <c r="O2" s="57"/>
      <c r="P2" s="57"/>
      <c r="Q2" s="57"/>
      <c r="R2" s="57"/>
      <c r="S2" s="57"/>
      <c r="T2" s="57"/>
      <c r="U2" s="57"/>
      <c r="V2" s="57"/>
      <c r="W2" s="57"/>
      <c r="X2" s="57"/>
      <c r="Y2" s="57"/>
      <c r="Z2" s="57"/>
      <c r="AA2" s="57"/>
      <c r="AB2" s="57"/>
      <c r="AC2" s="57"/>
      <c r="AD2" s="57"/>
      <c r="AE2" s="57"/>
      <c r="AF2" s="57"/>
      <c r="AG2" s="57"/>
    </row>
    <row r="3" spans="1:33" s="43" customFormat="1" ht="15.75">
      <c r="A3" s="60"/>
      <c r="B3" s="60"/>
      <c r="C3" s="1430" t="s">
        <v>1883</v>
      </c>
      <c r="D3" s="1430"/>
      <c r="E3" s="1430"/>
      <c r="F3" s="1430"/>
      <c r="G3" s="1430"/>
      <c r="H3" s="1430"/>
      <c r="I3" s="60"/>
      <c r="J3" s="60"/>
      <c r="K3" s="60"/>
      <c r="L3" s="60"/>
      <c r="M3" s="60"/>
      <c r="N3" s="60"/>
      <c r="O3" s="60"/>
      <c r="P3" s="60"/>
      <c r="Q3" s="60"/>
      <c r="R3" s="60"/>
      <c r="S3" s="60"/>
      <c r="T3" s="60"/>
      <c r="U3" s="60"/>
      <c r="V3" s="60"/>
      <c r="W3" s="60"/>
      <c r="X3" s="60"/>
      <c r="Y3" s="60"/>
      <c r="Z3" s="60"/>
      <c r="AA3" s="60"/>
      <c r="AB3" s="60"/>
      <c r="AC3" s="60"/>
      <c r="AD3" s="60"/>
      <c r="AE3" s="60"/>
      <c r="AF3" s="60"/>
      <c r="AG3" s="60"/>
    </row>
    <row r="4" spans="1:33" s="43" customFormat="1" ht="16.5" customHeight="1">
      <c r="A4" s="60"/>
      <c r="B4" s="60"/>
      <c r="C4" s="1431" t="s">
        <v>2436</v>
      </c>
      <c r="D4" s="1431"/>
      <c r="E4" s="1431"/>
      <c r="F4" s="1431"/>
      <c r="G4" s="1431"/>
      <c r="H4" s="1431"/>
      <c r="I4" s="60"/>
      <c r="J4" s="60"/>
      <c r="K4" s="60"/>
      <c r="L4" s="60"/>
      <c r="M4" s="60"/>
      <c r="N4" s="60"/>
      <c r="O4" s="60"/>
      <c r="P4" s="60"/>
      <c r="Q4" s="60"/>
      <c r="R4" s="60"/>
      <c r="S4" s="60"/>
      <c r="T4" s="60"/>
      <c r="U4" s="60"/>
      <c r="V4" s="60"/>
      <c r="W4" s="60"/>
      <c r="X4" s="60"/>
      <c r="Y4" s="60"/>
      <c r="Z4" s="60"/>
      <c r="AA4" s="60"/>
      <c r="AB4" s="60"/>
      <c r="AC4" s="60"/>
      <c r="AD4" s="60"/>
      <c r="AE4" s="60"/>
      <c r="AF4" s="60"/>
      <c r="AG4" s="60"/>
    </row>
    <row r="5" spans="1:33" s="43" customFormat="1" ht="14.25" customHeight="1">
      <c r="A5" s="60"/>
      <c r="B5" s="60"/>
      <c r="C5" s="1432" t="s">
        <v>391</v>
      </c>
      <c r="D5" s="1432"/>
      <c r="E5" s="1432"/>
      <c r="F5" s="1432"/>
      <c r="G5" s="1432"/>
      <c r="H5" s="1432"/>
      <c r="I5" s="60"/>
      <c r="J5" s="60"/>
      <c r="K5" s="60"/>
      <c r="L5" s="60"/>
      <c r="M5" s="60"/>
      <c r="N5" s="60"/>
      <c r="O5" s="60"/>
      <c r="P5" s="60"/>
      <c r="Q5" s="60"/>
      <c r="R5" s="60"/>
      <c r="S5" s="60"/>
      <c r="T5" s="60"/>
      <c r="U5" s="60"/>
      <c r="V5" s="60"/>
      <c r="W5" s="60"/>
      <c r="X5" s="60"/>
      <c r="Y5" s="60"/>
      <c r="Z5" s="60"/>
      <c r="AA5" s="60"/>
      <c r="AB5" s="60"/>
      <c r="AC5" s="60"/>
      <c r="AD5" s="60"/>
      <c r="AE5" s="60"/>
      <c r="AF5" s="60"/>
      <c r="AG5" s="60"/>
    </row>
    <row r="6" spans="1:33" s="43" customFormat="1" ht="15.75" customHeight="1">
      <c r="A6" s="60"/>
      <c r="B6" s="60"/>
      <c r="C6" s="1432" t="s">
        <v>171</v>
      </c>
      <c r="D6" s="1432"/>
      <c r="E6" s="1432"/>
      <c r="F6" s="1432"/>
      <c r="G6" s="1432"/>
      <c r="H6" s="1432"/>
      <c r="I6" s="60"/>
      <c r="J6" s="60"/>
      <c r="K6" s="60"/>
      <c r="L6" s="60"/>
      <c r="M6" s="60"/>
      <c r="N6" s="60"/>
      <c r="O6" s="60"/>
      <c r="P6" s="60"/>
      <c r="Q6" s="60"/>
      <c r="R6" s="60"/>
      <c r="S6" s="60"/>
      <c r="T6" s="60"/>
      <c r="U6" s="60"/>
      <c r="V6" s="60"/>
      <c r="W6" s="60"/>
      <c r="X6" s="60"/>
      <c r="Y6" s="60"/>
      <c r="Z6" s="60"/>
      <c r="AA6" s="60"/>
      <c r="AB6" s="60"/>
      <c r="AC6" s="60"/>
      <c r="AD6" s="60"/>
      <c r="AE6" s="60"/>
      <c r="AF6" s="60"/>
      <c r="AG6" s="60"/>
    </row>
    <row r="7" spans="1:33" s="43" customFormat="1" ht="14.25" customHeight="1">
      <c r="A7" s="60"/>
      <c r="B7" s="60"/>
      <c r="C7" s="254"/>
      <c r="D7" s="707"/>
      <c r="E7" s="707"/>
      <c r="F7" s="707"/>
      <c r="G7" s="707"/>
      <c r="H7" s="263"/>
      <c r="I7" s="60"/>
      <c r="J7" s="60"/>
      <c r="K7" s="60"/>
      <c r="L7" s="60"/>
      <c r="M7" s="60"/>
      <c r="N7" s="60"/>
      <c r="O7" s="60"/>
      <c r="P7" s="60"/>
      <c r="Q7" s="60"/>
      <c r="R7" s="60"/>
      <c r="S7" s="60"/>
      <c r="T7" s="60"/>
      <c r="U7" s="60"/>
      <c r="V7" s="60"/>
      <c r="W7" s="60"/>
      <c r="X7" s="60"/>
      <c r="Y7" s="60"/>
      <c r="Z7" s="60"/>
      <c r="AA7" s="60"/>
      <c r="AB7" s="60"/>
      <c r="AC7" s="60"/>
      <c r="AD7" s="60"/>
      <c r="AE7" s="60"/>
      <c r="AF7" s="60"/>
      <c r="AG7" s="60"/>
    </row>
    <row r="8" spans="1:33" s="48" customFormat="1" ht="15.75">
      <c r="A8" s="69"/>
      <c r="B8" s="173"/>
      <c r="C8" s="1433" t="s">
        <v>137</v>
      </c>
      <c r="D8" s="1433"/>
      <c r="E8" s="1433"/>
      <c r="F8" s="1433"/>
      <c r="G8" s="198"/>
      <c r="H8" s="225">
        <f>H10+H11+H12+H13+H14+H15+H16</f>
        <v>2227143365.5164304</v>
      </c>
      <c r="I8" s="90"/>
      <c r="J8" s="90"/>
      <c r="K8" s="90"/>
      <c r="L8" s="90"/>
      <c r="M8" s="90"/>
      <c r="N8" s="90"/>
      <c r="O8" s="90"/>
      <c r="P8" s="90"/>
      <c r="Q8" s="90"/>
      <c r="R8" s="90"/>
      <c r="S8" s="90"/>
      <c r="T8" s="90"/>
      <c r="U8" s="90"/>
      <c r="V8" s="90"/>
      <c r="W8" s="90"/>
      <c r="X8" s="90"/>
      <c r="Y8" s="90"/>
      <c r="Z8" s="90"/>
      <c r="AA8" s="90"/>
      <c r="AB8" s="90"/>
      <c r="AC8" s="90"/>
      <c r="AD8" s="90"/>
      <c r="AE8" s="90"/>
      <c r="AF8" s="90"/>
      <c r="AG8" s="90"/>
    </row>
    <row r="9" spans="1:33" s="48" customFormat="1" ht="25.5">
      <c r="A9" s="69"/>
      <c r="B9" s="625" t="s">
        <v>79</v>
      </c>
      <c r="C9" s="1434" t="s">
        <v>34</v>
      </c>
      <c r="D9" s="1435"/>
      <c r="E9" s="1435"/>
      <c r="F9" s="1435"/>
      <c r="G9" s="1436"/>
      <c r="H9" s="625" t="s">
        <v>858</v>
      </c>
      <c r="I9" s="90"/>
      <c r="J9" s="90"/>
      <c r="K9" s="90"/>
      <c r="L9" s="90"/>
      <c r="M9" s="90"/>
      <c r="N9" s="90"/>
      <c r="O9" s="90"/>
      <c r="P9" s="90"/>
      <c r="Q9" s="90"/>
      <c r="R9" s="90"/>
      <c r="S9" s="90"/>
      <c r="T9" s="90"/>
      <c r="U9" s="90"/>
      <c r="V9" s="90"/>
      <c r="W9" s="90"/>
      <c r="X9" s="90"/>
      <c r="Y9" s="90"/>
      <c r="Z9" s="90"/>
      <c r="AA9" s="90"/>
      <c r="AB9" s="90"/>
      <c r="AC9" s="90"/>
      <c r="AD9" s="90"/>
      <c r="AE9" s="90"/>
      <c r="AF9" s="90"/>
      <c r="AG9" s="90"/>
    </row>
    <row r="10" spans="1:33" s="43" customFormat="1" ht="15">
      <c r="A10" s="105"/>
      <c r="B10" s="719">
        <v>1</v>
      </c>
      <c r="C10" s="1427" t="s">
        <v>159</v>
      </c>
      <c r="D10" s="1428"/>
      <c r="E10" s="1428"/>
      <c r="F10" s="1429"/>
      <c r="G10" s="720"/>
      <c r="H10" s="721">
        <f>'[1]Сводная лимит 2027г.'!H10+'[1]Сводная ДП 2027г.'!H10</f>
        <v>728185170.5999999</v>
      </c>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row>
    <row r="11" spans="1:33" s="43" customFormat="1" ht="15">
      <c r="A11" s="105"/>
      <c r="B11" s="719">
        <f>B10+1</f>
        <v>2</v>
      </c>
      <c r="C11" s="1427" t="s">
        <v>283</v>
      </c>
      <c r="D11" s="1428"/>
      <c r="E11" s="1428"/>
      <c r="F11" s="1429"/>
      <c r="G11" s="720"/>
      <c r="H11" s="721">
        <f>'[1]Сводная лимит 2027г.'!H11+'[1]Сводная ДП 2027г.'!H11</f>
        <v>1035890728.7475001</v>
      </c>
      <c r="I11" s="288"/>
      <c r="J11" s="722"/>
      <c r="K11" s="60"/>
      <c r="L11" s="60"/>
      <c r="M11" s="60"/>
      <c r="N11" s="60"/>
      <c r="O11" s="60"/>
      <c r="P11" s="60"/>
      <c r="Q11" s="60"/>
      <c r="R11" s="60"/>
      <c r="S11" s="60"/>
      <c r="T11" s="60"/>
      <c r="U11" s="60"/>
      <c r="V11" s="60"/>
      <c r="W11" s="60"/>
      <c r="X11" s="60"/>
      <c r="Y11" s="60"/>
      <c r="Z11" s="60"/>
      <c r="AA11" s="60"/>
      <c r="AB11" s="60"/>
      <c r="AC11" s="60"/>
      <c r="AD11" s="60"/>
      <c r="AE11" s="60"/>
      <c r="AF11" s="60"/>
      <c r="AG11" s="60"/>
    </row>
    <row r="12" spans="1:33" s="43" customFormat="1" ht="15">
      <c r="A12" s="105"/>
      <c r="B12" s="719">
        <f>B11+1</f>
        <v>3</v>
      </c>
      <c r="C12" s="1427" t="s">
        <v>109</v>
      </c>
      <c r="D12" s="1428"/>
      <c r="E12" s="1428"/>
      <c r="F12" s="1429"/>
      <c r="G12" s="619" t="s">
        <v>140</v>
      </c>
      <c r="H12" s="721">
        <f>'[1]Сводная лимит 2027г.'!H12+'[1]Сводная ДП 2027г.'!H12</f>
        <v>139840831.27125001</v>
      </c>
      <c r="I12" s="288"/>
      <c r="J12" s="722"/>
      <c r="K12" s="60"/>
      <c r="L12" s="60"/>
      <c r="M12" s="60"/>
      <c r="N12" s="60"/>
      <c r="O12" s="60"/>
      <c r="P12" s="60"/>
      <c r="Q12" s="60"/>
      <c r="R12" s="60"/>
      <c r="S12" s="60"/>
      <c r="T12" s="60"/>
      <c r="U12" s="60"/>
      <c r="V12" s="60"/>
      <c r="W12" s="60"/>
      <c r="X12" s="60"/>
      <c r="Y12" s="60"/>
      <c r="Z12" s="60"/>
      <c r="AA12" s="60"/>
      <c r="AB12" s="60"/>
      <c r="AC12" s="60"/>
      <c r="AD12" s="60"/>
      <c r="AE12" s="60"/>
      <c r="AF12" s="60"/>
      <c r="AG12" s="60"/>
    </row>
    <row r="13" spans="1:33" s="43" customFormat="1" ht="15">
      <c r="A13" s="105"/>
      <c r="B13" s="719">
        <f>B12+1</f>
        <v>4</v>
      </c>
      <c r="C13" s="1427" t="s">
        <v>75</v>
      </c>
      <c r="D13" s="1428"/>
      <c r="E13" s="1428"/>
      <c r="F13" s="1429"/>
      <c r="G13" s="723">
        <v>0.06</v>
      </c>
      <c r="H13" s="721">
        <f>'[1]Сводная лимит 2027г.'!H13+'[1]Сводная ДП 2027г.'!H13</f>
        <v>98937221.081568003</v>
      </c>
      <c r="I13" s="288"/>
      <c r="J13" s="722"/>
      <c r="K13" s="60"/>
      <c r="L13" s="60"/>
      <c r="M13" s="60"/>
      <c r="N13" s="60"/>
      <c r="O13" s="60"/>
      <c r="P13" s="60"/>
      <c r="Q13" s="60"/>
      <c r="R13" s="60"/>
      <c r="S13" s="60"/>
      <c r="T13" s="60"/>
      <c r="U13" s="60"/>
      <c r="V13" s="60"/>
      <c r="W13" s="60"/>
      <c r="X13" s="60"/>
      <c r="Y13" s="60"/>
      <c r="Z13" s="60"/>
      <c r="AA13" s="60"/>
      <c r="AB13" s="60"/>
      <c r="AC13" s="60"/>
      <c r="AD13" s="60"/>
      <c r="AE13" s="60"/>
      <c r="AF13" s="60"/>
      <c r="AG13" s="60"/>
    </row>
    <row r="14" spans="1:33" s="43" customFormat="1" ht="15">
      <c r="A14" s="105"/>
      <c r="B14" s="719">
        <f>B13+1</f>
        <v>5</v>
      </c>
      <c r="C14" s="1427" t="s">
        <v>132</v>
      </c>
      <c r="D14" s="1428"/>
      <c r="E14" s="1428"/>
      <c r="F14" s="1429"/>
      <c r="G14" s="723">
        <v>0.05</v>
      </c>
      <c r="H14" s="721">
        <f>'[1]Сводная лимит 2027г.'!H14+'[1]Сводная ДП 2027г.'!H14</f>
        <v>85676252.877843753</v>
      </c>
      <c r="I14" s="288"/>
      <c r="J14" s="722"/>
      <c r="K14" s="60"/>
      <c r="L14" s="60"/>
      <c r="M14" s="60"/>
      <c r="N14" s="60"/>
      <c r="O14" s="60"/>
      <c r="P14" s="60"/>
      <c r="Q14" s="60"/>
      <c r="R14" s="60"/>
      <c r="S14" s="60"/>
      <c r="T14" s="60"/>
      <c r="U14" s="60"/>
      <c r="V14" s="60"/>
      <c r="W14" s="60"/>
      <c r="X14" s="60"/>
      <c r="Y14" s="60"/>
      <c r="Z14" s="60"/>
      <c r="AA14" s="60"/>
      <c r="AB14" s="60"/>
      <c r="AC14" s="60"/>
      <c r="AD14" s="60"/>
      <c r="AE14" s="60"/>
      <c r="AF14" s="60"/>
      <c r="AG14" s="60"/>
    </row>
    <row r="15" spans="1:33" s="43" customFormat="1" ht="15">
      <c r="A15" s="105"/>
      <c r="B15" s="719">
        <f>B14+1</f>
        <v>6</v>
      </c>
      <c r="C15" s="1427" t="s">
        <v>282</v>
      </c>
      <c r="D15" s="1428"/>
      <c r="E15" s="1428"/>
      <c r="F15" s="1429"/>
      <c r="G15" s="723">
        <v>0.03</v>
      </c>
      <c r="H15" s="721">
        <f>'[1]Сводная лимит 2027г.'!H15+'[1]Сводная ДП 2027г.'!H15</f>
        <v>52922276.980425</v>
      </c>
      <c r="I15" s="288"/>
      <c r="J15" s="722"/>
      <c r="K15" s="60"/>
      <c r="L15" s="60"/>
      <c r="M15" s="60"/>
      <c r="N15" s="60"/>
      <c r="O15" s="60"/>
      <c r="P15" s="60"/>
      <c r="Q15" s="60"/>
      <c r="R15" s="60"/>
      <c r="S15" s="60"/>
      <c r="T15" s="60"/>
      <c r="U15" s="60"/>
      <c r="V15" s="60"/>
      <c r="W15" s="60"/>
      <c r="X15" s="60"/>
      <c r="Y15" s="60"/>
      <c r="Z15" s="60"/>
      <c r="AA15" s="60"/>
      <c r="AB15" s="60"/>
      <c r="AC15" s="60"/>
      <c r="AD15" s="60"/>
      <c r="AE15" s="60"/>
      <c r="AF15" s="60"/>
      <c r="AG15" s="60"/>
    </row>
    <row r="16" spans="1:33" s="43" customFormat="1" ht="15">
      <c r="A16" s="105"/>
      <c r="B16" s="719">
        <v>7</v>
      </c>
      <c r="C16" s="1439" t="s">
        <v>287</v>
      </c>
      <c r="D16" s="1439"/>
      <c r="E16" s="1439"/>
      <c r="F16" s="1439"/>
      <c r="G16" s="724">
        <v>4.4999999999999998E-2</v>
      </c>
      <c r="H16" s="721">
        <f>'[1]Сводная лимит 2027г.'!H16+'[1]Сводная ДП 2027г.'!H16</f>
        <v>85690883.957843751</v>
      </c>
      <c r="I16" s="288"/>
      <c r="J16" s="722"/>
      <c r="K16" s="60"/>
      <c r="L16" s="60"/>
      <c r="M16" s="60"/>
      <c r="N16" s="60"/>
      <c r="O16" s="60"/>
      <c r="P16" s="60"/>
      <c r="Q16" s="60"/>
      <c r="R16" s="60"/>
      <c r="S16" s="60"/>
      <c r="T16" s="60"/>
      <c r="U16" s="60"/>
      <c r="V16" s="60"/>
      <c r="W16" s="60"/>
      <c r="X16" s="60"/>
      <c r="Y16" s="60"/>
      <c r="Z16" s="60"/>
      <c r="AA16" s="60"/>
      <c r="AB16" s="60"/>
      <c r="AC16" s="60"/>
      <c r="AD16" s="60"/>
      <c r="AE16" s="60"/>
      <c r="AF16" s="60"/>
      <c r="AG16" s="60"/>
    </row>
    <row r="17" spans="1:33" s="43" customFormat="1" ht="15">
      <c r="A17" s="105"/>
      <c r="B17" s="108"/>
      <c r="C17" s="135"/>
      <c r="D17" s="135"/>
      <c r="E17" s="115"/>
      <c r="F17" s="115"/>
      <c r="G17" s="266"/>
      <c r="H17" s="192"/>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row>
    <row r="18" spans="1:33" s="43" customFormat="1" ht="15">
      <c r="A18" s="105"/>
      <c r="B18" s="173"/>
      <c r="C18" s="1433" t="s">
        <v>290</v>
      </c>
      <c r="D18" s="1433"/>
      <c r="E18" s="1433"/>
      <c r="F18" s="1433"/>
      <c r="G18" s="631">
        <f>G20</f>
        <v>6400634.9206349198</v>
      </c>
      <c r="H18" s="179"/>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row>
    <row r="19" spans="1:33" s="43" customFormat="1" ht="31.5">
      <c r="A19" s="105"/>
      <c r="B19" s="625" t="s">
        <v>79</v>
      </c>
      <c r="C19" s="626" t="s">
        <v>34</v>
      </c>
      <c r="D19" s="625" t="s">
        <v>123</v>
      </c>
      <c r="E19" s="725" t="s">
        <v>851</v>
      </c>
      <c r="F19" s="625" t="s">
        <v>108</v>
      </c>
      <c r="G19" s="726" t="s">
        <v>859</v>
      </c>
      <c r="H19" s="121"/>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row>
    <row r="20" spans="1:33" s="43" customFormat="1" ht="25.5">
      <c r="A20" s="105"/>
      <c r="B20" s="619">
        <v>2</v>
      </c>
      <c r="C20" s="613" t="s">
        <v>221</v>
      </c>
      <c r="D20" s="727">
        <v>167</v>
      </c>
      <c r="E20" s="600">
        <f>G23</f>
        <v>6400.6349206349196</v>
      </c>
      <c r="F20" s="728">
        <v>1000</v>
      </c>
      <c r="G20" s="600">
        <f>E20*F20</f>
        <v>6400634.9206349198</v>
      </c>
      <c r="H20" s="176"/>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row>
    <row r="21" spans="1:33" s="43" customFormat="1" ht="15">
      <c r="A21" s="105"/>
      <c r="B21" s="1440" t="s">
        <v>1884</v>
      </c>
      <c r="C21" s="1440"/>
      <c r="D21" s="1440"/>
      <c r="E21" s="1440"/>
      <c r="F21" s="1440"/>
      <c r="G21" s="1440"/>
      <c r="H21" s="144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row>
    <row r="22" spans="1:33" s="43" customFormat="1" ht="38.25">
      <c r="A22" s="105"/>
      <c r="B22" s="625" t="s">
        <v>20</v>
      </c>
      <c r="C22" s="626" t="s">
        <v>124</v>
      </c>
      <c r="D22" s="729" t="s">
        <v>41</v>
      </c>
      <c r="E22" s="625" t="s">
        <v>37</v>
      </c>
      <c r="F22" s="625" t="s">
        <v>162</v>
      </c>
      <c r="G22" s="625" t="s">
        <v>142</v>
      </c>
      <c r="H22" s="625" t="s">
        <v>163</v>
      </c>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row>
    <row r="23" spans="1:33" s="43" customFormat="1" ht="15">
      <c r="A23" s="105"/>
      <c r="B23" s="610"/>
      <c r="C23" s="626" t="s">
        <v>5</v>
      </c>
      <c r="D23" s="726">
        <f>SUM(D24:D35)</f>
        <v>167</v>
      </c>
      <c r="E23" s="601"/>
      <c r="F23" s="601"/>
      <c r="G23" s="726">
        <f>SUM(G24:G35)</f>
        <v>6400.6349206349196</v>
      </c>
      <c r="H23" s="601">
        <f>SUM(H24:H35)</f>
        <v>6400634.9206349207</v>
      </c>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row>
    <row r="24" spans="1:33" s="43" customFormat="1" ht="15">
      <c r="A24" s="105"/>
      <c r="B24" s="606">
        <v>1</v>
      </c>
      <c r="C24" s="613" t="s">
        <v>125</v>
      </c>
      <c r="D24" s="306">
        <v>16</v>
      </c>
      <c r="E24" s="600">
        <v>1000</v>
      </c>
      <c r="F24" s="730">
        <v>0.5</v>
      </c>
      <c r="G24" s="731">
        <v>627.51322751322755</v>
      </c>
      <c r="H24" s="732">
        <f t="shared" ref="H24:H35" si="0">G24*E24</f>
        <v>627513.2275132275</v>
      </c>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row>
    <row r="25" spans="1:33" s="43" customFormat="1" ht="15">
      <c r="A25" s="105"/>
      <c r="B25" s="606">
        <v>2</v>
      </c>
      <c r="C25" s="613" t="s">
        <v>21</v>
      </c>
      <c r="D25" s="306">
        <v>20</v>
      </c>
      <c r="E25" s="600">
        <v>1000</v>
      </c>
      <c r="F25" s="730">
        <v>0.5</v>
      </c>
      <c r="G25" s="731">
        <v>627.51322751322755</v>
      </c>
      <c r="H25" s="732">
        <f t="shared" si="0"/>
        <v>627513.2275132275</v>
      </c>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row>
    <row r="26" spans="1:33" s="43" customFormat="1" ht="15">
      <c r="A26" s="105"/>
      <c r="B26" s="606">
        <v>3</v>
      </c>
      <c r="C26" s="613" t="s">
        <v>22</v>
      </c>
      <c r="D26" s="306">
        <v>14</v>
      </c>
      <c r="E26" s="600">
        <v>1000</v>
      </c>
      <c r="F26" s="730">
        <v>0.5</v>
      </c>
      <c r="G26" s="731">
        <v>596.13756613756618</v>
      </c>
      <c r="H26" s="732">
        <f t="shared" si="0"/>
        <v>596137.56613756623</v>
      </c>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row>
    <row r="27" spans="1:33" s="43" customFormat="1" ht="15">
      <c r="A27" s="105"/>
      <c r="B27" s="606">
        <v>4</v>
      </c>
      <c r="C27" s="613" t="s">
        <v>176</v>
      </c>
      <c r="D27" s="306">
        <v>22</v>
      </c>
      <c r="E27" s="600">
        <v>1000</v>
      </c>
      <c r="F27" s="730">
        <v>0.5</v>
      </c>
      <c r="G27" s="731">
        <v>627.51322751322755</v>
      </c>
      <c r="H27" s="732">
        <f t="shared" si="0"/>
        <v>627513.2275132275</v>
      </c>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row>
    <row r="28" spans="1:33" s="43" customFormat="1" ht="15">
      <c r="A28" s="105"/>
      <c r="B28" s="606">
        <v>5</v>
      </c>
      <c r="C28" s="613" t="s">
        <v>23</v>
      </c>
      <c r="D28" s="306">
        <v>17</v>
      </c>
      <c r="E28" s="600">
        <v>1000</v>
      </c>
      <c r="F28" s="730">
        <v>0.5</v>
      </c>
      <c r="G28" s="731">
        <v>627.51322751322755</v>
      </c>
      <c r="H28" s="732">
        <f t="shared" si="0"/>
        <v>627513.2275132275</v>
      </c>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row>
    <row r="29" spans="1:33" s="43" customFormat="1" ht="15">
      <c r="A29" s="105"/>
      <c r="B29" s="606">
        <v>6</v>
      </c>
      <c r="C29" s="613" t="s">
        <v>24</v>
      </c>
      <c r="D29" s="306">
        <v>5</v>
      </c>
      <c r="E29" s="600">
        <v>1000</v>
      </c>
      <c r="F29" s="730">
        <v>0.5</v>
      </c>
      <c r="G29" s="731">
        <v>658.88888888888891</v>
      </c>
      <c r="H29" s="732">
        <f t="shared" si="0"/>
        <v>658888.88888888888</v>
      </c>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row>
    <row r="30" spans="1:33" s="43" customFormat="1" ht="15">
      <c r="A30" s="105"/>
      <c r="B30" s="606">
        <v>7</v>
      </c>
      <c r="C30" s="613" t="s">
        <v>126</v>
      </c>
      <c r="D30" s="306"/>
      <c r="E30" s="600">
        <v>1000</v>
      </c>
      <c r="F30" s="730">
        <v>0.5</v>
      </c>
      <c r="G30" s="731">
        <v>0</v>
      </c>
      <c r="H30" s="732">
        <f t="shared" si="0"/>
        <v>0</v>
      </c>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row>
    <row r="31" spans="1:33" s="43" customFormat="1" ht="15">
      <c r="A31" s="105"/>
      <c r="B31" s="606">
        <v>8</v>
      </c>
      <c r="C31" s="613" t="s">
        <v>25</v>
      </c>
      <c r="D31" s="306"/>
      <c r="E31" s="600">
        <v>1000</v>
      </c>
      <c r="F31" s="730">
        <v>0.5</v>
      </c>
      <c r="G31" s="731">
        <v>0</v>
      </c>
      <c r="H31" s="732">
        <f t="shared" si="0"/>
        <v>0</v>
      </c>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row>
    <row r="32" spans="1:33" s="43" customFormat="1" ht="15">
      <c r="A32" s="105"/>
      <c r="B32" s="606">
        <v>9</v>
      </c>
      <c r="C32" s="613" t="s">
        <v>26</v>
      </c>
      <c r="D32" s="306">
        <v>22</v>
      </c>
      <c r="E32" s="600">
        <v>1000</v>
      </c>
      <c r="F32" s="730">
        <v>0.5</v>
      </c>
      <c r="G32" s="731">
        <v>658.88888888888891</v>
      </c>
      <c r="H32" s="732">
        <f t="shared" si="0"/>
        <v>658888.88888888888</v>
      </c>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row>
    <row r="33" spans="1:33" s="43" customFormat="1" ht="15">
      <c r="A33" s="105"/>
      <c r="B33" s="606">
        <v>10</v>
      </c>
      <c r="C33" s="613" t="s">
        <v>27</v>
      </c>
      <c r="D33" s="306">
        <v>21</v>
      </c>
      <c r="E33" s="600">
        <v>1000</v>
      </c>
      <c r="F33" s="730">
        <v>0.5</v>
      </c>
      <c r="G33" s="731">
        <v>658.88888888888891</v>
      </c>
      <c r="H33" s="732">
        <f t="shared" si="0"/>
        <v>658888.88888888888</v>
      </c>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row>
    <row r="34" spans="1:33" s="43" customFormat="1" ht="15">
      <c r="A34" s="105"/>
      <c r="B34" s="606">
        <v>11</v>
      </c>
      <c r="C34" s="613" t="s">
        <v>28</v>
      </c>
      <c r="D34" s="733">
        <v>13</v>
      </c>
      <c r="E34" s="600">
        <v>1000</v>
      </c>
      <c r="F34" s="730">
        <v>0.5</v>
      </c>
      <c r="G34" s="731">
        <v>690.26455026455028</v>
      </c>
      <c r="H34" s="732">
        <f t="shared" si="0"/>
        <v>690264.55026455026</v>
      </c>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row>
    <row r="35" spans="1:33" s="43" customFormat="1" ht="15">
      <c r="A35" s="105"/>
      <c r="B35" s="606">
        <v>12</v>
      </c>
      <c r="C35" s="613" t="s">
        <v>29</v>
      </c>
      <c r="D35" s="733">
        <v>17</v>
      </c>
      <c r="E35" s="600">
        <v>1000</v>
      </c>
      <c r="F35" s="730">
        <v>0.5</v>
      </c>
      <c r="G35" s="731">
        <v>627.51322751322755</v>
      </c>
      <c r="H35" s="732">
        <f t="shared" si="0"/>
        <v>627513.2275132275</v>
      </c>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row>
    <row r="36" spans="1:33" s="43" customFormat="1" ht="15">
      <c r="A36" s="105"/>
      <c r="B36" s="107" t="s">
        <v>1885</v>
      </c>
      <c r="C36" s="135"/>
      <c r="D36" s="107"/>
      <c r="E36" s="115"/>
      <c r="F36" s="115"/>
      <c r="G36" s="115"/>
      <c r="H36" s="115"/>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row>
    <row r="37" spans="1:33" s="43" customFormat="1" ht="15">
      <c r="A37" s="105"/>
      <c r="B37" s="107"/>
      <c r="C37" s="135"/>
      <c r="D37" s="107"/>
      <c r="E37" s="115"/>
      <c r="F37" s="115"/>
      <c r="G37" s="115"/>
      <c r="H37" s="115"/>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row>
    <row r="38" spans="1:33" s="43" customFormat="1" ht="18" customHeight="1">
      <c r="A38" s="105"/>
      <c r="B38" s="169"/>
      <c r="C38" s="1392" t="s">
        <v>2424</v>
      </c>
      <c r="D38" s="1392"/>
      <c r="E38" s="1392"/>
      <c r="F38" s="1392"/>
      <c r="G38" s="1441"/>
      <c r="H38" s="631">
        <f>G40+G41</f>
        <v>262415</v>
      </c>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row>
    <row r="39" spans="1:33" s="43" customFormat="1" ht="54.75" customHeight="1">
      <c r="A39" s="105"/>
      <c r="B39" s="625" t="s">
        <v>79</v>
      </c>
      <c r="C39" s="626" t="s">
        <v>36</v>
      </c>
      <c r="D39" s="625" t="s">
        <v>80</v>
      </c>
      <c r="E39" s="625" t="s">
        <v>164</v>
      </c>
      <c r="F39" s="625" t="s">
        <v>81</v>
      </c>
      <c r="G39" s="1425" t="s">
        <v>861</v>
      </c>
      <c r="H39" s="1426"/>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row>
    <row r="40" spans="1:33" s="43" customFormat="1" ht="15.6" customHeight="1">
      <c r="A40" s="105"/>
      <c r="B40" s="619">
        <v>1</v>
      </c>
      <c r="C40" s="613" t="s">
        <v>139</v>
      </c>
      <c r="D40" s="606">
        <f>836+350</f>
        <v>1186</v>
      </c>
      <c r="E40" s="596">
        <v>204</v>
      </c>
      <c r="F40" s="738">
        <f>H91/204</f>
        <v>0.39651737592170094</v>
      </c>
      <c r="G40" s="1442">
        <f>D40*E40*F40</f>
        <v>95935.000000000015</v>
      </c>
      <c r="H40" s="1443"/>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row>
    <row r="41" spans="1:33" s="43" customFormat="1" ht="25.5">
      <c r="A41" s="105"/>
      <c r="B41" s="619">
        <v>2</v>
      </c>
      <c r="C41" s="604" t="s">
        <v>1886</v>
      </c>
      <c r="D41" s="606"/>
      <c r="E41" s="596"/>
      <c r="F41" s="738"/>
      <c r="G41" s="1442">
        <f>SUM(H45:H50)</f>
        <v>166480</v>
      </c>
      <c r="H41" s="1443"/>
      <c r="I41" s="60"/>
      <c r="J41" s="60"/>
      <c r="K41" s="60"/>
      <c r="L41" s="60"/>
      <c r="M41" s="60"/>
      <c r="N41" s="60"/>
      <c r="O41" s="60"/>
      <c r="P41" s="60"/>
      <c r="Q41" s="60"/>
      <c r="R41" s="60"/>
      <c r="S41" s="60"/>
      <c r="T41" s="60"/>
      <c r="U41" s="60"/>
      <c r="V41" s="60"/>
      <c r="W41" s="60"/>
      <c r="X41" s="60"/>
      <c r="Y41" s="60"/>
      <c r="Z41" s="60"/>
      <c r="AA41" s="60"/>
      <c r="AB41" s="60"/>
      <c r="AC41" s="60"/>
      <c r="AD41" s="60"/>
      <c r="AE41" s="60"/>
      <c r="AF41" s="60"/>
      <c r="AG41" s="60"/>
    </row>
    <row r="42" spans="1:33" s="43" customFormat="1" ht="15">
      <c r="A42" s="105"/>
      <c r="B42" s="639"/>
      <c r="C42" s="739"/>
      <c r="D42" s="208"/>
      <c r="E42" s="208"/>
      <c r="F42" s="740"/>
      <c r="G42" s="741"/>
      <c r="H42" s="742"/>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60"/>
    </row>
    <row r="43" spans="1:33" s="43" customFormat="1" ht="15">
      <c r="A43" s="105"/>
      <c r="B43" s="1437" t="s">
        <v>1887</v>
      </c>
      <c r="C43" s="1437"/>
      <c r="D43" s="1437"/>
      <c r="E43" s="1437"/>
      <c r="F43" s="1437"/>
      <c r="G43" s="1437"/>
      <c r="H43" s="1438"/>
      <c r="I43" s="60"/>
      <c r="J43" s="60"/>
      <c r="K43" s="60"/>
      <c r="L43" s="60"/>
      <c r="M43" s="60"/>
      <c r="N43" s="60"/>
      <c r="O43" s="60"/>
      <c r="P43" s="60"/>
      <c r="Q43" s="60"/>
      <c r="R43" s="60"/>
      <c r="S43" s="60"/>
      <c r="T43" s="60"/>
      <c r="U43" s="60"/>
      <c r="V43" s="60"/>
      <c r="W43" s="60"/>
      <c r="X43" s="60"/>
      <c r="Y43" s="60"/>
      <c r="Z43" s="60"/>
      <c r="AA43" s="60"/>
      <c r="AB43" s="60"/>
      <c r="AC43" s="60"/>
      <c r="AD43" s="60"/>
      <c r="AE43" s="60"/>
      <c r="AF43" s="60"/>
      <c r="AG43" s="60"/>
    </row>
    <row r="44" spans="1:33" s="43" customFormat="1" ht="25.5">
      <c r="A44" s="105"/>
      <c r="B44" s="736" t="s">
        <v>7</v>
      </c>
      <c r="C44" s="736" t="s">
        <v>0</v>
      </c>
      <c r="D44" s="736" t="s">
        <v>90</v>
      </c>
      <c r="E44" s="736" t="s">
        <v>30</v>
      </c>
      <c r="F44" s="736" t="s">
        <v>91</v>
      </c>
      <c r="G44" s="736" t="s">
        <v>92</v>
      </c>
      <c r="H44" s="736" t="s">
        <v>93</v>
      </c>
      <c r="I44" s="60"/>
      <c r="J44" s="60"/>
      <c r="K44" s="60"/>
      <c r="L44" s="60"/>
      <c r="M44" s="60"/>
      <c r="N44" s="60"/>
      <c r="O44" s="60"/>
      <c r="P44" s="60"/>
      <c r="Q44" s="60"/>
      <c r="R44" s="60"/>
      <c r="S44" s="60"/>
      <c r="T44" s="60"/>
      <c r="U44" s="60"/>
      <c r="V44" s="60"/>
      <c r="W44" s="60"/>
      <c r="X44" s="60"/>
      <c r="Y44" s="60"/>
      <c r="Z44" s="60"/>
      <c r="AA44" s="60"/>
      <c r="AB44" s="60"/>
      <c r="AC44" s="60"/>
      <c r="AD44" s="60"/>
      <c r="AE44" s="60"/>
      <c r="AF44" s="60"/>
      <c r="AG44" s="60"/>
    </row>
    <row r="45" spans="1:33" s="43" customFormat="1" ht="15">
      <c r="A45" s="105"/>
      <c r="B45" s="606">
        <v>1</v>
      </c>
      <c r="C45" s="604" t="s">
        <v>1888</v>
      </c>
      <c r="D45" s="596"/>
      <c r="E45" s="596" t="s">
        <v>33</v>
      </c>
      <c r="F45" s="596">
        <v>1</v>
      </c>
      <c r="G45" s="643">
        <v>32300</v>
      </c>
      <c r="H45" s="743">
        <f>F45*G45</f>
        <v>32300</v>
      </c>
      <c r="I45" s="60"/>
      <c r="J45" s="60"/>
      <c r="K45" s="60"/>
      <c r="L45" s="60"/>
      <c r="M45" s="60"/>
      <c r="N45" s="60"/>
      <c r="O45" s="60"/>
      <c r="P45" s="60"/>
      <c r="Q45" s="60"/>
      <c r="R45" s="60"/>
      <c r="S45" s="60"/>
      <c r="T45" s="60"/>
      <c r="U45" s="60"/>
      <c r="V45" s="60"/>
      <c r="W45" s="60"/>
      <c r="X45" s="60"/>
      <c r="Y45" s="60"/>
      <c r="Z45" s="60"/>
      <c r="AA45" s="60"/>
      <c r="AB45" s="60"/>
      <c r="AC45" s="60"/>
      <c r="AD45" s="60"/>
      <c r="AE45" s="60"/>
      <c r="AF45" s="60"/>
      <c r="AG45" s="60"/>
    </row>
    <row r="46" spans="1:33" s="43" customFormat="1" ht="15">
      <c r="A46" s="105"/>
      <c r="B46" s="606">
        <v>2</v>
      </c>
      <c r="C46" s="604" t="s">
        <v>1889</v>
      </c>
      <c r="D46" s="596"/>
      <c r="E46" s="596" t="s">
        <v>33</v>
      </c>
      <c r="F46" s="596">
        <v>1</v>
      </c>
      <c r="G46" s="643">
        <v>26000</v>
      </c>
      <c r="H46" s="743">
        <f>F46*G46</f>
        <v>26000</v>
      </c>
      <c r="I46" s="60"/>
      <c r="J46" s="60"/>
      <c r="K46" s="60"/>
      <c r="L46" s="60"/>
      <c r="M46" s="60"/>
      <c r="N46" s="60"/>
      <c r="O46" s="60"/>
      <c r="P46" s="60"/>
      <c r="Q46" s="60"/>
      <c r="R46" s="60"/>
      <c r="S46" s="60"/>
      <c r="T46" s="60"/>
      <c r="U46" s="60"/>
      <c r="V46" s="60"/>
      <c r="W46" s="60"/>
      <c r="X46" s="60"/>
      <c r="Y46" s="60"/>
      <c r="Z46" s="60"/>
      <c r="AA46" s="60"/>
      <c r="AB46" s="60"/>
      <c r="AC46" s="60"/>
      <c r="AD46" s="60"/>
      <c r="AE46" s="60"/>
      <c r="AF46" s="60"/>
      <c r="AG46" s="60"/>
    </row>
    <row r="47" spans="1:33" s="43" customFormat="1" ht="15">
      <c r="A47" s="105"/>
      <c r="B47" s="606">
        <v>3</v>
      </c>
      <c r="C47" s="604" t="s">
        <v>1890</v>
      </c>
      <c r="D47" s="596"/>
      <c r="E47" s="596" t="s">
        <v>33</v>
      </c>
      <c r="F47" s="596">
        <v>2</v>
      </c>
      <c r="G47" s="643">
        <v>5000</v>
      </c>
      <c r="H47" s="743">
        <f>F47*G47</f>
        <v>10000</v>
      </c>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row>
    <row r="48" spans="1:33" s="43" customFormat="1" ht="15">
      <c r="A48" s="105"/>
      <c r="B48" s="606">
        <v>4</v>
      </c>
      <c r="C48" s="604" t="s">
        <v>1891</v>
      </c>
      <c r="D48" s="596"/>
      <c r="E48" s="596" t="s">
        <v>33</v>
      </c>
      <c r="F48" s="596">
        <v>15</v>
      </c>
      <c r="G48" s="643">
        <v>385</v>
      </c>
      <c r="H48" s="743">
        <f>F48*G48</f>
        <v>5775</v>
      </c>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row>
    <row r="49" spans="1:33" s="43" customFormat="1" ht="15">
      <c r="A49" s="105"/>
      <c r="B49" s="606">
        <v>5</v>
      </c>
      <c r="C49" s="604" t="s">
        <v>1892</v>
      </c>
      <c r="D49" s="596"/>
      <c r="E49" s="596" t="s">
        <v>33</v>
      </c>
      <c r="F49" s="596">
        <v>1</v>
      </c>
      <c r="G49" s="643">
        <v>84825</v>
      </c>
      <c r="H49" s="743">
        <f t="shared" ref="H49" si="1">F49*G49</f>
        <v>84825</v>
      </c>
      <c r="I49" s="60"/>
      <c r="J49" s="60"/>
      <c r="K49" s="60"/>
      <c r="L49" s="60"/>
      <c r="M49" s="60"/>
      <c r="N49" s="60"/>
      <c r="O49" s="60"/>
      <c r="P49" s="60"/>
      <c r="Q49" s="60"/>
      <c r="R49" s="60"/>
      <c r="S49" s="60"/>
      <c r="T49" s="60"/>
      <c r="U49" s="60"/>
      <c r="V49" s="60"/>
      <c r="W49" s="60"/>
      <c r="X49" s="60"/>
      <c r="Y49" s="60"/>
      <c r="Z49" s="60"/>
      <c r="AA49" s="60"/>
      <c r="AB49" s="60"/>
      <c r="AC49" s="60"/>
      <c r="AD49" s="60"/>
      <c r="AE49" s="60"/>
      <c r="AF49" s="60"/>
      <c r="AG49" s="60"/>
    </row>
    <row r="50" spans="1:33" s="43" customFormat="1" ht="25.5">
      <c r="A50" s="105"/>
      <c r="B50" s="606">
        <v>6</v>
      </c>
      <c r="C50" s="604" t="s">
        <v>1893</v>
      </c>
      <c r="D50" s="596"/>
      <c r="E50" s="596" t="s">
        <v>33</v>
      </c>
      <c r="F50" s="744">
        <v>1</v>
      </c>
      <c r="G50" s="643">
        <v>7580</v>
      </c>
      <c r="H50" s="743">
        <f>F50*G50</f>
        <v>7580</v>
      </c>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row>
    <row r="51" spans="1:33" s="43" customFormat="1" ht="15">
      <c r="A51" s="105"/>
      <c r="B51" s="745"/>
      <c r="C51" s="746" t="s">
        <v>2</v>
      </c>
      <c r="D51" s="747"/>
      <c r="E51" s="720"/>
      <c r="F51" s="720"/>
      <c r="G51" s="748"/>
      <c r="H51" s="748">
        <f>SUM(H45:H50)</f>
        <v>166480</v>
      </c>
      <c r="I51" s="60"/>
      <c r="J51" s="60"/>
      <c r="K51" s="60"/>
      <c r="L51" s="60"/>
      <c r="M51" s="60"/>
      <c r="N51" s="60"/>
      <c r="O51" s="60"/>
      <c r="P51" s="60"/>
      <c r="Q51" s="60"/>
      <c r="R51" s="60"/>
      <c r="S51" s="60"/>
      <c r="T51" s="60"/>
      <c r="U51" s="60"/>
      <c r="V51" s="60"/>
      <c r="W51" s="60"/>
      <c r="X51" s="60"/>
      <c r="Y51" s="60"/>
      <c r="Z51" s="60"/>
      <c r="AA51" s="60"/>
      <c r="AB51" s="60"/>
      <c r="AC51" s="60"/>
      <c r="AD51" s="60"/>
      <c r="AE51" s="60"/>
      <c r="AF51" s="60"/>
      <c r="AG51" s="60"/>
    </row>
    <row r="52" spans="1:33" s="43" customFormat="1" ht="18" customHeight="1">
      <c r="A52" s="105"/>
      <c r="B52" s="710"/>
      <c r="C52" s="256" t="s">
        <v>179</v>
      </c>
      <c r="D52" s="106"/>
      <c r="E52" s="121"/>
      <c r="F52" s="121"/>
      <c r="G52" s="121"/>
      <c r="H52" s="121"/>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row>
    <row r="53" spans="1:33" s="43" customFormat="1" ht="57" customHeight="1">
      <c r="A53" s="105"/>
      <c r="B53" s="606" t="s">
        <v>7</v>
      </c>
      <c r="C53" s="749" t="s">
        <v>0</v>
      </c>
      <c r="D53" s="735" t="s">
        <v>231</v>
      </c>
      <c r="E53" s="736" t="s">
        <v>82</v>
      </c>
      <c r="F53" s="736" t="s">
        <v>83</v>
      </c>
      <c r="G53" s="625" t="s">
        <v>556</v>
      </c>
      <c r="H53" s="625" t="s">
        <v>557</v>
      </c>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row>
    <row r="54" spans="1:33" s="95" customFormat="1" ht="15">
      <c r="A54" s="105"/>
      <c r="B54" s="750">
        <v>1</v>
      </c>
      <c r="C54" s="604" t="s">
        <v>1894</v>
      </c>
      <c r="D54" s="596" t="s">
        <v>33</v>
      </c>
      <c r="E54" s="596">
        <v>10</v>
      </c>
      <c r="F54" s="751">
        <v>160</v>
      </c>
      <c r="G54" s="752">
        <f>E54*F54</f>
        <v>1600</v>
      </c>
      <c r="H54" s="753">
        <f>G54/1186</f>
        <v>1.3490725126475549</v>
      </c>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row>
    <row r="55" spans="1:33" s="95" customFormat="1" ht="25.5">
      <c r="A55" s="105"/>
      <c r="B55" s="750">
        <f>B54+1</f>
        <v>2</v>
      </c>
      <c r="C55" s="604" t="s">
        <v>1895</v>
      </c>
      <c r="D55" s="596" t="s">
        <v>33</v>
      </c>
      <c r="E55" s="596">
        <v>2</v>
      </c>
      <c r="F55" s="751">
        <v>80</v>
      </c>
      <c r="G55" s="752">
        <f t="shared" ref="G55:G90" si="2">E55*F55</f>
        <v>160</v>
      </c>
      <c r="H55" s="753">
        <f t="shared" ref="H55:H90" si="3">G55/1186</f>
        <v>0.13490725126475547</v>
      </c>
      <c r="I55" s="60"/>
      <c r="J55" s="60"/>
      <c r="K55" s="60"/>
      <c r="L55" s="60"/>
      <c r="M55" s="60"/>
      <c r="N55" s="60"/>
      <c r="O55" s="60"/>
      <c r="P55" s="60"/>
      <c r="Q55" s="60"/>
      <c r="R55" s="60"/>
      <c r="S55" s="60"/>
      <c r="T55" s="60"/>
      <c r="U55" s="60"/>
      <c r="V55" s="60"/>
      <c r="W55" s="60"/>
      <c r="X55" s="60"/>
      <c r="Y55" s="60"/>
      <c r="Z55" s="60"/>
      <c r="AA55" s="60"/>
      <c r="AB55" s="60"/>
      <c r="AC55" s="60"/>
      <c r="AD55" s="60"/>
      <c r="AE55" s="60"/>
      <c r="AF55" s="60"/>
      <c r="AG55" s="60"/>
    </row>
    <row r="56" spans="1:33" s="95" customFormat="1" ht="13.15" customHeight="1">
      <c r="A56" s="105"/>
      <c r="B56" s="750">
        <f t="shared" ref="B56:B90" si="4">B55+1</f>
        <v>3</v>
      </c>
      <c r="C56" s="604" t="s">
        <v>1896</v>
      </c>
      <c r="D56" s="596" t="s">
        <v>33</v>
      </c>
      <c r="E56" s="596">
        <v>50</v>
      </c>
      <c r="F56" s="751">
        <v>150</v>
      </c>
      <c r="G56" s="752">
        <f t="shared" si="2"/>
        <v>7500</v>
      </c>
      <c r="H56" s="753">
        <f t="shared" si="3"/>
        <v>6.3237774030354128</v>
      </c>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60"/>
    </row>
    <row r="57" spans="1:33" s="95" customFormat="1" ht="15">
      <c r="A57" s="105"/>
      <c r="B57" s="750">
        <f t="shared" si="4"/>
        <v>4</v>
      </c>
      <c r="C57" s="604" t="s">
        <v>1897</v>
      </c>
      <c r="D57" s="596" t="s">
        <v>1898</v>
      </c>
      <c r="E57" s="596">
        <v>20</v>
      </c>
      <c r="F57" s="751">
        <v>410</v>
      </c>
      <c r="G57" s="752">
        <f t="shared" si="2"/>
        <v>8200</v>
      </c>
      <c r="H57" s="753">
        <f t="shared" si="3"/>
        <v>6.9139966273187188</v>
      </c>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row>
    <row r="58" spans="1:33" s="95" customFormat="1" ht="15">
      <c r="A58" s="105"/>
      <c r="B58" s="750">
        <f t="shared" si="4"/>
        <v>5</v>
      </c>
      <c r="C58" s="604" t="s">
        <v>1899</v>
      </c>
      <c r="D58" s="596" t="s">
        <v>1898</v>
      </c>
      <c r="E58" s="596">
        <v>1</v>
      </c>
      <c r="F58" s="751">
        <v>1470</v>
      </c>
      <c r="G58" s="752">
        <f t="shared" si="2"/>
        <v>1470</v>
      </c>
      <c r="H58" s="753">
        <f t="shared" si="3"/>
        <v>1.239460370994941</v>
      </c>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row>
    <row r="59" spans="1:33" s="95" customFormat="1" ht="15">
      <c r="A59" s="105"/>
      <c r="B59" s="750">
        <f t="shared" si="4"/>
        <v>6</v>
      </c>
      <c r="C59" s="604" t="s">
        <v>1900</v>
      </c>
      <c r="D59" s="596" t="s">
        <v>33</v>
      </c>
      <c r="E59" s="596">
        <v>2</v>
      </c>
      <c r="F59" s="751">
        <v>2700</v>
      </c>
      <c r="G59" s="752">
        <f t="shared" si="2"/>
        <v>5400</v>
      </c>
      <c r="H59" s="753">
        <f t="shared" si="3"/>
        <v>4.5531197301854975</v>
      </c>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row>
    <row r="60" spans="1:33" s="95" customFormat="1" ht="15">
      <c r="A60" s="105"/>
      <c r="B60" s="750">
        <f t="shared" si="4"/>
        <v>7</v>
      </c>
      <c r="C60" s="604" t="s">
        <v>1901</v>
      </c>
      <c r="D60" s="596" t="s">
        <v>33</v>
      </c>
      <c r="E60" s="596">
        <v>2</v>
      </c>
      <c r="F60" s="751">
        <v>4505</v>
      </c>
      <c r="G60" s="752">
        <f t="shared" si="2"/>
        <v>9010</v>
      </c>
      <c r="H60" s="753">
        <f t="shared" si="3"/>
        <v>7.5969645868465427</v>
      </c>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row>
    <row r="61" spans="1:33" s="95" customFormat="1" ht="38.25">
      <c r="A61" s="105"/>
      <c r="B61" s="750">
        <f t="shared" si="4"/>
        <v>8</v>
      </c>
      <c r="C61" s="604" t="s">
        <v>1902</v>
      </c>
      <c r="D61" s="596" t="s">
        <v>1898</v>
      </c>
      <c r="E61" s="596">
        <v>2</v>
      </c>
      <c r="F61" s="751">
        <v>1500</v>
      </c>
      <c r="G61" s="752">
        <f t="shared" si="2"/>
        <v>3000</v>
      </c>
      <c r="H61" s="753">
        <f t="shared" si="3"/>
        <v>2.5295109612141653</v>
      </c>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row>
    <row r="62" spans="1:33" s="95" customFormat="1" ht="38.25">
      <c r="A62" s="105"/>
      <c r="B62" s="750">
        <f t="shared" si="4"/>
        <v>9</v>
      </c>
      <c r="C62" s="604" t="s">
        <v>1903</v>
      </c>
      <c r="D62" s="596" t="s">
        <v>1898</v>
      </c>
      <c r="E62" s="596">
        <v>2</v>
      </c>
      <c r="F62" s="751">
        <v>1500</v>
      </c>
      <c r="G62" s="752">
        <f t="shared" si="2"/>
        <v>3000</v>
      </c>
      <c r="H62" s="753">
        <f t="shared" si="3"/>
        <v>2.5295109612141653</v>
      </c>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row>
    <row r="63" spans="1:33" s="95" customFormat="1" ht="15">
      <c r="A63" s="105"/>
      <c r="B63" s="750">
        <f t="shared" si="4"/>
        <v>10</v>
      </c>
      <c r="C63" s="604" t="s">
        <v>353</v>
      </c>
      <c r="D63" s="596" t="s">
        <v>33</v>
      </c>
      <c r="E63" s="596">
        <v>5</v>
      </c>
      <c r="F63" s="751">
        <v>160</v>
      </c>
      <c r="G63" s="752">
        <f t="shared" si="2"/>
        <v>800</v>
      </c>
      <c r="H63" s="753">
        <f t="shared" si="3"/>
        <v>0.67453625632377745</v>
      </c>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row>
    <row r="64" spans="1:33" s="95" customFormat="1" ht="15">
      <c r="A64" s="105"/>
      <c r="B64" s="750">
        <f t="shared" si="4"/>
        <v>11</v>
      </c>
      <c r="C64" s="604" t="s">
        <v>611</v>
      </c>
      <c r="D64" s="596" t="s">
        <v>33</v>
      </c>
      <c r="E64" s="596">
        <v>5</v>
      </c>
      <c r="F64" s="751">
        <v>265</v>
      </c>
      <c r="G64" s="752">
        <f t="shared" si="2"/>
        <v>1325</v>
      </c>
      <c r="H64" s="753">
        <f t="shared" si="3"/>
        <v>1.1172006745362564</v>
      </c>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row>
    <row r="65" spans="1:33" s="95" customFormat="1" ht="15">
      <c r="A65" s="105"/>
      <c r="B65" s="750">
        <f t="shared" si="4"/>
        <v>12</v>
      </c>
      <c r="C65" s="604" t="s">
        <v>1904</v>
      </c>
      <c r="D65" s="596" t="s">
        <v>33</v>
      </c>
      <c r="E65" s="596">
        <v>1</v>
      </c>
      <c r="F65" s="751">
        <v>0</v>
      </c>
      <c r="G65" s="752">
        <f t="shared" si="2"/>
        <v>0</v>
      </c>
      <c r="H65" s="753">
        <f t="shared" si="3"/>
        <v>0</v>
      </c>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row>
    <row r="66" spans="1:33" s="95" customFormat="1" ht="15">
      <c r="A66" s="105"/>
      <c r="B66" s="750">
        <f t="shared" si="4"/>
        <v>13</v>
      </c>
      <c r="C66" s="604" t="s">
        <v>1905</v>
      </c>
      <c r="D66" s="596" t="s">
        <v>33</v>
      </c>
      <c r="E66" s="596">
        <v>10</v>
      </c>
      <c r="F66" s="751">
        <v>190</v>
      </c>
      <c r="G66" s="752">
        <f t="shared" si="2"/>
        <v>1900</v>
      </c>
      <c r="H66" s="753">
        <f t="shared" si="3"/>
        <v>1.6020236087689714</v>
      </c>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row>
    <row r="67" spans="1:33" s="95" customFormat="1" ht="15">
      <c r="A67" s="105"/>
      <c r="B67" s="750">
        <f t="shared" si="4"/>
        <v>14</v>
      </c>
      <c r="C67" s="604" t="s">
        <v>1906</v>
      </c>
      <c r="D67" s="596" t="s">
        <v>33</v>
      </c>
      <c r="E67" s="596">
        <v>5</v>
      </c>
      <c r="F67" s="751">
        <v>2940</v>
      </c>
      <c r="G67" s="752">
        <f t="shared" si="2"/>
        <v>14700</v>
      </c>
      <c r="H67" s="753">
        <f t="shared" si="3"/>
        <v>12.39460370994941</v>
      </c>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row>
    <row r="68" spans="1:33" s="95" customFormat="1" ht="15">
      <c r="A68" s="105"/>
      <c r="B68" s="750">
        <f t="shared" si="4"/>
        <v>15</v>
      </c>
      <c r="C68" s="604" t="s">
        <v>1907</v>
      </c>
      <c r="D68" s="596" t="s">
        <v>1898</v>
      </c>
      <c r="E68" s="596">
        <v>2</v>
      </c>
      <c r="F68" s="751">
        <v>550</v>
      </c>
      <c r="G68" s="752">
        <f t="shared" si="2"/>
        <v>1100</v>
      </c>
      <c r="H68" s="753">
        <f t="shared" si="3"/>
        <v>0.92748735244519398</v>
      </c>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row>
    <row r="69" spans="1:33" s="95" customFormat="1" ht="15">
      <c r="A69" s="105"/>
      <c r="B69" s="750">
        <f t="shared" si="4"/>
        <v>16</v>
      </c>
      <c r="C69" s="604" t="s">
        <v>1908</v>
      </c>
      <c r="D69" s="596" t="s">
        <v>33</v>
      </c>
      <c r="E69" s="596">
        <v>5</v>
      </c>
      <c r="F69" s="751">
        <v>100</v>
      </c>
      <c r="G69" s="752">
        <f t="shared" si="2"/>
        <v>500</v>
      </c>
      <c r="H69" s="753">
        <f t="shared" si="3"/>
        <v>0.42158516020236086</v>
      </c>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row>
    <row r="70" spans="1:33" s="95" customFormat="1" ht="15">
      <c r="A70" s="105"/>
      <c r="B70" s="750">
        <f t="shared" si="4"/>
        <v>17</v>
      </c>
      <c r="C70" s="604" t="s">
        <v>1909</v>
      </c>
      <c r="D70" s="596" t="s">
        <v>33</v>
      </c>
      <c r="E70" s="596">
        <v>10</v>
      </c>
      <c r="F70" s="751">
        <v>0</v>
      </c>
      <c r="G70" s="752">
        <f t="shared" si="2"/>
        <v>0</v>
      </c>
      <c r="H70" s="753">
        <f t="shared" si="3"/>
        <v>0</v>
      </c>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row>
    <row r="71" spans="1:33" s="95" customFormat="1" ht="15">
      <c r="A71" s="105"/>
      <c r="B71" s="750">
        <f t="shared" si="4"/>
        <v>18</v>
      </c>
      <c r="C71" s="604" t="s">
        <v>1910</v>
      </c>
      <c r="D71" s="596" t="s">
        <v>33</v>
      </c>
      <c r="E71" s="596">
        <v>10</v>
      </c>
      <c r="F71" s="751">
        <v>160</v>
      </c>
      <c r="G71" s="752">
        <f t="shared" si="2"/>
        <v>1600</v>
      </c>
      <c r="H71" s="753">
        <f t="shared" si="3"/>
        <v>1.3490725126475549</v>
      </c>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row>
    <row r="72" spans="1:33" s="95" customFormat="1" ht="15">
      <c r="A72" s="105"/>
      <c r="B72" s="750">
        <f t="shared" si="4"/>
        <v>19</v>
      </c>
      <c r="C72" s="604" t="s">
        <v>1911</v>
      </c>
      <c r="D72" s="596" t="s">
        <v>33</v>
      </c>
      <c r="E72" s="596">
        <v>2</v>
      </c>
      <c r="F72" s="751">
        <v>100</v>
      </c>
      <c r="G72" s="752">
        <f t="shared" si="2"/>
        <v>200</v>
      </c>
      <c r="H72" s="753">
        <f t="shared" si="3"/>
        <v>0.16863406408094436</v>
      </c>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row>
    <row r="73" spans="1:33" s="95" customFormat="1" ht="15">
      <c r="A73" s="105"/>
      <c r="B73" s="750">
        <f t="shared" si="4"/>
        <v>20</v>
      </c>
      <c r="C73" s="604" t="s">
        <v>1912</v>
      </c>
      <c r="D73" s="596" t="s">
        <v>33</v>
      </c>
      <c r="E73" s="596">
        <v>1</v>
      </c>
      <c r="F73" s="751">
        <v>1220</v>
      </c>
      <c r="G73" s="752">
        <f t="shared" si="2"/>
        <v>1220</v>
      </c>
      <c r="H73" s="753">
        <f t="shared" si="3"/>
        <v>1.0286677908937605</v>
      </c>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row>
    <row r="74" spans="1:33" s="95" customFormat="1" ht="15">
      <c r="A74" s="105"/>
      <c r="B74" s="750">
        <f t="shared" si="4"/>
        <v>21</v>
      </c>
      <c r="C74" s="604" t="s">
        <v>1913</v>
      </c>
      <c r="D74" s="596" t="s">
        <v>33</v>
      </c>
      <c r="E74" s="596">
        <v>2</v>
      </c>
      <c r="F74" s="751">
        <v>260</v>
      </c>
      <c r="G74" s="752">
        <f t="shared" si="2"/>
        <v>520</v>
      </c>
      <c r="H74" s="753">
        <f t="shared" si="3"/>
        <v>0.43844856661045534</v>
      </c>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row>
    <row r="75" spans="1:33" s="95" customFormat="1" ht="15">
      <c r="A75" s="105"/>
      <c r="B75" s="750">
        <f t="shared" si="4"/>
        <v>22</v>
      </c>
      <c r="C75" s="604" t="s">
        <v>1914</v>
      </c>
      <c r="D75" s="596" t="s">
        <v>33</v>
      </c>
      <c r="E75" s="596">
        <v>2</v>
      </c>
      <c r="F75" s="751">
        <v>1430</v>
      </c>
      <c r="G75" s="752">
        <f t="shared" si="2"/>
        <v>2860</v>
      </c>
      <c r="H75" s="753">
        <f t="shared" si="3"/>
        <v>2.4114671163575041</v>
      </c>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row>
    <row r="76" spans="1:33" s="95" customFormat="1" ht="15">
      <c r="A76" s="105"/>
      <c r="B76" s="750">
        <f t="shared" si="4"/>
        <v>23</v>
      </c>
      <c r="C76" s="604" t="s">
        <v>1915</v>
      </c>
      <c r="D76" s="596" t="s">
        <v>33</v>
      </c>
      <c r="E76" s="596">
        <v>1</v>
      </c>
      <c r="F76" s="751">
        <v>1180</v>
      </c>
      <c r="G76" s="752">
        <f t="shared" si="2"/>
        <v>1180</v>
      </c>
      <c r="H76" s="753">
        <f t="shared" si="3"/>
        <v>0.99494097807757165</v>
      </c>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row>
    <row r="77" spans="1:33" s="95" customFormat="1" ht="15">
      <c r="A77" s="105"/>
      <c r="B77" s="750">
        <f t="shared" si="4"/>
        <v>24</v>
      </c>
      <c r="C77" s="604" t="s">
        <v>1916</v>
      </c>
      <c r="D77" s="596" t="s">
        <v>33</v>
      </c>
      <c r="E77" s="596">
        <v>2</v>
      </c>
      <c r="F77" s="751">
        <v>630</v>
      </c>
      <c r="G77" s="752">
        <f t="shared" si="2"/>
        <v>1260</v>
      </c>
      <c r="H77" s="753">
        <f t="shared" si="3"/>
        <v>1.0623946037099494</v>
      </c>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row>
    <row r="78" spans="1:33" s="95" customFormat="1" ht="15">
      <c r="A78" s="105"/>
      <c r="B78" s="750">
        <f t="shared" si="4"/>
        <v>25</v>
      </c>
      <c r="C78" s="604" t="s">
        <v>1917</v>
      </c>
      <c r="D78" s="596" t="s">
        <v>33</v>
      </c>
      <c r="E78" s="596">
        <v>2</v>
      </c>
      <c r="F78" s="751">
        <v>4190</v>
      </c>
      <c r="G78" s="752">
        <f t="shared" si="2"/>
        <v>8380</v>
      </c>
      <c r="H78" s="753">
        <f t="shared" si="3"/>
        <v>7.0657672849915683</v>
      </c>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row>
    <row r="79" spans="1:33" s="95" customFormat="1" ht="15">
      <c r="A79" s="105"/>
      <c r="B79" s="750">
        <f t="shared" si="4"/>
        <v>26</v>
      </c>
      <c r="C79" s="604" t="s">
        <v>1918</v>
      </c>
      <c r="D79" s="596" t="s">
        <v>33</v>
      </c>
      <c r="E79" s="596">
        <v>5</v>
      </c>
      <c r="F79" s="751">
        <v>1000</v>
      </c>
      <c r="G79" s="752">
        <f t="shared" si="2"/>
        <v>5000</v>
      </c>
      <c r="H79" s="753">
        <f t="shared" si="3"/>
        <v>4.2158516020236085</v>
      </c>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row>
    <row r="80" spans="1:33" s="95" customFormat="1" ht="15">
      <c r="A80" s="105"/>
      <c r="B80" s="750">
        <f t="shared" si="4"/>
        <v>27</v>
      </c>
      <c r="C80" s="604" t="s">
        <v>1919</v>
      </c>
      <c r="D80" s="596" t="s">
        <v>33</v>
      </c>
      <c r="E80" s="596">
        <v>30</v>
      </c>
      <c r="F80" s="751">
        <v>140</v>
      </c>
      <c r="G80" s="752">
        <f t="shared" si="2"/>
        <v>4200</v>
      </c>
      <c r="H80" s="753">
        <f t="shared" si="3"/>
        <v>3.5413153456998314</v>
      </c>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row>
    <row r="81" spans="1:33" s="95" customFormat="1" ht="15">
      <c r="A81" s="105"/>
      <c r="B81" s="750">
        <f t="shared" si="4"/>
        <v>28</v>
      </c>
      <c r="C81" s="604" t="s">
        <v>1920</v>
      </c>
      <c r="D81" s="596" t="s">
        <v>33</v>
      </c>
      <c r="E81" s="596">
        <v>10</v>
      </c>
      <c r="F81" s="751">
        <v>120</v>
      </c>
      <c r="G81" s="752">
        <f t="shared" si="2"/>
        <v>1200</v>
      </c>
      <c r="H81" s="753">
        <f t="shared" si="3"/>
        <v>1.0118043844856661</v>
      </c>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row>
    <row r="82" spans="1:33" s="95" customFormat="1" ht="15" hidden="1">
      <c r="A82" s="105"/>
      <c r="B82" s="750">
        <f t="shared" si="4"/>
        <v>29</v>
      </c>
      <c r="C82" s="604" t="s">
        <v>1921</v>
      </c>
      <c r="D82" s="596" t="s">
        <v>33</v>
      </c>
      <c r="E82" s="596">
        <v>50</v>
      </c>
      <c r="F82" s="751">
        <v>0</v>
      </c>
      <c r="G82" s="752">
        <f t="shared" si="2"/>
        <v>0</v>
      </c>
      <c r="H82" s="753">
        <f t="shared" si="3"/>
        <v>0</v>
      </c>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row>
    <row r="83" spans="1:33" s="95" customFormat="1" ht="15" hidden="1">
      <c r="A83" s="105"/>
      <c r="B83" s="750">
        <f t="shared" si="4"/>
        <v>30</v>
      </c>
      <c r="C83" s="604" t="s">
        <v>1922</v>
      </c>
      <c r="D83" s="596" t="s">
        <v>33</v>
      </c>
      <c r="E83" s="596">
        <v>1</v>
      </c>
      <c r="F83" s="751">
        <v>0</v>
      </c>
      <c r="G83" s="752">
        <f t="shared" si="2"/>
        <v>0</v>
      </c>
      <c r="H83" s="753">
        <f t="shared" si="3"/>
        <v>0</v>
      </c>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row>
    <row r="84" spans="1:33" s="95" customFormat="1" ht="15" hidden="1">
      <c r="A84" s="105"/>
      <c r="B84" s="750">
        <f t="shared" si="4"/>
        <v>31</v>
      </c>
      <c r="C84" s="604" t="s">
        <v>1923</v>
      </c>
      <c r="D84" s="596" t="s">
        <v>33</v>
      </c>
      <c r="E84" s="596">
        <v>2</v>
      </c>
      <c r="F84" s="751">
        <v>0</v>
      </c>
      <c r="G84" s="752">
        <f t="shared" si="2"/>
        <v>0</v>
      </c>
      <c r="H84" s="753">
        <f t="shared" si="3"/>
        <v>0</v>
      </c>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row>
    <row r="85" spans="1:33" s="95" customFormat="1" ht="15">
      <c r="A85" s="105"/>
      <c r="B85" s="750">
        <f t="shared" si="4"/>
        <v>32</v>
      </c>
      <c r="C85" s="604" t="s">
        <v>1924</v>
      </c>
      <c r="D85" s="596" t="s">
        <v>33</v>
      </c>
      <c r="E85" s="596">
        <v>3</v>
      </c>
      <c r="F85" s="751">
        <v>190</v>
      </c>
      <c r="G85" s="752">
        <f t="shared" si="2"/>
        <v>570</v>
      </c>
      <c r="H85" s="753">
        <f t="shared" si="3"/>
        <v>0.48060708263069141</v>
      </c>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row>
    <row r="86" spans="1:33" s="95" customFormat="1" ht="15" hidden="1">
      <c r="A86" s="105"/>
      <c r="B86" s="750">
        <f t="shared" si="4"/>
        <v>33</v>
      </c>
      <c r="C86" s="604" t="s">
        <v>1925</v>
      </c>
      <c r="D86" s="596" t="s">
        <v>33</v>
      </c>
      <c r="E86" s="596">
        <v>2</v>
      </c>
      <c r="F86" s="751">
        <v>0</v>
      </c>
      <c r="G86" s="752">
        <f t="shared" si="2"/>
        <v>0</v>
      </c>
      <c r="H86" s="753">
        <f t="shared" si="3"/>
        <v>0</v>
      </c>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row>
    <row r="87" spans="1:33" s="95" customFormat="1" ht="15">
      <c r="A87" s="105"/>
      <c r="B87" s="750">
        <f t="shared" si="4"/>
        <v>34</v>
      </c>
      <c r="C87" s="604" t="s">
        <v>1926</v>
      </c>
      <c r="D87" s="596" t="s">
        <v>33</v>
      </c>
      <c r="E87" s="596">
        <v>5</v>
      </c>
      <c r="F87" s="751">
        <v>900</v>
      </c>
      <c r="G87" s="752">
        <f t="shared" si="2"/>
        <v>4500</v>
      </c>
      <c r="H87" s="753">
        <f t="shared" si="3"/>
        <v>3.7942664418212479</v>
      </c>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row>
    <row r="88" spans="1:33" s="95" customFormat="1" ht="15">
      <c r="A88" s="105"/>
      <c r="B88" s="750">
        <f t="shared" si="4"/>
        <v>35</v>
      </c>
      <c r="C88" s="604" t="s">
        <v>1927</v>
      </c>
      <c r="D88" s="596" t="s">
        <v>33</v>
      </c>
      <c r="E88" s="596">
        <v>3</v>
      </c>
      <c r="F88" s="751">
        <v>960</v>
      </c>
      <c r="G88" s="752">
        <f t="shared" si="2"/>
        <v>2880</v>
      </c>
      <c r="H88" s="753">
        <f t="shared" si="3"/>
        <v>2.4283305227655987</v>
      </c>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row>
    <row r="89" spans="1:33" s="95" customFormat="1" ht="15" hidden="1">
      <c r="A89" s="105"/>
      <c r="B89" s="750">
        <f t="shared" si="4"/>
        <v>36</v>
      </c>
      <c r="C89" s="604" t="s">
        <v>1928</v>
      </c>
      <c r="D89" s="596" t="s">
        <v>33</v>
      </c>
      <c r="E89" s="754">
        <v>5</v>
      </c>
      <c r="F89" s="751">
        <v>0</v>
      </c>
      <c r="G89" s="752">
        <f t="shared" si="2"/>
        <v>0</v>
      </c>
      <c r="H89" s="753">
        <f t="shared" si="3"/>
        <v>0</v>
      </c>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row>
    <row r="90" spans="1:33" s="95" customFormat="1" ht="15">
      <c r="A90" s="105"/>
      <c r="B90" s="750">
        <f t="shared" si="4"/>
        <v>37</v>
      </c>
      <c r="C90" s="755" t="s">
        <v>767</v>
      </c>
      <c r="D90" s="596" t="s">
        <v>33</v>
      </c>
      <c r="E90" s="756">
        <v>5</v>
      </c>
      <c r="F90" s="757">
        <v>140</v>
      </c>
      <c r="G90" s="752">
        <f t="shared" si="2"/>
        <v>700</v>
      </c>
      <c r="H90" s="753">
        <f t="shared" si="3"/>
        <v>0.5902192242833052</v>
      </c>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row>
    <row r="91" spans="1:33" s="95" customFormat="1" ht="15">
      <c r="A91" s="105"/>
      <c r="B91" s="745"/>
      <c r="C91" s="272" t="s">
        <v>2</v>
      </c>
      <c r="D91" s="246"/>
      <c r="E91" s="273"/>
      <c r="F91" s="244"/>
      <c r="G91" s="758">
        <f>SUM(G54:G90)</f>
        <v>95935</v>
      </c>
      <c r="H91" s="759">
        <f>SUM(H54:H90)</f>
        <v>80.889544688026987</v>
      </c>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row>
    <row r="92" spans="1:33" s="95" customFormat="1" ht="15">
      <c r="A92" s="105"/>
      <c r="B92" s="1037"/>
      <c r="C92" s="1038"/>
      <c r="D92" s="1039"/>
      <c r="E92" s="1040"/>
      <c r="F92" s="1041"/>
      <c r="G92" s="1041"/>
      <c r="H92" s="1043"/>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row>
    <row r="93" spans="1:33" s="95" customFormat="1" ht="15">
      <c r="A93" s="105"/>
      <c r="B93" s="169"/>
      <c r="C93" s="1424" t="s">
        <v>2425</v>
      </c>
      <c r="D93" s="1424"/>
      <c r="E93" s="1424"/>
      <c r="F93" s="1424"/>
      <c r="G93" s="193"/>
      <c r="H93" s="631">
        <f>SUM(G95:H96)</f>
        <v>702000</v>
      </c>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row>
    <row r="94" spans="1:33" s="95" customFormat="1" ht="38.25">
      <c r="A94" s="105"/>
      <c r="B94" s="1030" t="s">
        <v>79</v>
      </c>
      <c r="C94" s="734" t="s">
        <v>36</v>
      </c>
      <c r="D94" s="735" t="s">
        <v>89</v>
      </c>
      <c r="E94" s="736" t="s">
        <v>32</v>
      </c>
      <c r="F94" s="736" t="s">
        <v>86</v>
      </c>
      <c r="G94" s="1425" t="s">
        <v>860</v>
      </c>
      <c r="H94" s="1426"/>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row>
    <row r="95" spans="1:33" s="95" customFormat="1" ht="15">
      <c r="A95" s="105"/>
      <c r="B95" s="616">
        <v>1</v>
      </c>
      <c r="C95" s="604" t="s">
        <v>362</v>
      </c>
      <c r="D95" s="596" t="s">
        <v>361</v>
      </c>
      <c r="E95" s="596">
        <v>600</v>
      </c>
      <c r="F95" s="596">
        <v>580</v>
      </c>
      <c r="G95" s="1404">
        <f>E95*F95</f>
        <v>348000</v>
      </c>
      <c r="H95" s="1405"/>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row>
    <row r="96" spans="1:33" s="95" customFormat="1" ht="15">
      <c r="A96" s="105"/>
      <c r="B96" s="616">
        <v>2</v>
      </c>
      <c r="C96" s="604" t="s">
        <v>363</v>
      </c>
      <c r="D96" s="596" t="s">
        <v>361</v>
      </c>
      <c r="E96" s="596">
        <v>1200</v>
      </c>
      <c r="F96" s="737">
        <v>295</v>
      </c>
      <c r="G96" s="1404">
        <f>E96*F96</f>
        <v>354000</v>
      </c>
      <c r="H96" s="1405"/>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row>
    <row r="97" spans="1:33" s="43" customFormat="1" ht="15">
      <c r="A97" s="105"/>
      <c r="B97" s="108"/>
      <c r="C97" s="256"/>
      <c r="D97" s="207"/>
      <c r="E97" s="174"/>
      <c r="F97" s="174"/>
      <c r="G97" s="174"/>
      <c r="H97" s="174"/>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row>
    <row r="98" spans="1:33" s="43" customFormat="1" ht="15">
      <c r="A98" s="105"/>
      <c r="B98" s="169"/>
      <c r="C98" s="1408" t="s">
        <v>234</v>
      </c>
      <c r="D98" s="1408"/>
      <c r="E98" s="1408"/>
      <c r="F98" s="1408"/>
      <c r="G98" s="193"/>
      <c r="H98" s="636">
        <f>G100+G101+G103+G102</f>
        <v>14373593.220000001</v>
      </c>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row>
    <row r="99" spans="1:33" s="43" customFormat="1" ht="38.25">
      <c r="A99" s="105"/>
      <c r="B99" s="625" t="s">
        <v>79</v>
      </c>
      <c r="C99" s="626" t="s">
        <v>36</v>
      </c>
      <c r="D99" s="720" t="s">
        <v>89</v>
      </c>
      <c r="E99" s="625" t="s">
        <v>32</v>
      </c>
      <c r="F99" s="625" t="s">
        <v>86</v>
      </c>
      <c r="G99" s="1444" t="s">
        <v>860</v>
      </c>
      <c r="H99" s="1444"/>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row>
    <row r="100" spans="1:33" s="96" customFormat="1" ht="15">
      <c r="A100" s="105"/>
      <c r="B100" s="619">
        <v>1</v>
      </c>
      <c r="C100" s="613" t="s">
        <v>212</v>
      </c>
      <c r="D100" s="760" t="s">
        <v>33</v>
      </c>
      <c r="E100" s="620">
        <v>254</v>
      </c>
      <c r="F100" s="620">
        <f>G100/E100</f>
        <v>34289.078740157478</v>
      </c>
      <c r="G100" s="1445">
        <f>H110+H311+H343</f>
        <v>8709426</v>
      </c>
      <c r="H100" s="1445"/>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row>
    <row r="101" spans="1:33" s="98" customFormat="1" ht="15">
      <c r="A101" s="105"/>
      <c r="B101" s="619">
        <v>2</v>
      </c>
      <c r="C101" s="613" t="s">
        <v>88</v>
      </c>
      <c r="D101" s="760" t="s">
        <v>33</v>
      </c>
      <c r="E101" s="620">
        <v>74</v>
      </c>
      <c r="F101" s="620">
        <f t="shared" ref="F101:F103" si="5">G101/E101</f>
        <v>31562.425675675677</v>
      </c>
      <c r="G101" s="1445">
        <f>H453</f>
        <v>2335619.5</v>
      </c>
      <c r="H101" s="1445"/>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row>
    <row r="102" spans="1:33" s="98" customFormat="1" ht="25.5">
      <c r="A102" s="105"/>
      <c r="B102" s="619">
        <v>3</v>
      </c>
      <c r="C102" s="613" t="s">
        <v>1818</v>
      </c>
      <c r="D102" s="760" t="s">
        <v>33</v>
      </c>
      <c r="E102" s="620">
        <v>4</v>
      </c>
      <c r="F102" s="620">
        <f t="shared" si="5"/>
        <v>725000</v>
      </c>
      <c r="G102" s="1446">
        <f>H370</f>
        <v>2900000</v>
      </c>
      <c r="H102" s="1447"/>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row>
    <row r="103" spans="1:33" s="99" customFormat="1" ht="25.5">
      <c r="A103" s="105"/>
      <c r="B103" s="619">
        <v>4</v>
      </c>
      <c r="C103" s="604" t="s">
        <v>128</v>
      </c>
      <c r="D103" s="606" t="s">
        <v>33</v>
      </c>
      <c r="E103" s="643">
        <v>25</v>
      </c>
      <c r="F103" s="643">
        <f t="shared" si="5"/>
        <v>17141.908800000005</v>
      </c>
      <c r="G103" s="1448">
        <f>H485</f>
        <v>428547.72000000009</v>
      </c>
      <c r="H103" s="1448"/>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row>
    <row r="104" spans="1:33" s="43" customFormat="1" ht="15">
      <c r="A104" s="105"/>
      <c r="B104" s="1384" t="s">
        <v>1929</v>
      </c>
      <c r="C104" s="1384"/>
      <c r="D104" s="1384"/>
      <c r="E104" s="1384"/>
      <c r="F104" s="1384"/>
      <c r="G104" s="1384"/>
      <c r="H104" s="1384"/>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row>
    <row r="105" spans="1:33" s="43" customFormat="1" ht="15">
      <c r="A105" s="105"/>
      <c r="B105" s="1384" t="s">
        <v>143</v>
      </c>
      <c r="C105" s="1384"/>
      <c r="D105" s="1384"/>
      <c r="E105" s="1384"/>
      <c r="F105" s="1384"/>
      <c r="G105" s="1384"/>
      <c r="H105" s="1384"/>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row>
    <row r="106" spans="1:33" s="43" customFormat="1" ht="15">
      <c r="A106" s="105"/>
      <c r="B106" s="1384" t="s">
        <v>144</v>
      </c>
      <c r="C106" s="1384"/>
      <c r="D106" s="1384"/>
      <c r="E106" s="1384"/>
      <c r="F106" s="1384"/>
      <c r="G106" s="1384"/>
      <c r="H106" s="1384"/>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row>
    <row r="107" spans="1:33" s="43" customFormat="1" ht="15">
      <c r="A107" s="105"/>
      <c r="B107" s="1384"/>
      <c r="C107" s="1384"/>
      <c r="D107" s="1384"/>
      <c r="E107" s="1384"/>
      <c r="F107" s="1384"/>
      <c r="G107" s="1384"/>
      <c r="H107" s="1384"/>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row>
    <row r="108" spans="1:33" s="43" customFormat="1" ht="25.5">
      <c r="A108" s="105"/>
      <c r="B108" s="625" t="s">
        <v>7</v>
      </c>
      <c r="C108" s="625" t="s">
        <v>0</v>
      </c>
      <c r="D108" s="625" t="s">
        <v>90</v>
      </c>
      <c r="E108" s="625" t="s">
        <v>30</v>
      </c>
      <c r="F108" s="625" t="s">
        <v>91</v>
      </c>
      <c r="G108" s="625" t="s">
        <v>92</v>
      </c>
      <c r="H108" s="625" t="s">
        <v>93</v>
      </c>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row>
    <row r="109" spans="1:33" s="43" customFormat="1" ht="15">
      <c r="A109" s="105"/>
      <c r="B109" s="625">
        <v>1</v>
      </c>
      <c r="C109" s="625">
        <v>2</v>
      </c>
      <c r="D109" s="625">
        <v>3</v>
      </c>
      <c r="E109" s="625">
        <v>4</v>
      </c>
      <c r="F109" s="625">
        <v>5</v>
      </c>
      <c r="G109" s="625">
        <v>6</v>
      </c>
      <c r="H109" s="625">
        <v>7</v>
      </c>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row>
    <row r="110" spans="1:33" s="60" customFormat="1" ht="15">
      <c r="A110" s="105"/>
      <c r="B110" s="625"/>
      <c r="C110" s="712" t="s">
        <v>212</v>
      </c>
      <c r="D110" s="736"/>
      <c r="E110" s="736"/>
      <c r="F110" s="736"/>
      <c r="G110" s="625"/>
      <c r="H110" s="761">
        <f>SUM(H111:H310)</f>
        <v>3948356</v>
      </c>
    </row>
    <row r="111" spans="1:33" s="96" customFormat="1" ht="15">
      <c r="A111" s="105"/>
      <c r="B111" s="616">
        <v>1</v>
      </c>
      <c r="C111" s="613" t="s">
        <v>613</v>
      </c>
      <c r="D111" s="606" t="s">
        <v>613</v>
      </c>
      <c r="E111" s="606" t="s">
        <v>1930</v>
      </c>
      <c r="F111" s="751">
        <v>10</v>
      </c>
      <c r="G111" s="751">
        <v>1550</v>
      </c>
      <c r="H111" s="762">
        <f t="shared" ref="H111:H174" si="6">F111*G111</f>
        <v>15500</v>
      </c>
      <c r="I111" s="307"/>
      <c r="J111" s="308"/>
      <c r="K111" s="60"/>
      <c r="L111" s="60"/>
      <c r="M111" s="60"/>
      <c r="N111" s="60"/>
      <c r="O111" s="60"/>
      <c r="P111" s="60"/>
      <c r="Q111" s="60"/>
      <c r="R111" s="60"/>
      <c r="S111" s="60"/>
      <c r="T111" s="60"/>
      <c r="U111" s="60"/>
      <c r="V111" s="60"/>
      <c r="W111" s="60"/>
      <c r="X111" s="60"/>
      <c r="Y111" s="60"/>
      <c r="Z111" s="60"/>
      <c r="AA111" s="60"/>
      <c r="AB111" s="60"/>
      <c r="AC111" s="60"/>
      <c r="AD111" s="60"/>
      <c r="AE111" s="60"/>
      <c r="AF111" s="60"/>
    </row>
    <row r="112" spans="1:33" s="96" customFormat="1" ht="25.5">
      <c r="A112" s="105"/>
      <c r="B112" s="616">
        <f>B111+1</f>
        <v>2</v>
      </c>
      <c r="C112" s="604" t="s">
        <v>614</v>
      </c>
      <c r="D112" s="596" t="s">
        <v>614</v>
      </c>
      <c r="E112" s="596" t="s">
        <v>1930</v>
      </c>
      <c r="F112" s="643">
        <v>5</v>
      </c>
      <c r="G112" s="751">
        <v>2900</v>
      </c>
      <c r="H112" s="762">
        <f t="shared" si="6"/>
        <v>14500</v>
      </c>
      <c r="I112" s="309"/>
      <c r="J112" s="308"/>
      <c r="K112" s="60"/>
      <c r="L112" s="60"/>
      <c r="M112" s="60"/>
      <c r="N112" s="60"/>
      <c r="O112" s="60"/>
      <c r="P112" s="60"/>
      <c r="Q112" s="60"/>
      <c r="R112" s="60"/>
      <c r="S112" s="60"/>
      <c r="T112" s="60"/>
      <c r="U112" s="60"/>
      <c r="V112" s="60"/>
      <c r="W112" s="60"/>
      <c r="X112" s="60"/>
      <c r="Y112" s="60"/>
      <c r="Z112" s="60"/>
      <c r="AA112" s="60"/>
      <c r="AB112" s="60"/>
      <c r="AC112" s="60"/>
      <c r="AD112" s="60"/>
      <c r="AE112" s="60"/>
      <c r="AF112" s="60"/>
    </row>
    <row r="113" spans="1:32" s="96" customFormat="1" ht="51">
      <c r="A113" s="105"/>
      <c r="B113" s="616">
        <f t="shared" ref="B113:B176" si="7">B112+1</f>
        <v>3</v>
      </c>
      <c r="C113" s="604" t="s">
        <v>615</v>
      </c>
      <c r="D113" s="596" t="s">
        <v>1931</v>
      </c>
      <c r="E113" s="596" t="s">
        <v>1932</v>
      </c>
      <c r="F113" s="643">
        <v>5</v>
      </c>
      <c r="G113" s="751">
        <v>3000</v>
      </c>
      <c r="H113" s="762">
        <f t="shared" si="6"/>
        <v>15000</v>
      </c>
      <c r="I113" s="309"/>
      <c r="J113" s="308"/>
      <c r="K113" s="60"/>
      <c r="L113" s="60"/>
      <c r="M113" s="60"/>
      <c r="N113" s="60"/>
      <c r="O113" s="60"/>
      <c r="P113" s="60"/>
      <c r="Q113" s="60"/>
      <c r="R113" s="60"/>
      <c r="S113" s="60"/>
      <c r="T113" s="60"/>
      <c r="U113" s="60"/>
      <c r="V113" s="60"/>
      <c r="W113" s="60"/>
      <c r="X113" s="60"/>
      <c r="Y113" s="60"/>
      <c r="Z113" s="60"/>
      <c r="AA113" s="60"/>
      <c r="AB113" s="60"/>
      <c r="AC113" s="60"/>
      <c r="AD113" s="60"/>
      <c r="AE113" s="60"/>
      <c r="AF113" s="60"/>
    </row>
    <row r="114" spans="1:32" s="96" customFormat="1" ht="25.5">
      <c r="A114" s="105"/>
      <c r="B114" s="616">
        <f t="shared" si="7"/>
        <v>4</v>
      </c>
      <c r="C114" s="604" t="s">
        <v>616</v>
      </c>
      <c r="D114" s="596" t="s">
        <v>1933</v>
      </c>
      <c r="E114" s="596" t="s">
        <v>1930</v>
      </c>
      <c r="F114" s="643">
        <v>10</v>
      </c>
      <c r="G114" s="751">
        <v>2600</v>
      </c>
      <c r="H114" s="762">
        <f t="shared" si="6"/>
        <v>26000</v>
      </c>
      <c r="I114" s="309"/>
      <c r="J114" s="308"/>
      <c r="K114" s="60"/>
      <c r="L114" s="60"/>
      <c r="M114" s="60"/>
      <c r="N114" s="60"/>
      <c r="O114" s="60"/>
      <c r="P114" s="60"/>
      <c r="Q114" s="60"/>
      <c r="R114" s="60"/>
      <c r="S114" s="60"/>
      <c r="T114" s="60"/>
      <c r="U114" s="60"/>
      <c r="V114" s="60"/>
      <c r="W114" s="60"/>
      <c r="X114" s="60"/>
      <c r="Y114" s="60"/>
      <c r="Z114" s="60"/>
      <c r="AA114" s="60"/>
      <c r="AB114" s="60"/>
      <c r="AC114" s="60"/>
      <c r="AD114" s="60"/>
      <c r="AE114" s="60"/>
      <c r="AF114" s="60"/>
    </row>
    <row r="115" spans="1:32" s="96" customFormat="1" ht="25.5">
      <c r="A115" s="105"/>
      <c r="B115" s="616">
        <f t="shared" si="7"/>
        <v>5</v>
      </c>
      <c r="C115" s="604" t="s">
        <v>617</v>
      </c>
      <c r="D115" s="596" t="s">
        <v>1934</v>
      </c>
      <c r="E115" s="596" t="s">
        <v>1930</v>
      </c>
      <c r="F115" s="643">
        <v>5</v>
      </c>
      <c r="G115" s="751">
        <v>3550</v>
      </c>
      <c r="H115" s="762">
        <f t="shared" si="6"/>
        <v>17750</v>
      </c>
      <c r="I115" s="309"/>
      <c r="J115" s="308"/>
      <c r="K115" s="60"/>
      <c r="L115" s="60"/>
      <c r="M115" s="60"/>
      <c r="N115" s="60"/>
      <c r="O115" s="60"/>
      <c r="P115" s="60"/>
      <c r="Q115" s="60"/>
      <c r="R115" s="60"/>
      <c r="S115" s="60"/>
      <c r="T115" s="60"/>
      <c r="U115" s="60"/>
      <c r="V115" s="60"/>
      <c r="W115" s="60"/>
      <c r="X115" s="60"/>
      <c r="Y115" s="60"/>
      <c r="Z115" s="60"/>
      <c r="AA115" s="60"/>
      <c r="AB115" s="60"/>
      <c r="AC115" s="60"/>
      <c r="AD115" s="60"/>
      <c r="AE115" s="60"/>
      <c r="AF115" s="60"/>
    </row>
    <row r="116" spans="1:32" s="96" customFormat="1" ht="15">
      <c r="A116" s="105"/>
      <c r="B116" s="616">
        <f t="shared" si="7"/>
        <v>6</v>
      </c>
      <c r="C116" s="604" t="s">
        <v>618</v>
      </c>
      <c r="D116" s="596" t="s">
        <v>618</v>
      </c>
      <c r="E116" s="596" t="s">
        <v>1930</v>
      </c>
      <c r="F116" s="763">
        <v>20</v>
      </c>
      <c r="G116" s="764">
        <v>330</v>
      </c>
      <c r="H116" s="762">
        <f t="shared" si="6"/>
        <v>6600</v>
      </c>
      <c r="I116" s="310"/>
      <c r="J116" s="308"/>
      <c r="K116" s="60"/>
      <c r="L116" s="60"/>
      <c r="M116" s="60"/>
      <c r="N116" s="60"/>
      <c r="O116" s="60"/>
      <c r="P116" s="60"/>
      <c r="Q116" s="60"/>
      <c r="R116" s="60"/>
      <c r="S116" s="60"/>
      <c r="T116" s="60"/>
      <c r="U116" s="60"/>
      <c r="V116" s="60"/>
      <c r="W116" s="60"/>
      <c r="X116" s="60"/>
      <c r="Y116" s="60"/>
      <c r="Z116" s="60"/>
      <c r="AA116" s="60"/>
      <c r="AB116" s="60"/>
      <c r="AC116" s="60"/>
      <c r="AD116" s="60"/>
      <c r="AE116" s="60"/>
      <c r="AF116" s="60"/>
    </row>
    <row r="117" spans="1:32" s="96" customFormat="1" ht="15">
      <c r="A117" s="105"/>
      <c r="B117" s="616">
        <f t="shared" si="7"/>
        <v>7</v>
      </c>
      <c r="C117" s="604" t="s">
        <v>619</v>
      </c>
      <c r="D117" s="596" t="s">
        <v>619</v>
      </c>
      <c r="E117" s="596" t="s">
        <v>1930</v>
      </c>
      <c r="F117" s="763">
        <v>5</v>
      </c>
      <c r="G117" s="764">
        <v>550</v>
      </c>
      <c r="H117" s="762">
        <f t="shared" si="6"/>
        <v>2750</v>
      </c>
      <c r="I117" s="310"/>
      <c r="J117" s="308"/>
      <c r="K117" s="60"/>
      <c r="L117" s="60"/>
      <c r="M117" s="60"/>
      <c r="N117" s="60"/>
      <c r="O117" s="60"/>
      <c r="P117" s="60"/>
      <c r="Q117" s="60"/>
      <c r="R117" s="60"/>
      <c r="S117" s="60"/>
      <c r="T117" s="60"/>
      <c r="U117" s="60"/>
      <c r="V117" s="60"/>
      <c r="W117" s="60"/>
      <c r="X117" s="60"/>
      <c r="Y117" s="60"/>
      <c r="Z117" s="60"/>
      <c r="AA117" s="60"/>
      <c r="AB117" s="60"/>
      <c r="AC117" s="60"/>
      <c r="AD117" s="60"/>
      <c r="AE117" s="60"/>
      <c r="AF117" s="60"/>
    </row>
    <row r="118" spans="1:32" s="96" customFormat="1" ht="27" customHeight="1">
      <c r="A118" s="105"/>
      <c r="B118" s="616">
        <f t="shared" si="7"/>
        <v>8</v>
      </c>
      <c r="C118" s="604" t="s">
        <v>1935</v>
      </c>
      <c r="D118" s="596" t="s">
        <v>1935</v>
      </c>
      <c r="E118" s="596" t="s">
        <v>1930</v>
      </c>
      <c r="F118" s="763">
        <v>1</v>
      </c>
      <c r="G118" s="643">
        <v>5100.0000000000009</v>
      </c>
      <c r="H118" s="762">
        <f t="shared" si="6"/>
        <v>5100.0000000000009</v>
      </c>
      <c r="I118" s="310"/>
      <c r="J118" s="308"/>
      <c r="K118" s="60"/>
      <c r="L118" s="60"/>
      <c r="M118" s="60"/>
      <c r="N118" s="60"/>
      <c r="O118" s="60"/>
      <c r="P118" s="60"/>
      <c r="Q118" s="60"/>
      <c r="R118" s="60"/>
      <c r="S118" s="60"/>
      <c r="T118" s="60"/>
      <c r="U118" s="60"/>
      <c r="V118" s="60"/>
      <c r="W118" s="60"/>
      <c r="X118" s="60"/>
      <c r="Y118" s="60"/>
      <c r="Z118" s="60"/>
      <c r="AA118" s="60"/>
      <c r="AB118" s="60"/>
      <c r="AC118" s="60"/>
      <c r="AD118" s="60"/>
      <c r="AE118" s="60"/>
      <c r="AF118" s="60"/>
    </row>
    <row r="119" spans="1:32" s="96" customFormat="1" ht="38.25">
      <c r="A119" s="105"/>
      <c r="B119" s="616">
        <f t="shared" si="7"/>
        <v>9</v>
      </c>
      <c r="C119" s="604" t="s">
        <v>620</v>
      </c>
      <c r="D119" s="596" t="s">
        <v>620</v>
      </c>
      <c r="E119" s="596" t="s">
        <v>1898</v>
      </c>
      <c r="F119" s="763">
        <v>2</v>
      </c>
      <c r="G119" s="643">
        <v>2100</v>
      </c>
      <c r="H119" s="762">
        <f t="shared" si="6"/>
        <v>4200</v>
      </c>
      <c r="I119" s="310"/>
      <c r="J119" s="308"/>
      <c r="K119" s="60"/>
      <c r="L119" s="60"/>
      <c r="M119" s="60"/>
      <c r="N119" s="60"/>
      <c r="O119" s="60"/>
      <c r="P119" s="60"/>
      <c r="Q119" s="60"/>
      <c r="R119" s="60"/>
      <c r="S119" s="60"/>
      <c r="T119" s="60"/>
      <c r="U119" s="60"/>
      <c r="V119" s="60"/>
      <c r="W119" s="60"/>
      <c r="X119" s="60"/>
      <c r="Y119" s="60"/>
      <c r="Z119" s="60"/>
      <c r="AA119" s="60"/>
      <c r="AB119" s="60"/>
      <c r="AC119" s="60"/>
      <c r="AD119" s="60"/>
      <c r="AE119" s="60"/>
      <c r="AF119" s="60"/>
    </row>
    <row r="120" spans="1:32" s="96" customFormat="1" ht="25.5">
      <c r="A120" s="105"/>
      <c r="B120" s="616">
        <f t="shared" si="7"/>
        <v>10</v>
      </c>
      <c r="C120" s="604" t="s">
        <v>621</v>
      </c>
      <c r="D120" s="596" t="s">
        <v>621</v>
      </c>
      <c r="E120" s="596" t="s">
        <v>1898</v>
      </c>
      <c r="F120" s="763">
        <v>2</v>
      </c>
      <c r="G120" s="643">
        <v>1100</v>
      </c>
      <c r="H120" s="762">
        <f t="shared" si="6"/>
        <v>2200</v>
      </c>
      <c r="I120" s="310"/>
      <c r="J120" s="308"/>
      <c r="K120" s="60"/>
      <c r="L120" s="60"/>
      <c r="M120" s="60"/>
      <c r="N120" s="60"/>
      <c r="O120" s="60"/>
      <c r="P120" s="60"/>
      <c r="Q120" s="60"/>
      <c r="R120" s="60"/>
      <c r="S120" s="60"/>
      <c r="T120" s="60"/>
      <c r="U120" s="60"/>
      <c r="V120" s="60"/>
      <c r="W120" s="60"/>
      <c r="X120" s="60"/>
      <c r="Y120" s="60"/>
      <c r="Z120" s="60"/>
      <c r="AA120" s="60"/>
      <c r="AB120" s="60"/>
      <c r="AC120" s="60"/>
      <c r="AD120" s="60"/>
      <c r="AE120" s="60"/>
      <c r="AF120" s="60"/>
    </row>
    <row r="121" spans="1:32" s="96" customFormat="1" ht="15">
      <c r="A121" s="105"/>
      <c r="B121" s="616">
        <f t="shared" si="7"/>
        <v>11</v>
      </c>
      <c r="C121" s="604" t="s">
        <v>622</v>
      </c>
      <c r="D121" s="596" t="s">
        <v>622</v>
      </c>
      <c r="E121" s="596" t="s">
        <v>1930</v>
      </c>
      <c r="F121" s="763">
        <v>2</v>
      </c>
      <c r="G121" s="643">
        <v>2800.0000000000005</v>
      </c>
      <c r="H121" s="762">
        <f t="shared" si="6"/>
        <v>5600.0000000000009</v>
      </c>
      <c r="I121" s="310"/>
      <c r="J121" s="308"/>
      <c r="K121" s="60"/>
      <c r="L121" s="60"/>
      <c r="M121" s="60"/>
      <c r="N121" s="60"/>
      <c r="O121" s="60"/>
      <c r="P121" s="60"/>
      <c r="Q121" s="60"/>
      <c r="R121" s="60"/>
      <c r="S121" s="60"/>
      <c r="T121" s="60"/>
      <c r="U121" s="60"/>
      <c r="V121" s="60"/>
      <c r="W121" s="60"/>
      <c r="X121" s="60"/>
      <c r="Y121" s="60"/>
      <c r="Z121" s="60"/>
      <c r="AA121" s="60"/>
      <c r="AB121" s="60"/>
      <c r="AC121" s="60"/>
      <c r="AD121" s="60"/>
      <c r="AE121" s="60"/>
      <c r="AF121" s="60"/>
    </row>
    <row r="122" spans="1:32" s="96" customFormat="1" ht="30" customHeight="1">
      <c r="A122" s="105"/>
      <c r="B122" s="616">
        <f t="shared" si="7"/>
        <v>12</v>
      </c>
      <c r="C122" s="604" t="s">
        <v>1936</v>
      </c>
      <c r="D122" s="596" t="s">
        <v>1936</v>
      </c>
      <c r="E122" s="596" t="s">
        <v>1930</v>
      </c>
      <c r="F122" s="643">
        <v>2</v>
      </c>
      <c r="G122" s="643">
        <v>6900.0000000000009</v>
      </c>
      <c r="H122" s="762">
        <f t="shared" si="6"/>
        <v>13800.000000000002</v>
      </c>
      <c r="I122" s="309"/>
      <c r="J122" s="308"/>
      <c r="K122" s="60"/>
      <c r="L122" s="60"/>
      <c r="M122" s="60"/>
      <c r="N122" s="60"/>
      <c r="O122" s="60"/>
      <c r="P122" s="60"/>
      <c r="Q122" s="60"/>
      <c r="R122" s="60"/>
      <c r="S122" s="60"/>
      <c r="T122" s="60"/>
      <c r="U122" s="60"/>
      <c r="V122" s="60"/>
      <c r="W122" s="60"/>
      <c r="X122" s="60"/>
      <c r="Y122" s="60"/>
      <c r="Z122" s="60"/>
      <c r="AA122" s="60"/>
      <c r="AB122" s="60"/>
      <c r="AC122" s="60"/>
      <c r="AD122" s="60"/>
      <c r="AE122" s="60"/>
      <c r="AF122" s="60"/>
    </row>
    <row r="123" spans="1:32" s="96" customFormat="1" ht="76.5">
      <c r="A123" s="105"/>
      <c r="B123" s="616">
        <f t="shared" si="7"/>
        <v>13</v>
      </c>
      <c r="C123" s="604" t="s">
        <v>1937</v>
      </c>
      <c r="D123" s="765" t="s">
        <v>1938</v>
      </c>
      <c r="E123" s="596" t="s">
        <v>1930</v>
      </c>
      <c r="F123" s="643">
        <v>1</v>
      </c>
      <c r="G123" s="643">
        <v>50100</v>
      </c>
      <c r="H123" s="762">
        <f t="shared" si="6"/>
        <v>50100</v>
      </c>
      <c r="I123" s="309"/>
      <c r="J123" s="308"/>
      <c r="K123" s="60"/>
      <c r="L123" s="60"/>
      <c r="M123" s="60"/>
      <c r="N123" s="60"/>
      <c r="O123" s="60"/>
      <c r="P123" s="60"/>
      <c r="Q123" s="60"/>
      <c r="R123" s="60"/>
      <c r="S123" s="60"/>
      <c r="T123" s="60"/>
      <c r="U123" s="60"/>
      <c r="V123" s="60"/>
      <c r="W123" s="60"/>
      <c r="X123" s="60"/>
      <c r="Y123" s="60"/>
      <c r="Z123" s="60"/>
      <c r="AA123" s="60"/>
      <c r="AB123" s="60"/>
      <c r="AC123" s="60"/>
      <c r="AD123" s="60"/>
      <c r="AE123" s="60"/>
      <c r="AF123" s="60"/>
    </row>
    <row r="124" spans="1:32" s="96" customFormat="1" ht="25.5">
      <c r="A124" s="105"/>
      <c r="B124" s="616">
        <f t="shared" si="7"/>
        <v>14</v>
      </c>
      <c r="C124" s="604" t="s">
        <v>1939</v>
      </c>
      <c r="D124" s="596" t="s">
        <v>1939</v>
      </c>
      <c r="E124" s="596" t="s">
        <v>1930</v>
      </c>
      <c r="F124" s="643">
        <v>1</v>
      </c>
      <c r="G124" s="643">
        <v>28900.000000000004</v>
      </c>
      <c r="H124" s="762">
        <f t="shared" si="6"/>
        <v>28900.000000000004</v>
      </c>
      <c r="I124" s="309"/>
      <c r="J124" s="308"/>
      <c r="K124" s="60"/>
      <c r="L124" s="60"/>
      <c r="M124" s="60"/>
      <c r="N124" s="60"/>
      <c r="O124" s="60"/>
      <c r="P124" s="60"/>
      <c r="Q124" s="60"/>
      <c r="R124" s="60"/>
      <c r="S124" s="60"/>
      <c r="T124" s="60"/>
      <c r="U124" s="60"/>
      <c r="V124" s="60"/>
      <c r="W124" s="60"/>
      <c r="X124" s="60"/>
      <c r="Y124" s="60"/>
      <c r="Z124" s="60"/>
      <c r="AA124" s="60"/>
      <c r="AB124" s="60"/>
      <c r="AC124" s="60"/>
      <c r="AD124" s="60"/>
      <c r="AE124" s="60"/>
      <c r="AF124" s="60"/>
    </row>
    <row r="125" spans="1:32" s="96" customFormat="1" ht="25.5">
      <c r="A125" s="105"/>
      <c r="B125" s="616">
        <f t="shared" si="7"/>
        <v>15</v>
      </c>
      <c r="C125" s="604" t="s">
        <v>623</v>
      </c>
      <c r="D125" s="596" t="s">
        <v>1940</v>
      </c>
      <c r="E125" s="596" t="s">
        <v>1930</v>
      </c>
      <c r="F125" s="643">
        <v>5</v>
      </c>
      <c r="G125" s="643">
        <v>3600</v>
      </c>
      <c r="H125" s="762">
        <f t="shared" si="6"/>
        <v>18000</v>
      </c>
      <c r="I125" s="309"/>
      <c r="J125" s="308"/>
      <c r="K125" s="60"/>
      <c r="L125" s="60"/>
      <c r="M125" s="60"/>
      <c r="N125" s="60"/>
      <c r="O125" s="60"/>
      <c r="P125" s="60"/>
      <c r="Q125" s="60"/>
      <c r="R125" s="60"/>
      <c r="S125" s="60"/>
      <c r="T125" s="60"/>
      <c r="U125" s="60"/>
      <c r="V125" s="60"/>
      <c r="W125" s="60"/>
      <c r="X125" s="60"/>
      <c r="Y125" s="60"/>
      <c r="Z125" s="60"/>
      <c r="AA125" s="60"/>
      <c r="AB125" s="60"/>
      <c r="AC125" s="60"/>
      <c r="AD125" s="60"/>
      <c r="AE125" s="60"/>
      <c r="AF125" s="60"/>
    </row>
    <row r="126" spans="1:32" s="96" customFormat="1" ht="51">
      <c r="A126" s="105"/>
      <c r="B126" s="616">
        <f t="shared" si="7"/>
        <v>16</v>
      </c>
      <c r="C126" s="604" t="s">
        <v>1941</v>
      </c>
      <c r="D126" s="765" t="s">
        <v>1942</v>
      </c>
      <c r="E126" s="596" t="s">
        <v>302</v>
      </c>
      <c r="F126" s="643">
        <v>50</v>
      </c>
      <c r="G126" s="766">
        <v>352</v>
      </c>
      <c r="H126" s="762">
        <f t="shared" si="6"/>
        <v>17600</v>
      </c>
      <c r="I126" s="309"/>
      <c r="J126" s="308"/>
      <c r="K126" s="60"/>
      <c r="L126" s="60"/>
      <c r="M126" s="60"/>
      <c r="N126" s="60"/>
      <c r="O126" s="60"/>
      <c r="P126" s="60"/>
      <c r="Q126" s="60"/>
      <c r="R126" s="60"/>
      <c r="S126" s="60"/>
      <c r="T126" s="60"/>
      <c r="U126" s="60"/>
      <c r="V126" s="60"/>
      <c r="W126" s="60"/>
      <c r="X126" s="60"/>
      <c r="Y126" s="60"/>
      <c r="Z126" s="60"/>
      <c r="AA126" s="60"/>
      <c r="AB126" s="60"/>
      <c r="AC126" s="60"/>
      <c r="AD126" s="60"/>
      <c r="AE126" s="60"/>
      <c r="AF126" s="60"/>
    </row>
    <row r="127" spans="1:32" s="96" customFormat="1" ht="127.5">
      <c r="A127" s="105"/>
      <c r="B127" s="616">
        <f t="shared" si="7"/>
        <v>17</v>
      </c>
      <c r="C127" s="604" t="s">
        <v>624</v>
      </c>
      <c r="D127" s="596" t="s">
        <v>653</v>
      </c>
      <c r="E127" s="596" t="s">
        <v>1930</v>
      </c>
      <c r="F127" s="643">
        <v>2</v>
      </c>
      <c r="G127" s="763">
        <v>3300</v>
      </c>
      <c r="H127" s="762">
        <f t="shared" si="6"/>
        <v>6600</v>
      </c>
      <c r="I127" s="309"/>
      <c r="J127" s="308"/>
      <c r="K127" s="60"/>
      <c r="L127" s="60"/>
      <c r="M127" s="60"/>
      <c r="N127" s="60"/>
      <c r="O127" s="60"/>
      <c r="P127" s="60"/>
      <c r="Q127" s="60"/>
      <c r="R127" s="60"/>
      <c r="S127" s="60"/>
      <c r="T127" s="60"/>
      <c r="U127" s="60"/>
      <c r="V127" s="60"/>
      <c r="W127" s="60"/>
      <c r="X127" s="60"/>
      <c r="Y127" s="60"/>
      <c r="Z127" s="60"/>
      <c r="AA127" s="60"/>
      <c r="AB127" s="60"/>
      <c r="AC127" s="60"/>
      <c r="AD127" s="60"/>
      <c r="AE127" s="60"/>
      <c r="AF127" s="60"/>
    </row>
    <row r="128" spans="1:32" s="96" customFormat="1" ht="102">
      <c r="A128" s="105"/>
      <c r="B128" s="616">
        <f t="shared" si="7"/>
        <v>18</v>
      </c>
      <c r="C128" s="604" t="s">
        <v>1943</v>
      </c>
      <c r="D128" s="596" t="s">
        <v>1944</v>
      </c>
      <c r="E128" s="596" t="s">
        <v>1930</v>
      </c>
      <c r="F128" s="643">
        <v>2</v>
      </c>
      <c r="G128" s="767">
        <v>13550</v>
      </c>
      <c r="H128" s="768">
        <f t="shared" si="6"/>
        <v>27100</v>
      </c>
      <c r="I128" s="309"/>
      <c r="J128" s="308"/>
      <c r="K128" s="60"/>
      <c r="L128" s="60"/>
      <c r="M128" s="60"/>
      <c r="N128" s="60"/>
      <c r="O128" s="60"/>
      <c r="P128" s="60"/>
      <c r="Q128" s="60"/>
      <c r="R128" s="60"/>
      <c r="S128" s="60"/>
      <c r="T128" s="60"/>
      <c r="U128" s="60"/>
      <c r="V128" s="60"/>
      <c r="W128" s="60"/>
      <c r="X128" s="60"/>
      <c r="Y128" s="60"/>
      <c r="Z128" s="60"/>
      <c r="AA128" s="60"/>
      <c r="AB128" s="60"/>
      <c r="AC128" s="60"/>
      <c r="AD128" s="60"/>
      <c r="AE128" s="60"/>
      <c r="AF128" s="60"/>
    </row>
    <row r="129" spans="1:32" s="96" customFormat="1" ht="51">
      <c r="A129" s="105"/>
      <c r="B129" s="616">
        <f t="shared" si="7"/>
        <v>19</v>
      </c>
      <c r="C129" s="604" t="s">
        <v>625</v>
      </c>
      <c r="D129" s="596" t="s">
        <v>654</v>
      </c>
      <c r="E129" s="596" t="s">
        <v>1930</v>
      </c>
      <c r="F129" s="643">
        <v>2</v>
      </c>
      <c r="G129" s="767">
        <v>5300</v>
      </c>
      <c r="H129" s="768">
        <f t="shared" si="6"/>
        <v>10600</v>
      </c>
      <c r="I129" s="309"/>
      <c r="J129" s="308"/>
      <c r="K129" s="60"/>
      <c r="L129" s="60"/>
      <c r="M129" s="60"/>
      <c r="N129" s="60"/>
      <c r="O129" s="60"/>
      <c r="P129" s="60"/>
      <c r="Q129" s="60"/>
      <c r="R129" s="60"/>
      <c r="S129" s="60"/>
      <c r="T129" s="60"/>
      <c r="U129" s="60"/>
      <c r="V129" s="60"/>
      <c r="W129" s="60"/>
      <c r="X129" s="60"/>
      <c r="Y129" s="60"/>
      <c r="Z129" s="60"/>
      <c r="AA129" s="60"/>
      <c r="AB129" s="60"/>
      <c r="AC129" s="60"/>
      <c r="AD129" s="60"/>
      <c r="AE129" s="60"/>
      <c r="AF129" s="60"/>
    </row>
    <row r="130" spans="1:32" s="96" customFormat="1" ht="76.5">
      <c r="A130" s="105"/>
      <c r="B130" s="616">
        <f t="shared" si="7"/>
        <v>20</v>
      </c>
      <c r="C130" s="604" t="s">
        <v>695</v>
      </c>
      <c r="D130" s="596" t="s">
        <v>800</v>
      </c>
      <c r="E130" s="596" t="s">
        <v>1930</v>
      </c>
      <c r="F130" s="643">
        <v>2</v>
      </c>
      <c r="G130" s="767">
        <v>2100</v>
      </c>
      <c r="H130" s="768">
        <f t="shared" si="6"/>
        <v>4200</v>
      </c>
      <c r="I130" s="309"/>
      <c r="J130" s="308"/>
      <c r="K130" s="60"/>
      <c r="L130" s="60"/>
      <c r="M130" s="60"/>
      <c r="N130" s="60"/>
      <c r="O130" s="60"/>
      <c r="P130" s="60"/>
      <c r="Q130" s="60"/>
      <c r="R130" s="60"/>
      <c r="S130" s="60"/>
      <c r="T130" s="60"/>
      <c r="U130" s="60"/>
      <c r="V130" s="60"/>
      <c r="W130" s="60"/>
      <c r="X130" s="60"/>
      <c r="Y130" s="60"/>
      <c r="Z130" s="60"/>
      <c r="AA130" s="60"/>
      <c r="AB130" s="60"/>
      <c r="AC130" s="60"/>
      <c r="AD130" s="60"/>
      <c r="AE130" s="60"/>
      <c r="AF130" s="60"/>
    </row>
    <row r="131" spans="1:32" s="96" customFormat="1" ht="165.75">
      <c r="A131" s="105"/>
      <c r="B131" s="616">
        <f t="shared" si="7"/>
        <v>21</v>
      </c>
      <c r="C131" s="604" t="s">
        <v>1945</v>
      </c>
      <c r="D131" s="596" t="s">
        <v>1946</v>
      </c>
      <c r="E131" s="596" t="s">
        <v>1930</v>
      </c>
      <c r="F131" s="643">
        <v>5</v>
      </c>
      <c r="G131" s="763">
        <v>1250</v>
      </c>
      <c r="H131" s="762">
        <f t="shared" si="6"/>
        <v>6250</v>
      </c>
      <c r="I131" s="309"/>
      <c r="J131" s="308"/>
      <c r="K131" s="60"/>
      <c r="L131" s="60"/>
      <c r="M131" s="60"/>
      <c r="N131" s="60"/>
      <c r="O131" s="60"/>
      <c r="P131" s="60"/>
      <c r="Q131" s="60"/>
      <c r="R131" s="60"/>
      <c r="S131" s="60"/>
      <c r="T131" s="60"/>
      <c r="U131" s="60"/>
      <c r="V131" s="60"/>
      <c r="W131" s="60"/>
      <c r="X131" s="60"/>
      <c r="Y131" s="60"/>
      <c r="Z131" s="60"/>
      <c r="AA131" s="60"/>
      <c r="AB131" s="60"/>
      <c r="AC131" s="60"/>
      <c r="AD131" s="60"/>
      <c r="AE131" s="60"/>
      <c r="AF131" s="60"/>
    </row>
    <row r="132" spans="1:32" s="96" customFormat="1" ht="51">
      <c r="A132" s="105"/>
      <c r="B132" s="616">
        <f t="shared" si="7"/>
        <v>22</v>
      </c>
      <c r="C132" s="604" t="s">
        <v>305</v>
      </c>
      <c r="D132" s="596" t="s">
        <v>655</v>
      </c>
      <c r="E132" s="596" t="s">
        <v>1930</v>
      </c>
      <c r="F132" s="643">
        <v>5</v>
      </c>
      <c r="G132" s="763">
        <v>3000</v>
      </c>
      <c r="H132" s="762">
        <f t="shared" si="6"/>
        <v>15000</v>
      </c>
      <c r="I132" s="309"/>
      <c r="J132" s="308"/>
      <c r="K132" s="60"/>
      <c r="L132" s="60"/>
      <c r="M132" s="60"/>
      <c r="N132" s="60"/>
      <c r="O132" s="60"/>
      <c r="P132" s="60"/>
      <c r="Q132" s="60"/>
      <c r="R132" s="60"/>
      <c r="S132" s="60"/>
      <c r="T132" s="60"/>
      <c r="U132" s="60"/>
      <c r="V132" s="60"/>
      <c r="W132" s="60"/>
      <c r="X132" s="60"/>
      <c r="Y132" s="60"/>
      <c r="Z132" s="60"/>
      <c r="AA132" s="60"/>
      <c r="AB132" s="60"/>
      <c r="AC132" s="60"/>
      <c r="AD132" s="60"/>
      <c r="AE132" s="60"/>
      <c r="AF132" s="60"/>
    </row>
    <row r="133" spans="1:32" s="96" customFormat="1" ht="114.75">
      <c r="A133" s="105"/>
      <c r="B133" s="616">
        <f t="shared" si="7"/>
        <v>23</v>
      </c>
      <c r="C133" s="604" t="s">
        <v>1947</v>
      </c>
      <c r="D133" s="596" t="s">
        <v>1948</v>
      </c>
      <c r="E133" s="596" t="s">
        <v>1930</v>
      </c>
      <c r="F133" s="643">
        <v>5</v>
      </c>
      <c r="G133" s="763">
        <v>4100</v>
      </c>
      <c r="H133" s="762">
        <f t="shared" si="6"/>
        <v>20500</v>
      </c>
      <c r="I133" s="309"/>
      <c r="J133" s="308"/>
      <c r="K133" s="60"/>
      <c r="L133" s="60"/>
      <c r="M133" s="60"/>
      <c r="N133" s="60"/>
      <c r="O133" s="60"/>
      <c r="P133" s="60"/>
      <c r="Q133" s="60"/>
      <c r="R133" s="60"/>
      <c r="S133" s="60"/>
      <c r="T133" s="60"/>
      <c r="U133" s="60"/>
      <c r="V133" s="60"/>
      <c r="W133" s="60"/>
      <c r="X133" s="60"/>
      <c r="Y133" s="60"/>
      <c r="Z133" s="60"/>
      <c r="AA133" s="60"/>
      <c r="AB133" s="60"/>
      <c r="AC133" s="60"/>
      <c r="AD133" s="60"/>
      <c r="AE133" s="60"/>
      <c r="AF133" s="60"/>
    </row>
    <row r="134" spans="1:32" s="96" customFormat="1" ht="76.5">
      <c r="A134" s="105"/>
      <c r="B134" s="616">
        <f t="shared" si="7"/>
        <v>24</v>
      </c>
      <c r="C134" s="604" t="s">
        <v>306</v>
      </c>
      <c r="D134" s="596" t="s">
        <v>1949</v>
      </c>
      <c r="E134" s="596" t="s">
        <v>1950</v>
      </c>
      <c r="F134" s="643">
        <v>500</v>
      </c>
      <c r="G134" s="766">
        <v>275</v>
      </c>
      <c r="H134" s="762">
        <f t="shared" si="6"/>
        <v>137500</v>
      </c>
      <c r="I134" s="309"/>
      <c r="J134" s="308"/>
      <c r="K134" s="60"/>
      <c r="L134" s="60"/>
      <c r="M134" s="60"/>
      <c r="N134" s="60"/>
      <c r="O134" s="60"/>
      <c r="P134" s="60"/>
      <c r="Q134" s="60"/>
      <c r="R134" s="60"/>
      <c r="S134" s="60"/>
      <c r="T134" s="60"/>
      <c r="U134" s="60"/>
      <c r="V134" s="60"/>
      <c r="W134" s="60"/>
      <c r="X134" s="60"/>
      <c r="Y134" s="60"/>
      <c r="Z134" s="60"/>
      <c r="AA134" s="60"/>
      <c r="AB134" s="60"/>
      <c r="AC134" s="60"/>
      <c r="AD134" s="60"/>
      <c r="AE134" s="60"/>
      <c r="AF134" s="60"/>
    </row>
    <row r="135" spans="1:32" s="96" customFormat="1" ht="63.75">
      <c r="A135" s="105"/>
      <c r="B135" s="616">
        <f t="shared" si="7"/>
        <v>25</v>
      </c>
      <c r="C135" s="604" t="s">
        <v>307</v>
      </c>
      <c r="D135" s="596" t="s">
        <v>1951</v>
      </c>
      <c r="E135" s="596" t="s">
        <v>1950</v>
      </c>
      <c r="F135" s="643">
        <v>500</v>
      </c>
      <c r="G135" s="766">
        <v>539</v>
      </c>
      <c r="H135" s="762">
        <f t="shared" si="6"/>
        <v>269500</v>
      </c>
      <c r="I135" s="309"/>
      <c r="J135" s="308"/>
      <c r="K135" s="60"/>
      <c r="L135" s="60"/>
      <c r="M135" s="60"/>
      <c r="N135" s="60"/>
      <c r="O135" s="60"/>
      <c r="P135" s="60"/>
      <c r="Q135" s="60"/>
      <c r="R135" s="60"/>
      <c r="S135" s="60"/>
      <c r="T135" s="60"/>
      <c r="U135" s="60"/>
      <c r="V135" s="60"/>
      <c r="W135" s="60"/>
      <c r="X135" s="60"/>
      <c r="Y135" s="60"/>
      <c r="Z135" s="60"/>
      <c r="AA135" s="60"/>
      <c r="AB135" s="60"/>
      <c r="AC135" s="60"/>
      <c r="AD135" s="60"/>
      <c r="AE135" s="60"/>
      <c r="AF135" s="60"/>
    </row>
    <row r="136" spans="1:32" s="96" customFormat="1" ht="63.75">
      <c r="A136" s="105"/>
      <c r="B136" s="616">
        <f t="shared" si="7"/>
        <v>26</v>
      </c>
      <c r="C136" s="604" t="s">
        <v>308</v>
      </c>
      <c r="D136" s="596" t="s">
        <v>1952</v>
      </c>
      <c r="E136" s="596" t="s">
        <v>1950</v>
      </c>
      <c r="F136" s="643">
        <v>100</v>
      </c>
      <c r="G136" s="766">
        <v>880</v>
      </c>
      <c r="H136" s="762">
        <f t="shared" si="6"/>
        <v>88000</v>
      </c>
      <c r="I136" s="309"/>
      <c r="J136" s="308"/>
      <c r="K136" s="60"/>
      <c r="L136" s="60"/>
      <c r="M136" s="60"/>
      <c r="N136" s="60"/>
      <c r="O136" s="60"/>
      <c r="P136" s="60"/>
      <c r="Q136" s="60"/>
      <c r="R136" s="60"/>
      <c r="S136" s="60"/>
      <c r="T136" s="60"/>
      <c r="U136" s="60"/>
      <c r="V136" s="60"/>
      <c r="W136" s="60"/>
      <c r="X136" s="60"/>
      <c r="Y136" s="60"/>
      <c r="Z136" s="60"/>
      <c r="AA136" s="60"/>
      <c r="AB136" s="60"/>
      <c r="AC136" s="60"/>
      <c r="AD136" s="60"/>
      <c r="AE136" s="60"/>
      <c r="AF136" s="60"/>
    </row>
    <row r="137" spans="1:32" s="96" customFormat="1" ht="25.5">
      <c r="A137" s="105"/>
      <c r="B137" s="616">
        <f t="shared" si="7"/>
        <v>27</v>
      </c>
      <c r="C137" s="604" t="s">
        <v>309</v>
      </c>
      <c r="D137" s="596" t="s">
        <v>558</v>
      </c>
      <c r="E137" s="596" t="s">
        <v>1930</v>
      </c>
      <c r="F137" s="643">
        <v>20</v>
      </c>
      <c r="G137" s="763">
        <v>1300</v>
      </c>
      <c r="H137" s="762">
        <f t="shared" si="6"/>
        <v>26000</v>
      </c>
      <c r="I137" s="309"/>
      <c r="J137" s="308"/>
      <c r="K137" s="60"/>
      <c r="L137" s="60"/>
      <c r="M137" s="60"/>
      <c r="N137" s="60"/>
      <c r="O137" s="60"/>
      <c r="P137" s="60"/>
      <c r="Q137" s="60"/>
      <c r="R137" s="60"/>
      <c r="S137" s="60"/>
      <c r="T137" s="60"/>
      <c r="U137" s="60"/>
      <c r="V137" s="60"/>
      <c r="W137" s="60"/>
      <c r="X137" s="60"/>
      <c r="Y137" s="60"/>
      <c r="Z137" s="60"/>
      <c r="AA137" s="60"/>
      <c r="AB137" s="60"/>
      <c r="AC137" s="60"/>
      <c r="AD137" s="60"/>
      <c r="AE137" s="60"/>
      <c r="AF137" s="60"/>
    </row>
    <row r="138" spans="1:32" s="96" customFormat="1" ht="89.25">
      <c r="A138" s="105"/>
      <c r="B138" s="616">
        <f t="shared" si="7"/>
        <v>28</v>
      </c>
      <c r="C138" s="604" t="s">
        <v>310</v>
      </c>
      <c r="D138" s="596" t="s">
        <v>559</v>
      </c>
      <c r="E138" s="596" t="s">
        <v>1930</v>
      </c>
      <c r="F138" s="643">
        <v>10</v>
      </c>
      <c r="G138" s="763">
        <v>1300</v>
      </c>
      <c r="H138" s="762">
        <f t="shared" si="6"/>
        <v>13000</v>
      </c>
      <c r="I138" s="309"/>
      <c r="J138" s="308"/>
      <c r="K138" s="60"/>
      <c r="L138" s="60"/>
      <c r="M138" s="60"/>
      <c r="N138" s="60"/>
      <c r="O138" s="60"/>
      <c r="P138" s="60"/>
      <c r="Q138" s="60"/>
      <c r="R138" s="60"/>
      <c r="S138" s="60"/>
      <c r="T138" s="60"/>
      <c r="U138" s="60"/>
      <c r="V138" s="60"/>
      <c r="W138" s="60"/>
      <c r="X138" s="60"/>
      <c r="Y138" s="60"/>
      <c r="Z138" s="60"/>
      <c r="AA138" s="60"/>
      <c r="AB138" s="60"/>
      <c r="AC138" s="60"/>
      <c r="AD138" s="60"/>
      <c r="AE138" s="60"/>
      <c r="AF138" s="60"/>
    </row>
    <row r="139" spans="1:32" s="96" customFormat="1" ht="89.25">
      <c r="A139" s="105"/>
      <c r="B139" s="616">
        <f t="shared" si="7"/>
        <v>29</v>
      </c>
      <c r="C139" s="604" t="s">
        <v>311</v>
      </c>
      <c r="D139" s="596" t="s">
        <v>656</v>
      </c>
      <c r="E139" s="596" t="s">
        <v>1930</v>
      </c>
      <c r="F139" s="643">
        <v>500</v>
      </c>
      <c r="G139" s="766">
        <v>9</v>
      </c>
      <c r="H139" s="762">
        <f t="shared" si="6"/>
        <v>4500</v>
      </c>
      <c r="I139" s="309"/>
      <c r="J139" s="308"/>
      <c r="K139" s="60"/>
      <c r="L139" s="60"/>
      <c r="M139" s="60"/>
      <c r="N139" s="60"/>
      <c r="O139" s="60"/>
      <c r="P139" s="60"/>
      <c r="Q139" s="60"/>
      <c r="R139" s="60"/>
      <c r="S139" s="60"/>
      <c r="T139" s="60"/>
      <c r="U139" s="60"/>
      <c r="V139" s="60"/>
      <c r="W139" s="60"/>
      <c r="X139" s="60"/>
      <c r="Y139" s="60"/>
      <c r="Z139" s="60"/>
      <c r="AA139" s="60"/>
      <c r="AB139" s="60"/>
      <c r="AC139" s="60"/>
      <c r="AD139" s="60"/>
      <c r="AE139" s="60"/>
      <c r="AF139" s="60"/>
    </row>
    <row r="140" spans="1:32" s="96" customFormat="1" ht="51">
      <c r="A140" s="105"/>
      <c r="B140" s="616">
        <f t="shared" si="7"/>
        <v>30</v>
      </c>
      <c r="C140" s="604" t="s">
        <v>312</v>
      </c>
      <c r="D140" s="596" t="s">
        <v>657</v>
      </c>
      <c r="E140" s="596" t="s">
        <v>1930</v>
      </c>
      <c r="F140" s="643">
        <v>20</v>
      </c>
      <c r="G140" s="763">
        <v>2300</v>
      </c>
      <c r="H140" s="762">
        <f t="shared" si="6"/>
        <v>46000</v>
      </c>
      <c r="I140" s="309"/>
      <c r="J140" s="308"/>
      <c r="K140" s="60"/>
      <c r="L140" s="60"/>
      <c r="M140" s="60"/>
      <c r="N140" s="60"/>
      <c r="O140" s="60"/>
      <c r="P140" s="60"/>
      <c r="Q140" s="60"/>
      <c r="R140" s="60"/>
      <c r="S140" s="60"/>
      <c r="T140" s="60"/>
      <c r="U140" s="60"/>
      <c r="V140" s="60"/>
      <c r="W140" s="60"/>
      <c r="X140" s="60"/>
      <c r="Y140" s="60"/>
      <c r="Z140" s="60"/>
      <c r="AA140" s="60"/>
      <c r="AB140" s="60"/>
      <c r="AC140" s="60"/>
      <c r="AD140" s="60"/>
      <c r="AE140" s="60"/>
      <c r="AF140" s="60"/>
    </row>
    <row r="141" spans="1:32" s="96" customFormat="1" ht="38.25">
      <c r="A141" s="105"/>
      <c r="B141" s="616">
        <f t="shared" si="7"/>
        <v>31</v>
      </c>
      <c r="C141" s="604" t="s">
        <v>313</v>
      </c>
      <c r="D141" s="596" t="s">
        <v>560</v>
      </c>
      <c r="E141" s="596" t="s">
        <v>1930</v>
      </c>
      <c r="F141" s="643">
        <v>5</v>
      </c>
      <c r="G141" s="763">
        <v>1550</v>
      </c>
      <c r="H141" s="762">
        <f t="shared" si="6"/>
        <v>7750</v>
      </c>
      <c r="I141" s="309"/>
      <c r="J141" s="308"/>
      <c r="K141" s="60"/>
      <c r="L141" s="60"/>
      <c r="M141" s="60"/>
      <c r="N141" s="60"/>
      <c r="O141" s="60"/>
      <c r="P141" s="60"/>
      <c r="Q141" s="60"/>
      <c r="R141" s="60"/>
      <c r="S141" s="60"/>
      <c r="T141" s="60"/>
      <c r="U141" s="60"/>
      <c r="V141" s="60"/>
      <c r="W141" s="60"/>
      <c r="X141" s="60"/>
      <c r="Y141" s="60"/>
      <c r="Z141" s="60"/>
      <c r="AA141" s="60"/>
      <c r="AB141" s="60"/>
      <c r="AC141" s="60"/>
      <c r="AD141" s="60"/>
      <c r="AE141" s="60"/>
      <c r="AF141" s="60"/>
    </row>
    <row r="142" spans="1:32" s="96" customFormat="1" ht="102">
      <c r="A142" s="105"/>
      <c r="B142" s="616">
        <f t="shared" si="7"/>
        <v>32</v>
      </c>
      <c r="C142" s="604" t="s">
        <v>314</v>
      </c>
      <c r="D142" s="596" t="s">
        <v>1953</v>
      </c>
      <c r="E142" s="596" t="s">
        <v>1930</v>
      </c>
      <c r="F142" s="643">
        <v>5</v>
      </c>
      <c r="G142" s="766">
        <v>880</v>
      </c>
      <c r="H142" s="762">
        <f t="shared" si="6"/>
        <v>4400</v>
      </c>
      <c r="I142" s="309"/>
      <c r="J142" s="308"/>
      <c r="K142" s="60"/>
      <c r="L142" s="60"/>
      <c r="M142" s="60"/>
      <c r="N142" s="60"/>
      <c r="O142" s="60"/>
      <c r="P142" s="60"/>
      <c r="Q142" s="60"/>
      <c r="R142" s="60"/>
      <c r="S142" s="60"/>
      <c r="T142" s="60"/>
      <c r="U142" s="60"/>
      <c r="V142" s="60"/>
      <c r="W142" s="60"/>
      <c r="X142" s="60"/>
      <c r="Y142" s="60"/>
      <c r="Z142" s="60"/>
      <c r="AA142" s="60"/>
      <c r="AB142" s="60"/>
      <c r="AC142" s="60"/>
      <c r="AD142" s="60"/>
      <c r="AE142" s="60"/>
      <c r="AF142" s="60"/>
    </row>
    <row r="143" spans="1:32" s="96" customFormat="1" ht="76.5">
      <c r="A143" s="105"/>
      <c r="B143" s="616">
        <f t="shared" si="7"/>
        <v>33</v>
      </c>
      <c r="C143" s="604" t="s">
        <v>315</v>
      </c>
      <c r="D143" s="596" t="s">
        <v>561</v>
      </c>
      <c r="E143" s="596" t="s">
        <v>1954</v>
      </c>
      <c r="F143" s="643">
        <v>100</v>
      </c>
      <c r="G143" s="766">
        <v>44</v>
      </c>
      <c r="H143" s="762">
        <f t="shared" si="6"/>
        <v>4400</v>
      </c>
      <c r="I143" s="309"/>
      <c r="J143" s="308"/>
      <c r="K143" s="60"/>
      <c r="L143" s="60"/>
      <c r="M143" s="60"/>
      <c r="N143" s="60"/>
      <c r="O143" s="60"/>
      <c r="P143" s="60"/>
      <c r="Q143" s="60"/>
      <c r="R143" s="60"/>
      <c r="S143" s="60"/>
      <c r="T143" s="60"/>
      <c r="U143" s="60"/>
      <c r="V143" s="60"/>
      <c r="W143" s="60"/>
      <c r="X143" s="60"/>
      <c r="Y143" s="60"/>
      <c r="Z143" s="60"/>
      <c r="AA143" s="60"/>
      <c r="AB143" s="60"/>
      <c r="AC143" s="60"/>
      <c r="AD143" s="60"/>
      <c r="AE143" s="60"/>
      <c r="AF143" s="60"/>
    </row>
    <row r="144" spans="1:32" s="96" customFormat="1" ht="51">
      <c r="A144" s="105"/>
      <c r="B144" s="616">
        <f t="shared" si="7"/>
        <v>34</v>
      </c>
      <c r="C144" s="604" t="s">
        <v>316</v>
      </c>
      <c r="D144" s="596" t="s">
        <v>658</v>
      </c>
      <c r="E144" s="596" t="s">
        <v>1930</v>
      </c>
      <c r="F144" s="643">
        <v>5</v>
      </c>
      <c r="G144" s="763">
        <v>2900</v>
      </c>
      <c r="H144" s="762">
        <f t="shared" si="6"/>
        <v>14500</v>
      </c>
      <c r="I144" s="309"/>
      <c r="J144" s="308"/>
      <c r="K144" s="60"/>
      <c r="L144" s="60"/>
      <c r="M144" s="60"/>
      <c r="N144" s="60"/>
      <c r="O144" s="60"/>
      <c r="P144" s="60"/>
      <c r="Q144" s="60"/>
      <c r="R144" s="60"/>
      <c r="S144" s="60"/>
      <c r="T144" s="60"/>
      <c r="U144" s="60"/>
      <c r="V144" s="60"/>
      <c r="W144" s="60"/>
      <c r="X144" s="60"/>
      <c r="Y144" s="60"/>
      <c r="Z144" s="60"/>
      <c r="AA144" s="60"/>
      <c r="AB144" s="60"/>
      <c r="AC144" s="60"/>
      <c r="AD144" s="60"/>
      <c r="AE144" s="60"/>
      <c r="AF144" s="60"/>
    </row>
    <row r="145" spans="1:32" s="96" customFormat="1" ht="127.5">
      <c r="A145" s="105"/>
      <c r="B145" s="616">
        <f t="shared" si="7"/>
        <v>35</v>
      </c>
      <c r="C145" s="604" t="s">
        <v>1955</v>
      </c>
      <c r="D145" s="596" t="s">
        <v>1956</v>
      </c>
      <c r="E145" s="596" t="s">
        <v>1930</v>
      </c>
      <c r="F145" s="643">
        <v>10</v>
      </c>
      <c r="G145" s="763">
        <v>16100</v>
      </c>
      <c r="H145" s="762">
        <f t="shared" si="6"/>
        <v>161000</v>
      </c>
      <c r="I145" s="309"/>
      <c r="J145" s="308"/>
      <c r="K145" s="60"/>
      <c r="L145" s="60"/>
      <c r="M145" s="60"/>
      <c r="N145" s="60"/>
      <c r="O145" s="60"/>
      <c r="P145" s="60"/>
      <c r="Q145" s="60"/>
      <c r="R145" s="60"/>
      <c r="S145" s="60"/>
      <c r="T145" s="60"/>
      <c r="U145" s="60"/>
      <c r="V145" s="60"/>
      <c r="W145" s="60"/>
      <c r="X145" s="60"/>
      <c r="Y145" s="60"/>
      <c r="Z145" s="60"/>
      <c r="AA145" s="60"/>
      <c r="AB145" s="60"/>
      <c r="AC145" s="60"/>
      <c r="AD145" s="60"/>
      <c r="AE145" s="60"/>
      <c r="AF145" s="60"/>
    </row>
    <row r="146" spans="1:32" s="96" customFormat="1" ht="51">
      <c r="A146" s="105"/>
      <c r="B146" s="616">
        <f t="shared" si="7"/>
        <v>36</v>
      </c>
      <c r="C146" s="604" t="s">
        <v>317</v>
      </c>
      <c r="D146" s="596" t="s">
        <v>1957</v>
      </c>
      <c r="E146" s="596" t="s">
        <v>1930</v>
      </c>
      <c r="F146" s="643">
        <v>10</v>
      </c>
      <c r="G146" s="763">
        <v>8200</v>
      </c>
      <c r="H146" s="762">
        <f t="shared" si="6"/>
        <v>82000</v>
      </c>
      <c r="I146" s="309"/>
      <c r="J146" s="308"/>
      <c r="K146" s="60"/>
      <c r="L146" s="60"/>
      <c r="M146" s="60"/>
      <c r="N146" s="60"/>
      <c r="O146" s="60"/>
      <c r="P146" s="60"/>
      <c r="Q146" s="60"/>
      <c r="R146" s="60"/>
      <c r="S146" s="60"/>
      <c r="T146" s="60"/>
      <c r="U146" s="60"/>
      <c r="V146" s="60"/>
      <c r="W146" s="60"/>
      <c r="X146" s="60"/>
      <c r="Y146" s="60"/>
      <c r="Z146" s="60"/>
      <c r="AA146" s="60"/>
      <c r="AB146" s="60"/>
      <c r="AC146" s="60"/>
      <c r="AD146" s="60"/>
      <c r="AE146" s="60"/>
      <c r="AF146" s="60"/>
    </row>
    <row r="147" spans="1:32" s="96" customFormat="1" ht="25.5">
      <c r="A147" s="105"/>
      <c r="B147" s="616">
        <f t="shared" si="7"/>
        <v>37</v>
      </c>
      <c r="C147" s="604" t="s">
        <v>626</v>
      </c>
      <c r="D147" s="596" t="s">
        <v>1958</v>
      </c>
      <c r="E147" s="596" t="s">
        <v>1930</v>
      </c>
      <c r="F147" s="643">
        <v>10</v>
      </c>
      <c r="G147" s="763">
        <v>2700</v>
      </c>
      <c r="H147" s="762">
        <f t="shared" si="6"/>
        <v>27000</v>
      </c>
      <c r="I147" s="309"/>
      <c r="J147" s="308"/>
      <c r="K147" s="60"/>
      <c r="L147" s="60"/>
      <c r="M147" s="60"/>
      <c r="N147" s="60"/>
      <c r="O147" s="60"/>
      <c r="P147" s="60"/>
      <c r="Q147" s="60"/>
      <c r="R147" s="60"/>
      <c r="S147" s="60"/>
      <c r="T147" s="60"/>
      <c r="U147" s="60"/>
      <c r="V147" s="60"/>
      <c r="W147" s="60"/>
      <c r="X147" s="60"/>
      <c r="Y147" s="60"/>
      <c r="Z147" s="60"/>
      <c r="AA147" s="60"/>
      <c r="AB147" s="60"/>
      <c r="AC147" s="60"/>
      <c r="AD147" s="60"/>
      <c r="AE147" s="60"/>
      <c r="AF147" s="60"/>
    </row>
    <row r="148" spans="1:32" s="96" customFormat="1" ht="15">
      <c r="A148" s="105"/>
      <c r="B148" s="616">
        <f t="shared" si="7"/>
        <v>38</v>
      </c>
      <c r="C148" s="604" t="s">
        <v>696</v>
      </c>
      <c r="D148" s="596" t="s">
        <v>696</v>
      </c>
      <c r="E148" s="596" t="s">
        <v>1959</v>
      </c>
      <c r="F148" s="643">
        <v>10</v>
      </c>
      <c r="G148" s="763">
        <v>4300</v>
      </c>
      <c r="H148" s="762">
        <f t="shared" si="6"/>
        <v>43000</v>
      </c>
      <c r="I148" s="309"/>
      <c r="J148" s="308"/>
      <c r="K148" s="60"/>
      <c r="L148" s="60"/>
      <c r="M148" s="60"/>
      <c r="N148" s="60"/>
      <c r="O148" s="60"/>
      <c r="P148" s="60"/>
      <c r="Q148" s="60"/>
      <c r="R148" s="60"/>
      <c r="S148" s="60"/>
      <c r="T148" s="60"/>
      <c r="U148" s="60"/>
      <c r="V148" s="60"/>
      <c r="W148" s="60"/>
      <c r="X148" s="60"/>
      <c r="Y148" s="60"/>
      <c r="Z148" s="60"/>
      <c r="AA148" s="60"/>
      <c r="AB148" s="60"/>
      <c r="AC148" s="60"/>
      <c r="AD148" s="60"/>
      <c r="AE148" s="60"/>
      <c r="AF148" s="60"/>
    </row>
    <row r="149" spans="1:32" s="96" customFormat="1" ht="114.75">
      <c r="A149" s="105"/>
      <c r="B149" s="616">
        <f t="shared" si="7"/>
        <v>39</v>
      </c>
      <c r="C149" s="604" t="s">
        <v>318</v>
      </c>
      <c r="D149" s="596" t="s">
        <v>659</v>
      </c>
      <c r="E149" s="596" t="s">
        <v>1930</v>
      </c>
      <c r="F149" s="643">
        <v>5</v>
      </c>
      <c r="G149" s="763">
        <v>7600</v>
      </c>
      <c r="H149" s="762">
        <f t="shared" si="6"/>
        <v>38000</v>
      </c>
      <c r="I149" s="309"/>
      <c r="J149" s="308"/>
      <c r="K149" s="60"/>
      <c r="L149" s="60"/>
      <c r="M149" s="60"/>
      <c r="N149" s="60"/>
      <c r="O149" s="60"/>
      <c r="P149" s="60"/>
      <c r="Q149" s="60"/>
      <c r="R149" s="60"/>
      <c r="S149" s="60"/>
      <c r="T149" s="60"/>
      <c r="U149" s="60"/>
      <c r="V149" s="60"/>
      <c r="W149" s="60"/>
      <c r="X149" s="60"/>
      <c r="Y149" s="60"/>
      <c r="Z149" s="60"/>
      <c r="AA149" s="60"/>
      <c r="AB149" s="60"/>
      <c r="AC149" s="60"/>
      <c r="AD149" s="60"/>
      <c r="AE149" s="60"/>
      <c r="AF149" s="60"/>
    </row>
    <row r="150" spans="1:32" s="96" customFormat="1" ht="242.25">
      <c r="A150" s="105"/>
      <c r="B150" s="616">
        <f t="shared" si="7"/>
        <v>40</v>
      </c>
      <c r="C150" s="604" t="s">
        <v>319</v>
      </c>
      <c r="D150" s="596" t="s">
        <v>660</v>
      </c>
      <c r="E150" s="596" t="s">
        <v>1930</v>
      </c>
      <c r="F150" s="643">
        <v>1</v>
      </c>
      <c r="G150" s="763">
        <v>3000</v>
      </c>
      <c r="H150" s="762">
        <f t="shared" si="6"/>
        <v>3000</v>
      </c>
      <c r="I150" s="309"/>
      <c r="J150" s="308"/>
      <c r="K150" s="60"/>
      <c r="L150" s="60"/>
      <c r="M150" s="60"/>
      <c r="N150" s="60"/>
      <c r="O150" s="60"/>
      <c r="P150" s="60"/>
      <c r="Q150" s="60"/>
      <c r="R150" s="60"/>
      <c r="S150" s="60"/>
      <c r="T150" s="60"/>
      <c r="U150" s="60"/>
      <c r="V150" s="60"/>
      <c r="W150" s="60"/>
      <c r="X150" s="60"/>
      <c r="Y150" s="60"/>
      <c r="Z150" s="60"/>
      <c r="AA150" s="60"/>
      <c r="AB150" s="60"/>
      <c r="AC150" s="60"/>
      <c r="AD150" s="60"/>
      <c r="AE150" s="60"/>
      <c r="AF150" s="60"/>
    </row>
    <row r="151" spans="1:32" s="96" customFormat="1" ht="191.25">
      <c r="A151" s="105"/>
      <c r="B151" s="616">
        <f t="shared" si="7"/>
        <v>41</v>
      </c>
      <c r="C151" s="604" t="s">
        <v>627</v>
      </c>
      <c r="D151" s="596" t="s">
        <v>1960</v>
      </c>
      <c r="E151" s="596" t="s">
        <v>1930</v>
      </c>
      <c r="F151" s="643">
        <v>10</v>
      </c>
      <c r="G151" s="766">
        <v>385</v>
      </c>
      <c r="H151" s="762">
        <f t="shared" si="6"/>
        <v>3850</v>
      </c>
      <c r="I151" s="309"/>
      <c r="J151" s="308"/>
      <c r="K151" s="60"/>
      <c r="L151" s="60"/>
      <c r="M151" s="60"/>
      <c r="N151" s="60"/>
      <c r="O151" s="60"/>
      <c r="P151" s="60"/>
      <c r="Q151" s="60"/>
      <c r="R151" s="60"/>
      <c r="S151" s="60"/>
      <c r="T151" s="60"/>
      <c r="U151" s="60"/>
      <c r="V151" s="60"/>
      <c r="W151" s="60"/>
      <c r="X151" s="60"/>
      <c r="Y151" s="60"/>
      <c r="Z151" s="60"/>
      <c r="AA151" s="60"/>
      <c r="AB151" s="60"/>
      <c r="AC151" s="60"/>
      <c r="AD151" s="60"/>
      <c r="AE151" s="60"/>
      <c r="AF151" s="60"/>
    </row>
    <row r="152" spans="1:32" s="96" customFormat="1" ht="76.5">
      <c r="A152" s="105"/>
      <c r="B152" s="616">
        <f t="shared" si="7"/>
        <v>42</v>
      </c>
      <c r="C152" s="604" t="s">
        <v>320</v>
      </c>
      <c r="D152" s="596" t="s">
        <v>1961</v>
      </c>
      <c r="E152" s="596" t="s">
        <v>1930</v>
      </c>
      <c r="F152" s="643">
        <v>20</v>
      </c>
      <c r="G152" s="766">
        <v>572</v>
      </c>
      <c r="H152" s="762">
        <f t="shared" si="6"/>
        <v>11440</v>
      </c>
      <c r="I152" s="309"/>
      <c r="J152" s="308"/>
      <c r="K152" s="60"/>
      <c r="L152" s="60"/>
      <c r="M152" s="60"/>
      <c r="N152" s="60"/>
      <c r="O152" s="60"/>
      <c r="P152" s="60"/>
      <c r="Q152" s="60"/>
      <c r="R152" s="60"/>
      <c r="S152" s="60"/>
      <c r="T152" s="60"/>
      <c r="U152" s="60"/>
      <c r="V152" s="60"/>
      <c r="W152" s="60"/>
      <c r="X152" s="60"/>
      <c r="Y152" s="60"/>
      <c r="Z152" s="60"/>
      <c r="AA152" s="60"/>
      <c r="AB152" s="60"/>
      <c r="AC152" s="60"/>
      <c r="AD152" s="60"/>
      <c r="AE152" s="60"/>
      <c r="AF152" s="60"/>
    </row>
    <row r="153" spans="1:32" s="96" customFormat="1" ht="25.5">
      <c r="A153" s="105"/>
      <c r="B153" s="616">
        <f t="shared" si="7"/>
        <v>43</v>
      </c>
      <c r="C153" s="604" t="s">
        <v>321</v>
      </c>
      <c r="D153" s="596" t="s">
        <v>661</v>
      </c>
      <c r="E153" s="596" t="s">
        <v>295</v>
      </c>
      <c r="F153" s="643">
        <v>2</v>
      </c>
      <c r="G153" s="766">
        <v>770</v>
      </c>
      <c r="H153" s="762">
        <f t="shared" si="6"/>
        <v>1540</v>
      </c>
      <c r="I153" s="309"/>
      <c r="J153" s="308"/>
      <c r="K153" s="60"/>
      <c r="L153" s="60"/>
      <c r="M153" s="60"/>
      <c r="N153" s="60"/>
      <c r="O153" s="60"/>
      <c r="P153" s="60"/>
      <c r="Q153" s="60"/>
      <c r="R153" s="60"/>
      <c r="S153" s="60"/>
      <c r="T153" s="60"/>
      <c r="U153" s="60"/>
      <c r="V153" s="60"/>
      <c r="W153" s="60"/>
      <c r="X153" s="60"/>
      <c r="Y153" s="60"/>
      <c r="Z153" s="60"/>
      <c r="AA153" s="60"/>
      <c r="AB153" s="60"/>
      <c r="AC153" s="60"/>
      <c r="AD153" s="60"/>
      <c r="AE153" s="60"/>
      <c r="AF153" s="60"/>
    </row>
    <row r="154" spans="1:32" s="96" customFormat="1" ht="38.25">
      <c r="A154" s="105"/>
      <c r="B154" s="616">
        <f t="shared" si="7"/>
        <v>44</v>
      </c>
      <c r="C154" s="604" t="s">
        <v>322</v>
      </c>
      <c r="D154" s="765" t="s">
        <v>662</v>
      </c>
      <c r="E154" s="596" t="s">
        <v>1930</v>
      </c>
      <c r="F154" s="643">
        <v>2</v>
      </c>
      <c r="G154" s="763">
        <v>2100</v>
      </c>
      <c r="H154" s="762">
        <f t="shared" si="6"/>
        <v>4200</v>
      </c>
      <c r="I154" s="309"/>
      <c r="J154" s="308"/>
      <c r="K154" s="60"/>
      <c r="L154" s="60"/>
      <c r="M154" s="60"/>
      <c r="N154" s="60"/>
      <c r="O154" s="60"/>
      <c r="P154" s="60"/>
      <c r="Q154" s="60"/>
      <c r="R154" s="60"/>
      <c r="S154" s="60"/>
      <c r="T154" s="60"/>
      <c r="U154" s="60"/>
      <c r="V154" s="60"/>
      <c r="W154" s="60"/>
      <c r="X154" s="60"/>
      <c r="Y154" s="60"/>
      <c r="Z154" s="60"/>
      <c r="AA154" s="60"/>
      <c r="AB154" s="60"/>
      <c r="AC154" s="60"/>
      <c r="AD154" s="60"/>
      <c r="AE154" s="60"/>
      <c r="AF154" s="60"/>
    </row>
    <row r="155" spans="1:32" s="96" customFormat="1" ht="25.5">
      <c r="A155" s="105"/>
      <c r="B155" s="616">
        <f t="shared" si="7"/>
        <v>45</v>
      </c>
      <c r="C155" s="604" t="s">
        <v>628</v>
      </c>
      <c r="D155" s="596" t="s">
        <v>562</v>
      </c>
      <c r="E155" s="596" t="s">
        <v>1930</v>
      </c>
      <c r="F155" s="643">
        <v>5</v>
      </c>
      <c r="G155" s="763">
        <v>2800</v>
      </c>
      <c r="H155" s="762">
        <f t="shared" si="6"/>
        <v>14000</v>
      </c>
      <c r="I155" s="309"/>
      <c r="J155" s="308"/>
      <c r="K155" s="60"/>
      <c r="L155" s="60"/>
      <c r="M155" s="60"/>
      <c r="N155" s="60"/>
      <c r="O155" s="60"/>
      <c r="P155" s="60"/>
      <c r="Q155" s="60"/>
      <c r="R155" s="60"/>
      <c r="S155" s="60"/>
      <c r="T155" s="60"/>
      <c r="U155" s="60"/>
      <c r="V155" s="60"/>
      <c r="W155" s="60"/>
      <c r="X155" s="60"/>
      <c r="Y155" s="60"/>
      <c r="Z155" s="60"/>
      <c r="AA155" s="60"/>
      <c r="AB155" s="60"/>
      <c r="AC155" s="60"/>
      <c r="AD155" s="60"/>
      <c r="AE155" s="60"/>
      <c r="AF155" s="60"/>
    </row>
    <row r="156" spans="1:32" s="96" customFormat="1" ht="89.25">
      <c r="A156" s="105"/>
      <c r="B156" s="616">
        <f t="shared" si="7"/>
        <v>46</v>
      </c>
      <c r="C156" s="604" t="s">
        <v>629</v>
      </c>
      <c r="D156" s="596" t="s">
        <v>1962</v>
      </c>
      <c r="E156" s="596" t="s">
        <v>1930</v>
      </c>
      <c r="F156" s="643">
        <v>5</v>
      </c>
      <c r="G156" s="766">
        <v>187</v>
      </c>
      <c r="H156" s="762">
        <f t="shared" si="6"/>
        <v>935</v>
      </c>
      <c r="I156" s="309"/>
      <c r="J156" s="308"/>
      <c r="K156" s="60"/>
      <c r="L156" s="60"/>
      <c r="M156" s="60"/>
      <c r="N156" s="60"/>
      <c r="O156" s="60"/>
      <c r="P156" s="60"/>
      <c r="Q156" s="60"/>
      <c r="R156" s="60"/>
      <c r="S156" s="60"/>
      <c r="T156" s="60"/>
      <c r="U156" s="60"/>
      <c r="V156" s="60"/>
      <c r="W156" s="60"/>
      <c r="X156" s="60"/>
      <c r="Y156" s="60"/>
      <c r="Z156" s="60"/>
      <c r="AA156" s="60"/>
      <c r="AB156" s="60"/>
      <c r="AC156" s="60"/>
      <c r="AD156" s="60"/>
      <c r="AE156" s="60"/>
      <c r="AF156" s="60"/>
    </row>
    <row r="157" spans="1:32" s="96" customFormat="1" ht="89.25">
      <c r="A157" s="105"/>
      <c r="B157" s="616">
        <f t="shared" si="7"/>
        <v>47</v>
      </c>
      <c r="C157" s="604" t="s">
        <v>630</v>
      </c>
      <c r="D157" s="596" t="s">
        <v>1963</v>
      </c>
      <c r="E157" s="596" t="s">
        <v>1930</v>
      </c>
      <c r="F157" s="643">
        <v>5</v>
      </c>
      <c r="G157" s="766">
        <v>231</v>
      </c>
      <c r="H157" s="762">
        <f t="shared" si="6"/>
        <v>1155</v>
      </c>
      <c r="I157" s="309"/>
      <c r="J157" s="308"/>
      <c r="K157" s="60"/>
      <c r="L157" s="60"/>
      <c r="M157" s="60"/>
      <c r="N157" s="60"/>
      <c r="O157" s="60"/>
      <c r="P157" s="60"/>
      <c r="Q157" s="60"/>
      <c r="R157" s="60"/>
      <c r="S157" s="60"/>
      <c r="T157" s="60"/>
      <c r="U157" s="60"/>
      <c r="V157" s="60"/>
      <c r="W157" s="60"/>
      <c r="X157" s="60"/>
      <c r="Y157" s="60"/>
      <c r="Z157" s="60"/>
      <c r="AA157" s="60"/>
      <c r="AB157" s="60"/>
      <c r="AC157" s="60"/>
      <c r="AD157" s="60"/>
      <c r="AE157" s="60"/>
      <c r="AF157" s="60"/>
    </row>
    <row r="158" spans="1:32" s="96" customFormat="1" ht="25.5">
      <c r="A158" s="105"/>
      <c r="B158" s="616">
        <f t="shared" si="7"/>
        <v>48</v>
      </c>
      <c r="C158" s="604" t="s">
        <v>631</v>
      </c>
      <c r="D158" s="596" t="s">
        <v>1964</v>
      </c>
      <c r="E158" s="596" t="s">
        <v>1930</v>
      </c>
      <c r="F158" s="643">
        <v>10</v>
      </c>
      <c r="G158" s="766">
        <v>121</v>
      </c>
      <c r="H158" s="762">
        <f t="shared" si="6"/>
        <v>1210</v>
      </c>
      <c r="I158" s="309"/>
      <c r="J158" s="308"/>
      <c r="K158" s="60"/>
      <c r="L158" s="60"/>
      <c r="M158" s="60"/>
      <c r="N158" s="60"/>
      <c r="O158" s="60"/>
      <c r="P158" s="60"/>
      <c r="Q158" s="60"/>
      <c r="R158" s="60"/>
      <c r="S158" s="60"/>
      <c r="T158" s="60"/>
      <c r="U158" s="60"/>
      <c r="V158" s="60"/>
      <c r="W158" s="60"/>
      <c r="X158" s="60"/>
      <c r="Y158" s="60"/>
      <c r="Z158" s="60"/>
      <c r="AA158" s="60"/>
      <c r="AB158" s="60"/>
      <c r="AC158" s="60"/>
      <c r="AD158" s="60"/>
      <c r="AE158" s="60"/>
      <c r="AF158" s="60"/>
    </row>
    <row r="159" spans="1:32" s="96" customFormat="1" ht="15">
      <c r="A159" s="105"/>
      <c r="B159" s="616">
        <f t="shared" si="7"/>
        <v>49</v>
      </c>
      <c r="C159" s="604" t="s">
        <v>632</v>
      </c>
      <c r="D159" s="596" t="s">
        <v>1964</v>
      </c>
      <c r="E159" s="596" t="s">
        <v>1930</v>
      </c>
      <c r="F159" s="643">
        <v>10</v>
      </c>
      <c r="G159" s="766">
        <v>132</v>
      </c>
      <c r="H159" s="762">
        <f t="shared" si="6"/>
        <v>1320</v>
      </c>
      <c r="I159" s="309"/>
      <c r="J159" s="308"/>
      <c r="K159" s="60"/>
      <c r="L159" s="60"/>
      <c r="M159" s="60"/>
      <c r="N159" s="60"/>
      <c r="O159" s="60"/>
      <c r="P159" s="60"/>
      <c r="Q159" s="60"/>
      <c r="R159" s="60"/>
      <c r="S159" s="60"/>
      <c r="T159" s="60"/>
      <c r="U159" s="60"/>
      <c r="V159" s="60"/>
      <c r="W159" s="60"/>
      <c r="X159" s="60"/>
      <c r="Y159" s="60"/>
      <c r="Z159" s="60"/>
      <c r="AA159" s="60"/>
      <c r="AB159" s="60"/>
      <c r="AC159" s="60"/>
      <c r="AD159" s="60"/>
      <c r="AE159" s="60"/>
      <c r="AF159" s="60"/>
    </row>
    <row r="160" spans="1:32" s="96" customFormat="1" ht="15">
      <c r="A160" s="105"/>
      <c r="B160" s="616">
        <f t="shared" si="7"/>
        <v>50</v>
      </c>
      <c r="C160" s="604" t="s">
        <v>1965</v>
      </c>
      <c r="D160" s="596" t="s">
        <v>1964</v>
      </c>
      <c r="E160" s="596" t="s">
        <v>1930</v>
      </c>
      <c r="F160" s="643">
        <v>10</v>
      </c>
      <c r="G160" s="766">
        <v>121</v>
      </c>
      <c r="H160" s="762">
        <f t="shared" si="6"/>
        <v>1210</v>
      </c>
      <c r="I160" s="309"/>
      <c r="J160" s="308"/>
      <c r="K160" s="60"/>
      <c r="L160" s="60"/>
      <c r="M160" s="60"/>
      <c r="N160" s="60"/>
      <c r="O160" s="60"/>
      <c r="P160" s="60"/>
      <c r="Q160" s="60"/>
      <c r="R160" s="60"/>
      <c r="S160" s="60"/>
      <c r="T160" s="60"/>
      <c r="U160" s="60"/>
      <c r="V160" s="60"/>
      <c r="W160" s="60"/>
      <c r="X160" s="60"/>
      <c r="Y160" s="60"/>
      <c r="Z160" s="60"/>
      <c r="AA160" s="60"/>
      <c r="AB160" s="60"/>
      <c r="AC160" s="60"/>
      <c r="AD160" s="60"/>
      <c r="AE160" s="60"/>
      <c r="AF160" s="60"/>
    </row>
    <row r="161" spans="1:32" s="96" customFormat="1" ht="25.5">
      <c r="A161" s="105"/>
      <c r="B161" s="616">
        <f t="shared" si="7"/>
        <v>51</v>
      </c>
      <c r="C161" s="604" t="s">
        <v>1966</v>
      </c>
      <c r="D161" s="596" t="s">
        <v>1967</v>
      </c>
      <c r="E161" s="596" t="s">
        <v>1930</v>
      </c>
      <c r="F161" s="643">
        <v>10</v>
      </c>
      <c r="G161" s="766">
        <v>660</v>
      </c>
      <c r="H161" s="762">
        <f t="shared" si="6"/>
        <v>6600</v>
      </c>
      <c r="I161" s="309"/>
      <c r="J161" s="308"/>
      <c r="K161" s="60"/>
      <c r="L161" s="60"/>
      <c r="M161" s="60"/>
      <c r="N161" s="60"/>
      <c r="O161" s="60"/>
      <c r="P161" s="60"/>
      <c r="Q161" s="60"/>
      <c r="R161" s="60"/>
      <c r="S161" s="60"/>
      <c r="T161" s="60"/>
      <c r="U161" s="60"/>
      <c r="V161" s="60"/>
      <c r="W161" s="60"/>
      <c r="X161" s="60"/>
      <c r="Y161" s="60"/>
      <c r="Z161" s="60"/>
      <c r="AA161" s="60"/>
      <c r="AB161" s="60"/>
      <c r="AC161" s="60"/>
      <c r="AD161" s="60"/>
      <c r="AE161" s="60"/>
      <c r="AF161" s="60"/>
    </row>
    <row r="162" spans="1:32" s="96" customFormat="1" ht="25.5">
      <c r="A162" s="105"/>
      <c r="B162" s="616">
        <f t="shared" si="7"/>
        <v>52</v>
      </c>
      <c r="C162" s="604" t="s">
        <v>323</v>
      </c>
      <c r="D162" s="596" t="s">
        <v>663</v>
      </c>
      <c r="E162" s="596" t="s">
        <v>1930</v>
      </c>
      <c r="F162" s="643">
        <v>5</v>
      </c>
      <c r="G162" s="766">
        <v>660</v>
      </c>
      <c r="H162" s="762">
        <f t="shared" si="6"/>
        <v>3300</v>
      </c>
      <c r="I162" s="309"/>
      <c r="J162" s="308"/>
      <c r="K162" s="60"/>
      <c r="L162" s="60"/>
      <c r="M162" s="60"/>
      <c r="N162" s="60"/>
      <c r="O162" s="60"/>
      <c r="P162" s="60"/>
      <c r="Q162" s="60"/>
      <c r="R162" s="60"/>
      <c r="S162" s="60"/>
      <c r="T162" s="60"/>
      <c r="U162" s="60"/>
      <c r="V162" s="60"/>
      <c r="W162" s="60"/>
      <c r="X162" s="60"/>
      <c r="Y162" s="60"/>
      <c r="Z162" s="60"/>
      <c r="AA162" s="60"/>
      <c r="AB162" s="60"/>
      <c r="AC162" s="60"/>
      <c r="AD162" s="60"/>
      <c r="AE162" s="60"/>
      <c r="AF162" s="60"/>
    </row>
    <row r="163" spans="1:32" s="96" customFormat="1" ht="25.5">
      <c r="A163" s="105"/>
      <c r="B163" s="616">
        <f t="shared" si="7"/>
        <v>53</v>
      </c>
      <c r="C163" s="604" t="s">
        <v>323</v>
      </c>
      <c r="D163" s="596" t="s">
        <v>664</v>
      </c>
      <c r="E163" s="596" t="s">
        <v>1930</v>
      </c>
      <c r="F163" s="643">
        <v>5</v>
      </c>
      <c r="G163" s="766">
        <v>660</v>
      </c>
      <c r="H163" s="762">
        <f t="shared" si="6"/>
        <v>3300</v>
      </c>
      <c r="I163" s="309"/>
      <c r="J163" s="308"/>
      <c r="K163" s="60"/>
      <c r="L163" s="60"/>
      <c r="M163" s="60"/>
      <c r="N163" s="60"/>
      <c r="O163" s="60"/>
      <c r="P163" s="60"/>
      <c r="Q163" s="60"/>
      <c r="R163" s="60"/>
      <c r="S163" s="60"/>
      <c r="T163" s="60"/>
      <c r="U163" s="60"/>
      <c r="V163" s="60"/>
      <c r="W163" s="60"/>
      <c r="X163" s="60"/>
      <c r="Y163" s="60"/>
      <c r="Z163" s="60"/>
      <c r="AA163" s="60"/>
      <c r="AB163" s="60"/>
      <c r="AC163" s="60"/>
      <c r="AD163" s="60"/>
      <c r="AE163" s="60"/>
      <c r="AF163" s="60"/>
    </row>
    <row r="164" spans="1:32" s="96" customFormat="1" ht="25.5">
      <c r="A164" s="105"/>
      <c r="B164" s="616">
        <f t="shared" si="7"/>
        <v>54</v>
      </c>
      <c r="C164" s="604" t="s">
        <v>324</v>
      </c>
      <c r="D164" s="596" t="s">
        <v>665</v>
      </c>
      <c r="E164" s="596" t="s">
        <v>1930</v>
      </c>
      <c r="F164" s="643">
        <v>5</v>
      </c>
      <c r="G164" s="766">
        <v>770</v>
      </c>
      <c r="H164" s="762">
        <f t="shared" si="6"/>
        <v>3850</v>
      </c>
      <c r="I164" s="309"/>
      <c r="J164" s="308"/>
      <c r="K164" s="60"/>
      <c r="L164" s="60"/>
      <c r="M164" s="60"/>
      <c r="N164" s="60"/>
      <c r="O164" s="60"/>
      <c r="P164" s="60"/>
      <c r="Q164" s="60"/>
      <c r="R164" s="60"/>
      <c r="S164" s="60"/>
      <c r="T164" s="60"/>
      <c r="U164" s="60"/>
      <c r="V164" s="60"/>
      <c r="W164" s="60"/>
      <c r="X164" s="60"/>
      <c r="Y164" s="60"/>
      <c r="Z164" s="60"/>
      <c r="AA164" s="60"/>
      <c r="AB164" s="60"/>
      <c r="AC164" s="60"/>
      <c r="AD164" s="60"/>
      <c r="AE164" s="60"/>
      <c r="AF164" s="60"/>
    </row>
    <row r="165" spans="1:32" s="96" customFormat="1" ht="25.5">
      <c r="A165" s="105"/>
      <c r="B165" s="616">
        <f t="shared" si="7"/>
        <v>55</v>
      </c>
      <c r="C165" s="604" t="s">
        <v>324</v>
      </c>
      <c r="D165" s="596" t="s">
        <v>664</v>
      </c>
      <c r="E165" s="596" t="s">
        <v>1930</v>
      </c>
      <c r="F165" s="643">
        <v>5</v>
      </c>
      <c r="G165" s="766">
        <v>770</v>
      </c>
      <c r="H165" s="762">
        <f t="shared" si="6"/>
        <v>3850</v>
      </c>
      <c r="I165" s="309"/>
      <c r="J165" s="308"/>
      <c r="K165" s="60"/>
      <c r="L165" s="60"/>
      <c r="M165" s="60"/>
      <c r="N165" s="60"/>
      <c r="O165" s="60"/>
      <c r="P165" s="60"/>
      <c r="Q165" s="60"/>
      <c r="R165" s="60"/>
      <c r="S165" s="60"/>
      <c r="T165" s="60"/>
      <c r="U165" s="60"/>
      <c r="V165" s="60"/>
      <c r="W165" s="60"/>
      <c r="X165" s="60"/>
      <c r="Y165" s="60"/>
      <c r="Z165" s="60"/>
      <c r="AA165" s="60"/>
      <c r="AB165" s="60"/>
      <c r="AC165" s="60"/>
      <c r="AD165" s="60"/>
      <c r="AE165" s="60"/>
      <c r="AF165" s="60"/>
    </row>
    <row r="166" spans="1:32" s="96" customFormat="1" ht="23.25" customHeight="1">
      <c r="A166" s="105"/>
      <c r="B166" s="616">
        <f t="shared" si="7"/>
        <v>56</v>
      </c>
      <c r="C166" s="604" t="s">
        <v>219</v>
      </c>
      <c r="D166" s="596" t="s">
        <v>563</v>
      </c>
      <c r="E166" s="596" t="s">
        <v>1930</v>
      </c>
      <c r="F166" s="643">
        <v>10</v>
      </c>
      <c r="G166" s="766">
        <v>440</v>
      </c>
      <c r="H166" s="762">
        <f t="shared" si="6"/>
        <v>4400</v>
      </c>
      <c r="I166" s="309"/>
      <c r="J166" s="308"/>
      <c r="K166" s="60"/>
      <c r="L166" s="60"/>
      <c r="M166" s="60"/>
      <c r="N166" s="60"/>
      <c r="O166" s="60"/>
      <c r="P166" s="60"/>
      <c r="Q166" s="60"/>
      <c r="R166" s="60"/>
      <c r="S166" s="60"/>
      <c r="T166" s="60"/>
      <c r="U166" s="60"/>
      <c r="V166" s="60"/>
      <c r="W166" s="60"/>
      <c r="X166" s="60"/>
      <c r="Y166" s="60"/>
      <c r="Z166" s="60"/>
      <c r="AA166" s="60"/>
      <c r="AB166" s="60"/>
      <c r="AC166" s="60"/>
      <c r="AD166" s="60"/>
      <c r="AE166" s="60"/>
      <c r="AF166" s="60"/>
    </row>
    <row r="167" spans="1:32" s="96" customFormat="1" ht="51">
      <c r="A167" s="105"/>
      <c r="B167" s="616">
        <f t="shared" si="7"/>
        <v>57</v>
      </c>
      <c r="C167" s="604" t="s">
        <v>1968</v>
      </c>
      <c r="D167" s="765" t="s">
        <v>1969</v>
      </c>
      <c r="E167" s="596" t="s">
        <v>295</v>
      </c>
      <c r="F167" s="643">
        <v>1</v>
      </c>
      <c r="G167" s="763">
        <v>4600</v>
      </c>
      <c r="H167" s="762">
        <f t="shared" si="6"/>
        <v>4600</v>
      </c>
      <c r="I167" s="309"/>
      <c r="J167" s="308"/>
      <c r="K167" s="60"/>
      <c r="L167" s="60"/>
      <c r="M167" s="60"/>
      <c r="N167" s="60"/>
      <c r="O167" s="60"/>
      <c r="P167" s="60"/>
      <c r="Q167" s="60"/>
      <c r="R167" s="60"/>
      <c r="S167" s="60"/>
      <c r="T167" s="60"/>
      <c r="U167" s="60"/>
      <c r="V167" s="60"/>
      <c r="W167" s="60"/>
      <c r="X167" s="60"/>
      <c r="Y167" s="60"/>
      <c r="Z167" s="60"/>
      <c r="AA167" s="60"/>
      <c r="AB167" s="60"/>
      <c r="AC167" s="60"/>
      <c r="AD167" s="60"/>
      <c r="AE167" s="60"/>
      <c r="AF167" s="60"/>
    </row>
    <row r="168" spans="1:32" s="96" customFormat="1" ht="63.75">
      <c r="A168" s="105"/>
      <c r="B168" s="616">
        <f t="shared" si="7"/>
        <v>58</v>
      </c>
      <c r="C168" s="604" t="s">
        <v>1970</v>
      </c>
      <c r="D168" s="596" t="s">
        <v>1971</v>
      </c>
      <c r="E168" s="596" t="s">
        <v>295</v>
      </c>
      <c r="F168" s="643">
        <v>1</v>
      </c>
      <c r="G168" s="763">
        <v>10900</v>
      </c>
      <c r="H168" s="762">
        <f t="shared" si="6"/>
        <v>10900</v>
      </c>
      <c r="I168" s="309"/>
      <c r="J168" s="308"/>
      <c r="K168" s="60"/>
      <c r="L168" s="60"/>
      <c r="M168" s="60"/>
      <c r="N168" s="60"/>
      <c r="O168" s="60"/>
      <c r="P168" s="60"/>
      <c r="Q168" s="60"/>
      <c r="R168" s="60"/>
      <c r="S168" s="60"/>
      <c r="T168" s="60"/>
      <c r="U168" s="60"/>
      <c r="V168" s="60"/>
      <c r="W168" s="60"/>
      <c r="X168" s="60"/>
      <c r="Y168" s="60"/>
      <c r="Z168" s="60"/>
      <c r="AA168" s="60"/>
      <c r="AB168" s="60"/>
      <c r="AC168" s="60"/>
      <c r="AD168" s="60"/>
      <c r="AE168" s="60"/>
      <c r="AF168" s="60"/>
    </row>
    <row r="169" spans="1:32" s="96" customFormat="1" ht="51">
      <c r="A169" s="105"/>
      <c r="B169" s="616">
        <f t="shared" si="7"/>
        <v>59</v>
      </c>
      <c r="C169" s="604" t="s">
        <v>325</v>
      </c>
      <c r="D169" s="596" t="s">
        <v>666</v>
      </c>
      <c r="E169" s="596" t="s">
        <v>295</v>
      </c>
      <c r="F169" s="643">
        <v>1</v>
      </c>
      <c r="G169" s="763">
        <v>10900</v>
      </c>
      <c r="H169" s="762">
        <f t="shared" si="6"/>
        <v>10900</v>
      </c>
      <c r="I169" s="309"/>
      <c r="J169" s="308"/>
      <c r="K169" s="60"/>
      <c r="L169" s="60"/>
      <c r="M169" s="60"/>
      <c r="N169" s="60"/>
      <c r="O169" s="60"/>
      <c r="P169" s="60"/>
      <c r="Q169" s="60"/>
      <c r="R169" s="60"/>
      <c r="S169" s="60"/>
      <c r="T169" s="60"/>
      <c r="U169" s="60"/>
      <c r="V169" s="60"/>
      <c r="W169" s="60"/>
      <c r="X169" s="60"/>
      <c r="Y169" s="60"/>
      <c r="Z169" s="60"/>
      <c r="AA169" s="60"/>
      <c r="AB169" s="60"/>
      <c r="AC169" s="60"/>
      <c r="AD169" s="60"/>
      <c r="AE169" s="60"/>
      <c r="AF169" s="60"/>
    </row>
    <row r="170" spans="1:32" s="96" customFormat="1" ht="25.5">
      <c r="A170" s="105"/>
      <c r="B170" s="616">
        <f t="shared" si="7"/>
        <v>60</v>
      </c>
      <c r="C170" s="604" t="s">
        <v>1972</v>
      </c>
      <c r="D170" s="596" t="s">
        <v>1973</v>
      </c>
      <c r="E170" s="596" t="s">
        <v>1954</v>
      </c>
      <c r="F170" s="643">
        <v>1</v>
      </c>
      <c r="G170" s="763">
        <v>5300</v>
      </c>
      <c r="H170" s="762">
        <f t="shared" si="6"/>
        <v>5300</v>
      </c>
      <c r="I170" s="309"/>
      <c r="J170" s="308"/>
      <c r="K170" s="60"/>
      <c r="L170" s="60"/>
      <c r="M170" s="60"/>
      <c r="N170" s="60"/>
      <c r="O170" s="60"/>
      <c r="P170" s="60"/>
      <c r="Q170" s="60"/>
      <c r="R170" s="60"/>
      <c r="S170" s="60"/>
      <c r="T170" s="60"/>
      <c r="U170" s="60"/>
      <c r="V170" s="60"/>
      <c r="W170" s="60"/>
      <c r="X170" s="60"/>
      <c r="Y170" s="60"/>
      <c r="Z170" s="60"/>
      <c r="AA170" s="60"/>
      <c r="AB170" s="60"/>
      <c r="AC170" s="60"/>
      <c r="AD170" s="60"/>
      <c r="AE170" s="60"/>
      <c r="AF170" s="60"/>
    </row>
    <row r="171" spans="1:32" s="96" customFormat="1" ht="38.25">
      <c r="A171" s="105"/>
      <c r="B171" s="616">
        <f t="shared" si="7"/>
        <v>61</v>
      </c>
      <c r="C171" s="604" t="s">
        <v>1974</v>
      </c>
      <c r="D171" s="596" t="s">
        <v>1975</v>
      </c>
      <c r="E171" s="596" t="s">
        <v>1954</v>
      </c>
      <c r="F171" s="643">
        <v>1</v>
      </c>
      <c r="G171" s="763">
        <v>3800</v>
      </c>
      <c r="H171" s="762">
        <f t="shared" si="6"/>
        <v>3800</v>
      </c>
      <c r="I171" s="309"/>
      <c r="J171" s="308"/>
      <c r="K171" s="60"/>
      <c r="L171" s="60"/>
      <c r="M171" s="60"/>
      <c r="N171" s="60"/>
      <c r="O171" s="60"/>
      <c r="P171" s="60"/>
      <c r="Q171" s="60"/>
      <c r="R171" s="60"/>
      <c r="S171" s="60"/>
      <c r="T171" s="60"/>
      <c r="U171" s="60"/>
      <c r="V171" s="60"/>
      <c r="W171" s="60"/>
      <c r="X171" s="60"/>
      <c r="Y171" s="60"/>
      <c r="Z171" s="60"/>
      <c r="AA171" s="60"/>
      <c r="AB171" s="60"/>
      <c r="AC171" s="60"/>
      <c r="AD171" s="60"/>
      <c r="AE171" s="60"/>
      <c r="AF171" s="60"/>
    </row>
    <row r="172" spans="1:32" s="96" customFormat="1" ht="38.25">
      <c r="A172" s="105"/>
      <c r="B172" s="616">
        <f t="shared" si="7"/>
        <v>62</v>
      </c>
      <c r="C172" s="604" t="s">
        <v>1974</v>
      </c>
      <c r="D172" s="596" t="s">
        <v>667</v>
      </c>
      <c r="E172" s="596" t="s">
        <v>1954</v>
      </c>
      <c r="F172" s="643">
        <v>1</v>
      </c>
      <c r="G172" s="763">
        <v>4000</v>
      </c>
      <c r="H172" s="762">
        <f t="shared" si="6"/>
        <v>4000</v>
      </c>
      <c r="I172" s="309"/>
      <c r="J172" s="308"/>
      <c r="K172" s="60"/>
      <c r="L172" s="60"/>
      <c r="M172" s="60"/>
      <c r="N172" s="60"/>
      <c r="O172" s="60"/>
      <c r="P172" s="60"/>
      <c r="Q172" s="60"/>
      <c r="R172" s="60"/>
      <c r="S172" s="60"/>
      <c r="T172" s="60"/>
      <c r="U172" s="60"/>
      <c r="V172" s="60"/>
      <c r="W172" s="60"/>
      <c r="X172" s="60"/>
      <c r="Y172" s="60"/>
      <c r="Z172" s="60"/>
      <c r="AA172" s="60"/>
      <c r="AB172" s="60"/>
      <c r="AC172" s="60"/>
      <c r="AD172" s="60"/>
      <c r="AE172" s="60"/>
      <c r="AF172" s="60"/>
    </row>
    <row r="173" spans="1:32" s="96" customFormat="1" ht="25.5">
      <c r="A173" s="105"/>
      <c r="B173" s="616">
        <f t="shared" si="7"/>
        <v>63</v>
      </c>
      <c r="C173" s="604" t="s">
        <v>326</v>
      </c>
      <c r="D173" s="596" t="s">
        <v>564</v>
      </c>
      <c r="E173" s="596" t="s">
        <v>1954</v>
      </c>
      <c r="F173" s="643">
        <v>1</v>
      </c>
      <c r="G173" s="763">
        <v>1900</v>
      </c>
      <c r="H173" s="762">
        <f t="shared" si="6"/>
        <v>1900</v>
      </c>
      <c r="I173" s="309"/>
      <c r="J173" s="308"/>
      <c r="K173" s="60"/>
      <c r="L173" s="60"/>
      <c r="M173" s="60"/>
      <c r="N173" s="60"/>
      <c r="O173" s="60"/>
      <c r="P173" s="60"/>
      <c r="Q173" s="60"/>
      <c r="R173" s="60"/>
      <c r="S173" s="60"/>
      <c r="T173" s="60"/>
      <c r="U173" s="60"/>
      <c r="V173" s="60"/>
      <c r="W173" s="60"/>
      <c r="X173" s="60"/>
      <c r="Y173" s="60"/>
      <c r="Z173" s="60"/>
      <c r="AA173" s="60"/>
      <c r="AB173" s="60"/>
      <c r="AC173" s="60"/>
      <c r="AD173" s="60"/>
      <c r="AE173" s="60"/>
      <c r="AF173" s="60"/>
    </row>
    <row r="174" spans="1:32" s="96" customFormat="1" ht="25.5">
      <c r="A174" s="105"/>
      <c r="B174" s="616">
        <f t="shared" si="7"/>
        <v>64</v>
      </c>
      <c r="C174" s="604" t="s">
        <v>326</v>
      </c>
      <c r="D174" s="596" t="s">
        <v>1976</v>
      </c>
      <c r="E174" s="596" t="s">
        <v>1954</v>
      </c>
      <c r="F174" s="643">
        <v>1</v>
      </c>
      <c r="G174" s="763">
        <v>2100</v>
      </c>
      <c r="H174" s="762">
        <f t="shared" si="6"/>
        <v>2100</v>
      </c>
      <c r="I174" s="309"/>
      <c r="J174" s="308"/>
      <c r="K174" s="60"/>
      <c r="L174" s="60"/>
      <c r="M174" s="60"/>
      <c r="N174" s="60"/>
      <c r="O174" s="60"/>
      <c r="P174" s="60"/>
      <c r="Q174" s="60"/>
      <c r="R174" s="60"/>
      <c r="S174" s="60"/>
      <c r="T174" s="60"/>
      <c r="U174" s="60"/>
      <c r="V174" s="60"/>
      <c r="W174" s="60"/>
      <c r="X174" s="60"/>
      <c r="Y174" s="60"/>
      <c r="Z174" s="60"/>
      <c r="AA174" s="60"/>
      <c r="AB174" s="60"/>
      <c r="AC174" s="60"/>
      <c r="AD174" s="60"/>
      <c r="AE174" s="60"/>
      <c r="AF174" s="60"/>
    </row>
    <row r="175" spans="1:32" s="96" customFormat="1" ht="25.5">
      <c r="A175" s="105"/>
      <c r="B175" s="616">
        <f t="shared" si="7"/>
        <v>65</v>
      </c>
      <c r="C175" s="604" t="s">
        <v>326</v>
      </c>
      <c r="D175" s="596" t="s">
        <v>1977</v>
      </c>
      <c r="E175" s="596" t="s">
        <v>1954</v>
      </c>
      <c r="F175" s="643">
        <v>1</v>
      </c>
      <c r="G175" s="763">
        <v>2100</v>
      </c>
      <c r="H175" s="762">
        <f t="shared" ref="H175:H238" si="8">F175*G175</f>
        <v>2100</v>
      </c>
      <c r="I175" s="309"/>
      <c r="J175" s="308"/>
      <c r="K175" s="60"/>
      <c r="L175" s="60"/>
      <c r="M175" s="60"/>
      <c r="N175" s="60"/>
      <c r="O175" s="60"/>
      <c r="P175" s="60"/>
      <c r="Q175" s="60"/>
      <c r="R175" s="60"/>
      <c r="S175" s="60"/>
      <c r="T175" s="60"/>
      <c r="U175" s="60"/>
      <c r="V175" s="60"/>
      <c r="W175" s="60"/>
      <c r="X175" s="60"/>
      <c r="Y175" s="60"/>
      <c r="Z175" s="60"/>
      <c r="AA175" s="60"/>
      <c r="AB175" s="60"/>
      <c r="AC175" s="60"/>
      <c r="AD175" s="60"/>
      <c r="AE175" s="60"/>
      <c r="AF175" s="60"/>
    </row>
    <row r="176" spans="1:32" s="96" customFormat="1" ht="25.5">
      <c r="A176" s="105"/>
      <c r="B176" s="616">
        <f t="shared" si="7"/>
        <v>66</v>
      </c>
      <c r="C176" s="604" t="s">
        <v>326</v>
      </c>
      <c r="D176" s="596" t="s">
        <v>565</v>
      </c>
      <c r="E176" s="596" t="s">
        <v>1954</v>
      </c>
      <c r="F176" s="643">
        <v>1</v>
      </c>
      <c r="G176" s="763">
        <v>2100</v>
      </c>
      <c r="H176" s="762">
        <f t="shared" si="8"/>
        <v>2100</v>
      </c>
      <c r="I176" s="309"/>
      <c r="J176" s="308"/>
      <c r="K176" s="60"/>
      <c r="L176" s="60"/>
      <c r="M176" s="60"/>
      <c r="N176" s="60"/>
      <c r="O176" s="60"/>
      <c r="P176" s="60"/>
      <c r="Q176" s="60"/>
      <c r="R176" s="60"/>
      <c r="S176" s="60"/>
      <c r="T176" s="60"/>
      <c r="U176" s="60"/>
      <c r="V176" s="60"/>
      <c r="W176" s="60"/>
      <c r="X176" s="60"/>
      <c r="Y176" s="60"/>
      <c r="Z176" s="60"/>
      <c r="AA176" s="60"/>
      <c r="AB176" s="60"/>
      <c r="AC176" s="60"/>
      <c r="AD176" s="60"/>
      <c r="AE176" s="60"/>
      <c r="AF176" s="60"/>
    </row>
    <row r="177" spans="1:32" s="96" customFormat="1" ht="25.5">
      <c r="A177" s="105"/>
      <c r="B177" s="616">
        <f t="shared" ref="B177:B240" si="9">B176+1</f>
        <v>67</v>
      </c>
      <c r="C177" s="604" t="s">
        <v>326</v>
      </c>
      <c r="D177" s="596" t="s">
        <v>1978</v>
      </c>
      <c r="E177" s="596" t="s">
        <v>1954</v>
      </c>
      <c r="F177" s="643">
        <v>1</v>
      </c>
      <c r="G177" s="763">
        <v>2100</v>
      </c>
      <c r="H177" s="762">
        <f t="shared" si="8"/>
        <v>2100</v>
      </c>
      <c r="I177" s="309"/>
      <c r="J177" s="308"/>
      <c r="K177" s="60"/>
      <c r="L177" s="60"/>
      <c r="M177" s="60"/>
      <c r="N177" s="60"/>
      <c r="O177" s="60"/>
      <c r="P177" s="60"/>
      <c r="Q177" s="60"/>
      <c r="R177" s="60"/>
      <c r="S177" s="60"/>
      <c r="T177" s="60"/>
      <c r="U177" s="60"/>
      <c r="V177" s="60"/>
      <c r="W177" s="60"/>
      <c r="X177" s="60"/>
      <c r="Y177" s="60"/>
      <c r="Z177" s="60"/>
      <c r="AA177" s="60"/>
      <c r="AB177" s="60"/>
      <c r="AC177" s="60"/>
      <c r="AD177" s="60"/>
      <c r="AE177" s="60"/>
      <c r="AF177" s="60"/>
    </row>
    <row r="178" spans="1:32" s="96" customFormat="1" ht="38.25">
      <c r="A178" s="105"/>
      <c r="B178" s="616">
        <f t="shared" si="9"/>
        <v>68</v>
      </c>
      <c r="C178" s="604" t="s">
        <v>633</v>
      </c>
      <c r="D178" s="596" t="s">
        <v>566</v>
      </c>
      <c r="E178" s="596" t="s">
        <v>1954</v>
      </c>
      <c r="F178" s="643">
        <v>1</v>
      </c>
      <c r="G178" s="763">
        <v>2900</v>
      </c>
      <c r="H178" s="762">
        <f t="shared" si="8"/>
        <v>2900</v>
      </c>
      <c r="I178" s="309"/>
      <c r="J178" s="308"/>
      <c r="K178" s="60"/>
      <c r="L178" s="60"/>
      <c r="M178" s="60"/>
      <c r="N178" s="60"/>
      <c r="O178" s="60"/>
      <c r="P178" s="60"/>
      <c r="Q178" s="60"/>
      <c r="R178" s="60"/>
      <c r="S178" s="60"/>
      <c r="T178" s="60"/>
      <c r="U178" s="60"/>
      <c r="V178" s="60"/>
      <c r="W178" s="60"/>
      <c r="X178" s="60"/>
      <c r="Y178" s="60"/>
      <c r="Z178" s="60"/>
      <c r="AA178" s="60"/>
      <c r="AB178" s="60"/>
      <c r="AC178" s="60"/>
      <c r="AD178" s="60"/>
      <c r="AE178" s="60"/>
      <c r="AF178" s="60"/>
    </row>
    <row r="179" spans="1:32" s="96" customFormat="1" ht="38.25">
      <c r="A179" s="105"/>
      <c r="B179" s="616">
        <f t="shared" si="9"/>
        <v>69</v>
      </c>
      <c r="C179" s="604" t="s">
        <v>633</v>
      </c>
      <c r="D179" s="596" t="s">
        <v>567</v>
      </c>
      <c r="E179" s="596" t="s">
        <v>1954</v>
      </c>
      <c r="F179" s="643">
        <v>1</v>
      </c>
      <c r="G179" s="763">
        <v>2900</v>
      </c>
      <c r="H179" s="762">
        <f t="shared" si="8"/>
        <v>2900</v>
      </c>
      <c r="I179" s="309"/>
      <c r="J179" s="308"/>
      <c r="K179" s="60"/>
      <c r="L179" s="60"/>
      <c r="M179" s="60"/>
      <c r="N179" s="60"/>
      <c r="O179" s="60"/>
      <c r="P179" s="60"/>
      <c r="Q179" s="60"/>
      <c r="R179" s="60"/>
      <c r="S179" s="60"/>
      <c r="T179" s="60"/>
      <c r="U179" s="60"/>
      <c r="V179" s="60"/>
      <c r="W179" s="60"/>
      <c r="X179" s="60"/>
      <c r="Y179" s="60"/>
      <c r="Z179" s="60"/>
      <c r="AA179" s="60"/>
      <c r="AB179" s="60"/>
      <c r="AC179" s="60"/>
      <c r="AD179" s="60"/>
      <c r="AE179" s="60"/>
      <c r="AF179" s="60"/>
    </row>
    <row r="180" spans="1:32" s="96" customFormat="1" ht="25.5">
      <c r="A180" s="105"/>
      <c r="B180" s="616">
        <f t="shared" si="9"/>
        <v>70</v>
      </c>
      <c r="C180" s="604" t="s">
        <v>327</v>
      </c>
      <c r="D180" s="596" t="s">
        <v>568</v>
      </c>
      <c r="E180" s="596" t="s">
        <v>302</v>
      </c>
      <c r="F180" s="643">
        <v>1</v>
      </c>
      <c r="G180" s="766">
        <v>715</v>
      </c>
      <c r="H180" s="762">
        <f t="shared" si="8"/>
        <v>715</v>
      </c>
      <c r="I180" s="309"/>
      <c r="J180" s="308"/>
      <c r="K180" s="60"/>
      <c r="L180" s="60"/>
      <c r="M180" s="60"/>
      <c r="N180" s="60"/>
      <c r="O180" s="60"/>
      <c r="P180" s="60"/>
      <c r="Q180" s="60"/>
      <c r="R180" s="60"/>
      <c r="S180" s="60"/>
      <c r="T180" s="60"/>
      <c r="U180" s="60"/>
      <c r="V180" s="60"/>
      <c r="W180" s="60"/>
      <c r="X180" s="60"/>
      <c r="Y180" s="60"/>
      <c r="Z180" s="60"/>
      <c r="AA180" s="60"/>
      <c r="AB180" s="60"/>
      <c r="AC180" s="60"/>
      <c r="AD180" s="60"/>
      <c r="AE180" s="60"/>
      <c r="AF180" s="60"/>
    </row>
    <row r="181" spans="1:32" s="96" customFormat="1" ht="25.5">
      <c r="A181" s="105"/>
      <c r="B181" s="616">
        <f t="shared" si="9"/>
        <v>71</v>
      </c>
      <c r="C181" s="604" t="s">
        <v>327</v>
      </c>
      <c r="D181" s="596" t="s">
        <v>569</v>
      </c>
      <c r="E181" s="596" t="s">
        <v>302</v>
      </c>
      <c r="F181" s="643">
        <v>1</v>
      </c>
      <c r="G181" s="766">
        <v>715</v>
      </c>
      <c r="H181" s="762">
        <f t="shared" si="8"/>
        <v>715</v>
      </c>
      <c r="I181" s="309"/>
      <c r="J181" s="308"/>
      <c r="K181" s="60"/>
      <c r="L181" s="60"/>
      <c r="M181" s="60"/>
      <c r="N181" s="60"/>
      <c r="O181" s="60"/>
      <c r="P181" s="60"/>
      <c r="Q181" s="60"/>
      <c r="R181" s="60"/>
      <c r="S181" s="60"/>
      <c r="T181" s="60"/>
      <c r="U181" s="60"/>
      <c r="V181" s="60"/>
      <c r="W181" s="60"/>
      <c r="X181" s="60"/>
      <c r="Y181" s="60"/>
      <c r="Z181" s="60"/>
      <c r="AA181" s="60"/>
      <c r="AB181" s="60"/>
      <c r="AC181" s="60"/>
      <c r="AD181" s="60"/>
      <c r="AE181" s="60"/>
      <c r="AF181" s="60"/>
    </row>
    <row r="182" spans="1:32" s="96" customFormat="1" ht="25.5">
      <c r="A182" s="105"/>
      <c r="B182" s="616">
        <f t="shared" si="9"/>
        <v>72</v>
      </c>
      <c r="C182" s="604" t="s">
        <v>327</v>
      </c>
      <c r="D182" s="596" t="s">
        <v>1979</v>
      </c>
      <c r="E182" s="596" t="s">
        <v>302</v>
      </c>
      <c r="F182" s="643">
        <v>1</v>
      </c>
      <c r="G182" s="766">
        <v>715</v>
      </c>
      <c r="H182" s="762">
        <f t="shared" si="8"/>
        <v>715</v>
      </c>
      <c r="I182" s="309"/>
      <c r="J182" s="308"/>
      <c r="K182" s="60"/>
      <c r="L182" s="60"/>
      <c r="M182" s="60"/>
      <c r="N182" s="60"/>
      <c r="O182" s="60"/>
      <c r="P182" s="60"/>
      <c r="Q182" s="60"/>
      <c r="R182" s="60"/>
      <c r="S182" s="60"/>
      <c r="T182" s="60"/>
      <c r="U182" s="60"/>
      <c r="V182" s="60"/>
      <c r="W182" s="60"/>
      <c r="X182" s="60"/>
      <c r="Y182" s="60"/>
      <c r="Z182" s="60"/>
      <c r="AA182" s="60"/>
      <c r="AB182" s="60"/>
      <c r="AC182" s="60"/>
      <c r="AD182" s="60"/>
      <c r="AE182" s="60"/>
      <c r="AF182" s="60"/>
    </row>
    <row r="183" spans="1:32" s="96" customFormat="1" ht="38.25">
      <c r="A183" s="105"/>
      <c r="B183" s="616">
        <f t="shared" si="9"/>
        <v>73</v>
      </c>
      <c r="C183" s="604" t="s">
        <v>327</v>
      </c>
      <c r="D183" s="596" t="s">
        <v>570</v>
      </c>
      <c r="E183" s="596" t="s">
        <v>1954</v>
      </c>
      <c r="F183" s="643">
        <v>1</v>
      </c>
      <c r="G183" s="763">
        <v>1520</v>
      </c>
      <c r="H183" s="762">
        <f t="shared" si="8"/>
        <v>1520</v>
      </c>
      <c r="I183" s="309"/>
      <c r="J183" s="308"/>
      <c r="K183" s="60"/>
      <c r="L183" s="60"/>
      <c r="M183" s="60"/>
      <c r="N183" s="60"/>
      <c r="O183" s="60"/>
      <c r="P183" s="60"/>
      <c r="Q183" s="60"/>
      <c r="R183" s="60"/>
      <c r="S183" s="60"/>
      <c r="T183" s="60"/>
      <c r="U183" s="60"/>
      <c r="V183" s="60"/>
      <c r="W183" s="60"/>
      <c r="X183" s="60"/>
      <c r="Y183" s="60"/>
      <c r="Z183" s="60"/>
      <c r="AA183" s="60"/>
      <c r="AB183" s="60"/>
      <c r="AC183" s="60"/>
      <c r="AD183" s="60"/>
      <c r="AE183" s="60"/>
      <c r="AF183" s="60"/>
    </row>
    <row r="184" spans="1:32" s="96" customFormat="1" ht="15">
      <c r="A184" s="105"/>
      <c r="B184" s="616">
        <f t="shared" si="9"/>
        <v>74</v>
      </c>
      <c r="C184" s="604" t="s">
        <v>1980</v>
      </c>
      <c r="D184" s="596" t="s">
        <v>1981</v>
      </c>
      <c r="E184" s="596" t="s">
        <v>302</v>
      </c>
      <c r="F184" s="643">
        <v>1</v>
      </c>
      <c r="G184" s="766">
        <v>660</v>
      </c>
      <c r="H184" s="762">
        <f t="shared" si="8"/>
        <v>660</v>
      </c>
      <c r="I184" s="309"/>
      <c r="J184" s="308"/>
      <c r="K184" s="60"/>
      <c r="L184" s="60"/>
      <c r="M184" s="60"/>
      <c r="N184" s="60"/>
      <c r="O184" s="60"/>
      <c r="P184" s="60"/>
      <c r="Q184" s="60"/>
      <c r="R184" s="60"/>
      <c r="S184" s="60"/>
      <c r="T184" s="60"/>
      <c r="U184" s="60"/>
      <c r="V184" s="60"/>
      <c r="W184" s="60"/>
      <c r="X184" s="60"/>
      <c r="Y184" s="60"/>
      <c r="Z184" s="60"/>
      <c r="AA184" s="60"/>
      <c r="AB184" s="60"/>
      <c r="AC184" s="60"/>
      <c r="AD184" s="60"/>
      <c r="AE184" s="60"/>
      <c r="AF184" s="60"/>
    </row>
    <row r="185" spans="1:32" s="96" customFormat="1" ht="15">
      <c r="A185" s="105"/>
      <c r="B185" s="616">
        <f t="shared" si="9"/>
        <v>75</v>
      </c>
      <c r="C185" s="604" t="s">
        <v>1980</v>
      </c>
      <c r="D185" s="596" t="s">
        <v>1982</v>
      </c>
      <c r="E185" s="596" t="s">
        <v>302</v>
      </c>
      <c r="F185" s="643">
        <v>1</v>
      </c>
      <c r="G185" s="766">
        <v>660</v>
      </c>
      <c r="H185" s="762">
        <f t="shared" si="8"/>
        <v>660</v>
      </c>
      <c r="I185" s="309"/>
      <c r="J185" s="308"/>
      <c r="K185" s="60"/>
      <c r="L185" s="60"/>
      <c r="M185" s="60"/>
      <c r="N185" s="60"/>
      <c r="O185" s="60"/>
      <c r="P185" s="60"/>
      <c r="Q185" s="60"/>
      <c r="R185" s="60"/>
      <c r="S185" s="60"/>
      <c r="T185" s="60"/>
      <c r="U185" s="60"/>
      <c r="V185" s="60"/>
      <c r="W185" s="60"/>
      <c r="X185" s="60"/>
      <c r="Y185" s="60"/>
      <c r="Z185" s="60"/>
      <c r="AA185" s="60"/>
      <c r="AB185" s="60"/>
      <c r="AC185" s="60"/>
      <c r="AD185" s="60"/>
      <c r="AE185" s="60"/>
      <c r="AF185" s="60"/>
    </row>
    <row r="186" spans="1:32" s="96" customFormat="1" ht="102">
      <c r="A186" s="105"/>
      <c r="B186" s="616">
        <f t="shared" si="9"/>
        <v>76</v>
      </c>
      <c r="C186" s="604" t="s">
        <v>1983</v>
      </c>
      <c r="D186" s="596" t="s">
        <v>668</v>
      </c>
      <c r="E186" s="596" t="s">
        <v>1930</v>
      </c>
      <c r="F186" s="643">
        <v>5</v>
      </c>
      <c r="G186" s="766">
        <v>220</v>
      </c>
      <c r="H186" s="762">
        <f t="shared" si="8"/>
        <v>1100</v>
      </c>
      <c r="I186" s="309"/>
      <c r="J186" s="308"/>
      <c r="K186" s="60"/>
      <c r="L186" s="60"/>
      <c r="M186" s="60"/>
      <c r="N186" s="60"/>
      <c r="O186" s="60"/>
      <c r="P186" s="60"/>
      <c r="Q186" s="60"/>
      <c r="R186" s="60"/>
      <c r="S186" s="60"/>
      <c r="T186" s="60"/>
      <c r="U186" s="60"/>
      <c r="V186" s="60"/>
      <c r="W186" s="60"/>
      <c r="X186" s="60"/>
      <c r="Y186" s="60"/>
      <c r="Z186" s="60"/>
      <c r="AA186" s="60"/>
      <c r="AB186" s="60"/>
      <c r="AC186" s="60"/>
      <c r="AD186" s="60"/>
      <c r="AE186" s="60"/>
      <c r="AF186" s="60"/>
    </row>
    <row r="187" spans="1:32" s="96" customFormat="1" ht="102">
      <c r="A187" s="105"/>
      <c r="B187" s="616">
        <f t="shared" si="9"/>
        <v>77</v>
      </c>
      <c r="C187" s="604" t="s">
        <v>328</v>
      </c>
      <c r="D187" s="596" t="s">
        <v>668</v>
      </c>
      <c r="E187" s="596" t="s">
        <v>1930</v>
      </c>
      <c r="F187" s="643">
        <v>5</v>
      </c>
      <c r="G187" s="766">
        <v>187</v>
      </c>
      <c r="H187" s="762">
        <f t="shared" si="8"/>
        <v>935</v>
      </c>
      <c r="I187" s="309"/>
      <c r="J187" s="308"/>
      <c r="K187" s="60"/>
      <c r="L187" s="60"/>
      <c r="M187" s="60"/>
      <c r="N187" s="60"/>
      <c r="O187" s="60"/>
      <c r="P187" s="60"/>
      <c r="Q187" s="60"/>
      <c r="R187" s="60"/>
      <c r="S187" s="60"/>
      <c r="T187" s="60"/>
      <c r="U187" s="60"/>
      <c r="V187" s="60"/>
      <c r="W187" s="60"/>
      <c r="X187" s="60"/>
      <c r="Y187" s="60"/>
      <c r="Z187" s="60"/>
      <c r="AA187" s="60"/>
      <c r="AB187" s="60"/>
      <c r="AC187" s="60"/>
      <c r="AD187" s="60"/>
      <c r="AE187" s="60"/>
      <c r="AF187" s="60"/>
    </row>
    <row r="188" spans="1:32" s="96" customFormat="1" ht="51">
      <c r="A188" s="105"/>
      <c r="B188" s="616">
        <f t="shared" si="9"/>
        <v>78</v>
      </c>
      <c r="C188" s="604" t="s">
        <v>329</v>
      </c>
      <c r="D188" s="596" t="s">
        <v>1984</v>
      </c>
      <c r="E188" s="596" t="s">
        <v>1930</v>
      </c>
      <c r="F188" s="643">
        <v>1</v>
      </c>
      <c r="G188" s="763">
        <v>1700</v>
      </c>
      <c r="H188" s="762">
        <f t="shared" si="8"/>
        <v>1700</v>
      </c>
      <c r="I188" s="309"/>
      <c r="J188" s="308"/>
      <c r="K188" s="60"/>
      <c r="L188" s="60"/>
      <c r="M188" s="60"/>
      <c r="N188" s="60"/>
      <c r="O188" s="60"/>
      <c r="P188" s="60"/>
      <c r="Q188" s="60"/>
      <c r="R188" s="60"/>
      <c r="S188" s="60"/>
      <c r="T188" s="60"/>
      <c r="U188" s="60"/>
      <c r="V188" s="60"/>
      <c r="W188" s="60"/>
      <c r="X188" s="60"/>
      <c r="Y188" s="60"/>
      <c r="Z188" s="60"/>
      <c r="AA188" s="60"/>
      <c r="AB188" s="60"/>
      <c r="AC188" s="60"/>
      <c r="AD188" s="60"/>
      <c r="AE188" s="60"/>
      <c r="AF188" s="60"/>
    </row>
    <row r="189" spans="1:32" s="96" customFormat="1" ht="114.75">
      <c r="A189" s="105"/>
      <c r="B189" s="616">
        <f t="shared" si="9"/>
        <v>79</v>
      </c>
      <c r="C189" s="604" t="s">
        <v>1985</v>
      </c>
      <c r="D189" s="596" t="s">
        <v>571</v>
      </c>
      <c r="E189" s="596" t="s">
        <v>1930</v>
      </c>
      <c r="F189" s="643">
        <v>1</v>
      </c>
      <c r="G189" s="763">
        <v>1300</v>
      </c>
      <c r="H189" s="762">
        <f t="shared" si="8"/>
        <v>1300</v>
      </c>
      <c r="I189" s="309"/>
      <c r="J189" s="308"/>
      <c r="K189" s="60"/>
      <c r="L189" s="60"/>
      <c r="M189" s="60"/>
      <c r="N189" s="60"/>
      <c r="O189" s="60"/>
      <c r="P189" s="60"/>
      <c r="Q189" s="60"/>
      <c r="R189" s="60"/>
      <c r="S189" s="60"/>
      <c r="T189" s="60"/>
      <c r="U189" s="60"/>
      <c r="V189" s="60"/>
      <c r="W189" s="60"/>
      <c r="X189" s="60"/>
      <c r="Y189" s="60"/>
      <c r="Z189" s="60"/>
      <c r="AA189" s="60"/>
      <c r="AB189" s="60"/>
      <c r="AC189" s="60"/>
      <c r="AD189" s="60"/>
      <c r="AE189" s="60"/>
      <c r="AF189" s="60"/>
    </row>
    <row r="190" spans="1:32" s="96" customFormat="1" ht="114.75">
      <c r="A190" s="105"/>
      <c r="B190" s="616">
        <f t="shared" si="9"/>
        <v>80</v>
      </c>
      <c r="C190" s="604" t="s">
        <v>1986</v>
      </c>
      <c r="D190" s="596" t="s">
        <v>571</v>
      </c>
      <c r="E190" s="596" t="s">
        <v>1930</v>
      </c>
      <c r="F190" s="643">
        <v>1</v>
      </c>
      <c r="G190" s="763">
        <v>1700</v>
      </c>
      <c r="H190" s="762">
        <f t="shared" si="8"/>
        <v>1700</v>
      </c>
      <c r="I190" s="309"/>
      <c r="J190" s="308"/>
      <c r="K190" s="60"/>
      <c r="L190" s="60"/>
      <c r="M190" s="60"/>
      <c r="N190" s="60"/>
      <c r="O190" s="60"/>
      <c r="P190" s="60"/>
      <c r="Q190" s="60"/>
      <c r="R190" s="60"/>
      <c r="S190" s="60"/>
      <c r="T190" s="60"/>
      <c r="U190" s="60"/>
      <c r="V190" s="60"/>
      <c r="W190" s="60"/>
      <c r="X190" s="60"/>
      <c r="Y190" s="60"/>
      <c r="Z190" s="60"/>
      <c r="AA190" s="60"/>
      <c r="AB190" s="60"/>
      <c r="AC190" s="60"/>
      <c r="AD190" s="60"/>
      <c r="AE190" s="60"/>
      <c r="AF190" s="60"/>
    </row>
    <row r="191" spans="1:32" s="96" customFormat="1" ht="114.75">
      <c r="A191" s="105"/>
      <c r="B191" s="616">
        <f t="shared" si="9"/>
        <v>81</v>
      </c>
      <c r="C191" s="604" t="s">
        <v>1987</v>
      </c>
      <c r="D191" s="596" t="s">
        <v>571</v>
      </c>
      <c r="E191" s="596" t="s">
        <v>1930</v>
      </c>
      <c r="F191" s="643">
        <v>1</v>
      </c>
      <c r="G191" s="763">
        <v>1700</v>
      </c>
      <c r="H191" s="762">
        <f t="shared" si="8"/>
        <v>1700</v>
      </c>
      <c r="I191" s="309"/>
      <c r="J191" s="308"/>
      <c r="K191" s="60"/>
      <c r="L191" s="60"/>
      <c r="M191" s="60"/>
      <c r="N191" s="60"/>
      <c r="O191" s="60"/>
      <c r="P191" s="60"/>
      <c r="Q191" s="60"/>
      <c r="R191" s="60"/>
      <c r="S191" s="60"/>
      <c r="T191" s="60"/>
      <c r="U191" s="60"/>
      <c r="V191" s="60"/>
      <c r="W191" s="60"/>
      <c r="X191" s="60"/>
      <c r="Y191" s="60"/>
      <c r="Z191" s="60"/>
      <c r="AA191" s="60"/>
      <c r="AB191" s="60"/>
      <c r="AC191" s="60"/>
      <c r="AD191" s="60"/>
      <c r="AE191" s="60"/>
      <c r="AF191" s="60"/>
    </row>
    <row r="192" spans="1:32" s="96" customFormat="1" ht="114.75">
      <c r="A192" s="105"/>
      <c r="B192" s="616">
        <f t="shared" si="9"/>
        <v>82</v>
      </c>
      <c r="C192" s="604" t="s">
        <v>1988</v>
      </c>
      <c r="D192" s="596" t="s">
        <v>571</v>
      </c>
      <c r="E192" s="596" t="s">
        <v>1930</v>
      </c>
      <c r="F192" s="643">
        <v>1</v>
      </c>
      <c r="G192" s="763">
        <v>1300</v>
      </c>
      <c r="H192" s="762">
        <f t="shared" si="8"/>
        <v>1300</v>
      </c>
      <c r="I192" s="309"/>
      <c r="J192" s="308"/>
      <c r="K192" s="60"/>
      <c r="L192" s="60"/>
      <c r="M192" s="60"/>
      <c r="N192" s="60"/>
      <c r="O192" s="60"/>
      <c r="P192" s="60"/>
      <c r="Q192" s="60"/>
      <c r="R192" s="60"/>
      <c r="S192" s="60"/>
      <c r="T192" s="60"/>
      <c r="U192" s="60"/>
      <c r="V192" s="60"/>
      <c r="W192" s="60"/>
      <c r="X192" s="60"/>
      <c r="Y192" s="60"/>
      <c r="Z192" s="60"/>
      <c r="AA192" s="60"/>
      <c r="AB192" s="60"/>
      <c r="AC192" s="60"/>
      <c r="AD192" s="60"/>
      <c r="AE192" s="60"/>
      <c r="AF192" s="60"/>
    </row>
    <row r="193" spans="1:32" s="96" customFormat="1" ht="76.5">
      <c r="A193" s="105"/>
      <c r="B193" s="616">
        <f t="shared" si="9"/>
        <v>83</v>
      </c>
      <c r="C193" s="604" t="s">
        <v>1989</v>
      </c>
      <c r="D193" s="765" t="s">
        <v>1990</v>
      </c>
      <c r="E193" s="596" t="s">
        <v>1930</v>
      </c>
      <c r="F193" s="643">
        <v>1</v>
      </c>
      <c r="G193" s="763">
        <v>11100</v>
      </c>
      <c r="H193" s="762">
        <f t="shared" si="8"/>
        <v>11100</v>
      </c>
      <c r="I193" s="309"/>
      <c r="J193" s="308"/>
      <c r="K193" s="60"/>
      <c r="L193" s="60"/>
      <c r="M193" s="60"/>
      <c r="N193" s="60"/>
      <c r="O193" s="60"/>
      <c r="P193" s="60"/>
      <c r="Q193" s="60"/>
      <c r="R193" s="60"/>
      <c r="S193" s="60"/>
      <c r="T193" s="60"/>
      <c r="U193" s="60"/>
      <c r="V193" s="60"/>
      <c r="W193" s="60"/>
      <c r="X193" s="60"/>
      <c r="Y193" s="60"/>
      <c r="Z193" s="60"/>
      <c r="AA193" s="60"/>
      <c r="AB193" s="60"/>
      <c r="AC193" s="60"/>
      <c r="AD193" s="60"/>
      <c r="AE193" s="60"/>
      <c r="AF193" s="60"/>
    </row>
    <row r="194" spans="1:32" s="96" customFormat="1" ht="38.25">
      <c r="A194" s="105"/>
      <c r="B194" s="616">
        <f t="shared" si="9"/>
        <v>84</v>
      </c>
      <c r="C194" s="604" t="s">
        <v>1991</v>
      </c>
      <c r="D194" s="596" t="s">
        <v>1992</v>
      </c>
      <c r="E194" s="596" t="s">
        <v>1930</v>
      </c>
      <c r="F194" s="643">
        <v>10</v>
      </c>
      <c r="G194" s="766">
        <v>440</v>
      </c>
      <c r="H194" s="762">
        <f t="shared" si="8"/>
        <v>4400</v>
      </c>
      <c r="I194" s="309"/>
      <c r="J194" s="308"/>
      <c r="K194" s="60"/>
      <c r="L194" s="60"/>
      <c r="M194" s="60"/>
      <c r="N194" s="60"/>
      <c r="O194" s="60"/>
      <c r="P194" s="60"/>
      <c r="Q194" s="60"/>
      <c r="R194" s="60"/>
      <c r="S194" s="60"/>
      <c r="T194" s="60"/>
      <c r="U194" s="60"/>
      <c r="V194" s="60"/>
      <c r="W194" s="60"/>
      <c r="X194" s="60"/>
      <c r="Y194" s="60"/>
      <c r="Z194" s="60"/>
      <c r="AA194" s="60"/>
      <c r="AB194" s="60"/>
      <c r="AC194" s="60"/>
      <c r="AD194" s="60"/>
      <c r="AE194" s="60"/>
      <c r="AF194" s="60"/>
    </row>
    <row r="195" spans="1:32" s="96" customFormat="1" ht="25.5">
      <c r="A195" s="105"/>
      <c r="B195" s="616">
        <f t="shared" si="9"/>
        <v>85</v>
      </c>
      <c r="C195" s="604" t="s">
        <v>634</v>
      </c>
      <c r="D195" s="596" t="s">
        <v>1993</v>
      </c>
      <c r="E195" s="596" t="s">
        <v>1930</v>
      </c>
      <c r="F195" s="643">
        <v>5</v>
      </c>
      <c r="G195" s="763">
        <v>11400</v>
      </c>
      <c r="H195" s="762">
        <f t="shared" si="8"/>
        <v>57000</v>
      </c>
      <c r="I195" s="309"/>
      <c r="J195" s="308"/>
      <c r="K195" s="60"/>
      <c r="L195" s="60"/>
      <c r="M195" s="60"/>
      <c r="N195" s="60"/>
      <c r="O195" s="60"/>
      <c r="P195" s="60"/>
      <c r="Q195" s="60"/>
      <c r="R195" s="60"/>
      <c r="S195" s="60"/>
      <c r="T195" s="60"/>
      <c r="U195" s="60"/>
      <c r="V195" s="60"/>
      <c r="W195" s="60"/>
      <c r="X195" s="60"/>
      <c r="Y195" s="60"/>
      <c r="Z195" s="60"/>
      <c r="AA195" s="60"/>
      <c r="AB195" s="60"/>
      <c r="AC195" s="60"/>
      <c r="AD195" s="60"/>
      <c r="AE195" s="60"/>
      <c r="AF195" s="60"/>
    </row>
    <row r="196" spans="1:32" s="96" customFormat="1" ht="51">
      <c r="A196" s="105"/>
      <c r="B196" s="616">
        <f t="shared" si="9"/>
        <v>86</v>
      </c>
      <c r="C196" s="604" t="s">
        <v>635</v>
      </c>
      <c r="D196" s="596" t="s">
        <v>1994</v>
      </c>
      <c r="E196" s="596" t="s">
        <v>1930</v>
      </c>
      <c r="F196" s="643">
        <v>5</v>
      </c>
      <c r="G196" s="763">
        <v>12300</v>
      </c>
      <c r="H196" s="762">
        <f t="shared" si="8"/>
        <v>61500</v>
      </c>
      <c r="I196" s="309"/>
      <c r="J196" s="308"/>
      <c r="K196" s="60"/>
      <c r="L196" s="60"/>
      <c r="M196" s="60"/>
      <c r="N196" s="60"/>
      <c r="O196" s="60"/>
      <c r="P196" s="60"/>
      <c r="Q196" s="60"/>
      <c r="R196" s="60"/>
      <c r="S196" s="60"/>
      <c r="T196" s="60"/>
      <c r="U196" s="60"/>
      <c r="V196" s="60"/>
      <c r="W196" s="60"/>
      <c r="X196" s="60"/>
      <c r="Y196" s="60"/>
      <c r="Z196" s="60"/>
      <c r="AA196" s="60"/>
      <c r="AB196" s="60"/>
      <c r="AC196" s="60"/>
      <c r="AD196" s="60"/>
      <c r="AE196" s="60"/>
      <c r="AF196" s="60"/>
    </row>
    <row r="197" spans="1:32" s="96" customFormat="1" ht="51">
      <c r="A197" s="105"/>
      <c r="B197" s="616">
        <f t="shared" si="9"/>
        <v>87</v>
      </c>
      <c r="C197" s="604" t="s">
        <v>636</v>
      </c>
      <c r="D197" s="596" t="s">
        <v>1995</v>
      </c>
      <c r="E197" s="596" t="s">
        <v>1930</v>
      </c>
      <c r="F197" s="643">
        <v>2</v>
      </c>
      <c r="G197" s="763">
        <v>12800</v>
      </c>
      <c r="H197" s="762">
        <f t="shared" si="8"/>
        <v>25600</v>
      </c>
      <c r="I197" s="309"/>
      <c r="J197" s="308"/>
      <c r="K197" s="60"/>
      <c r="L197" s="60"/>
      <c r="M197" s="60"/>
      <c r="N197" s="60"/>
      <c r="O197" s="60"/>
      <c r="P197" s="60"/>
      <c r="Q197" s="60"/>
      <c r="R197" s="60"/>
      <c r="S197" s="60"/>
      <c r="T197" s="60"/>
      <c r="U197" s="60"/>
      <c r="V197" s="60"/>
      <c r="W197" s="60"/>
      <c r="X197" s="60"/>
      <c r="Y197" s="60"/>
      <c r="Z197" s="60"/>
      <c r="AA197" s="60"/>
      <c r="AB197" s="60"/>
      <c r="AC197" s="60"/>
      <c r="AD197" s="60"/>
      <c r="AE197" s="60"/>
      <c r="AF197" s="60"/>
    </row>
    <row r="198" spans="1:32" s="96" customFormat="1" ht="191.25">
      <c r="A198" s="105"/>
      <c r="B198" s="616">
        <f t="shared" si="9"/>
        <v>88</v>
      </c>
      <c r="C198" s="604" t="s">
        <v>331</v>
      </c>
      <c r="D198" s="596" t="s">
        <v>1996</v>
      </c>
      <c r="E198" s="596" t="s">
        <v>1930</v>
      </c>
      <c r="F198" s="643">
        <v>20</v>
      </c>
      <c r="G198" s="763">
        <v>1300</v>
      </c>
      <c r="H198" s="762">
        <f t="shared" si="8"/>
        <v>26000</v>
      </c>
      <c r="I198" s="309"/>
      <c r="J198" s="308"/>
      <c r="K198" s="60"/>
      <c r="L198" s="60"/>
      <c r="M198" s="60"/>
      <c r="N198" s="60"/>
      <c r="O198" s="60"/>
      <c r="P198" s="60"/>
      <c r="Q198" s="60"/>
      <c r="R198" s="60"/>
      <c r="S198" s="60"/>
      <c r="T198" s="60"/>
      <c r="U198" s="60"/>
      <c r="V198" s="60"/>
      <c r="W198" s="60"/>
      <c r="X198" s="60"/>
      <c r="Y198" s="60"/>
      <c r="Z198" s="60"/>
      <c r="AA198" s="60"/>
      <c r="AB198" s="60"/>
      <c r="AC198" s="60"/>
      <c r="AD198" s="60"/>
      <c r="AE198" s="60"/>
      <c r="AF198" s="60"/>
    </row>
    <row r="199" spans="1:32" s="96" customFormat="1" ht="25.5">
      <c r="A199" s="105"/>
      <c r="B199" s="616">
        <f t="shared" si="9"/>
        <v>89</v>
      </c>
      <c r="C199" s="604" t="s">
        <v>1997</v>
      </c>
      <c r="D199" s="769" t="s">
        <v>1998</v>
      </c>
      <c r="E199" s="596" t="s">
        <v>295</v>
      </c>
      <c r="F199" s="643">
        <v>2</v>
      </c>
      <c r="G199" s="763">
        <v>2600</v>
      </c>
      <c r="H199" s="762">
        <f t="shared" si="8"/>
        <v>5200</v>
      </c>
      <c r="I199" s="309"/>
      <c r="J199" s="308"/>
      <c r="K199" s="60"/>
      <c r="L199" s="60"/>
      <c r="M199" s="60"/>
      <c r="N199" s="60"/>
      <c r="O199" s="60"/>
      <c r="P199" s="60"/>
      <c r="Q199" s="60"/>
      <c r="R199" s="60"/>
      <c r="S199" s="60"/>
      <c r="T199" s="60"/>
      <c r="U199" s="60"/>
      <c r="V199" s="60"/>
      <c r="W199" s="60"/>
      <c r="X199" s="60"/>
      <c r="Y199" s="60"/>
      <c r="Z199" s="60"/>
      <c r="AA199" s="60"/>
      <c r="AB199" s="60"/>
      <c r="AC199" s="60"/>
      <c r="AD199" s="60"/>
      <c r="AE199" s="60"/>
      <c r="AF199" s="60"/>
    </row>
    <row r="200" spans="1:32" s="96" customFormat="1" ht="38.25">
      <c r="A200" s="105"/>
      <c r="B200" s="616">
        <f t="shared" si="9"/>
        <v>90</v>
      </c>
      <c r="C200" s="604" t="s">
        <v>1999</v>
      </c>
      <c r="D200" s="596" t="s">
        <v>2000</v>
      </c>
      <c r="E200" s="596" t="s">
        <v>295</v>
      </c>
      <c r="F200" s="643">
        <v>2</v>
      </c>
      <c r="G200" s="766">
        <v>880</v>
      </c>
      <c r="H200" s="762">
        <f t="shared" si="8"/>
        <v>1760</v>
      </c>
      <c r="I200" s="309"/>
      <c r="J200" s="308"/>
      <c r="K200" s="60"/>
      <c r="L200" s="60"/>
      <c r="M200" s="60"/>
      <c r="N200" s="60"/>
      <c r="O200" s="60"/>
      <c r="P200" s="60"/>
      <c r="Q200" s="60"/>
      <c r="R200" s="60"/>
      <c r="S200" s="60"/>
      <c r="T200" s="60"/>
      <c r="U200" s="60"/>
      <c r="V200" s="60"/>
      <c r="W200" s="60"/>
      <c r="X200" s="60"/>
      <c r="Y200" s="60"/>
      <c r="Z200" s="60"/>
      <c r="AA200" s="60"/>
      <c r="AB200" s="60"/>
      <c r="AC200" s="60"/>
      <c r="AD200" s="60"/>
      <c r="AE200" s="60"/>
      <c r="AF200" s="60"/>
    </row>
    <row r="201" spans="1:32" s="96" customFormat="1" ht="38.25">
      <c r="A201" s="105"/>
      <c r="B201" s="616">
        <f t="shared" si="9"/>
        <v>91</v>
      </c>
      <c r="C201" s="645" t="s">
        <v>637</v>
      </c>
      <c r="D201" s="765" t="s">
        <v>2001</v>
      </c>
      <c r="E201" s="596" t="s">
        <v>1930</v>
      </c>
      <c r="F201" s="643">
        <v>5</v>
      </c>
      <c r="G201" s="763">
        <v>2040</v>
      </c>
      <c r="H201" s="762">
        <f t="shared" si="8"/>
        <v>10200</v>
      </c>
      <c r="I201" s="309"/>
      <c r="J201" s="308"/>
      <c r="K201" s="60"/>
      <c r="L201" s="60"/>
      <c r="M201" s="60"/>
      <c r="N201" s="60"/>
      <c r="O201" s="60"/>
      <c r="P201" s="60"/>
      <c r="Q201" s="60"/>
      <c r="R201" s="60"/>
      <c r="S201" s="60"/>
      <c r="T201" s="60"/>
      <c r="U201" s="60"/>
      <c r="V201" s="60"/>
      <c r="W201" s="60"/>
      <c r="X201" s="60"/>
      <c r="Y201" s="60"/>
      <c r="Z201" s="60"/>
      <c r="AA201" s="60"/>
      <c r="AB201" s="60"/>
      <c r="AC201" s="60"/>
      <c r="AD201" s="60"/>
      <c r="AE201" s="60"/>
      <c r="AF201" s="60"/>
    </row>
    <row r="202" spans="1:32" s="96" customFormat="1" ht="267.75">
      <c r="A202" s="105"/>
      <c r="B202" s="616">
        <f t="shared" si="9"/>
        <v>92</v>
      </c>
      <c r="C202" s="604" t="s">
        <v>2002</v>
      </c>
      <c r="D202" s="596" t="s">
        <v>2003</v>
      </c>
      <c r="E202" s="596" t="s">
        <v>1930</v>
      </c>
      <c r="F202" s="643">
        <v>2</v>
      </c>
      <c r="G202" s="763">
        <v>1400</v>
      </c>
      <c r="H202" s="762">
        <f t="shared" si="8"/>
        <v>2800</v>
      </c>
      <c r="I202" s="309"/>
      <c r="J202" s="308"/>
      <c r="K202" s="60"/>
      <c r="L202" s="60"/>
      <c r="M202" s="60"/>
      <c r="N202" s="60"/>
      <c r="O202" s="60"/>
      <c r="P202" s="60"/>
      <c r="Q202" s="60"/>
      <c r="R202" s="60"/>
      <c r="S202" s="60"/>
      <c r="T202" s="60"/>
      <c r="U202" s="60"/>
      <c r="V202" s="60"/>
      <c r="W202" s="60"/>
      <c r="X202" s="60"/>
      <c r="Y202" s="60"/>
      <c r="Z202" s="60"/>
      <c r="AA202" s="60"/>
      <c r="AB202" s="60"/>
      <c r="AC202" s="60"/>
      <c r="AD202" s="60"/>
      <c r="AE202" s="60"/>
      <c r="AF202" s="60"/>
    </row>
    <row r="203" spans="1:32" s="96" customFormat="1" ht="51">
      <c r="A203" s="105"/>
      <c r="B203" s="616">
        <f t="shared" si="9"/>
        <v>93</v>
      </c>
      <c r="C203" s="604" t="s">
        <v>638</v>
      </c>
      <c r="D203" s="596" t="s">
        <v>669</v>
      </c>
      <c r="E203" s="596" t="s">
        <v>1930</v>
      </c>
      <c r="F203" s="643">
        <v>1</v>
      </c>
      <c r="G203" s="763">
        <v>3900</v>
      </c>
      <c r="H203" s="762">
        <f t="shared" si="8"/>
        <v>3900</v>
      </c>
      <c r="I203" s="309"/>
      <c r="J203" s="308"/>
      <c r="K203" s="60"/>
      <c r="L203" s="60"/>
      <c r="M203" s="60"/>
      <c r="N203" s="60"/>
      <c r="O203" s="60"/>
      <c r="P203" s="60"/>
      <c r="Q203" s="60"/>
      <c r="R203" s="60"/>
      <c r="S203" s="60"/>
      <c r="T203" s="60"/>
      <c r="U203" s="60"/>
      <c r="V203" s="60"/>
      <c r="W203" s="60"/>
      <c r="X203" s="60"/>
      <c r="Y203" s="60"/>
      <c r="Z203" s="60"/>
      <c r="AA203" s="60"/>
      <c r="AB203" s="60"/>
      <c r="AC203" s="60"/>
      <c r="AD203" s="60"/>
      <c r="AE203" s="60"/>
      <c r="AF203" s="60"/>
    </row>
    <row r="204" spans="1:32" s="96" customFormat="1" ht="140.25">
      <c r="A204" s="105"/>
      <c r="B204" s="616">
        <f t="shared" si="9"/>
        <v>94</v>
      </c>
      <c r="C204" s="604" t="s">
        <v>2004</v>
      </c>
      <c r="D204" s="39" t="s">
        <v>2005</v>
      </c>
      <c r="E204" s="596" t="s">
        <v>1930</v>
      </c>
      <c r="F204" s="643">
        <v>1</v>
      </c>
      <c r="G204" s="763">
        <v>4100</v>
      </c>
      <c r="H204" s="762">
        <f t="shared" si="8"/>
        <v>4100</v>
      </c>
      <c r="I204" s="309"/>
      <c r="J204" s="308"/>
      <c r="K204" s="60"/>
      <c r="L204" s="60"/>
      <c r="M204" s="60"/>
      <c r="N204" s="60"/>
      <c r="O204" s="60"/>
      <c r="P204" s="60"/>
      <c r="Q204" s="60"/>
      <c r="R204" s="60"/>
      <c r="S204" s="60"/>
      <c r="T204" s="60"/>
      <c r="U204" s="60"/>
      <c r="V204" s="60"/>
      <c r="W204" s="60"/>
      <c r="X204" s="60"/>
      <c r="Y204" s="60"/>
      <c r="Z204" s="60"/>
      <c r="AA204" s="60"/>
      <c r="AB204" s="60"/>
      <c r="AC204" s="60"/>
      <c r="AD204" s="60"/>
      <c r="AE204" s="60"/>
      <c r="AF204" s="60"/>
    </row>
    <row r="205" spans="1:32" s="96" customFormat="1" ht="153">
      <c r="A205" s="105"/>
      <c r="B205" s="616">
        <f t="shared" si="9"/>
        <v>95</v>
      </c>
      <c r="C205" s="604" t="s">
        <v>2006</v>
      </c>
      <c r="D205" s="596" t="s">
        <v>2007</v>
      </c>
      <c r="E205" s="596" t="s">
        <v>1930</v>
      </c>
      <c r="F205" s="643">
        <v>1</v>
      </c>
      <c r="G205" s="763">
        <v>1100</v>
      </c>
      <c r="H205" s="762">
        <f t="shared" si="8"/>
        <v>1100</v>
      </c>
      <c r="I205" s="309"/>
      <c r="J205" s="308"/>
      <c r="K205" s="60"/>
      <c r="L205" s="60"/>
      <c r="M205" s="60"/>
      <c r="N205" s="60"/>
      <c r="O205" s="60"/>
      <c r="P205" s="60"/>
      <c r="Q205" s="60"/>
      <c r="R205" s="60"/>
      <c r="S205" s="60"/>
      <c r="T205" s="60"/>
      <c r="U205" s="60"/>
      <c r="V205" s="60"/>
      <c r="W205" s="60"/>
      <c r="X205" s="60"/>
      <c r="Y205" s="60"/>
      <c r="Z205" s="60"/>
      <c r="AA205" s="60"/>
      <c r="AB205" s="60"/>
      <c r="AC205" s="60"/>
      <c r="AD205" s="60"/>
      <c r="AE205" s="60"/>
      <c r="AF205" s="60"/>
    </row>
    <row r="206" spans="1:32" s="96" customFormat="1" ht="51">
      <c r="A206" s="105"/>
      <c r="B206" s="616">
        <f t="shared" si="9"/>
        <v>96</v>
      </c>
      <c r="C206" s="604" t="s">
        <v>2008</v>
      </c>
      <c r="D206" s="596" t="s">
        <v>2009</v>
      </c>
      <c r="E206" s="596" t="s">
        <v>1930</v>
      </c>
      <c r="F206" s="643">
        <v>1</v>
      </c>
      <c r="G206" s="763">
        <v>8300</v>
      </c>
      <c r="H206" s="762">
        <f t="shared" si="8"/>
        <v>8300</v>
      </c>
      <c r="I206" s="309"/>
      <c r="J206" s="308"/>
      <c r="K206" s="60"/>
      <c r="L206" s="60"/>
      <c r="M206" s="60"/>
      <c r="N206" s="60"/>
      <c r="O206" s="60"/>
      <c r="P206" s="60"/>
      <c r="Q206" s="60"/>
      <c r="R206" s="60"/>
      <c r="S206" s="60"/>
      <c r="T206" s="60"/>
      <c r="U206" s="60"/>
      <c r="V206" s="60"/>
      <c r="W206" s="60"/>
      <c r="X206" s="60"/>
      <c r="Y206" s="60"/>
      <c r="Z206" s="60"/>
      <c r="AA206" s="60"/>
      <c r="AB206" s="60"/>
      <c r="AC206" s="60"/>
      <c r="AD206" s="60"/>
      <c r="AE206" s="60"/>
      <c r="AF206" s="60"/>
    </row>
    <row r="207" spans="1:32" s="96" customFormat="1" ht="63.75">
      <c r="A207" s="105"/>
      <c r="B207" s="616">
        <f t="shared" si="9"/>
        <v>97</v>
      </c>
      <c r="C207" s="604" t="s">
        <v>2010</v>
      </c>
      <c r="D207" s="596" t="s">
        <v>2011</v>
      </c>
      <c r="E207" s="596" t="s">
        <v>1930</v>
      </c>
      <c r="F207" s="643">
        <v>3</v>
      </c>
      <c r="G207" s="763">
        <v>1800</v>
      </c>
      <c r="H207" s="762">
        <f t="shared" si="8"/>
        <v>5400</v>
      </c>
      <c r="I207" s="309"/>
      <c r="J207" s="308"/>
      <c r="K207" s="60"/>
      <c r="L207" s="60"/>
      <c r="M207" s="60"/>
      <c r="N207" s="60"/>
      <c r="O207" s="60"/>
      <c r="P207" s="60"/>
      <c r="Q207" s="60"/>
      <c r="R207" s="60"/>
      <c r="S207" s="60"/>
      <c r="T207" s="60"/>
      <c r="U207" s="60"/>
      <c r="V207" s="60"/>
      <c r="W207" s="60"/>
      <c r="X207" s="60"/>
      <c r="Y207" s="60"/>
      <c r="Z207" s="60"/>
      <c r="AA207" s="60"/>
      <c r="AB207" s="60"/>
      <c r="AC207" s="60"/>
      <c r="AD207" s="60"/>
      <c r="AE207" s="60"/>
      <c r="AF207" s="60"/>
    </row>
    <row r="208" spans="1:32" s="96" customFormat="1" ht="51">
      <c r="A208" s="105"/>
      <c r="B208" s="616">
        <f t="shared" si="9"/>
        <v>98</v>
      </c>
      <c r="C208" s="604" t="s">
        <v>2012</v>
      </c>
      <c r="D208" s="596" t="s">
        <v>2013</v>
      </c>
      <c r="E208" s="596" t="s">
        <v>1930</v>
      </c>
      <c r="F208" s="643">
        <v>3</v>
      </c>
      <c r="G208" s="763">
        <v>1400</v>
      </c>
      <c r="H208" s="762">
        <f t="shared" si="8"/>
        <v>4200</v>
      </c>
      <c r="I208" s="309"/>
      <c r="J208" s="308"/>
      <c r="K208" s="60"/>
      <c r="L208" s="60"/>
      <c r="M208" s="60"/>
      <c r="N208" s="60"/>
      <c r="O208" s="60"/>
      <c r="P208" s="60"/>
      <c r="Q208" s="60"/>
      <c r="R208" s="60"/>
      <c r="S208" s="60"/>
      <c r="T208" s="60"/>
      <c r="U208" s="60"/>
      <c r="V208" s="60"/>
      <c r="W208" s="60"/>
      <c r="X208" s="60"/>
      <c r="Y208" s="60"/>
      <c r="Z208" s="60"/>
      <c r="AA208" s="60"/>
      <c r="AB208" s="60"/>
      <c r="AC208" s="60"/>
      <c r="AD208" s="60"/>
      <c r="AE208" s="60"/>
      <c r="AF208" s="60"/>
    </row>
    <row r="209" spans="1:32" s="96" customFormat="1" ht="63.75">
      <c r="A209" s="105"/>
      <c r="B209" s="616">
        <f t="shared" si="9"/>
        <v>99</v>
      </c>
      <c r="C209" s="604" t="s">
        <v>2014</v>
      </c>
      <c r="D209" s="596" t="s">
        <v>2015</v>
      </c>
      <c r="E209" s="596" t="s">
        <v>1930</v>
      </c>
      <c r="F209" s="643">
        <v>3</v>
      </c>
      <c r="G209" s="763">
        <v>1400</v>
      </c>
      <c r="H209" s="762">
        <f t="shared" si="8"/>
        <v>4200</v>
      </c>
      <c r="I209" s="309"/>
      <c r="J209" s="308"/>
      <c r="K209" s="60"/>
      <c r="L209" s="60"/>
      <c r="M209" s="60"/>
      <c r="N209" s="60"/>
      <c r="O209" s="60"/>
      <c r="P209" s="60"/>
      <c r="Q209" s="60"/>
      <c r="R209" s="60"/>
      <c r="S209" s="60"/>
      <c r="T209" s="60"/>
      <c r="U209" s="60"/>
      <c r="V209" s="60"/>
      <c r="W209" s="60"/>
      <c r="X209" s="60"/>
      <c r="Y209" s="60"/>
      <c r="Z209" s="60"/>
      <c r="AA209" s="60"/>
      <c r="AB209" s="60"/>
      <c r="AC209" s="60"/>
      <c r="AD209" s="60"/>
      <c r="AE209" s="60"/>
      <c r="AF209" s="60"/>
    </row>
    <row r="210" spans="1:32" s="96" customFormat="1" ht="38.25">
      <c r="A210" s="105"/>
      <c r="B210" s="616">
        <f t="shared" si="9"/>
        <v>100</v>
      </c>
      <c r="C210" s="604" t="s">
        <v>639</v>
      </c>
      <c r="D210" s="596" t="s">
        <v>670</v>
      </c>
      <c r="E210" s="596" t="s">
        <v>1930</v>
      </c>
      <c r="F210" s="643">
        <v>1</v>
      </c>
      <c r="G210" s="763">
        <v>18300</v>
      </c>
      <c r="H210" s="762">
        <f t="shared" si="8"/>
        <v>18300</v>
      </c>
      <c r="I210" s="309"/>
      <c r="J210" s="308"/>
      <c r="K210" s="60"/>
      <c r="L210" s="60"/>
      <c r="M210" s="60"/>
      <c r="N210" s="60"/>
      <c r="O210" s="60"/>
      <c r="P210" s="60"/>
      <c r="Q210" s="60"/>
      <c r="R210" s="60"/>
      <c r="S210" s="60"/>
      <c r="T210" s="60"/>
      <c r="U210" s="60"/>
      <c r="V210" s="60"/>
      <c r="W210" s="60"/>
      <c r="X210" s="60"/>
      <c r="Y210" s="60"/>
      <c r="Z210" s="60"/>
      <c r="AA210" s="60"/>
      <c r="AB210" s="60"/>
      <c r="AC210" s="60"/>
      <c r="AD210" s="60"/>
      <c r="AE210" s="60"/>
      <c r="AF210" s="60"/>
    </row>
    <row r="211" spans="1:32" s="96" customFormat="1" ht="25.5">
      <c r="A211" s="105"/>
      <c r="B211" s="616">
        <f t="shared" si="9"/>
        <v>101</v>
      </c>
      <c r="C211" s="604" t="s">
        <v>2016</v>
      </c>
      <c r="D211" s="596" t="s">
        <v>2017</v>
      </c>
      <c r="E211" s="596" t="s">
        <v>1930</v>
      </c>
      <c r="F211" s="643">
        <v>5</v>
      </c>
      <c r="G211" s="766">
        <v>572</v>
      </c>
      <c r="H211" s="762">
        <f t="shared" si="8"/>
        <v>2860</v>
      </c>
      <c r="I211" s="309"/>
      <c r="J211" s="308"/>
      <c r="K211" s="60"/>
      <c r="L211" s="60"/>
      <c r="M211" s="60"/>
      <c r="N211" s="60"/>
      <c r="O211" s="60"/>
      <c r="P211" s="60"/>
      <c r="Q211" s="60"/>
      <c r="R211" s="60"/>
      <c r="S211" s="60"/>
      <c r="T211" s="60"/>
      <c r="U211" s="60"/>
      <c r="V211" s="60"/>
      <c r="W211" s="60"/>
      <c r="X211" s="60"/>
      <c r="Y211" s="60"/>
      <c r="Z211" s="60"/>
      <c r="AA211" s="60"/>
      <c r="AB211" s="60"/>
      <c r="AC211" s="60"/>
      <c r="AD211" s="60"/>
      <c r="AE211" s="60"/>
      <c r="AF211" s="60"/>
    </row>
    <row r="212" spans="1:32" s="96" customFormat="1" ht="76.5">
      <c r="A212" s="105"/>
      <c r="B212" s="616">
        <f t="shared" si="9"/>
        <v>102</v>
      </c>
      <c r="C212" s="604" t="s">
        <v>2018</v>
      </c>
      <c r="D212" s="769" t="s">
        <v>2019</v>
      </c>
      <c r="E212" s="596" t="s">
        <v>1930</v>
      </c>
      <c r="F212" s="643">
        <v>3</v>
      </c>
      <c r="G212" s="763">
        <v>1100</v>
      </c>
      <c r="H212" s="762">
        <f t="shared" si="8"/>
        <v>3300</v>
      </c>
      <c r="I212" s="309"/>
      <c r="J212" s="308"/>
      <c r="K212" s="60"/>
      <c r="L212" s="60"/>
      <c r="M212" s="60"/>
      <c r="N212" s="60"/>
      <c r="O212" s="60"/>
      <c r="P212" s="60"/>
      <c r="Q212" s="60"/>
      <c r="R212" s="60"/>
      <c r="S212" s="60"/>
      <c r="T212" s="60"/>
      <c r="U212" s="60"/>
      <c r="V212" s="60"/>
      <c r="W212" s="60"/>
      <c r="X212" s="60"/>
      <c r="Y212" s="60"/>
      <c r="Z212" s="60"/>
      <c r="AA212" s="60"/>
      <c r="AB212" s="60"/>
      <c r="AC212" s="60"/>
      <c r="AD212" s="60"/>
      <c r="AE212" s="60"/>
      <c r="AF212" s="60"/>
    </row>
    <row r="213" spans="1:32" s="96" customFormat="1" ht="25.5">
      <c r="A213" s="105"/>
      <c r="B213" s="616">
        <f t="shared" si="9"/>
        <v>103</v>
      </c>
      <c r="C213" s="604" t="s">
        <v>332</v>
      </c>
      <c r="D213" s="596" t="s">
        <v>572</v>
      </c>
      <c r="E213" s="596" t="s">
        <v>1930</v>
      </c>
      <c r="F213" s="643">
        <v>2</v>
      </c>
      <c r="G213" s="766">
        <v>275</v>
      </c>
      <c r="H213" s="762">
        <f t="shared" si="8"/>
        <v>550</v>
      </c>
      <c r="I213" s="309"/>
      <c r="J213" s="308"/>
      <c r="K213" s="60"/>
      <c r="L213" s="60"/>
      <c r="M213" s="60"/>
      <c r="N213" s="60"/>
      <c r="O213" s="60"/>
      <c r="P213" s="60"/>
      <c r="Q213" s="60"/>
      <c r="R213" s="60"/>
      <c r="S213" s="60"/>
      <c r="T213" s="60"/>
      <c r="U213" s="60"/>
      <c r="V213" s="60"/>
      <c r="W213" s="60"/>
      <c r="X213" s="60"/>
      <c r="Y213" s="60"/>
      <c r="Z213" s="60"/>
      <c r="AA213" s="60"/>
      <c r="AB213" s="60"/>
      <c r="AC213" s="60"/>
      <c r="AD213" s="60"/>
      <c r="AE213" s="60"/>
      <c r="AF213" s="60"/>
    </row>
    <row r="214" spans="1:32" s="96" customFormat="1" ht="178.5">
      <c r="A214" s="105"/>
      <c r="B214" s="616">
        <f t="shared" si="9"/>
        <v>104</v>
      </c>
      <c r="C214" s="604" t="s">
        <v>333</v>
      </c>
      <c r="D214" s="596" t="s">
        <v>573</v>
      </c>
      <c r="E214" s="596" t="s">
        <v>1930</v>
      </c>
      <c r="F214" s="643">
        <v>5</v>
      </c>
      <c r="G214" s="763">
        <v>2300</v>
      </c>
      <c r="H214" s="762">
        <f t="shared" si="8"/>
        <v>11500</v>
      </c>
      <c r="I214" s="309"/>
      <c r="J214" s="308"/>
      <c r="K214" s="60"/>
      <c r="L214" s="60"/>
      <c r="M214" s="60"/>
      <c r="N214" s="60"/>
      <c r="O214" s="60"/>
      <c r="P214" s="60"/>
      <c r="Q214" s="60"/>
      <c r="R214" s="60"/>
      <c r="S214" s="60"/>
      <c r="T214" s="60"/>
      <c r="U214" s="60"/>
      <c r="V214" s="60"/>
      <c r="W214" s="60"/>
      <c r="X214" s="60"/>
      <c r="Y214" s="60"/>
      <c r="Z214" s="60"/>
      <c r="AA214" s="60"/>
      <c r="AB214" s="60"/>
      <c r="AC214" s="60"/>
      <c r="AD214" s="60"/>
      <c r="AE214" s="60"/>
      <c r="AF214" s="60"/>
    </row>
    <row r="215" spans="1:32" s="96" customFormat="1" ht="178.5">
      <c r="A215" s="105"/>
      <c r="B215" s="616">
        <f t="shared" si="9"/>
        <v>105</v>
      </c>
      <c r="C215" s="604" t="s">
        <v>334</v>
      </c>
      <c r="D215" s="596" t="s">
        <v>573</v>
      </c>
      <c r="E215" s="596" t="s">
        <v>1930</v>
      </c>
      <c r="F215" s="643">
        <v>2</v>
      </c>
      <c r="G215" s="763">
        <v>2650</v>
      </c>
      <c r="H215" s="762">
        <f t="shared" si="8"/>
        <v>5300</v>
      </c>
      <c r="I215" s="309"/>
      <c r="J215" s="308"/>
      <c r="K215" s="60"/>
      <c r="L215" s="60"/>
      <c r="M215" s="60"/>
      <c r="N215" s="60"/>
      <c r="O215" s="60"/>
      <c r="P215" s="60"/>
      <c r="Q215" s="60"/>
      <c r="R215" s="60"/>
      <c r="S215" s="60"/>
      <c r="T215" s="60"/>
      <c r="U215" s="60"/>
      <c r="V215" s="60"/>
      <c r="W215" s="60"/>
      <c r="X215" s="60"/>
      <c r="Y215" s="60"/>
      <c r="Z215" s="60"/>
      <c r="AA215" s="60"/>
      <c r="AB215" s="60"/>
      <c r="AC215" s="60"/>
      <c r="AD215" s="60"/>
      <c r="AE215" s="60"/>
      <c r="AF215" s="60"/>
    </row>
    <row r="216" spans="1:32" s="96" customFormat="1" ht="178.5">
      <c r="A216" s="105"/>
      <c r="B216" s="616">
        <f t="shared" si="9"/>
        <v>106</v>
      </c>
      <c r="C216" s="604" t="s">
        <v>2020</v>
      </c>
      <c r="D216" s="596" t="s">
        <v>573</v>
      </c>
      <c r="E216" s="596" t="s">
        <v>1930</v>
      </c>
      <c r="F216" s="643">
        <v>2</v>
      </c>
      <c r="G216" s="763">
        <v>2650</v>
      </c>
      <c r="H216" s="762">
        <f t="shared" si="8"/>
        <v>5300</v>
      </c>
      <c r="I216" s="309"/>
      <c r="J216" s="308"/>
      <c r="K216" s="60"/>
      <c r="L216" s="60"/>
      <c r="M216" s="60"/>
      <c r="N216" s="60"/>
      <c r="O216" s="60"/>
      <c r="P216" s="60"/>
      <c r="Q216" s="60"/>
      <c r="R216" s="60"/>
      <c r="S216" s="60"/>
      <c r="T216" s="60"/>
      <c r="U216" s="60"/>
      <c r="V216" s="60"/>
      <c r="W216" s="60"/>
      <c r="X216" s="60"/>
      <c r="Y216" s="60"/>
      <c r="Z216" s="60"/>
      <c r="AA216" s="60"/>
      <c r="AB216" s="60"/>
      <c r="AC216" s="60"/>
      <c r="AD216" s="60"/>
      <c r="AE216" s="60"/>
      <c r="AF216" s="60"/>
    </row>
    <row r="217" spans="1:32" s="96" customFormat="1" ht="15">
      <c r="A217" s="105"/>
      <c r="B217" s="616">
        <f t="shared" si="9"/>
        <v>107</v>
      </c>
      <c r="C217" s="604" t="s">
        <v>2021</v>
      </c>
      <c r="D217" s="596" t="s">
        <v>2022</v>
      </c>
      <c r="E217" s="596" t="s">
        <v>1930</v>
      </c>
      <c r="F217" s="643">
        <v>3</v>
      </c>
      <c r="G217" s="763">
        <v>1350</v>
      </c>
      <c r="H217" s="762">
        <f t="shared" si="8"/>
        <v>4050</v>
      </c>
      <c r="I217" s="309"/>
      <c r="J217" s="308"/>
      <c r="K217" s="60"/>
      <c r="L217" s="60"/>
      <c r="M217" s="60"/>
      <c r="N217" s="60"/>
      <c r="O217" s="60"/>
      <c r="P217" s="60"/>
      <c r="Q217" s="60"/>
      <c r="R217" s="60"/>
      <c r="S217" s="60"/>
      <c r="T217" s="60"/>
      <c r="U217" s="60"/>
      <c r="V217" s="60"/>
      <c r="W217" s="60"/>
      <c r="X217" s="60"/>
      <c r="Y217" s="60"/>
      <c r="Z217" s="60"/>
      <c r="AA217" s="60"/>
      <c r="AB217" s="60"/>
      <c r="AC217" s="60"/>
      <c r="AD217" s="60"/>
      <c r="AE217" s="60"/>
      <c r="AF217" s="60"/>
    </row>
    <row r="218" spans="1:32" s="96" customFormat="1" ht="51">
      <c r="A218" s="105"/>
      <c r="B218" s="616">
        <f t="shared" si="9"/>
        <v>108</v>
      </c>
      <c r="C218" s="604" t="s">
        <v>335</v>
      </c>
      <c r="D218" s="596" t="s">
        <v>574</v>
      </c>
      <c r="E218" s="596" t="s">
        <v>1930</v>
      </c>
      <c r="F218" s="643">
        <v>1</v>
      </c>
      <c r="G218" s="763">
        <v>37100</v>
      </c>
      <c r="H218" s="762">
        <f t="shared" si="8"/>
        <v>37100</v>
      </c>
      <c r="I218" s="309"/>
      <c r="J218" s="308"/>
      <c r="K218" s="60"/>
      <c r="L218" s="60"/>
      <c r="M218" s="60"/>
      <c r="N218" s="60"/>
      <c r="O218" s="60"/>
      <c r="P218" s="60"/>
      <c r="Q218" s="60"/>
      <c r="R218" s="60"/>
      <c r="S218" s="60"/>
      <c r="T218" s="60"/>
      <c r="U218" s="60"/>
      <c r="V218" s="60"/>
      <c r="W218" s="60"/>
      <c r="X218" s="60"/>
      <c r="Y218" s="60"/>
      <c r="Z218" s="60"/>
      <c r="AA218" s="60"/>
      <c r="AB218" s="60"/>
      <c r="AC218" s="60"/>
      <c r="AD218" s="60"/>
      <c r="AE218" s="60"/>
      <c r="AF218" s="60"/>
    </row>
    <row r="219" spans="1:32" s="96" customFormat="1" ht="15">
      <c r="A219" s="105"/>
      <c r="B219" s="616">
        <f t="shared" si="9"/>
        <v>109</v>
      </c>
      <c r="C219" s="604" t="s">
        <v>2023</v>
      </c>
      <c r="D219" s="596" t="s">
        <v>2024</v>
      </c>
      <c r="E219" s="596" t="s">
        <v>1930</v>
      </c>
      <c r="F219" s="643">
        <v>2</v>
      </c>
      <c r="G219" s="763">
        <v>2850</v>
      </c>
      <c r="H219" s="762">
        <f t="shared" si="8"/>
        <v>5700</v>
      </c>
      <c r="I219" s="309"/>
      <c r="J219" s="308"/>
      <c r="K219" s="60"/>
      <c r="L219" s="60"/>
      <c r="M219" s="60"/>
      <c r="N219" s="60"/>
      <c r="O219" s="60"/>
      <c r="P219" s="60"/>
      <c r="Q219" s="60"/>
      <c r="R219" s="60"/>
      <c r="S219" s="60"/>
      <c r="T219" s="60"/>
      <c r="U219" s="60"/>
      <c r="V219" s="60"/>
      <c r="W219" s="60"/>
      <c r="X219" s="60"/>
      <c r="Y219" s="60"/>
      <c r="Z219" s="60"/>
      <c r="AA219" s="60"/>
      <c r="AB219" s="60"/>
      <c r="AC219" s="60"/>
      <c r="AD219" s="60"/>
      <c r="AE219" s="60"/>
      <c r="AF219" s="60"/>
    </row>
    <row r="220" spans="1:32" s="96" customFormat="1" ht="38.25">
      <c r="A220" s="105"/>
      <c r="B220" s="616">
        <f t="shared" si="9"/>
        <v>110</v>
      </c>
      <c r="C220" s="604" t="s">
        <v>2025</v>
      </c>
      <c r="D220" s="596" t="s">
        <v>2026</v>
      </c>
      <c r="E220" s="596" t="s">
        <v>302</v>
      </c>
      <c r="F220" s="643">
        <v>2</v>
      </c>
      <c r="G220" s="763">
        <v>2035</v>
      </c>
      <c r="H220" s="762">
        <f t="shared" si="8"/>
        <v>4070</v>
      </c>
      <c r="I220" s="309"/>
      <c r="J220" s="308"/>
      <c r="K220" s="60"/>
      <c r="L220" s="60"/>
      <c r="M220" s="60"/>
      <c r="N220" s="60"/>
      <c r="O220" s="60"/>
      <c r="P220" s="60"/>
      <c r="Q220" s="60"/>
      <c r="R220" s="60"/>
      <c r="S220" s="60"/>
      <c r="T220" s="60"/>
      <c r="U220" s="60"/>
      <c r="V220" s="60"/>
      <c r="W220" s="60"/>
      <c r="X220" s="60"/>
      <c r="Y220" s="60"/>
      <c r="Z220" s="60"/>
      <c r="AA220" s="60"/>
      <c r="AB220" s="60"/>
      <c r="AC220" s="60"/>
      <c r="AD220" s="60"/>
      <c r="AE220" s="60"/>
      <c r="AF220" s="60"/>
    </row>
    <row r="221" spans="1:32" s="96" customFormat="1" ht="38.25">
      <c r="A221" s="105"/>
      <c r="B221" s="616">
        <f t="shared" si="9"/>
        <v>111</v>
      </c>
      <c r="C221" s="604" t="s">
        <v>338</v>
      </c>
      <c r="D221" s="596" t="s">
        <v>673</v>
      </c>
      <c r="E221" s="596" t="s">
        <v>1930</v>
      </c>
      <c r="F221" s="643">
        <v>50</v>
      </c>
      <c r="G221" s="766">
        <v>715</v>
      </c>
      <c r="H221" s="762">
        <f t="shared" si="8"/>
        <v>35750</v>
      </c>
      <c r="I221" s="309"/>
      <c r="J221" s="308"/>
      <c r="K221" s="60"/>
      <c r="L221" s="60"/>
      <c r="M221" s="60"/>
      <c r="N221" s="60"/>
      <c r="O221" s="60"/>
      <c r="P221" s="60"/>
      <c r="Q221" s="60"/>
      <c r="R221" s="60"/>
      <c r="S221" s="60"/>
      <c r="T221" s="60"/>
      <c r="U221" s="60"/>
      <c r="V221" s="60"/>
      <c r="W221" s="60"/>
      <c r="X221" s="60"/>
      <c r="Y221" s="60"/>
      <c r="Z221" s="60"/>
      <c r="AA221" s="60"/>
      <c r="AB221" s="60"/>
      <c r="AC221" s="60"/>
      <c r="AD221" s="60"/>
      <c r="AE221" s="60"/>
      <c r="AF221" s="60"/>
    </row>
    <row r="222" spans="1:32" s="96" customFormat="1" ht="25.5">
      <c r="A222" s="105"/>
      <c r="B222" s="616">
        <f t="shared" si="9"/>
        <v>112</v>
      </c>
      <c r="C222" s="604" t="s">
        <v>2027</v>
      </c>
      <c r="D222" s="596" t="s">
        <v>2028</v>
      </c>
      <c r="E222" s="596" t="s">
        <v>1930</v>
      </c>
      <c r="F222" s="643">
        <v>25</v>
      </c>
      <c r="G222" s="766">
        <v>550</v>
      </c>
      <c r="H222" s="762">
        <f t="shared" si="8"/>
        <v>13750</v>
      </c>
      <c r="I222" s="309"/>
      <c r="J222" s="308"/>
      <c r="K222" s="60"/>
      <c r="L222" s="60"/>
      <c r="M222" s="60"/>
      <c r="N222" s="60"/>
      <c r="O222" s="60"/>
      <c r="P222" s="60"/>
      <c r="Q222" s="60"/>
      <c r="R222" s="60"/>
      <c r="S222" s="60"/>
      <c r="T222" s="60"/>
      <c r="U222" s="60"/>
      <c r="V222" s="60"/>
      <c r="W222" s="60"/>
      <c r="X222" s="60"/>
      <c r="Y222" s="60"/>
      <c r="Z222" s="60"/>
      <c r="AA222" s="60"/>
      <c r="AB222" s="60"/>
      <c r="AC222" s="60"/>
      <c r="AD222" s="60"/>
      <c r="AE222" s="60"/>
      <c r="AF222" s="60"/>
    </row>
    <row r="223" spans="1:32" s="96" customFormat="1" ht="38.25">
      <c r="A223" s="105"/>
      <c r="B223" s="616">
        <f t="shared" si="9"/>
        <v>113</v>
      </c>
      <c r="C223" s="604" t="s">
        <v>2029</v>
      </c>
      <c r="D223" s="765" t="s">
        <v>2030</v>
      </c>
      <c r="E223" s="596" t="s">
        <v>1930</v>
      </c>
      <c r="F223" s="643">
        <v>20</v>
      </c>
      <c r="G223" s="766">
        <v>176</v>
      </c>
      <c r="H223" s="762">
        <f t="shared" si="8"/>
        <v>3520</v>
      </c>
      <c r="I223" s="309"/>
      <c r="J223" s="308"/>
      <c r="K223" s="60"/>
      <c r="L223" s="60"/>
      <c r="M223" s="60"/>
      <c r="N223" s="60"/>
      <c r="O223" s="60"/>
      <c r="P223" s="60"/>
      <c r="Q223" s="60"/>
      <c r="R223" s="60"/>
      <c r="S223" s="60"/>
      <c r="T223" s="60"/>
      <c r="U223" s="60"/>
      <c r="V223" s="60"/>
      <c r="W223" s="60"/>
      <c r="X223" s="60"/>
      <c r="Y223" s="60"/>
      <c r="Z223" s="60"/>
      <c r="AA223" s="60"/>
      <c r="AB223" s="60"/>
      <c r="AC223" s="60"/>
      <c r="AD223" s="60"/>
      <c r="AE223" s="60"/>
      <c r="AF223" s="60"/>
    </row>
    <row r="224" spans="1:32" s="96" customFormat="1" ht="76.5">
      <c r="A224" s="105"/>
      <c r="B224" s="616">
        <f t="shared" si="9"/>
        <v>114</v>
      </c>
      <c r="C224" s="604" t="s">
        <v>2031</v>
      </c>
      <c r="D224" s="596" t="s">
        <v>2032</v>
      </c>
      <c r="E224" s="596" t="s">
        <v>1930</v>
      </c>
      <c r="F224" s="643">
        <v>4</v>
      </c>
      <c r="G224" s="763">
        <v>3300</v>
      </c>
      <c r="H224" s="762">
        <f t="shared" si="8"/>
        <v>13200</v>
      </c>
      <c r="I224" s="309"/>
      <c r="J224" s="308"/>
      <c r="K224" s="60"/>
      <c r="L224" s="60"/>
      <c r="M224" s="60"/>
      <c r="N224" s="60"/>
      <c r="O224" s="60"/>
      <c r="P224" s="60"/>
      <c r="Q224" s="60"/>
      <c r="R224" s="60"/>
      <c r="S224" s="60"/>
      <c r="T224" s="60"/>
      <c r="U224" s="60"/>
      <c r="V224" s="60"/>
      <c r="W224" s="60"/>
      <c r="X224" s="60"/>
      <c r="Y224" s="60"/>
      <c r="Z224" s="60"/>
      <c r="AA224" s="60"/>
      <c r="AB224" s="60"/>
      <c r="AC224" s="60"/>
      <c r="AD224" s="60"/>
      <c r="AE224" s="60"/>
      <c r="AF224" s="60"/>
    </row>
    <row r="225" spans="1:32" s="96" customFormat="1" ht="25.5">
      <c r="A225" s="105"/>
      <c r="B225" s="616">
        <f t="shared" si="9"/>
        <v>115</v>
      </c>
      <c r="C225" s="604" t="s">
        <v>339</v>
      </c>
      <c r="D225" s="596" t="s">
        <v>2033</v>
      </c>
      <c r="E225" s="596" t="s">
        <v>295</v>
      </c>
      <c r="F225" s="643">
        <v>10</v>
      </c>
      <c r="G225" s="763">
        <v>3090</v>
      </c>
      <c r="H225" s="762">
        <f t="shared" si="8"/>
        <v>30900</v>
      </c>
      <c r="I225" s="309"/>
      <c r="J225" s="308"/>
      <c r="K225" s="60"/>
      <c r="L225" s="60"/>
      <c r="M225" s="60"/>
      <c r="N225" s="60"/>
      <c r="O225" s="60"/>
      <c r="P225" s="60"/>
      <c r="Q225" s="60"/>
      <c r="R225" s="60"/>
      <c r="S225" s="60"/>
      <c r="T225" s="60"/>
      <c r="U225" s="60"/>
      <c r="V225" s="60"/>
      <c r="W225" s="60"/>
      <c r="X225" s="60"/>
      <c r="Y225" s="60"/>
      <c r="Z225" s="60"/>
      <c r="AA225" s="60"/>
      <c r="AB225" s="60"/>
      <c r="AC225" s="60"/>
      <c r="AD225" s="60"/>
      <c r="AE225" s="60"/>
      <c r="AF225" s="60"/>
    </row>
    <row r="226" spans="1:32" s="96" customFormat="1" ht="38.25">
      <c r="A226" s="105"/>
      <c r="B226" s="616">
        <f t="shared" si="9"/>
        <v>116</v>
      </c>
      <c r="C226" s="604" t="s">
        <v>340</v>
      </c>
      <c r="D226" s="596" t="s">
        <v>674</v>
      </c>
      <c r="E226" s="596" t="s">
        <v>295</v>
      </c>
      <c r="F226" s="643">
        <v>5</v>
      </c>
      <c r="G226" s="763">
        <v>1200</v>
      </c>
      <c r="H226" s="762">
        <f t="shared" si="8"/>
        <v>6000</v>
      </c>
      <c r="I226" s="309"/>
      <c r="J226" s="308"/>
      <c r="K226" s="60"/>
      <c r="L226" s="60"/>
      <c r="M226" s="60"/>
      <c r="N226" s="60"/>
      <c r="O226" s="60"/>
      <c r="P226" s="60"/>
      <c r="Q226" s="60"/>
      <c r="R226" s="60"/>
      <c r="S226" s="60"/>
      <c r="T226" s="60"/>
      <c r="U226" s="60"/>
      <c r="V226" s="60"/>
      <c r="W226" s="60"/>
      <c r="X226" s="60"/>
      <c r="Y226" s="60"/>
      <c r="Z226" s="60"/>
      <c r="AA226" s="60"/>
      <c r="AB226" s="60"/>
      <c r="AC226" s="60"/>
      <c r="AD226" s="60"/>
      <c r="AE226" s="60"/>
      <c r="AF226" s="60"/>
    </row>
    <row r="227" spans="1:32" s="96" customFormat="1" ht="89.25">
      <c r="A227" s="105"/>
      <c r="B227" s="616">
        <f t="shared" si="9"/>
        <v>117</v>
      </c>
      <c r="C227" s="604" t="s">
        <v>341</v>
      </c>
      <c r="D227" s="596" t="s">
        <v>2034</v>
      </c>
      <c r="E227" s="596" t="s">
        <v>1930</v>
      </c>
      <c r="F227" s="643">
        <v>10</v>
      </c>
      <c r="G227" s="763">
        <v>13800</v>
      </c>
      <c r="H227" s="762">
        <f t="shared" si="8"/>
        <v>138000</v>
      </c>
      <c r="I227" s="309"/>
      <c r="J227" s="308"/>
      <c r="K227" s="60"/>
      <c r="L227" s="60"/>
      <c r="M227" s="60"/>
      <c r="N227" s="60"/>
      <c r="O227" s="60"/>
      <c r="P227" s="60"/>
      <c r="Q227" s="60"/>
      <c r="R227" s="60"/>
      <c r="S227" s="60"/>
      <c r="T227" s="60"/>
      <c r="U227" s="60"/>
      <c r="V227" s="60"/>
      <c r="W227" s="60"/>
      <c r="X227" s="60"/>
      <c r="Y227" s="60"/>
      <c r="Z227" s="60"/>
      <c r="AA227" s="60"/>
      <c r="AB227" s="60"/>
      <c r="AC227" s="60"/>
      <c r="AD227" s="60"/>
      <c r="AE227" s="60"/>
      <c r="AF227" s="60"/>
    </row>
    <row r="228" spans="1:32" s="96" customFormat="1" ht="63.75">
      <c r="A228" s="105"/>
      <c r="B228" s="616">
        <f t="shared" si="9"/>
        <v>118</v>
      </c>
      <c r="C228" s="604" t="s">
        <v>341</v>
      </c>
      <c r="D228" s="596" t="s">
        <v>776</v>
      </c>
      <c r="E228" s="596" t="s">
        <v>1930</v>
      </c>
      <c r="F228" s="643">
        <v>10</v>
      </c>
      <c r="G228" s="763">
        <v>17100</v>
      </c>
      <c r="H228" s="762">
        <f t="shared" si="8"/>
        <v>171000</v>
      </c>
      <c r="I228" s="309"/>
      <c r="J228" s="308"/>
      <c r="K228" s="60"/>
      <c r="L228" s="60"/>
      <c r="M228" s="60"/>
      <c r="N228" s="60"/>
      <c r="O228" s="60"/>
      <c r="P228" s="60"/>
      <c r="Q228" s="60"/>
      <c r="R228" s="60"/>
      <c r="S228" s="60"/>
      <c r="T228" s="60"/>
      <c r="U228" s="60"/>
      <c r="V228" s="60"/>
      <c r="W228" s="60"/>
      <c r="X228" s="60"/>
      <c r="Y228" s="60"/>
      <c r="Z228" s="60"/>
      <c r="AA228" s="60"/>
      <c r="AB228" s="60"/>
      <c r="AC228" s="60"/>
      <c r="AD228" s="60"/>
      <c r="AE228" s="60"/>
      <c r="AF228" s="60"/>
    </row>
    <row r="229" spans="1:32" s="96" customFormat="1" ht="38.25">
      <c r="A229" s="105"/>
      <c r="B229" s="616">
        <f t="shared" si="9"/>
        <v>119</v>
      </c>
      <c r="C229" s="604" t="s">
        <v>2035</v>
      </c>
      <c r="D229" s="596" t="s">
        <v>2036</v>
      </c>
      <c r="E229" s="596" t="s">
        <v>1930</v>
      </c>
      <c r="F229" s="643">
        <v>2</v>
      </c>
      <c r="G229" s="763">
        <v>38850</v>
      </c>
      <c r="H229" s="762">
        <f t="shared" si="8"/>
        <v>77700</v>
      </c>
      <c r="I229" s="309"/>
      <c r="J229" s="308"/>
      <c r="K229" s="60"/>
      <c r="L229" s="60"/>
      <c r="M229" s="60"/>
      <c r="N229" s="60"/>
      <c r="O229" s="60"/>
      <c r="P229" s="60"/>
      <c r="Q229" s="60"/>
      <c r="R229" s="60"/>
      <c r="S229" s="60"/>
      <c r="T229" s="60"/>
      <c r="U229" s="60"/>
      <c r="V229" s="60"/>
      <c r="W229" s="60"/>
      <c r="X229" s="60"/>
      <c r="Y229" s="60"/>
      <c r="Z229" s="60"/>
      <c r="AA229" s="60"/>
      <c r="AB229" s="60"/>
      <c r="AC229" s="60"/>
      <c r="AD229" s="60"/>
      <c r="AE229" s="60"/>
      <c r="AF229" s="60"/>
    </row>
    <row r="230" spans="1:32" s="96" customFormat="1" ht="63.75">
      <c r="A230" s="105"/>
      <c r="B230" s="616">
        <f t="shared" si="9"/>
        <v>120</v>
      </c>
      <c r="C230" s="604" t="s">
        <v>2037</v>
      </c>
      <c r="D230" s="765" t="s">
        <v>2038</v>
      </c>
      <c r="E230" s="596" t="s">
        <v>1930</v>
      </c>
      <c r="F230" s="643">
        <v>5</v>
      </c>
      <c r="G230" s="763">
        <v>12100</v>
      </c>
      <c r="H230" s="762">
        <f t="shared" si="8"/>
        <v>60500</v>
      </c>
      <c r="I230" s="309"/>
      <c r="J230" s="308"/>
      <c r="K230" s="60"/>
      <c r="L230" s="60"/>
      <c r="M230" s="60"/>
      <c r="N230" s="60"/>
      <c r="O230" s="60"/>
      <c r="P230" s="60"/>
      <c r="Q230" s="60"/>
      <c r="R230" s="60"/>
      <c r="S230" s="60"/>
      <c r="T230" s="60"/>
      <c r="U230" s="60"/>
      <c r="V230" s="60"/>
      <c r="W230" s="60"/>
      <c r="X230" s="60"/>
      <c r="Y230" s="60"/>
      <c r="Z230" s="60"/>
      <c r="AA230" s="60"/>
      <c r="AB230" s="60"/>
      <c r="AC230" s="60"/>
      <c r="AD230" s="60"/>
      <c r="AE230" s="60"/>
      <c r="AF230" s="60"/>
    </row>
    <row r="231" spans="1:32" s="96" customFormat="1" ht="51">
      <c r="A231" s="105"/>
      <c r="B231" s="616">
        <f t="shared" si="9"/>
        <v>121</v>
      </c>
      <c r="C231" s="604" t="s">
        <v>2039</v>
      </c>
      <c r="D231" s="596" t="s">
        <v>2040</v>
      </c>
      <c r="E231" s="596" t="s">
        <v>1930</v>
      </c>
      <c r="F231" s="643">
        <v>1</v>
      </c>
      <c r="G231" s="763">
        <v>3900</v>
      </c>
      <c r="H231" s="762">
        <f t="shared" si="8"/>
        <v>3900</v>
      </c>
      <c r="I231" s="309"/>
      <c r="J231" s="308"/>
      <c r="K231" s="60"/>
      <c r="L231" s="60"/>
      <c r="M231" s="60"/>
      <c r="N231" s="60"/>
      <c r="O231" s="60"/>
      <c r="P231" s="60"/>
      <c r="Q231" s="60"/>
      <c r="R231" s="60"/>
      <c r="S231" s="60"/>
      <c r="T231" s="60"/>
      <c r="U231" s="60"/>
      <c r="V231" s="60"/>
      <c r="W231" s="60"/>
      <c r="X231" s="60"/>
      <c r="Y231" s="60"/>
      <c r="Z231" s="60"/>
      <c r="AA231" s="60"/>
      <c r="AB231" s="60"/>
      <c r="AC231" s="60"/>
      <c r="AD231" s="60"/>
      <c r="AE231" s="60"/>
      <c r="AF231" s="60"/>
    </row>
    <row r="232" spans="1:32" s="96" customFormat="1" ht="38.25">
      <c r="A232" s="105"/>
      <c r="B232" s="616">
        <f t="shared" si="9"/>
        <v>122</v>
      </c>
      <c r="C232" s="604" t="s">
        <v>2041</v>
      </c>
      <c r="D232" s="596" t="s">
        <v>2042</v>
      </c>
      <c r="E232" s="596" t="s">
        <v>1930</v>
      </c>
      <c r="F232" s="643">
        <v>1</v>
      </c>
      <c r="G232" s="763">
        <v>5430</v>
      </c>
      <c r="H232" s="762">
        <f t="shared" si="8"/>
        <v>5430</v>
      </c>
      <c r="I232" s="309"/>
      <c r="J232" s="308"/>
      <c r="K232" s="60"/>
      <c r="L232" s="60"/>
      <c r="M232" s="60"/>
      <c r="N232" s="60"/>
      <c r="O232" s="60"/>
      <c r="P232" s="60"/>
      <c r="Q232" s="60"/>
      <c r="R232" s="60"/>
      <c r="S232" s="60"/>
      <c r="T232" s="60"/>
      <c r="U232" s="60"/>
      <c r="V232" s="60"/>
      <c r="W232" s="60"/>
      <c r="X232" s="60"/>
      <c r="Y232" s="60"/>
      <c r="Z232" s="60"/>
      <c r="AA232" s="60"/>
      <c r="AB232" s="60"/>
      <c r="AC232" s="60"/>
      <c r="AD232" s="60"/>
      <c r="AE232" s="60"/>
      <c r="AF232" s="60"/>
    </row>
    <row r="233" spans="1:32" s="96" customFormat="1" ht="38.25">
      <c r="A233" s="105"/>
      <c r="B233" s="616">
        <f t="shared" si="9"/>
        <v>123</v>
      </c>
      <c r="C233" s="604" t="s">
        <v>640</v>
      </c>
      <c r="D233" s="596" t="s">
        <v>2043</v>
      </c>
      <c r="E233" s="596" t="s">
        <v>1930</v>
      </c>
      <c r="F233" s="643">
        <v>5</v>
      </c>
      <c r="G233" s="763">
        <v>5800</v>
      </c>
      <c r="H233" s="762">
        <f t="shared" si="8"/>
        <v>29000</v>
      </c>
      <c r="I233" s="309"/>
      <c r="J233" s="308"/>
      <c r="K233" s="60"/>
      <c r="L233" s="60"/>
      <c r="M233" s="60"/>
      <c r="N233" s="60"/>
      <c r="O233" s="60"/>
      <c r="P233" s="60"/>
      <c r="Q233" s="60"/>
      <c r="R233" s="60"/>
      <c r="S233" s="60"/>
      <c r="T233" s="60"/>
      <c r="U233" s="60"/>
      <c r="V233" s="60"/>
      <c r="W233" s="60"/>
      <c r="X233" s="60"/>
      <c r="Y233" s="60"/>
      <c r="Z233" s="60"/>
      <c r="AA233" s="60"/>
      <c r="AB233" s="60"/>
      <c r="AC233" s="60"/>
      <c r="AD233" s="60"/>
      <c r="AE233" s="60"/>
      <c r="AF233" s="60"/>
    </row>
    <row r="234" spans="1:32" s="96" customFormat="1" ht="25.5">
      <c r="A234" s="105"/>
      <c r="B234" s="616">
        <f t="shared" si="9"/>
        <v>124</v>
      </c>
      <c r="C234" s="645" t="s">
        <v>799</v>
      </c>
      <c r="D234" s="596" t="s">
        <v>675</v>
      </c>
      <c r="E234" s="596" t="s">
        <v>1930</v>
      </c>
      <c r="F234" s="643">
        <v>5</v>
      </c>
      <c r="G234" s="766">
        <v>440</v>
      </c>
      <c r="H234" s="762">
        <f t="shared" si="8"/>
        <v>2200</v>
      </c>
      <c r="I234" s="309"/>
      <c r="J234" s="308"/>
      <c r="K234" s="60"/>
      <c r="L234" s="60"/>
      <c r="M234" s="60"/>
      <c r="N234" s="60"/>
      <c r="O234" s="60"/>
      <c r="P234" s="60"/>
      <c r="Q234" s="60"/>
      <c r="R234" s="60"/>
      <c r="S234" s="60"/>
      <c r="T234" s="60"/>
      <c r="U234" s="60"/>
      <c r="V234" s="60"/>
      <c r="W234" s="60"/>
      <c r="X234" s="60"/>
      <c r="Y234" s="60"/>
      <c r="Z234" s="60"/>
      <c r="AA234" s="60"/>
      <c r="AB234" s="60"/>
      <c r="AC234" s="60"/>
      <c r="AD234" s="60"/>
      <c r="AE234" s="60"/>
      <c r="AF234" s="60"/>
    </row>
    <row r="235" spans="1:32" s="96" customFormat="1" ht="25.5">
      <c r="A235" s="105"/>
      <c r="B235" s="616">
        <f t="shared" si="9"/>
        <v>125</v>
      </c>
      <c r="C235" s="645" t="s">
        <v>799</v>
      </c>
      <c r="D235" s="596" t="s">
        <v>575</v>
      </c>
      <c r="E235" s="596" t="s">
        <v>1930</v>
      </c>
      <c r="F235" s="643">
        <v>5</v>
      </c>
      <c r="G235" s="766">
        <v>770</v>
      </c>
      <c r="H235" s="762">
        <f t="shared" si="8"/>
        <v>3850</v>
      </c>
      <c r="I235" s="309"/>
      <c r="J235" s="308"/>
      <c r="K235" s="60"/>
      <c r="L235" s="60"/>
      <c r="M235" s="60"/>
      <c r="N235" s="60"/>
      <c r="O235" s="60"/>
      <c r="P235" s="60"/>
      <c r="Q235" s="60"/>
      <c r="R235" s="60"/>
      <c r="S235" s="60"/>
      <c r="T235" s="60"/>
      <c r="U235" s="60"/>
      <c r="V235" s="60"/>
      <c r="W235" s="60"/>
      <c r="X235" s="60"/>
      <c r="Y235" s="60"/>
      <c r="Z235" s="60"/>
      <c r="AA235" s="60"/>
      <c r="AB235" s="60"/>
      <c r="AC235" s="60"/>
      <c r="AD235" s="60"/>
      <c r="AE235" s="60"/>
      <c r="AF235" s="60"/>
    </row>
    <row r="236" spans="1:32" s="96" customFormat="1" ht="51">
      <c r="A236" s="105"/>
      <c r="B236" s="616">
        <f t="shared" si="9"/>
        <v>126</v>
      </c>
      <c r="C236" s="604" t="s">
        <v>342</v>
      </c>
      <c r="D236" s="596" t="s">
        <v>576</v>
      </c>
      <c r="E236" s="596" t="s">
        <v>1930</v>
      </c>
      <c r="F236" s="643">
        <v>10</v>
      </c>
      <c r="G236" s="766">
        <v>385</v>
      </c>
      <c r="H236" s="762">
        <f t="shared" si="8"/>
        <v>3850</v>
      </c>
      <c r="I236" s="309"/>
      <c r="J236" s="308"/>
      <c r="K236" s="60"/>
      <c r="L236" s="60"/>
      <c r="M236" s="60"/>
      <c r="N236" s="60"/>
      <c r="O236" s="60"/>
      <c r="P236" s="60"/>
      <c r="Q236" s="60"/>
      <c r="R236" s="60"/>
      <c r="S236" s="60"/>
      <c r="T236" s="60"/>
      <c r="U236" s="60"/>
      <c r="V236" s="60"/>
      <c r="W236" s="60"/>
      <c r="X236" s="60"/>
      <c r="Y236" s="60"/>
      <c r="Z236" s="60"/>
      <c r="AA236" s="60"/>
      <c r="AB236" s="60"/>
      <c r="AC236" s="60"/>
      <c r="AD236" s="60"/>
      <c r="AE236" s="60"/>
      <c r="AF236" s="60"/>
    </row>
    <row r="237" spans="1:32" s="96" customFormat="1" ht="63.75">
      <c r="A237" s="105"/>
      <c r="B237" s="616">
        <f t="shared" si="9"/>
        <v>127</v>
      </c>
      <c r="C237" s="604" t="s">
        <v>343</v>
      </c>
      <c r="D237" s="596" t="s">
        <v>676</v>
      </c>
      <c r="E237" s="596" t="s">
        <v>1930</v>
      </c>
      <c r="F237" s="643">
        <v>10</v>
      </c>
      <c r="G237" s="766">
        <v>990</v>
      </c>
      <c r="H237" s="762">
        <f t="shared" si="8"/>
        <v>9900</v>
      </c>
      <c r="I237" s="309"/>
      <c r="J237" s="308"/>
      <c r="K237" s="60"/>
      <c r="L237" s="60"/>
      <c r="M237" s="60"/>
      <c r="N237" s="60"/>
      <c r="O237" s="60"/>
      <c r="P237" s="60"/>
      <c r="Q237" s="60"/>
      <c r="R237" s="60"/>
      <c r="S237" s="60"/>
      <c r="T237" s="60"/>
      <c r="U237" s="60"/>
      <c r="V237" s="60"/>
      <c r="W237" s="60"/>
      <c r="X237" s="60"/>
      <c r="Y237" s="60"/>
      <c r="Z237" s="60"/>
      <c r="AA237" s="60"/>
      <c r="AB237" s="60"/>
      <c r="AC237" s="60"/>
      <c r="AD237" s="60"/>
      <c r="AE237" s="60"/>
      <c r="AF237" s="60"/>
    </row>
    <row r="238" spans="1:32" s="96" customFormat="1" ht="89.25">
      <c r="A238" s="105"/>
      <c r="B238" s="616">
        <f t="shared" si="9"/>
        <v>128</v>
      </c>
      <c r="C238" s="604" t="s">
        <v>344</v>
      </c>
      <c r="D238" s="596" t="s">
        <v>2044</v>
      </c>
      <c r="E238" s="596" t="s">
        <v>1930</v>
      </c>
      <c r="F238" s="643">
        <v>10</v>
      </c>
      <c r="G238" s="763">
        <v>1100</v>
      </c>
      <c r="H238" s="762">
        <f t="shared" si="8"/>
        <v>11000</v>
      </c>
      <c r="I238" s="309"/>
      <c r="J238" s="308"/>
      <c r="K238" s="60"/>
      <c r="L238" s="60"/>
      <c r="M238" s="60"/>
      <c r="N238" s="60"/>
      <c r="O238" s="60"/>
      <c r="P238" s="60"/>
      <c r="Q238" s="60"/>
      <c r="R238" s="60"/>
      <c r="S238" s="60"/>
      <c r="T238" s="60"/>
      <c r="U238" s="60"/>
      <c r="V238" s="60"/>
      <c r="W238" s="60"/>
      <c r="X238" s="60"/>
      <c r="Y238" s="60"/>
      <c r="Z238" s="60"/>
      <c r="AA238" s="60"/>
      <c r="AB238" s="60"/>
      <c r="AC238" s="60"/>
      <c r="AD238" s="60"/>
      <c r="AE238" s="60"/>
      <c r="AF238" s="60"/>
    </row>
    <row r="239" spans="1:32" s="96" customFormat="1" ht="38.25">
      <c r="A239" s="105"/>
      <c r="B239" s="616">
        <f t="shared" si="9"/>
        <v>129</v>
      </c>
      <c r="C239" s="604" t="s">
        <v>2045</v>
      </c>
      <c r="D239" s="596" t="s">
        <v>2046</v>
      </c>
      <c r="E239" s="596" t="s">
        <v>694</v>
      </c>
      <c r="F239" s="643">
        <v>1</v>
      </c>
      <c r="G239" s="763">
        <v>10300</v>
      </c>
      <c r="H239" s="762">
        <f t="shared" ref="H239:H302" si="10">F239*G239</f>
        <v>10300</v>
      </c>
      <c r="I239" s="309"/>
      <c r="J239" s="308"/>
      <c r="K239" s="60"/>
      <c r="L239" s="60"/>
      <c r="M239" s="60"/>
      <c r="N239" s="60"/>
      <c r="O239" s="60"/>
      <c r="P239" s="60"/>
      <c r="Q239" s="60"/>
      <c r="R239" s="60"/>
      <c r="S239" s="60"/>
      <c r="T239" s="60"/>
      <c r="U239" s="60"/>
      <c r="V239" s="60"/>
      <c r="W239" s="60"/>
      <c r="X239" s="60"/>
      <c r="Y239" s="60"/>
      <c r="Z239" s="60"/>
      <c r="AA239" s="60"/>
      <c r="AB239" s="60"/>
      <c r="AC239" s="60"/>
      <c r="AD239" s="60"/>
      <c r="AE239" s="60"/>
      <c r="AF239" s="60"/>
    </row>
    <row r="240" spans="1:32" s="96" customFormat="1" ht="89.25">
      <c r="A240" s="105"/>
      <c r="B240" s="616">
        <f t="shared" si="9"/>
        <v>130</v>
      </c>
      <c r="C240" s="645" t="s">
        <v>641</v>
      </c>
      <c r="D240" s="596" t="s">
        <v>677</v>
      </c>
      <c r="E240" s="596" t="s">
        <v>1930</v>
      </c>
      <c r="F240" s="643">
        <v>20</v>
      </c>
      <c r="G240" s="766">
        <v>440</v>
      </c>
      <c r="H240" s="762">
        <f t="shared" si="10"/>
        <v>8800</v>
      </c>
      <c r="I240" s="309"/>
      <c r="J240" s="308"/>
      <c r="K240" s="60"/>
      <c r="L240" s="60"/>
      <c r="M240" s="60"/>
      <c r="N240" s="60"/>
      <c r="O240" s="60"/>
      <c r="P240" s="60"/>
      <c r="Q240" s="60"/>
      <c r="R240" s="60"/>
      <c r="S240" s="60"/>
      <c r="T240" s="60"/>
      <c r="U240" s="60"/>
      <c r="V240" s="60"/>
      <c r="W240" s="60"/>
      <c r="X240" s="60"/>
      <c r="Y240" s="60"/>
      <c r="Z240" s="60"/>
      <c r="AA240" s="60"/>
      <c r="AB240" s="60"/>
      <c r="AC240" s="60"/>
      <c r="AD240" s="60"/>
      <c r="AE240" s="60"/>
      <c r="AF240" s="60"/>
    </row>
    <row r="241" spans="1:32" s="96" customFormat="1" ht="89.25">
      <c r="A241" s="105"/>
      <c r="B241" s="616">
        <f t="shared" ref="B241:B304" si="11">B240+1</f>
        <v>131</v>
      </c>
      <c r="C241" s="604" t="s">
        <v>697</v>
      </c>
      <c r="D241" s="769" t="s">
        <v>2047</v>
      </c>
      <c r="E241" s="596" t="s">
        <v>1930</v>
      </c>
      <c r="F241" s="643">
        <v>2</v>
      </c>
      <c r="G241" s="763">
        <v>3900</v>
      </c>
      <c r="H241" s="762">
        <f t="shared" si="10"/>
        <v>7800</v>
      </c>
      <c r="I241" s="309"/>
      <c r="J241" s="308"/>
      <c r="K241" s="60"/>
      <c r="L241" s="60"/>
      <c r="M241" s="60"/>
      <c r="N241" s="60"/>
      <c r="O241" s="60"/>
      <c r="P241" s="60"/>
      <c r="Q241" s="60"/>
      <c r="R241" s="60"/>
      <c r="S241" s="60"/>
      <c r="T241" s="60"/>
      <c r="U241" s="60"/>
      <c r="V241" s="60"/>
      <c r="W241" s="60"/>
      <c r="X241" s="60"/>
      <c r="Y241" s="60"/>
      <c r="Z241" s="60"/>
      <c r="AA241" s="60"/>
      <c r="AB241" s="60"/>
      <c r="AC241" s="60"/>
      <c r="AD241" s="60"/>
      <c r="AE241" s="60"/>
      <c r="AF241" s="60"/>
    </row>
    <row r="242" spans="1:32" s="96" customFormat="1" ht="51">
      <c r="A242" s="105"/>
      <c r="B242" s="616">
        <f t="shared" si="11"/>
        <v>132</v>
      </c>
      <c r="C242" s="604" t="s">
        <v>222</v>
      </c>
      <c r="D242" s="596" t="s">
        <v>678</v>
      </c>
      <c r="E242" s="596" t="s">
        <v>694</v>
      </c>
      <c r="F242" s="643">
        <v>2</v>
      </c>
      <c r="G242" s="763">
        <v>19600</v>
      </c>
      <c r="H242" s="762">
        <f t="shared" si="10"/>
        <v>39200</v>
      </c>
      <c r="I242" s="309"/>
      <c r="J242" s="308"/>
      <c r="K242" s="60"/>
      <c r="L242" s="60"/>
      <c r="M242" s="60"/>
      <c r="N242" s="60"/>
      <c r="O242" s="60"/>
      <c r="P242" s="60"/>
      <c r="Q242" s="60"/>
      <c r="R242" s="60"/>
      <c r="S242" s="60"/>
      <c r="T242" s="60"/>
      <c r="U242" s="60"/>
      <c r="V242" s="60"/>
      <c r="W242" s="60"/>
      <c r="X242" s="60"/>
      <c r="Y242" s="60"/>
      <c r="Z242" s="60"/>
      <c r="AA242" s="60"/>
      <c r="AB242" s="60"/>
      <c r="AC242" s="60"/>
      <c r="AD242" s="60"/>
      <c r="AE242" s="60"/>
      <c r="AF242" s="60"/>
    </row>
    <row r="243" spans="1:32" s="96" customFormat="1" ht="76.5">
      <c r="A243" s="105"/>
      <c r="B243" s="616">
        <f t="shared" si="11"/>
        <v>133</v>
      </c>
      <c r="C243" s="604" t="s">
        <v>2048</v>
      </c>
      <c r="D243" s="596" t="s">
        <v>2049</v>
      </c>
      <c r="E243" s="596" t="s">
        <v>694</v>
      </c>
      <c r="F243" s="643">
        <v>1</v>
      </c>
      <c r="G243" s="763">
        <v>22100</v>
      </c>
      <c r="H243" s="762">
        <f t="shared" si="10"/>
        <v>22100</v>
      </c>
      <c r="I243" s="309"/>
      <c r="J243" s="308"/>
      <c r="K243" s="60"/>
      <c r="L243" s="60"/>
      <c r="M243" s="60"/>
      <c r="N243" s="60"/>
      <c r="O243" s="60"/>
      <c r="P243" s="60"/>
      <c r="Q243" s="60"/>
      <c r="R243" s="60"/>
      <c r="S243" s="60"/>
      <c r="T243" s="60"/>
      <c r="U243" s="60"/>
      <c r="V243" s="60"/>
      <c r="W243" s="60"/>
      <c r="X243" s="60"/>
      <c r="Y243" s="60"/>
      <c r="Z243" s="60"/>
      <c r="AA243" s="60"/>
      <c r="AB243" s="60"/>
      <c r="AC243" s="60"/>
      <c r="AD243" s="60"/>
      <c r="AE243" s="60"/>
      <c r="AF243" s="60"/>
    </row>
    <row r="244" spans="1:32" s="96" customFormat="1" ht="102">
      <c r="A244" s="105"/>
      <c r="B244" s="616">
        <f t="shared" si="11"/>
        <v>134</v>
      </c>
      <c r="C244" s="604" t="s">
        <v>642</v>
      </c>
      <c r="D244" s="769" t="s">
        <v>2050</v>
      </c>
      <c r="E244" s="596" t="s">
        <v>1930</v>
      </c>
      <c r="F244" s="643">
        <v>5</v>
      </c>
      <c r="G244" s="766">
        <v>710</v>
      </c>
      <c r="H244" s="762">
        <f t="shared" si="10"/>
        <v>3550</v>
      </c>
      <c r="I244" s="309"/>
      <c r="J244" s="308"/>
      <c r="K244" s="60"/>
      <c r="L244" s="60"/>
      <c r="M244" s="60"/>
      <c r="N244" s="60"/>
      <c r="O244" s="60"/>
      <c r="P244" s="60"/>
      <c r="Q244" s="60"/>
      <c r="R244" s="60"/>
      <c r="S244" s="60"/>
      <c r="T244" s="60"/>
      <c r="U244" s="60"/>
      <c r="V244" s="60"/>
      <c r="W244" s="60"/>
      <c r="X244" s="60"/>
      <c r="Y244" s="60"/>
      <c r="Z244" s="60"/>
      <c r="AA244" s="60"/>
      <c r="AB244" s="60"/>
      <c r="AC244" s="60"/>
      <c r="AD244" s="60"/>
      <c r="AE244" s="60"/>
      <c r="AF244" s="60"/>
    </row>
    <row r="245" spans="1:32" s="96" customFormat="1" ht="204">
      <c r="A245" s="105"/>
      <c r="B245" s="616">
        <f t="shared" si="11"/>
        <v>135</v>
      </c>
      <c r="C245" s="604" t="s">
        <v>345</v>
      </c>
      <c r="D245" s="596" t="s">
        <v>679</v>
      </c>
      <c r="E245" s="596" t="s">
        <v>1930</v>
      </c>
      <c r="F245" s="643">
        <v>4</v>
      </c>
      <c r="G245" s="763">
        <v>25100</v>
      </c>
      <c r="H245" s="762">
        <f t="shared" si="10"/>
        <v>100400</v>
      </c>
      <c r="I245" s="311"/>
      <c r="J245" s="308"/>
      <c r="K245" s="60"/>
      <c r="L245" s="60"/>
      <c r="M245" s="60"/>
      <c r="N245" s="60"/>
      <c r="O245" s="60"/>
      <c r="P245" s="60"/>
      <c r="Q245" s="60"/>
      <c r="R245" s="60"/>
      <c r="S245" s="60"/>
      <c r="T245" s="60"/>
      <c r="U245" s="60"/>
      <c r="V245" s="60"/>
      <c r="W245" s="60"/>
      <c r="X245" s="60"/>
      <c r="Y245" s="60"/>
      <c r="Z245" s="60"/>
      <c r="AA245" s="60"/>
      <c r="AB245" s="60"/>
      <c r="AC245" s="60"/>
      <c r="AD245" s="60"/>
      <c r="AE245" s="60"/>
      <c r="AF245" s="60"/>
    </row>
    <row r="246" spans="1:32" s="96" customFormat="1" ht="25.5">
      <c r="A246" s="105"/>
      <c r="B246" s="616">
        <f t="shared" si="11"/>
        <v>136</v>
      </c>
      <c r="C246" s="604" t="s">
        <v>643</v>
      </c>
      <c r="D246" s="596" t="s">
        <v>2051</v>
      </c>
      <c r="E246" s="596" t="s">
        <v>1959</v>
      </c>
      <c r="F246" s="596">
        <v>1</v>
      </c>
      <c r="G246" s="643">
        <v>5600</v>
      </c>
      <c r="H246" s="762">
        <f t="shared" si="10"/>
        <v>5600</v>
      </c>
      <c r="I246" s="309"/>
      <c r="J246" s="308"/>
      <c r="K246" s="60"/>
      <c r="L246" s="60"/>
      <c r="M246" s="60"/>
      <c r="N246" s="60"/>
      <c r="O246" s="60"/>
      <c r="P246" s="60"/>
      <c r="Q246" s="60"/>
      <c r="R246" s="60"/>
      <c r="S246" s="60"/>
      <c r="T246" s="60"/>
      <c r="U246" s="60"/>
      <c r="V246" s="60"/>
      <c r="W246" s="60"/>
      <c r="X246" s="60"/>
      <c r="Y246" s="60"/>
      <c r="Z246" s="60"/>
      <c r="AA246" s="60"/>
      <c r="AB246" s="60"/>
      <c r="AC246" s="60"/>
      <c r="AD246" s="60"/>
      <c r="AE246" s="60"/>
      <c r="AF246" s="60"/>
    </row>
    <row r="247" spans="1:32" s="96" customFormat="1" ht="38.25">
      <c r="A247" s="105"/>
      <c r="B247" s="616">
        <f t="shared" si="11"/>
        <v>137</v>
      </c>
      <c r="C247" s="645" t="s">
        <v>2052</v>
      </c>
      <c r="D247" s="765" t="s">
        <v>2053</v>
      </c>
      <c r="E247" s="596" t="s">
        <v>1930</v>
      </c>
      <c r="F247" s="643">
        <v>1</v>
      </c>
      <c r="G247" s="763">
        <v>2790</v>
      </c>
      <c r="H247" s="762">
        <f t="shared" si="10"/>
        <v>2790</v>
      </c>
      <c r="I247" s="309"/>
      <c r="J247" s="308"/>
      <c r="K247" s="60"/>
      <c r="L247" s="60"/>
      <c r="M247" s="60"/>
      <c r="N247" s="60"/>
      <c r="O247" s="60"/>
      <c r="P247" s="60"/>
      <c r="Q247" s="60"/>
      <c r="R247" s="60"/>
      <c r="S247" s="60"/>
      <c r="T247" s="60"/>
      <c r="U247" s="60"/>
      <c r="V247" s="60"/>
      <c r="W247" s="60"/>
      <c r="X247" s="60"/>
      <c r="Y247" s="60"/>
      <c r="Z247" s="60"/>
      <c r="AA247" s="60"/>
      <c r="AB247" s="60"/>
      <c r="AC247" s="60"/>
      <c r="AD247" s="60"/>
      <c r="AE247" s="60"/>
      <c r="AF247" s="60"/>
    </row>
    <row r="248" spans="1:32" s="96" customFormat="1" ht="51">
      <c r="A248" s="105"/>
      <c r="B248" s="616">
        <f t="shared" si="11"/>
        <v>138</v>
      </c>
      <c r="C248" s="604" t="s">
        <v>2054</v>
      </c>
      <c r="D248" s="596" t="s">
        <v>2055</v>
      </c>
      <c r="E248" s="596" t="s">
        <v>1930</v>
      </c>
      <c r="F248" s="643">
        <v>1</v>
      </c>
      <c r="G248" s="763">
        <v>33600</v>
      </c>
      <c r="H248" s="762">
        <f t="shared" si="10"/>
        <v>33600</v>
      </c>
      <c r="I248" s="309"/>
      <c r="J248" s="308"/>
      <c r="K248" s="60"/>
      <c r="L248" s="60"/>
      <c r="M248" s="60"/>
      <c r="N248" s="60"/>
      <c r="O248" s="60"/>
      <c r="P248" s="60"/>
      <c r="Q248" s="60"/>
      <c r="R248" s="60"/>
      <c r="S248" s="60"/>
      <c r="T248" s="60"/>
      <c r="U248" s="60"/>
      <c r="V248" s="60"/>
      <c r="W248" s="60"/>
      <c r="X248" s="60"/>
      <c r="Y248" s="60"/>
      <c r="Z248" s="60"/>
      <c r="AA248" s="60"/>
      <c r="AB248" s="60"/>
      <c r="AC248" s="60"/>
      <c r="AD248" s="60"/>
      <c r="AE248" s="60"/>
      <c r="AF248" s="60"/>
    </row>
    <row r="249" spans="1:32" s="96" customFormat="1" ht="63.75">
      <c r="A249" s="105"/>
      <c r="B249" s="616">
        <f t="shared" si="11"/>
        <v>139</v>
      </c>
      <c r="C249" s="604" t="s">
        <v>2056</v>
      </c>
      <c r="D249" s="765" t="s">
        <v>2057</v>
      </c>
      <c r="E249" s="596" t="s">
        <v>1930</v>
      </c>
      <c r="F249" s="643">
        <v>10</v>
      </c>
      <c r="G249" s="763">
        <v>4100</v>
      </c>
      <c r="H249" s="762">
        <f t="shared" si="10"/>
        <v>41000</v>
      </c>
      <c r="I249" s="309"/>
      <c r="J249" s="308"/>
      <c r="K249" s="60"/>
      <c r="L249" s="60"/>
      <c r="M249" s="60"/>
      <c r="N249" s="60"/>
      <c r="O249" s="60"/>
      <c r="P249" s="60"/>
      <c r="Q249" s="60"/>
      <c r="R249" s="60"/>
      <c r="S249" s="60"/>
      <c r="T249" s="60"/>
      <c r="U249" s="60"/>
      <c r="V249" s="60"/>
      <c r="W249" s="60"/>
      <c r="X249" s="60"/>
      <c r="Y249" s="60"/>
      <c r="Z249" s="60"/>
      <c r="AA249" s="60"/>
      <c r="AB249" s="60"/>
      <c r="AC249" s="60"/>
      <c r="AD249" s="60"/>
      <c r="AE249" s="60"/>
      <c r="AF249" s="60"/>
    </row>
    <row r="250" spans="1:32" s="96" customFormat="1" ht="38.25">
      <c r="A250" s="105"/>
      <c r="B250" s="616">
        <f t="shared" si="11"/>
        <v>140</v>
      </c>
      <c r="C250" s="604" t="s">
        <v>2058</v>
      </c>
      <c r="D250" s="596" t="s">
        <v>2059</v>
      </c>
      <c r="E250" s="596" t="s">
        <v>1930</v>
      </c>
      <c r="F250" s="643">
        <v>10</v>
      </c>
      <c r="G250" s="763">
        <v>5100</v>
      </c>
      <c r="H250" s="762">
        <f t="shared" si="10"/>
        <v>51000</v>
      </c>
      <c r="I250" s="309"/>
      <c r="J250" s="308"/>
      <c r="K250" s="60"/>
      <c r="L250" s="60"/>
      <c r="M250" s="60"/>
      <c r="N250" s="60"/>
      <c r="O250" s="60"/>
      <c r="P250" s="60"/>
      <c r="Q250" s="60"/>
      <c r="R250" s="60"/>
      <c r="S250" s="60"/>
      <c r="T250" s="60"/>
      <c r="U250" s="60"/>
      <c r="V250" s="60"/>
      <c r="W250" s="60"/>
      <c r="X250" s="60"/>
      <c r="Y250" s="60"/>
      <c r="Z250" s="60"/>
      <c r="AA250" s="60"/>
      <c r="AB250" s="60"/>
      <c r="AC250" s="60"/>
      <c r="AD250" s="60"/>
      <c r="AE250" s="60"/>
      <c r="AF250" s="60"/>
    </row>
    <row r="251" spans="1:32" s="96" customFormat="1" ht="38.25">
      <c r="A251" s="105"/>
      <c r="B251" s="616">
        <f t="shared" si="11"/>
        <v>141</v>
      </c>
      <c r="C251" s="604" t="s">
        <v>2060</v>
      </c>
      <c r="D251" s="765" t="s">
        <v>2061</v>
      </c>
      <c r="E251" s="596" t="s">
        <v>1930</v>
      </c>
      <c r="F251" s="643">
        <v>5</v>
      </c>
      <c r="G251" s="763">
        <v>1100</v>
      </c>
      <c r="H251" s="762">
        <f t="shared" si="10"/>
        <v>5500</v>
      </c>
      <c r="I251" s="309"/>
      <c r="J251" s="308"/>
      <c r="K251" s="60"/>
      <c r="L251" s="60"/>
      <c r="M251" s="60"/>
      <c r="N251" s="60"/>
      <c r="O251" s="60"/>
      <c r="P251" s="60"/>
      <c r="Q251" s="60"/>
      <c r="R251" s="60"/>
      <c r="S251" s="60"/>
      <c r="T251" s="60"/>
      <c r="U251" s="60"/>
      <c r="V251" s="60"/>
      <c r="W251" s="60"/>
      <c r="X251" s="60"/>
      <c r="Y251" s="60"/>
      <c r="Z251" s="60"/>
      <c r="AA251" s="60"/>
      <c r="AB251" s="60"/>
      <c r="AC251" s="60"/>
      <c r="AD251" s="60"/>
      <c r="AE251" s="60"/>
      <c r="AF251" s="60"/>
    </row>
    <row r="252" spans="1:32" s="96" customFormat="1" ht="25.5">
      <c r="A252" s="105"/>
      <c r="B252" s="616">
        <f t="shared" si="11"/>
        <v>142</v>
      </c>
      <c r="C252" s="604" t="s">
        <v>2062</v>
      </c>
      <c r="D252" s="765" t="s">
        <v>2063</v>
      </c>
      <c r="E252" s="596" t="s">
        <v>1930</v>
      </c>
      <c r="F252" s="643">
        <v>5</v>
      </c>
      <c r="G252" s="763">
        <v>1100</v>
      </c>
      <c r="H252" s="762">
        <f t="shared" si="10"/>
        <v>5500</v>
      </c>
      <c r="I252" s="309"/>
      <c r="J252" s="308"/>
      <c r="K252" s="60"/>
      <c r="L252" s="60"/>
      <c r="M252" s="60"/>
      <c r="N252" s="60"/>
      <c r="O252" s="60"/>
      <c r="P252" s="60"/>
      <c r="Q252" s="60"/>
      <c r="R252" s="60"/>
      <c r="S252" s="60"/>
      <c r="T252" s="60"/>
      <c r="U252" s="60"/>
      <c r="V252" s="60"/>
      <c r="W252" s="60"/>
      <c r="X252" s="60"/>
      <c r="Y252" s="60"/>
      <c r="Z252" s="60"/>
      <c r="AA252" s="60"/>
      <c r="AB252" s="60"/>
      <c r="AC252" s="60"/>
      <c r="AD252" s="60"/>
      <c r="AE252" s="60"/>
      <c r="AF252" s="60"/>
    </row>
    <row r="253" spans="1:32" s="96" customFormat="1" ht="38.25">
      <c r="A253" s="105"/>
      <c r="B253" s="616">
        <f t="shared" si="11"/>
        <v>143</v>
      </c>
      <c r="C253" s="604" t="s">
        <v>353</v>
      </c>
      <c r="D253" s="765" t="s">
        <v>680</v>
      </c>
      <c r="E253" s="596" t="s">
        <v>1930</v>
      </c>
      <c r="F253" s="643">
        <v>200</v>
      </c>
      <c r="G253" s="766">
        <v>198</v>
      </c>
      <c r="H253" s="762">
        <f t="shared" si="10"/>
        <v>39600</v>
      </c>
      <c r="I253" s="309"/>
      <c r="J253" s="308"/>
      <c r="K253" s="60"/>
      <c r="L253" s="60"/>
      <c r="M253" s="60"/>
      <c r="N253" s="60"/>
      <c r="O253" s="60"/>
      <c r="P253" s="60"/>
      <c r="Q253" s="60"/>
      <c r="R253" s="60"/>
      <c r="S253" s="60"/>
      <c r="T253" s="60"/>
      <c r="U253" s="60"/>
      <c r="V253" s="60"/>
      <c r="W253" s="60"/>
      <c r="X253" s="60"/>
      <c r="Y253" s="60"/>
      <c r="Z253" s="60"/>
      <c r="AA253" s="60"/>
      <c r="AB253" s="60"/>
      <c r="AC253" s="60"/>
      <c r="AD253" s="60"/>
      <c r="AE253" s="60"/>
      <c r="AF253" s="60"/>
    </row>
    <row r="254" spans="1:32" s="96" customFormat="1" ht="38.25">
      <c r="A254" s="105"/>
      <c r="B254" s="616">
        <f t="shared" si="11"/>
        <v>144</v>
      </c>
      <c r="C254" s="604" t="s">
        <v>354</v>
      </c>
      <c r="D254" s="596" t="s">
        <v>582</v>
      </c>
      <c r="E254" s="596" t="s">
        <v>1930</v>
      </c>
      <c r="F254" s="643">
        <v>100</v>
      </c>
      <c r="G254" s="766">
        <v>220</v>
      </c>
      <c r="H254" s="762">
        <f t="shared" si="10"/>
        <v>22000</v>
      </c>
      <c r="I254" s="309"/>
      <c r="J254" s="308"/>
      <c r="K254" s="60"/>
      <c r="L254" s="60"/>
      <c r="M254" s="60"/>
      <c r="N254" s="60"/>
      <c r="O254" s="60"/>
      <c r="P254" s="60"/>
      <c r="Q254" s="60"/>
      <c r="R254" s="60"/>
      <c r="S254" s="60"/>
      <c r="T254" s="60"/>
      <c r="U254" s="60"/>
      <c r="V254" s="60"/>
      <c r="W254" s="60"/>
      <c r="X254" s="60"/>
      <c r="Y254" s="60"/>
      <c r="Z254" s="60"/>
      <c r="AA254" s="60"/>
      <c r="AB254" s="60"/>
      <c r="AC254" s="60"/>
      <c r="AD254" s="60"/>
      <c r="AE254" s="60"/>
      <c r="AF254" s="60"/>
    </row>
    <row r="255" spans="1:32" s="96" customFormat="1" ht="38.25">
      <c r="A255" s="105"/>
      <c r="B255" s="616">
        <f t="shared" si="11"/>
        <v>145</v>
      </c>
      <c r="C255" s="604" t="s">
        <v>2064</v>
      </c>
      <c r="D255" s="596" t="s">
        <v>2065</v>
      </c>
      <c r="E255" s="596" t="s">
        <v>1930</v>
      </c>
      <c r="F255" s="643">
        <v>20</v>
      </c>
      <c r="G255" s="763">
        <v>6200</v>
      </c>
      <c r="H255" s="762">
        <f t="shared" si="10"/>
        <v>124000</v>
      </c>
      <c r="I255" s="309"/>
      <c r="J255" s="308"/>
      <c r="K255" s="60"/>
      <c r="L255" s="60"/>
      <c r="M255" s="60"/>
      <c r="N255" s="60"/>
      <c r="O255" s="60"/>
      <c r="P255" s="60"/>
      <c r="Q255" s="60"/>
      <c r="R255" s="60"/>
      <c r="S255" s="60"/>
      <c r="T255" s="60"/>
      <c r="U255" s="60"/>
      <c r="V255" s="60"/>
      <c r="W255" s="60"/>
      <c r="X255" s="60"/>
      <c r="Y255" s="60"/>
      <c r="Z255" s="60"/>
      <c r="AA255" s="60"/>
      <c r="AB255" s="60"/>
      <c r="AC255" s="60"/>
      <c r="AD255" s="60"/>
      <c r="AE255" s="60"/>
      <c r="AF255" s="60"/>
    </row>
    <row r="256" spans="1:32" s="96" customFormat="1" ht="25.5">
      <c r="A256" s="105"/>
      <c r="B256" s="616">
        <f t="shared" si="11"/>
        <v>146</v>
      </c>
      <c r="C256" s="604" t="s">
        <v>2066</v>
      </c>
      <c r="D256" s="596" t="s">
        <v>2067</v>
      </c>
      <c r="E256" s="596" t="s">
        <v>1930</v>
      </c>
      <c r="F256" s="643">
        <v>4</v>
      </c>
      <c r="G256" s="763">
        <v>26490</v>
      </c>
      <c r="H256" s="762">
        <f t="shared" si="10"/>
        <v>105960</v>
      </c>
      <c r="I256" s="309"/>
      <c r="J256" s="308"/>
      <c r="K256" s="60"/>
      <c r="L256" s="60"/>
      <c r="M256" s="60"/>
      <c r="N256" s="60"/>
      <c r="O256" s="60"/>
      <c r="P256" s="60"/>
      <c r="Q256" s="60"/>
      <c r="R256" s="60"/>
      <c r="S256" s="60"/>
      <c r="T256" s="60"/>
      <c r="U256" s="60"/>
      <c r="V256" s="60"/>
      <c r="W256" s="60"/>
      <c r="X256" s="60"/>
      <c r="Y256" s="60"/>
      <c r="Z256" s="60"/>
      <c r="AA256" s="60"/>
      <c r="AB256" s="60"/>
      <c r="AC256" s="60"/>
      <c r="AD256" s="60"/>
      <c r="AE256" s="60"/>
      <c r="AF256" s="60"/>
    </row>
    <row r="257" spans="1:32" s="96" customFormat="1" ht="63.75">
      <c r="A257" s="105"/>
      <c r="B257" s="616">
        <f t="shared" si="11"/>
        <v>147</v>
      </c>
      <c r="C257" s="604" t="s">
        <v>2068</v>
      </c>
      <c r="D257" s="765" t="s">
        <v>2069</v>
      </c>
      <c r="E257" s="596" t="s">
        <v>1930</v>
      </c>
      <c r="F257" s="643">
        <v>25</v>
      </c>
      <c r="G257" s="766">
        <v>352</v>
      </c>
      <c r="H257" s="762">
        <f t="shared" si="10"/>
        <v>8800</v>
      </c>
      <c r="I257" s="309"/>
      <c r="J257" s="308"/>
      <c r="K257" s="60"/>
      <c r="L257" s="60"/>
      <c r="M257" s="60"/>
      <c r="N257" s="60"/>
      <c r="O257" s="60"/>
      <c r="P257" s="60"/>
      <c r="Q257" s="60"/>
      <c r="R257" s="60"/>
      <c r="S257" s="60"/>
      <c r="T257" s="60"/>
      <c r="U257" s="60"/>
      <c r="V257" s="60"/>
      <c r="W257" s="60"/>
      <c r="X257" s="60"/>
      <c r="Y257" s="60"/>
      <c r="Z257" s="60"/>
      <c r="AA257" s="60"/>
      <c r="AB257" s="60"/>
      <c r="AC257" s="60"/>
      <c r="AD257" s="60"/>
      <c r="AE257" s="60"/>
      <c r="AF257" s="60"/>
    </row>
    <row r="258" spans="1:32" s="96" customFormat="1" ht="63.75">
      <c r="A258" s="105"/>
      <c r="B258" s="616">
        <f t="shared" si="11"/>
        <v>148</v>
      </c>
      <c r="C258" s="604" t="s">
        <v>2070</v>
      </c>
      <c r="D258" s="765" t="s">
        <v>2071</v>
      </c>
      <c r="E258" s="596" t="s">
        <v>233</v>
      </c>
      <c r="F258" s="643">
        <v>10</v>
      </c>
      <c r="G258" s="763">
        <v>4600</v>
      </c>
      <c r="H258" s="762">
        <f t="shared" si="10"/>
        <v>46000</v>
      </c>
      <c r="I258" s="309"/>
      <c r="J258" s="308"/>
      <c r="K258" s="60"/>
      <c r="L258" s="60"/>
      <c r="M258" s="60"/>
      <c r="N258" s="60"/>
      <c r="O258" s="60"/>
      <c r="P258" s="60"/>
      <c r="Q258" s="60"/>
      <c r="R258" s="60"/>
      <c r="S258" s="60"/>
      <c r="T258" s="60"/>
      <c r="U258" s="60"/>
      <c r="V258" s="60"/>
      <c r="W258" s="60"/>
      <c r="X258" s="60"/>
      <c r="Y258" s="60"/>
      <c r="Z258" s="60"/>
      <c r="AA258" s="60"/>
      <c r="AB258" s="60"/>
      <c r="AC258" s="60"/>
      <c r="AD258" s="60"/>
      <c r="AE258" s="60"/>
      <c r="AF258" s="60"/>
    </row>
    <row r="259" spans="1:32" s="96" customFormat="1" ht="51">
      <c r="A259" s="105"/>
      <c r="B259" s="616">
        <f t="shared" si="11"/>
        <v>149</v>
      </c>
      <c r="C259" s="770" t="s">
        <v>644</v>
      </c>
      <c r="D259" s="644" t="s">
        <v>681</v>
      </c>
      <c r="E259" s="596" t="s">
        <v>1930</v>
      </c>
      <c r="F259" s="643">
        <v>30</v>
      </c>
      <c r="G259" s="766">
        <v>660</v>
      </c>
      <c r="H259" s="762">
        <f t="shared" si="10"/>
        <v>19800</v>
      </c>
      <c r="I259" s="309"/>
      <c r="J259" s="308"/>
      <c r="K259" s="60"/>
      <c r="L259" s="60"/>
      <c r="M259" s="60"/>
      <c r="N259" s="60"/>
      <c r="O259" s="60"/>
      <c r="P259" s="60"/>
      <c r="Q259" s="60"/>
      <c r="R259" s="60"/>
      <c r="S259" s="60"/>
      <c r="T259" s="60"/>
      <c r="U259" s="60"/>
      <c r="V259" s="60"/>
      <c r="W259" s="60"/>
      <c r="X259" s="60"/>
      <c r="Y259" s="60"/>
      <c r="Z259" s="60"/>
      <c r="AA259" s="60"/>
      <c r="AB259" s="60"/>
      <c r="AC259" s="60"/>
      <c r="AD259" s="60"/>
      <c r="AE259" s="60"/>
      <c r="AF259" s="60"/>
    </row>
    <row r="260" spans="1:32" s="96" customFormat="1" ht="63.75">
      <c r="A260" s="105"/>
      <c r="B260" s="616">
        <f t="shared" si="11"/>
        <v>150</v>
      </c>
      <c r="C260" s="604" t="s">
        <v>2072</v>
      </c>
      <c r="D260" s="765" t="s">
        <v>2073</v>
      </c>
      <c r="E260" s="596" t="s">
        <v>1930</v>
      </c>
      <c r="F260" s="643">
        <v>15</v>
      </c>
      <c r="G260" s="763">
        <v>2650</v>
      </c>
      <c r="H260" s="762">
        <f t="shared" si="10"/>
        <v>39750</v>
      </c>
      <c r="I260" s="309"/>
      <c r="J260" s="308"/>
      <c r="K260" s="60"/>
      <c r="L260" s="60"/>
      <c r="M260" s="60"/>
      <c r="N260" s="60"/>
      <c r="O260" s="60"/>
      <c r="P260" s="60"/>
      <c r="Q260" s="60"/>
      <c r="R260" s="60"/>
      <c r="S260" s="60"/>
      <c r="T260" s="60"/>
      <c r="U260" s="60"/>
      <c r="V260" s="60"/>
      <c r="W260" s="60"/>
      <c r="X260" s="60"/>
      <c r="Y260" s="60"/>
      <c r="Z260" s="60"/>
      <c r="AA260" s="60"/>
      <c r="AB260" s="60"/>
      <c r="AC260" s="60"/>
      <c r="AD260" s="60"/>
      <c r="AE260" s="60"/>
      <c r="AF260" s="60"/>
    </row>
    <row r="261" spans="1:32" s="96" customFormat="1" ht="38.25">
      <c r="A261" s="105"/>
      <c r="B261" s="616">
        <f t="shared" si="11"/>
        <v>151</v>
      </c>
      <c r="C261" s="604" t="s">
        <v>645</v>
      </c>
      <c r="D261" s="596" t="s">
        <v>682</v>
      </c>
      <c r="E261" s="596" t="s">
        <v>1930</v>
      </c>
      <c r="F261" s="643">
        <v>15</v>
      </c>
      <c r="G261" s="763">
        <v>2750</v>
      </c>
      <c r="H261" s="762">
        <f t="shared" si="10"/>
        <v>41250</v>
      </c>
      <c r="I261" s="309"/>
      <c r="J261" s="308"/>
      <c r="K261" s="60"/>
      <c r="L261" s="60"/>
      <c r="M261" s="60"/>
      <c r="N261" s="60"/>
      <c r="O261" s="60"/>
      <c r="P261" s="60"/>
      <c r="Q261" s="60"/>
      <c r="R261" s="60"/>
      <c r="S261" s="60"/>
      <c r="T261" s="60"/>
      <c r="U261" s="60"/>
      <c r="V261" s="60"/>
      <c r="W261" s="60"/>
      <c r="X261" s="60"/>
      <c r="Y261" s="60"/>
      <c r="Z261" s="60"/>
      <c r="AA261" s="60"/>
      <c r="AB261" s="60"/>
      <c r="AC261" s="60"/>
      <c r="AD261" s="60"/>
      <c r="AE261" s="60"/>
      <c r="AF261" s="60"/>
    </row>
    <row r="262" spans="1:32" s="96" customFormat="1" ht="51">
      <c r="A262" s="105"/>
      <c r="B262" s="616">
        <f t="shared" si="11"/>
        <v>152</v>
      </c>
      <c r="C262" s="604" t="s">
        <v>2074</v>
      </c>
      <c r="D262" s="765" t="s">
        <v>2075</v>
      </c>
      <c r="E262" s="596" t="s">
        <v>1930</v>
      </c>
      <c r="F262" s="643">
        <v>2</v>
      </c>
      <c r="G262" s="763">
        <v>45100</v>
      </c>
      <c r="H262" s="762">
        <f t="shared" si="10"/>
        <v>90200</v>
      </c>
      <c r="I262" s="309"/>
      <c r="J262" s="308"/>
      <c r="K262" s="60"/>
      <c r="L262" s="60"/>
      <c r="M262" s="60"/>
      <c r="N262" s="60"/>
      <c r="O262" s="60"/>
      <c r="P262" s="60"/>
      <c r="Q262" s="60"/>
      <c r="R262" s="60"/>
      <c r="S262" s="60"/>
      <c r="T262" s="60"/>
      <c r="U262" s="60"/>
      <c r="V262" s="60"/>
      <c r="W262" s="60"/>
      <c r="X262" s="60"/>
      <c r="Y262" s="60"/>
      <c r="Z262" s="60"/>
      <c r="AA262" s="60"/>
      <c r="AB262" s="60"/>
      <c r="AC262" s="60"/>
      <c r="AD262" s="60"/>
      <c r="AE262" s="60"/>
      <c r="AF262" s="60"/>
    </row>
    <row r="263" spans="1:32" s="96" customFormat="1" ht="38.25">
      <c r="A263" s="105"/>
      <c r="B263" s="616">
        <f t="shared" si="11"/>
        <v>153</v>
      </c>
      <c r="C263" s="770" t="s">
        <v>2076</v>
      </c>
      <c r="D263" s="769" t="s">
        <v>2077</v>
      </c>
      <c r="E263" s="596" t="s">
        <v>1930</v>
      </c>
      <c r="F263" s="643">
        <v>1</v>
      </c>
      <c r="G263" s="763">
        <v>13100</v>
      </c>
      <c r="H263" s="762">
        <f t="shared" si="10"/>
        <v>13100</v>
      </c>
      <c r="I263" s="311"/>
      <c r="J263" s="308"/>
      <c r="K263" s="60"/>
      <c r="L263" s="60"/>
      <c r="M263" s="60"/>
      <c r="N263" s="60"/>
      <c r="O263" s="60"/>
      <c r="P263" s="60"/>
      <c r="Q263" s="60"/>
      <c r="R263" s="60"/>
      <c r="S263" s="60"/>
      <c r="T263" s="60"/>
      <c r="U263" s="60"/>
      <c r="V263" s="60"/>
      <c r="W263" s="60"/>
      <c r="X263" s="60"/>
      <c r="Y263" s="60"/>
      <c r="Z263" s="60"/>
      <c r="AA263" s="60"/>
      <c r="AB263" s="60"/>
      <c r="AC263" s="60"/>
      <c r="AD263" s="60"/>
      <c r="AE263" s="60"/>
      <c r="AF263" s="60"/>
    </row>
    <row r="264" spans="1:32" s="96" customFormat="1" ht="165.75">
      <c r="A264" s="105"/>
      <c r="B264" s="616">
        <f t="shared" si="11"/>
        <v>154</v>
      </c>
      <c r="C264" s="604" t="s">
        <v>2078</v>
      </c>
      <c r="D264" s="765" t="s">
        <v>2079</v>
      </c>
      <c r="E264" s="596" t="s">
        <v>33</v>
      </c>
      <c r="F264" s="596">
        <v>5</v>
      </c>
      <c r="G264" s="643">
        <v>5750</v>
      </c>
      <c r="H264" s="762">
        <f t="shared" si="10"/>
        <v>28750</v>
      </c>
      <c r="I264" s="311"/>
      <c r="J264" s="308"/>
      <c r="K264" s="60"/>
      <c r="L264" s="60"/>
      <c r="M264" s="60"/>
      <c r="N264" s="60"/>
      <c r="O264" s="60"/>
      <c r="P264" s="60"/>
      <c r="Q264" s="60"/>
      <c r="R264" s="60"/>
      <c r="S264" s="60"/>
      <c r="T264" s="60"/>
      <c r="U264" s="60"/>
      <c r="V264" s="60"/>
      <c r="W264" s="60"/>
      <c r="X264" s="60"/>
      <c r="Y264" s="60"/>
      <c r="Z264" s="60"/>
      <c r="AA264" s="60"/>
      <c r="AB264" s="60"/>
      <c r="AC264" s="60"/>
      <c r="AD264" s="60"/>
      <c r="AE264" s="60"/>
      <c r="AF264" s="60"/>
    </row>
    <row r="265" spans="1:32" s="96" customFormat="1" ht="178.5">
      <c r="A265" s="105"/>
      <c r="B265" s="616">
        <f t="shared" si="11"/>
        <v>155</v>
      </c>
      <c r="C265" s="604" t="s">
        <v>2080</v>
      </c>
      <c r="D265" s="765" t="s">
        <v>2081</v>
      </c>
      <c r="E265" s="596" t="s">
        <v>33</v>
      </c>
      <c r="F265" s="596">
        <v>10</v>
      </c>
      <c r="G265" s="643">
        <v>3150</v>
      </c>
      <c r="H265" s="762">
        <f t="shared" si="10"/>
        <v>31500</v>
      </c>
      <c r="I265" s="311"/>
      <c r="J265" s="308"/>
      <c r="K265" s="60"/>
      <c r="L265" s="60"/>
      <c r="M265" s="60"/>
      <c r="N265" s="60"/>
      <c r="O265" s="60"/>
      <c r="P265" s="60"/>
      <c r="Q265" s="60"/>
      <c r="R265" s="60"/>
      <c r="S265" s="60"/>
      <c r="T265" s="60"/>
      <c r="U265" s="60"/>
      <c r="V265" s="60"/>
      <c r="W265" s="60"/>
      <c r="X265" s="60"/>
      <c r="Y265" s="60"/>
      <c r="Z265" s="60"/>
      <c r="AA265" s="60"/>
      <c r="AB265" s="60"/>
      <c r="AC265" s="60"/>
      <c r="AD265" s="60"/>
      <c r="AE265" s="60"/>
      <c r="AF265" s="60"/>
    </row>
    <row r="266" spans="1:32" s="96" customFormat="1" ht="76.5">
      <c r="A266" s="105"/>
      <c r="B266" s="616">
        <f t="shared" si="11"/>
        <v>156</v>
      </c>
      <c r="C266" s="604" t="s">
        <v>2082</v>
      </c>
      <c r="D266" s="765" t="s">
        <v>2083</v>
      </c>
      <c r="E266" s="596" t="s">
        <v>33</v>
      </c>
      <c r="F266" s="596">
        <v>5</v>
      </c>
      <c r="G266" s="643">
        <v>3350</v>
      </c>
      <c r="H266" s="762">
        <f t="shared" si="10"/>
        <v>16750</v>
      </c>
      <c r="I266" s="311"/>
      <c r="J266" s="308"/>
      <c r="K266" s="60"/>
      <c r="L266" s="60"/>
      <c r="M266" s="60"/>
      <c r="N266" s="60"/>
      <c r="O266" s="60"/>
      <c r="P266" s="60"/>
      <c r="Q266" s="60"/>
      <c r="R266" s="60"/>
      <c r="S266" s="60"/>
      <c r="T266" s="60"/>
      <c r="U266" s="60"/>
      <c r="V266" s="60"/>
      <c r="W266" s="60"/>
      <c r="X266" s="60"/>
      <c r="Y266" s="60"/>
      <c r="Z266" s="60"/>
      <c r="AA266" s="60"/>
      <c r="AB266" s="60"/>
      <c r="AC266" s="60"/>
      <c r="AD266" s="60"/>
      <c r="AE266" s="60"/>
      <c r="AF266" s="60"/>
    </row>
    <row r="267" spans="1:32" s="96" customFormat="1" ht="102">
      <c r="A267" s="105"/>
      <c r="B267" s="616">
        <f t="shared" si="11"/>
        <v>157</v>
      </c>
      <c r="C267" s="604" t="s">
        <v>2084</v>
      </c>
      <c r="D267" s="765" t="s">
        <v>2085</v>
      </c>
      <c r="E267" s="596" t="s">
        <v>33</v>
      </c>
      <c r="F267" s="596">
        <v>10</v>
      </c>
      <c r="G267" s="643">
        <v>3350</v>
      </c>
      <c r="H267" s="762">
        <f t="shared" si="10"/>
        <v>33500</v>
      </c>
      <c r="I267" s="311"/>
      <c r="J267" s="308"/>
      <c r="K267" s="60"/>
      <c r="L267" s="60"/>
      <c r="M267" s="60"/>
      <c r="N267" s="60"/>
      <c r="O267" s="60"/>
      <c r="P267" s="60"/>
      <c r="Q267" s="60"/>
      <c r="R267" s="60"/>
      <c r="S267" s="60"/>
      <c r="T267" s="60"/>
      <c r="U267" s="60"/>
      <c r="V267" s="60"/>
      <c r="W267" s="60"/>
      <c r="X267" s="60"/>
      <c r="Y267" s="60"/>
      <c r="Z267" s="60"/>
      <c r="AA267" s="60"/>
      <c r="AB267" s="60"/>
      <c r="AC267" s="60"/>
      <c r="AD267" s="60"/>
      <c r="AE267" s="60"/>
      <c r="AF267" s="60"/>
    </row>
    <row r="268" spans="1:32" s="96" customFormat="1" ht="280.5">
      <c r="A268" s="105"/>
      <c r="B268" s="616">
        <f t="shared" si="11"/>
        <v>158</v>
      </c>
      <c r="C268" s="604" t="s">
        <v>2086</v>
      </c>
      <c r="D268" s="765" t="s">
        <v>2087</v>
      </c>
      <c r="E268" s="596" t="s">
        <v>33</v>
      </c>
      <c r="F268" s="596">
        <v>20</v>
      </c>
      <c r="G268" s="643">
        <v>3780</v>
      </c>
      <c r="H268" s="762">
        <f t="shared" si="10"/>
        <v>75600</v>
      </c>
      <c r="I268" s="311"/>
      <c r="J268" s="308"/>
      <c r="K268" s="60"/>
      <c r="L268" s="60"/>
      <c r="M268" s="60"/>
      <c r="N268" s="60"/>
      <c r="O268" s="60"/>
      <c r="P268" s="60"/>
      <c r="Q268" s="60"/>
      <c r="R268" s="60"/>
      <c r="S268" s="60"/>
      <c r="T268" s="60"/>
      <c r="U268" s="60"/>
      <c r="V268" s="60"/>
      <c r="W268" s="60"/>
      <c r="X268" s="60"/>
      <c r="Y268" s="60"/>
      <c r="Z268" s="60"/>
      <c r="AA268" s="60"/>
      <c r="AB268" s="60"/>
      <c r="AC268" s="60"/>
      <c r="AD268" s="60"/>
      <c r="AE268" s="60"/>
      <c r="AF268" s="60"/>
    </row>
    <row r="269" spans="1:32" s="96" customFormat="1" ht="204">
      <c r="A269" s="105"/>
      <c r="B269" s="616">
        <f t="shared" si="11"/>
        <v>159</v>
      </c>
      <c r="C269" s="604" t="s">
        <v>2088</v>
      </c>
      <c r="D269" s="765" t="s">
        <v>2089</v>
      </c>
      <c r="E269" s="596" t="s">
        <v>33</v>
      </c>
      <c r="F269" s="596">
        <v>1</v>
      </c>
      <c r="G269" s="643">
        <v>20100</v>
      </c>
      <c r="H269" s="762">
        <f t="shared" si="10"/>
        <v>20100</v>
      </c>
      <c r="I269" s="311"/>
      <c r="J269" s="308"/>
      <c r="K269" s="60"/>
      <c r="L269" s="60"/>
      <c r="M269" s="60"/>
      <c r="N269" s="60"/>
      <c r="O269" s="60"/>
      <c r="P269" s="60"/>
      <c r="Q269" s="60"/>
      <c r="R269" s="60"/>
      <c r="S269" s="60"/>
      <c r="T269" s="60"/>
      <c r="U269" s="60"/>
      <c r="V269" s="60"/>
      <c r="W269" s="60"/>
      <c r="X269" s="60"/>
      <c r="Y269" s="60"/>
      <c r="Z269" s="60"/>
      <c r="AA269" s="60"/>
      <c r="AB269" s="60"/>
      <c r="AC269" s="60"/>
      <c r="AD269" s="60"/>
      <c r="AE269" s="60"/>
      <c r="AF269" s="60"/>
    </row>
    <row r="270" spans="1:32" s="96" customFormat="1" ht="204">
      <c r="A270" s="105"/>
      <c r="B270" s="616">
        <f t="shared" si="11"/>
        <v>160</v>
      </c>
      <c r="C270" s="604" t="s">
        <v>2090</v>
      </c>
      <c r="D270" s="765" t="s">
        <v>2091</v>
      </c>
      <c r="E270" s="596" t="s">
        <v>33</v>
      </c>
      <c r="F270" s="596">
        <v>1</v>
      </c>
      <c r="G270" s="643">
        <v>26100</v>
      </c>
      <c r="H270" s="762">
        <f t="shared" si="10"/>
        <v>26100</v>
      </c>
      <c r="I270" s="311"/>
      <c r="J270" s="308"/>
      <c r="K270" s="60"/>
      <c r="L270" s="60"/>
      <c r="M270" s="60"/>
      <c r="N270" s="60"/>
      <c r="O270" s="60"/>
      <c r="P270" s="60"/>
      <c r="Q270" s="60"/>
      <c r="R270" s="60"/>
      <c r="S270" s="60"/>
      <c r="T270" s="60"/>
      <c r="U270" s="60"/>
      <c r="V270" s="60"/>
      <c r="W270" s="60"/>
      <c r="X270" s="60"/>
      <c r="Y270" s="60"/>
      <c r="Z270" s="60"/>
      <c r="AA270" s="60"/>
      <c r="AB270" s="60"/>
      <c r="AC270" s="60"/>
      <c r="AD270" s="60"/>
      <c r="AE270" s="60"/>
      <c r="AF270" s="60"/>
    </row>
    <row r="271" spans="1:32" s="96" customFormat="1" ht="204">
      <c r="A271" s="105"/>
      <c r="B271" s="616">
        <f t="shared" si="11"/>
        <v>161</v>
      </c>
      <c r="C271" s="604" t="s">
        <v>2092</v>
      </c>
      <c r="D271" s="765" t="s">
        <v>2093</v>
      </c>
      <c r="E271" s="596" t="s">
        <v>33</v>
      </c>
      <c r="F271" s="596">
        <v>1</v>
      </c>
      <c r="G271" s="643">
        <v>30100</v>
      </c>
      <c r="H271" s="762">
        <f t="shared" si="10"/>
        <v>30100</v>
      </c>
      <c r="I271" s="311"/>
      <c r="J271" s="308"/>
      <c r="K271" s="60"/>
      <c r="L271" s="60"/>
      <c r="M271" s="60"/>
      <c r="N271" s="60"/>
      <c r="O271" s="60"/>
      <c r="P271" s="60"/>
      <c r="Q271" s="60"/>
      <c r="R271" s="60"/>
      <c r="S271" s="60"/>
      <c r="T271" s="60"/>
      <c r="U271" s="60"/>
      <c r="V271" s="60"/>
      <c r="W271" s="60"/>
      <c r="X271" s="60"/>
      <c r="Y271" s="60"/>
      <c r="Z271" s="60"/>
      <c r="AA271" s="60"/>
      <c r="AB271" s="60"/>
      <c r="AC271" s="60"/>
      <c r="AD271" s="60"/>
      <c r="AE271" s="60"/>
      <c r="AF271" s="60"/>
    </row>
    <row r="272" spans="1:32" s="96" customFormat="1" ht="89.25">
      <c r="A272" s="105"/>
      <c r="B272" s="616">
        <f t="shared" si="11"/>
        <v>162</v>
      </c>
      <c r="C272" s="604" t="s">
        <v>2094</v>
      </c>
      <c r="D272" s="596" t="s">
        <v>2095</v>
      </c>
      <c r="E272" s="596" t="s">
        <v>1930</v>
      </c>
      <c r="F272" s="596">
        <v>1</v>
      </c>
      <c r="G272" s="643">
        <v>18100</v>
      </c>
      <c r="H272" s="762">
        <f t="shared" si="10"/>
        <v>18100</v>
      </c>
      <c r="I272" s="309"/>
      <c r="J272" s="308"/>
      <c r="K272" s="60"/>
      <c r="L272" s="60"/>
      <c r="M272" s="60"/>
      <c r="N272" s="60"/>
      <c r="O272" s="60"/>
      <c r="P272" s="60"/>
      <c r="Q272" s="60"/>
      <c r="R272" s="60"/>
      <c r="S272" s="60"/>
      <c r="T272" s="60"/>
      <c r="U272" s="60"/>
      <c r="V272" s="60"/>
      <c r="W272" s="60"/>
      <c r="X272" s="60"/>
      <c r="Y272" s="60"/>
      <c r="Z272" s="60"/>
      <c r="AA272" s="60"/>
      <c r="AB272" s="60"/>
      <c r="AC272" s="60"/>
      <c r="AD272" s="60"/>
      <c r="AE272" s="60"/>
      <c r="AF272" s="60"/>
    </row>
    <row r="273" spans="1:32" s="96" customFormat="1" ht="25.5">
      <c r="A273" s="105"/>
      <c r="B273" s="616">
        <f t="shared" si="11"/>
        <v>163</v>
      </c>
      <c r="C273" s="645" t="s">
        <v>2096</v>
      </c>
      <c r="D273" s="765" t="s">
        <v>2097</v>
      </c>
      <c r="E273" s="596" t="s">
        <v>1930</v>
      </c>
      <c r="F273" s="643">
        <v>1</v>
      </c>
      <c r="G273" s="763">
        <v>2300</v>
      </c>
      <c r="H273" s="762">
        <f t="shared" si="10"/>
        <v>2300</v>
      </c>
      <c r="I273" s="309"/>
      <c r="J273" s="308"/>
      <c r="K273" s="60"/>
      <c r="L273" s="60"/>
      <c r="M273" s="60"/>
      <c r="N273" s="60"/>
      <c r="O273" s="60"/>
      <c r="P273" s="60"/>
      <c r="Q273" s="60"/>
      <c r="R273" s="60"/>
      <c r="S273" s="60"/>
      <c r="T273" s="60"/>
      <c r="U273" s="60"/>
      <c r="V273" s="60"/>
      <c r="W273" s="60"/>
      <c r="X273" s="60"/>
      <c r="Y273" s="60"/>
      <c r="Z273" s="60"/>
      <c r="AA273" s="60"/>
      <c r="AB273" s="60"/>
      <c r="AC273" s="60"/>
      <c r="AD273" s="60"/>
      <c r="AE273" s="60"/>
      <c r="AF273" s="60"/>
    </row>
    <row r="274" spans="1:32" s="96" customFormat="1" ht="38.25">
      <c r="A274" s="105"/>
      <c r="B274" s="616">
        <f t="shared" si="11"/>
        <v>164</v>
      </c>
      <c r="C274" s="770" t="s">
        <v>646</v>
      </c>
      <c r="D274" s="769" t="s">
        <v>683</v>
      </c>
      <c r="E274" s="596" t="s">
        <v>1930</v>
      </c>
      <c r="F274" s="643">
        <v>1</v>
      </c>
      <c r="G274" s="763">
        <v>2300</v>
      </c>
      <c r="H274" s="762">
        <f t="shared" si="10"/>
        <v>2300</v>
      </c>
      <c r="I274" s="309"/>
      <c r="J274" s="308"/>
      <c r="K274" s="60"/>
      <c r="L274" s="60"/>
      <c r="M274" s="60"/>
      <c r="N274" s="60"/>
      <c r="O274" s="60"/>
      <c r="P274" s="60"/>
      <c r="Q274" s="60"/>
      <c r="R274" s="60"/>
      <c r="S274" s="60"/>
      <c r="T274" s="60"/>
      <c r="U274" s="60"/>
      <c r="V274" s="60"/>
      <c r="W274" s="60"/>
      <c r="X274" s="60"/>
      <c r="Y274" s="60"/>
      <c r="Z274" s="60"/>
      <c r="AA274" s="60"/>
      <c r="AB274" s="60"/>
      <c r="AC274" s="60"/>
      <c r="AD274" s="60"/>
      <c r="AE274" s="60"/>
      <c r="AF274" s="60"/>
    </row>
    <row r="275" spans="1:32" s="96" customFormat="1" ht="76.5">
      <c r="A275" s="105"/>
      <c r="B275" s="616">
        <f t="shared" si="11"/>
        <v>165</v>
      </c>
      <c r="C275" s="645" t="s">
        <v>2098</v>
      </c>
      <c r="D275" s="765" t="s">
        <v>2099</v>
      </c>
      <c r="E275" s="596" t="s">
        <v>1959</v>
      </c>
      <c r="F275" s="643">
        <v>1</v>
      </c>
      <c r="G275" s="763">
        <v>3800</v>
      </c>
      <c r="H275" s="762">
        <f t="shared" si="10"/>
        <v>3800</v>
      </c>
      <c r="I275" s="309"/>
      <c r="J275" s="308"/>
      <c r="K275" s="60"/>
      <c r="L275" s="60"/>
      <c r="M275" s="60"/>
      <c r="N275" s="60"/>
      <c r="O275" s="60"/>
      <c r="P275" s="60"/>
      <c r="Q275" s="60"/>
      <c r="R275" s="60"/>
      <c r="S275" s="60"/>
      <c r="T275" s="60"/>
      <c r="U275" s="60"/>
      <c r="V275" s="60"/>
      <c r="W275" s="60"/>
      <c r="X275" s="60"/>
      <c r="Y275" s="60"/>
      <c r="Z275" s="60"/>
      <c r="AA275" s="60"/>
      <c r="AB275" s="60"/>
      <c r="AC275" s="60"/>
      <c r="AD275" s="60"/>
      <c r="AE275" s="60"/>
      <c r="AF275" s="60"/>
    </row>
    <row r="276" spans="1:32" s="96" customFormat="1" ht="38.25">
      <c r="A276" s="105"/>
      <c r="B276" s="616">
        <f t="shared" si="11"/>
        <v>166</v>
      </c>
      <c r="C276" s="645" t="s">
        <v>2100</v>
      </c>
      <c r="D276" s="765" t="s">
        <v>2101</v>
      </c>
      <c r="E276" s="596" t="s">
        <v>1959</v>
      </c>
      <c r="F276" s="643">
        <v>1</v>
      </c>
      <c r="G276" s="763">
        <v>3000</v>
      </c>
      <c r="H276" s="762">
        <f t="shared" si="10"/>
        <v>3000</v>
      </c>
      <c r="I276" s="309"/>
      <c r="J276" s="308"/>
      <c r="K276" s="60"/>
      <c r="L276" s="60"/>
      <c r="M276" s="60"/>
      <c r="N276" s="60"/>
      <c r="O276" s="60"/>
      <c r="P276" s="60"/>
      <c r="Q276" s="60"/>
      <c r="R276" s="60"/>
      <c r="S276" s="60"/>
      <c r="T276" s="60"/>
      <c r="U276" s="60"/>
      <c r="V276" s="60"/>
      <c r="W276" s="60"/>
      <c r="X276" s="60"/>
      <c r="Y276" s="60"/>
      <c r="Z276" s="60"/>
      <c r="AA276" s="60"/>
      <c r="AB276" s="60"/>
      <c r="AC276" s="60"/>
      <c r="AD276" s="60"/>
      <c r="AE276" s="60"/>
      <c r="AF276" s="60"/>
    </row>
    <row r="277" spans="1:32" s="96" customFormat="1" ht="63.75">
      <c r="A277" s="105"/>
      <c r="B277" s="616">
        <f t="shared" si="11"/>
        <v>167</v>
      </c>
      <c r="C277" s="604" t="s">
        <v>647</v>
      </c>
      <c r="D277" s="596" t="s">
        <v>2102</v>
      </c>
      <c r="E277" s="596" t="s">
        <v>1930</v>
      </c>
      <c r="F277" s="643">
        <v>1</v>
      </c>
      <c r="G277" s="763">
        <v>5800</v>
      </c>
      <c r="H277" s="762">
        <f t="shared" si="10"/>
        <v>5800</v>
      </c>
      <c r="I277" s="309"/>
      <c r="J277" s="308"/>
      <c r="K277" s="60"/>
      <c r="L277" s="60"/>
      <c r="M277" s="60"/>
      <c r="N277" s="60"/>
      <c r="O277" s="60"/>
      <c r="P277" s="60"/>
      <c r="Q277" s="60"/>
      <c r="R277" s="60"/>
      <c r="S277" s="60"/>
      <c r="T277" s="60"/>
      <c r="U277" s="60"/>
      <c r="V277" s="60"/>
      <c r="W277" s="60"/>
      <c r="X277" s="60"/>
      <c r="Y277" s="60"/>
      <c r="Z277" s="60"/>
      <c r="AA277" s="60"/>
      <c r="AB277" s="60"/>
      <c r="AC277" s="60"/>
      <c r="AD277" s="60"/>
      <c r="AE277" s="60"/>
      <c r="AF277" s="60"/>
    </row>
    <row r="278" spans="1:32" s="96" customFormat="1" ht="63.75">
      <c r="A278" s="105"/>
      <c r="B278" s="616">
        <f t="shared" si="11"/>
        <v>168</v>
      </c>
      <c r="C278" s="604" t="s">
        <v>2103</v>
      </c>
      <c r="D278" s="596" t="s">
        <v>2104</v>
      </c>
      <c r="E278" s="596" t="s">
        <v>1930</v>
      </c>
      <c r="F278" s="643">
        <v>2</v>
      </c>
      <c r="G278" s="763">
        <v>5300</v>
      </c>
      <c r="H278" s="762">
        <f t="shared" si="10"/>
        <v>10600</v>
      </c>
      <c r="I278" s="309"/>
      <c r="J278" s="308"/>
      <c r="K278" s="60"/>
      <c r="L278" s="60"/>
      <c r="M278" s="60"/>
      <c r="N278" s="60"/>
      <c r="O278" s="60"/>
      <c r="P278" s="60"/>
      <c r="Q278" s="60"/>
      <c r="R278" s="60"/>
      <c r="S278" s="60"/>
      <c r="T278" s="60"/>
      <c r="U278" s="60"/>
      <c r="V278" s="60"/>
      <c r="W278" s="60"/>
      <c r="X278" s="60"/>
      <c r="Y278" s="60"/>
      <c r="Z278" s="60"/>
      <c r="AA278" s="60"/>
      <c r="AB278" s="60"/>
      <c r="AC278" s="60"/>
      <c r="AD278" s="60"/>
      <c r="AE278" s="60"/>
      <c r="AF278" s="60"/>
    </row>
    <row r="279" spans="1:32" s="96" customFormat="1" ht="38.25">
      <c r="A279" s="105"/>
      <c r="B279" s="616">
        <f t="shared" si="11"/>
        <v>169</v>
      </c>
      <c r="C279" s="604" t="s">
        <v>2105</v>
      </c>
      <c r="D279" s="596" t="s">
        <v>2106</v>
      </c>
      <c r="E279" s="596" t="s">
        <v>1950</v>
      </c>
      <c r="F279" s="643">
        <v>1</v>
      </c>
      <c r="G279" s="763">
        <v>2800</v>
      </c>
      <c r="H279" s="762">
        <f t="shared" si="10"/>
        <v>2800</v>
      </c>
      <c r="I279" s="309"/>
      <c r="J279" s="308"/>
      <c r="K279" s="60"/>
      <c r="L279" s="60"/>
      <c r="M279" s="60"/>
      <c r="N279" s="60"/>
      <c r="O279" s="60"/>
      <c r="P279" s="60"/>
      <c r="Q279" s="60"/>
      <c r="R279" s="60"/>
      <c r="S279" s="60"/>
      <c r="T279" s="60"/>
      <c r="U279" s="60"/>
      <c r="V279" s="60"/>
      <c r="W279" s="60"/>
      <c r="X279" s="60"/>
      <c r="Y279" s="60"/>
      <c r="Z279" s="60"/>
      <c r="AA279" s="60"/>
      <c r="AB279" s="60"/>
      <c r="AC279" s="60"/>
      <c r="AD279" s="60"/>
      <c r="AE279" s="60"/>
      <c r="AF279" s="60"/>
    </row>
    <row r="280" spans="1:32" s="96" customFormat="1" ht="89.25">
      <c r="A280" s="105"/>
      <c r="B280" s="616">
        <f t="shared" si="11"/>
        <v>170</v>
      </c>
      <c r="C280" s="604" t="s">
        <v>2107</v>
      </c>
      <c r="D280" s="765" t="s">
        <v>2108</v>
      </c>
      <c r="E280" s="596" t="s">
        <v>2109</v>
      </c>
      <c r="F280" s="643">
        <v>1</v>
      </c>
      <c r="G280" s="763">
        <v>39100</v>
      </c>
      <c r="H280" s="762">
        <f t="shared" si="10"/>
        <v>39100</v>
      </c>
      <c r="I280" s="309"/>
      <c r="J280" s="308"/>
      <c r="K280" s="60"/>
      <c r="L280" s="60"/>
      <c r="M280" s="60"/>
      <c r="N280" s="60"/>
      <c r="O280" s="60"/>
      <c r="P280" s="60"/>
      <c r="Q280" s="60"/>
      <c r="R280" s="60"/>
      <c r="S280" s="60"/>
      <c r="T280" s="60"/>
      <c r="U280" s="60"/>
      <c r="V280" s="60"/>
      <c r="W280" s="60"/>
      <c r="X280" s="60"/>
      <c r="Y280" s="60"/>
      <c r="Z280" s="60"/>
      <c r="AA280" s="60"/>
      <c r="AB280" s="60"/>
      <c r="AC280" s="60"/>
      <c r="AD280" s="60"/>
      <c r="AE280" s="60"/>
      <c r="AF280" s="60"/>
    </row>
    <row r="281" spans="1:32" s="96" customFormat="1" ht="25.5">
      <c r="A281" s="105"/>
      <c r="B281" s="616">
        <f t="shared" si="11"/>
        <v>171</v>
      </c>
      <c r="C281" s="604" t="s">
        <v>2110</v>
      </c>
      <c r="D281" s="765" t="s">
        <v>2111</v>
      </c>
      <c r="E281" s="596" t="s">
        <v>1959</v>
      </c>
      <c r="F281" s="643">
        <v>1</v>
      </c>
      <c r="G281" s="763">
        <v>1600</v>
      </c>
      <c r="H281" s="762">
        <f t="shared" si="10"/>
        <v>1600</v>
      </c>
      <c r="I281" s="309"/>
      <c r="J281" s="308"/>
      <c r="K281" s="60"/>
      <c r="L281" s="60"/>
      <c r="M281" s="60"/>
      <c r="N281" s="60"/>
      <c r="O281" s="60"/>
      <c r="P281" s="60"/>
      <c r="Q281" s="60"/>
      <c r="R281" s="60"/>
      <c r="S281" s="60"/>
      <c r="T281" s="60"/>
      <c r="U281" s="60"/>
      <c r="V281" s="60"/>
      <c r="W281" s="60"/>
      <c r="X281" s="60"/>
      <c r="Y281" s="60"/>
      <c r="Z281" s="60"/>
      <c r="AA281" s="60"/>
      <c r="AB281" s="60"/>
      <c r="AC281" s="60"/>
      <c r="AD281" s="60"/>
      <c r="AE281" s="60"/>
      <c r="AF281" s="60"/>
    </row>
    <row r="282" spans="1:32" s="96" customFormat="1" ht="51">
      <c r="A282" s="105"/>
      <c r="B282" s="616">
        <f t="shared" si="11"/>
        <v>172</v>
      </c>
      <c r="C282" s="604" t="s">
        <v>2112</v>
      </c>
      <c r="D282" s="596" t="s">
        <v>2113</v>
      </c>
      <c r="E282" s="596" t="s">
        <v>1930</v>
      </c>
      <c r="F282" s="643">
        <v>1</v>
      </c>
      <c r="G282" s="763">
        <v>2600</v>
      </c>
      <c r="H282" s="762">
        <f t="shared" si="10"/>
        <v>2600</v>
      </c>
      <c r="I282" s="309"/>
      <c r="J282" s="308"/>
      <c r="K282" s="60"/>
      <c r="L282" s="60"/>
      <c r="M282" s="60"/>
      <c r="N282" s="60"/>
      <c r="O282" s="60"/>
      <c r="P282" s="60"/>
      <c r="Q282" s="60"/>
      <c r="R282" s="60"/>
      <c r="S282" s="60"/>
      <c r="T282" s="60"/>
      <c r="U282" s="60"/>
      <c r="V282" s="60"/>
      <c r="W282" s="60"/>
      <c r="X282" s="60"/>
      <c r="Y282" s="60"/>
      <c r="Z282" s="60"/>
      <c r="AA282" s="60"/>
      <c r="AB282" s="60"/>
      <c r="AC282" s="60"/>
      <c r="AD282" s="60"/>
      <c r="AE282" s="60"/>
      <c r="AF282" s="60"/>
    </row>
    <row r="283" spans="1:32" s="96" customFormat="1" ht="25.5">
      <c r="A283" s="105"/>
      <c r="B283" s="616">
        <f t="shared" si="11"/>
        <v>173</v>
      </c>
      <c r="C283" s="604" t="s">
        <v>698</v>
      </c>
      <c r="D283" s="765" t="s">
        <v>684</v>
      </c>
      <c r="E283" s="596" t="s">
        <v>1930</v>
      </c>
      <c r="F283" s="643">
        <v>4</v>
      </c>
      <c r="G283" s="763">
        <v>4800</v>
      </c>
      <c r="H283" s="762">
        <f t="shared" si="10"/>
        <v>19200</v>
      </c>
      <c r="I283" s="309"/>
      <c r="J283" s="308"/>
      <c r="K283" s="60"/>
      <c r="L283" s="60"/>
      <c r="M283" s="60"/>
      <c r="N283" s="60"/>
      <c r="O283" s="60"/>
      <c r="P283" s="60"/>
      <c r="Q283" s="60"/>
      <c r="R283" s="60"/>
      <c r="S283" s="60"/>
      <c r="T283" s="60"/>
      <c r="U283" s="60"/>
      <c r="V283" s="60"/>
      <c r="W283" s="60"/>
      <c r="X283" s="60"/>
      <c r="Y283" s="60"/>
      <c r="Z283" s="60"/>
      <c r="AA283" s="60"/>
      <c r="AB283" s="60"/>
      <c r="AC283" s="60"/>
      <c r="AD283" s="60"/>
      <c r="AE283" s="60"/>
      <c r="AF283" s="60"/>
    </row>
    <row r="284" spans="1:32" s="96" customFormat="1" ht="38.25">
      <c r="A284" s="105"/>
      <c r="B284" s="616">
        <f t="shared" si="11"/>
        <v>174</v>
      </c>
      <c r="C284" s="771" t="s">
        <v>2114</v>
      </c>
      <c r="D284" s="596" t="s">
        <v>2115</v>
      </c>
      <c r="E284" s="596" t="s">
        <v>1930</v>
      </c>
      <c r="F284" s="643">
        <v>3</v>
      </c>
      <c r="G284" s="763">
        <v>11100</v>
      </c>
      <c r="H284" s="762">
        <f t="shared" si="10"/>
        <v>33300</v>
      </c>
      <c r="I284" s="309"/>
      <c r="J284" s="308"/>
      <c r="K284" s="60"/>
      <c r="L284" s="60"/>
      <c r="M284" s="60"/>
      <c r="N284" s="60"/>
      <c r="O284" s="60"/>
      <c r="P284" s="60"/>
      <c r="Q284" s="60"/>
      <c r="R284" s="60"/>
      <c r="S284" s="60"/>
      <c r="T284" s="60"/>
      <c r="U284" s="60"/>
      <c r="V284" s="60"/>
      <c r="W284" s="60"/>
      <c r="X284" s="60"/>
      <c r="Y284" s="60"/>
      <c r="Z284" s="60"/>
      <c r="AA284" s="60"/>
      <c r="AB284" s="60"/>
      <c r="AC284" s="60"/>
      <c r="AD284" s="60"/>
      <c r="AE284" s="60"/>
      <c r="AF284" s="60"/>
    </row>
    <row r="285" spans="1:32" s="96" customFormat="1" ht="76.5">
      <c r="A285" s="105"/>
      <c r="B285" s="616">
        <f t="shared" si="11"/>
        <v>175</v>
      </c>
      <c r="C285" s="604" t="s">
        <v>2116</v>
      </c>
      <c r="D285" s="596" t="s">
        <v>2117</v>
      </c>
      <c r="E285" s="596" t="s">
        <v>1959</v>
      </c>
      <c r="F285" s="643">
        <v>1</v>
      </c>
      <c r="G285" s="763">
        <v>2670</v>
      </c>
      <c r="H285" s="762">
        <f t="shared" si="10"/>
        <v>2670</v>
      </c>
      <c r="I285" s="309"/>
      <c r="J285" s="308"/>
      <c r="K285" s="60"/>
      <c r="L285" s="60"/>
      <c r="M285" s="60"/>
      <c r="N285" s="60"/>
      <c r="O285" s="60"/>
      <c r="P285" s="60"/>
      <c r="Q285" s="60"/>
      <c r="R285" s="60"/>
      <c r="S285" s="60"/>
      <c r="T285" s="60"/>
      <c r="U285" s="60"/>
      <c r="V285" s="60"/>
      <c r="W285" s="60"/>
      <c r="X285" s="60"/>
      <c r="Y285" s="60"/>
      <c r="Z285" s="60"/>
      <c r="AA285" s="60"/>
      <c r="AB285" s="60"/>
      <c r="AC285" s="60"/>
      <c r="AD285" s="60"/>
      <c r="AE285" s="60"/>
      <c r="AF285" s="60"/>
    </row>
    <row r="286" spans="1:32" s="96" customFormat="1" ht="51">
      <c r="A286" s="105"/>
      <c r="B286" s="616">
        <f t="shared" si="11"/>
        <v>176</v>
      </c>
      <c r="C286" s="645" t="s">
        <v>699</v>
      </c>
      <c r="D286" s="769" t="s">
        <v>685</v>
      </c>
      <c r="E286" s="596" t="s">
        <v>1930</v>
      </c>
      <c r="F286" s="643">
        <v>2</v>
      </c>
      <c r="G286" s="763">
        <v>3200</v>
      </c>
      <c r="H286" s="762">
        <f t="shared" si="10"/>
        <v>6400</v>
      </c>
      <c r="I286" s="309"/>
      <c r="J286" s="308"/>
      <c r="K286" s="60"/>
      <c r="L286" s="60"/>
      <c r="M286" s="60"/>
      <c r="N286" s="60"/>
      <c r="O286" s="60"/>
      <c r="P286" s="60"/>
      <c r="Q286" s="60"/>
      <c r="R286" s="60"/>
      <c r="S286" s="60"/>
      <c r="T286" s="60"/>
      <c r="U286" s="60"/>
      <c r="V286" s="60"/>
      <c r="W286" s="60"/>
      <c r="X286" s="60"/>
      <c r="Y286" s="60"/>
      <c r="Z286" s="60"/>
      <c r="AA286" s="60"/>
      <c r="AB286" s="60"/>
      <c r="AC286" s="60"/>
      <c r="AD286" s="60"/>
      <c r="AE286" s="60"/>
      <c r="AF286" s="60"/>
    </row>
    <row r="287" spans="1:32" s="96" customFormat="1" ht="51">
      <c r="A287" s="105"/>
      <c r="B287" s="616">
        <f t="shared" si="11"/>
        <v>177</v>
      </c>
      <c r="C287" s="604" t="s">
        <v>700</v>
      </c>
      <c r="D287" s="769" t="s">
        <v>686</v>
      </c>
      <c r="E287" s="596" t="s">
        <v>1930</v>
      </c>
      <c r="F287" s="643">
        <v>2</v>
      </c>
      <c r="G287" s="763">
        <v>3880</v>
      </c>
      <c r="H287" s="762">
        <f t="shared" si="10"/>
        <v>7760</v>
      </c>
      <c r="I287" s="309"/>
      <c r="J287" s="308"/>
      <c r="K287" s="60"/>
      <c r="L287" s="60"/>
      <c r="M287" s="60"/>
      <c r="N287" s="60"/>
      <c r="O287" s="60"/>
      <c r="P287" s="60"/>
      <c r="Q287" s="60"/>
      <c r="R287" s="60"/>
      <c r="S287" s="60"/>
      <c r="T287" s="60"/>
      <c r="U287" s="60"/>
      <c r="V287" s="60"/>
      <c r="W287" s="60"/>
      <c r="X287" s="60"/>
      <c r="Y287" s="60"/>
      <c r="Z287" s="60"/>
      <c r="AA287" s="60"/>
      <c r="AB287" s="60"/>
      <c r="AC287" s="60"/>
      <c r="AD287" s="60"/>
      <c r="AE287" s="60"/>
      <c r="AF287" s="60"/>
    </row>
    <row r="288" spans="1:32" s="96" customFormat="1" ht="114.75">
      <c r="A288" s="105"/>
      <c r="B288" s="616">
        <f t="shared" si="11"/>
        <v>178</v>
      </c>
      <c r="C288" s="604" t="s">
        <v>2118</v>
      </c>
      <c r="D288" s="596" t="s">
        <v>2119</v>
      </c>
      <c r="E288" s="596" t="s">
        <v>1930</v>
      </c>
      <c r="F288" s="643">
        <v>1</v>
      </c>
      <c r="G288" s="763">
        <v>44100</v>
      </c>
      <c r="H288" s="762">
        <f t="shared" si="10"/>
        <v>44100</v>
      </c>
      <c r="I288" s="309"/>
      <c r="J288" s="308"/>
      <c r="K288" s="60"/>
      <c r="L288" s="60"/>
      <c r="M288" s="60"/>
      <c r="N288" s="60"/>
      <c r="O288" s="60"/>
      <c r="P288" s="60"/>
      <c r="Q288" s="60"/>
      <c r="R288" s="60"/>
      <c r="S288" s="60"/>
      <c r="T288" s="60"/>
      <c r="U288" s="60"/>
      <c r="V288" s="60"/>
      <c r="W288" s="60"/>
      <c r="X288" s="60"/>
      <c r="Y288" s="60"/>
      <c r="Z288" s="60"/>
      <c r="AA288" s="60"/>
      <c r="AB288" s="60"/>
      <c r="AC288" s="60"/>
      <c r="AD288" s="60"/>
      <c r="AE288" s="60"/>
      <c r="AF288" s="60"/>
    </row>
    <row r="289" spans="1:32" s="96" customFormat="1" ht="38.25">
      <c r="A289" s="105"/>
      <c r="B289" s="616">
        <f t="shared" si="11"/>
        <v>179</v>
      </c>
      <c r="C289" s="645" t="s">
        <v>2120</v>
      </c>
      <c r="D289" s="765" t="s">
        <v>2121</v>
      </c>
      <c r="E289" s="639" t="s">
        <v>1950</v>
      </c>
      <c r="F289" s="643">
        <v>1</v>
      </c>
      <c r="G289" s="763">
        <v>25100</v>
      </c>
      <c r="H289" s="762">
        <f t="shared" si="10"/>
        <v>25100</v>
      </c>
      <c r="I289" s="309"/>
      <c r="J289" s="308"/>
      <c r="K289" s="60"/>
      <c r="L289" s="60"/>
      <c r="M289" s="60"/>
      <c r="N289" s="60"/>
      <c r="O289" s="60"/>
      <c r="P289" s="60"/>
      <c r="Q289" s="60"/>
      <c r="R289" s="60"/>
      <c r="S289" s="60"/>
      <c r="T289" s="60"/>
      <c r="U289" s="60"/>
      <c r="V289" s="60"/>
      <c r="W289" s="60"/>
      <c r="X289" s="60"/>
      <c r="Y289" s="60"/>
      <c r="Z289" s="60"/>
      <c r="AA289" s="60"/>
      <c r="AB289" s="60"/>
      <c r="AC289" s="60"/>
      <c r="AD289" s="60"/>
      <c r="AE289" s="60"/>
      <c r="AF289" s="60"/>
    </row>
    <row r="290" spans="1:32" s="96" customFormat="1" ht="25.5">
      <c r="A290" s="105"/>
      <c r="B290" s="616">
        <f t="shared" si="11"/>
        <v>180</v>
      </c>
      <c r="C290" s="604" t="s">
        <v>2122</v>
      </c>
      <c r="D290" s="769" t="s">
        <v>2123</v>
      </c>
      <c r="E290" s="639" t="s">
        <v>233</v>
      </c>
      <c r="F290" s="643">
        <v>50</v>
      </c>
      <c r="G290" s="766">
        <v>7</v>
      </c>
      <c r="H290" s="762">
        <f t="shared" si="10"/>
        <v>350</v>
      </c>
      <c r="I290" s="309"/>
      <c r="J290" s="308"/>
      <c r="K290" s="60"/>
      <c r="L290" s="60"/>
      <c r="M290" s="60"/>
      <c r="N290" s="60"/>
      <c r="O290" s="60"/>
      <c r="P290" s="60"/>
      <c r="Q290" s="60"/>
      <c r="R290" s="60"/>
      <c r="S290" s="60"/>
      <c r="T290" s="60"/>
      <c r="U290" s="60"/>
      <c r="V290" s="60"/>
      <c r="W290" s="60"/>
      <c r="X290" s="60"/>
      <c r="Y290" s="60"/>
      <c r="Z290" s="60"/>
      <c r="AA290" s="60"/>
      <c r="AB290" s="60"/>
      <c r="AC290" s="60"/>
      <c r="AD290" s="60"/>
      <c r="AE290" s="60"/>
      <c r="AF290" s="60"/>
    </row>
    <row r="291" spans="1:32" s="96" customFormat="1" ht="25.5">
      <c r="A291" s="105"/>
      <c r="B291" s="616">
        <f t="shared" si="11"/>
        <v>181</v>
      </c>
      <c r="C291" s="604" t="s">
        <v>2124</v>
      </c>
      <c r="D291" s="769" t="s">
        <v>2123</v>
      </c>
      <c r="E291" s="639" t="s">
        <v>233</v>
      </c>
      <c r="F291" s="643">
        <v>50</v>
      </c>
      <c r="G291" s="766">
        <v>7</v>
      </c>
      <c r="H291" s="762">
        <f t="shared" si="10"/>
        <v>350</v>
      </c>
      <c r="I291" s="309"/>
      <c r="J291" s="308"/>
      <c r="K291" s="60"/>
      <c r="L291" s="60"/>
      <c r="M291" s="60"/>
      <c r="N291" s="60"/>
      <c r="O291" s="60"/>
      <c r="P291" s="60"/>
      <c r="Q291" s="60"/>
      <c r="R291" s="60"/>
      <c r="S291" s="60"/>
      <c r="T291" s="60"/>
      <c r="U291" s="60"/>
      <c r="V291" s="60"/>
      <c r="W291" s="60"/>
      <c r="X291" s="60"/>
      <c r="Y291" s="60"/>
      <c r="Z291" s="60"/>
      <c r="AA291" s="60"/>
      <c r="AB291" s="60"/>
      <c r="AC291" s="60"/>
      <c r="AD291" s="60"/>
      <c r="AE291" s="60"/>
      <c r="AF291" s="60"/>
    </row>
    <row r="292" spans="1:32" s="96" customFormat="1" ht="38.25">
      <c r="A292" s="105"/>
      <c r="B292" s="616">
        <f t="shared" si="11"/>
        <v>182</v>
      </c>
      <c r="C292" s="604" t="s">
        <v>648</v>
      </c>
      <c r="D292" s="765" t="s">
        <v>687</v>
      </c>
      <c r="E292" s="639" t="s">
        <v>233</v>
      </c>
      <c r="F292" s="643">
        <v>5</v>
      </c>
      <c r="G292" s="766">
        <v>792</v>
      </c>
      <c r="H292" s="762">
        <f t="shared" si="10"/>
        <v>3960</v>
      </c>
      <c r="I292" s="309"/>
      <c r="J292" s="308"/>
      <c r="K292" s="60"/>
      <c r="L292" s="60"/>
      <c r="M292" s="60"/>
      <c r="N292" s="60"/>
      <c r="O292" s="60"/>
      <c r="P292" s="60"/>
      <c r="Q292" s="60"/>
      <c r="R292" s="60"/>
      <c r="S292" s="60"/>
      <c r="T292" s="60"/>
      <c r="U292" s="60"/>
      <c r="V292" s="60"/>
      <c r="W292" s="60"/>
      <c r="X292" s="60"/>
      <c r="Y292" s="60"/>
      <c r="Z292" s="60"/>
      <c r="AA292" s="60"/>
      <c r="AB292" s="60"/>
      <c r="AC292" s="60"/>
      <c r="AD292" s="60"/>
      <c r="AE292" s="60"/>
      <c r="AF292" s="60"/>
    </row>
    <row r="293" spans="1:32" s="96" customFormat="1" ht="38.25">
      <c r="A293" s="105"/>
      <c r="B293" s="616">
        <f t="shared" si="11"/>
        <v>183</v>
      </c>
      <c r="C293" s="604" t="s">
        <v>649</v>
      </c>
      <c r="D293" s="765" t="s">
        <v>688</v>
      </c>
      <c r="E293" s="639" t="s">
        <v>233</v>
      </c>
      <c r="F293" s="643">
        <v>5</v>
      </c>
      <c r="G293" s="766">
        <v>440</v>
      </c>
      <c r="H293" s="762">
        <f t="shared" si="10"/>
        <v>2200</v>
      </c>
      <c r="I293" s="309"/>
      <c r="J293" s="308"/>
      <c r="K293" s="60"/>
      <c r="L293" s="60"/>
      <c r="M293" s="60"/>
      <c r="N293" s="60"/>
      <c r="O293" s="60"/>
      <c r="P293" s="60"/>
      <c r="Q293" s="60"/>
      <c r="R293" s="60"/>
      <c r="S293" s="60"/>
      <c r="T293" s="60"/>
      <c r="U293" s="60"/>
      <c r="V293" s="60"/>
      <c r="W293" s="60"/>
      <c r="X293" s="60"/>
      <c r="Y293" s="60"/>
      <c r="Z293" s="60"/>
      <c r="AA293" s="60"/>
      <c r="AB293" s="60"/>
      <c r="AC293" s="60"/>
      <c r="AD293" s="60"/>
      <c r="AE293" s="60"/>
      <c r="AF293" s="60"/>
    </row>
    <row r="294" spans="1:32" s="96" customFormat="1" ht="38.25">
      <c r="A294" s="105"/>
      <c r="B294" s="616">
        <f t="shared" si="11"/>
        <v>184</v>
      </c>
      <c r="C294" s="604" t="s">
        <v>650</v>
      </c>
      <c r="D294" s="765" t="s">
        <v>689</v>
      </c>
      <c r="E294" s="639" t="s">
        <v>233</v>
      </c>
      <c r="F294" s="643">
        <v>10</v>
      </c>
      <c r="G294" s="766">
        <v>660</v>
      </c>
      <c r="H294" s="762">
        <f t="shared" si="10"/>
        <v>6600</v>
      </c>
      <c r="I294" s="310"/>
      <c r="J294" s="308"/>
      <c r="K294" s="60"/>
      <c r="L294" s="60"/>
      <c r="M294" s="60"/>
      <c r="N294" s="60"/>
      <c r="O294" s="60"/>
      <c r="P294" s="60"/>
      <c r="Q294" s="60"/>
      <c r="R294" s="60"/>
      <c r="S294" s="60"/>
      <c r="T294" s="60"/>
      <c r="U294" s="60"/>
      <c r="V294" s="60"/>
      <c r="W294" s="60"/>
      <c r="X294" s="60"/>
      <c r="Y294" s="60"/>
      <c r="Z294" s="60"/>
      <c r="AA294" s="60"/>
      <c r="AB294" s="60"/>
      <c r="AC294" s="60"/>
      <c r="AD294" s="60"/>
      <c r="AE294" s="60"/>
      <c r="AF294" s="60"/>
    </row>
    <row r="295" spans="1:32" s="96" customFormat="1" ht="25.5">
      <c r="A295" s="105"/>
      <c r="B295" s="616">
        <f t="shared" si="11"/>
        <v>185</v>
      </c>
      <c r="C295" s="645" t="s">
        <v>2125</v>
      </c>
      <c r="D295" s="765" t="s">
        <v>2126</v>
      </c>
      <c r="E295" s="639" t="s">
        <v>233</v>
      </c>
      <c r="F295" s="763">
        <v>2</v>
      </c>
      <c r="G295" s="763">
        <v>4680</v>
      </c>
      <c r="H295" s="762">
        <f t="shared" si="10"/>
        <v>9360</v>
      </c>
      <c r="I295" s="310"/>
      <c r="J295" s="308"/>
      <c r="K295" s="60"/>
      <c r="L295" s="60"/>
      <c r="M295" s="60"/>
      <c r="N295" s="60"/>
      <c r="O295" s="60"/>
      <c r="P295" s="60"/>
      <c r="Q295" s="60"/>
      <c r="R295" s="60"/>
      <c r="S295" s="60"/>
      <c r="T295" s="60"/>
      <c r="U295" s="60"/>
      <c r="V295" s="60"/>
      <c r="W295" s="60"/>
      <c r="X295" s="60"/>
      <c r="Y295" s="60"/>
      <c r="Z295" s="60"/>
      <c r="AA295" s="60"/>
      <c r="AB295" s="60"/>
      <c r="AC295" s="60"/>
      <c r="AD295" s="60"/>
      <c r="AE295" s="60"/>
      <c r="AF295" s="60"/>
    </row>
    <row r="296" spans="1:32" s="96" customFormat="1" ht="51">
      <c r="A296" s="105"/>
      <c r="B296" s="616">
        <f t="shared" si="11"/>
        <v>186</v>
      </c>
      <c r="C296" s="645" t="s">
        <v>2127</v>
      </c>
      <c r="D296" s="765" t="s">
        <v>690</v>
      </c>
      <c r="E296" s="639" t="s">
        <v>233</v>
      </c>
      <c r="F296" s="763">
        <v>3</v>
      </c>
      <c r="G296" s="763">
        <v>5300</v>
      </c>
      <c r="H296" s="762">
        <f t="shared" si="10"/>
        <v>15900</v>
      </c>
      <c r="I296" s="310"/>
      <c r="J296" s="308"/>
      <c r="K296" s="60"/>
      <c r="L296" s="60"/>
      <c r="M296" s="60"/>
      <c r="N296" s="60"/>
      <c r="O296" s="60"/>
      <c r="P296" s="60"/>
      <c r="Q296" s="60"/>
      <c r="R296" s="60"/>
      <c r="S296" s="60"/>
      <c r="T296" s="60"/>
      <c r="U296" s="60"/>
      <c r="V296" s="60"/>
      <c r="W296" s="60"/>
      <c r="X296" s="60"/>
      <c r="Y296" s="60"/>
      <c r="Z296" s="60"/>
      <c r="AA296" s="60"/>
      <c r="AB296" s="60"/>
      <c r="AC296" s="60"/>
      <c r="AD296" s="60"/>
      <c r="AE296" s="60"/>
      <c r="AF296" s="60"/>
    </row>
    <row r="297" spans="1:32" s="96" customFormat="1" ht="25.5">
      <c r="A297" s="105"/>
      <c r="B297" s="616">
        <f t="shared" si="11"/>
        <v>187</v>
      </c>
      <c r="C297" s="604" t="s">
        <v>651</v>
      </c>
      <c r="D297" s="765" t="s">
        <v>691</v>
      </c>
      <c r="E297" s="639" t="s">
        <v>2128</v>
      </c>
      <c r="F297" s="763">
        <v>2</v>
      </c>
      <c r="G297" s="763">
        <v>5100</v>
      </c>
      <c r="H297" s="762">
        <f t="shared" si="10"/>
        <v>10200</v>
      </c>
      <c r="I297" s="310"/>
      <c r="J297" s="308"/>
      <c r="K297" s="60"/>
      <c r="L297" s="60"/>
      <c r="M297" s="60"/>
      <c r="N297" s="60"/>
      <c r="O297" s="60"/>
      <c r="P297" s="60"/>
      <c r="Q297" s="60"/>
      <c r="R297" s="60"/>
      <c r="S297" s="60"/>
      <c r="T297" s="60"/>
      <c r="U297" s="60"/>
      <c r="V297" s="60"/>
      <c r="W297" s="60"/>
      <c r="X297" s="60"/>
      <c r="Y297" s="60"/>
      <c r="Z297" s="60"/>
      <c r="AA297" s="60"/>
      <c r="AB297" s="60"/>
      <c r="AC297" s="60"/>
      <c r="AD297" s="60"/>
      <c r="AE297" s="60"/>
      <c r="AF297" s="60"/>
    </row>
    <row r="298" spans="1:32" s="96" customFormat="1" ht="38.25">
      <c r="A298" s="105"/>
      <c r="B298" s="616">
        <f t="shared" si="11"/>
        <v>188</v>
      </c>
      <c r="C298" s="604" t="s">
        <v>2129</v>
      </c>
      <c r="D298" s="765" t="s">
        <v>2130</v>
      </c>
      <c r="E298" s="639" t="s">
        <v>233</v>
      </c>
      <c r="F298" s="763">
        <v>5</v>
      </c>
      <c r="G298" s="763">
        <v>4660</v>
      </c>
      <c r="H298" s="762">
        <f t="shared" si="10"/>
        <v>23300</v>
      </c>
      <c r="I298" s="310"/>
      <c r="J298" s="308"/>
      <c r="K298" s="60"/>
      <c r="L298" s="60"/>
      <c r="M298" s="60"/>
      <c r="N298" s="60"/>
      <c r="O298" s="60"/>
      <c r="P298" s="60"/>
      <c r="Q298" s="60"/>
      <c r="R298" s="60"/>
      <c r="S298" s="60"/>
      <c r="T298" s="60"/>
      <c r="U298" s="60"/>
      <c r="V298" s="60"/>
      <c r="W298" s="60"/>
      <c r="X298" s="60"/>
      <c r="Y298" s="60"/>
      <c r="Z298" s="60"/>
      <c r="AA298" s="60"/>
      <c r="AB298" s="60"/>
      <c r="AC298" s="60"/>
      <c r="AD298" s="60"/>
      <c r="AE298" s="60"/>
      <c r="AF298" s="60"/>
    </row>
    <row r="299" spans="1:32" s="96" customFormat="1" ht="38.25">
      <c r="A299" s="105"/>
      <c r="B299" s="616">
        <f t="shared" si="11"/>
        <v>189</v>
      </c>
      <c r="C299" s="604" t="s">
        <v>2131</v>
      </c>
      <c r="D299" s="596" t="s">
        <v>2132</v>
      </c>
      <c r="E299" s="639" t="s">
        <v>233</v>
      </c>
      <c r="F299" s="763">
        <v>1</v>
      </c>
      <c r="G299" s="763">
        <v>3900</v>
      </c>
      <c r="H299" s="762">
        <f t="shared" si="10"/>
        <v>3900</v>
      </c>
      <c r="I299" s="310"/>
      <c r="J299" s="308"/>
      <c r="K299" s="60"/>
      <c r="L299" s="60"/>
      <c r="M299" s="60"/>
      <c r="N299" s="60"/>
      <c r="O299" s="60"/>
      <c r="P299" s="60"/>
      <c r="Q299" s="60"/>
      <c r="R299" s="60"/>
      <c r="S299" s="60"/>
      <c r="T299" s="60"/>
      <c r="U299" s="60"/>
      <c r="V299" s="60"/>
      <c r="W299" s="60"/>
      <c r="X299" s="60"/>
      <c r="Y299" s="60"/>
      <c r="Z299" s="60"/>
      <c r="AA299" s="60"/>
      <c r="AB299" s="60"/>
      <c r="AC299" s="60"/>
      <c r="AD299" s="60"/>
      <c r="AE299" s="60"/>
      <c r="AF299" s="60"/>
    </row>
    <row r="300" spans="1:32" s="96" customFormat="1" ht="25.5">
      <c r="A300" s="105"/>
      <c r="B300" s="616">
        <f t="shared" si="11"/>
        <v>190</v>
      </c>
      <c r="C300" s="604" t="s">
        <v>2133</v>
      </c>
      <c r="D300" s="644" t="s">
        <v>692</v>
      </c>
      <c r="E300" s="639" t="s">
        <v>233</v>
      </c>
      <c r="F300" s="763">
        <v>1</v>
      </c>
      <c r="G300" s="766">
        <v>990</v>
      </c>
      <c r="H300" s="762">
        <f t="shared" si="10"/>
        <v>990</v>
      </c>
      <c r="I300" s="310"/>
      <c r="J300" s="308"/>
      <c r="K300" s="60"/>
      <c r="L300" s="60"/>
      <c r="M300" s="60"/>
      <c r="N300" s="60"/>
      <c r="O300" s="60"/>
      <c r="P300" s="60"/>
      <c r="Q300" s="60"/>
      <c r="R300" s="60"/>
      <c r="S300" s="60"/>
      <c r="T300" s="60"/>
      <c r="U300" s="60"/>
      <c r="V300" s="60"/>
      <c r="W300" s="60"/>
      <c r="X300" s="60"/>
      <c r="Y300" s="60"/>
      <c r="Z300" s="60"/>
      <c r="AA300" s="60"/>
      <c r="AB300" s="60"/>
      <c r="AC300" s="60"/>
      <c r="AD300" s="60"/>
      <c r="AE300" s="60"/>
      <c r="AF300" s="60"/>
    </row>
    <row r="301" spans="1:32" s="96" customFormat="1" ht="51">
      <c r="A301" s="105"/>
      <c r="B301" s="616">
        <f t="shared" si="11"/>
        <v>191</v>
      </c>
      <c r="C301" s="604" t="s">
        <v>2134</v>
      </c>
      <c r="D301" s="644" t="s">
        <v>2135</v>
      </c>
      <c r="E301" s="639" t="s">
        <v>233</v>
      </c>
      <c r="F301" s="763">
        <v>1</v>
      </c>
      <c r="G301" s="763">
        <v>2600</v>
      </c>
      <c r="H301" s="762">
        <f t="shared" si="10"/>
        <v>2600</v>
      </c>
      <c r="I301" s="310"/>
      <c r="J301" s="308"/>
      <c r="K301" s="60"/>
      <c r="L301" s="60"/>
      <c r="M301" s="60"/>
      <c r="N301" s="60"/>
      <c r="O301" s="60"/>
      <c r="P301" s="60"/>
      <c r="Q301" s="60"/>
      <c r="R301" s="60"/>
      <c r="S301" s="60"/>
      <c r="T301" s="60"/>
      <c r="U301" s="60"/>
      <c r="V301" s="60"/>
      <c r="W301" s="60"/>
      <c r="X301" s="60"/>
      <c r="Y301" s="60"/>
      <c r="Z301" s="60"/>
      <c r="AA301" s="60"/>
      <c r="AB301" s="60"/>
      <c r="AC301" s="60"/>
      <c r="AD301" s="60"/>
      <c r="AE301" s="60"/>
      <c r="AF301" s="60"/>
    </row>
    <row r="302" spans="1:32" s="96" customFormat="1" ht="51">
      <c r="A302" s="105"/>
      <c r="B302" s="616">
        <f t="shared" si="11"/>
        <v>192</v>
      </c>
      <c r="C302" s="604" t="s">
        <v>2136</v>
      </c>
      <c r="D302" s="644" t="s">
        <v>693</v>
      </c>
      <c r="E302" s="639" t="s">
        <v>233</v>
      </c>
      <c r="F302" s="763">
        <v>1</v>
      </c>
      <c r="G302" s="763">
        <v>3300</v>
      </c>
      <c r="H302" s="762">
        <f t="shared" si="10"/>
        <v>3300</v>
      </c>
      <c r="I302" s="310"/>
      <c r="J302" s="308"/>
      <c r="K302" s="60"/>
      <c r="L302" s="60"/>
      <c r="M302" s="60"/>
      <c r="N302" s="60"/>
      <c r="O302" s="60"/>
      <c r="P302" s="60"/>
      <c r="Q302" s="60"/>
      <c r="R302" s="60"/>
      <c r="S302" s="60"/>
      <c r="T302" s="60"/>
      <c r="U302" s="60"/>
      <c r="V302" s="60"/>
      <c r="W302" s="60"/>
      <c r="X302" s="60"/>
      <c r="Y302" s="60"/>
      <c r="Z302" s="60"/>
      <c r="AA302" s="60"/>
      <c r="AB302" s="60"/>
      <c r="AC302" s="60"/>
      <c r="AD302" s="60"/>
      <c r="AE302" s="60"/>
      <c r="AF302" s="60"/>
    </row>
    <row r="303" spans="1:32" s="96" customFormat="1" ht="114.75">
      <c r="A303" s="105"/>
      <c r="B303" s="616">
        <f t="shared" si="11"/>
        <v>193</v>
      </c>
      <c r="C303" s="604" t="s">
        <v>2137</v>
      </c>
      <c r="D303" s="644" t="s">
        <v>2138</v>
      </c>
      <c r="E303" s="639" t="s">
        <v>233</v>
      </c>
      <c r="F303" s="763">
        <v>2</v>
      </c>
      <c r="G303" s="763">
        <v>33600</v>
      </c>
      <c r="H303" s="762">
        <f t="shared" ref="H303:H310" si="12">F303*G303</f>
        <v>67200</v>
      </c>
      <c r="I303" s="307"/>
      <c r="J303" s="308"/>
      <c r="K303" s="60"/>
      <c r="L303" s="60"/>
      <c r="M303" s="60"/>
      <c r="N303" s="60"/>
      <c r="O303" s="60"/>
      <c r="P303" s="60"/>
      <c r="Q303" s="60"/>
      <c r="R303" s="60"/>
      <c r="S303" s="60"/>
      <c r="T303" s="60"/>
      <c r="U303" s="60"/>
      <c r="V303" s="60"/>
      <c r="W303" s="60"/>
      <c r="X303" s="60"/>
      <c r="Y303" s="60"/>
      <c r="Z303" s="60"/>
      <c r="AA303" s="60"/>
      <c r="AB303" s="60"/>
      <c r="AC303" s="60"/>
      <c r="AD303" s="60"/>
      <c r="AE303" s="60"/>
      <c r="AF303" s="60"/>
    </row>
    <row r="304" spans="1:32" s="96" customFormat="1" ht="25.5">
      <c r="A304" s="105"/>
      <c r="B304" s="616">
        <f t="shared" si="11"/>
        <v>194</v>
      </c>
      <c r="C304" s="613" t="s">
        <v>304</v>
      </c>
      <c r="D304" s="606" t="s">
        <v>2139</v>
      </c>
      <c r="E304" s="606" t="s">
        <v>295</v>
      </c>
      <c r="F304" s="751">
        <v>2</v>
      </c>
      <c r="G304" s="766">
        <v>495</v>
      </c>
      <c r="H304" s="762">
        <f t="shared" si="12"/>
        <v>990</v>
      </c>
      <c r="I304" s="307"/>
      <c r="J304" s="308"/>
      <c r="K304" s="60"/>
      <c r="L304" s="60"/>
      <c r="M304" s="60"/>
      <c r="N304" s="60"/>
      <c r="O304" s="60"/>
      <c r="P304" s="60"/>
      <c r="Q304" s="60"/>
      <c r="R304" s="60"/>
      <c r="S304" s="60"/>
      <c r="T304" s="60"/>
      <c r="U304" s="60"/>
      <c r="V304" s="60"/>
      <c r="W304" s="60"/>
      <c r="X304" s="60"/>
      <c r="Y304" s="60"/>
      <c r="Z304" s="60"/>
      <c r="AA304" s="60"/>
      <c r="AB304" s="60"/>
      <c r="AC304" s="60"/>
      <c r="AD304" s="60"/>
      <c r="AE304" s="60"/>
      <c r="AF304" s="60"/>
    </row>
    <row r="305" spans="1:32" s="96" customFormat="1" ht="25.5">
      <c r="A305" s="105"/>
      <c r="B305" s="616">
        <f t="shared" ref="B305:B310" si="13">B304+1</f>
        <v>195</v>
      </c>
      <c r="C305" s="613" t="s">
        <v>304</v>
      </c>
      <c r="D305" s="606" t="s">
        <v>2140</v>
      </c>
      <c r="E305" s="606" t="s">
        <v>295</v>
      </c>
      <c r="F305" s="751">
        <v>2</v>
      </c>
      <c r="G305" s="766">
        <v>715</v>
      </c>
      <c r="H305" s="762">
        <f t="shared" si="12"/>
        <v>1430</v>
      </c>
      <c r="I305" s="307"/>
      <c r="J305" s="308"/>
      <c r="K305" s="60"/>
      <c r="L305" s="60"/>
      <c r="M305" s="60"/>
      <c r="N305" s="60"/>
      <c r="O305" s="60"/>
      <c r="P305" s="60"/>
      <c r="Q305" s="60"/>
      <c r="R305" s="60"/>
      <c r="S305" s="60"/>
      <c r="T305" s="60"/>
      <c r="U305" s="60"/>
      <c r="V305" s="60"/>
      <c r="W305" s="60"/>
      <c r="X305" s="60"/>
      <c r="Y305" s="60"/>
      <c r="Z305" s="60"/>
      <c r="AA305" s="60"/>
      <c r="AB305" s="60"/>
      <c r="AC305" s="60"/>
      <c r="AD305" s="60"/>
      <c r="AE305" s="60"/>
      <c r="AF305" s="60"/>
    </row>
    <row r="306" spans="1:32" s="96" customFormat="1" ht="25.5">
      <c r="A306" s="105"/>
      <c r="B306" s="616">
        <f t="shared" si="13"/>
        <v>196</v>
      </c>
      <c r="C306" s="613" t="s">
        <v>304</v>
      </c>
      <c r="D306" s="606" t="s">
        <v>2141</v>
      </c>
      <c r="E306" s="606" t="s">
        <v>295</v>
      </c>
      <c r="F306" s="751">
        <v>2</v>
      </c>
      <c r="G306" s="766">
        <v>1045</v>
      </c>
      <c r="H306" s="762">
        <f t="shared" si="12"/>
        <v>2090</v>
      </c>
      <c r="I306" s="307"/>
      <c r="J306" s="308"/>
      <c r="K306" s="60"/>
      <c r="L306" s="60"/>
      <c r="M306" s="60"/>
      <c r="N306" s="60"/>
      <c r="O306" s="60"/>
      <c r="P306" s="60"/>
      <c r="Q306" s="60"/>
      <c r="R306" s="60"/>
      <c r="S306" s="60"/>
      <c r="T306" s="60"/>
      <c r="U306" s="60"/>
      <c r="V306" s="60"/>
      <c r="W306" s="60"/>
      <c r="X306" s="60"/>
      <c r="Y306" s="60"/>
      <c r="Z306" s="60"/>
      <c r="AA306" s="60"/>
      <c r="AB306" s="60"/>
      <c r="AC306" s="60"/>
      <c r="AD306" s="60"/>
      <c r="AE306" s="60"/>
      <c r="AF306" s="60"/>
    </row>
    <row r="307" spans="1:32" s="96" customFormat="1" ht="25.5">
      <c r="A307" s="105"/>
      <c r="B307" s="616">
        <f t="shared" si="13"/>
        <v>197</v>
      </c>
      <c r="C307" s="613" t="s">
        <v>2142</v>
      </c>
      <c r="D307" s="606" t="s">
        <v>2143</v>
      </c>
      <c r="E307" s="606" t="s">
        <v>295</v>
      </c>
      <c r="F307" s="751">
        <v>1</v>
      </c>
      <c r="G307" s="766">
        <v>748</v>
      </c>
      <c r="H307" s="762">
        <f t="shared" si="12"/>
        <v>748</v>
      </c>
      <c r="I307" s="307"/>
      <c r="J307" s="308"/>
      <c r="K307" s="60"/>
      <c r="L307" s="60"/>
      <c r="M307" s="60"/>
      <c r="N307" s="60"/>
      <c r="O307" s="60"/>
      <c r="P307" s="60"/>
      <c r="Q307" s="60"/>
      <c r="R307" s="60"/>
      <c r="S307" s="60"/>
      <c r="T307" s="60"/>
      <c r="U307" s="60"/>
      <c r="V307" s="60"/>
      <c r="W307" s="60"/>
      <c r="X307" s="60"/>
      <c r="Y307" s="60"/>
      <c r="Z307" s="60"/>
      <c r="AA307" s="60"/>
      <c r="AB307" s="60"/>
      <c r="AC307" s="60"/>
      <c r="AD307" s="60"/>
      <c r="AE307" s="60"/>
      <c r="AF307" s="60"/>
    </row>
    <row r="308" spans="1:32" s="96" customFormat="1" ht="25.5">
      <c r="A308" s="105"/>
      <c r="B308" s="616">
        <f t="shared" si="13"/>
        <v>198</v>
      </c>
      <c r="C308" s="613" t="s">
        <v>2142</v>
      </c>
      <c r="D308" s="606" t="s">
        <v>2144</v>
      </c>
      <c r="E308" s="606" t="s">
        <v>295</v>
      </c>
      <c r="F308" s="751">
        <v>1</v>
      </c>
      <c r="G308" s="766">
        <v>748</v>
      </c>
      <c r="H308" s="762">
        <f t="shared" si="12"/>
        <v>748</v>
      </c>
      <c r="I308" s="772"/>
      <c r="J308" s="308"/>
      <c r="K308" s="60"/>
      <c r="L308" s="60"/>
      <c r="M308" s="60"/>
      <c r="N308" s="60"/>
      <c r="O308" s="60"/>
      <c r="P308" s="60"/>
      <c r="Q308" s="60"/>
      <c r="R308" s="60"/>
      <c r="S308" s="60"/>
      <c r="T308" s="60"/>
      <c r="U308" s="60"/>
      <c r="V308" s="60"/>
      <c r="W308" s="60"/>
      <c r="X308" s="60"/>
      <c r="Y308" s="60"/>
      <c r="Z308" s="60"/>
      <c r="AA308" s="60"/>
      <c r="AB308" s="60"/>
      <c r="AC308" s="60"/>
      <c r="AD308" s="60"/>
      <c r="AE308" s="60"/>
      <c r="AF308" s="60"/>
    </row>
    <row r="309" spans="1:32" s="96" customFormat="1" ht="38.25">
      <c r="A309" s="105"/>
      <c r="B309" s="616">
        <f t="shared" si="13"/>
        <v>199</v>
      </c>
      <c r="C309" s="613" t="s">
        <v>2145</v>
      </c>
      <c r="D309" s="606" t="s">
        <v>2146</v>
      </c>
      <c r="E309" s="639" t="s">
        <v>2147</v>
      </c>
      <c r="F309" s="639">
        <v>3</v>
      </c>
      <c r="G309" s="763">
        <v>3300</v>
      </c>
      <c r="H309" s="762">
        <f t="shared" si="12"/>
        <v>9900</v>
      </c>
      <c r="I309" s="772"/>
      <c r="J309" s="308"/>
      <c r="K309" s="60"/>
      <c r="L309" s="60"/>
      <c r="M309" s="60"/>
      <c r="N309" s="60"/>
      <c r="O309" s="60"/>
      <c r="P309" s="60"/>
      <c r="Q309" s="60"/>
      <c r="R309" s="60"/>
      <c r="S309" s="60"/>
      <c r="T309" s="60"/>
      <c r="U309" s="60"/>
      <c r="V309" s="60"/>
      <c r="W309" s="60"/>
      <c r="X309" s="60"/>
      <c r="Y309" s="60"/>
      <c r="Z309" s="60"/>
      <c r="AA309" s="60"/>
      <c r="AB309" s="60"/>
      <c r="AC309" s="60"/>
      <c r="AD309" s="60"/>
      <c r="AE309" s="60"/>
      <c r="AF309" s="60"/>
    </row>
    <row r="310" spans="1:32" s="96" customFormat="1" ht="191.25">
      <c r="A310" s="105"/>
      <c r="B310" s="616">
        <f t="shared" si="13"/>
        <v>200</v>
      </c>
      <c r="C310" s="613" t="s">
        <v>652</v>
      </c>
      <c r="D310" s="606" t="s">
        <v>2148</v>
      </c>
      <c r="E310" s="639" t="s">
        <v>33</v>
      </c>
      <c r="F310" s="639">
        <v>3</v>
      </c>
      <c r="G310" s="763">
        <v>2530</v>
      </c>
      <c r="H310" s="762">
        <f t="shared" si="12"/>
        <v>7590</v>
      </c>
      <c r="I310" s="60"/>
      <c r="J310" s="308"/>
      <c r="K310" s="60"/>
      <c r="L310" s="60"/>
      <c r="M310" s="60"/>
      <c r="N310" s="60"/>
      <c r="O310" s="60"/>
      <c r="P310" s="60"/>
      <c r="Q310" s="60"/>
      <c r="R310" s="60"/>
      <c r="S310" s="60"/>
      <c r="T310" s="60"/>
      <c r="U310" s="60"/>
      <c r="V310" s="60"/>
      <c r="W310" s="60"/>
      <c r="X310" s="60"/>
      <c r="Y310" s="60"/>
      <c r="Z310" s="60"/>
      <c r="AA310" s="60"/>
      <c r="AB310" s="60"/>
      <c r="AC310" s="60"/>
      <c r="AD310" s="60"/>
      <c r="AE310" s="60"/>
      <c r="AF310" s="60"/>
    </row>
    <row r="311" spans="1:32" s="43" customFormat="1" ht="15">
      <c r="A311" s="105"/>
      <c r="B311" s="623"/>
      <c r="C311" s="773" t="s">
        <v>220</v>
      </c>
      <c r="D311" s="774"/>
      <c r="E311" s="775"/>
      <c r="F311" s="776"/>
      <c r="G311" s="776"/>
      <c r="H311" s="777">
        <f>SUM(H312:H342)</f>
        <v>1660445</v>
      </c>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row>
    <row r="312" spans="1:32" s="96" customFormat="1" ht="25.5">
      <c r="A312" s="105"/>
      <c r="B312" s="778">
        <v>1</v>
      </c>
      <c r="C312" s="610" t="s">
        <v>2149</v>
      </c>
      <c r="D312" s="610" t="s">
        <v>2150</v>
      </c>
      <c r="E312" s="606" t="s">
        <v>1930</v>
      </c>
      <c r="F312" s="751">
        <v>5</v>
      </c>
      <c r="G312" s="767">
        <v>3200</v>
      </c>
      <c r="H312" s="762">
        <f>F312*G312</f>
        <v>16000</v>
      </c>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row>
    <row r="313" spans="1:32" s="96" customFormat="1" ht="15">
      <c r="A313" s="105"/>
      <c r="B313" s="778">
        <f>B312+1</f>
        <v>2</v>
      </c>
      <c r="C313" s="610" t="s">
        <v>303</v>
      </c>
      <c r="D313" s="779" t="s">
        <v>719</v>
      </c>
      <c r="E313" s="606" t="s">
        <v>1930</v>
      </c>
      <c r="F313" s="751">
        <v>5</v>
      </c>
      <c r="G313" s="766">
        <v>825</v>
      </c>
      <c r="H313" s="762">
        <f t="shared" ref="H313:H341" si="14">F313*G313</f>
        <v>4125</v>
      </c>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row>
    <row r="314" spans="1:32" s="96" customFormat="1" ht="15">
      <c r="A314" s="105"/>
      <c r="B314" s="778">
        <f t="shared" ref="B314:B342" si="15">B313+1</f>
        <v>3</v>
      </c>
      <c r="C314" s="610" t="s">
        <v>303</v>
      </c>
      <c r="D314" s="779" t="s">
        <v>720</v>
      </c>
      <c r="E314" s="606" t="s">
        <v>1930</v>
      </c>
      <c r="F314" s="751">
        <v>5</v>
      </c>
      <c r="G314" s="766">
        <v>1045</v>
      </c>
      <c r="H314" s="762">
        <f t="shared" si="14"/>
        <v>5225</v>
      </c>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row>
    <row r="315" spans="1:32" s="96" customFormat="1" ht="15">
      <c r="A315" s="105"/>
      <c r="B315" s="778">
        <f t="shared" si="15"/>
        <v>4</v>
      </c>
      <c r="C315" s="610" t="s">
        <v>303</v>
      </c>
      <c r="D315" s="779" t="s">
        <v>721</v>
      </c>
      <c r="E315" s="606" t="s">
        <v>1930</v>
      </c>
      <c r="F315" s="751">
        <v>5</v>
      </c>
      <c r="G315" s="767">
        <v>2535</v>
      </c>
      <c r="H315" s="762">
        <f t="shared" si="14"/>
        <v>12675</v>
      </c>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row>
    <row r="316" spans="1:32" s="96" customFormat="1" ht="15">
      <c r="A316" s="105"/>
      <c r="B316" s="778">
        <f t="shared" si="15"/>
        <v>5</v>
      </c>
      <c r="C316" s="779" t="s">
        <v>330</v>
      </c>
      <c r="D316" s="779" t="s">
        <v>722</v>
      </c>
      <c r="E316" s="606" t="s">
        <v>1930</v>
      </c>
      <c r="F316" s="599">
        <v>5</v>
      </c>
      <c r="G316" s="780">
        <v>396</v>
      </c>
      <c r="H316" s="762">
        <f t="shared" si="14"/>
        <v>1980</v>
      </c>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row>
    <row r="317" spans="1:32" s="96" customFormat="1" ht="25.5">
      <c r="A317" s="105"/>
      <c r="B317" s="778">
        <f t="shared" si="15"/>
        <v>6</v>
      </c>
      <c r="C317" s="779" t="s">
        <v>2151</v>
      </c>
      <c r="D317" s="779" t="s">
        <v>2152</v>
      </c>
      <c r="E317" s="606" t="s">
        <v>1930</v>
      </c>
      <c r="F317" s="599">
        <v>5</v>
      </c>
      <c r="G317" s="768">
        <v>26400</v>
      </c>
      <c r="H317" s="762">
        <f t="shared" si="14"/>
        <v>132000</v>
      </c>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row>
    <row r="318" spans="1:32" s="96" customFormat="1" ht="25.5">
      <c r="A318" s="105"/>
      <c r="B318" s="778">
        <f t="shared" si="15"/>
        <v>7</v>
      </c>
      <c r="C318" s="610" t="s">
        <v>701</v>
      </c>
      <c r="D318" s="781" t="s">
        <v>723</v>
      </c>
      <c r="E318" s="606" t="s">
        <v>1930</v>
      </c>
      <c r="F318" s="751">
        <v>100</v>
      </c>
      <c r="G318" s="767">
        <v>1920</v>
      </c>
      <c r="H318" s="762">
        <f t="shared" si="14"/>
        <v>192000</v>
      </c>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row>
    <row r="319" spans="1:32" s="96" customFormat="1" ht="25.5">
      <c r="A319" s="105"/>
      <c r="B319" s="778">
        <f t="shared" si="15"/>
        <v>8</v>
      </c>
      <c r="C319" s="610" t="s">
        <v>701</v>
      </c>
      <c r="D319" s="781" t="s">
        <v>724</v>
      </c>
      <c r="E319" s="606" t="s">
        <v>1930</v>
      </c>
      <c r="F319" s="751">
        <v>100</v>
      </c>
      <c r="G319" s="767">
        <v>1450</v>
      </c>
      <c r="H319" s="762">
        <f t="shared" si="14"/>
        <v>145000</v>
      </c>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row>
    <row r="320" spans="1:32" s="96" customFormat="1" ht="15">
      <c r="A320" s="105"/>
      <c r="B320" s="778">
        <f t="shared" si="15"/>
        <v>9</v>
      </c>
      <c r="C320" s="610" t="s">
        <v>702</v>
      </c>
      <c r="D320" s="610" t="s">
        <v>725</v>
      </c>
      <c r="E320" s="606" t="s">
        <v>1930</v>
      </c>
      <c r="F320" s="751">
        <v>5</v>
      </c>
      <c r="G320" s="767">
        <v>9800</v>
      </c>
      <c r="H320" s="762">
        <f t="shared" si="14"/>
        <v>49000</v>
      </c>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row>
    <row r="321" spans="1:32" s="96" customFormat="1" ht="15">
      <c r="A321" s="105"/>
      <c r="B321" s="778">
        <f t="shared" si="15"/>
        <v>10</v>
      </c>
      <c r="C321" s="779" t="s">
        <v>703</v>
      </c>
      <c r="D321" s="781" t="s">
        <v>726</v>
      </c>
      <c r="E321" s="606" t="s">
        <v>740</v>
      </c>
      <c r="F321" s="782">
        <v>50</v>
      </c>
      <c r="G321" s="766">
        <v>160</v>
      </c>
      <c r="H321" s="762">
        <f t="shared" si="14"/>
        <v>8000</v>
      </c>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row>
    <row r="322" spans="1:32" s="96" customFormat="1" ht="15">
      <c r="A322" s="105"/>
      <c r="B322" s="778">
        <f t="shared" si="15"/>
        <v>11</v>
      </c>
      <c r="C322" s="779" t="s">
        <v>704</v>
      </c>
      <c r="D322" s="779" t="s">
        <v>727</v>
      </c>
      <c r="E322" s="606" t="s">
        <v>740</v>
      </c>
      <c r="F322" s="599">
        <v>100</v>
      </c>
      <c r="G322" s="780">
        <v>440</v>
      </c>
      <c r="H322" s="762">
        <f t="shared" si="14"/>
        <v>44000</v>
      </c>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row>
    <row r="323" spans="1:32" s="96" customFormat="1" ht="15">
      <c r="A323" s="105"/>
      <c r="B323" s="778">
        <f t="shared" si="15"/>
        <v>12</v>
      </c>
      <c r="C323" s="779" t="s">
        <v>704</v>
      </c>
      <c r="D323" s="779" t="s">
        <v>728</v>
      </c>
      <c r="E323" s="606" t="s">
        <v>740</v>
      </c>
      <c r="F323" s="599">
        <v>100</v>
      </c>
      <c r="G323" s="780">
        <v>737</v>
      </c>
      <c r="H323" s="762">
        <f t="shared" si="14"/>
        <v>73700</v>
      </c>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row>
    <row r="324" spans="1:32" s="96" customFormat="1" ht="25.5">
      <c r="A324" s="105"/>
      <c r="B324" s="778">
        <f t="shared" si="15"/>
        <v>13</v>
      </c>
      <c r="C324" s="779" t="s">
        <v>705</v>
      </c>
      <c r="D324" s="779" t="s">
        <v>729</v>
      </c>
      <c r="E324" s="606" t="s">
        <v>1930</v>
      </c>
      <c r="F324" s="599">
        <v>10</v>
      </c>
      <c r="G324" s="780">
        <v>792</v>
      </c>
      <c r="H324" s="762">
        <f t="shared" si="14"/>
        <v>7920</v>
      </c>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row>
    <row r="325" spans="1:32" s="96" customFormat="1" ht="25.5">
      <c r="A325" s="105"/>
      <c r="B325" s="778">
        <f t="shared" si="15"/>
        <v>14</v>
      </c>
      <c r="C325" s="779" t="s">
        <v>706</v>
      </c>
      <c r="D325" s="779" t="s">
        <v>729</v>
      </c>
      <c r="E325" s="606" t="s">
        <v>1930</v>
      </c>
      <c r="F325" s="599">
        <v>10</v>
      </c>
      <c r="G325" s="780">
        <v>1650</v>
      </c>
      <c r="H325" s="762">
        <f t="shared" si="14"/>
        <v>16500</v>
      </c>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row>
    <row r="326" spans="1:32" s="96" customFormat="1" ht="25.5">
      <c r="A326" s="105"/>
      <c r="B326" s="778">
        <f t="shared" si="15"/>
        <v>15</v>
      </c>
      <c r="C326" s="779" t="s">
        <v>707</v>
      </c>
      <c r="D326" s="779" t="s">
        <v>729</v>
      </c>
      <c r="E326" s="606" t="s">
        <v>1930</v>
      </c>
      <c r="F326" s="599">
        <v>10</v>
      </c>
      <c r="G326" s="780">
        <v>660</v>
      </c>
      <c r="H326" s="762">
        <f t="shared" si="14"/>
        <v>6600</v>
      </c>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row>
    <row r="327" spans="1:32" s="96" customFormat="1" ht="25.5">
      <c r="A327" s="105"/>
      <c r="B327" s="778">
        <f t="shared" si="15"/>
        <v>16</v>
      </c>
      <c r="C327" s="779" t="s">
        <v>708</v>
      </c>
      <c r="D327" s="779" t="s">
        <v>730</v>
      </c>
      <c r="E327" s="606" t="s">
        <v>1930</v>
      </c>
      <c r="F327" s="599">
        <v>10</v>
      </c>
      <c r="G327" s="780">
        <v>990</v>
      </c>
      <c r="H327" s="762">
        <f>F327*G327</f>
        <v>9900</v>
      </c>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row>
    <row r="328" spans="1:32" s="96" customFormat="1" ht="25.5">
      <c r="A328" s="105"/>
      <c r="B328" s="778">
        <f t="shared" si="15"/>
        <v>17</v>
      </c>
      <c r="C328" s="779" t="s">
        <v>709</v>
      </c>
      <c r="D328" s="779" t="s">
        <v>731</v>
      </c>
      <c r="E328" s="606" t="s">
        <v>1930</v>
      </c>
      <c r="F328" s="599">
        <v>10</v>
      </c>
      <c r="G328" s="768">
        <v>1170</v>
      </c>
      <c r="H328" s="762">
        <f t="shared" si="14"/>
        <v>11700</v>
      </c>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row>
    <row r="329" spans="1:32" s="96" customFormat="1" ht="25.5">
      <c r="A329" s="105"/>
      <c r="B329" s="778">
        <f t="shared" si="15"/>
        <v>18</v>
      </c>
      <c r="C329" s="779" t="s">
        <v>710</v>
      </c>
      <c r="D329" s="779" t="s">
        <v>732</v>
      </c>
      <c r="E329" s="606" t="s">
        <v>1930</v>
      </c>
      <c r="F329" s="599">
        <v>10</v>
      </c>
      <c r="G329" s="780">
        <v>1062</v>
      </c>
      <c r="H329" s="762">
        <f t="shared" si="14"/>
        <v>10620</v>
      </c>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row>
    <row r="330" spans="1:32" s="96" customFormat="1" ht="25.5">
      <c r="A330" s="105"/>
      <c r="B330" s="778">
        <f t="shared" si="15"/>
        <v>19</v>
      </c>
      <c r="C330" s="779" t="s">
        <v>711</v>
      </c>
      <c r="D330" s="779" t="s">
        <v>2153</v>
      </c>
      <c r="E330" s="606" t="s">
        <v>1930</v>
      </c>
      <c r="F330" s="599">
        <v>10</v>
      </c>
      <c r="G330" s="780">
        <v>550</v>
      </c>
      <c r="H330" s="762">
        <f t="shared" si="14"/>
        <v>5500</v>
      </c>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row>
    <row r="331" spans="1:32" s="96" customFormat="1" ht="25.5">
      <c r="A331" s="105"/>
      <c r="B331" s="778">
        <f t="shared" si="15"/>
        <v>20</v>
      </c>
      <c r="C331" s="779" t="s">
        <v>712</v>
      </c>
      <c r="D331" s="779" t="s">
        <v>733</v>
      </c>
      <c r="E331" s="606" t="s">
        <v>1930</v>
      </c>
      <c r="F331" s="751">
        <v>20</v>
      </c>
      <c r="G331" s="766">
        <v>385</v>
      </c>
      <c r="H331" s="762">
        <f t="shared" si="14"/>
        <v>7700</v>
      </c>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row>
    <row r="332" spans="1:32" s="96" customFormat="1" ht="25.5">
      <c r="A332" s="105"/>
      <c r="B332" s="778">
        <f t="shared" si="15"/>
        <v>21</v>
      </c>
      <c r="C332" s="779" t="s">
        <v>713</v>
      </c>
      <c r="D332" s="779" t="s">
        <v>734</v>
      </c>
      <c r="E332" s="606" t="s">
        <v>1930</v>
      </c>
      <c r="F332" s="599">
        <v>20</v>
      </c>
      <c r="G332" s="768">
        <v>13600</v>
      </c>
      <c r="H332" s="762">
        <f t="shared" si="14"/>
        <v>272000</v>
      </c>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row>
    <row r="333" spans="1:32" s="96" customFormat="1" ht="25.5">
      <c r="A333" s="105"/>
      <c r="B333" s="778">
        <f t="shared" si="15"/>
        <v>22</v>
      </c>
      <c r="C333" s="779" t="s">
        <v>714</v>
      </c>
      <c r="D333" s="779" t="s">
        <v>735</v>
      </c>
      <c r="E333" s="606" t="s">
        <v>1930</v>
      </c>
      <c r="F333" s="599">
        <v>20</v>
      </c>
      <c r="G333" s="768">
        <v>14068</v>
      </c>
      <c r="H333" s="762">
        <f t="shared" si="14"/>
        <v>281360</v>
      </c>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row>
    <row r="334" spans="1:32" s="96" customFormat="1" ht="38.25">
      <c r="A334" s="105"/>
      <c r="B334" s="778">
        <f t="shared" si="15"/>
        <v>23</v>
      </c>
      <c r="C334" s="779" t="s">
        <v>715</v>
      </c>
      <c r="D334" s="779" t="s">
        <v>736</v>
      </c>
      <c r="E334" s="606" t="s">
        <v>1930</v>
      </c>
      <c r="F334" s="599">
        <v>10</v>
      </c>
      <c r="G334" s="768">
        <v>2000</v>
      </c>
      <c r="H334" s="762">
        <f t="shared" si="14"/>
        <v>20000</v>
      </c>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row>
    <row r="335" spans="1:32" s="96" customFormat="1" ht="25.5">
      <c r="A335" s="105"/>
      <c r="B335" s="778">
        <f t="shared" si="15"/>
        <v>24</v>
      </c>
      <c r="C335" s="779" t="s">
        <v>716</v>
      </c>
      <c r="D335" s="779" t="s">
        <v>737</v>
      </c>
      <c r="E335" s="606" t="s">
        <v>2154</v>
      </c>
      <c r="F335" s="599">
        <v>3</v>
      </c>
      <c r="G335" s="768">
        <v>1265</v>
      </c>
      <c r="H335" s="762">
        <f t="shared" si="14"/>
        <v>3795</v>
      </c>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row>
    <row r="336" spans="1:32" s="102" customFormat="1" ht="25.5">
      <c r="A336" s="105"/>
      <c r="B336" s="778">
        <f t="shared" si="15"/>
        <v>25</v>
      </c>
      <c r="C336" s="779" t="s">
        <v>716</v>
      </c>
      <c r="D336" s="779" t="s">
        <v>738</v>
      </c>
      <c r="E336" s="606" t="s">
        <v>2154</v>
      </c>
      <c r="F336" s="599">
        <v>3</v>
      </c>
      <c r="G336" s="768">
        <v>1825</v>
      </c>
      <c r="H336" s="762">
        <f t="shared" si="14"/>
        <v>5475</v>
      </c>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row>
    <row r="337" spans="1:32" s="102" customFormat="1" ht="25.5">
      <c r="A337" s="105"/>
      <c r="B337" s="778">
        <f t="shared" si="15"/>
        <v>26</v>
      </c>
      <c r="C337" s="779" t="s">
        <v>716</v>
      </c>
      <c r="D337" s="779" t="s">
        <v>2155</v>
      </c>
      <c r="E337" s="606" t="s">
        <v>2154</v>
      </c>
      <c r="F337" s="599">
        <v>2</v>
      </c>
      <c r="G337" s="768">
        <v>2385</v>
      </c>
      <c r="H337" s="762">
        <f t="shared" si="14"/>
        <v>4770</v>
      </c>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row>
    <row r="338" spans="1:32" s="102" customFormat="1" ht="38.25">
      <c r="A338" s="105"/>
      <c r="B338" s="778">
        <f t="shared" si="15"/>
        <v>27</v>
      </c>
      <c r="C338" s="779" t="s">
        <v>2156</v>
      </c>
      <c r="D338" s="779" t="s">
        <v>2157</v>
      </c>
      <c r="E338" s="606" t="s">
        <v>1930</v>
      </c>
      <c r="F338" s="599">
        <v>1</v>
      </c>
      <c r="G338" s="768">
        <v>37300</v>
      </c>
      <c r="H338" s="762">
        <f t="shared" si="14"/>
        <v>37300</v>
      </c>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row>
    <row r="339" spans="1:32" s="102" customFormat="1" ht="25.5">
      <c r="A339" s="105"/>
      <c r="B339" s="778">
        <f t="shared" si="15"/>
        <v>28</v>
      </c>
      <c r="C339" s="779" t="s">
        <v>2158</v>
      </c>
      <c r="D339" s="779" t="s">
        <v>2159</v>
      </c>
      <c r="E339" s="606" t="s">
        <v>1930</v>
      </c>
      <c r="F339" s="599">
        <v>1</v>
      </c>
      <c r="G339" s="768">
        <v>46300</v>
      </c>
      <c r="H339" s="762">
        <f t="shared" si="14"/>
        <v>46300</v>
      </c>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row>
    <row r="340" spans="1:32" s="102" customFormat="1" ht="165.75">
      <c r="A340" s="105"/>
      <c r="B340" s="778">
        <f t="shared" si="15"/>
        <v>29</v>
      </c>
      <c r="C340" s="779" t="s">
        <v>717</v>
      </c>
      <c r="D340" s="610" t="s">
        <v>2160</v>
      </c>
      <c r="E340" s="606" t="s">
        <v>1930</v>
      </c>
      <c r="F340" s="599">
        <v>1</v>
      </c>
      <c r="G340" s="768">
        <v>6100</v>
      </c>
      <c r="H340" s="762">
        <f t="shared" si="14"/>
        <v>6100</v>
      </c>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row>
    <row r="341" spans="1:32" s="102" customFormat="1" ht="25.5">
      <c r="A341" s="105"/>
      <c r="B341" s="778">
        <f t="shared" si="15"/>
        <v>30</v>
      </c>
      <c r="C341" s="779" t="s">
        <v>718</v>
      </c>
      <c r="D341" s="779" t="s">
        <v>739</v>
      </c>
      <c r="E341" s="606" t="s">
        <v>1930</v>
      </c>
      <c r="F341" s="599">
        <v>1</v>
      </c>
      <c r="G341" s="768">
        <v>2200</v>
      </c>
      <c r="H341" s="762">
        <f t="shared" si="14"/>
        <v>2200</v>
      </c>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row>
    <row r="342" spans="1:32" s="102" customFormat="1" ht="51">
      <c r="A342" s="105"/>
      <c r="B342" s="778">
        <f t="shared" si="15"/>
        <v>31</v>
      </c>
      <c r="C342" s="779" t="s">
        <v>2161</v>
      </c>
      <c r="D342" s="779" t="s">
        <v>2162</v>
      </c>
      <c r="E342" s="606" t="s">
        <v>1930</v>
      </c>
      <c r="F342" s="599">
        <v>10</v>
      </c>
      <c r="G342" s="768">
        <v>22100</v>
      </c>
      <c r="H342" s="762">
        <f>F342*G342</f>
        <v>221000</v>
      </c>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row>
    <row r="343" spans="1:32" s="43" customFormat="1" ht="15">
      <c r="A343" s="105"/>
      <c r="B343" s="623"/>
      <c r="C343" s="783" t="s">
        <v>213</v>
      </c>
      <c r="D343" s="775"/>
      <c r="E343" s="775"/>
      <c r="F343" s="776"/>
      <c r="G343" s="784"/>
      <c r="H343" s="785">
        <f>SUM(H344:H366)</f>
        <v>3100625</v>
      </c>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row>
    <row r="344" spans="1:32" s="96" customFormat="1" ht="51">
      <c r="A344" s="105"/>
      <c r="B344" s="778">
        <v>1</v>
      </c>
      <c r="C344" s="610" t="s">
        <v>346</v>
      </c>
      <c r="D344" s="610" t="s">
        <v>744</v>
      </c>
      <c r="E344" s="606" t="s">
        <v>295</v>
      </c>
      <c r="F344" s="751">
        <v>75</v>
      </c>
      <c r="G344" s="767">
        <v>638</v>
      </c>
      <c r="H344" s="762">
        <f t="shared" ref="H344:H366" si="16">F344*G344</f>
        <v>47850</v>
      </c>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row>
    <row r="345" spans="1:32" s="96" customFormat="1" ht="25.5">
      <c r="A345" s="105"/>
      <c r="B345" s="778">
        <f t="shared" ref="B345:B366" si="17">B344+1</f>
        <v>2</v>
      </c>
      <c r="C345" s="610" t="s">
        <v>741</v>
      </c>
      <c r="D345" s="610" t="s">
        <v>745</v>
      </c>
      <c r="E345" s="606" t="s">
        <v>295</v>
      </c>
      <c r="F345" s="751">
        <v>60</v>
      </c>
      <c r="G345" s="766">
        <v>2450</v>
      </c>
      <c r="H345" s="762">
        <f t="shared" si="16"/>
        <v>147000</v>
      </c>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row>
    <row r="346" spans="1:32" s="96" customFormat="1" ht="63.75">
      <c r="A346" s="105"/>
      <c r="B346" s="778">
        <f t="shared" si="17"/>
        <v>3</v>
      </c>
      <c r="C346" s="610" t="s">
        <v>347</v>
      </c>
      <c r="D346" s="610" t="s">
        <v>2163</v>
      </c>
      <c r="E346" s="606" t="s">
        <v>1930</v>
      </c>
      <c r="F346" s="751">
        <v>500</v>
      </c>
      <c r="G346" s="767">
        <v>605</v>
      </c>
      <c r="H346" s="762">
        <f t="shared" si="16"/>
        <v>302500</v>
      </c>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row>
    <row r="347" spans="1:32" s="96" customFormat="1" ht="38.25">
      <c r="A347" s="105"/>
      <c r="B347" s="778">
        <f t="shared" si="17"/>
        <v>4</v>
      </c>
      <c r="C347" s="610" t="s">
        <v>348</v>
      </c>
      <c r="D347" s="610" t="s">
        <v>577</v>
      </c>
      <c r="E347" s="606" t="s">
        <v>1930</v>
      </c>
      <c r="F347" s="751">
        <v>75</v>
      </c>
      <c r="G347" s="766">
        <v>1350</v>
      </c>
      <c r="H347" s="762">
        <f t="shared" si="16"/>
        <v>101250</v>
      </c>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row>
    <row r="348" spans="1:32" s="96" customFormat="1" ht="25.5">
      <c r="A348" s="105"/>
      <c r="B348" s="778">
        <f t="shared" si="17"/>
        <v>5</v>
      </c>
      <c r="C348" s="610" t="s">
        <v>348</v>
      </c>
      <c r="D348" s="610" t="s">
        <v>2164</v>
      </c>
      <c r="E348" s="606" t="s">
        <v>1930</v>
      </c>
      <c r="F348" s="751">
        <v>20</v>
      </c>
      <c r="G348" s="767">
        <v>2900</v>
      </c>
      <c r="H348" s="762">
        <f t="shared" si="16"/>
        <v>58000</v>
      </c>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row>
    <row r="349" spans="1:32" s="96" customFormat="1" ht="63.75">
      <c r="A349" s="105"/>
      <c r="B349" s="778">
        <f t="shared" si="17"/>
        <v>6</v>
      </c>
      <c r="C349" s="602" t="s">
        <v>349</v>
      </c>
      <c r="D349" s="610" t="s">
        <v>578</v>
      </c>
      <c r="E349" s="606" t="s">
        <v>1930</v>
      </c>
      <c r="F349" s="751">
        <v>15</v>
      </c>
      <c r="G349" s="766">
        <v>4900</v>
      </c>
      <c r="H349" s="762">
        <f t="shared" si="16"/>
        <v>73500</v>
      </c>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row>
    <row r="350" spans="1:32" s="96" customFormat="1" ht="25.5">
      <c r="A350" s="105"/>
      <c r="B350" s="778">
        <f t="shared" si="17"/>
        <v>7</v>
      </c>
      <c r="C350" s="610" t="s">
        <v>350</v>
      </c>
      <c r="D350" s="610" t="s">
        <v>579</v>
      </c>
      <c r="E350" s="606" t="s">
        <v>1930</v>
      </c>
      <c r="F350" s="751">
        <v>50</v>
      </c>
      <c r="G350" s="767">
        <v>495.00000000000006</v>
      </c>
      <c r="H350" s="762">
        <f t="shared" si="16"/>
        <v>24750.000000000004</v>
      </c>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row>
    <row r="351" spans="1:32" s="96" customFormat="1" ht="25.5">
      <c r="A351" s="105"/>
      <c r="B351" s="778">
        <f t="shared" si="17"/>
        <v>8</v>
      </c>
      <c r="C351" s="610" t="s">
        <v>351</v>
      </c>
      <c r="D351" s="610" t="s">
        <v>580</v>
      </c>
      <c r="E351" s="606" t="s">
        <v>1930</v>
      </c>
      <c r="F351" s="751">
        <v>500</v>
      </c>
      <c r="G351" s="767">
        <v>242.00000000000003</v>
      </c>
      <c r="H351" s="762">
        <f t="shared" si="16"/>
        <v>121000.00000000001</v>
      </c>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row>
    <row r="352" spans="1:32" s="96" customFormat="1" ht="25.5">
      <c r="A352" s="105"/>
      <c r="B352" s="778">
        <f t="shared" si="17"/>
        <v>9</v>
      </c>
      <c r="C352" s="610" t="s">
        <v>218</v>
      </c>
      <c r="D352" s="610" t="s">
        <v>581</v>
      </c>
      <c r="E352" s="606" t="s">
        <v>1930</v>
      </c>
      <c r="F352" s="751">
        <v>50</v>
      </c>
      <c r="G352" s="767">
        <v>588.5</v>
      </c>
      <c r="H352" s="762">
        <f t="shared" si="16"/>
        <v>29425</v>
      </c>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row>
    <row r="353" spans="1:32" s="96" customFormat="1" ht="153">
      <c r="A353" s="105"/>
      <c r="B353" s="778">
        <f t="shared" si="17"/>
        <v>10</v>
      </c>
      <c r="C353" s="610" t="s">
        <v>352</v>
      </c>
      <c r="D353" s="610" t="s">
        <v>746</v>
      </c>
      <c r="E353" s="606" t="s">
        <v>1930</v>
      </c>
      <c r="F353" s="751">
        <v>700</v>
      </c>
      <c r="G353" s="767">
        <v>396.00000000000006</v>
      </c>
      <c r="H353" s="762">
        <f>F353*G353</f>
        <v>277200.00000000006</v>
      </c>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row>
    <row r="354" spans="1:32" s="96" customFormat="1" ht="280.5">
      <c r="A354" s="105"/>
      <c r="B354" s="778">
        <f t="shared" si="17"/>
        <v>11</v>
      </c>
      <c r="C354" s="610" t="s">
        <v>355</v>
      </c>
      <c r="D354" s="610" t="s">
        <v>747</v>
      </c>
      <c r="E354" s="606" t="s">
        <v>1930</v>
      </c>
      <c r="F354" s="751">
        <v>2</v>
      </c>
      <c r="G354" s="766">
        <v>6900</v>
      </c>
      <c r="H354" s="762">
        <f t="shared" si="16"/>
        <v>13800</v>
      </c>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row>
    <row r="355" spans="1:32" s="96" customFormat="1" ht="102">
      <c r="A355" s="105"/>
      <c r="B355" s="778">
        <f t="shared" si="17"/>
        <v>12</v>
      </c>
      <c r="C355" s="610" t="s">
        <v>742</v>
      </c>
      <c r="D355" s="610" t="s">
        <v>748</v>
      </c>
      <c r="E355" s="606" t="s">
        <v>1930</v>
      </c>
      <c r="F355" s="751">
        <v>500</v>
      </c>
      <c r="G355" s="767">
        <v>451.00000000000006</v>
      </c>
      <c r="H355" s="762">
        <f t="shared" si="16"/>
        <v>225500.00000000003</v>
      </c>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row>
    <row r="356" spans="1:32" s="96" customFormat="1" ht="38.25">
      <c r="A356" s="105"/>
      <c r="B356" s="778">
        <f t="shared" si="17"/>
        <v>13</v>
      </c>
      <c r="C356" s="610" t="s">
        <v>356</v>
      </c>
      <c r="D356" s="610" t="s">
        <v>2165</v>
      </c>
      <c r="E356" s="606" t="s">
        <v>1930</v>
      </c>
      <c r="F356" s="751">
        <v>50</v>
      </c>
      <c r="G356" s="766">
        <v>6200</v>
      </c>
      <c r="H356" s="762">
        <f t="shared" si="16"/>
        <v>310000</v>
      </c>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row>
    <row r="357" spans="1:32" s="96" customFormat="1" ht="114.75">
      <c r="A357" s="105"/>
      <c r="B357" s="778">
        <f t="shared" si="17"/>
        <v>14</v>
      </c>
      <c r="C357" s="610" t="s">
        <v>357</v>
      </c>
      <c r="D357" s="610" t="s">
        <v>749</v>
      </c>
      <c r="E357" s="606" t="s">
        <v>1930</v>
      </c>
      <c r="F357" s="751">
        <v>150</v>
      </c>
      <c r="G357" s="766">
        <v>1150</v>
      </c>
      <c r="H357" s="762">
        <f t="shared" si="16"/>
        <v>172500</v>
      </c>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row>
    <row r="358" spans="1:32" s="96" customFormat="1" ht="102">
      <c r="A358" s="105"/>
      <c r="B358" s="778">
        <f t="shared" si="17"/>
        <v>15</v>
      </c>
      <c r="C358" s="786" t="s">
        <v>777</v>
      </c>
      <c r="D358" s="610" t="s">
        <v>750</v>
      </c>
      <c r="E358" s="606" t="s">
        <v>1930</v>
      </c>
      <c r="F358" s="751">
        <v>120</v>
      </c>
      <c r="G358" s="766">
        <v>1300</v>
      </c>
      <c r="H358" s="762">
        <f t="shared" si="16"/>
        <v>156000</v>
      </c>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row>
    <row r="359" spans="1:32" s="96" customFormat="1" ht="102">
      <c r="A359" s="105"/>
      <c r="B359" s="778">
        <f t="shared" si="17"/>
        <v>16</v>
      </c>
      <c r="C359" s="786" t="s">
        <v>778</v>
      </c>
      <c r="D359" s="610" t="s">
        <v>779</v>
      </c>
      <c r="E359" s="606" t="s">
        <v>1930</v>
      </c>
      <c r="F359" s="751">
        <v>120</v>
      </c>
      <c r="G359" s="766">
        <v>1480</v>
      </c>
      <c r="H359" s="762">
        <f t="shared" si="16"/>
        <v>177600</v>
      </c>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row>
    <row r="360" spans="1:32" s="96" customFormat="1" ht="89.25">
      <c r="A360" s="105"/>
      <c r="B360" s="778">
        <f t="shared" si="17"/>
        <v>17</v>
      </c>
      <c r="C360" s="786" t="s">
        <v>780</v>
      </c>
      <c r="D360" s="787" t="s">
        <v>781</v>
      </c>
      <c r="E360" s="606" t="s">
        <v>1930</v>
      </c>
      <c r="F360" s="751">
        <v>120</v>
      </c>
      <c r="G360" s="766">
        <v>1165</v>
      </c>
      <c r="H360" s="762">
        <f t="shared" si="16"/>
        <v>139800</v>
      </c>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row>
    <row r="361" spans="1:32" s="96" customFormat="1" ht="76.5">
      <c r="A361" s="105"/>
      <c r="B361" s="778">
        <f t="shared" si="17"/>
        <v>18</v>
      </c>
      <c r="C361" s="610" t="s">
        <v>358</v>
      </c>
      <c r="D361" s="610" t="s">
        <v>751</v>
      </c>
      <c r="E361" s="606" t="s">
        <v>694</v>
      </c>
      <c r="F361" s="751">
        <v>500</v>
      </c>
      <c r="G361" s="767">
        <v>825.00000000000011</v>
      </c>
      <c r="H361" s="762">
        <f t="shared" si="16"/>
        <v>412500.00000000006</v>
      </c>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row>
    <row r="362" spans="1:32" s="96" customFormat="1" ht="25.5">
      <c r="A362" s="105"/>
      <c r="B362" s="778">
        <f t="shared" si="17"/>
        <v>19</v>
      </c>
      <c r="C362" s="610" t="s">
        <v>359</v>
      </c>
      <c r="D362" s="610" t="s">
        <v>752</v>
      </c>
      <c r="E362" s="606" t="s">
        <v>694</v>
      </c>
      <c r="F362" s="751">
        <v>3</v>
      </c>
      <c r="G362" s="766">
        <v>30100</v>
      </c>
      <c r="H362" s="762">
        <f t="shared" si="16"/>
        <v>90300</v>
      </c>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row>
    <row r="363" spans="1:32" s="96" customFormat="1" ht="38.25">
      <c r="A363" s="105"/>
      <c r="B363" s="778">
        <f t="shared" si="17"/>
        <v>20</v>
      </c>
      <c r="C363" s="610" t="s">
        <v>743</v>
      </c>
      <c r="D363" s="787" t="s">
        <v>753</v>
      </c>
      <c r="E363" s="606" t="s">
        <v>694</v>
      </c>
      <c r="F363" s="751">
        <v>3</v>
      </c>
      <c r="G363" s="766">
        <v>31100</v>
      </c>
      <c r="H363" s="762">
        <f t="shared" si="16"/>
        <v>93300</v>
      </c>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row>
    <row r="364" spans="1:32" s="96" customFormat="1" ht="38.25">
      <c r="A364" s="105"/>
      <c r="B364" s="778">
        <f t="shared" si="17"/>
        <v>21</v>
      </c>
      <c r="C364" s="610" t="s">
        <v>360</v>
      </c>
      <c r="D364" s="610" t="s">
        <v>583</v>
      </c>
      <c r="E364" s="606" t="s">
        <v>1930</v>
      </c>
      <c r="F364" s="751">
        <v>150</v>
      </c>
      <c r="G364" s="767">
        <v>319</v>
      </c>
      <c r="H364" s="762">
        <f t="shared" si="16"/>
        <v>47850</v>
      </c>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row>
    <row r="365" spans="1:32" s="96" customFormat="1" ht="76.5">
      <c r="A365" s="105"/>
      <c r="B365" s="778">
        <f t="shared" si="17"/>
        <v>22</v>
      </c>
      <c r="C365" s="602" t="s">
        <v>349</v>
      </c>
      <c r="D365" s="788" t="s">
        <v>754</v>
      </c>
      <c r="E365" s="606" t="s">
        <v>1930</v>
      </c>
      <c r="F365" s="751">
        <v>15</v>
      </c>
      <c r="G365" s="766">
        <v>4300</v>
      </c>
      <c r="H365" s="762">
        <f t="shared" si="16"/>
        <v>64500</v>
      </c>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row>
    <row r="366" spans="1:32" s="96" customFormat="1" ht="89.25">
      <c r="A366" s="105"/>
      <c r="B366" s="778">
        <f t="shared" si="17"/>
        <v>23</v>
      </c>
      <c r="C366" s="610" t="s">
        <v>2166</v>
      </c>
      <c r="D366" s="610" t="s">
        <v>2167</v>
      </c>
      <c r="E366" s="606" t="s">
        <v>1930</v>
      </c>
      <c r="F366" s="751">
        <v>10</v>
      </c>
      <c r="G366" s="766">
        <v>1450</v>
      </c>
      <c r="H366" s="762">
        <f t="shared" si="16"/>
        <v>14500</v>
      </c>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row>
    <row r="367" spans="1:32" s="96" customFormat="1" ht="15">
      <c r="A367" s="105"/>
      <c r="B367" s="1380" t="s">
        <v>1817</v>
      </c>
      <c r="C367" s="1380"/>
      <c r="D367" s="1380"/>
      <c r="E367" s="1380"/>
      <c r="F367" s="1380"/>
      <c r="G367" s="1380"/>
      <c r="H367" s="1380"/>
      <c r="I367" s="106"/>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row>
    <row r="368" spans="1:32" s="96" customFormat="1" ht="38.25">
      <c r="A368" s="105"/>
      <c r="B368" s="625" t="s">
        <v>84</v>
      </c>
      <c r="C368" s="656" t="s">
        <v>0</v>
      </c>
      <c r="D368" s="625" t="s">
        <v>90</v>
      </c>
      <c r="E368" s="625" t="s">
        <v>85</v>
      </c>
      <c r="F368" s="625" t="s">
        <v>32</v>
      </c>
      <c r="G368" s="625" t="s">
        <v>86</v>
      </c>
      <c r="H368" s="625" t="s">
        <v>87</v>
      </c>
      <c r="I368" s="106"/>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row>
    <row r="369" spans="1:33" s="96" customFormat="1" ht="15">
      <c r="A369" s="105"/>
      <c r="B369" s="612"/>
      <c r="C369" s="616">
        <v>1</v>
      </c>
      <c r="D369" s="606">
        <v>2</v>
      </c>
      <c r="E369" s="606">
        <v>3</v>
      </c>
      <c r="F369" s="606">
        <v>4</v>
      </c>
      <c r="G369" s="606">
        <v>5</v>
      </c>
      <c r="H369" s="619">
        <v>6</v>
      </c>
      <c r="I369" s="106"/>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row>
    <row r="370" spans="1:33" s="96" customFormat="1" ht="15">
      <c r="A370" s="105"/>
      <c r="B370" s="713"/>
      <c r="C370" s="1382" t="s">
        <v>1818</v>
      </c>
      <c r="D370" s="1382"/>
      <c r="E370" s="1383"/>
      <c r="F370" s="1383"/>
      <c r="G370" s="1383"/>
      <c r="H370" s="624">
        <f>SUM(H371:H374)</f>
        <v>2900000</v>
      </c>
      <c r="I370" s="60"/>
      <c r="J370" s="308"/>
      <c r="K370" s="60"/>
      <c r="L370" s="60"/>
      <c r="M370" s="60"/>
      <c r="N370" s="60"/>
      <c r="O370" s="60"/>
      <c r="P370" s="60"/>
      <c r="Q370" s="60"/>
      <c r="R370" s="60"/>
      <c r="S370" s="60"/>
      <c r="T370" s="60"/>
      <c r="U370" s="60"/>
      <c r="V370" s="60"/>
      <c r="W370" s="60"/>
      <c r="X370" s="60"/>
      <c r="Y370" s="60"/>
      <c r="Z370" s="60"/>
      <c r="AA370" s="60"/>
      <c r="AB370" s="60"/>
      <c r="AC370" s="60"/>
      <c r="AD370" s="60"/>
      <c r="AE370" s="60"/>
      <c r="AF370" s="60"/>
    </row>
    <row r="371" spans="1:33" s="96" customFormat="1" ht="76.5">
      <c r="A371" s="105"/>
      <c r="B371" s="688">
        <v>1</v>
      </c>
      <c r="C371" s="602" t="s">
        <v>1819</v>
      </c>
      <c r="D371" s="657" t="s">
        <v>1820</v>
      </c>
      <c r="E371" s="789" t="s">
        <v>33</v>
      </c>
      <c r="F371" s="688">
        <v>100</v>
      </c>
      <c r="G371" s="643">
        <v>7100</v>
      </c>
      <c r="H371" s="790">
        <f>G371*F371</f>
        <v>710000</v>
      </c>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row>
    <row r="372" spans="1:33" s="96" customFormat="1" ht="38.25">
      <c r="A372" s="105"/>
      <c r="B372" s="688">
        <v>2</v>
      </c>
      <c r="C372" s="658" t="s">
        <v>2168</v>
      </c>
      <c r="D372" s="602" t="s">
        <v>2169</v>
      </c>
      <c r="E372" s="789" t="s">
        <v>33</v>
      </c>
      <c r="F372" s="688">
        <v>150</v>
      </c>
      <c r="G372" s="643">
        <v>4200</v>
      </c>
      <c r="H372" s="790">
        <f t="shared" ref="H372:H374" si="18">G372*F372</f>
        <v>630000</v>
      </c>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row>
    <row r="373" spans="1:33" s="96" customFormat="1" ht="63.75">
      <c r="A373" s="105"/>
      <c r="B373" s="688">
        <v>3</v>
      </c>
      <c r="C373" s="658" t="s">
        <v>1821</v>
      </c>
      <c r="D373" s="602" t="s">
        <v>1822</v>
      </c>
      <c r="E373" s="789" t="s">
        <v>33</v>
      </c>
      <c r="F373" s="688">
        <v>150</v>
      </c>
      <c r="G373" s="643">
        <v>3200</v>
      </c>
      <c r="H373" s="790">
        <f t="shared" si="18"/>
        <v>480000</v>
      </c>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row>
    <row r="374" spans="1:33" s="96" customFormat="1" ht="63.75">
      <c r="A374" s="105"/>
      <c r="B374" s="688">
        <v>4</v>
      </c>
      <c r="C374" s="658" t="s">
        <v>1823</v>
      </c>
      <c r="D374" s="602" t="s">
        <v>1824</v>
      </c>
      <c r="E374" s="789" t="s">
        <v>33</v>
      </c>
      <c r="F374" s="688">
        <v>150</v>
      </c>
      <c r="G374" s="643">
        <v>7200</v>
      </c>
      <c r="H374" s="790">
        <f t="shared" si="18"/>
        <v>1080000</v>
      </c>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row>
    <row r="375" spans="1:33" s="43" customFormat="1" ht="15">
      <c r="A375" s="1449" t="s">
        <v>755</v>
      </c>
      <c r="B375" s="1449"/>
      <c r="C375" s="1449"/>
      <c r="D375" s="1449"/>
      <c r="E375" s="1449"/>
      <c r="F375" s="1449"/>
      <c r="G375" s="1449"/>
      <c r="H375" s="1449"/>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row>
    <row r="376" spans="1:33" s="43" customFormat="1" ht="38.25">
      <c r="A376" s="105"/>
      <c r="B376" s="625" t="s">
        <v>84</v>
      </c>
      <c r="C376" s="656" t="s">
        <v>0</v>
      </c>
      <c r="D376" s="625" t="s">
        <v>90</v>
      </c>
      <c r="E376" s="625" t="s">
        <v>85</v>
      </c>
      <c r="F376" s="625" t="s">
        <v>32</v>
      </c>
      <c r="G376" s="625" t="s">
        <v>86</v>
      </c>
      <c r="H376" s="625" t="s">
        <v>87</v>
      </c>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row>
    <row r="377" spans="1:33" s="60" customFormat="1" ht="15">
      <c r="A377" s="105"/>
      <c r="B377" s="612"/>
      <c r="C377" s="616">
        <v>1</v>
      </c>
      <c r="D377" s="606">
        <v>2</v>
      </c>
      <c r="E377" s="606">
        <v>3</v>
      </c>
      <c r="F377" s="606">
        <v>4</v>
      </c>
      <c r="G377" s="606">
        <v>5</v>
      </c>
      <c r="H377" s="619">
        <v>6</v>
      </c>
    </row>
    <row r="378" spans="1:33" s="60" customFormat="1" ht="15">
      <c r="A378" s="105"/>
      <c r="B378" s="627"/>
      <c r="C378" s="627" t="s">
        <v>88</v>
      </c>
      <c r="D378" s="791"/>
      <c r="E378" s="792"/>
      <c r="F378" s="793"/>
      <c r="G378" s="794"/>
      <c r="H378" s="663"/>
    </row>
    <row r="379" spans="1:33" s="101" customFormat="1" ht="25.5">
      <c r="A379" s="105"/>
      <c r="B379" s="616">
        <v>1</v>
      </c>
      <c r="C379" s="604" t="s">
        <v>2170</v>
      </c>
      <c r="D379" s="602" t="s">
        <v>2171</v>
      </c>
      <c r="E379" s="596" t="s">
        <v>1930</v>
      </c>
      <c r="F379" s="596">
        <v>5</v>
      </c>
      <c r="G379" s="643">
        <v>584.1</v>
      </c>
      <c r="H379" s="790">
        <f>F379*G379</f>
        <v>2920.5</v>
      </c>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row>
    <row r="380" spans="1:33" s="101" customFormat="1" ht="25.5">
      <c r="A380" s="105"/>
      <c r="B380" s="616">
        <f>B379+1</f>
        <v>2</v>
      </c>
      <c r="C380" s="604" t="s">
        <v>294</v>
      </c>
      <c r="D380" s="602" t="s">
        <v>2172</v>
      </c>
      <c r="E380" s="596" t="s">
        <v>302</v>
      </c>
      <c r="F380" s="606">
        <v>250</v>
      </c>
      <c r="G380" s="764">
        <v>2600</v>
      </c>
      <c r="H380" s="790">
        <f t="shared" ref="H380:H443" si="19">F380*G380</f>
        <v>650000</v>
      </c>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row>
    <row r="381" spans="1:33" s="101" customFormat="1" ht="15">
      <c r="A381" s="105"/>
      <c r="B381" s="616">
        <f t="shared" ref="B381:B444" si="20">B380+1</f>
        <v>3</v>
      </c>
      <c r="C381" s="604" t="s">
        <v>2173</v>
      </c>
      <c r="D381" s="602" t="s">
        <v>2173</v>
      </c>
      <c r="E381" s="596" t="s">
        <v>302</v>
      </c>
      <c r="F381" s="606">
        <v>3</v>
      </c>
      <c r="G381" s="764">
        <v>3100</v>
      </c>
      <c r="H381" s="790">
        <f t="shared" si="19"/>
        <v>9300</v>
      </c>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row>
    <row r="382" spans="1:33" s="101" customFormat="1" ht="25.5">
      <c r="A382" s="105"/>
      <c r="B382" s="616">
        <f t="shared" si="20"/>
        <v>4</v>
      </c>
      <c r="C382" s="604" t="s">
        <v>2174</v>
      </c>
      <c r="D382" s="602" t="s">
        <v>2175</v>
      </c>
      <c r="E382" s="596" t="s">
        <v>302</v>
      </c>
      <c r="F382" s="596">
        <v>25</v>
      </c>
      <c r="G382" s="643">
        <v>660</v>
      </c>
      <c r="H382" s="790">
        <f>F382*G382</f>
        <v>16500</v>
      </c>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row>
    <row r="383" spans="1:33" s="101" customFormat="1" ht="15">
      <c r="A383" s="105"/>
      <c r="B383" s="616">
        <f t="shared" si="20"/>
        <v>5</v>
      </c>
      <c r="C383" s="604" t="s">
        <v>2176</v>
      </c>
      <c r="D383" s="602" t="s">
        <v>2177</v>
      </c>
      <c r="E383" s="596" t="s">
        <v>1930</v>
      </c>
      <c r="F383" s="596">
        <v>10</v>
      </c>
      <c r="G383" s="764">
        <v>1180</v>
      </c>
      <c r="H383" s="790">
        <f t="shared" si="19"/>
        <v>11800</v>
      </c>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row>
    <row r="384" spans="1:33" s="101" customFormat="1" ht="15">
      <c r="A384" s="105"/>
      <c r="B384" s="616">
        <f t="shared" si="20"/>
        <v>6</v>
      </c>
      <c r="C384" s="604" t="s">
        <v>2178</v>
      </c>
      <c r="D384" s="602" t="s">
        <v>2179</v>
      </c>
      <c r="E384" s="596" t="s">
        <v>1930</v>
      </c>
      <c r="F384" s="596">
        <v>5</v>
      </c>
      <c r="G384" s="764">
        <v>1117</v>
      </c>
      <c r="H384" s="790">
        <f t="shared" si="19"/>
        <v>5585</v>
      </c>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row>
    <row r="385" spans="1:32" s="101" customFormat="1" ht="15">
      <c r="A385" s="105"/>
      <c r="B385" s="616">
        <f t="shared" si="20"/>
        <v>7</v>
      </c>
      <c r="C385" s="604" t="s">
        <v>2180</v>
      </c>
      <c r="D385" s="602" t="s">
        <v>2181</v>
      </c>
      <c r="E385" s="596" t="s">
        <v>1930</v>
      </c>
      <c r="F385" s="596">
        <v>5</v>
      </c>
      <c r="G385" s="764">
        <v>1306</v>
      </c>
      <c r="H385" s="790">
        <f t="shared" si="19"/>
        <v>6530</v>
      </c>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row>
    <row r="386" spans="1:32" s="101" customFormat="1" ht="25.5">
      <c r="A386" s="105"/>
      <c r="B386" s="616">
        <f t="shared" si="20"/>
        <v>8</v>
      </c>
      <c r="C386" s="604" t="s">
        <v>2176</v>
      </c>
      <c r="D386" s="602" t="s">
        <v>2182</v>
      </c>
      <c r="E386" s="596" t="s">
        <v>1930</v>
      </c>
      <c r="F386" s="596">
        <v>5</v>
      </c>
      <c r="G386" s="764">
        <v>1261</v>
      </c>
      <c r="H386" s="790">
        <f t="shared" si="19"/>
        <v>6305</v>
      </c>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row>
    <row r="387" spans="1:32" s="101" customFormat="1" ht="38.25">
      <c r="A387" s="105"/>
      <c r="B387" s="616">
        <f t="shared" si="20"/>
        <v>9</v>
      </c>
      <c r="C387" s="604" t="s">
        <v>2183</v>
      </c>
      <c r="D387" s="602" t="s">
        <v>2184</v>
      </c>
      <c r="E387" s="596" t="s">
        <v>1930</v>
      </c>
      <c r="F387" s="596">
        <v>10</v>
      </c>
      <c r="G387" s="643">
        <v>396.00000000000006</v>
      </c>
      <c r="H387" s="790">
        <f t="shared" si="19"/>
        <v>3960.0000000000005</v>
      </c>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row>
    <row r="388" spans="1:32" s="101" customFormat="1" ht="15">
      <c r="A388" s="105"/>
      <c r="B388" s="616">
        <f t="shared" si="20"/>
        <v>10</v>
      </c>
      <c r="C388" s="613" t="s">
        <v>2185</v>
      </c>
      <c r="D388" s="610" t="s">
        <v>2186</v>
      </c>
      <c r="E388" s="606" t="s">
        <v>295</v>
      </c>
      <c r="F388" s="606">
        <v>2</v>
      </c>
      <c r="G388" s="751">
        <v>352</v>
      </c>
      <c r="H388" s="795">
        <f t="shared" si="19"/>
        <v>704</v>
      </c>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row>
    <row r="389" spans="1:32" s="101" customFormat="1" ht="15">
      <c r="A389" s="105"/>
      <c r="B389" s="616">
        <f t="shared" si="20"/>
        <v>11</v>
      </c>
      <c r="C389" s="613" t="s">
        <v>2185</v>
      </c>
      <c r="D389" s="610" t="s">
        <v>2187</v>
      </c>
      <c r="E389" s="606" t="s">
        <v>295</v>
      </c>
      <c r="F389" s="606">
        <v>10</v>
      </c>
      <c r="G389" s="751">
        <v>528</v>
      </c>
      <c r="H389" s="795">
        <f t="shared" si="19"/>
        <v>5280</v>
      </c>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row>
    <row r="390" spans="1:32" s="101" customFormat="1" ht="15">
      <c r="A390" s="105"/>
      <c r="B390" s="616">
        <f t="shared" si="20"/>
        <v>12</v>
      </c>
      <c r="C390" s="613" t="s">
        <v>2185</v>
      </c>
      <c r="D390" s="610" t="s">
        <v>2188</v>
      </c>
      <c r="E390" s="606" t="s">
        <v>295</v>
      </c>
      <c r="F390" s="606">
        <v>10</v>
      </c>
      <c r="G390" s="751">
        <v>792.00000000000011</v>
      </c>
      <c r="H390" s="795">
        <f t="shared" si="19"/>
        <v>7920.0000000000009</v>
      </c>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row>
    <row r="391" spans="1:32" s="101" customFormat="1" ht="63.75">
      <c r="A391" s="105"/>
      <c r="B391" s="616">
        <f t="shared" si="20"/>
        <v>13</v>
      </c>
      <c r="C391" s="613" t="s">
        <v>296</v>
      </c>
      <c r="D391" s="610" t="s">
        <v>584</v>
      </c>
      <c r="E391" s="606" t="s">
        <v>1930</v>
      </c>
      <c r="F391" s="606">
        <v>20</v>
      </c>
      <c r="G391" s="751">
        <v>336.6</v>
      </c>
      <c r="H391" s="795">
        <f t="shared" si="19"/>
        <v>6732</v>
      </c>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row>
    <row r="392" spans="1:32" s="101" customFormat="1" ht="15">
      <c r="A392" s="105"/>
      <c r="B392" s="616">
        <f t="shared" si="20"/>
        <v>14</v>
      </c>
      <c r="C392" s="604" t="s">
        <v>2189</v>
      </c>
      <c r="D392" s="602" t="s">
        <v>2190</v>
      </c>
      <c r="E392" s="596" t="s">
        <v>1930</v>
      </c>
      <c r="F392" s="606">
        <v>20</v>
      </c>
      <c r="G392" s="643">
        <v>49.500000000000007</v>
      </c>
      <c r="H392" s="790">
        <f t="shared" si="19"/>
        <v>990.00000000000011</v>
      </c>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row>
    <row r="393" spans="1:32" s="101" customFormat="1" ht="38.25">
      <c r="A393" s="105"/>
      <c r="B393" s="616">
        <f t="shared" si="20"/>
        <v>15</v>
      </c>
      <c r="C393" s="604" t="s">
        <v>2191</v>
      </c>
      <c r="D393" s="602" t="s">
        <v>2192</v>
      </c>
      <c r="E393" s="596" t="s">
        <v>1930</v>
      </c>
      <c r="F393" s="606">
        <v>20</v>
      </c>
      <c r="G393" s="643">
        <v>825.00000000000011</v>
      </c>
      <c r="H393" s="790">
        <f t="shared" si="19"/>
        <v>16500.000000000004</v>
      </c>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row>
    <row r="394" spans="1:32" s="101" customFormat="1" ht="15">
      <c r="A394" s="105"/>
      <c r="B394" s="616">
        <f t="shared" si="20"/>
        <v>16</v>
      </c>
      <c r="C394" s="613" t="s">
        <v>2193</v>
      </c>
      <c r="D394" s="602" t="s">
        <v>2194</v>
      </c>
      <c r="E394" s="596" t="s">
        <v>1930</v>
      </c>
      <c r="F394" s="606">
        <v>20</v>
      </c>
      <c r="G394" s="643">
        <v>1045</v>
      </c>
      <c r="H394" s="790">
        <f t="shared" si="19"/>
        <v>20900</v>
      </c>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row>
    <row r="395" spans="1:32" s="101" customFormat="1" ht="25.5">
      <c r="A395" s="105"/>
      <c r="B395" s="616">
        <f t="shared" si="20"/>
        <v>17</v>
      </c>
      <c r="C395" s="604" t="s">
        <v>2195</v>
      </c>
      <c r="D395" s="602" t="s">
        <v>2196</v>
      </c>
      <c r="E395" s="596" t="s">
        <v>1930</v>
      </c>
      <c r="F395" s="606">
        <v>20</v>
      </c>
      <c r="G395" s="764">
        <v>2710</v>
      </c>
      <c r="H395" s="790">
        <f t="shared" si="19"/>
        <v>54200</v>
      </c>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row>
    <row r="396" spans="1:32" s="101" customFormat="1" ht="102">
      <c r="A396" s="105"/>
      <c r="B396" s="616">
        <f t="shared" si="20"/>
        <v>18</v>
      </c>
      <c r="C396" s="604" t="s">
        <v>2197</v>
      </c>
      <c r="D396" s="602" t="s">
        <v>2198</v>
      </c>
      <c r="E396" s="596" t="s">
        <v>1930</v>
      </c>
      <c r="F396" s="596">
        <v>15</v>
      </c>
      <c r="G396" s="764">
        <v>2100</v>
      </c>
      <c r="H396" s="790">
        <f t="shared" si="19"/>
        <v>31500</v>
      </c>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row>
    <row r="397" spans="1:32" s="101" customFormat="1" ht="63.75">
      <c r="A397" s="105"/>
      <c r="B397" s="616">
        <f t="shared" si="20"/>
        <v>19</v>
      </c>
      <c r="C397" s="604" t="s">
        <v>2199</v>
      </c>
      <c r="D397" s="602" t="s">
        <v>2200</v>
      </c>
      <c r="E397" s="596" t="s">
        <v>1930</v>
      </c>
      <c r="F397" s="606">
        <v>10</v>
      </c>
      <c r="G397" s="764">
        <v>5100</v>
      </c>
      <c r="H397" s="790">
        <f t="shared" si="19"/>
        <v>51000</v>
      </c>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row>
    <row r="398" spans="1:32" s="101" customFormat="1" ht="15">
      <c r="A398" s="105"/>
      <c r="B398" s="616">
        <f t="shared" si="20"/>
        <v>20</v>
      </c>
      <c r="C398" s="604" t="s">
        <v>2201</v>
      </c>
      <c r="D398" s="602" t="s">
        <v>2202</v>
      </c>
      <c r="E398" s="596" t="s">
        <v>1930</v>
      </c>
      <c r="F398" s="596">
        <v>10</v>
      </c>
      <c r="G398" s="643">
        <v>495.00000000000006</v>
      </c>
      <c r="H398" s="790">
        <f t="shared" si="19"/>
        <v>4950.0000000000009</v>
      </c>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row>
    <row r="399" spans="1:32" s="101" customFormat="1" ht="25.5">
      <c r="A399" s="105"/>
      <c r="B399" s="616">
        <f t="shared" si="20"/>
        <v>21</v>
      </c>
      <c r="C399" s="604" t="s">
        <v>2203</v>
      </c>
      <c r="D399" s="602" t="s">
        <v>2204</v>
      </c>
      <c r="E399" s="596" t="s">
        <v>1930</v>
      </c>
      <c r="F399" s="596">
        <v>10</v>
      </c>
      <c r="G399" s="643">
        <v>514.80000000000007</v>
      </c>
      <c r="H399" s="790">
        <f t="shared" si="19"/>
        <v>5148.0000000000009</v>
      </c>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row>
    <row r="400" spans="1:32" s="101" customFormat="1" ht="15">
      <c r="A400" s="105"/>
      <c r="B400" s="616">
        <f t="shared" si="20"/>
        <v>22</v>
      </c>
      <c r="C400" s="604" t="s">
        <v>2205</v>
      </c>
      <c r="D400" s="602" t="s">
        <v>2206</v>
      </c>
      <c r="E400" s="596" t="s">
        <v>1930</v>
      </c>
      <c r="F400" s="596">
        <v>3</v>
      </c>
      <c r="G400" s="764">
        <v>1360</v>
      </c>
      <c r="H400" s="790">
        <f t="shared" si="19"/>
        <v>4080</v>
      </c>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row>
    <row r="401" spans="1:32" s="101" customFormat="1" ht="25.5">
      <c r="A401" s="105"/>
      <c r="B401" s="616">
        <f t="shared" si="20"/>
        <v>23</v>
      </c>
      <c r="C401" s="604" t="s">
        <v>2207</v>
      </c>
      <c r="D401" s="602" t="s">
        <v>2208</v>
      </c>
      <c r="E401" s="596" t="s">
        <v>1930</v>
      </c>
      <c r="F401" s="596">
        <v>5</v>
      </c>
      <c r="G401" s="643">
        <v>564.30000000000007</v>
      </c>
      <c r="H401" s="790">
        <f t="shared" si="19"/>
        <v>2821.5000000000005</v>
      </c>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row>
    <row r="402" spans="1:32" s="101" customFormat="1" ht="25.5">
      <c r="A402" s="105"/>
      <c r="B402" s="616">
        <f t="shared" si="20"/>
        <v>24</v>
      </c>
      <c r="C402" s="604" t="s">
        <v>2209</v>
      </c>
      <c r="D402" s="602" t="s">
        <v>2210</v>
      </c>
      <c r="E402" s="596" t="s">
        <v>1930</v>
      </c>
      <c r="F402" s="596">
        <v>1</v>
      </c>
      <c r="G402" s="764">
        <v>6130</v>
      </c>
      <c r="H402" s="790">
        <f t="shared" si="19"/>
        <v>6130</v>
      </c>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row>
    <row r="403" spans="1:32" s="101" customFormat="1" ht="76.5">
      <c r="A403" s="105"/>
      <c r="B403" s="616">
        <f t="shared" si="20"/>
        <v>25</v>
      </c>
      <c r="C403" s="604" t="s">
        <v>2211</v>
      </c>
      <c r="D403" s="602" t="s">
        <v>2212</v>
      </c>
      <c r="E403" s="596" t="s">
        <v>1930</v>
      </c>
      <c r="F403" s="596">
        <v>20</v>
      </c>
      <c r="G403" s="643">
        <v>356.40000000000003</v>
      </c>
      <c r="H403" s="790">
        <f t="shared" si="19"/>
        <v>7128.0000000000009</v>
      </c>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row>
    <row r="404" spans="1:32" s="101" customFormat="1" ht="25.5">
      <c r="A404" s="105"/>
      <c r="B404" s="616">
        <f t="shared" si="20"/>
        <v>26</v>
      </c>
      <c r="C404" s="613" t="s">
        <v>2213</v>
      </c>
      <c r="D404" s="602" t="s">
        <v>2214</v>
      </c>
      <c r="E404" s="596" t="s">
        <v>295</v>
      </c>
      <c r="F404" s="596">
        <v>10</v>
      </c>
      <c r="G404" s="643">
        <v>455.40000000000003</v>
      </c>
      <c r="H404" s="790">
        <f t="shared" si="19"/>
        <v>4554</v>
      </c>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row>
    <row r="405" spans="1:32" s="101" customFormat="1" ht="38.25">
      <c r="A405" s="105"/>
      <c r="B405" s="616">
        <f t="shared" si="20"/>
        <v>27</v>
      </c>
      <c r="C405" s="604" t="s">
        <v>297</v>
      </c>
      <c r="D405" s="602" t="s">
        <v>585</v>
      </c>
      <c r="E405" s="596" t="s">
        <v>1930</v>
      </c>
      <c r="F405" s="596">
        <v>20</v>
      </c>
      <c r="G405" s="643">
        <v>178.20000000000002</v>
      </c>
      <c r="H405" s="790">
        <f t="shared" si="19"/>
        <v>3564.0000000000005</v>
      </c>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row>
    <row r="406" spans="1:32" s="101" customFormat="1" ht="38.25">
      <c r="A406" s="105"/>
      <c r="B406" s="616">
        <f t="shared" si="20"/>
        <v>28</v>
      </c>
      <c r="C406" s="604" t="s">
        <v>298</v>
      </c>
      <c r="D406" s="602" t="s">
        <v>586</v>
      </c>
      <c r="E406" s="596" t="s">
        <v>1930</v>
      </c>
      <c r="F406" s="596">
        <v>20</v>
      </c>
      <c r="G406" s="643">
        <v>277.20000000000005</v>
      </c>
      <c r="H406" s="790">
        <f t="shared" si="19"/>
        <v>5544.0000000000009</v>
      </c>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row>
    <row r="407" spans="1:32" s="101" customFormat="1" ht="38.25">
      <c r="A407" s="105"/>
      <c r="B407" s="616">
        <f t="shared" si="20"/>
        <v>29</v>
      </c>
      <c r="C407" s="604" t="s">
        <v>2215</v>
      </c>
      <c r="D407" s="602" t="s">
        <v>2216</v>
      </c>
      <c r="E407" s="596" t="s">
        <v>1930</v>
      </c>
      <c r="F407" s="606">
        <v>20</v>
      </c>
      <c r="G407" s="764">
        <v>2300</v>
      </c>
      <c r="H407" s="790">
        <f t="shared" si="19"/>
        <v>46000</v>
      </c>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row>
    <row r="408" spans="1:32" s="101" customFormat="1" ht="76.5">
      <c r="A408" s="105"/>
      <c r="B408" s="616">
        <f t="shared" si="20"/>
        <v>30</v>
      </c>
      <c r="C408" s="604" t="s">
        <v>2217</v>
      </c>
      <c r="D408" s="602" t="s">
        <v>2218</v>
      </c>
      <c r="E408" s="596" t="s">
        <v>295</v>
      </c>
      <c r="F408" s="596">
        <v>30</v>
      </c>
      <c r="G408" s="764">
        <v>1300</v>
      </c>
      <c r="H408" s="790">
        <f t="shared" si="19"/>
        <v>39000</v>
      </c>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row>
    <row r="409" spans="1:32" s="101" customFormat="1" ht="25.5">
      <c r="A409" s="105"/>
      <c r="B409" s="616">
        <f t="shared" si="20"/>
        <v>31</v>
      </c>
      <c r="C409" s="604" t="s">
        <v>299</v>
      </c>
      <c r="D409" s="602" t="s">
        <v>2219</v>
      </c>
      <c r="E409" s="596" t="s">
        <v>1930</v>
      </c>
      <c r="F409" s="596">
        <v>30</v>
      </c>
      <c r="G409" s="643">
        <v>1100</v>
      </c>
      <c r="H409" s="790">
        <f t="shared" si="19"/>
        <v>33000</v>
      </c>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row>
    <row r="410" spans="1:32" s="101" customFormat="1" ht="25.5">
      <c r="A410" s="105"/>
      <c r="B410" s="616">
        <f t="shared" si="20"/>
        <v>32</v>
      </c>
      <c r="C410" s="604" t="s">
        <v>300</v>
      </c>
      <c r="D410" s="602" t="s">
        <v>605</v>
      </c>
      <c r="E410" s="596" t="s">
        <v>295</v>
      </c>
      <c r="F410" s="596">
        <v>25</v>
      </c>
      <c r="G410" s="643">
        <v>1100</v>
      </c>
      <c r="H410" s="790">
        <f t="shared" si="19"/>
        <v>27500</v>
      </c>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row>
    <row r="411" spans="1:32" s="101" customFormat="1" ht="25.5">
      <c r="A411" s="105"/>
      <c r="B411" s="616">
        <f t="shared" si="20"/>
        <v>33</v>
      </c>
      <c r="C411" s="604" t="s">
        <v>2220</v>
      </c>
      <c r="D411" s="602" t="s">
        <v>2221</v>
      </c>
      <c r="E411" s="596" t="s">
        <v>295</v>
      </c>
      <c r="F411" s="596">
        <v>25</v>
      </c>
      <c r="G411" s="764">
        <v>1630</v>
      </c>
      <c r="H411" s="790">
        <f t="shared" si="19"/>
        <v>40750</v>
      </c>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row>
    <row r="412" spans="1:32" s="101" customFormat="1" ht="25.5">
      <c r="A412" s="105"/>
      <c r="B412" s="616">
        <f t="shared" si="20"/>
        <v>34</v>
      </c>
      <c r="C412" s="604" t="s">
        <v>2222</v>
      </c>
      <c r="D412" s="602" t="s">
        <v>2223</v>
      </c>
      <c r="E412" s="596" t="s">
        <v>1930</v>
      </c>
      <c r="F412" s="606">
        <v>25</v>
      </c>
      <c r="G412" s="764">
        <v>1630</v>
      </c>
      <c r="H412" s="790">
        <f t="shared" si="19"/>
        <v>40750</v>
      </c>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row>
    <row r="413" spans="1:32" s="101" customFormat="1" ht="25.5">
      <c r="A413" s="105"/>
      <c r="B413" s="616">
        <f t="shared" si="20"/>
        <v>35</v>
      </c>
      <c r="C413" s="604" t="s">
        <v>2224</v>
      </c>
      <c r="D413" s="602" t="s">
        <v>2225</v>
      </c>
      <c r="E413" s="596" t="s">
        <v>1930</v>
      </c>
      <c r="F413" s="606">
        <v>2</v>
      </c>
      <c r="G413" s="764">
        <v>1180</v>
      </c>
      <c r="H413" s="790">
        <f t="shared" si="19"/>
        <v>2360</v>
      </c>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row>
    <row r="414" spans="1:32" s="101" customFormat="1" ht="25.5">
      <c r="A414" s="105"/>
      <c r="B414" s="616">
        <f t="shared" si="20"/>
        <v>36</v>
      </c>
      <c r="C414" s="604" t="s">
        <v>2226</v>
      </c>
      <c r="D414" s="602" t="s">
        <v>2226</v>
      </c>
      <c r="E414" s="596" t="s">
        <v>1930</v>
      </c>
      <c r="F414" s="606">
        <v>25</v>
      </c>
      <c r="G414" s="643">
        <v>605</v>
      </c>
      <c r="H414" s="790">
        <f t="shared" si="19"/>
        <v>15125</v>
      </c>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row>
    <row r="415" spans="1:32" s="101" customFormat="1" ht="25.5">
      <c r="A415" s="105"/>
      <c r="B415" s="616">
        <f t="shared" si="20"/>
        <v>37</v>
      </c>
      <c r="C415" s="604" t="s">
        <v>2227</v>
      </c>
      <c r="D415" s="602" t="s">
        <v>2228</v>
      </c>
      <c r="E415" s="596" t="s">
        <v>1930</v>
      </c>
      <c r="F415" s="596">
        <v>5</v>
      </c>
      <c r="G415" s="643">
        <v>900.90000000000009</v>
      </c>
      <c r="H415" s="790">
        <f t="shared" si="19"/>
        <v>4504.5</v>
      </c>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row>
    <row r="416" spans="1:32" s="101" customFormat="1" ht="25.5">
      <c r="A416" s="105"/>
      <c r="B416" s="616">
        <f t="shared" si="20"/>
        <v>38</v>
      </c>
      <c r="C416" s="604" t="s">
        <v>2229</v>
      </c>
      <c r="D416" s="602" t="s">
        <v>2230</v>
      </c>
      <c r="E416" s="596" t="s">
        <v>1930</v>
      </c>
      <c r="F416" s="596">
        <v>5</v>
      </c>
      <c r="G416" s="643">
        <v>2368</v>
      </c>
      <c r="H416" s="790">
        <f t="shared" si="19"/>
        <v>11840</v>
      </c>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row>
    <row r="417" spans="1:32" s="101" customFormat="1" ht="25.5">
      <c r="A417" s="105"/>
      <c r="B417" s="616">
        <f t="shared" si="20"/>
        <v>39</v>
      </c>
      <c r="C417" s="604" t="s">
        <v>301</v>
      </c>
      <c r="D417" s="602" t="s">
        <v>587</v>
      </c>
      <c r="E417" s="596" t="s">
        <v>1930</v>
      </c>
      <c r="F417" s="596">
        <v>20</v>
      </c>
      <c r="G417" s="764">
        <v>1300</v>
      </c>
      <c r="H417" s="790">
        <f t="shared" si="19"/>
        <v>26000</v>
      </c>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row>
    <row r="418" spans="1:32" s="101" customFormat="1" ht="25.5">
      <c r="A418" s="105"/>
      <c r="B418" s="616">
        <f t="shared" si="20"/>
        <v>40</v>
      </c>
      <c r="C418" s="604" t="s">
        <v>2231</v>
      </c>
      <c r="D418" s="602" t="s">
        <v>2232</v>
      </c>
      <c r="E418" s="596" t="s">
        <v>1930</v>
      </c>
      <c r="F418" s="596">
        <v>20</v>
      </c>
      <c r="G418" s="764">
        <v>1300</v>
      </c>
      <c r="H418" s="790">
        <f t="shared" si="19"/>
        <v>26000</v>
      </c>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row>
    <row r="419" spans="1:32" s="101" customFormat="1" ht="38.25">
      <c r="A419" s="105"/>
      <c r="B419" s="616">
        <f t="shared" si="20"/>
        <v>41</v>
      </c>
      <c r="C419" s="604" t="s">
        <v>601</v>
      </c>
      <c r="D419" s="602" t="s">
        <v>588</v>
      </c>
      <c r="E419" s="596" t="s">
        <v>1930</v>
      </c>
      <c r="F419" s="596">
        <v>20</v>
      </c>
      <c r="G419" s="643">
        <v>950.40000000000009</v>
      </c>
      <c r="H419" s="790">
        <f t="shared" si="19"/>
        <v>19008</v>
      </c>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row>
    <row r="420" spans="1:32" s="101" customFormat="1" ht="38.25">
      <c r="A420" s="105"/>
      <c r="B420" s="616">
        <f t="shared" si="20"/>
        <v>42</v>
      </c>
      <c r="C420" s="604" t="s">
        <v>602</v>
      </c>
      <c r="D420" s="602" t="s">
        <v>603</v>
      </c>
      <c r="E420" s="596" t="s">
        <v>1930</v>
      </c>
      <c r="F420" s="596">
        <v>20</v>
      </c>
      <c r="G420" s="643">
        <v>950.40000000000009</v>
      </c>
      <c r="H420" s="790">
        <f t="shared" si="19"/>
        <v>19008</v>
      </c>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row>
    <row r="421" spans="1:32" s="101" customFormat="1" ht="127.5">
      <c r="A421" s="105"/>
      <c r="B421" s="616">
        <f t="shared" si="20"/>
        <v>43</v>
      </c>
      <c r="C421" s="604" t="s">
        <v>2233</v>
      </c>
      <c r="D421" s="602" t="s">
        <v>2234</v>
      </c>
      <c r="E421" s="596" t="s">
        <v>1930</v>
      </c>
      <c r="F421" s="596">
        <v>50</v>
      </c>
      <c r="G421" s="764">
        <v>1612</v>
      </c>
      <c r="H421" s="790">
        <f t="shared" si="19"/>
        <v>80600</v>
      </c>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row>
    <row r="422" spans="1:32" s="101" customFormat="1" ht="38.25">
      <c r="A422" s="105"/>
      <c r="B422" s="616">
        <f t="shared" si="20"/>
        <v>44</v>
      </c>
      <c r="C422" s="604" t="s">
        <v>2235</v>
      </c>
      <c r="D422" s="602" t="s">
        <v>2236</v>
      </c>
      <c r="E422" s="596" t="s">
        <v>1930</v>
      </c>
      <c r="F422" s="596">
        <v>20</v>
      </c>
      <c r="G422" s="764">
        <v>1630</v>
      </c>
      <c r="H422" s="790">
        <f t="shared" si="19"/>
        <v>32600</v>
      </c>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row>
    <row r="423" spans="1:32" s="101" customFormat="1" ht="25.5">
      <c r="A423" s="105"/>
      <c r="B423" s="616">
        <f t="shared" si="20"/>
        <v>45</v>
      </c>
      <c r="C423" s="604" t="s">
        <v>2237</v>
      </c>
      <c r="D423" s="602" t="s">
        <v>2238</v>
      </c>
      <c r="E423" s="596" t="s">
        <v>1930</v>
      </c>
      <c r="F423" s="596">
        <v>10</v>
      </c>
      <c r="G423" s="643">
        <v>594</v>
      </c>
      <c r="H423" s="790">
        <f t="shared" si="19"/>
        <v>5940</v>
      </c>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row>
    <row r="424" spans="1:32" s="101" customFormat="1" ht="25.5">
      <c r="A424" s="105"/>
      <c r="B424" s="616">
        <f t="shared" si="20"/>
        <v>46</v>
      </c>
      <c r="C424" s="604" t="s">
        <v>2239</v>
      </c>
      <c r="D424" s="602" t="s">
        <v>2239</v>
      </c>
      <c r="E424" s="596" t="s">
        <v>1930</v>
      </c>
      <c r="F424" s="596">
        <v>50</v>
      </c>
      <c r="G424" s="763">
        <v>220.00000000000003</v>
      </c>
      <c r="H424" s="790">
        <f t="shared" si="19"/>
        <v>11000.000000000002</v>
      </c>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row>
    <row r="425" spans="1:32" s="101" customFormat="1" ht="25.5">
      <c r="A425" s="105"/>
      <c r="B425" s="616">
        <f t="shared" si="20"/>
        <v>47</v>
      </c>
      <c r="C425" s="604" t="s">
        <v>2240</v>
      </c>
      <c r="D425" s="602" t="s">
        <v>2240</v>
      </c>
      <c r="E425" s="596" t="s">
        <v>1930</v>
      </c>
      <c r="F425" s="596">
        <v>50</v>
      </c>
      <c r="G425" s="763">
        <v>275</v>
      </c>
      <c r="H425" s="790">
        <f t="shared" si="19"/>
        <v>13750</v>
      </c>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row>
    <row r="426" spans="1:32" s="101" customFormat="1" ht="25.5">
      <c r="A426" s="105"/>
      <c r="B426" s="616">
        <f t="shared" si="20"/>
        <v>48</v>
      </c>
      <c r="C426" s="604" t="s">
        <v>2241</v>
      </c>
      <c r="D426" s="602" t="s">
        <v>2241</v>
      </c>
      <c r="E426" s="596" t="s">
        <v>1930</v>
      </c>
      <c r="F426" s="596">
        <v>50</v>
      </c>
      <c r="G426" s="763">
        <v>275</v>
      </c>
      <c r="H426" s="790">
        <f t="shared" si="19"/>
        <v>13750</v>
      </c>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row>
    <row r="427" spans="1:32" s="101" customFormat="1" ht="25.5">
      <c r="A427" s="105"/>
      <c r="B427" s="616">
        <f t="shared" si="20"/>
        <v>49</v>
      </c>
      <c r="C427" s="604" t="s">
        <v>2242</v>
      </c>
      <c r="D427" s="602" t="s">
        <v>2242</v>
      </c>
      <c r="E427" s="596" t="s">
        <v>1930</v>
      </c>
      <c r="F427" s="596">
        <v>50</v>
      </c>
      <c r="G427" s="763">
        <v>275</v>
      </c>
      <c r="H427" s="790">
        <f t="shared" si="19"/>
        <v>13750</v>
      </c>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row>
    <row r="428" spans="1:32" s="101" customFormat="1" ht="25.5">
      <c r="A428" s="105"/>
      <c r="B428" s="616">
        <f t="shared" si="20"/>
        <v>50</v>
      </c>
      <c r="C428" s="604" t="s">
        <v>2243</v>
      </c>
      <c r="D428" s="602" t="s">
        <v>589</v>
      </c>
      <c r="E428" s="596" t="s">
        <v>1930</v>
      </c>
      <c r="F428" s="596">
        <v>27</v>
      </c>
      <c r="G428" s="643">
        <v>297</v>
      </c>
      <c r="H428" s="790">
        <f t="shared" si="19"/>
        <v>8019</v>
      </c>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row>
    <row r="429" spans="1:32" s="101" customFormat="1" ht="63.75">
      <c r="A429" s="105"/>
      <c r="B429" s="616">
        <f t="shared" si="20"/>
        <v>51</v>
      </c>
      <c r="C429" s="604" t="s">
        <v>2244</v>
      </c>
      <c r="D429" s="602" t="s">
        <v>606</v>
      </c>
      <c r="E429" s="596" t="s">
        <v>1930</v>
      </c>
      <c r="F429" s="596">
        <v>20</v>
      </c>
      <c r="G429" s="643">
        <v>287.10000000000002</v>
      </c>
      <c r="H429" s="790">
        <f t="shared" si="19"/>
        <v>5742</v>
      </c>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row>
    <row r="430" spans="1:32" s="101" customFormat="1" ht="15">
      <c r="A430" s="105"/>
      <c r="B430" s="616">
        <f t="shared" si="20"/>
        <v>52</v>
      </c>
      <c r="C430" s="604" t="s">
        <v>2245</v>
      </c>
      <c r="D430" s="602" t="s">
        <v>2245</v>
      </c>
      <c r="E430" s="596" t="s">
        <v>1930</v>
      </c>
      <c r="F430" s="596">
        <v>5</v>
      </c>
      <c r="G430" s="643">
        <v>227.70000000000002</v>
      </c>
      <c r="H430" s="790">
        <v>1034</v>
      </c>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row>
    <row r="431" spans="1:32" s="101" customFormat="1" ht="15">
      <c r="A431" s="105"/>
      <c r="B431" s="616">
        <f t="shared" si="20"/>
        <v>53</v>
      </c>
      <c r="C431" s="604" t="s">
        <v>2246</v>
      </c>
      <c r="D431" s="602" t="s">
        <v>2247</v>
      </c>
      <c r="E431" s="596" t="s">
        <v>1930</v>
      </c>
      <c r="F431" s="596">
        <v>50</v>
      </c>
      <c r="G431" s="764">
        <v>1600</v>
      </c>
      <c r="H431" s="790">
        <f t="shared" si="19"/>
        <v>80000</v>
      </c>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row>
    <row r="432" spans="1:32" s="101" customFormat="1" ht="15">
      <c r="A432" s="105"/>
      <c r="B432" s="616">
        <f t="shared" si="20"/>
        <v>54</v>
      </c>
      <c r="C432" s="604" t="s">
        <v>2248</v>
      </c>
      <c r="D432" s="602" t="s">
        <v>2248</v>
      </c>
      <c r="E432" s="596" t="s">
        <v>1930</v>
      </c>
      <c r="F432" s="596">
        <v>15</v>
      </c>
      <c r="G432" s="764">
        <v>2350</v>
      </c>
      <c r="H432" s="790">
        <f t="shared" si="19"/>
        <v>35250</v>
      </c>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row>
    <row r="433" spans="1:32" s="101" customFormat="1" ht="25.5">
      <c r="A433" s="105"/>
      <c r="B433" s="616">
        <f t="shared" si="20"/>
        <v>55</v>
      </c>
      <c r="C433" s="604" t="s">
        <v>2249</v>
      </c>
      <c r="D433" s="602" t="s">
        <v>2250</v>
      </c>
      <c r="E433" s="596" t="s">
        <v>1930</v>
      </c>
      <c r="F433" s="596">
        <v>13</v>
      </c>
      <c r="G433" s="643">
        <v>297</v>
      </c>
      <c r="H433" s="790">
        <f t="shared" si="19"/>
        <v>3861</v>
      </c>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row>
    <row r="434" spans="1:32" s="101" customFormat="1" ht="25.5">
      <c r="A434" s="105"/>
      <c r="B434" s="616">
        <f t="shared" si="20"/>
        <v>56</v>
      </c>
      <c r="C434" s="604" t="s">
        <v>2251</v>
      </c>
      <c r="D434" s="602" t="s">
        <v>2252</v>
      </c>
      <c r="E434" s="596" t="s">
        <v>295</v>
      </c>
      <c r="F434" s="596">
        <v>70</v>
      </c>
      <c r="G434" s="764">
        <v>1108</v>
      </c>
      <c r="H434" s="790">
        <f t="shared" si="19"/>
        <v>77560</v>
      </c>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row>
    <row r="435" spans="1:32" s="101" customFormat="1" ht="38.25">
      <c r="A435" s="105"/>
      <c r="B435" s="616">
        <f t="shared" si="20"/>
        <v>57</v>
      </c>
      <c r="C435" s="604" t="s">
        <v>2253</v>
      </c>
      <c r="D435" s="602" t="s">
        <v>2254</v>
      </c>
      <c r="E435" s="596" t="s">
        <v>295</v>
      </c>
      <c r="F435" s="606">
        <v>5</v>
      </c>
      <c r="G435" s="643">
        <v>554.40000000000009</v>
      </c>
      <c r="H435" s="790">
        <f t="shared" si="19"/>
        <v>2772.0000000000005</v>
      </c>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row>
    <row r="436" spans="1:32" s="101" customFormat="1" ht="15">
      <c r="A436" s="105"/>
      <c r="B436" s="616">
        <f t="shared" si="20"/>
        <v>58</v>
      </c>
      <c r="C436" s="604" t="s">
        <v>2255</v>
      </c>
      <c r="D436" s="602" t="s">
        <v>2256</v>
      </c>
      <c r="E436" s="596" t="s">
        <v>1930</v>
      </c>
      <c r="F436" s="596">
        <v>50</v>
      </c>
      <c r="G436" s="643">
        <v>1378</v>
      </c>
      <c r="H436" s="790">
        <f t="shared" si="19"/>
        <v>68900</v>
      </c>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row>
    <row r="437" spans="1:32" s="101" customFormat="1" ht="15">
      <c r="A437" s="105"/>
      <c r="B437" s="616">
        <f t="shared" si="20"/>
        <v>59</v>
      </c>
      <c r="C437" s="604" t="s">
        <v>2257</v>
      </c>
      <c r="D437" s="602" t="s">
        <v>2257</v>
      </c>
      <c r="E437" s="596" t="s">
        <v>1930</v>
      </c>
      <c r="F437" s="596">
        <v>50</v>
      </c>
      <c r="G437" s="764">
        <v>1522</v>
      </c>
      <c r="H437" s="790">
        <f t="shared" si="19"/>
        <v>76100</v>
      </c>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row>
    <row r="438" spans="1:32" s="101" customFormat="1" ht="38.25">
      <c r="A438" s="105"/>
      <c r="B438" s="616">
        <f t="shared" si="20"/>
        <v>60</v>
      </c>
      <c r="C438" s="604" t="s">
        <v>2258</v>
      </c>
      <c r="D438" s="602" t="s">
        <v>2259</v>
      </c>
      <c r="E438" s="596" t="s">
        <v>1930</v>
      </c>
      <c r="F438" s="596">
        <v>50</v>
      </c>
      <c r="G438" s="764">
        <v>1600</v>
      </c>
      <c r="H438" s="790">
        <f t="shared" si="19"/>
        <v>80000</v>
      </c>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row>
    <row r="439" spans="1:32" s="101" customFormat="1" ht="25.5">
      <c r="A439" s="105"/>
      <c r="B439" s="616">
        <f t="shared" si="20"/>
        <v>61</v>
      </c>
      <c r="C439" s="604" t="s">
        <v>2260</v>
      </c>
      <c r="D439" s="602" t="s">
        <v>2261</v>
      </c>
      <c r="E439" s="596" t="s">
        <v>1930</v>
      </c>
      <c r="F439" s="596">
        <v>25</v>
      </c>
      <c r="G439" s="751">
        <v>550</v>
      </c>
      <c r="H439" s="790">
        <f t="shared" si="19"/>
        <v>13750</v>
      </c>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row>
    <row r="440" spans="1:32" s="101" customFormat="1" ht="89.25">
      <c r="A440" s="105"/>
      <c r="B440" s="616">
        <f t="shared" si="20"/>
        <v>62</v>
      </c>
      <c r="C440" s="604" t="s">
        <v>2262</v>
      </c>
      <c r="D440" s="602" t="s">
        <v>2263</v>
      </c>
      <c r="E440" s="596" t="s">
        <v>295</v>
      </c>
      <c r="F440" s="596">
        <v>80</v>
      </c>
      <c r="G440" s="643">
        <v>2100</v>
      </c>
      <c r="H440" s="790">
        <f t="shared" si="19"/>
        <v>168000</v>
      </c>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row>
    <row r="441" spans="1:32" s="101" customFormat="1" ht="25.5">
      <c r="A441" s="105"/>
      <c r="B441" s="616">
        <f t="shared" si="20"/>
        <v>63</v>
      </c>
      <c r="C441" s="604" t="s">
        <v>2264</v>
      </c>
      <c r="D441" s="602" t="s">
        <v>2264</v>
      </c>
      <c r="E441" s="596" t="s">
        <v>33</v>
      </c>
      <c r="F441" s="596">
        <v>1</v>
      </c>
      <c r="G441" s="764">
        <v>3100</v>
      </c>
      <c r="H441" s="790">
        <f t="shared" si="19"/>
        <v>3100</v>
      </c>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row>
    <row r="442" spans="1:32" s="101" customFormat="1" ht="25.5">
      <c r="A442" s="105"/>
      <c r="B442" s="616">
        <f t="shared" si="20"/>
        <v>64</v>
      </c>
      <c r="C442" s="604" t="s">
        <v>2265</v>
      </c>
      <c r="D442" s="602" t="s">
        <v>2265</v>
      </c>
      <c r="E442" s="596" t="s">
        <v>33</v>
      </c>
      <c r="F442" s="596">
        <v>1</v>
      </c>
      <c r="G442" s="764">
        <v>3100</v>
      </c>
      <c r="H442" s="790">
        <f t="shared" si="19"/>
        <v>3100</v>
      </c>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row>
    <row r="443" spans="1:32" s="101" customFormat="1" ht="38.25">
      <c r="A443" s="105"/>
      <c r="B443" s="616">
        <f t="shared" si="20"/>
        <v>65</v>
      </c>
      <c r="C443" s="604" t="s">
        <v>2266</v>
      </c>
      <c r="D443" s="602" t="s">
        <v>2266</v>
      </c>
      <c r="E443" s="596" t="s">
        <v>33</v>
      </c>
      <c r="F443" s="596">
        <v>2</v>
      </c>
      <c r="G443" s="764">
        <v>3600</v>
      </c>
      <c r="H443" s="790">
        <f t="shared" si="19"/>
        <v>7200</v>
      </c>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row>
    <row r="444" spans="1:32" s="101" customFormat="1" ht="38.25">
      <c r="A444" s="105"/>
      <c r="B444" s="616">
        <f t="shared" si="20"/>
        <v>66</v>
      </c>
      <c r="C444" s="604" t="s">
        <v>2267</v>
      </c>
      <c r="D444" s="602" t="s">
        <v>2267</v>
      </c>
      <c r="E444" s="596" t="s">
        <v>33</v>
      </c>
      <c r="F444" s="596">
        <v>2</v>
      </c>
      <c r="G444" s="764">
        <v>3600</v>
      </c>
      <c r="H444" s="790">
        <f t="shared" ref="H444:H452" si="21">F444*G444</f>
        <v>7200</v>
      </c>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row>
    <row r="445" spans="1:32" s="101" customFormat="1" ht="25.5">
      <c r="A445" s="105"/>
      <c r="B445" s="616">
        <f t="shared" ref="B445:B452" si="22">B444+1</f>
        <v>67</v>
      </c>
      <c r="C445" s="604" t="s">
        <v>2268</v>
      </c>
      <c r="D445" s="602" t="s">
        <v>2268</v>
      </c>
      <c r="E445" s="596" t="s">
        <v>33</v>
      </c>
      <c r="F445" s="596">
        <v>2</v>
      </c>
      <c r="G445" s="764">
        <v>3600</v>
      </c>
      <c r="H445" s="790">
        <f t="shared" si="21"/>
        <v>7200</v>
      </c>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row>
    <row r="446" spans="1:32" s="101" customFormat="1" ht="25.5">
      <c r="A446" s="105"/>
      <c r="B446" s="616">
        <f t="shared" si="22"/>
        <v>68</v>
      </c>
      <c r="C446" s="604" t="s">
        <v>2269</v>
      </c>
      <c r="D446" s="604" t="s">
        <v>2269</v>
      </c>
      <c r="E446" s="596" t="s">
        <v>33</v>
      </c>
      <c r="F446" s="596">
        <v>50</v>
      </c>
      <c r="G446" s="643">
        <v>220.00000000000003</v>
      </c>
      <c r="H446" s="790">
        <f>F446*G446</f>
        <v>11000.000000000002</v>
      </c>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row>
    <row r="447" spans="1:32" s="101" customFormat="1" ht="51">
      <c r="A447" s="105"/>
      <c r="B447" s="616">
        <f t="shared" si="22"/>
        <v>69</v>
      </c>
      <c r="C447" s="604" t="s">
        <v>2270</v>
      </c>
      <c r="D447" s="602" t="s">
        <v>2271</v>
      </c>
      <c r="E447" s="596" t="s">
        <v>2272</v>
      </c>
      <c r="F447" s="596">
        <v>80</v>
      </c>
      <c r="G447" s="643">
        <v>715.00000000000011</v>
      </c>
      <c r="H447" s="790">
        <f t="shared" si="21"/>
        <v>57200.000000000007</v>
      </c>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row>
    <row r="448" spans="1:32" s="101" customFormat="1" ht="15">
      <c r="A448" s="105"/>
      <c r="B448" s="616">
        <f t="shared" si="22"/>
        <v>70</v>
      </c>
      <c r="C448" s="613" t="s">
        <v>2273</v>
      </c>
      <c r="D448" s="602" t="s">
        <v>2274</v>
      </c>
      <c r="E448" s="596" t="s">
        <v>2272</v>
      </c>
      <c r="F448" s="596">
        <v>3</v>
      </c>
      <c r="G448" s="764">
        <v>4800</v>
      </c>
      <c r="H448" s="790">
        <f t="shared" si="21"/>
        <v>14400</v>
      </c>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row>
    <row r="449" spans="1:33" s="101" customFormat="1" ht="25.5">
      <c r="A449" s="105"/>
      <c r="B449" s="616">
        <f t="shared" si="22"/>
        <v>71</v>
      </c>
      <c r="C449" s="613" t="s">
        <v>2275</v>
      </c>
      <c r="D449" s="602" t="s">
        <v>2276</v>
      </c>
      <c r="E449" s="596" t="s">
        <v>33</v>
      </c>
      <c r="F449" s="596">
        <v>50</v>
      </c>
      <c r="G449" s="643">
        <v>715.00000000000011</v>
      </c>
      <c r="H449" s="790">
        <f t="shared" si="21"/>
        <v>35750.000000000007</v>
      </c>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row>
    <row r="450" spans="1:33" s="101" customFormat="1" ht="15">
      <c r="A450" s="105"/>
      <c r="B450" s="616">
        <f t="shared" si="22"/>
        <v>72</v>
      </c>
      <c r="C450" s="613" t="s">
        <v>2277</v>
      </c>
      <c r="D450" s="602" t="s">
        <v>604</v>
      </c>
      <c r="E450" s="596" t="s">
        <v>295</v>
      </c>
      <c r="F450" s="596">
        <v>10</v>
      </c>
      <c r="G450" s="764">
        <v>2050</v>
      </c>
      <c r="H450" s="790">
        <f t="shared" si="21"/>
        <v>20500</v>
      </c>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row>
    <row r="451" spans="1:33" s="101" customFormat="1" ht="25.5">
      <c r="A451" s="105"/>
      <c r="B451" s="616">
        <f t="shared" si="22"/>
        <v>73</v>
      </c>
      <c r="C451" s="613" t="s">
        <v>2278</v>
      </c>
      <c r="D451" s="602" t="s">
        <v>2279</v>
      </c>
      <c r="E451" s="596" t="s">
        <v>1932</v>
      </c>
      <c r="F451" s="596">
        <v>2</v>
      </c>
      <c r="G451" s="764">
        <v>5600</v>
      </c>
      <c r="H451" s="790">
        <f t="shared" si="21"/>
        <v>11200</v>
      </c>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row>
    <row r="452" spans="1:33" s="101" customFormat="1" ht="51">
      <c r="A452" s="105"/>
      <c r="B452" s="616">
        <f t="shared" si="22"/>
        <v>74</v>
      </c>
      <c r="C452" s="604" t="s">
        <v>2280</v>
      </c>
      <c r="D452" s="602" t="s">
        <v>2281</v>
      </c>
      <c r="E452" s="596" t="s">
        <v>233</v>
      </c>
      <c r="F452" s="596">
        <v>20</v>
      </c>
      <c r="G452" s="764">
        <v>3100</v>
      </c>
      <c r="H452" s="790">
        <f t="shared" si="21"/>
        <v>62000</v>
      </c>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row>
    <row r="453" spans="1:33" s="101" customFormat="1" ht="15">
      <c r="A453" s="105"/>
      <c r="B453" s="606"/>
      <c r="C453" s="796" t="s">
        <v>44</v>
      </c>
      <c r="D453" s="246"/>
      <c r="E453" s="797"/>
      <c r="F453" s="798"/>
      <c r="G453" s="799"/>
      <c r="H453" s="800">
        <f>SUM(H379:H452)</f>
        <v>2335619.5</v>
      </c>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row>
    <row r="454" spans="1:33" s="101" customFormat="1" ht="15">
      <c r="A454" s="105"/>
      <c r="B454" s="801"/>
      <c r="C454" s="801" t="s">
        <v>2282</v>
      </c>
      <c r="D454" s="802"/>
      <c r="E454" s="803"/>
      <c r="F454" s="803"/>
      <c r="G454" s="803"/>
      <c r="H454" s="803"/>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row>
    <row r="455" spans="1:33" s="101" customFormat="1" ht="25.5">
      <c r="A455" s="105"/>
      <c r="B455" s="625" t="s">
        <v>7</v>
      </c>
      <c r="C455" s="626" t="s">
        <v>0</v>
      </c>
      <c r="D455" s="625" t="s">
        <v>590</v>
      </c>
      <c r="E455" s="625" t="s">
        <v>85</v>
      </c>
      <c r="F455" s="625" t="s">
        <v>127</v>
      </c>
      <c r="G455" s="625" t="s">
        <v>591</v>
      </c>
      <c r="H455" s="625" t="s">
        <v>87</v>
      </c>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row>
    <row r="456" spans="1:33" s="101" customFormat="1" ht="15">
      <c r="A456" s="105"/>
      <c r="B456" s="804"/>
      <c r="C456" s="805">
        <v>1</v>
      </c>
      <c r="D456" s="616">
        <v>2</v>
      </c>
      <c r="E456" s="606">
        <v>3</v>
      </c>
      <c r="F456" s="606">
        <v>4</v>
      </c>
      <c r="G456" s="606">
        <v>5</v>
      </c>
      <c r="H456" s="606">
        <v>6</v>
      </c>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row>
    <row r="457" spans="1:33" s="101" customFormat="1" ht="15">
      <c r="A457" s="105"/>
      <c r="B457" s="9"/>
      <c r="C457" s="734" t="s">
        <v>2283</v>
      </c>
      <c r="D457" s="806"/>
      <c r="E457" s="736"/>
      <c r="F457" s="807"/>
      <c r="G457" s="807"/>
      <c r="H457" s="808">
        <f>SUM(H458:H463)</f>
        <v>65332.44</v>
      </c>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row>
    <row r="458" spans="1:33" s="43" customFormat="1" ht="15">
      <c r="A458" s="105"/>
      <c r="B458" s="809">
        <v>1</v>
      </c>
      <c r="C458" s="604" t="s">
        <v>364</v>
      </c>
      <c r="D458" s="596" t="s">
        <v>592</v>
      </c>
      <c r="E458" s="599" t="s">
        <v>33</v>
      </c>
      <c r="F458" s="318">
        <v>1</v>
      </c>
      <c r="G458" s="319">
        <v>17129.16</v>
      </c>
      <c r="H458" s="810">
        <f>F458*G458</f>
        <v>17129.16</v>
      </c>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row>
    <row r="459" spans="1:33" s="43" customFormat="1" ht="15">
      <c r="A459" s="105"/>
      <c r="B459" s="778">
        <f>B458+1</f>
        <v>2</v>
      </c>
      <c r="C459" s="604" t="s">
        <v>365</v>
      </c>
      <c r="D459" s="596" t="s">
        <v>593</v>
      </c>
      <c r="E459" s="599" t="s">
        <v>33</v>
      </c>
      <c r="F459" s="318">
        <v>1</v>
      </c>
      <c r="G459" s="319">
        <v>13589.16</v>
      </c>
      <c r="H459" s="810">
        <f t="shared" ref="H459:H463" si="23">F459*G459</f>
        <v>13589.16</v>
      </c>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row>
    <row r="460" spans="1:33" s="43" customFormat="1" ht="15">
      <c r="A460" s="105"/>
      <c r="B460" s="778">
        <f t="shared" ref="B460:B463" si="24">B459+1</f>
        <v>3</v>
      </c>
      <c r="C460" s="604" t="s">
        <v>366</v>
      </c>
      <c r="D460" s="596" t="s">
        <v>594</v>
      </c>
      <c r="E460" s="599" t="s">
        <v>33</v>
      </c>
      <c r="F460" s="599">
        <v>1</v>
      </c>
      <c r="G460" s="319">
        <v>7982.4</v>
      </c>
      <c r="H460" s="810">
        <f t="shared" si="23"/>
        <v>7982.4</v>
      </c>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row>
    <row r="461" spans="1:33" s="43" customFormat="1" ht="15">
      <c r="A461" s="105"/>
      <c r="B461" s="778">
        <f t="shared" si="24"/>
        <v>4</v>
      </c>
      <c r="C461" s="604" t="s">
        <v>367</v>
      </c>
      <c r="D461" s="596" t="s">
        <v>595</v>
      </c>
      <c r="E461" s="599" t="s">
        <v>33</v>
      </c>
      <c r="F461" s="599">
        <v>1</v>
      </c>
      <c r="G461" s="319">
        <v>13798.08</v>
      </c>
      <c r="H461" s="810">
        <f t="shared" si="23"/>
        <v>13798.08</v>
      </c>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row>
    <row r="462" spans="1:33" s="43" customFormat="1" ht="15">
      <c r="A462" s="105"/>
      <c r="B462" s="778">
        <f t="shared" si="24"/>
        <v>5</v>
      </c>
      <c r="C462" s="604" t="s">
        <v>607</v>
      </c>
      <c r="D462" s="596" t="s">
        <v>595</v>
      </c>
      <c r="E462" s="599" t="s">
        <v>33</v>
      </c>
      <c r="F462" s="318">
        <v>1</v>
      </c>
      <c r="G462" s="319">
        <v>3867.24</v>
      </c>
      <c r="H462" s="810">
        <f t="shared" si="23"/>
        <v>3867.24</v>
      </c>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row>
    <row r="463" spans="1:33" s="43" customFormat="1" ht="30" customHeight="1">
      <c r="A463" s="105"/>
      <c r="B463" s="778">
        <f t="shared" si="24"/>
        <v>6</v>
      </c>
      <c r="C463" s="604" t="s">
        <v>608</v>
      </c>
      <c r="D463" s="596" t="s">
        <v>595</v>
      </c>
      <c r="E463" s="599" t="s">
        <v>33</v>
      </c>
      <c r="F463" s="318">
        <v>1</v>
      </c>
      <c r="G463" s="319">
        <v>8966.4</v>
      </c>
      <c r="H463" s="810">
        <f t="shared" si="23"/>
        <v>8966.4</v>
      </c>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row>
    <row r="464" spans="1:33" s="100" customFormat="1" ht="15">
      <c r="A464" s="105"/>
      <c r="B464" s="760"/>
      <c r="C464" s="811" t="s">
        <v>2284</v>
      </c>
      <c r="D464" s="188"/>
      <c r="E464" s="188"/>
      <c r="F464" s="251"/>
      <c r="G464" s="313"/>
      <c r="H464" s="314">
        <f>SUM(H465:H482)</f>
        <v>272497.20000000007</v>
      </c>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row>
    <row r="465" spans="1:32" s="100" customFormat="1" ht="15">
      <c r="A465" s="317"/>
      <c r="B465" s="606">
        <v>1</v>
      </c>
      <c r="C465" s="604" t="s">
        <v>368</v>
      </c>
      <c r="D465" s="596" t="s">
        <v>596</v>
      </c>
      <c r="E465" s="599" t="s">
        <v>33</v>
      </c>
      <c r="F465" s="318">
        <v>1</v>
      </c>
      <c r="G465" s="319">
        <v>18866.400000000001</v>
      </c>
      <c r="H465" s="812">
        <f>F465*G465</f>
        <v>18866.400000000001</v>
      </c>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row>
    <row r="466" spans="1:32" s="100" customFormat="1" ht="25.5">
      <c r="A466" s="317"/>
      <c r="B466" s="606">
        <v>2</v>
      </c>
      <c r="C466" s="604" t="s">
        <v>2285</v>
      </c>
      <c r="D466" s="596" t="s">
        <v>597</v>
      </c>
      <c r="E466" s="599" t="s">
        <v>33</v>
      </c>
      <c r="F466" s="318">
        <v>1</v>
      </c>
      <c r="G466" s="319">
        <v>51290.400000000001</v>
      </c>
      <c r="H466" s="812">
        <f t="shared" ref="H466:H481" si="25">F466*G466</f>
        <v>51290.400000000001</v>
      </c>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row>
    <row r="467" spans="1:32" s="100" customFormat="1" ht="25.5">
      <c r="A467" s="317"/>
      <c r="B467" s="606">
        <v>3</v>
      </c>
      <c r="C467" s="604" t="s">
        <v>2286</v>
      </c>
      <c r="D467" s="596" t="s">
        <v>597</v>
      </c>
      <c r="E467" s="599" t="s">
        <v>33</v>
      </c>
      <c r="F467" s="318">
        <v>1</v>
      </c>
      <c r="G467" s="319">
        <v>62188.800000000003</v>
      </c>
      <c r="H467" s="812">
        <f t="shared" si="25"/>
        <v>62188.800000000003</v>
      </c>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row>
    <row r="468" spans="1:32" s="100" customFormat="1" ht="25.5">
      <c r="A468" s="317"/>
      <c r="B468" s="606">
        <f t="shared" ref="B468:B482" si="26">B467+1</f>
        <v>4</v>
      </c>
      <c r="C468" s="604" t="s">
        <v>2287</v>
      </c>
      <c r="D468" s="596" t="s">
        <v>597</v>
      </c>
      <c r="E468" s="599" t="s">
        <v>33</v>
      </c>
      <c r="F468" s="318">
        <v>1</v>
      </c>
      <c r="G468" s="319">
        <v>12220.8</v>
      </c>
      <c r="H468" s="812">
        <f t="shared" si="25"/>
        <v>12220.8</v>
      </c>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row>
    <row r="469" spans="1:32" s="100" customFormat="1" ht="15">
      <c r="A469" s="317"/>
      <c r="B469" s="606">
        <f>B468+1</f>
        <v>5</v>
      </c>
      <c r="C469" s="604" t="s">
        <v>2288</v>
      </c>
      <c r="D469" s="596" t="s">
        <v>598</v>
      </c>
      <c r="E469" s="599" t="s">
        <v>33</v>
      </c>
      <c r="F469" s="318">
        <v>1</v>
      </c>
      <c r="G469" s="319">
        <v>9141.6</v>
      </c>
      <c r="H469" s="812">
        <f t="shared" si="25"/>
        <v>9141.6</v>
      </c>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row>
    <row r="470" spans="1:32" s="43" customFormat="1" ht="25.5">
      <c r="A470" s="317"/>
      <c r="B470" s="606">
        <f t="shared" si="26"/>
        <v>6</v>
      </c>
      <c r="C470" s="604" t="s">
        <v>2289</v>
      </c>
      <c r="D470" s="596" t="s">
        <v>599</v>
      </c>
      <c r="E470" s="599" t="s">
        <v>33</v>
      </c>
      <c r="F470" s="318">
        <v>1</v>
      </c>
      <c r="G470" s="319">
        <v>9141.6</v>
      </c>
      <c r="H470" s="812">
        <f t="shared" si="25"/>
        <v>9141.6</v>
      </c>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row>
    <row r="471" spans="1:32" s="100" customFormat="1" ht="25.5">
      <c r="A471" s="317"/>
      <c r="B471" s="606">
        <f t="shared" si="26"/>
        <v>7</v>
      </c>
      <c r="C471" s="604" t="s">
        <v>370</v>
      </c>
      <c r="D471" s="596" t="s">
        <v>600</v>
      </c>
      <c r="E471" s="599" t="s">
        <v>33</v>
      </c>
      <c r="F471" s="318">
        <v>1</v>
      </c>
      <c r="G471" s="319">
        <v>11755.2</v>
      </c>
      <c r="H471" s="812">
        <f t="shared" si="25"/>
        <v>11755.2</v>
      </c>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row>
    <row r="472" spans="1:32" s="100" customFormat="1" ht="25.5">
      <c r="A472" s="317"/>
      <c r="B472" s="606">
        <f t="shared" si="26"/>
        <v>8</v>
      </c>
      <c r="C472" s="604" t="s">
        <v>371</v>
      </c>
      <c r="D472" s="596" t="s">
        <v>600</v>
      </c>
      <c r="E472" s="599" t="s">
        <v>33</v>
      </c>
      <c r="F472" s="318">
        <v>1</v>
      </c>
      <c r="G472" s="319">
        <v>11179.2</v>
      </c>
      <c r="H472" s="812">
        <f t="shared" si="25"/>
        <v>11179.2</v>
      </c>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row>
    <row r="473" spans="1:32" s="100" customFormat="1" ht="15">
      <c r="A473" s="317"/>
      <c r="B473" s="606">
        <f t="shared" si="26"/>
        <v>9</v>
      </c>
      <c r="C473" s="604" t="s">
        <v>372</v>
      </c>
      <c r="D473" s="596" t="s">
        <v>597</v>
      </c>
      <c r="E473" s="599" t="s">
        <v>33</v>
      </c>
      <c r="F473" s="318">
        <v>1</v>
      </c>
      <c r="G473" s="319">
        <v>16027.2</v>
      </c>
      <c r="H473" s="812">
        <f t="shared" si="25"/>
        <v>16027.2</v>
      </c>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row>
    <row r="474" spans="1:32" s="100" customFormat="1" ht="25.5">
      <c r="A474" s="317"/>
      <c r="B474" s="606">
        <f t="shared" si="26"/>
        <v>10</v>
      </c>
      <c r="C474" s="604" t="s">
        <v>2290</v>
      </c>
      <c r="D474" s="596" t="s">
        <v>600</v>
      </c>
      <c r="E474" s="599" t="s">
        <v>33</v>
      </c>
      <c r="F474" s="318">
        <v>1</v>
      </c>
      <c r="G474" s="319">
        <v>16027.2</v>
      </c>
      <c r="H474" s="812">
        <f t="shared" si="25"/>
        <v>16027.2</v>
      </c>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row>
    <row r="475" spans="1:32" s="100" customFormat="1" ht="15">
      <c r="A475" s="317"/>
      <c r="B475" s="606">
        <f t="shared" si="26"/>
        <v>11</v>
      </c>
      <c r="C475" s="604" t="s">
        <v>373</v>
      </c>
      <c r="D475" s="596" t="s">
        <v>599</v>
      </c>
      <c r="E475" s="599" t="s">
        <v>33</v>
      </c>
      <c r="F475" s="318">
        <v>1</v>
      </c>
      <c r="G475" s="319">
        <v>9129.6</v>
      </c>
      <c r="H475" s="812">
        <f t="shared" si="25"/>
        <v>9129.6</v>
      </c>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row>
    <row r="476" spans="1:32" s="100" customFormat="1" ht="26.25" customHeight="1">
      <c r="A476" s="317"/>
      <c r="B476" s="606">
        <f t="shared" si="26"/>
        <v>12</v>
      </c>
      <c r="C476" s="604" t="s">
        <v>2291</v>
      </c>
      <c r="D476" s="596" t="s">
        <v>600</v>
      </c>
      <c r="E476" s="599" t="s">
        <v>33</v>
      </c>
      <c r="F476" s="318">
        <v>1</v>
      </c>
      <c r="G476" s="319">
        <v>3105.6</v>
      </c>
      <c r="H476" s="812">
        <f t="shared" si="25"/>
        <v>3105.6</v>
      </c>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row>
    <row r="477" spans="1:32" s="100" customFormat="1" ht="15">
      <c r="A477" s="317"/>
      <c r="B477" s="606">
        <f t="shared" si="26"/>
        <v>13</v>
      </c>
      <c r="C477" s="604" t="s">
        <v>2292</v>
      </c>
      <c r="D477" s="596" t="s">
        <v>600</v>
      </c>
      <c r="E477" s="599" t="s">
        <v>33</v>
      </c>
      <c r="F477" s="318">
        <v>1</v>
      </c>
      <c r="G477" s="319">
        <v>6400.8</v>
      </c>
      <c r="H477" s="812">
        <f t="shared" si="25"/>
        <v>6400.8</v>
      </c>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row>
    <row r="478" spans="1:32" s="100" customFormat="1" ht="15">
      <c r="A478" s="317"/>
      <c r="B478" s="606">
        <f t="shared" si="26"/>
        <v>14</v>
      </c>
      <c r="C478" s="604" t="s">
        <v>2293</v>
      </c>
      <c r="D478" s="596" t="s">
        <v>600</v>
      </c>
      <c r="E478" s="599" t="s">
        <v>33</v>
      </c>
      <c r="F478" s="318">
        <v>1</v>
      </c>
      <c r="G478" s="319">
        <v>4603.2</v>
      </c>
      <c r="H478" s="812">
        <f t="shared" si="25"/>
        <v>4603.2</v>
      </c>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row>
    <row r="479" spans="1:32" s="100" customFormat="1" ht="15">
      <c r="A479" s="317"/>
      <c r="B479" s="606">
        <f t="shared" si="26"/>
        <v>15</v>
      </c>
      <c r="C479" s="604" t="s">
        <v>609</v>
      </c>
      <c r="D479" s="596" t="s">
        <v>599</v>
      </c>
      <c r="E479" s="599" t="s">
        <v>33</v>
      </c>
      <c r="F479" s="318">
        <v>1</v>
      </c>
      <c r="G479" s="319">
        <v>8870.4</v>
      </c>
      <c r="H479" s="812">
        <f t="shared" si="25"/>
        <v>8870.4</v>
      </c>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row>
    <row r="480" spans="1:32" s="100" customFormat="1" ht="15">
      <c r="A480" s="317"/>
      <c r="B480" s="606">
        <f t="shared" si="26"/>
        <v>16</v>
      </c>
      <c r="C480" s="604" t="s">
        <v>374</v>
      </c>
      <c r="D480" s="596" t="s">
        <v>599</v>
      </c>
      <c r="E480" s="599" t="s">
        <v>33</v>
      </c>
      <c r="F480" s="318">
        <v>1</v>
      </c>
      <c r="G480" s="319">
        <v>7359.6</v>
      </c>
      <c r="H480" s="812">
        <f t="shared" si="25"/>
        <v>7359.6</v>
      </c>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row>
    <row r="481" spans="1:33" s="100" customFormat="1" ht="89.25">
      <c r="A481" s="317"/>
      <c r="B481" s="606">
        <f t="shared" si="26"/>
        <v>17</v>
      </c>
      <c r="C481" s="604" t="s">
        <v>2294</v>
      </c>
      <c r="D481" s="596" t="s">
        <v>599</v>
      </c>
      <c r="E481" s="599" t="s">
        <v>33</v>
      </c>
      <c r="F481" s="318">
        <v>1</v>
      </c>
      <c r="G481" s="319">
        <v>15189.6</v>
      </c>
      <c r="H481" s="812">
        <f t="shared" si="25"/>
        <v>15189.6</v>
      </c>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row>
    <row r="482" spans="1:33" s="100" customFormat="1" ht="89.25">
      <c r="A482" s="317"/>
      <c r="B482" s="606">
        <f t="shared" si="26"/>
        <v>18</v>
      </c>
      <c r="C482" s="604" t="s">
        <v>2295</v>
      </c>
      <c r="D482" s="596" t="s">
        <v>599</v>
      </c>
      <c r="E482" s="599" t="s">
        <v>33</v>
      </c>
      <c r="F482" s="318">
        <v>1</v>
      </c>
      <c r="G482" s="319">
        <v>15189.6</v>
      </c>
      <c r="H482" s="813">
        <v>0</v>
      </c>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row>
    <row r="483" spans="1:33" s="100" customFormat="1" ht="15">
      <c r="A483" s="105"/>
      <c r="B483" s="252"/>
      <c r="C483" s="814" t="s">
        <v>2296</v>
      </c>
      <c r="D483" s="188"/>
      <c r="E483" s="815"/>
      <c r="F483" s="251"/>
      <c r="G483" s="313"/>
      <c r="H483" s="816">
        <f>SUM(H484:H484)</f>
        <v>90718.080000000002</v>
      </c>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row>
    <row r="484" spans="1:33" s="100" customFormat="1" ht="15">
      <c r="A484" s="105"/>
      <c r="B484" s="616">
        <v>1</v>
      </c>
      <c r="C484" s="604" t="s">
        <v>2297</v>
      </c>
      <c r="D484" s="596" t="s">
        <v>597</v>
      </c>
      <c r="E484" s="817" t="s">
        <v>33</v>
      </c>
      <c r="F484" s="818">
        <v>2</v>
      </c>
      <c r="G484" s="319">
        <v>45359.040000000001</v>
      </c>
      <c r="H484" s="708">
        <f>F484*G484</f>
        <v>90718.080000000002</v>
      </c>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row>
    <row r="485" spans="1:33" s="100" customFormat="1" ht="15">
      <c r="A485" s="105"/>
      <c r="B485" s="606"/>
      <c r="C485" s="819" t="s">
        <v>35</v>
      </c>
      <c r="D485" s="820"/>
      <c r="E485" s="821"/>
      <c r="F485" s="798"/>
      <c r="G485" s="799"/>
      <c r="H485" s="822">
        <f>H457+H464+H483</f>
        <v>428547.72000000009</v>
      </c>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row>
    <row r="486" spans="1:33" s="43" customFormat="1" ht="15" customHeight="1">
      <c r="A486" s="105"/>
      <c r="B486" s="114"/>
      <c r="C486" s="258"/>
      <c r="D486" s="111"/>
      <c r="E486" s="175"/>
      <c r="F486" s="120"/>
      <c r="G486" s="112"/>
      <c r="H486" s="113"/>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row>
    <row r="487" spans="1:33" s="43" customFormat="1" ht="15">
      <c r="A487" s="105"/>
      <c r="B487" s="274"/>
      <c r="C487" s="1408" t="s">
        <v>768</v>
      </c>
      <c r="D487" s="1408"/>
      <c r="E487" s="1408"/>
      <c r="F487" s="180"/>
      <c r="G487" s="193"/>
      <c r="H487" s="823">
        <f>H488+H492+H495</f>
        <v>41917668.8843472</v>
      </c>
      <c r="I487" s="288"/>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row>
    <row r="488" spans="1:33" s="43" customFormat="1" ht="17.25" customHeight="1">
      <c r="A488" s="105"/>
      <c r="B488" s="133"/>
      <c r="C488" s="1450" t="s">
        <v>769</v>
      </c>
      <c r="D488" s="1450"/>
      <c r="E488" s="1450"/>
      <c r="F488" s="130"/>
      <c r="G488" s="36"/>
      <c r="H488" s="824">
        <f>H490+H491</f>
        <v>4916.1660800000009</v>
      </c>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row>
    <row r="489" spans="1:33" s="43" customFormat="1" ht="39.6" customHeight="1">
      <c r="A489" s="105"/>
      <c r="B489" s="625" t="s">
        <v>79</v>
      </c>
      <c r="C489" s="746" t="s">
        <v>130</v>
      </c>
      <c r="D489" s="625" t="s">
        <v>94</v>
      </c>
      <c r="E489" s="735" t="s">
        <v>165</v>
      </c>
      <c r="F489" s="625" t="s">
        <v>134</v>
      </c>
      <c r="G489" s="729" t="s">
        <v>95</v>
      </c>
      <c r="H489" s="625" t="s">
        <v>859</v>
      </c>
      <c r="I489" s="288"/>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row>
    <row r="490" spans="1:33" s="94" customFormat="1" ht="16.5" customHeight="1">
      <c r="A490" s="105"/>
      <c r="B490" s="719">
        <v>1</v>
      </c>
      <c r="C490" s="640" t="s">
        <v>96</v>
      </c>
      <c r="D490" s="825">
        <f>2.6*3.5</f>
        <v>9.1</v>
      </c>
      <c r="E490" s="738">
        <f>278.5*1.12</f>
        <v>311.92</v>
      </c>
      <c r="F490" s="826">
        <f>D490*E490</f>
        <v>2838.4720000000002</v>
      </c>
      <c r="G490" s="827">
        <v>1186</v>
      </c>
      <c r="H490" s="828">
        <f>F490</f>
        <v>2838.4720000000002</v>
      </c>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row>
    <row r="491" spans="1:33" s="94" customFormat="1" ht="16.5" customHeight="1">
      <c r="A491" s="105"/>
      <c r="B491" s="719">
        <v>2</v>
      </c>
      <c r="C491" s="640" t="s">
        <v>415</v>
      </c>
      <c r="D491" s="825">
        <f>4.4*3.5</f>
        <v>15.400000000000002</v>
      </c>
      <c r="E491" s="829">
        <f>120.46*1.12</f>
        <v>134.9152</v>
      </c>
      <c r="F491" s="826">
        <f>D491*E491</f>
        <v>2077.6940800000002</v>
      </c>
      <c r="G491" s="827">
        <v>1186</v>
      </c>
      <c r="H491" s="828">
        <f>F491</f>
        <v>2077.6940800000002</v>
      </c>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row>
    <row r="492" spans="1:33" s="43" customFormat="1" ht="22.5" customHeight="1">
      <c r="A492" s="105"/>
      <c r="B492" s="105"/>
      <c r="C492" s="1451" t="s">
        <v>770</v>
      </c>
      <c r="D492" s="1451"/>
      <c r="E492" s="130"/>
      <c r="F492" s="130"/>
      <c r="G492" s="202"/>
      <c r="H492" s="830">
        <f>H494</f>
        <v>18441183.241600003</v>
      </c>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row>
    <row r="493" spans="1:33" s="43" customFormat="1" ht="78.75" customHeight="1">
      <c r="A493" s="105"/>
      <c r="B493" s="625" t="s">
        <v>79</v>
      </c>
      <c r="C493" s="746" t="s">
        <v>130</v>
      </c>
      <c r="D493" s="625" t="s">
        <v>97</v>
      </c>
      <c r="E493" s="625" t="s">
        <v>239</v>
      </c>
      <c r="F493" s="625" t="s">
        <v>135</v>
      </c>
      <c r="G493" s="831" t="s">
        <v>95</v>
      </c>
      <c r="H493" s="831" t="s">
        <v>859</v>
      </c>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row>
    <row r="494" spans="1:33" s="94" customFormat="1" ht="16.5" customHeight="1">
      <c r="A494" s="105"/>
      <c r="B494" s="832" t="s">
        <v>235</v>
      </c>
      <c r="C494" s="640" t="s">
        <v>136</v>
      </c>
      <c r="D494" s="833">
        <v>615757</v>
      </c>
      <c r="E494" s="834">
        <f>26.74*1.12</f>
        <v>29.948800000000002</v>
      </c>
      <c r="F494" s="835">
        <f>D494*E494</f>
        <v>18441183.241600003</v>
      </c>
      <c r="G494" s="319">
        <v>1186</v>
      </c>
      <c r="H494" s="828">
        <f>F494</f>
        <v>18441183.241600003</v>
      </c>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row>
    <row r="495" spans="1:33" s="43" customFormat="1" ht="22.5" customHeight="1">
      <c r="A495" s="105"/>
      <c r="B495" s="105"/>
      <c r="C495" s="1451" t="s">
        <v>771</v>
      </c>
      <c r="D495" s="1451"/>
      <c r="E495" s="130"/>
      <c r="F495" s="130"/>
      <c r="G495" s="36"/>
      <c r="H495" s="824">
        <f>H497+H498+H501+H499+H500</f>
        <v>23471569.476667196</v>
      </c>
      <c r="I495" s="289"/>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row>
    <row r="496" spans="1:33" s="43" customFormat="1" ht="40.5" customHeight="1">
      <c r="A496" s="105"/>
      <c r="B496" s="625" t="s">
        <v>79</v>
      </c>
      <c r="C496" s="746" t="s">
        <v>130</v>
      </c>
      <c r="D496" s="625" t="s">
        <v>148</v>
      </c>
      <c r="E496" s="625" t="s">
        <v>172</v>
      </c>
      <c r="F496" s="625" t="s">
        <v>877</v>
      </c>
      <c r="G496" s="725" t="s">
        <v>98</v>
      </c>
      <c r="H496" s="625" t="s">
        <v>859</v>
      </c>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row>
    <row r="497" spans="1:33" s="94" customFormat="1" ht="16.5" customHeight="1">
      <c r="A497" s="105"/>
      <c r="B497" s="832" t="s">
        <v>235</v>
      </c>
      <c r="C497" s="640" t="s">
        <v>145</v>
      </c>
      <c r="D497" s="666">
        <v>240.64</v>
      </c>
      <c r="E497" s="834">
        <f>9196.21*1.12</f>
        <v>10299.7552</v>
      </c>
      <c r="F497" s="835">
        <f>D497*E497</f>
        <v>2478533.0913279997</v>
      </c>
      <c r="G497" s="835">
        <v>12</v>
      </c>
      <c r="H497" s="835">
        <f>F497</f>
        <v>2478533.0913279997</v>
      </c>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row>
    <row r="498" spans="1:33" s="94" customFormat="1" ht="16.5" customHeight="1">
      <c r="A498" s="105"/>
      <c r="B498" s="832" t="s">
        <v>236</v>
      </c>
      <c r="C498" s="836" t="s">
        <v>146</v>
      </c>
      <c r="D498" s="837">
        <v>1600.96</v>
      </c>
      <c r="E498" s="834">
        <f>9196.21*1.12</f>
        <v>10299.7552</v>
      </c>
      <c r="F498" s="835">
        <f t="shared" ref="F498:F500" si="27">D498*E498</f>
        <v>16489496.084991999</v>
      </c>
      <c r="G498" s="835">
        <v>7</v>
      </c>
      <c r="H498" s="835">
        <f t="shared" ref="H498:H501" si="28">F498</f>
        <v>16489496.084991999</v>
      </c>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row>
    <row r="499" spans="1:33" s="94" customFormat="1" ht="16.5" customHeight="1">
      <c r="A499" s="105"/>
      <c r="B499" s="832" t="s">
        <v>237</v>
      </c>
      <c r="C499" s="836" t="s">
        <v>416</v>
      </c>
      <c r="D499" s="837">
        <v>21.082999999999998</v>
      </c>
      <c r="E499" s="834">
        <f>9196.21*1.12</f>
        <v>10299.7552</v>
      </c>
      <c r="F499" s="835">
        <f t="shared" si="27"/>
        <v>217149.73888159997</v>
      </c>
      <c r="G499" s="835">
        <v>12</v>
      </c>
      <c r="H499" s="835">
        <f t="shared" si="28"/>
        <v>217149.73888159997</v>
      </c>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row>
    <row r="500" spans="1:33" s="94" customFormat="1" ht="16.5" customHeight="1">
      <c r="A500" s="105"/>
      <c r="B500" s="832" t="s">
        <v>418</v>
      </c>
      <c r="C500" s="836" t="s">
        <v>417</v>
      </c>
      <c r="D500" s="837">
        <v>380.25799999999998</v>
      </c>
      <c r="E500" s="834">
        <f>9196.21*1.12</f>
        <v>10299.7552</v>
      </c>
      <c r="F500" s="835">
        <f t="shared" si="27"/>
        <v>3916564.3128415998</v>
      </c>
      <c r="G500" s="835">
        <v>7</v>
      </c>
      <c r="H500" s="835">
        <f t="shared" si="28"/>
        <v>3916564.3128415998</v>
      </c>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row>
    <row r="501" spans="1:33" s="43" customFormat="1" ht="17.25" customHeight="1">
      <c r="A501" s="105"/>
      <c r="B501" s="832" t="s">
        <v>419</v>
      </c>
      <c r="C501" s="640" t="s">
        <v>147</v>
      </c>
      <c r="D501" s="838">
        <v>4786.2299999999996</v>
      </c>
      <c r="E501" s="839">
        <f>68.99*1.12</f>
        <v>77.268799999999999</v>
      </c>
      <c r="F501" s="835">
        <f>D501*E501</f>
        <v>369826.24862399994</v>
      </c>
      <c r="G501" s="835">
        <v>12</v>
      </c>
      <c r="H501" s="835">
        <f t="shared" si="28"/>
        <v>369826.24862399994</v>
      </c>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row>
    <row r="502" spans="1:33" s="43" customFormat="1" ht="17.25" customHeight="1">
      <c r="A502" s="105"/>
      <c r="B502" s="105"/>
      <c r="C502" s="135"/>
      <c r="D502" s="120"/>
      <c r="E502" s="120"/>
      <c r="F502" s="120"/>
      <c r="G502" s="136"/>
      <c r="H502" s="136"/>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row>
    <row r="503" spans="1:33" s="43" customFormat="1" ht="15">
      <c r="A503" s="105"/>
      <c r="B503" s="169"/>
      <c r="C503" s="276" t="s">
        <v>772</v>
      </c>
      <c r="D503" s="276"/>
      <c r="E503" s="180"/>
      <c r="F503" s="180"/>
      <c r="G503" s="193"/>
      <c r="H503" s="840">
        <f>SUM(H505:H505)</f>
        <v>1781232</v>
      </c>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row>
    <row r="504" spans="1:33" s="43" customFormat="1" ht="50.25" customHeight="1">
      <c r="A504" s="105"/>
      <c r="B504" s="625" t="s">
        <v>79</v>
      </c>
      <c r="C504" s="841" t="s">
        <v>99</v>
      </c>
      <c r="D504" s="625" t="s">
        <v>100</v>
      </c>
      <c r="E504" s="1425" t="s">
        <v>101</v>
      </c>
      <c r="F504" s="1426"/>
      <c r="G504" s="625" t="s">
        <v>102</v>
      </c>
      <c r="H504" s="625" t="s">
        <v>862</v>
      </c>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row>
    <row r="505" spans="1:33" s="43" customFormat="1" ht="27.75" customHeight="1">
      <c r="A505" s="105"/>
      <c r="B505" s="616">
        <v>1</v>
      </c>
      <c r="C505" s="604" t="s">
        <v>178</v>
      </c>
      <c r="D505" s="842">
        <v>1</v>
      </c>
      <c r="E505" s="1452">
        <v>148436</v>
      </c>
      <c r="F505" s="1453"/>
      <c r="G505" s="619">
        <v>12</v>
      </c>
      <c r="H505" s="835">
        <f>E505*G505</f>
        <v>1781232</v>
      </c>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row>
    <row r="506" spans="1:33" s="43" customFormat="1" ht="15.75" customHeight="1">
      <c r="A506" s="105"/>
      <c r="B506" s="9"/>
      <c r="C506" s="87"/>
      <c r="D506" s="115"/>
      <c r="E506" s="126"/>
      <c r="F506" s="127"/>
      <c r="G506" s="115"/>
      <c r="H506" s="12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row>
    <row r="507" spans="1:33" s="43" customFormat="1" ht="15">
      <c r="A507" s="105"/>
      <c r="B507" s="169"/>
      <c r="C507" s="1424" t="s">
        <v>773</v>
      </c>
      <c r="D507" s="1424"/>
      <c r="E507" s="180"/>
      <c r="F507" s="180"/>
      <c r="G507" s="193"/>
      <c r="H507" s="843">
        <f>SUM(H509:H526)</f>
        <v>49238590.799999997</v>
      </c>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row>
    <row r="508" spans="1:33" s="43" customFormat="1" ht="38.25">
      <c r="A508" s="105"/>
      <c r="B508" s="625" t="s">
        <v>79</v>
      </c>
      <c r="C508" s="844" t="s">
        <v>883</v>
      </c>
      <c r="D508" s="625" t="s">
        <v>55</v>
      </c>
      <c r="E508" s="625" t="s">
        <v>32</v>
      </c>
      <c r="F508" s="625" t="s">
        <v>102</v>
      </c>
      <c r="G508" s="625" t="s">
        <v>211</v>
      </c>
      <c r="H508" s="625" t="s">
        <v>863</v>
      </c>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row>
    <row r="509" spans="1:33" s="97" customFormat="1" ht="15">
      <c r="A509" s="105"/>
      <c r="B509" s="606">
        <v>1</v>
      </c>
      <c r="C509" s="845" t="s">
        <v>612</v>
      </c>
      <c r="D509" s="672" t="s">
        <v>129</v>
      </c>
      <c r="E509" s="619">
        <v>1</v>
      </c>
      <c r="F509" s="751">
        <v>12</v>
      </c>
      <c r="G509" s="294">
        <f>H509/F509</f>
        <v>2061800</v>
      </c>
      <c r="H509" s="763">
        <v>24741600</v>
      </c>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row>
    <row r="510" spans="1:33" s="97" customFormat="1" ht="15">
      <c r="A510" s="105"/>
      <c r="B510" s="606">
        <f>B509+1</f>
        <v>2</v>
      </c>
      <c r="C510" s="642" t="s">
        <v>756</v>
      </c>
      <c r="D510" s="672" t="s">
        <v>129</v>
      </c>
      <c r="E510" s="619"/>
      <c r="F510" s="751">
        <v>12</v>
      </c>
      <c r="G510" s="767">
        <v>108000</v>
      </c>
      <c r="H510" s="763">
        <f>E510*F510*G510</f>
        <v>0</v>
      </c>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row>
    <row r="511" spans="1:33" s="97" customFormat="1" ht="63.75">
      <c r="A511" s="105"/>
      <c r="B511" s="606">
        <f t="shared" ref="B511:B526" si="29">B510+1</f>
        <v>3</v>
      </c>
      <c r="C511" s="602" t="s">
        <v>757</v>
      </c>
      <c r="D511" s="672" t="s">
        <v>129</v>
      </c>
      <c r="E511" s="619">
        <v>1</v>
      </c>
      <c r="F511" s="751">
        <v>11</v>
      </c>
      <c r="G511" s="767">
        <v>380800</v>
      </c>
      <c r="H511" s="763">
        <f t="shared" ref="H511:H523" si="30">E511*F511*G511</f>
        <v>4188800</v>
      </c>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row>
    <row r="512" spans="1:33" s="97" customFormat="1" ht="25.5">
      <c r="A512" s="105"/>
      <c r="B512" s="606">
        <f t="shared" si="29"/>
        <v>4</v>
      </c>
      <c r="C512" s="846" t="s">
        <v>758</v>
      </c>
      <c r="D512" s="672" t="s">
        <v>129</v>
      </c>
      <c r="E512" s="619">
        <v>1</v>
      </c>
      <c r="F512" s="751">
        <v>1</v>
      </c>
      <c r="G512" s="767">
        <v>446000</v>
      </c>
      <c r="H512" s="763">
        <f t="shared" si="30"/>
        <v>446000</v>
      </c>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row>
    <row r="513" spans="1:33" s="97" customFormat="1" ht="25.5">
      <c r="A513" s="105"/>
      <c r="B513" s="606">
        <f t="shared" si="29"/>
        <v>5</v>
      </c>
      <c r="C513" s="847" t="s">
        <v>759</v>
      </c>
      <c r="D513" s="672" t="s">
        <v>129</v>
      </c>
      <c r="E513" s="619">
        <v>1</v>
      </c>
      <c r="F513" s="751">
        <v>11</v>
      </c>
      <c r="G513" s="767">
        <v>90000</v>
      </c>
      <c r="H513" s="763">
        <f t="shared" si="30"/>
        <v>990000</v>
      </c>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row>
    <row r="514" spans="1:33" s="97" customFormat="1" ht="15">
      <c r="A514" s="105"/>
      <c r="B514" s="606">
        <f t="shared" si="29"/>
        <v>6</v>
      </c>
      <c r="C514" s="848" t="s">
        <v>760</v>
      </c>
      <c r="D514" s="672" t="s">
        <v>129</v>
      </c>
      <c r="E514" s="619">
        <v>1</v>
      </c>
      <c r="F514" s="751">
        <v>12</v>
      </c>
      <c r="G514" s="767">
        <f>H514/F514</f>
        <v>62537.066666666673</v>
      </c>
      <c r="H514" s="763">
        <v>750444.8</v>
      </c>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row>
    <row r="515" spans="1:33" s="97" customFormat="1" ht="25.5">
      <c r="A515" s="105"/>
      <c r="B515" s="606">
        <f t="shared" si="29"/>
        <v>7</v>
      </c>
      <c r="C515" s="849" t="s">
        <v>762</v>
      </c>
      <c r="D515" s="672" t="s">
        <v>129</v>
      </c>
      <c r="E515" s="619">
        <v>1</v>
      </c>
      <c r="F515" s="751">
        <v>1</v>
      </c>
      <c r="G515" s="767">
        <v>15000</v>
      </c>
      <c r="H515" s="763">
        <f t="shared" si="30"/>
        <v>15000</v>
      </c>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row>
    <row r="516" spans="1:33" s="97" customFormat="1" ht="38.25">
      <c r="A516" s="105"/>
      <c r="B516" s="606">
        <f t="shared" si="29"/>
        <v>8</v>
      </c>
      <c r="C516" s="849" t="s">
        <v>763</v>
      </c>
      <c r="D516" s="672" t="s">
        <v>129</v>
      </c>
      <c r="E516" s="619">
        <v>1</v>
      </c>
      <c r="F516" s="751">
        <v>10</v>
      </c>
      <c r="G516" s="767">
        <v>28000</v>
      </c>
      <c r="H516" s="763">
        <f t="shared" si="30"/>
        <v>280000</v>
      </c>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row>
    <row r="517" spans="1:33" s="850" customFormat="1" ht="38.25">
      <c r="A517" s="105"/>
      <c r="B517" s="606">
        <f t="shared" si="29"/>
        <v>9</v>
      </c>
      <c r="C517" s="602" t="s">
        <v>2298</v>
      </c>
      <c r="D517" s="672" t="s">
        <v>129</v>
      </c>
      <c r="E517" s="619">
        <v>1</v>
      </c>
      <c r="F517" s="751">
        <v>1</v>
      </c>
      <c r="G517" s="767">
        <v>340000</v>
      </c>
      <c r="H517" s="763">
        <f t="shared" si="30"/>
        <v>340000</v>
      </c>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row>
    <row r="518" spans="1:33" s="97" customFormat="1" ht="38.25">
      <c r="A518" s="105"/>
      <c r="B518" s="606">
        <f t="shared" si="29"/>
        <v>10</v>
      </c>
      <c r="C518" s="849" t="s">
        <v>764</v>
      </c>
      <c r="D518" s="851" t="s">
        <v>129</v>
      </c>
      <c r="E518" s="639">
        <v>1</v>
      </c>
      <c r="F518" s="643">
        <v>12</v>
      </c>
      <c r="G518" s="763">
        <v>902958</v>
      </c>
      <c r="H518" s="763">
        <f t="shared" si="30"/>
        <v>10835496</v>
      </c>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row>
    <row r="519" spans="1:33" s="97" customFormat="1" ht="38.25">
      <c r="A519" s="105"/>
      <c r="B519" s="606">
        <f t="shared" si="29"/>
        <v>11</v>
      </c>
      <c r="C519" s="849" t="s">
        <v>765</v>
      </c>
      <c r="D519" s="851" t="s">
        <v>129</v>
      </c>
      <c r="E519" s="639">
        <v>1</v>
      </c>
      <c r="F519" s="643">
        <v>4</v>
      </c>
      <c r="G519" s="763">
        <v>182500</v>
      </c>
      <c r="H519" s="763">
        <f>E519*F519*G519</f>
        <v>730000</v>
      </c>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row>
    <row r="520" spans="1:33" s="97" customFormat="1" ht="25.5">
      <c r="A520" s="105"/>
      <c r="B520" s="606">
        <f t="shared" si="29"/>
        <v>12</v>
      </c>
      <c r="C520" s="849" t="s">
        <v>766</v>
      </c>
      <c r="D520" s="851" t="s">
        <v>129</v>
      </c>
      <c r="E520" s="639">
        <v>1</v>
      </c>
      <c r="F520" s="643">
        <v>4</v>
      </c>
      <c r="G520" s="763">
        <v>222750</v>
      </c>
      <c r="H520" s="763">
        <f t="shared" si="30"/>
        <v>891000</v>
      </c>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row>
    <row r="521" spans="1:33" s="97" customFormat="1" ht="15">
      <c r="A521" s="105"/>
      <c r="B521" s="606">
        <f t="shared" si="29"/>
        <v>13</v>
      </c>
      <c r="C521" s="848" t="s">
        <v>761</v>
      </c>
      <c r="D521" s="851" t="s">
        <v>129</v>
      </c>
      <c r="E521" s="639"/>
      <c r="F521" s="643">
        <v>4</v>
      </c>
      <c r="G521" s="763">
        <v>100000</v>
      </c>
      <c r="H521" s="763">
        <f t="shared" si="30"/>
        <v>0</v>
      </c>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row>
    <row r="522" spans="1:33" s="97" customFormat="1" ht="15">
      <c r="A522" s="105"/>
      <c r="B522" s="606">
        <f t="shared" si="29"/>
        <v>14</v>
      </c>
      <c r="C522" s="602" t="s">
        <v>1835</v>
      </c>
      <c r="D522" s="852" t="s">
        <v>129</v>
      </c>
      <c r="E522" s="639">
        <v>1</v>
      </c>
      <c r="F522" s="643">
        <v>1</v>
      </c>
      <c r="G522" s="763">
        <v>2550000</v>
      </c>
      <c r="H522" s="763">
        <f t="shared" si="30"/>
        <v>2550000</v>
      </c>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row>
    <row r="523" spans="1:33" s="97" customFormat="1" ht="15">
      <c r="A523" s="105"/>
      <c r="B523" s="606">
        <f t="shared" si="29"/>
        <v>15</v>
      </c>
      <c r="C523" s="602" t="s">
        <v>2299</v>
      </c>
      <c r="D523" s="852" t="s">
        <v>129</v>
      </c>
      <c r="E523" s="639">
        <v>1</v>
      </c>
      <c r="F523" s="643">
        <v>1</v>
      </c>
      <c r="G523" s="763">
        <v>350000</v>
      </c>
      <c r="H523" s="763">
        <f t="shared" si="30"/>
        <v>350000</v>
      </c>
      <c r="I523" s="60"/>
      <c r="J523" s="60" t="s">
        <v>2300</v>
      </c>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row>
    <row r="524" spans="1:33" s="97" customFormat="1" ht="15">
      <c r="A524" s="105"/>
      <c r="B524" s="606">
        <f t="shared" si="29"/>
        <v>16</v>
      </c>
      <c r="C524" s="602" t="s">
        <v>2301</v>
      </c>
      <c r="D524" s="852" t="s">
        <v>129</v>
      </c>
      <c r="E524" s="639">
        <v>1</v>
      </c>
      <c r="F524" s="643">
        <v>1</v>
      </c>
      <c r="G524" s="763">
        <v>1250250</v>
      </c>
      <c r="H524" s="763">
        <f>E524*F524*G524</f>
        <v>1250250</v>
      </c>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row>
    <row r="525" spans="1:33" s="97" customFormat="1" ht="25.5">
      <c r="A525" s="105"/>
      <c r="B525" s="606">
        <f t="shared" si="29"/>
        <v>17</v>
      </c>
      <c r="C525" s="602" t="s">
        <v>797</v>
      </c>
      <c r="D525" s="853" t="s">
        <v>129</v>
      </c>
      <c r="E525" s="619">
        <v>1</v>
      </c>
      <c r="F525" s="619">
        <v>1</v>
      </c>
      <c r="G525" s="643">
        <v>440000</v>
      </c>
      <c r="H525" s="763">
        <f>E525*F525*G525</f>
        <v>440000</v>
      </c>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row>
    <row r="526" spans="1:33" s="97" customFormat="1" ht="15">
      <c r="A526" s="105"/>
      <c r="B526" s="606">
        <f t="shared" si="29"/>
        <v>18</v>
      </c>
      <c r="C526" s="602" t="s">
        <v>798</v>
      </c>
      <c r="D526" s="853" t="s">
        <v>129</v>
      </c>
      <c r="E526" s="619">
        <v>1</v>
      </c>
      <c r="F526" s="619">
        <v>1</v>
      </c>
      <c r="G526" s="643">
        <v>440000</v>
      </c>
      <c r="H526" s="763">
        <f>E526*F526*G526</f>
        <v>440000</v>
      </c>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row>
    <row r="527" spans="1:33" s="97" customFormat="1" ht="23.25" customHeight="1">
      <c r="A527" s="105"/>
      <c r="B527" s="115"/>
      <c r="C527" s="87"/>
      <c r="D527" s="118"/>
      <c r="E527" s="115"/>
      <c r="F527" s="115"/>
      <c r="G527" s="120"/>
      <c r="H527" s="126"/>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row>
    <row r="528" spans="1:33" s="43" customFormat="1" ht="17.25" customHeight="1">
      <c r="A528" s="105"/>
      <c r="B528" s="197"/>
      <c r="C528" s="259" t="s">
        <v>774</v>
      </c>
      <c r="D528" s="189"/>
      <c r="E528" s="198"/>
      <c r="F528" s="199"/>
      <c r="G528" s="198"/>
      <c r="H528" s="823">
        <f>H530</f>
        <v>944172</v>
      </c>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row>
    <row r="529" spans="1:33" s="43" customFormat="1" ht="65.25" customHeight="1">
      <c r="A529" s="105"/>
      <c r="B529" s="832" t="s">
        <v>7</v>
      </c>
      <c r="C529" s="854" t="s">
        <v>34</v>
      </c>
      <c r="D529" s="736" t="s">
        <v>414</v>
      </c>
      <c r="E529" s="736" t="s">
        <v>423</v>
      </c>
      <c r="F529" s="736" t="s">
        <v>424</v>
      </c>
      <c r="G529" s="736" t="s">
        <v>103</v>
      </c>
      <c r="H529" s="625" t="s">
        <v>555</v>
      </c>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row>
    <row r="530" spans="1:33" s="43" customFormat="1" ht="33.75" customHeight="1">
      <c r="A530" s="105"/>
      <c r="B530" s="778">
        <v>1</v>
      </c>
      <c r="C530" s="855" t="s">
        <v>2302</v>
      </c>
      <c r="D530" s="643">
        <f>4335*2</f>
        <v>8670</v>
      </c>
      <c r="E530" s="596">
        <v>0</v>
      </c>
      <c r="F530" s="596">
        <v>21</v>
      </c>
      <c r="G530" s="856">
        <v>39721.523809523809</v>
      </c>
      <c r="H530" s="838">
        <f>'[1]План командир 2027'!R29</f>
        <v>944172</v>
      </c>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row>
    <row r="531" spans="1:33" s="43" customFormat="1" ht="15">
      <c r="A531" s="105"/>
      <c r="B531" s="115"/>
      <c r="C531" s="87"/>
      <c r="D531" s="112"/>
      <c r="E531" s="112"/>
      <c r="F531" s="36"/>
      <c r="G531" s="172"/>
      <c r="H531" s="194"/>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row>
    <row r="532" spans="1:33" s="43" customFormat="1" ht="15">
      <c r="A532" s="105"/>
      <c r="B532" s="1402" t="s">
        <v>184</v>
      </c>
      <c r="C532" s="1402"/>
      <c r="D532" s="1402"/>
      <c r="E532" s="1402"/>
      <c r="F532" s="1402"/>
      <c r="G532" s="1402"/>
      <c r="H532" s="194"/>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row>
    <row r="533" spans="1:33" s="43" customFormat="1" ht="15">
      <c r="A533" s="105"/>
      <c r="B533" s="1454" t="s">
        <v>775</v>
      </c>
      <c r="C533" s="1454"/>
      <c r="D533" s="1454"/>
      <c r="E533" s="1454"/>
      <c r="F533" s="1454"/>
      <c r="G533" s="631">
        <f>G537</f>
        <v>347040000</v>
      </c>
      <c r="H533" s="194"/>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row>
    <row r="534" spans="1:33" s="43" customFormat="1" ht="68.45" customHeight="1">
      <c r="A534" s="105"/>
      <c r="B534" s="625" t="s">
        <v>79</v>
      </c>
      <c r="C534" s="626" t="s">
        <v>34</v>
      </c>
      <c r="D534" s="625" t="s">
        <v>156</v>
      </c>
      <c r="E534" s="625" t="s">
        <v>123</v>
      </c>
      <c r="F534" s="625" t="s">
        <v>157</v>
      </c>
      <c r="G534" s="625" t="s">
        <v>864</v>
      </c>
      <c r="H534" s="194"/>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row>
    <row r="535" spans="1:33" s="43" customFormat="1" ht="15">
      <c r="A535" s="105"/>
      <c r="B535" s="606">
        <v>1</v>
      </c>
      <c r="C535" s="606">
        <v>2</v>
      </c>
      <c r="D535" s="606">
        <v>3</v>
      </c>
      <c r="E535" s="606">
        <v>4</v>
      </c>
      <c r="F535" s="606">
        <v>5</v>
      </c>
      <c r="G535" s="606">
        <v>6</v>
      </c>
      <c r="H535" s="194"/>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row>
    <row r="536" spans="1:33" s="43" customFormat="1" ht="38.25">
      <c r="A536" s="105"/>
      <c r="B536" s="606" t="s">
        <v>138</v>
      </c>
      <c r="C536" s="613" t="s">
        <v>243</v>
      </c>
      <c r="D536" s="606">
        <v>360</v>
      </c>
      <c r="E536" s="857">
        <f>E552</f>
        <v>241</v>
      </c>
      <c r="F536" s="858">
        <v>4000</v>
      </c>
      <c r="G536" s="731">
        <f>E536*F536*D536</f>
        <v>347040000</v>
      </c>
      <c r="H536" s="194"/>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row>
    <row r="537" spans="1:33" s="43" customFormat="1" ht="15">
      <c r="A537" s="105"/>
      <c r="B537" s="625"/>
      <c r="C537" s="626" t="s">
        <v>158</v>
      </c>
      <c r="D537" s="625"/>
      <c r="E537" s="625"/>
      <c r="F537" s="831"/>
      <c r="G537" s="859">
        <f>G536</f>
        <v>347040000</v>
      </c>
      <c r="H537" s="194"/>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row>
    <row r="538" spans="1:33" s="43" customFormat="1" ht="15">
      <c r="A538" s="105"/>
      <c r="B538" s="317"/>
      <c r="C538" s="640"/>
      <c r="D538" s="747"/>
      <c r="E538" s="619"/>
      <c r="F538" s="639"/>
      <c r="G538" s="606"/>
      <c r="H538" s="194"/>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row>
    <row r="539" spans="1:33" s="43" customFormat="1" ht="70.150000000000006" customHeight="1">
      <c r="A539" s="105"/>
      <c r="B539" s="625" t="s">
        <v>79</v>
      </c>
      <c r="C539" s="626" t="s">
        <v>124</v>
      </c>
      <c r="D539" s="625" t="s">
        <v>174</v>
      </c>
      <c r="E539" s="625" t="s">
        <v>41</v>
      </c>
      <c r="F539" s="831" t="s">
        <v>173</v>
      </c>
      <c r="G539" s="625" t="s">
        <v>801</v>
      </c>
      <c r="H539" s="194"/>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row>
    <row r="540" spans="1:33" s="43" customFormat="1" ht="15">
      <c r="A540" s="105"/>
      <c r="B540" s="719">
        <v>1</v>
      </c>
      <c r="C540" s="640" t="s">
        <v>175</v>
      </c>
      <c r="D540" s="596">
        <v>360</v>
      </c>
      <c r="E540" s="860">
        <v>24</v>
      </c>
      <c r="F540" s="858">
        <v>4000</v>
      </c>
      <c r="G540" s="600">
        <f>D540*E540*F540</f>
        <v>34560000</v>
      </c>
      <c r="H540" s="194"/>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row>
    <row r="541" spans="1:33" s="43" customFormat="1" ht="15">
      <c r="A541" s="105"/>
      <c r="B541" s="719">
        <v>2</v>
      </c>
      <c r="C541" s="640" t="s">
        <v>21</v>
      </c>
      <c r="D541" s="606">
        <v>360</v>
      </c>
      <c r="E541" s="860">
        <v>28</v>
      </c>
      <c r="F541" s="858">
        <v>4000</v>
      </c>
      <c r="G541" s="319">
        <f t="shared" ref="G541:G551" si="31">D541*E541*F541</f>
        <v>40320000</v>
      </c>
      <c r="H541" s="194"/>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row>
    <row r="542" spans="1:33" s="43" customFormat="1" ht="15">
      <c r="A542" s="105"/>
      <c r="B542" s="719">
        <v>3</v>
      </c>
      <c r="C542" s="640" t="s">
        <v>22</v>
      </c>
      <c r="D542" s="606">
        <v>360</v>
      </c>
      <c r="E542" s="860">
        <v>22</v>
      </c>
      <c r="F542" s="858">
        <v>4000</v>
      </c>
      <c r="G542" s="600">
        <f t="shared" si="31"/>
        <v>31680000</v>
      </c>
      <c r="H542" s="194"/>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row>
    <row r="543" spans="1:33" s="43" customFormat="1" ht="15">
      <c r="A543" s="105"/>
      <c r="B543" s="719">
        <v>4</v>
      </c>
      <c r="C543" s="640" t="s">
        <v>176</v>
      </c>
      <c r="D543" s="606">
        <v>360</v>
      </c>
      <c r="E543" s="860">
        <v>30</v>
      </c>
      <c r="F543" s="858">
        <v>4000</v>
      </c>
      <c r="G543" s="600">
        <f t="shared" si="31"/>
        <v>43200000</v>
      </c>
      <c r="H543" s="194"/>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row>
    <row r="544" spans="1:33" s="43" customFormat="1" ht="15">
      <c r="A544" s="105"/>
      <c r="B544" s="719">
        <v>5</v>
      </c>
      <c r="C544" s="640" t="s">
        <v>23</v>
      </c>
      <c r="D544" s="606">
        <v>360</v>
      </c>
      <c r="E544" s="860">
        <v>25</v>
      </c>
      <c r="F544" s="858">
        <v>4000</v>
      </c>
      <c r="G544" s="600">
        <f t="shared" si="31"/>
        <v>36000000</v>
      </c>
      <c r="H544" s="194"/>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row>
    <row r="545" spans="1:33" s="43" customFormat="1" ht="15">
      <c r="A545" s="105"/>
      <c r="B545" s="719">
        <v>6</v>
      </c>
      <c r="C545" s="640" t="s">
        <v>24</v>
      </c>
      <c r="D545" s="606">
        <v>360</v>
      </c>
      <c r="E545" s="860">
        <v>7</v>
      </c>
      <c r="F545" s="858">
        <v>4000</v>
      </c>
      <c r="G545" s="600">
        <f t="shared" si="31"/>
        <v>10080000</v>
      </c>
      <c r="H545" s="194"/>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row>
    <row r="546" spans="1:33" s="43" customFormat="1" ht="15">
      <c r="A546" s="105"/>
      <c r="B546" s="719">
        <v>7</v>
      </c>
      <c r="C546" s="640" t="s">
        <v>177</v>
      </c>
      <c r="D546" s="606">
        <v>360</v>
      </c>
      <c r="E546" s="860">
        <v>0</v>
      </c>
      <c r="F546" s="858">
        <v>4000</v>
      </c>
      <c r="G546" s="600">
        <f t="shared" si="31"/>
        <v>0</v>
      </c>
      <c r="H546" s="194"/>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row>
    <row r="547" spans="1:33" s="43" customFormat="1" ht="15">
      <c r="A547" s="105"/>
      <c r="B547" s="719">
        <v>8</v>
      </c>
      <c r="C547" s="640" t="s">
        <v>25</v>
      </c>
      <c r="D547" s="606">
        <v>360</v>
      </c>
      <c r="E547" s="861">
        <v>0</v>
      </c>
      <c r="F547" s="858">
        <v>4000</v>
      </c>
      <c r="G547" s="600">
        <f t="shared" si="31"/>
        <v>0</v>
      </c>
      <c r="H547" s="194"/>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row>
    <row r="548" spans="1:33" s="43" customFormat="1" ht="15">
      <c r="A548" s="105"/>
      <c r="B548" s="719">
        <v>9</v>
      </c>
      <c r="C548" s="640" t="s">
        <v>26</v>
      </c>
      <c r="D548" s="606">
        <v>360</v>
      </c>
      <c r="E548" s="860">
        <v>30</v>
      </c>
      <c r="F548" s="858">
        <v>4000</v>
      </c>
      <c r="G548" s="600">
        <f t="shared" si="31"/>
        <v>43200000</v>
      </c>
      <c r="H548" s="194"/>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row>
    <row r="549" spans="1:33" s="43" customFormat="1" ht="15">
      <c r="A549" s="105"/>
      <c r="B549" s="719">
        <v>10</v>
      </c>
      <c r="C549" s="640" t="s">
        <v>27</v>
      </c>
      <c r="D549" s="606">
        <v>360</v>
      </c>
      <c r="E549" s="860">
        <v>29</v>
      </c>
      <c r="F549" s="858">
        <v>4000</v>
      </c>
      <c r="G549" s="600">
        <f t="shared" si="31"/>
        <v>41760000</v>
      </c>
      <c r="H549" s="194"/>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row>
    <row r="550" spans="1:33" s="43" customFormat="1" ht="15">
      <c r="A550" s="105"/>
      <c r="B550" s="719">
        <v>11</v>
      </c>
      <c r="C550" s="640" t="s">
        <v>28</v>
      </c>
      <c r="D550" s="606">
        <v>360</v>
      </c>
      <c r="E550" s="860">
        <v>21</v>
      </c>
      <c r="F550" s="858">
        <v>4000</v>
      </c>
      <c r="G550" s="600">
        <f t="shared" si="31"/>
        <v>30240000</v>
      </c>
      <c r="H550" s="194"/>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row>
    <row r="551" spans="1:33" s="43" customFormat="1" ht="15">
      <c r="A551" s="105"/>
      <c r="B551" s="719">
        <v>12</v>
      </c>
      <c r="C551" s="640" t="s">
        <v>29</v>
      </c>
      <c r="D551" s="606">
        <v>360</v>
      </c>
      <c r="E551" s="860">
        <v>25</v>
      </c>
      <c r="F551" s="858">
        <v>4000</v>
      </c>
      <c r="G551" s="600">
        <f t="shared" si="31"/>
        <v>36000000</v>
      </c>
      <c r="H551" s="194"/>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row>
    <row r="552" spans="1:33" s="43" customFormat="1" ht="15.75" customHeight="1">
      <c r="A552" s="105"/>
      <c r="B552" s="317"/>
      <c r="C552" s="640"/>
      <c r="D552" s="747"/>
      <c r="E552" s="862">
        <f>SUM(E540:E551)</f>
        <v>241</v>
      </c>
      <c r="F552" s="863"/>
      <c r="G552" s="601">
        <f>SUM(G540:G551)</f>
        <v>347040000</v>
      </c>
      <c r="H552" s="268"/>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row>
    <row r="553" spans="1:33" s="43" customFormat="1" ht="27.75" customHeight="1">
      <c r="A553" s="105"/>
      <c r="B553" s="1388" t="s">
        <v>284</v>
      </c>
      <c r="C553" s="1389"/>
      <c r="D553" s="1389"/>
      <c r="E553" s="176"/>
      <c r="F553" s="121"/>
      <c r="G553" s="167"/>
      <c r="H553" s="27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row>
    <row r="554" spans="1:33" s="43" customFormat="1" ht="15.75" customHeight="1">
      <c r="A554" s="60"/>
      <c r="B554" s="1390" t="s">
        <v>160</v>
      </c>
      <c r="C554" s="1390"/>
      <c r="D554" s="1390"/>
      <c r="E554" s="176">
        <f>E556*20%</f>
        <v>1000</v>
      </c>
      <c r="F554" s="115" t="s">
        <v>8</v>
      </c>
      <c r="G554" s="121"/>
      <c r="H554" s="271"/>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row>
    <row r="555" spans="1:33" s="43" customFormat="1" ht="14.25" customHeight="1">
      <c r="A555" s="60"/>
      <c r="B555" s="1390" t="s">
        <v>161</v>
      </c>
      <c r="C555" s="1390"/>
      <c r="D555" s="1390"/>
      <c r="E555" s="176">
        <f>E556*80%</f>
        <v>4000</v>
      </c>
      <c r="F555" s="115" t="s">
        <v>8</v>
      </c>
      <c r="G555" s="121"/>
      <c r="H555" s="67"/>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row>
    <row r="556" spans="1:33" s="43" customFormat="1" ht="28.5" customHeight="1">
      <c r="A556" s="60"/>
      <c r="B556" s="1391" t="s">
        <v>289</v>
      </c>
      <c r="C556" s="1391"/>
      <c r="D556" s="1391"/>
      <c r="E556" s="176">
        <v>5000</v>
      </c>
      <c r="F556" s="115" t="s">
        <v>8</v>
      </c>
      <c r="G556" s="121"/>
      <c r="H556" s="67"/>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row>
    <row r="557" spans="1:33" s="43" customFormat="1" ht="28.5" customHeight="1">
      <c r="A557" s="60"/>
      <c r="B557" s="711"/>
      <c r="C557" s="711"/>
      <c r="D557" s="711"/>
      <c r="E557" s="176"/>
      <c r="F557" s="115"/>
      <c r="G557" s="121"/>
      <c r="H557" s="67"/>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row>
    <row r="558" spans="1:33" s="43" customFormat="1" ht="15.75">
      <c r="A558" s="60"/>
      <c r="B558" s="711"/>
      <c r="C558" s="711"/>
      <c r="D558" s="711"/>
      <c r="E558" s="176"/>
      <c r="F558" s="115"/>
      <c r="G558" s="121"/>
      <c r="H558" s="67"/>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row>
    <row r="559" spans="1:33" s="43" customFormat="1" ht="15" customHeight="1">
      <c r="A559" s="60"/>
      <c r="B559" s="169"/>
      <c r="C559" s="1424" t="s">
        <v>2303</v>
      </c>
      <c r="D559" s="1424"/>
      <c r="E559" s="1424"/>
      <c r="F559" s="1424"/>
      <c r="G559" s="181"/>
      <c r="H559" s="636">
        <f>SUM(H562:H568)</f>
        <v>144355.5</v>
      </c>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row>
    <row r="560" spans="1:33" s="43" customFormat="1" ht="53.45" customHeight="1">
      <c r="A560" s="60"/>
      <c r="B560" s="831" t="s">
        <v>7</v>
      </c>
      <c r="C560" s="864" t="s">
        <v>36</v>
      </c>
      <c r="D560" s="831" t="s">
        <v>291</v>
      </c>
      <c r="E560" s="831" t="s">
        <v>292</v>
      </c>
      <c r="F560" s="831" t="s">
        <v>782</v>
      </c>
      <c r="G560" s="625" t="s">
        <v>783</v>
      </c>
      <c r="H560" s="831" t="s">
        <v>784</v>
      </c>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row>
    <row r="561" spans="1:33" s="43" customFormat="1" ht="16.5" customHeight="1">
      <c r="A561" s="60"/>
      <c r="B561" s="596"/>
      <c r="C561" s="626" t="s">
        <v>285</v>
      </c>
      <c r="D561" s="865"/>
      <c r="E561" s="619"/>
      <c r="F561" s="768"/>
      <c r="G561" s="753"/>
      <c r="H561" s="866"/>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row>
    <row r="562" spans="1:33" s="43" customFormat="1" ht="127.5">
      <c r="A562" s="60"/>
      <c r="B562" s="596">
        <v>1</v>
      </c>
      <c r="C562" s="604" t="s">
        <v>376</v>
      </c>
      <c r="D562" s="858" t="s">
        <v>377</v>
      </c>
      <c r="E562" s="762">
        <v>1</v>
      </c>
      <c r="F562" s="762">
        <f>1000%*4335</f>
        <v>43350</v>
      </c>
      <c r="G562" s="728">
        <f>4335*7</f>
        <v>30345</v>
      </c>
      <c r="H562" s="666">
        <f>(F562+G562)*E562</f>
        <v>73695</v>
      </c>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row>
    <row r="563" spans="1:33" s="43" customFormat="1" ht="38.25">
      <c r="A563" s="60"/>
      <c r="B563" s="596">
        <v>2</v>
      </c>
      <c r="C563" s="867" t="s">
        <v>378</v>
      </c>
      <c r="D563" s="858" t="s">
        <v>377</v>
      </c>
      <c r="E563" s="762">
        <v>1</v>
      </c>
      <c r="F563" s="762">
        <f>50%*4335</f>
        <v>2167.5</v>
      </c>
      <c r="G563" s="728">
        <f>4335*2</f>
        <v>8670</v>
      </c>
      <c r="H563" s="666">
        <f>(F563+G563)*E563</f>
        <v>10837.5</v>
      </c>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row>
    <row r="564" spans="1:33" s="43" customFormat="1" ht="89.25">
      <c r="A564" s="60"/>
      <c r="B564" s="596">
        <v>3</v>
      </c>
      <c r="C564" s="867" t="s">
        <v>785</v>
      </c>
      <c r="D564" s="858" t="s">
        <v>377</v>
      </c>
      <c r="E564" s="762">
        <v>1</v>
      </c>
      <c r="F564" s="762">
        <f>10%*4335</f>
        <v>433.5</v>
      </c>
      <c r="G564" s="728">
        <v>4335</v>
      </c>
      <c r="H564" s="666">
        <f>(F564+G564)*E564</f>
        <v>4768.5</v>
      </c>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row>
    <row r="565" spans="1:33" s="43" customFormat="1" ht="38.25">
      <c r="A565" s="60"/>
      <c r="B565" s="596">
        <v>4</v>
      </c>
      <c r="C565" s="867" t="s">
        <v>379</v>
      </c>
      <c r="D565" s="858" t="s">
        <v>377</v>
      </c>
      <c r="E565" s="762">
        <v>1</v>
      </c>
      <c r="F565" s="762">
        <f>50%*4335</f>
        <v>2167.5</v>
      </c>
      <c r="G565" s="728">
        <v>4335</v>
      </c>
      <c r="H565" s="666">
        <f t="shared" ref="H565:H567" si="32">(F565+G565)*E565</f>
        <v>6502.5</v>
      </c>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row>
    <row r="566" spans="1:33" s="43" customFormat="1" ht="76.5">
      <c r="A566" s="60"/>
      <c r="B566" s="596">
        <v>5</v>
      </c>
      <c r="C566" s="867" t="s">
        <v>380</v>
      </c>
      <c r="D566" s="858" t="s">
        <v>377</v>
      </c>
      <c r="E566" s="762">
        <v>1</v>
      </c>
      <c r="F566" s="762">
        <f>20%*4335</f>
        <v>867</v>
      </c>
      <c r="G566" s="728">
        <f>4335*7</f>
        <v>30345</v>
      </c>
      <c r="H566" s="666">
        <f t="shared" si="32"/>
        <v>31212</v>
      </c>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row>
    <row r="567" spans="1:33" s="43" customFormat="1" ht="15">
      <c r="A567" s="60"/>
      <c r="B567" s="596">
        <v>6</v>
      </c>
      <c r="C567" s="867" t="s">
        <v>381</v>
      </c>
      <c r="D567" s="858" t="s">
        <v>377</v>
      </c>
      <c r="E567" s="762">
        <v>1</v>
      </c>
      <c r="F567" s="762">
        <f>100%*4335</f>
        <v>4335</v>
      </c>
      <c r="G567" s="728">
        <f>2*4335</f>
        <v>8670</v>
      </c>
      <c r="H567" s="666">
        <f t="shared" si="32"/>
        <v>13005</v>
      </c>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row>
    <row r="568" spans="1:33" s="43" customFormat="1" ht="51">
      <c r="A568" s="60"/>
      <c r="B568" s="596">
        <v>7</v>
      </c>
      <c r="C568" s="867" t="s">
        <v>382</v>
      </c>
      <c r="D568" s="858" t="s">
        <v>377</v>
      </c>
      <c r="E568" s="762">
        <v>1</v>
      </c>
      <c r="F568" s="762">
        <f>50%*4335</f>
        <v>2167.5</v>
      </c>
      <c r="G568" s="728">
        <f>0.5*4335</f>
        <v>2167.5</v>
      </c>
      <c r="H568" s="666">
        <f>(F568+G568)*E568</f>
        <v>4335</v>
      </c>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row>
    <row r="569" spans="1:33" s="43" customFormat="1" ht="16.5" customHeight="1">
      <c r="A569" s="60"/>
      <c r="B569" s="208"/>
      <c r="C569" s="87"/>
      <c r="D569" s="118"/>
      <c r="E569" s="115"/>
      <c r="F569" s="209"/>
      <c r="G569" s="120"/>
      <c r="H569" s="21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row>
    <row r="570" spans="1:33" s="43" customFormat="1" ht="15" customHeight="1">
      <c r="A570" s="60"/>
      <c r="B570" s="711"/>
      <c r="C570" s="709"/>
      <c r="D570" s="709"/>
      <c r="E570" s="176"/>
      <c r="F570" s="115"/>
      <c r="G570" s="121"/>
      <c r="H570" s="67"/>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row>
    <row r="571" spans="1:33" s="43" customFormat="1" ht="15" customHeight="1">
      <c r="A571" s="60"/>
      <c r="B571" s="711"/>
      <c r="C571" s="256" t="s">
        <v>232</v>
      </c>
      <c r="D571" s="106"/>
      <c r="E571" s="121"/>
      <c r="F571" s="115"/>
      <c r="G571" s="115"/>
      <c r="H571" s="868">
        <f>H8+G18+H93+H38+H98+H487+H503+H507+H528+G533+H559</f>
        <v>2689948027.8414125</v>
      </c>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row>
    <row r="572" spans="1:33" s="43" customFormat="1" ht="16.5" customHeight="1">
      <c r="A572" s="60"/>
      <c r="B572" s="105"/>
      <c r="C572" s="135"/>
      <c r="D572" s="107"/>
      <c r="E572" s="115"/>
      <c r="F572" s="115"/>
      <c r="G572" s="115"/>
      <c r="H572" s="67"/>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row>
    <row r="573" spans="1:33" s="43" customFormat="1" ht="16.5" customHeight="1">
      <c r="A573" s="60"/>
      <c r="B573" s="105"/>
      <c r="C573" s="12" t="s">
        <v>240</v>
      </c>
      <c r="D573" s="10"/>
      <c r="E573" s="10"/>
      <c r="F573" s="60"/>
      <c r="G573" s="72"/>
      <c r="H573" s="67"/>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row>
    <row r="574" spans="1:33" s="43" customFormat="1" ht="22.5" customHeight="1">
      <c r="A574" s="60"/>
      <c r="B574" s="104"/>
      <c r="C574" s="1358" t="s">
        <v>166</v>
      </c>
      <c r="D574" s="1358"/>
      <c r="E574" s="26"/>
      <c r="F574" s="72"/>
      <c r="H574" s="49" t="s">
        <v>407</v>
      </c>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row>
    <row r="575" spans="1:33" s="43" customFormat="1" ht="22.5" customHeight="1">
      <c r="A575" s="60"/>
      <c r="B575" s="104"/>
      <c r="C575" s="10"/>
      <c r="D575" s="706"/>
      <c r="E575" s="706"/>
      <c r="F575" s="72"/>
      <c r="H575"/>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row>
    <row r="576" spans="1:33" s="43" customFormat="1" ht="14.25" customHeight="1">
      <c r="A576" s="60"/>
      <c r="B576" s="104"/>
      <c r="C576" s="1358" t="s">
        <v>167</v>
      </c>
      <c r="D576" s="1358"/>
      <c r="E576" s="26"/>
      <c r="F576" s="67"/>
      <c r="H576" s="49" t="s">
        <v>407</v>
      </c>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row>
    <row r="577" spans="1:33" s="43" customFormat="1" ht="22.5" customHeight="1">
      <c r="A577" s="60"/>
      <c r="B577" s="104"/>
      <c r="C577" s="53"/>
      <c r="D577" s="10"/>
      <c r="E577" s="10"/>
      <c r="F577" s="67"/>
      <c r="H577"/>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row>
    <row r="578" spans="1:33" s="43" customFormat="1" ht="15" customHeight="1">
      <c r="A578" s="60"/>
      <c r="B578" s="104"/>
      <c r="C578" s="74" t="s">
        <v>168</v>
      </c>
      <c r="D578" s="12"/>
      <c r="E578" s="10"/>
      <c r="F578" s="67"/>
      <c r="H578" s="49" t="s">
        <v>407</v>
      </c>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row>
    <row r="579" spans="1:33" s="43" customFormat="1" ht="22.5" customHeight="1">
      <c r="A579" s="60"/>
      <c r="B579" s="104"/>
      <c r="C579" s="53"/>
      <c r="D579" s="1359"/>
      <c r="E579" s="1359"/>
      <c r="F579" s="67"/>
      <c r="H579"/>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row>
    <row r="580" spans="1:33" s="43" customFormat="1" ht="15.75" customHeight="1">
      <c r="A580" s="60"/>
      <c r="B580" s="104"/>
      <c r="C580" s="12" t="s">
        <v>216</v>
      </c>
      <c r="D580" s="10"/>
      <c r="E580" s="10"/>
      <c r="F580" s="67"/>
      <c r="H58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row>
    <row r="581" spans="1:33" s="43" customFormat="1" ht="15.75" customHeight="1">
      <c r="A581" s="60"/>
      <c r="B581" s="104"/>
      <c r="C581" s="1358" t="s">
        <v>403</v>
      </c>
      <c r="D581" s="1358"/>
      <c r="E581" s="26"/>
      <c r="F581" s="67"/>
      <c r="H581" s="49" t="s">
        <v>407</v>
      </c>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row>
    <row r="582" spans="1:33" s="43" customFormat="1" ht="22.5" customHeight="1">
      <c r="A582" s="60"/>
      <c r="B582" s="104"/>
      <c r="C582" s="87"/>
      <c r="D582" s="70"/>
      <c r="E582" s="70"/>
      <c r="F582" s="67"/>
      <c r="G582" s="67"/>
      <c r="H582" s="67"/>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row>
    <row r="583" spans="1:33" s="43" customFormat="1" ht="22.5" customHeight="1">
      <c r="A583" s="60"/>
      <c r="B583" s="104"/>
      <c r="C583" s="87"/>
      <c r="D583" s="70"/>
      <c r="E583" s="70"/>
      <c r="F583" s="67"/>
      <c r="G583" s="67"/>
      <c r="H583" s="67"/>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row>
    <row r="584" spans="1:33" s="43" customFormat="1" ht="17.25" customHeight="1">
      <c r="A584" s="60"/>
      <c r="B584" s="60"/>
      <c r="C584" s="255"/>
      <c r="D584" s="66"/>
      <c r="E584" s="165"/>
      <c r="F584" s="165"/>
      <c r="G584" s="165"/>
      <c r="H584" s="165"/>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row>
    <row r="585" spans="1:33" s="43" customFormat="1" ht="24.75" customHeight="1">
      <c r="A585" s="60"/>
      <c r="B585" s="60"/>
      <c r="C585" s="260"/>
      <c r="D585" s="66"/>
      <c r="E585" s="165"/>
      <c r="F585" s="165"/>
      <c r="G585" s="165"/>
      <c r="H585" s="165"/>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row>
    <row r="586" spans="1:33" s="43" customFormat="1" ht="18.75" customHeight="1">
      <c r="A586" s="60"/>
      <c r="B586" s="60"/>
      <c r="C586" s="87"/>
      <c r="D586" s="114"/>
      <c r="E586" s="70"/>
      <c r="F586" s="67"/>
      <c r="G586" s="67"/>
      <c r="H586" s="67"/>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row>
    <row r="587" spans="1:33" s="43" customFormat="1" ht="21.75" customHeight="1">
      <c r="A587" s="60"/>
      <c r="B587" s="60"/>
      <c r="C587" s="260"/>
      <c r="D587" s="66"/>
      <c r="E587" s="165"/>
      <c r="F587" s="165"/>
      <c r="G587" s="165"/>
      <c r="H587" s="165"/>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row>
    <row r="588" spans="1:33" s="43" customFormat="1" ht="18" customHeight="1">
      <c r="A588" s="60"/>
      <c r="B588" s="60"/>
      <c r="C588" s="260"/>
      <c r="D588" s="66"/>
      <c r="E588" s="165"/>
      <c r="F588" s="165"/>
      <c r="G588" s="165"/>
      <c r="H588" s="165"/>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row>
    <row r="589" spans="1:33" s="43" customFormat="1" ht="27" customHeight="1">
      <c r="A589" s="60"/>
      <c r="B589" s="115"/>
      <c r="C589" s="260"/>
      <c r="D589" s="66"/>
      <c r="E589" s="165"/>
      <c r="F589" s="165"/>
      <c r="G589" s="165"/>
      <c r="H589" s="165"/>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row>
    <row r="590" spans="1:33" s="43" customFormat="1" ht="24" customHeight="1">
      <c r="A590" s="60"/>
      <c r="B590" s="60"/>
      <c r="C590" s="260"/>
      <c r="D590" s="66"/>
      <c r="E590" s="165"/>
      <c r="F590" s="165"/>
      <c r="G590" s="165"/>
      <c r="H590" s="165"/>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row>
    <row r="591" spans="1:33" s="43" customFormat="1" ht="19.5" customHeight="1">
      <c r="A591" s="60"/>
      <c r="B591" s="60"/>
      <c r="C591" s="260"/>
      <c r="D591" s="66"/>
      <c r="E591" s="165"/>
      <c r="F591" s="165"/>
      <c r="G591" s="165"/>
      <c r="H591" s="165"/>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row>
    <row r="592" spans="1:33" s="43" customFormat="1" ht="19.5" customHeight="1">
      <c r="A592" s="60"/>
      <c r="B592" s="60"/>
      <c r="C592" s="260"/>
      <c r="D592" s="66"/>
      <c r="E592" s="165"/>
      <c r="F592" s="165"/>
      <c r="G592" s="165"/>
      <c r="H592" s="165"/>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row>
    <row r="593" spans="1:33" s="43" customFormat="1" ht="56.25" customHeight="1">
      <c r="A593" s="60"/>
      <c r="B593" s="60"/>
      <c r="C593" s="260"/>
      <c r="D593" s="66"/>
      <c r="E593" s="165"/>
      <c r="F593" s="165"/>
      <c r="G593" s="165"/>
      <c r="H593" s="165"/>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row>
    <row r="594" spans="1:33" s="43" customFormat="1" ht="20.25" customHeight="1">
      <c r="A594" s="60"/>
      <c r="B594" s="60"/>
      <c r="C594" s="260"/>
      <c r="D594" s="66"/>
      <c r="E594" s="165"/>
      <c r="F594" s="165"/>
      <c r="G594" s="165"/>
      <c r="H594" s="165"/>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row>
    <row r="595" spans="1:33" s="43" customFormat="1" ht="19.5" customHeight="1">
      <c r="A595" s="60"/>
      <c r="B595" s="60"/>
      <c r="C595" s="260"/>
      <c r="D595" s="66"/>
      <c r="E595" s="165"/>
      <c r="F595" s="165"/>
      <c r="G595" s="165"/>
      <c r="H595" s="165"/>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row>
    <row r="596" spans="1:33" s="43" customFormat="1" ht="33" customHeight="1">
      <c r="A596" s="60"/>
      <c r="B596" s="60"/>
      <c r="C596" s="260"/>
      <c r="D596" s="66"/>
      <c r="E596" s="165"/>
      <c r="F596" s="165"/>
      <c r="G596" s="165"/>
      <c r="H596" s="165"/>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row>
    <row r="597" spans="1:33" s="43" customFormat="1" ht="18" customHeight="1">
      <c r="A597" s="60"/>
      <c r="B597" s="60"/>
      <c r="C597" s="260"/>
      <c r="D597" s="66"/>
      <c r="E597" s="165"/>
      <c r="F597" s="165"/>
      <c r="G597" s="165"/>
      <c r="H597" s="165"/>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row>
    <row r="598" spans="1:33" s="43" customFormat="1" ht="18" customHeight="1">
      <c r="A598" s="60"/>
      <c r="B598" s="60"/>
      <c r="C598" s="260"/>
      <c r="D598" s="66"/>
      <c r="E598" s="165"/>
      <c r="F598" s="165"/>
      <c r="G598" s="165"/>
      <c r="H598" s="165"/>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row>
    <row r="599" spans="1:33" s="43" customFormat="1" ht="20.25" customHeight="1">
      <c r="A599" s="60"/>
      <c r="B599" s="60"/>
      <c r="C599" s="260"/>
      <c r="D599" s="66"/>
      <c r="E599" s="165"/>
      <c r="F599" s="165"/>
      <c r="G599" s="165"/>
      <c r="H599" s="165"/>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row>
    <row r="600" spans="1:33" s="43" customFormat="1" ht="35.25" customHeight="1">
      <c r="A600" s="60"/>
      <c r="B600" s="60"/>
      <c r="C600" s="260"/>
      <c r="D600" s="66"/>
      <c r="E600" s="165"/>
      <c r="F600" s="165"/>
      <c r="G600" s="165"/>
      <c r="H600" s="165"/>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row>
    <row r="601" spans="1:33" s="43" customFormat="1" ht="26.25" customHeight="1">
      <c r="A601" s="60"/>
      <c r="B601" s="60"/>
      <c r="C601" s="260"/>
      <c r="D601" s="66"/>
      <c r="E601" s="165"/>
      <c r="F601" s="165"/>
      <c r="G601" s="165"/>
      <c r="H601" s="165"/>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row>
    <row r="602" spans="1:33" s="43" customFormat="1" ht="27.75" customHeight="1">
      <c r="A602" s="60"/>
      <c r="B602" s="60"/>
      <c r="C602" s="260"/>
      <c r="D602" s="66"/>
      <c r="E602" s="165"/>
      <c r="F602" s="165"/>
      <c r="G602" s="165"/>
      <c r="H602" s="165"/>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row>
    <row r="603" spans="1:33" s="43" customFormat="1" ht="27" customHeight="1">
      <c r="A603" s="60"/>
      <c r="B603" s="60"/>
      <c r="C603" s="260"/>
      <c r="D603" s="66"/>
      <c r="E603" s="165"/>
      <c r="F603" s="165"/>
      <c r="G603" s="165"/>
      <c r="H603" s="165"/>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row>
    <row r="604" spans="1:33" s="43" customFormat="1" ht="18.75" customHeight="1">
      <c r="A604" s="60"/>
      <c r="B604" s="60"/>
      <c r="C604" s="260"/>
      <c r="D604" s="66"/>
      <c r="E604" s="165"/>
      <c r="F604" s="165"/>
      <c r="G604" s="165"/>
      <c r="H604" s="165"/>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row>
    <row r="605" spans="1:33" s="43" customFormat="1" ht="18.75" customHeight="1">
      <c r="A605" s="60"/>
      <c r="B605" s="60"/>
      <c r="C605" s="260"/>
      <c r="D605" s="66"/>
      <c r="E605" s="165"/>
      <c r="F605" s="165"/>
      <c r="G605" s="165"/>
      <c r="H605" s="165"/>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row>
    <row r="606" spans="1:33" s="43" customFormat="1" ht="18.75" customHeight="1">
      <c r="A606" s="60"/>
      <c r="B606" s="60"/>
      <c r="C606" s="260"/>
      <c r="D606" s="66"/>
      <c r="E606" s="165"/>
      <c r="F606" s="165"/>
      <c r="G606" s="165"/>
      <c r="H606" s="165"/>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row>
    <row r="607" spans="1:33" s="43" customFormat="1" ht="36.75" customHeight="1">
      <c r="A607" s="60"/>
      <c r="B607" s="60"/>
      <c r="C607" s="260"/>
      <c r="D607" s="66"/>
      <c r="E607" s="165"/>
      <c r="F607" s="165"/>
      <c r="G607" s="165"/>
      <c r="H607" s="165"/>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row>
    <row r="608" spans="1:33" s="43" customFormat="1" ht="37.5" customHeight="1">
      <c r="A608" s="60"/>
      <c r="B608" s="60"/>
      <c r="C608" s="260"/>
      <c r="D608" s="66"/>
      <c r="E608" s="165"/>
      <c r="F608" s="165"/>
      <c r="G608" s="165"/>
      <c r="H608" s="165"/>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row>
    <row r="609" spans="1:33" s="43" customFormat="1" ht="27.75" customHeight="1">
      <c r="A609" s="60"/>
      <c r="B609" s="60"/>
      <c r="C609" s="260"/>
      <c r="D609" s="66"/>
      <c r="E609" s="165"/>
      <c r="F609" s="165"/>
      <c r="G609" s="165"/>
      <c r="H609" s="165"/>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row>
    <row r="610" spans="1:33" s="43" customFormat="1" ht="63" customHeight="1">
      <c r="A610" s="60"/>
      <c r="B610" s="60"/>
      <c r="C610" s="260"/>
      <c r="D610" s="66"/>
      <c r="E610" s="165"/>
      <c r="F610" s="165"/>
      <c r="G610" s="165"/>
      <c r="H610" s="165"/>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row>
    <row r="611" spans="1:33" s="43" customFormat="1" ht="28.5" customHeight="1">
      <c r="A611" s="60"/>
      <c r="B611" s="60"/>
      <c r="C611" s="260"/>
      <c r="D611" s="66"/>
      <c r="E611" s="165"/>
      <c r="F611" s="165"/>
      <c r="G611" s="165"/>
      <c r="H611" s="165"/>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row>
    <row r="612" spans="1:33" s="43" customFormat="1" ht="24.75" customHeight="1">
      <c r="A612" s="60"/>
      <c r="B612" s="60"/>
      <c r="C612" s="260"/>
      <c r="D612" s="66"/>
      <c r="E612" s="165"/>
      <c r="F612" s="165"/>
      <c r="G612" s="165"/>
      <c r="H612" s="165"/>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row>
    <row r="613" spans="1:33" s="43" customFormat="1" ht="29.25" customHeight="1">
      <c r="A613" s="60"/>
      <c r="B613" s="60"/>
      <c r="C613" s="260"/>
      <c r="D613" s="66"/>
      <c r="E613" s="165"/>
      <c r="F613" s="165"/>
      <c r="G613" s="165"/>
      <c r="H613" s="165"/>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row>
    <row r="614" spans="1:33" s="43" customFormat="1" ht="18.75" customHeight="1">
      <c r="A614" s="60"/>
      <c r="B614" s="60"/>
      <c r="C614" s="260"/>
      <c r="D614" s="66"/>
      <c r="E614" s="165"/>
      <c r="F614" s="165"/>
      <c r="G614" s="165"/>
      <c r="H614" s="165"/>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row>
    <row r="615" spans="1:33" s="43" customFormat="1" ht="21.75" customHeight="1">
      <c r="A615" s="60"/>
      <c r="B615" s="60"/>
      <c r="C615" s="260"/>
      <c r="D615" s="66"/>
      <c r="E615" s="165"/>
      <c r="F615" s="165"/>
      <c r="G615" s="165"/>
      <c r="H615" s="165"/>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row>
    <row r="616" spans="1:33" s="43" customFormat="1" ht="41.25" customHeight="1">
      <c r="A616" s="60"/>
      <c r="B616" s="60"/>
      <c r="C616" s="260"/>
      <c r="D616" s="66"/>
      <c r="E616" s="165"/>
      <c r="F616" s="165"/>
      <c r="G616" s="165"/>
      <c r="H616" s="165"/>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row>
    <row r="617" spans="1:33" s="43" customFormat="1" ht="39.75" customHeight="1">
      <c r="A617" s="60"/>
      <c r="B617" s="60"/>
      <c r="C617" s="260"/>
      <c r="D617" s="66"/>
      <c r="E617" s="165"/>
      <c r="F617" s="165"/>
      <c r="G617" s="165"/>
      <c r="H617" s="165"/>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row>
    <row r="618" spans="1:33" s="43" customFormat="1" ht="28.5" customHeight="1">
      <c r="A618" s="60"/>
      <c r="B618" s="60"/>
      <c r="C618" s="260"/>
      <c r="D618" s="66"/>
      <c r="E618" s="165"/>
      <c r="F618" s="165"/>
      <c r="G618" s="165"/>
      <c r="H618" s="165"/>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row>
    <row r="619" spans="1:33" s="43" customFormat="1" ht="46.5" customHeight="1">
      <c r="A619" s="60"/>
      <c r="B619" s="60"/>
      <c r="C619" s="260"/>
      <c r="D619" s="66"/>
      <c r="E619" s="165"/>
      <c r="F619" s="165"/>
      <c r="G619" s="165"/>
      <c r="H619" s="165"/>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row>
    <row r="620" spans="1:33" s="43" customFormat="1" ht="22.5" customHeight="1">
      <c r="A620" s="60"/>
      <c r="B620" s="60"/>
      <c r="C620" s="260"/>
      <c r="D620" s="66"/>
      <c r="E620" s="165"/>
      <c r="F620" s="165"/>
      <c r="G620" s="165"/>
      <c r="H620" s="165"/>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row>
    <row r="621" spans="1:33" ht="15">
      <c r="B621" s="43"/>
    </row>
    <row r="622" spans="1:33" ht="15">
      <c r="B622" s="43"/>
    </row>
    <row r="623" spans="1:33" ht="15">
      <c r="B623" s="43"/>
    </row>
    <row r="624" spans="1:33" ht="20.25" customHeight="1"/>
    <row r="626" spans="3:8" ht="33" customHeight="1"/>
    <row r="631" spans="3:8" ht="18.75" customHeight="1"/>
    <row r="633" spans="3:8" ht="19.5" customHeight="1"/>
    <row r="638" spans="3:8" ht="15.75" customHeight="1"/>
    <row r="639" spans="3:8" ht="15">
      <c r="C639" s="27"/>
      <c r="D639" s="190"/>
      <c r="E639" s="183"/>
      <c r="F639" s="184"/>
      <c r="G639" s="184"/>
      <c r="H639" s="186"/>
    </row>
    <row r="640" spans="3:8">
      <c r="C640" s="262"/>
      <c r="D640" s="191"/>
      <c r="E640" s="185"/>
      <c r="F640" s="186"/>
      <c r="G640" s="186"/>
      <c r="H640" s="186"/>
    </row>
  </sheetData>
  <mergeCells count="55">
    <mergeCell ref="C581:D581"/>
    <mergeCell ref="B555:D555"/>
    <mergeCell ref="B556:D556"/>
    <mergeCell ref="C559:F559"/>
    <mergeCell ref="C574:D574"/>
    <mergeCell ref="C576:D576"/>
    <mergeCell ref="D579:E579"/>
    <mergeCell ref="B554:D554"/>
    <mergeCell ref="A375:H375"/>
    <mergeCell ref="C487:E487"/>
    <mergeCell ref="C488:E488"/>
    <mergeCell ref="C492:D492"/>
    <mergeCell ref="C495:D495"/>
    <mergeCell ref="E504:F504"/>
    <mergeCell ref="E505:F505"/>
    <mergeCell ref="C507:D507"/>
    <mergeCell ref="B532:G532"/>
    <mergeCell ref="B533:F533"/>
    <mergeCell ref="B553:D553"/>
    <mergeCell ref="C370:G370"/>
    <mergeCell ref="C98:F98"/>
    <mergeCell ref="G99:H99"/>
    <mergeCell ref="G100:H100"/>
    <mergeCell ref="G101:H101"/>
    <mergeCell ref="G102:H102"/>
    <mergeCell ref="G103:H103"/>
    <mergeCell ref="B104:H104"/>
    <mergeCell ref="B105:H105"/>
    <mergeCell ref="B106:H106"/>
    <mergeCell ref="B107:H107"/>
    <mergeCell ref="B367:H367"/>
    <mergeCell ref="C14:F14"/>
    <mergeCell ref="B43:H43"/>
    <mergeCell ref="C16:F16"/>
    <mergeCell ref="C18:F18"/>
    <mergeCell ref="B21:H21"/>
    <mergeCell ref="C38:G38"/>
    <mergeCell ref="G39:H39"/>
    <mergeCell ref="G40:H40"/>
    <mergeCell ref="G41:H41"/>
    <mergeCell ref="C9:G9"/>
    <mergeCell ref="C10:F10"/>
    <mergeCell ref="C11:F11"/>
    <mergeCell ref="C12:F12"/>
    <mergeCell ref="C13:F13"/>
    <mergeCell ref="C3:H3"/>
    <mergeCell ref="C4:H4"/>
    <mergeCell ref="C5:H5"/>
    <mergeCell ref="C6:H6"/>
    <mergeCell ref="C8:F8"/>
    <mergeCell ref="C93:F93"/>
    <mergeCell ref="G94:H94"/>
    <mergeCell ref="G95:H95"/>
    <mergeCell ref="G96:H96"/>
    <mergeCell ref="C15:F15"/>
  </mergeCells>
  <hyperlinks>
    <hyperlink ref="C259" r:id="rId1" display="https://santehnica.kz/p65942293-gibkaya-podvodka-dlya.html" xr:uid="{BC1A505B-1043-42EB-B794-92E0252333A5}"/>
    <hyperlink ref="C263" r:id="rId2" display="https://zubr-shop.kz/p4217773-zubr-multirez-255.html" xr:uid="{9B3DB67B-9458-4654-85A3-2372763FB736}"/>
    <hyperlink ref="C274" r:id="rId3" display="https://all-tools.kz/p48680301-cilikonovaya-smazka-sprej.html" xr:uid="{5A5C8224-E1E0-46EE-B5CA-C11886B8FC0B}"/>
    <hyperlink ref="C284" r:id="rId4" display="https://prolock.kz/p90329387-suvaldnyj-vreznoj-zamok.html" xr:uid="{0531D28C-1D69-45B6-B93D-63A8A3735343}"/>
    <hyperlink ref="D199" r:id="rId5" display="https://amc.kz/p91375876-nabor-bit-ph2.html" xr:uid="{6206DB1E-3A66-4686-85A3-0F55BF7F3A05}"/>
    <hyperlink ref="D212" r:id="rId6" display="https://zubr-shop.kz/p91050994-grinda-latuni-vneshnej.html" xr:uid="{4D421BFA-515F-4C31-8FE3-5FF1A6D03514}"/>
    <hyperlink ref="D241" r:id="rId7" display="https://zubr-shop.kz/p4217787-zamok-navesnoj-zubr.html" xr:uid="{643A02FC-3570-4D9E-9F37-A5415D646C85}"/>
    <hyperlink ref="D244" r:id="rId8" display="https://zubr-shop.kz/p4214304-zubr-lezviya-segmentirovannye.html" xr:uid="{77F7107F-6ED0-4BD0-AF3E-FDFF91B69B02}"/>
    <hyperlink ref="D263" r:id="rId9" display="https://zubr-shop.kz/p4217773-zubr-multirez-255.html" xr:uid="{85BE6E49-3E4F-4222-955B-D406F8D3BB09}"/>
    <hyperlink ref="D274" r:id="rId10" display="https://all-tools.kz/p48680301-cilikonovaya-smazka-sprej.html" xr:uid="{A8A77365-310C-4A31-A5F5-7EB444CA0F21}"/>
    <hyperlink ref="D286" r:id="rId11" display="https://zubr-shop.kz/p43580980-zamok-navesnoj-diskovyj.html" xr:uid="{9A2BA102-9393-40F5-B591-58DD0BA22C0E}"/>
    <hyperlink ref="D287" r:id="rId12" display="https://zubr-shop.kz/p4217787-zamok-navesnoj-zubr.html" xr:uid="{F8448B4B-E18F-4E02-B43F-3774803EC7DB}"/>
    <hyperlink ref="D290" r:id="rId13" display="https://kdm.kz/p19989283-zaklepki-vytyazhnye-4810.html" xr:uid="{18A0AF48-6F35-4767-A26C-C88BE2D7A286}"/>
    <hyperlink ref="D291" r:id="rId14" display="https://kdm.kz/p19989283-zaklepki-vytyazhnye-4810.html" xr:uid="{6DB46168-A34F-4FFC-A2DA-527192D5EF8C}"/>
  </hyperlinks>
  <pageMargins left="0.78740157480314965" right="0.19685039370078741" top="0.39370078740157483" bottom="0.19685039370078741" header="0.31496062992125984" footer="0.31496062992125984"/>
  <pageSetup paperSize="9" scale="70" fitToHeight="0" orientation="portrait"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C93C-FA06-4507-80B1-BEB15D2A52EC}">
  <dimension ref="A1:AG640"/>
  <sheetViews>
    <sheetView topLeftCell="B564" zoomScaleNormal="100" zoomScaleSheetLayoutView="100" workbookViewId="0">
      <selection activeCell="I581" sqref="I581"/>
    </sheetView>
  </sheetViews>
  <sheetFormatPr defaultColWidth="8.85546875" defaultRowHeight="12.75"/>
  <cols>
    <col min="1" max="1" width="9.140625" hidden="1" customWidth="1"/>
    <col min="2" max="2" width="5.42578125" customWidth="1"/>
    <col min="3" max="3" width="28.42578125" style="261" customWidth="1"/>
    <col min="4" max="4" width="26.140625" style="62" customWidth="1"/>
    <col min="5" max="5" width="14.42578125" style="177" customWidth="1"/>
    <col min="6" max="6" width="14.85546875" style="182" customWidth="1"/>
    <col min="7" max="7" width="15.140625" style="182" customWidth="1"/>
    <col min="8" max="8" width="19.42578125" style="182" customWidth="1"/>
    <col min="9" max="9" width="19.7109375" customWidth="1"/>
  </cols>
  <sheetData>
    <row r="1" spans="1:33">
      <c r="A1" s="57"/>
      <c r="B1" s="57"/>
      <c r="C1" s="216"/>
      <c r="D1" s="103"/>
      <c r="F1" s="177"/>
      <c r="G1" s="177"/>
      <c r="H1" s="177"/>
      <c r="I1" s="57"/>
      <c r="J1" s="57"/>
      <c r="K1" s="57"/>
      <c r="L1" s="57"/>
      <c r="M1" s="57"/>
      <c r="N1" s="57"/>
      <c r="O1" s="57"/>
      <c r="P1" s="57"/>
      <c r="Q1" s="57"/>
      <c r="R1" s="57"/>
      <c r="S1" s="57"/>
      <c r="T1" s="57"/>
      <c r="U1" s="57"/>
      <c r="V1" s="57"/>
      <c r="W1" s="57"/>
      <c r="X1" s="57"/>
      <c r="Y1" s="57"/>
      <c r="Z1" s="57"/>
      <c r="AA1" s="57"/>
      <c r="AB1" s="57"/>
      <c r="AC1" s="57"/>
      <c r="AD1" s="57"/>
      <c r="AE1" s="57"/>
      <c r="AF1" s="57"/>
      <c r="AG1" s="57"/>
    </row>
    <row r="2" spans="1:33">
      <c r="A2" s="57"/>
      <c r="B2" s="57"/>
      <c r="C2" s="216"/>
      <c r="D2" s="103"/>
      <c r="F2" s="177"/>
      <c r="G2" s="177"/>
      <c r="H2" s="177"/>
      <c r="I2" s="57"/>
      <c r="J2" s="57"/>
      <c r="K2" s="57"/>
      <c r="L2" s="57"/>
      <c r="M2" s="57"/>
      <c r="N2" s="57"/>
      <c r="O2" s="57"/>
      <c r="P2" s="57"/>
      <c r="Q2" s="57"/>
      <c r="R2" s="57"/>
      <c r="S2" s="57"/>
      <c r="T2" s="57"/>
      <c r="U2" s="57"/>
      <c r="V2" s="57"/>
      <c r="W2" s="57"/>
      <c r="X2" s="57"/>
      <c r="Y2" s="57"/>
      <c r="Z2" s="57"/>
      <c r="AA2" s="57"/>
      <c r="AB2" s="57"/>
      <c r="AC2" s="57"/>
      <c r="AD2" s="57"/>
      <c r="AE2" s="57"/>
      <c r="AF2" s="57"/>
      <c r="AG2" s="57"/>
    </row>
    <row r="3" spans="1:33" s="43" customFormat="1" ht="15.75">
      <c r="A3" s="60"/>
      <c r="B3" s="60"/>
      <c r="C3" s="1430" t="s">
        <v>2304</v>
      </c>
      <c r="D3" s="1430"/>
      <c r="E3" s="1430"/>
      <c r="F3" s="1430"/>
      <c r="G3" s="1430"/>
      <c r="H3" s="1430"/>
      <c r="I3" s="60"/>
      <c r="J3" s="60"/>
      <c r="K3" s="60"/>
      <c r="L3" s="60"/>
      <c r="M3" s="60"/>
      <c r="N3" s="60"/>
      <c r="O3" s="60"/>
      <c r="P3" s="60"/>
      <c r="Q3" s="60"/>
      <c r="R3" s="60"/>
      <c r="S3" s="60"/>
      <c r="T3" s="60"/>
      <c r="U3" s="60"/>
      <c r="V3" s="60"/>
      <c r="W3" s="60"/>
      <c r="X3" s="60"/>
      <c r="Y3" s="60"/>
      <c r="Z3" s="60"/>
      <c r="AA3" s="60"/>
      <c r="AB3" s="60"/>
      <c r="AC3" s="60"/>
      <c r="AD3" s="60"/>
      <c r="AE3" s="60"/>
      <c r="AF3" s="60"/>
      <c r="AG3" s="60"/>
    </row>
    <row r="4" spans="1:33" s="43" customFormat="1" ht="16.5" customHeight="1">
      <c r="A4" s="60"/>
      <c r="B4" s="60"/>
      <c r="C4" s="1431" t="s">
        <v>2436</v>
      </c>
      <c r="D4" s="1431"/>
      <c r="E4" s="1431"/>
      <c r="F4" s="1431"/>
      <c r="G4" s="1431"/>
      <c r="H4" s="1431"/>
      <c r="I4" s="60"/>
      <c r="J4" s="60"/>
      <c r="K4" s="60"/>
      <c r="L4" s="60"/>
      <c r="M4" s="60"/>
      <c r="N4" s="60"/>
      <c r="O4" s="60"/>
      <c r="P4" s="60"/>
      <c r="Q4" s="60"/>
      <c r="R4" s="60"/>
      <c r="S4" s="60"/>
      <c r="T4" s="60"/>
      <c r="U4" s="60"/>
      <c r="V4" s="60"/>
      <c r="W4" s="60"/>
      <c r="X4" s="60"/>
      <c r="Y4" s="60"/>
      <c r="Z4" s="60"/>
      <c r="AA4" s="60"/>
      <c r="AB4" s="60"/>
      <c r="AC4" s="60"/>
      <c r="AD4" s="60"/>
      <c r="AE4" s="60"/>
      <c r="AF4" s="60"/>
      <c r="AG4" s="60"/>
    </row>
    <row r="5" spans="1:33" s="43" customFormat="1" ht="14.25" customHeight="1">
      <c r="A5" s="60"/>
      <c r="B5" s="60"/>
      <c r="C5" s="1432" t="s">
        <v>391</v>
      </c>
      <c r="D5" s="1432"/>
      <c r="E5" s="1432"/>
      <c r="F5" s="1432"/>
      <c r="G5" s="1432"/>
      <c r="H5" s="1432"/>
      <c r="I5" s="60"/>
      <c r="J5" s="60"/>
      <c r="K5" s="60"/>
      <c r="L5" s="60"/>
      <c r="M5" s="60"/>
      <c r="N5" s="60"/>
      <c r="O5" s="60"/>
      <c r="P5" s="60"/>
      <c r="Q5" s="60"/>
      <c r="R5" s="60"/>
      <c r="S5" s="60"/>
      <c r="T5" s="60"/>
      <c r="U5" s="60"/>
      <c r="V5" s="60"/>
      <c r="W5" s="60"/>
      <c r="X5" s="60"/>
      <c r="Y5" s="60"/>
      <c r="Z5" s="60"/>
      <c r="AA5" s="60"/>
      <c r="AB5" s="60"/>
      <c r="AC5" s="60"/>
      <c r="AD5" s="60"/>
      <c r="AE5" s="60"/>
      <c r="AF5" s="60"/>
      <c r="AG5" s="60"/>
    </row>
    <row r="6" spans="1:33" s="43" customFormat="1" ht="15.75" customHeight="1">
      <c r="A6" s="60"/>
      <c r="B6" s="60"/>
      <c r="C6" s="1432" t="s">
        <v>171</v>
      </c>
      <c r="D6" s="1432"/>
      <c r="E6" s="1432"/>
      <c r="F6" s="1432"/>
      <c r="G6" s="1432"/>
      <c r="H6" s="1432"/>
      <c r="I6" s="60"/>
      <c r="J6" s="60"/>
      <c r="K6" s="60"/>
      <c r="L6" s="60"/>
      <c r="M6" s="60"/>
      <c r="N6" s="60"/>
      <c r="O6" s="60"/>
      <c r="P6" s="60"/>
      <c r="Q6" s="60"/>
      <c r="R6" s="60"/>
      <c r="S6" s="60"/>
      <c r="T6" s="60"/>
      <c r="U6" s="60"/>
      <c r="V6" s="60"/>
      <c r="W6" s="60"/>
      <c r="X6" s="60"/>
      <c r="Y6" s="60"/>
      <c r="Z6" s="60"/>
      <c r="AA6" s="60"/>
      <c r="AB6" s="60"/>
      <c r="AC6" s="60"/>
      <c r="AD6" s="60"/>
      <c r="AE6" s="60"/>
      <c r="AF6" s="60"/>
      <c r="AG6" s="60"/>
    </row>
    <row r="7" spans="1:33" s="43" customFormat="1" ht="14.25" customHeight="1">
      <c r="A7" s="60"/>
      <c r="B7" s="60"/>
      <c r="C7" s="254"/>
      <c r="D7" s="707"/>
      <c r="E7" s="707"/>
      <c r="F7" s="707"/>
      <c r="G7" s="707"/>
      <c r="H7" s="263"/>
      <c r="I7" s="60"/>
      <c r="J7" s="60"/>
      <c r="K7" s="60"/>
      <c r="L7" s="60"/>
      <c r="M7" s="60"/>
      <c r="N7" s="60"/>
      <c r="O7" s="60"/>
      <c r="P7" s="60"/>
      <c r="Q7" s="60"/>
      <c r="R7" s="60"/>
      <c r="S7" s="60"/>
      <c r="T7" s="60"/>
      <c r="U7" s="60"/>
      <c r="V7" s="60"/>
      <c r="W7" s="60"/>
      <c r="X7" s="60"/>
      <c r="Y7" s="60"/>
      <c r="Z7" s="60"/>
      <c r="AA7" s="60"/>
      <c r="AB7" s="60"/>
      <c r="AC7" s="60"/>
      <c r="AD7" s="60"/>
      <c r="AE7" s="60"/>
      <c r="AF7" s="60"/>
      <c r="AG7" s="60"/>
    </row>
    <row r="8" spans="1:33" s="48" customFormat="1" ht="15.75">
      <c r="A8" s="69"/>
      <c r="B8" s="173"/>
      <c r="C8" s="1433" t="s">
        <v>137</v>
      </c>
      <c r="D8" s="1433"/>
      <c r="E8" s="1433"/>
      <c r="F8" s="1433"/>
      <c r="G8" s="198"/>
      <c r="H8" s="225">
        <f>H10+H11+H12+H13+H14+H15+H16</f>
        <v>2228288150.8331404</v>
      </c>
      <c r="I8" s="90"/>
      <c r="J8" s="90"/>
      <c r="K8" s="90"/>
      <c r="L8" s="90"/>
      <c r="M8" s="90"/>
      <c r="N8" s="90"/>
      <c r="O8" s="90"/>
      <c r="P8" s="90"/>
      <c r="Q8" s="90"/>
      <c r="R8" s="90"/>
      <c r="S8" s="90"/>
      <c r="T8" s="90"/>
      <c r="U8" s="90"/>
      <c r="V8" s="90"/>
      <c r="W8" s="90"/>
      <c r="X8" s="90"/>
      <c r="Y8" s="90"/>
      <c r="Z8" s="90"/>
      <c r="AA8" s="90"/>
      <c r="AB8" s="90"/>
      <c r="AC8" s="90"/>
      <c r="AD8" s="90"/>
      <c r="AE8" s="90"/>
      <c r="AF8" s="90"/>
      <c r="AG8" s="90"/>
    </row>
    <row r="9" spans="1:33" s="48" customFormat="1" ht="25.5">
      <c r="A9" s="69"/>
      <c r="B9" s="625" t="s">
        <v>79</v>
      </c>
      <c r="C9" s="1434" t="s">
        <v>34</v>
      </c>
      <c r="D9" s="1435"/>
      <c r="E9" s="1435"/>
      <c r="F9" s="1435"/>
      <c r="G9" s="1436"/>
      <c r="H9" s="625" t="s">
        <v>858</v>
      </c>
      <c r="I9" s="90"/>
      <c r="J9" s="90"/>
      <c r="K9" s="90"/>
      <c r="L9" s="90"/>
      <c r="M9" s="90"/>
      <c r="N9" s="90"/>
      <c r="O9" s="90"/>
      <c r="P9" s="90"/>
      <c r="Q9" s="90"/>
      <c r="R9" s="90"/>
      <c r="S9" s="90"/>
      <c r="T9" s="90"/>
      <c r="U9" s="90"/>
      <c r="V9" s="90"/>
      <c r="W9" s="90"/>
      <c r="X9" s="90"/>
      <c r="Y9" s="90"/>
      <c r="Z9" s="90"/>
      <c r="AA9" s="90"/>
      <c r="AB9" s="90"/>
      <c r="AC9" s="90"/>
      <c r="AD9" s="90"/>
      <c r="AE9" s="90"/>
      <c r="AF9" s="90"/>
      <c r="AG9" s="90"/>
    </row>
    <row r="10" spans="1:33" s="43" customFormat="1" ht="15">
      <c r="A10" s="105"/>
      <c r="B10" s="719">
        <v>1</v>
      </c>
      <c r="C10" s="1427" t="s">
        <v>159</v>
      </c>
      <c r="D10" s="1428"/>
      <c r="E10" s="1428"/>
      <c r="F10" s="1429"/>
      <c r="G10" s="720"/>
      <c r="H10" s="721">
        <f>'[1]Сводная лимит 2028г.'!H10+'[1]Сводная ДП 2028г.'!H10</f>
        <v>728289330.5999999</v>
      </c>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row>
    <row r="11" spans="1:33" s="43" customFormat="1" ht="15">
      <c r="A11" s="105"/>
      <c r="B11" s="719">
        <f>B10+1</f>
        <v>2</v>
      </c>
      <c r="C11" s="1427" t="s">
        <v>283</v>
      </c>
      <c r="D11" s="1428"/>
      <c r="E11" s="1428"/>
      <c r="F11" s="1429"/>
      <c r="G11" s="720"/>
      <c r="H11" s="721">
        <f>'[1]Сводная лимит 2028г.'!H11+'[1]Сводная ДП 2028г.'!H11</f>
        <v>1029339262.9792502</v>
      </c>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row>
    <row r="12" spans="1:33" s="43" customFormat="1" ht="15">
      <c r="A12" s="105"/>
      <c r="B12" s="719">
        <f>B11+1</f>
        <v>3</v>
      </c>
      <c r="C12" s="1427" t="s">
        <v>109</v>
      </c>
      <c r="D12" s="1428"/>
      <c r="E12" s="1428"/>
      <c r="F12" s="1429"/>
      <c r="G12" s="619" t="s">
        <v>140</v>
      </c>
      <c r="H12" s="721">
        <f>'[1]Сводная лимит 2028г.'!H12+'[1]Сводная ДП 2028г.'!H12</f>
        <v>139133349.45374998</v>
      </c>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row>
    <row r="13" spans="1:33" s="43" customFormat="1" ht="15">
      <c r="A13" s="105"/>
      <c r="B13" s="719">
        <f>B12+1</f>
        <v>4</v>
      </c>
      <c r="C13" s="1427" t="s">
        <v>75</v>
      </c>
      <c r="D13" s="1428"/>
      <c r="E13" s="1428"/>
      <c r="F13" s="1429"/>
      <c r="G13" s="723">
        <v>0.06</v>
      </c>
      <c r="H13" s="721">
        <f>'[1]Сводная лимит 2028г.'!H13+'[1]Сводная ДП 2028г.'!H13</f>
        <v>98565046.62462765</v>
      </c>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row>
    <row r="14" spans="1:33" s="43" customFormat="1" ht="15">
      <c r="A14" s="105"/>
      <c r="B14" s="719">
        <f>B13+1</f>
        <v>5</v>
      </c>
      <c r="C14" s="1427" t="s">
        <v>132</v>
      </c>
      <c r="D14" s="1428"/>
      <c r="E14" s="1428"/>
      <c r="F14" s="1429"/>
      <c r="G14" s="723">
        <v>0.05</v>
      </c>
      <c r="H14" s="721">
        <f>'[1]Сводная лимит 2028г.'!H14+'[1]Сводная ДП 2028г.'!H14</f>
        <v>85354287.436485022</v>
      </c>
      <c r="I14" s="60"/>
      <c r="J14" s="195"/>
      <c r="K14" s="60"/>
      <c r="L14" s="60"/>
      <c r="M14" s="60"/>
      <c r="N14" s="60"/>
      <c r="O14" s="60"/>
      <c r="P14" s="60"/>
      <c r="Q14" s="60"/>
      <c r="R14" s="60"/>
      <c r="S14" s="60"/>
      <c r="T14" s="60"/>
      <c r="U14" s="60"/>
      <c r="V14" s="60"/>
      <c r="W14" s="60"/>
      <c r="X14" s="60"/>
      <c r="Y14" s="60"/>
      <c r="Z14" s="60"/>
      <c r="AA14" s="60"/>
      <c r="AB14" s="60"/>
      <c r="AC14" s="60"/>
      <c r="AD14" s="60"/>
      <c r="AE14" s="60"/>
      <c r="AF14" s="60"/>
      <c r="AG14" s="60"/>
    </row>
    <row r="15" spans="1:33" s="43" customFormat="1" ht="15">
      <c r="A15" s="105"/>
      <c r="B15" s="719">
        <f>B14+1</f>
        <v>6</v>
      </c>
      <c r="C15" s="1427" t="s">
        <v>282</v>
      </c>
      <c r="D15" s="1428"/>
      <c r="E15" s="1428"/>
      <c r="F15" s="1429"/>
      <c r="G15" s="723">
        <v>0.03</v>
      </c>
      <c r="H15" s="721">
        <f>'[1]Сводная лимит 2028г.'!H15+'[1]Сводная ДП 2028г.'!H15</f>
        <v>52728857.807377502</v>
      </c>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row>
    <row r="16" spans="1:33" s="43" customFormat="1" ht="15">
      <c r="A16" s="105"/>
      <c r="B16" s="719">
        <v>7</v>
      </c>
      <c r="C16" s="1439" t="s">
        <v>287</v>
      </c>
      <c r="D16" s="1439"/>
      <c r="E16" s="1439"/>
      <c r="F16" s="1439"/>
      <c r="G16" s="724">
        <v>0.05</v>
      </c>
      <c r="H16" s="721">
        <f>'[1]Сводная лимит 2028г.'!H16+'[1]Сводная ДП 2028г.'!H16</f>
        <v>94878015.931649998</v>
      </c>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row>
    <row r="17" spans="1:33" s="43" customFormat="1" ht="15">
      <c r="A17" s="105"/>
      <c r="B17" s="108"/>
      <c r="C17" s="135"/>
      <c r="D17" s="135"/>
      <c r="E17" s="115"/>
      <c r="F17" s="115"/>
      <c r="G17" s="266"/>
      <c r="H17" s="192"/>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row>
    <row r="18" spans="1:33" s="43" customFormat="1" ht="15">
      <c r="A18" s="105"/>
      <c r="B18" s="173"/>
      <c r="C18" s="1433" t="s">
        <v>290</v>
      </c>
      <c r="D18" s="1433"/>
      <c r="E18" s="1433"/>
      <c r="F18" s="1433"/>
      <c r="G18" s="631">
        <f>G20</f>
        <v>6400634.9206349198</v>
      </c>
      <c r="H18" s="179"/>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row>
    <row r="19" spans="1:33" s="43" customFormat="1" ht="31.5">
      <c r="A19" s="105"/>
      <c r="B19" s="625" t="s">
        <v>79</v>
      </c>
      <c r="C19" s="626" t="s">
        <v>34</v>
      </c>
      <c r="D19" s="625" t="s">
        <v>123</v>
      </c>
      <c r="E19" s="725" t="s">
        <v>851</v>
      </c>
      <c r="F19" s="625" t="s">
        <v>108</v>
      </c>
      <c r="G19" s="726" t="s">
        <v>859</v>
      </c>
      <c r="H19" s="121"/>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row>
    <row r="20" spans="1:33" s="43" customFormat="1" ht="25.5">
      <c r="A20" s="105"/>
      <c r="B20" s="619">
        <v>2</v>
      </c>
      <c r="C20" s="613" t="s">
        <v>221</v>
      </c>
      <c r="D20" s="727">
        <v>167</v>
      </c>
      <c r="E20" s="600">
        <f>G23</f>
        <v>6400.6349206349196</v>
      </c>
      <c r="F20" s="728">
        <v>1000</v>
      </c>
      <c r="G20" s="600">
        <f>E20*F20</f>
        <v>6400634.9206349198</v>
      </c>
      <c r="H20" s="176"/>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row>
    <row r="21" spans="1:33" s="43" customFormat="1" ht="15">
      <c r="A21" s="105"/>
      <c r="B21" s="1440" t="s">
        <v>1884</v>
      </c>
      <c r="C21" s="1440"/>
      <c r="D21" s="1440"/>
      <c r="E21" s="1440"/>
      <c r="F21" s="1440"/>
      <c r="G21" s="1440"/>
      <c r="H21" s="144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row>
    <row r="22" spans="1:33" s="43" customFormat="1" ht="38.25">
      <c r="A22" s="105"/>
      <c r="B22" s="625" t="s">
        <v>20</v>
      </c>
      <c r="C22" s="626" t="s">
        <v>124</v>
      </c>
      <c r="D22" s="729" t="s">
        <v>41</v>
      </c>
      <c r="E22" s="625" t="s">
        <v>37</v>
      </c>
      <c r="F22" s="625" t="s">
        <v>162</v>
      </c>
      <c r="G22" s="625" t="s">
        <v>142</v>
      </c>
      <c r="H22" s="625" t="s">
        <v>163</v>
      </c>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row>
    <row r="23" spans="1:33" s="43" customFormat="1" ht="15">
      <c r="A23" s="105"/>
      <c r="B23" s="610"/>
      <c r="C23" s="626" t="s">
        <v>5</v>
      </c>
      <c r="D23" s="726">
        <f>SUM(D24:D35)</f>
        <v>167</v>
      </c>
      <c r="E23" s="601"/>
      <c r="F23" s="601"/>
      <c r="G23" s="726">
        <f>SUM(G24:G35)</f>
        <v>6400.6349206349196</v>
      </c>
      <c r="H23" s="601">
        <f>SUM(H24:H35)</f>
        <v>6400634.9206349207</v>
      </c>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row>
    <row r="24" spans="1:33" s="43" customFormat="1" ht="15">
      <c r="A24" s="105"/>
      <c r="B24" s="606">
        <v>1</v>
      </c>
      <c r="C24" s="613" t="s">
        <v>125</v>
      </c>
      <c r="D24" s="306">
        <v>16</v>
      </c>
      <c r="E24" s="600">
        <v>1000</v>
      </c>
      <c r="F24" s="730">
        <v>0.5</v>
      </c>
      <c r="G24" s="731">
        <v>627.51322751322755</v>
      </c>
      <c r="H24" s="732">
        <f t="shared" ref="H24:H35" si="0">G24*E24</f>
        <v>627513.2275132275</v>
      </c>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row>
    <row r="25" spans="1:33" s="43" customFormat="1" ht="15">
      <c r="A25" s="105"/>
      <c r="B25" s="606">
        <v>2</v>
      </c>
      <c r="C25" s="613" t="s">
        <v>21</v>
      </c>
      <c r="D25" s="306">
        <v>20</v>
      </c>
      <c r="E25" s="600">
        <v>1000</v>
      </c>
      <c r="F25" s="730">
        <v>0.5</v>
      </c>
      <c r="G25" s="731">
        <v>627.51322751322755</v>
      </c>
      <c r="H25" s="732">
        <f t="shared" si="0"/>
        <v>627513.2275132275</v>
      </c>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row>
    <row r="26" spans="1:33" s="43" customFormat="1" ht="15">
      <c r="A26" s="105"/>
      <c r="B26" s="606">
        <v>3</v>
      </c>
      <c r="C26" s="613" t="s">
        <v>22</v>
      </c>
      <c r="D26" s="306">
        <v>14</v>
      </c>
      <c r="E26" s="600">
        <v>1000</v>
      </c>
      <c r="F26" s="730">
        <v>0.5</v>
      </c>
      <c r="G26" s="731">
        <v>596.13756613756618</v>
      </c>
      <c r="H26" s="732">
        <f t="shared" si="0"/>
        <v>596137.56613756623</v>
      </c>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row>
    <row r="27" spans="1:33" s="43" customFormat="1" ht="15">
      <c r="A27" s="105"/>
      <c r="B27" s="606">
        <v>4</v>
      </c>
      <c r="C27" s="613" t="s">
        <v>176</v>
      </c>
      <c r="D27" s="306">
        <v>22</v>
      </c>
      <c r="E27" s="600">
        <v>1000</v>
      </c>
      <c r="F27" s="730">
        <v>0.5</v>
      </c>
      <c r="G27" s="731">
        <v>627.51322751322755</v>
      </c>
      <c r="H27" s="732">
        <f t="shared" si="0"/>
        <v>627513.2275132275</v>
      </c>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row>
    <row r="28" spans="1:33" s="43" customFormat="1" ht="15">
      <c r="A28" s="105"/>
      <c r="B28" s="606">
        <v>5</v>
      </c>
      <c r="C28" s="613" t="s">
        <v>23</v>
      </c>
      <c r="D28" s="306">
        <v>17</v>
      </c>
      <c r="E28" s="600">
        <v>1000</v>
      </c>
      <c r="F28" s="730">
        <v>0.5</v>
      </c>
      <c r="G28" s="731">
        <v>627.51322751322755</v>
      </c>
      <c r="H28" s="732">
        <f t="shared" si="0"/>
        <v>627513.2275132275</v>
      </c>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row>
    <row r="29" spans="1:33" s="43" customFormat="1" ht="15">
      <c r="A29" s="105"/>
      <c r="B29" s="606">
        <v>6</v>
      </c>
      <c r="C29" s="613" t="s">
        <v>24</v>
      </c>
      <c r="D29" s="306">
        <v>5</v>
      </c>
      <c r="E29" s="600">
        <v>1000</v>
      </c>
      <c r="F29" s="730">
        <v>0.5</v>
      </c>
      <c r="G29" s="731">
        <v>658.88888888888891</v>
      </c>
      <c r="H29" s="732">
        <f t="shared" si="0"/>
        <v>658888.88888888888</v>
      </c>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row>
    <row r="30" spans="1:33" s="43" customFormat="1" ht="15">
      <c r="A30" s="105"/>
      <c r="B30" s="606">
        <v>7</v>
      </c>
      <c r="C30" s="613" t="s">
        <v>126</v>
      </c>
      <c r="D30" s="306"/>
      <c r="E30" s="600">
        <v>1000</v>
      </c>
      <c r="F30" s="730">
        <v>0.5</v>
      </c>
      <c r="G30" s="731">
        <v>0</v>
      </c>
      <c r="H30" s="732">
        <f t="shared" si="0"/>
        <v>0</v>
      </c>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row>
    <row r="31" spans="1:33" s="43" customFormat="1" ht="15">
      <c r="A31" s="105"/>
      <c r="B31" s="606">
        <v>8</v>
      </c>
      <c r="C31" s="613" t="s">
        <v>25</v>
      </c>
      <c r="D31" s="306"/>
      <c r="E31" s="600">
        <v>1000</v>
      </c>
      <c r="F31" s="730">
        <v>0.5</v>
      </c>
      <c r="G31" s="731">
        <v>0</v>
      </c>
      <c r="H31" s="732">
        <f t="shared" si="0"/>
        <v>0</v>
      </c>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row>
    <row r="32" spans="1:33" s="43" customFormat="1" ht="15">
      <c r="A32" s="105"/>
      <c r="B32" s="606">
        <v>9</v>
      </c>
      <c r="C32" s="613" t="s">
        <v>26</v>
      </c>
      <c r="D32" s="306">
        <v>22</v>
      </c>
      <c r="E32" s="600">
        <v>1000</v>
      </c>
      <c r="F32" s="730">
        <v>0.5</v>
      </c>
      <c r="G32" s="731">
        <v>658.88888888888891</v>
      </c>
      <c r="H32" s="732">
        <f t="shared" si="0"/>
        <v>658888.88888888888</v>
      </c>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row>
    <row r="33" spans="1:33" s="43" customFormat="1" ht="15">
      <c r="A33" s="105"/>
      <c r="B33" s="606">
        <v>10</v>
      </c>
      <c r="C33" s="613" t="s">
        <v>27</v>
      </c>
      <c r="D33" s="306">
        <v>21</v>
      </c>
      <c r="E33" s="600">
        <v>1000</v>
      </c>
      <c r="F33" s="730">
        <v>0.5</v>
      </c>
      <c r="G33" s="731">
        <v>658.88888888888891</v>
      </c>
      <c r="H33" s="732">
        <f t="shared" si="0"/>
        <v>658888.88888888888</v>
      </c>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row>
    <row r="34" spans="1:33" s="43" customFormat="1" ht="15">
      <c r="A34" s="105"/>
      <c r="B34" s="606">
        <v>11</v>
      </c>
      <c r="C34" s="613" t="s">
        <v>28</v>
      </c>
      <c r="D34" s="733">
        <v>13</v>
      </c>
      <c r="E34" s="600">
        <v>1000</v>
      </c>
      <c r="F34" s="730">
        <v>0.5</v>
      </c>
      <c r="G34" s="731">
        <v>690.26455026455028</v>
      </c>
      <c r="H34" s="732">
        <f t="shared" si="0"/>
        <v>690264.55026455026</v>
      </c>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row>
    <row r="35" spans="1:33" s="43" customFormat="1" ht="15">
      <c r="A35" s="105"/>
      <c r="B35" s="606">
        <v>12</v>
      </c>
      <c r="C35" s="613" t="s">
        <v>29</v>
      </c>
      <c r="D35" s="733">
        <v>17</v>
      </c>
      <c r="E35" s="600">
        <v>1000</v>
      </c>
      <c r="F35" s="730">
        <v>0.5</v>
      </c>
      <c r="G35" s="731">
        <v>627.51322751322755</v>
      </c>
      <c r="H35" s="732">
        <f t="shared" si="0"/>
        <v>627513.2275132275</v>
      </c>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row>
    <row r="36" spans="1:33" s="43" customFormat="1" ht="15">
      <c r="A36" s="105"/>
      <c r="B36" s="107" t="s">
        <v>1885</v>
      </c>
      <c r="C36" s="135"/>
      <c r="D36" s="107"/>
      <c r="E36" s="115"/>
      <c r="F36" s="115"/>
      <c r="G36" s="115"/>
      <c r="H36" s="115"/>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row>
    <row r="37" spans="1:33" s="43" customFormat="1" ht="15">
      <c r="A37" s="105"/>
      <c r="B37" s="107"/>
      <c r="C37" s="135"/>
      <c r="D37" s="107"/>
      <c r="E37" s="115"/>
      <c r="F37" s="115"/>
      <c r="G37" s="115"/>
      <c r="H37" s="115"/>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row>
    <row r="38" spans="1:33" s="43" customFormat="1" ht="18" customHeight="1">
      <c r="A38" s="105"/>
      <c r="B38" s="169"/>
      <c r="C38" s="1392" t="s">
        <v>2424</v>
      </c>
      <c r="D38" s="1392"/>
      <c r="E38" s="1392"/>
      <c r="F38" s="1392"/>
      <c r="G38" s="1392"/>
      <c r="H38" s="631">
        <f>G40+G41</f>
        <v>262415</v>
      </c>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row>
    <row r="39" spans="1:33" s="43" customFormat="1" ht="54.75" customHeight="1">
      <c r="A39" s="105"/>
      <c r="B39" s="625" t="s">
        <v>79</v>
      </c>
      <c r="C39" s="626" t="s">
        <v>36</v>
      </c>
      <c r="D39" s="625" t="s">
        <v>80</v>
      </c>
      <c r="E39" s="625" t="s">
        <v>164</v>
      </c>
      <c r="F39" s="625" t="s">
        <v>81</v>
      </c>
      <c r="G39" s="1444" t="s">
        <v>861</v>
      </c>
      <c r="H39" s="1444"/>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row>
    <row r="40" spans="1:33" s="43" customFormat="1" ht="15.6" customHeight="1">
      <c r="A40" s="105"/>
      <c r="B40" s="619">
        <v>1</v>
      </c>
      <c r="C40" s="613" t="s">
        <v>139</v>
      </c>
      <c r="D40" s="606">
        <f>836+350</f>
        <v>1186</v>
      </c>
      <c r="E40" s="596">
        <v>204</v>
      </c>
      <c r="F40" s="738">
        <f>H91/204</f>
        <v>0.39651737592170094</v>
      </c>
      <c r="G40" s="1456">
        <f>D40*E40*F40</f>
        <v>95935.000000000015</v>
      </c>
      <c r="H40" s="1456"/>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row>
    <row r="41" spans="1:33" s="43" customFormat="1" ht="25.5">
      <c r="A41" s="105"/>
      <c r="B41" s="619">
        <v>2</v>
      </c>
      <c r="C41" s="604" t="s">
        <v>1886</v>
      </c>
      <c r="D41" s="606"/>
      <c r="E41" s="596"/>
      <c r="F41" s="738"/>
      <c r="G41" s="1442">
        <f>SUM(H45:H50)</f>
        <v>166480</v>
      </c>
      <c r="H41" s="1443"/>
      <c r="I41" s="60"/>
      <c r="J41" s="60"/>
      <c r="K41" s="60"/>
      <c r="L41" s="60"/>
      <c r="M41" s="60"/>
      <c r="N41" s="60"/>
      <c r="O41" s="60"/>
      <c r="P41" s="60"/>
      <c r="Q41" s="60"/>
      <c r="R41" s="60"/>
      <c r="S41" s="60"/>
      <c r="T41" s="60"/>
      <c r="U41" s="60"/>
      <c r="V41" s="60"/>
      <c r="W41" s="60"/>
      <c r="X41" s="60"/>
      <c r="Y41" s="60"/>
      <c r="Z41" s="60"/>
      <c r="AA41" s="60"/>
      <c r="AB41" s="60"/>
      <c r="AC41" s="60"/>
      <c r="AD41" s="60"/>
      <c r="AE41" s="60"/>
      <c r="AF41" s="60"/>
      <c r="AG41" s="60"/>
    </row>
    <row r="42" spans="1:33" s="43" customFormat="1" ht="15">
      <c r="A42" s="105"/>
      <c r="B42" s="639"/>
      <c r="C42" s="739"/>
      <c r="D42" s="208"/>
      <c r="E42" s="208"/>
      <c r="F42" s="740"/>
      <c r="G42" s="741"/>
      <c r="H42" s="742"/>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60"/>
    </row>
    <row r="43" spans="1:33" s="43" customFormat="1" ht="15">
      <c r="A43" s="105"/>
      <c r="B43" s="1411" t="s">
        <v>1887</v>
      </c>
      <c r="C43" s="1411"/>
      <c r="D43" s="1411"/>
      <c r="E43" s="1411"/>
      <c r="F43" s="1411"/>
      <c r="G43" s="1411"/>
      <c r="H43" s="1455"/>
      <c r="I43" s="60"/>
      <c r="J43" s="60"/>
      <c r="K43" s="60"/>
      <c r="L43" s="60"/>
      <c r="M43" s="60"/>
      <c r="N43" s="60"/>
      <c r="O43" s="60"/>
      <c r="P43" s="60"/>
      <c r="Q43" s="60"/>
      <c r="R43" s="60"/>
      <c r="S43" s="60"/>
      <c r="T43" s="60"/>
      <c r="U43" s="60"/>
      <c r="V43" s="60"/>
      <c r="W43" s="60"/>
      <c r="X43" s="60"/>
      <c r="Y43" s="60"/>
      <c r="Z43" s="60"/>
      <c r="AA43" s="60"/>
      <c r="AB43" s="60"/>
      <c r="AC43" s="60"/>
      <c r="AD43" s="60"/>
      <c r="AE43" s="60"/>
      <c r="AF43" s="60"/>
      <c r="AG43" s="60"/>
    </row>
    <row r="44" spans="1:33" s="43" customFormat="1" ht="25.5">
      <c r="A44" s="105"/>
      <c r="B44" s="736" t="s">
        <v>7</v>
      </c>
      <c r="C44" s="736" t="s">
        <v>0</v>
      </c>
      <c r="D44" s="736" t="s">
        <v>90</v>
      </c>
      <c r="E44" s="736" t="s">
        <v>30</v>
      </c>
      <c r="F44" s="736" t="s">
        <v>91</v>
      </c>
      <c r="G44" s="736" t="s">
        <v>92</v>
      </c>
      <c r="H44" s="736" t="s">
        <v>93</v>
      </c>
      <c r="I44" s="60"/>
      <c r="J44" s="60"/>
      <c r="K44" s="60"/>
      <c r="L44" s="60"/>
      <c r="M44" s="60"/>
      <c r="N44" s="60"/>
      <c r="O44" s="60"/>
      <c r="P44" s="60"/>
      <c r="Q44" s="60"/>
      <c r="R44" s="60"/>
      <c r="S44" s="60"/>
      <c r="T44" s="60"/>
      <c r="U44" s="60"/>
      <c r="V44" s="60"/>
      <c r="W44" s="60"/>
      <c r="X44" s="60"/>
      <c r="Y44" s="60"/>
      <c r="Z44" s="60"/>
      <c r="AA44" s="60"/>
      <c r="AB44" s="60"/>
      <c r="AC44" s="60"/>
      <c r="AD44" s="60"/>
      <c r="AE44" s="60"/>
      <c r="AF44" s="60"/>
      <c r="AG44" s="60"/>
    </row>
    <row r="45" spans="1:33" s="43" customFormat="1" ht="15">
      <c r="A45" s="105"/>
      <c r="B45" s="606">
        <v>1</v>
      </c>
      <c r="C45" s="604" t="s">
        <v>1888</v>
      </c>
      <c r="D45" s="596"/>
      <c r="E45" s="596" t="s">
        <v>33</v>
      </c>
      <c r="F45" s="596">
        <v>1</v>
      </c>
      <c r="G45" s="643">
        <v>32300</v>
      </c>
      <c r="H45" s="743">
        <f>F45*G45</f>
        <v>32300</v>
      </c>
      <c r="I45" s="60"/>
      <c r="J45" s="60"/>
      <c r="K45" s="60"/>
      <c r="L45" s="60"/>
      <c r="M45" s="60"/>
      <c r="N45" s="60"/>
      <c r="O45" s="60"/>
      <c r="P45" s="60"/>
      <c r="Q45" s="60"/>
      <c r="R45" s="60"/>
      <c r="S45" s="60"/>
      <c r="T45" s="60"/>
      <c r="U45" s="60"/>
      <c r="V45" s="60"/>
      <c r="W45" s="60"/>
      <c r="X45" s="60"/>
      <c r="Y45" s="60"/>
      <c r="Z45" s="60"/>
      <c r="AA45" s="60"/>
      <c r="AB45" s="60"/>
      <c r="AC45" s="60"/>
      <c r="AD45" s="60"/>
      <c r="AE45" s="60"/>
      <c r="AF45" s="60"/>
      <c r="AG45" s="60"/>
    </row>
    <row r="46" spans="1:33" s="43" customFormat="1" ht="15">
      <c r="A46" s="105"/>
      <c r="B46" s="606">
        <v>2</v>
      </c>
      <c r="C46" s="604" t="s">
        <v>1889</v>
      </c>
      <c r="D46" s="596"/>
      <c r="E46" s="596" t="s">
        <v>33</v>
      </c>
      <c r="F46" s="596">
        <v>1</v>
      </c>
      <c r="G46" s="643">
        <v>26000</v>
      </c>
      <c r="H46" s="743">
        <f>F46*G46</f>
        <v>26000</v>
      </c>
      <c r="I46" s="60"/>
      <c r="J46" s="60"/>
      <c r="K46" s="60"/>
      <c r="L46" s="60"/>
      <c r="M46" s="60"/>
      <c r="N46" s="60"/>
      <c r="O46" s="60"/>
      <c r="P46" s="60"/>
      <c r="Q46" s="60"/>
      <c r="R46" s="60"/>
      <c r="S46" s="60"/>
      <c r="T46" s="60"/>
      <c r="U46" s="60"/>
      <c r="V46" s="60"/>
      <c r="W46" s="60"/>
      <c r="X46" s="60"/>
      <c r="Y46" s="60"/>
      <c r="Z46" s="60"/>
      <c r="AA46" s="60"/>
      <c r="AB46" s="60"/>
      <c r="AC46" s="60"/>
      <c r="AD46" s="60"/>
      <c r="AE46" s="60"/>
      <c r="AF46" s="60"/>
      <c r="AG46" s="60"/>
    </row>
    <row r="47" spans="1:33" s="43" customFormat="1" ht="15">
      <c r="A47" s="105"/>
      <c r="B47" s="606">
        <v>3</v>
      </c>
      <c r="C47" s="604" t="s">
        <v>1890</v>
      </c>
      <c r="D47" s="596"/>
      <c r="E47" s="596" t="s">
        <v>33</v>
      </c>
      <c r="F47" s="596">
        <v>2</v>
      </c>
      <c r="G47" s="643">
        <v>5000</v>
      </c>
      <c r="H47" s="743">
        <f>F47*G47</f>
        <v>10000</v>
      </c>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row>
    <row r="48" spans="1:33" s="43" customFormat="1" ht="15">
      <c r="A48" s="105"/>
      <c r="B48" s="606">
        <v>4</v>
      </c>
      <c r="C48" s="604" t="s">
        <v>1891</v>
      </c>
      <c r="D48" s="596"/>
      <c r="E48" s="596" t="s">
        <v>33</v>
      </c>
      <c r="F48" s="596">
        <v>15</v>
      </c>
      <c r="G48" s="643">
        <v>385</v>
      </c>
      <c r="H48" s="743">
        <f>F48*G48</f>
        <v>5775</v>
      </c>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row>
    <row r="49" spans="1:33" s="43" customFormat="1" ht="15">
      <c r="A49" s="105"/>
      <c r="B49" s="606">
        <v>5</v>
      </c>
      <c r="C49" s="604" t="s">
        <v>1892</v>
      </c>
      <c r="D49" s="596"/>
      <c r="E49" s="596" t="s">
        <v>33</v>
      </c>
      <c r="F49" s="596">
        <v>1</v>
      </c>
      <c r="G49" s="643">
        <v>84825</v>
      </c>
      <c r="H49" s="743">
        <f t="shared" ref="H49" si="1">F49*G49</f>
        <v>84825</v>
      </c>
      <c r="I49" s="60"/>
      <c r="J49" s="60"/>
      <c r="K49" s="60"/>
      <c r="L49" s="60"/>
      <c r="M49" s="60"/>
      <c r="N49" s="60"/>
      <c r="O49" s="60"/>
      <c r="P49" s="60"/>
      <c r="Q49" s="60"/>
      <c r="R49" s="60"/>
      <c r="S49" s="60"/>
      <c r="T49" s="60"/>
      <c r="U49" s="60"/>
      <c r="V49" s="60"/>
      <c r="W49" s="60"/>
      <c r="X49" s="60"/>
      <c r="Y49" s="60"/>
      <c r="Z49" s="60"/>
      <c r="AA49" s="60"/>
      <c r="AB49" s="60"/>
      <c r="AC49" s="60"/>
      <c r="AD49" s="60"/>
      <c r="AE49" s="60"/>
      <c r="AF49" s="60"/>
      <c r="AG49" s="60"/>
    </row>
    <row r="50" spans="1:33" s="43" customFormat="1" ht="25.5">
      <c r="A50" s="105"/>
      <c r="B50" s="606">
        <v>6</v>
      </c>
      <c r="C50" s="604" t="s">
        <v>1893</v>
      </c>
      <c r="D50" s="596"/>
      <c r="E50" s="596" t="s">
        <v>33</v>
      </c>
      <c r="F50" s="744">
        <v>1</v>
      </c>
      <c r="G50" s="643">
        <v>7580</v>
      </c>
      <c r="H50" s="743">
        <f>F50*G50</f>
        <v>7580</v>
      </c>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row>
    <row r="51" spans="1:33" s="43" customFormat="1" ht="15">
      <c r="A51" s="105"/>
      <c r="B51" s="745"/>
      <c r="C51" s="746" t="s">
        <v>2</v>
      </c>
      <c r="D51" s="747"/>
      <c r="E51" s="720"/>
      <c r="F51" s="720"/>
      <c r="G51" s="748"/>
      <c r="H51" s="748">
        <f>SUM(H45:H50)</f>
        <v>166480</v>
      </c>
      <c r="I51" s="60"/>
      <c r="J51" s="60"/>
      <c r="K51" s="60"/>
      <c r="L51" s="60"/>
      <c r="M51" s="60"/>
      <c r="N51" s="60"/>
      <c r="O51" s="60"/>
      <c r="P51" s="60"/>
      <c r="Q51" s="60"/>
      <c r="R51" s="60"/>
      <c r="S51" s="60"/>
      <c r="T51" s="60"/>
      <c r="U51" s="60"/>
      <c r="V51" s="60"/>
      <c r="W51" s="60"/>
      <c r="X51" s="60"/>
      <c r="Y51" s="60"/>
      <c r="Z51" s="60"/>
      <c r="AA51" s="60"/>
      <c r="AB51" s="60"/>
      <c r="AC51" s="60"/>
      <c r="AD51" s="60"/>
      <c r="AE51" s="60"/>
      <c r="AF51" s="60"/>
      <c r="AG51" s="60"/>
    </row>
    <row r="52" spans="1:33" s="43" customFormat="1" ht="18" customHeight="1">
      <c r="A52" s="105"/>
      <c r="B52" s="710"/>
      <c r="C52" s="256" t="s">
        <v>179</v>
      </c>
      <c r="D52" s="106"/>
      <c r="E52" s="121"/>
      <c r="F52" s="121"/>
      <c r="G52" s="121"/>
      <c r="H52" s="121"/>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row>
    <row r="53" spans="1:33" s="43" customFormat="1" ht="57" customHeight="1">
      <c r="A53" s="105"/>
      <c r="B53" s="606" t="s">
        <v>7</v>
      </c>
      <c r="C53" s="749" t="s">
        <v>0</v>
      </c>
      <c r="D53" s="735" t="s">
        <v>231</v>
      </c>
      <c r="E53" s="736" t="s">
        <v>82</v>
      </c>
      <c r="F53" s="736" t="s">
        <v>83</v>
      </c>
      <c r="G53" s="625" t="s">
        <v>556</v>
      </c>
      <c r="H53" s="625" t="s">
        <v>557</v>
      </c>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row>
    <row r="54" spans="1:33" s="95" customFormat="1" ht="15">
      <c r="A54" s="105"/>
      <c r="B54" s="750">
        <v>1</v>
      </c>
      <c r="C54" s="604" t="s">
        <v>1894</v>
      </c>
      <c r="D54" s="596" t="s">
        <v>33</v>
      </c>
      <c r="E54" s="596">
        <v>10</v>
      </c>
      <c r="F54" s="751">
        <v>160</v>
      </c>
      <c r="G54" s="752">
        <f>E54*F54</f>
        <v>1600</v>
      </c>
      <c r="H54" s="753">
        <f>G54/1186</f>
        <v>1.3490725126475549</v>
      </c>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row>
    <row r="55" spans="1:33" s="95" customFormat="1" ht="25.5">
      <c r="A55" s="105"/>
      <c r="B55" s="750">
        <f>B54+1</f>
        <v>2</v>
      </c>
      <c r="C55" s="604" t="s">
        <v>1895</v>
      </c>
      <c r="D55" s="596" t="s">
        <v>33</v>
      </c>
      <c r="E55" s="596">
        <v>2</v>
      </c>
      <c r="F55" s="751">
        <v>80</v>
      </c>
      <c r="G55" s="752">
        <f t="shared" ref="G55:G90" si="2">E55*F55</f>
        <v>160</v>
      </c>
      <c r="H55" s="753">
        <f t="shared" ref="H55:H90" si="3">G55/1186</f>
        <v>0.13490725126475547</v>
      </c>
      <c r="I55" s="60"/>
      <c r="J55" s="60"/>
      <c r="K55" s="60"/>
      <c r="L55" s="60"/>
      <c r="M55" s="60"/>
      <c r="N55" s="60"/>
      <c r="O55" s="60"/>
      <c r="P55" s="60"/>
      <c r="Q55" s="60"/>
      <c r="R55" s="60"/>
      <c r="S55" s="60"/>
      <c r="T55" s="60"/>
      <c r="U55" s="60"/>
      <c r="V55" s="60"/>
      <c r="W55" s="60"/>
      <c r="X55" s="60"/>
      <c r="Y55" s="60"/>
      <c r="Z55" s="60"/>
      <c r="AA55" s="60"/>
      <c r="AB55" s="60"/>
      <c r="AC55" s="60"/>
      <c r="AD55" s="60"/>
      <c r="AE55" s="60"/>
      <c r="AF55" s="60"/>
      <c r="AG55" s="60"/>
    </row>
    <row r="56" spans="1:33" s="95" customFormat="1" ht="13.15" customHeight="1">
      <c r="A56" s="105"/>
      <c r="B56" s="750">
        <f t="shared" ref="B56:B90" si="4">B55+1</f>
        <v>3</v>
      </c>
      <c r="C56" s="604" t="s">
        <v>1896</v>
      </c>
      <c r="D56" s="596" t="s">
        <v>33</v>
      </c>
      <c r="E56" s="596">
        <v>50</v>
      </c>
      <c r="F56" s="751">
        <v>150</v>
      </c>
      <c r="G56" s="752">
        <f t="shared" si="2"/>
        <v>7500</v>
      </c>
      <c r="H56" s="753">
        <f t="shared" si="3"/>
        <v>6.3237774030354128</v>
      </c>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60"/>
    </row>
    <row r="57" spans="1:33" s="95" customFormat="1" ht="15">
      <c r="A57" s="105"/>
      <c r="B57" s="750">
        <f t="shared" si="4"/>
        <v>4</v>
      </c>
      <c r="C57" s="604" t="s">
        <v>1897</v>
      </c>
      <c r="D57" s="596" t="s">
        <v>1898</v>
      </c>
      <c r="E57" s="596">
        <v>20</v>
      </c>
      <c r="F57" s="751">
        <v>410</v>
      </c>
      <c r="G57" s="752">
        <f t="shared" si="2"/>
        <v>8200</v>
      </c>
      <c r="H57" s="753">
        <f t="shared" si="3"/>
        <v>6.9139966273187188</v>
      </c>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row>
    <row r="58" spans="1:33" s="95" customFormat="1" ht="15">
      <c r="A58" s="105"/>
      <c r="B58" s="750">
        <f t="shared" si="4"/>
        <v>5</v>
      </c>
      <c r="C58" s="604" t="s">
        <v>1899</v>
      </c>
      <c r="D58" s="596" t="s">
        <v>1898</v>
      </c>
      <c r="E58" s="596">
        <v>1</v>
      </c>
      <c r="F58" s="751">
        <v>1470</v>
      </c>
      <c r="G58" s="752">
        <f t="shared" si="2"/>
        <v>1470</v>
      </c>
      <c r="H58" s="753">
        <f t="shared" si="3"/>
        <v>1.239460370994941</v>
      </c>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row>
    <row r="59" spans="1:33" s="95" customFormat="1" ht="15">
      <c r="A59" s="105"/>
      <c r="B59" s="750">
        <f t="shared" si="4"/>
        <v>6</v>
      </c>
      <c r="C59" s="604" t="s">
        <v>1900</v>
      </c>
      <c r="D59" s="596" t="s">
        <v>33</v>
      </c>
      <c r="E59" s="596">
        <v>2</v>
      </c>
      <c r="F59" s="751">
        <v>2700</v>
      </c>
      <c r="G59" s="752">
        <f t="shared" si="2"/>
        <v>5400</v>
      </c>
      <c r="H59" s="753">
        <f t="shared" si="3"/>
        <v>4.5531197301854975</v>
      </c>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row>
    <row r="60" spans="1:33" s="95" customFormat="1" ht="15">
      <c r="A60" s="105"/>
      <c r="B60" s="750">
        <f t="shared" si="4"/>
        <v>7</v>
      </c>
      <c r="C60" s="604" t="s">
        <v>1901</v>
      </c>
      <c r="D60" s="596" t="s">
        <v>33</v>
      </c>
      <c r="E60" s="596">
        <v>2</v>
      </c>
      <c r="F60" s="751">
        <v>4505</v>
      </c>
      <c r="G60" s="752">
        <f t="shared" si="2"/>
        <v>9010</v>
      </c>
      <c r="H60" s="753">
        <f t="shared" si="3"/>
        <v>7.5969645868465427</v>
      </c>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row>
    <row r="61" spans="1:33" s="95" customFormat="1" ht="38.25">
      <c r="A61" s="105"/>
      <c r="B61" s="750">
        <f t="shared" si="4"/>
        <v>8</v>
      </c>
      <c r="C61" s="604" t="s">
        <v>1902</v>
      </c>
      <c r="D61" s="596" t="s">
        <v>1898</v>
      </c>
      <c r="E61" s="596">
        <v>2</v>
      </c>
      <c r="F61" s="751">
        <v>1500</v>
      </c>
      <c r="G61" s="752">
        <f t="shared" si="2"/>
        <v>3000</v>
      </c>
      <c r="H61" s="753">
        <f t="shared" si="3"/>
        <v>2.5295109612141653</v>
      </c>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row>
    <row r="62" spans="1:33" s="95" customFormat="1" ht="38.25">
      <c r="A62" s="105"/>
      <c r="B62" s="750">
        <f t="shared" si="4"/>
        <v>9</v>
      </c>
      <c r="C62" s="604" t="s">
        <v>1903</v>
      </c>
      <c r="D62" s="596" t="s">
        <v>1898</v>
      </c>
      <c r="E62" s="596">
        <v>2</v>
      </c>
      <c r="F62" s="751">
        <v>1500</v>
      </c>
      <c r="G62" s="752">
        <f t="shared" si="2"/>
        <v>3000</v>
      </c>
      <c r="H62" s="753">
        <f t="shared" si="3"/>
        <v>2.5295109612141653</v>
      </c>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row>
    <row r="63" spans="1:33" s="95" customFormat="1" ht="15">
      <c r="A63" s="105"/>
      <c r="B63" s="750">
        <f t="shared" si="4"/>
        <v>10</v>
      </c>
      <c r="C63" s="604" t="s">
        <v>353</v>
      </c>
      <c r="D63" s="596" t="s">
        <v>33</v>
      </c>
      <c r="E63" s="596">
        <v>5</v>
      </c>
      <c r="F63" s="751">
        <v>160</v>
      </c>
      <c r="G63" s="752">
        <f t="shared" si="2"/>
        <v>800</v>
      </c>
      <c r="H63" s="753">
        <f t="shared" si="3"/>
        <v>0.67453625632377745</v>
      </c>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row>
    <row r="64" spans="1:33" s="95" customFormat="1" ht="15">
      <c r="A64" s="105"/>
      <c r="B64" s="750">
        <f t="shared" si="4"/>
        <v>11</v>
      </c>
      <c r="C64" s="604" t="s">
        <v>611</v>
      </c>
      <c r="D64" s="596" t="s">
        <v>33</v>
      </c>
      <c r="E64" s="596">
        <v>5</v>
      </c>
      <c r="F64" s="751">
        <v>265</v>
      </c>
      <c r="G64" s="752">
        <f t="shared" si="2"/>
        <v>1325</v>
      </c>
      <c r="H64" s="753">
        <f t="shared" si="3"/>
        <v>1.1172006745362564</v>
      </c>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row>
    <row r="65" spans="1:33" s="95" customFormat="1" ht="15">
      <c r="A65" s="105"/>
      <c r="B65" s="750">
        <f t="shared" si="4"/>
        <v>12</v>
      </c>
      <c r="C65" s="604" t="s">
        <v>1904</v>
      </c>
      <c r="D65" s="596" t="s">
        <v>33</v>
      </c>
      <c r="E65" s="596">
        <v>1</v>
      </c>
      <c r="F65" s="751">
        <v>0</v>
      </c>
      <c r="G65" s="752">
        <f t="shared" si="2"/>
        <v>0</v>
      </c>
      <c r="H65" s="753">
        <f t="shared" si="3"/>
        <v>0</v>
      </c>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row>
    <row r="66" spans="1:33" s="95" customFormat="1" ht="15">
      <c r="A66" s="105"/>
      <c r="B66" s="750">
        <f t="shared" si="4"/>
        <v>13</v>
      </c>
      <c r="C66" s="604" t="s">
        <v>1905</v>
      </c>
      <c r="D66" s="596" t="s">
        <v>33</v>
      </c>
      <c r="E66" s="596">
        <v>10</v>
      </c>
      <c r="F66" s="751">
        <v>190</v>
      </c>
      <c r="G66" s="752">
        <f t="shared" si="2"/>
        <v>1900</v>
      </c>
      <c r="H66" s="753">
        <f t="shared" si="3"/>
        <v>1.6020236087689714</v>
      </c>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row>
    <row r="67" spans="1:33" s="95" customFormat="1" ht="15">
      <c r="A67" s="105"/>
      <c r="B67" s="750">
        <f t="shared" si="4"/>
        <v>14</v>
      </c>
      <c r="C67" s="604" t="s">
        <v>1906</v>
      </c>
      <c r="D67" s="596" t="s">
        <v>33</v>
      </c>
      <c r="E67" s="596">
        <v>5</v>
      </c>
      <c r="F67" s="751">
        <v>2940</v>
      </c>
      <c r="G67" s="752">
        <f t="shared" si="2"/>
        <v>14700</v>
      </c>
      <c r="H67" s="753">
        <f t="shared" si="3"/>
        <v>12.39460370994941</v>
      </c>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row>
    <row r="68" spans="1:33" s="95" customFormat="1" ht="15">
      <c r="A68" s="105"/>
      <c r="B68" s="750">
        <f t="shared" si="4"/>
        <v>15</v>
      </c>
      <c r="C68" s="604" t="s">
        <v>1907</v>
      </c>
      <c r="D68" s="596" t="s">
        <v>1898</v>
      </c>
      <c r="E68" s="596">
        <v>2</v>
      </c>
      <c r="F68" s="751">
        <v>550</v>
      </c>
      <c r="G68" s="752">
        <f t="shared" si="2"/>
        <v>1100</v>
      </c>
      <c r="H68" s="753">
        <f t="shared" si="3"/>
        <v>0.92748735244519398</v>
      </c>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row>
    <row r="69" spans="1:33" s="95" customFormat="1" ht="15">
      <c r="A69" s="105"/>
      <c r="B69" s="750">
        <f t="shared" si="4"/>
        <v>16</v>
      </c>
      <c r="C69" s="604" t="s">
        <v>1908</v>
      </c>
      <c r="D69" s="596" t="s">
        <v>33</v>
      </c>
      <c r="E69" s="596">
        <v>5</v>
      </c>
      <c r="F69" s="751">
        <v>100</v>
      </c>
      <c r="G69" s="752">
        <f t="shared" si="2"/>
        <v>500</v>
      </c>
      <c r="H69" s="753">
        <f t="shared" si="3"/>
        <v>0.42158516020236086</v>
      </c>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row>
    <row r="70" spans="1:33" s="95" customFormat="1" ht="15">
      <c r="A70" s="105"/>
      <c r="B70" s="750">
        <f t="shared" si="4"/>
        <v>17</v>
      </c>
      <c r="C70" s="604" t="s">
        <v>1909</v>
      </c>
      <c r="D70" s="596" t="s">
        <v>33</v>
      </c>
      <c r="E70" s="596">
        <v>10</v>
      </c>
      <c r="F70" s="751">
        <v>0</v>
      </c>
      <c r="G70" s="752">
        <f t="shared" si="2"/>
        <v>0</v>
      </c>
      <c r="H70" s="753">
        <f t="shared" si="3"/>
        <v>0</v>
      </c>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row>
    <row r="71" spans="1:33" s="95" customFormat="1" ht="15">
      <c r="A71" s="105"/>
      <c r="B71" s="750">
        <f t="shared" si="4"/>
        <v>18</v>
      </c>
      <c r="C71" s="604" t="s">
        <v>1910</v>
      </c>
      <c r="D71" s="596" t="s">
        <v>33</v>
      </c>
      <c r="E71" s="596">
        <v>10</v>
      </c>
      <c r="F71" s="751">
        <v>160</v>
      </c>
      <c r="G71" s="752">
        <f t="shared" si="2"/>
        <v>1600</v>
      </c>
      <c r="H71" s="753">
        <f t="shared" si="3"/>
        <v>1.3490725126475549</v>
      </c>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row>
    <row r="72" spans="1:33" s="95" customFormat="1" ht="15">
      <c r="A72" s="105"/>
      <c r="B72" s="750">
        <f t="shared" si="4"/>
        <v>19</v>
      </c>
      <c r="C72" s="604" t="s">
        <v>1911</v>
      </c>
      <c r="D72" s="596" t="s">
        <v>33</v>
      </c>
      <c r="E72" s="596">
        <v>2</v>
      </c>
      <c r="F72" s="751">
        <v>100</v>
      </c>
      <c r="G72" s="752">
        <f t="shared" si="2"/>
        <v>200</v>
      </c>
      <c r="H72" s="753">
        <f t="shared" si="3"/>
        <v>0.16863406408094436</v>
      </c>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row>
    <row r="73" spans="1:33" s="95" customFormat="1" ht="15">
      <c r="A73" s="105"/>
      <c r="B73" s="750">
        <f t="shared" si="4"/>
        <v>20</v>
      </c>
      <c r="C73" s="604" t="s">
        <v>1912</v>
      </c>
      <c r="D73" s="596" t="s">
        <v>33</v>
      </c>
      <c r="E73" s="596">
        <v>1</v>
      </c>
      <c r="F73" s="751">
        <v>1220</v>
      </c>
      <c r="G73" s="752">
        <f t="shared" si="2"/>
        <v>1220</v>
      </c>
      <c r="H73" s="753">
        <f t="shared" si="3"/>
        <v>1.0286677908937605</v>
      </c>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row>
    <row r="74" spans="1:33" s="95" customFormat="1" ht="15">
      <c r="A74" s="105"/>
      <c r="B74" s="750">
        <f t="shared" si="4"/>
        <v>21</v>
      </c>
      <c r="C74" s="604" t="s">
        <v>1913</v>
      </c>
      <c r="D74" s="596" t="s">
        <v>33</v>
      </c>
      <c r="E74" s="596">
        <v>2</v>
      </c>
      <c r="F74" s="751">
        <v>260</v>
      </c>
      <c r="G74" s="752">
        <f t="shared" si="2"/>
        <v>520</v>
      </c>
      <c r="H74" s="753">
        <f t="shared" si="3"/>
        <v>0.43844856661045534</v>
      </c>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row>
    <row r="75" spans="1:33" s="95" customFormat="1" ht="15">
      <c r="A75" s="105"/>
      <c r="B75" s="750">
        <f t="shared" si="4"/>
        <v>22</v>
      </c>
      <c r="C75" s="604" t="s">
        <v>1914</v>
      </c>
      <c r="D75" s="596" t="s">
        <v>33</v>
      </c>
      <c r="E75" s="596">
        <v>2</v>
      </c>
      <c r="F75" s="751">
        <v>1430</v>
      </c>
      <c r="G75" s="752">
        <f t="shared" si="2"/>
        <v>2860</v>
      </c>
      <c r="H75" s="753">
        <f t="shared" si="3"/>
        <v>2.4114671163575041</v>
      </c>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row>
    <row r="76" spans="1:33" s="95" customFormat="1" ht="15">
      <c r="A76" s="105"/>
      <c r="B76" s="750">
        <f t="shared" si="4"/>
        <v>23</v>
      </c>
      <c r="C76" s="604" t="s">
        <v>1915</v>
      </c>
      <c r="D76" s="596" t="s">
        <v>33</v>
      </c>
      <c r="E76" s="596">
        <v>1</v>
      </c>
      <c r="F76" s="751">
        <v>1180</v>
      </c>
      <c r="G76" s="752">
        <f t="shared" si="2"/>
        <v>1180</v>
      </c>
      <c r="H76" s="753">
        <f t="shared" si="3"/>
        <v>0.99494097807757165</v>
      </c>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row>
    <row r="77" spans="1:33" s="95" customFormat="1" ht="15">
      <c r="A77" s="105"/>
      <c r="B77" s="750">
        <f t="shared" si="4"/>
        <v>24</v>
      </c>
      <c r="C77" s="604" t="s">
        <v>1916</v>
      </c>
      <c r="D77" s="596" t="s">
        <v>33</v>
      </c>
      <c r="E77" s="596">
        <v>2</v>
      </c>
      <c r="F77" s="751">
        <v>630</v>
      </c>
      <c r="G77" s="752">
        <f t="shared" si="2"/>
        <v>1260</v>
      </c>
      <c r="H77" s="753">
        <f t="shared" si="3"/>
        <v>1.0623946037099494</v>
      </c>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row>
    <row r="78" spans="1:33" s="95" customFormat="1" ht="15">
      <c r="A78" s="105"/>
      <c r="B78" s="750">
        <f t="shared" si="4"/>
        <v>25</v>
      </c>
      <c r="C78" s="604" t="s">
        <v>1917</v>
      </c>
      <c r="D78" s="596" t="s">
        <v>33</v>
      </c>
      <c r="E78" s="596">
        <v>2</v>
      </c>
      <c r="F78" s="751">
        <v>4190</v>
      </c>
      <c r="G78" s="752">
        <f t="shared" si="2"/>
        <v>8380</v>
      </c>
      <c r="H78" s="753">
        <f t="shared" si="3"/>
        <v>7.0657672849915683</v>
      </c>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row>
    <row r="79" spans="1:33" s="95" customFormat="1" ht="15">
      <c r="A79" s="105"/>
      <c r="B79" s="750">
        <f t="shared" si="4"/>
        <v>26</v>
      </c>
      <c r="C79" s="604" t="s">
        <v>1918</v>
      </c>
      <c r="D79" s="596" t="s">
        <v>33</v>
      </c>
      <c r="E79" s="596">
        <v>5</v>
      </c>
      <c r="F79" s="751">
        <v>1000</v>
      </c>
      <c r="G79" s="752">
        <f t="shared" si="2"/>
        <v>5000</v>
      </c>
      <c r="H79" s="753">
        <f t="shared" si="3"/>
        <v>4.2158516020236085</v>
      </c>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row>
    <row r="80" spans="1:33" s="95" customFormat="1" ht="15">
      <c r="A80" s="105"/>
      <c r="B80" s="750">
        <f t="shared" si="4"/>
        <v>27</v>
      </c>
      <c r="C80" s="604" t="s">
        <v>1919</v>
      </c>
      <c r="D80" s="596" t="s">
        <v>33</v>
      </c>
      <c r="E80" s="596">
        <v>30</v>
      </c>
      <c r="F80" s="751">
        <v>140</v>
      </c>
      <c r="G80" s="752">
        <f t="shared" si="2"/>
        <v>4200</v>
      </c>
      <c r="H80" s="753">
        <f t="shared" si="3"/>
        <v>3.5413153456998314</v>
      </c>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row>
    <row r="81" spans="1:33" s="95" customFormat="1" ht="15">
      <c r="A81" s="105"/>
      <c r="B81" s="750">
        <f t="shared" si="4"/>
        <v>28</v>
      </c>
      <c r="C81" s="604" t="s">
        <v>1920</v>
      </c>
      <c r="D81" s="596" t="s">
        <v>33</v>
      </c>
      <c r="E81" s="596">
        <v>10</v>
      </c>
      <c r="F81" s="751">
        <v>120</v>
      </c>
      <c r="G81" s="752">
        <f t="shared" si="2"/>
        <v>1200</v>
      </c>
      <c r="H81" s="753">
        <f t="shared" si="3"/>
        <v>1.0118043844856661</v>
      </c>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row>
    <row r="82" spans="1:33" s="95" customFormat="1" ht="15" hidden="1">
      <c r="A82" s="105"/>
      <c r="B82" s="750">
        <f t="shared" si="4"/>
        <v>29</v>
      </c>
      <c r="C82" s="604" t="s">
        <v>1921</v>
      </c>
      <c r="D82" s="596" t="s">
        <v>33</v>
      </c>
      <c r="E82" s="596">
        <v>50</v>
      </c>
      <c r="F82" s="751">
        <v>0</v>
      </c>
      <c r="G82" s="752">
        <f t="shared" si="2"/>
        <v>0</v>
      </c>
      <c r="H82" s="753">
        <f t="shared" si="3"/>
        <v>0</v>
      </c>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row>
    <row r="83" spans="1:33" s="95" customFormat="1" ht="15" hidden="1">
      <c r="A83" s="105"/>
      <c r="B83" s="750">
        <f t="shared" si="4"/>
        <v>30</v>
      </c>
      <c r="C83" s="604" t="s">
        <v>1922</v>
      </c>
      <c r="D83" s="596" t="s">
        <v>33</v>
      </c>
      <c r="E83" s="596">
        <v>1</v>
      </c>
      <c r="F83" s="751">
        <v>0</v>
      </c>
      <c r="G83" s="752">
        <f t="shared" si="2"/>
        <v>0</v>
      </c>
      <c r="H83" s="753">
        <f t="shared" si="3"/>
        <v>0</v>
      </c>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row>
    <row r="84" spans="1:33" s="95" customFormat="1" ht="15" hidden="1">
      <c r="A84" s="105"/>
      <c r="B84" s="750">
        <f t="shared" si="4"/>
        <v>31</v>
      </c>
      <c r="C84" s="604" t="s">
        <v>1923</v>
      </c>
      <c r="D84" s="596" t="s">
        <v>33</v>
      </c>
      <c r="E84" s="596">
        <v>2</v>
      </c>
      <c r="F84" s="751">
        <v>0</v>
      </c>
      <c r="G84" s="752">
        <f t="shared" si="2"/>
        <v>0</v>
      </c>
      <c r="H84" s="753">
        <f t="shared" si="3"/>
        <v>0</v>
      </c>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row>
    <row r="85" spans="1:33" s="95" customFormat="1" ht="15">
      <c r="A85" s="105"/>
      <c r="B85" s="750">
        <f t="shared" si="4"/>
        <v>32</v>
      </c>
      <c r="C85" s="604" t="s">
        <v>1924</v>
      </c>
      <c r="D85" s="596" t="s">
        <v>33</v>
      </c>
      <c r="E85" s="596">
        <v>3</v>
      </c>
      <c r="F85" s="751">
        <v>190</v>
      </c>
      <c r="G85" s="752">
        <f t="shared" si="2"/>
        <v>570</v>
      </c>
      <c r="H85" s="753">
        <f t="shared" si="3"/>
        <v>0.48060708263069141</v>
      </c>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row>
    <row r="86" spans="1:33" s="95" customFormat="1" ht="15" hidden="1">
      <c r="A86" s="105"/>
      <c r="B86" s="750">
        <f t="shared" si="4"/>
        <v>33</v>
      </c>
      <c r="C86" s="604" t="s">
        <v>1925</v>
      </c>
      <c r="D86" s="596" t="s">
        <v>33</v>
      </c>
      <c r="E86" s="596">
        <v>2</v>
      </c>
      <c r="F86" s="751">
        <v>0</v>
      </c>
      <c r="G86" s="752">
        <f t="shared" si="2"/>
        <v>0</v>
      </c>
      <c r="H86" s="753">
        <f t="shared" si="3"/>
        <v>0</v>
      </c>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row>
    <row r="87" spans="1:33" s="95" customFormat="1" ht="15">
      <c r="A87" s="105"/>
      <c r="B87" s="750">
        <f t="shared" si="4"/>
        <v>34</v>
      </c>
      <c r="C87" s="604" t="s">
        <v>1926</v>
      </c>
      <c r="D87" s="596" t="s">
        <v>33</v>
      </c>
      <c r="E87" s="596">
        <v>5</v>
      </c>
      <c r="F87" s="751">
        <v>900</v>
      </c>
      <c r="G87" s="752">
        <f t="shared" si="2"/>
        <v>4500</v>
      </c>
      <c r="H87" s="753">
        <f t="shared" si="3"/>
        <v>3.7942664418212479</v>
      </c>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row>
    <row r="88" spans="1:33" s="95" customFormat="1" ht="15">
      <c r="A88" s="105"/>
      <c r="B88" s="750">
        <f t="shared" si="4"/>
        <v>35</v>
      </c>
      <c r="C88" s="604" t="s">
        <v>1927</v>
      </c>
      <c r="D88" s="596" t="s">
        <v>33</v>
      </c>
      <c r="E88" s="596">
        <v>3</v>
      </c>
      <c r="F88" s="751">
        <v>960</v>
      </c>
      <c r="G88" s="752">
        <f t="shared" si="2"/>
        <v>2880</v>
      </c>
      <c r="H88" s="753">
        <f t="shared" si="3"/>
        <v>2.4283305227655987</v>
      </c>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row>
    <row r="89" spans="1:33" s="95" customFormat="1" ht="15" hidden="1">
      <c r="A89" s="105"/>
      <c r="B89" s="750">
        <f t="shared" si="4"/>
        <v>36</v>
      </c>
      <c r="C89" s="604" t="s">
        <v>1928</v>
      </c>
      <c r="D89" s="596" t="s">
        <v>33</v>
      </c>
      <c r="E89" s="754">
        <v>5</v>
      </c>
      <c r="F89" s="751">
        <v>0</v>
      </c>
      <c r="G89" s="752">
        <f t="shared" si="2"/>
        <v>0</v>
      </c>
      <c r="H89" s="753">
        <f t="shared" si="3"/>
        <v>0</v>
      </c>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row>
    <row r="90" spans="1:33" s="95" customFormat="1" ht="15">
      <c r="A90" s="105"/>
      <c r="B90" s="750">
        <f t="shared" si="4"/>
        <v>37</v>
      </c>
      <c r="C90" s="755" t="s">
        <v>767</v>
      </c>
      <c r="D90" s="596" t="s">
        <v>33</v>
      </c>
      <c r="E90" s="756">
        <v>5</v>
      </c>
      <c r="F90" s="757">
        <v>140</v>
      </c>
      <c r="G90" s="752">
        <f t="shared" si="2"/>
        <v>700</v>
      </c>
      <c r="H90" s="753">
        <f t="shared" si="3"/>
        <v>0.5902192242833052</v>
      </c>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row>
    <row r="91" spans="1:33" s="95" customFormat="1" ht="15">
      <c r="A91" s="105"/>
      <c r="B91" s="745"/>
      <c r="C91" s="272" t="s">
        <v>2</v>
      </c>
      <c r="D91" s="246"/>
      <c r="E91" s="273"/>
      <c r="F91" s="244"/>
      <c r="G91" s="758">
        <f>SUM(G54:G90)</f>
        <v>95935</v>
      </c>
      <c r="H91" s="759">
        <f>SUM(H54:H90)</f>
        <v>80.889544688026987</v>
      </c>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row>
    <row r="92" spans="1:33" s="95" customFormat="1" ht="15">
      <c r="A92" s="105"/>
      <c r="B92" s="1037"/>
      <c r="C92" s="1038"/>
      <c r="D92" s="1039"/>
      <c r="E92" s="1040"/>
      <c r="F92" s="1041"/>
      <c r="G92" s="1041"/>
      <c r="H92" s="1043"/>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row>
    <row r="93" spans="1:33" s="95" customFormat="1" ht="15">
      <c r="A93" s="105"/>
      <c r="B93" s="169"/>
      <c r="C93" s="1408" t="s">
        <v>2425</v>
      </c>
      <c r="D93" s="1408"/>
      <c r="E93" s="1408"/>
      <c r="F93" s="1408"/>
      <c r="G93" s="193"/>
      <c r="H93" s="631">
        <f>SUM(G95:H96)</f>
        <v>702000</v>
      </c>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row>
    <row r="94" spans="1:33" s="95" customFormat="1" ht="38.25">
      <c r="A94" s="105"/>
      <c r="B94" s="1030" t="s">
        <v>79</v>
      </c>
      <c r="C94" s="734" t="s">
        <v>36</v>
      </c>
      <c r="D94" s="735" t="s">
        <v>89</v>
      </c>
      <c r="E94" s="736" t="s">
        <v>32</v>
      </c>
      <c r="F94" s="736" t="s">
        <v>86</v>
      </c>
      <c r="G94" s="1444" t="s">
        <v>860</v>
      </c>
      <c r="H94" s="1444"/>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row>
    <row r="95" spans="1:33" s="95" customFormat="1" ht="15">
      <c r="A95" s="105"/>
      <c r="B95" s="616">
        <v>1</v>
      </c>
      <c r="C95" s="604" t="s">
        <v>362</v>
      </c>
      <c r="D95" s="596" t="s">
        <v>361</v>
      </c>
      <c r="E95" s="596">
        <v>600</v>
      </c>
      <c r="F95" s="596">
        <v>580</v>
      </c>
      <c r="G95" s="1404">
        <f>E95*F95</f>
        <v>348000</v>
      </c>
      <c r="H95" s="1405"/>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row>
    <row r="96" spans="1:33" s="95" customFormat="1" ht="15">
      <c r="A96" s="105"/>
      <c r="B96" s="616">
        <v>2</v>
      </c>
      <c r="C96" s="604" t="s">
        <v>363</v>
      </c>
      <c r="D96" s="596" t="s">
        <v>361</v>
      </c>
      <c r="E96" s="596">
        <v>1200</v>
      </c>
      <c r="F96" s="737">
        <v>295</v>
      </c>
      <c r="G96" s="1404">
        <f>E96*F96</f>
        <v>354000</v>
      </c>
      <c r="H96" s="1405"/>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row>
    <row r="97" spans="1:33" s="43" customFormat="1" ht="15">
      <c r="A97" s="105"/>
      <c r="B97" s="108"/>
      <c r="C97" s="256"/>
      <c r="D97" s="207"/>
      <c r="E97" s="174"/>
      <c r="F97" s="174"/>
      <c r="G97" s="174"/>
      <c r="H97" s="174"/>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row>
    <row r="98" spans="1:33" s="43" customFormat="1" ht="15">
      <c r="A98" s="105"/>
      <c r="B98" s="169"/>
      <c r="C98" s="1408" t="s">
        <v>234</v>
      </c>
      <c r="D98" s="1408"/>
      <c r="E98" s="1408"/>
      <c r="F98" s="1408"/>
      <c r="G98" s="193"/>
      <c r="H98" s="636">
        <f>G100+G101+G103+G102</f>
        <v>14373593.220000001</v>
      </c>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row>
    <row r="99" spans="1:33" s="43" customFormat="1" ht="38.25">
      <c r="A99" s="105"/>
      <c r="B99" s="625" t="s">
        <v>79</v>
      </c>
      <c r="C99" s="626" t="s">
        <v>36</v>
      </c>
      <c r="D99" s="720" t="s">
        <v>89</v>
      </c>
      <c r="E99" s="625" t="s">
        <v>32</v>
      </c>
      <c r="F99" s="625" t="s">
        <v>86</v>
      </c>
      <c r="G99" s="1444" t="s">
        <v>860</v>
      </c>
      <c r="H99" s="1444"/>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row>
    <row r="100" spans="1:33" s="96" customFormat="1" ht="15">
      <c r="A100" s="105"/>
      <c r="B100" s="619">
        <v>1</v>
      </c>
      <c r="C100" s="613" t="s">
        <v>212</v>
      </c>
      <c r="D100" s="760" t="s">
        <v>33</v>
      </c>
      <c r="E100" s="620">
        <v>254</v>
      </c>
      <c r="F100" s="620">
        <f>G100/E100</f>
        <v>34289.078740157478</v>
      </c>
      <c r="G100" s="1445">
        <f>H110+H311+H343</f>
        <v>8709426</v>
      </c>
      <c r="H100" s="1445"/>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row>
    <row r="101" spans="1:33" s="98" customFormat="1" ht="15">
      <c r="A101" s="105"/>
      <c r="B101" s="619">
        <v>2</v>
      </c>
      <c r="C101" s="613" t="s">
        <v>88</v>
      </c>
      <c r="D101" s="760" t="s">
        <v>33</v>
      </c>
      <c r="E101" s="620">
        <v>74</v>
      </c>
      <c r="F101" s="620">
        <f t="shared" ref="F101:F103" si="5">G101/E101</f>
        <v>31562.425675675677</v>
      </c>
      <c r="G101" s="1445">
        <f>H453</f>
        <v>2335619.5</v>
      </c>
      <c r="H101" s="1445"/>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row>
    <row r="102" spans="1:33" s="98" customFormat="1" ht="25.5">
      <c r="A102" s="105"/>
      <c r="B102" s="619">
        <v>3</v>
      </c>
      <c r="C102" s="613" t="s">
        <v>1818</v>
      </c>
      <c r="D102" s="760" t="s">
        <v>33</v>
      </c>
      <c r="E102" s="620">
        <v>4</v>
      </c>
      <c r="F102" s="620">
        <f t="shared" si="5"/>
        <v>725000</v>
      </c>
      <c r="G102" s="1446">
        <f>H370</f>
        <v>2900000</v>
      </c>
      <c r="H102" s="1447"/>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row>
    <row r="103" spans="1:33" s="99" customFormat="1" ht="25.5">
      <c r="A103" s="105"/>
      <c r="B103" s="619">
        <v>4</v>
      </c>
      <c r="C103" s="604" t="s">
        <v>128</v>
      </c>
      <c r="D103" s="606" t="s">
        <v>33</v>
      </c>
      <c r="E103" s="643">
        <v>25</v>
      </c>
      <c r="F103" s="643">
        <f t="shared" si="5"/>
        <v>17141.908800000005</v>
      </c>
      <c r="G103" s="1448">
        <f>H485</f>
        <v>428547.72000000009</v>
      </c>
      <c r="H103" s="1448"/>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row>
    <row r="104" spans="1:33" s="43" customFormat="1" ht="15">
      <c r="A104" s="105"/>
      <c r="B104" s="1384" t="s">
        <v>1929</v>
      </c>
      <c r="C104" s="1384"/>
      <c r="D104" s="1384"/>
      <c r="E104" s="1384"/>
      <c r="F104" s="1384"/>
      <c r="G104" s="1384"/>
      <c r="H104" s="1384"/>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row>
    <row r="105" spans="1:33" s="43" customFormat="1" ht="15">
      <c r="A105" s="105"/>
      <c r="B105" s="1384" t="s">
        <v>143</v>
      </c>
      <c r="C105" s="1384"/>
      <c r="D105" s="1384"/>
      <c r="E105" s="1384"/>
      <c r="F105" s="1384"/>
      <c r="G105" s="1384"/>
      <c r="H105" s="1384"/>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row>
    <row r="106" spans="1:33" s="43" customFormat="1" ht="15">
      <c r="A106" s="105"/>
      <c r="B106" s="1384" t="s">
        <v>144</v>
      </c>
      <c r="C106" s="1384"/>
      <c r="D106" s="1384"/>
      <c r="E106" s="1384"/>
      <c r="F106" s="1384"/>
      <c r="G106" s="1384"/>
      <c r="H106" s="1384"/>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row>
    <row r="107" spans="1:33" s="43" customFormat="1" ht="15">
      <c r="A107" s="105"/>
      <c r="B107" s="1384"/>
      <c r="C107" s="1384"/>
      <c r="D107" s="1384"/>
      <c r="E107" s="1384"/>
      <c r="F107" s="1384"/>
      <c r="G107" s="1384"/>
      <c r="H107" s="1384"/>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row>
    <row r="108" spans="1:33" s="43" customFormat="1" ht="25.5">
      <c r="A108" s="105"/>
      <c r="B108" s="625" t="s">
        <v>7</v>
      </c>
      <c r="C108" s="625" t="s">
        <v>0</v>
      </c>
      <c r="D108" s="625" t="s">
        <v>90</v>
      </c>
      <c r="E108" s="625" t="s">
        <v>30</v>
      </c>
      <c r="F108" s="625" t="s">
        <v>91</v>
      </c>
      <c r="G108" s="625" t="s">
        <v>92</v>
      </c>
      <c r="H108" s="625" t="s">
        <v>93</v>
      </c>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row>
    <row r="109" spans="1:33" s="43" customFormat="1" ht="15">
      <c r="A109" s="105"/>
      <c r="B109" s="625">
        <v>1</v>
      </c>
      <c r="C109" s="625">
        <v>2</v>
      </c>
      <c r="D109" s="625">
        <v>3</v>
      </c>
      <c r="E109" s="625">
        <v>4</v>
      </c>
      <c r="F109" s="625">
        <v>5</v>
      </c>
      <c r="G109" s="625">
        <v>6</v>
      </c>
      <c r="H109" s="625">
        <v>7</v>
      </c>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row>
    <row r="110" spans="1:33" s="60" customFormat="1" ht="15">
      <c r="A110" s="105"/>
      <c r="B110" s="625"/>
      <c r="C110" s="712" t="s">
        <v>212</v>
      </c>
      <c r="D110" s="736"/>
      <c r="E110" s="736"/>
      <c r="F110" s="736"/>
      <c r="G110" s="625"/>
      <c r="H110" s="761">
        <f>SUM(H111:H310)</f>
        <v>3948356</v>
      </c>
    </row>
    <row r="111" spans="1:33" s="96" customFormat="1" ht="15">
      <c r="A111" s="105"/>
      <c r="B111" s="616">
        <v>1</v>
      </c>
      <c r="C111" s="613" t="s">
        <v>613</v>
      </c>
      <c r="D111" s="606" t="s">
        <v>613</v>
      </c>
      <c r="E111" s="606" t="s">
        <v>1930</v>
      </c>
      <c r="F111" s="751">
        <v>10</v>
      </c>
      <c r="G111" s="751">
        <v>1550</v>
      </c>
      <c r="H111" s="762">
        <f t="shared" ref="H111:H174" si="6">F111*G111</f>
        <v>15500</v>
      </c>
      <c r="I111" s="307"/>
      <c r="J111" s="308"/>
      <c r="K111" s="60"/>
      <c r="L111" s="60"/>
      <c r="M111" s="60"/>
      <c r="N111" s="60"/>
      <c r="O111" s="60"/>
      <c r="P111" s="60"/>
      <c r="Q111" s="60"/>
      <c r="R111" s="60"/>
      <c r="S111" s="60"/>
      <c r="T111" s="60"/>
      <c r="U111" s="60"/>
      <c r="V111" s="60"/>
      <c r="W111" s="60"/>
      <c r="X111" s="60"/>
      <c r="Y111" s="60"/>
      <c r="Z111" s="60"/>
      <c r="AA111" s="60"/>
      <c r="AB111" s="60"/>
      <c r="AC111" s="60"/>
      <c r="AD111" s="60"/>
      <c r="AE111" s="60"/>
      <c r="AF111" s="60"/>
    </row>
    <row r="112" spans="1:33" s="96" customFormat="1" ht="25.5">
      <c r="A112" s="105"/>
      <c r="B112" s="616">
        <f>B111+1</f>
        <v>2</v>
      </c>
      <c r="C112" s="604" t="s">
        <v>614</v>
      </c>
      <c r="D112" s="596" t="s">
        <v>614</v>
      </c>
      <c r="E112" s="596" t="s">
        <v>1930</v>
      </c>
      <c r="F112" s="643">
        <v>5</v>
      </c>
      <c r="G112" s="751">
        <v>2900</v>
      </c>
      <c r="H112" s="762">
        <f t="shared" si="6"/>
        <v>14500</v>
      </c>
      <c r="I112" s="309"/>
      <c r="J112" s="308"/>
      <c r="K112" s="60"/>
      <c r="L112" s="60"/>
      <c r="M112" s="60"/>
      <c r="N112" s="60"/>
      <c r="O112" s="60"/>
      <c r="P112" s="60"/>
      <c r="Q112" s="60"/>
      <c r="R112" s="60"/>
      <c r="S112" s="60"/>
      <c r="T112" s="60"/>
      <c r="U112" s="60"/>
      <c r="V112" s="60"/>
      <c r="W112" s="60"/>
      <c r="X112" s="60"/>
      <c r="Y112" s="60"/>
      <c r="Z112" s="60"/>
      <c r="AA112" s="60"/>
      <c r="AB112" s="60"/>
      <c r="AC112" s="60"/>
      <c r="AD112" s="60"/>
      <c r="AE112" s="60"/>
      <c r="AF112" s="60"/>
    </row>
    <row r="113" spans="1:32" s="96" customFormat="1" ht="51">
      <c r="A113" s="105"/>
      <c r="B113" s="616">
        <f t="shared" ref="B113:B176" si="7">B112+1</f>
        <v>3</v>
      </c>
      <c r="C113" s="604" t="s">
        <v>615</v>
      </c>
      <c r="D113" s="596" t="s">
        <v>1931</v>
      </c>
      <c r="E113" s="596" t="s">
        <v>1932</v>
      </c>
      <c r="F113" s="643">
        <v>5</v>
      </c>
      <c r="G113" s="751">
        <v>3000</v>
      </c>
      <c r="H113" s="762">
        <f t="shared" si="6"/>
        <v>15000</v>
      </c>
      <c r="I113" s="309"/>
      <c r="J113" s="308"/>
      <c r="K113" s="60"/>
      <c r="L113" s="60"/>
      <c r="M113" s="60"/>
      <c r="N113" s="60"/>
      <c r="O113" s="60"/>
      <c r="P113" s="60"/>
      <c r="Q113" s="60"/>
      <c r="R113" s="60"/>
      <c r="S113" s="60"/>
      <c r="T113" s="60"/>
      <c r="U113" s="60"/>
      <c r="V113" s="60"/>
      <c r="W113" s="60"/>
      <c r="X113" s="60"/>
      <c r="Y113" s="60"/>
      <c r="Z113" s="60"/>
      <c r="AA113" s="60"/>
      <c r="AB113" s="60"/>
      <c r="AC113" s="60"/>
      <c r="AD113" s="60"/>
      <c r="AE113" s="60"/>
      <c r="AF113" s="60"/>
    </row>
    <row r="114" spans="1:32" s="96" customFormat="1" ht="25.5">
      <c r="A114" s="105"/>
      <c r="B114" s="616">
        <f t="shared" si="7"/>
        <v>4</v>
      </c>
      <c r="C114" s="604" t="s">
        <v>616</v>
      </c>
      <c r="D114" s="596" t="s">
        <v>1933</v>
      </c>
      <c r="E114" s="596" t="s">
        <v>1930</v>
      </c>
      <c r="F114" s="643">
        <v>10</v>
      </c>
      <c r="G114" s="751">
        <v>2600</v>
      </c>
      <c r="H114" s="762">
        <f t="shared" si="6"/>
        <v>26000</v>
      </c>
      <c r="I114" s="309"/>
      <c r="J114" s="308"/>
      <c r="K114" s="60"/>
      <c r="L114" s="60"/>
      <c r="M114" s="60"/>
      <c r="N114" s="60"/>
      <c r="O114" s="60"/>
      <c r="P114" s="60"/>
      <c r="Q114" s="60"/>
      <c r="R114" s="60"/>
      <c r="S114" s="60"/>
      <c r="T114" s="60"/>
      <c r="U114" s="60"/>
      <c r="V114" s="60"/>
      <c r="W114" s="60"/>
      <c r="X114" s="60"/>
      <c r="Y114" s="60"/>
      <c r="Z114" s="60"/>
      <c r="AA114" s="60"/>
      <c r="AB114" s="60"/>
      <c r="AC114" s="60"/>
      <c r="AD114" s="60"/>
      <c r="AE114" s="60"/>
      <c r="AF114" s="60"/>
    </row>
    <row r="115" spans="1:32" s="96" customFormat="1" ht="25.5">
      <c r="A115" s="105"/>
      <c r="B115" s="616">
        <f t="shared" si="7"/>
        <v>5</v>
      </c>
      <c r="C115" s="604" t="s">
        <v>617</v>
      </c>
      <c r="D115" s="596" t="s">
        <v>1934</v>
      </c>
      <c r="E115" s="596" t="s">
        <v>1930</v>
      </c>
      <c r="F115" s="643">
        <v>5</v>
      </c>
      <c r="G115" s="751">
        <v>3550</v>
      </c>
      <c r="H115" s="762">
        <f t="shared" si="6"/>
        <v>17750</v>
      </c>
      <c r="I115" s="309"/>
      <c r="J115" s="308"/>
      <c r="K115" s="60"/>
      <c r="L115" s="60"/>
      <c r="M115" s="60"/>
      <c r="N115" s="60"/>
      <c r="O115" s="60"/>
      <c r="P115" s="60"/>
      <c r="Q115" s="60"/>
      <c r="R115" s="60"/>
      <c r="S115" s="60"/>
      <c r="T115" s="60"/>
      <c r="U115" s="60"/>
      <c r="V115" s="60"/>
      <c r="W115" s="60"/>
      <c r="X115" s="60"/>
      <c r="Y115" s="60"/>
      <c r="Z115" s="60"/>
      <c r="AA115" s="60"/>
      <c r="AB115" s="60"/>
      <c r="AC115" s="60"/>
      <c r="AD115" s="60"/>
      <c r="AE115" s="60"/>
      <c r="AF115" s="60"/>
    </row>
    <row r="116" spans="1:32" s="96" customFormat="1" ht="15">
      <c r="A116" s="105"/>
      <c r="B116" s="616">
        <f t="shared" si="7"/>
        <v>6</v>
      </c>
      <c r="C116" s="604" t="s">
        <v>618</v>
      </c>
      <c r="D116" s="596" t="s">
        <v>618</v>
      </c>
      <c r="E116" s="596" t="s">
        <v>1930</v>
      </c>
      <c r="F116" s="763">
        <v>20</v>
      </c>
      <c r="G116" s="764">
        <v>330</v>
      </c>
      <c r="H116" s="762">
        <f t="shared" si="6"/>
        <v>6600</v>
      </c>
      <c r="I116" s="310"/>
      <c r="J116" s="308"/>
      <c r="K116" s="60"/>
      <c r="L116" s="60"/>
      <c r="M116" s="60"/>
      <c r="N116" s="60"/>
      <c r="O116" s="60"/>
      <c r="P116" s="60"/>
      <c r="Q116" s="60"/>
      <c r="R116" s="60"/>
      <c r="S116" s="60"/>
      <c r="T116" s="60"/>
      <c r="U116" s="60"/>
      <c r="V116" s="60"/>
      <c r="W116" s="60"/>
      <c r="X116" s="60"/>
      <c r="Y116" s="60"/>
      <c r="Z116" s="60"/>
      <c r="AA116" s="60"/>
      <c r="AB116" s="60"/>
      <c r="AC116" s="60"/>
      <c r="AD116" s="60"/>
      <c r="AE116" s="60"/>
      <c r="AF116" s="60"/>
    </row>
    <row r="117" spans="1:32" s="96" customFormat="1" ht="15">
      <c r="A117" s="105"/>
      <c r="B117" s="616">
        <f t="shared" si="7"/>
        <v>7</v>
      </c>
      <c r="C117" s="604" t="s">
        <v>619</v>
      </c>
      <c r="D117" s="596" t="s">
        <v>619</v>
      </c>
      <c r="E117" s="596" t="s">
        <v>1930</v>
      </c>
      <c r="F117" s="763">
        <v>5</v>
      </c>
      <c r="G117" s="764">
        <v>550</v>
      </c>
      <c r="H117" s="762">
        <f t="shared" si="6"/>
        <v>2750</v>
      </c>
      <c r="I117" s="310"/>
      <c r="J117" s="308"/>
      <c r="K117" s="60"/>
      <c r="L117" s="60"/>
      <c r="M117" s="60"/>
      <c r="N117" s="60"/>
      <c r="O117" s="60"/>
      <c r="P117" s="60"/>
      <c r="Q117" s="60"/>
      <c r="R117" s="60"/>
      <c r="S117" s="60"/>
      <c r="T117" s="60"/>
      <c r="U117" s="60"/>
      <c r="V117" s="60"/>
      <c r="W117" s="60"/>
      <c r="X117" s="60"/>
      <c r="Y117" s="60"/>
      <c r="Z117" s="60"/>
      <c r="AA117" s="60"/>
      <c r="AB117" s="60"/>
      <c r="AC117" s="60"/>
      <c r="AD117" s="60"/>
      <c r="AE117" s="60"/>
      <c r="AF117" s="60"/>
    </row>
    <row r="118" spans="1:32" s="96" customFormat="1" ht="27" customHeight="1">
      <c r="A118" s="105"/>
      <c r="B118" s="616">
        <f t="shared" si="7"/>
        <v>8</v>
      </c>
      <c r="C118" s="604" t="s">
        <v>1935</v>
      </c>
      <c r="D118" s="596" t="s">
        <v>1935</v>
      </c>
      <c r="E118" s="596" t="s">
        <v>1930</v>
      </c>
      <c r="F118" s="763">
        <v>1</v>
      </c>
      <c r="G118" s="643">
        <v>5100.0000000000009</v>
      </c>
      <c r="H118" s="762">
        <f t="shared" si="6"/>
        <v>5100.0000000000009</v>
      </c>
      <c r="I118" s="310"/>
      <c r="J118" s="308"/>
      <c r="K118" s="60"/>
      <c r="L118" s="60"/>
      <c r="M118" s="60"/>
      <c r="N118" s="60"/>
      <c r="O118" s="60"/>
      <c r="P118" s="60"/>
      <c r="Q118" s="60"/>
      <c r="R118" s="60"/>
      <c r="S118" s="60"/>
      <c r="T118" s="60"/>
      <c r="U118" s="60"/>
      <c r="V118" s="60"/>
      <c r="W118" s="60"/>
      <c r="X118" s="60"/>
      <c r="Y118" s="60"/>
      <c r="Z118" s="60"/>
      <c r="AA118" s="60"/>
      <c r="AB118" s="60"/>
      <c r="AC118" s="60"/>
      <c r="AD118" s="60"/>
      <c r="AE118" s="60"/>
      <c r="AF118" s="60"/>
    </row>
    <row r="119" spans="1:32" s="96" customFormat="1" ht="38.25">
      <c r="A119" s="105"/>
      <c r="B119" s="616">
        <f t="shared" si="7"/>
        <v>9</v>
      </c>
      <c r="C119" s="604" t="s">
        <v>620</v>
      </c>
      <c r="D119" s="596" t="s">
        <v>620</v>
      </c>
      <c r="E119" s="596" t="s">
        <v>1898</v>
      </c>
      <c r="F119" s="763">
        <v>2</v>
      </c>
      <c r="G119" s="643">
        <v>2100</v>
      </c>
      <c r="H119" s="762">
        <f t="shared" si="6"/>
        <v>4200</v>
      </c>
      <c r="I119" s="310"/>
      <c r="J119" s="308"/>
      <c r="K119" s="60"/>
      <c r="L119" s="60"/>
      <c r="M119" s="60"/>
      <c r="N119" s="60"/>
      <c r="O119" s="60"/>
      <c r="P119" s="60"/>
      <c r="Q119" s="60"/>
      <c r="R119" s="60"/>
      <c r="S119" s="60"/>
      <c r="T119" s="60"/>
      <c r="U119" s="60"/>
      <c r="V119" s="60"/>
      <c r="W119" s="60"/>
      <c r="X119" s="60"/>
      <c r="Y119" s="60"/>
      <c r="Z119" s="60"/>
      <c r="AA119" s="60"/>
      <c r="AB119" s="60"/>
      <c r="AC119" s="60"/>
      <c r="AD119" s="60"/>
      <c r="AE119" s="60"/>
      <c r="AF119" s="60"/>
    </row>
    <row r="120" spans="1:32" s="96" customFormat="1" ht="25.5">
      <c r="A120" s="105"/>
      <c r="B120" s="616">
        <f t="shared" si="7"/>
        <v>10</v>
      </c>
      <c r="C120" s="604" t="s">
        <v>621</v>
      </c>
      <c r="D120" s="596" t="s">
        <v>621</v>
      </c>
      <c r="E120" s="596" t="s">
        <v>1898</v>
      </c>
      <c r="F120" s="763">
        <v>2</v>
      </c>
      <c r="G120" s="643">
        <v>1100</v>
      </c>
      <c r="H120" s="762">
        <f t="shared" si="6"/>
        <v>2200</v>
      </c>
      <c r="I120" s="310"/>
      <c r="J120" s="308"/>
      <c r="K120" s="60"/>
      <c r="L120" s="60"/>
      <c r="M120" s="60"/>
      <c r="N120" s="60"/>
      <c r="O120" s="60"/>
      <c r="P120" s="60"/>
      <c r="Q120" s="60"/>
      <c r="R120" s="60"/>
      <c r="S120" s="60"/>
      <c r="T120" s="60"/>
      <c r="U120" s="60"/>
      <c r="V120" s="60"/>
      <c r="W120" s="60"/>
      <c r="X120" s="60"/>
      <c r="Y120" s="60"/>
      <c r="Z120" s="60"/>
      <c r="AA120" s="60"/>
      <c r="AB120" s="60"/>
      <c r="AC120" s="60"/>
      <c r="AD120" s="60"/>
      <c r="AE120" s="60"/>
      <c r="AF120" s="60"/>
    </row>
    <row r="121" spans="1:32" s="96" customFormat="1" ht="15">
      <c r="A121" s="105"/>
      <c r="B121" s="616">
        <f t="shared" si="7"/>
        <v>11</v>
      </c>
      <c r="C121" s="604" t="s">
        <v>622</v>
      </c>
      <c r="D121" s="596" t="s">
        <v>622</v>
      </c>
      <c r="E121" s="596" t="s">
        <v>1930</v>
      </c>
      <c r="F121" s="763">
        <v>2</v>
      </c>
      <c r="G121" s="643">
        <v>2800.0000000000005</v>
      </c>
      <c r="H121" s="762">
        <f t="shared" si="6"/>
        <v>5600.0000000000009</v>
      </c>
      <c r="I121" s="310"/>
      <c r="J121" s="308"/>
      <c r="K121" s="60"/>
      <c r="L121" s="60"/>
      <c r="M121" s="60"/>
      <c r="N121" s="60"/>
      <c r="O121" s="60"/>
      <c r="P121" s="60"/>
      <c r="Q121" s="60"/>
      <c r="R121" s="60"/>
      <c r="S121" s="60"/>
      <c r="T121" s="60"/>
      <c r="U121" s="60"/>
      <c r="V121" s="60"/>
      <c r="W121" s="60"/>
      <c r="X121" s="60"/>
      <c r="Y121" s="60"/>
      <c r="Z121" s="60"/>
      <c r="AA121" s="60"/>
      <c r="AB121" s="60"/>
      <c r="AC121" s="60"/>
      <c r="AD121" s="60"/>
      <c r="AE121" s="60"/>
      <c r="AF121" s="60"/>
    </row>
    <row r="122" spans="1:32" s="96" customFormat="1" ht="30" customHeight="1">
      <c r="A122" s="105"/>
      <c r="B122" s="616">
        <f t="shared" si="7"/>
        <v>12</v>
      </c>
      <c r="C122" s="604" t="s">
        <v>1936</v>
      </c>
      <c r="D122" s="596" t="s">
        <v>1936</v>
      </c>
      <c r="E122" s="596" t="s">
        <v>1930</v>
      </c>
      <c r="F122" s="643">
        <v>2</v>
      </c>
      <c r="G122" s="643">
        <v>6900.0000000000009</v>
      </c>
      <c r="H122" s="762">
        <f t="shared" si="6"/>
        <v>13800.000000000002</v>
      </c>
      <c r="I122" s="309"/>
      <c r="J122" s="308"/>
      <c r="K122" s="60"/>
      <c r="L122" s="60"/>
      <c r="M122" s="60"/>
      <c r="N122" s="60"/>
      <c r="O122" s="60"/>
      <c r="P122" s="60"/>
      <c r="Q122" s="60"/>
      <c r="R122" s="60"/>
      <c r="S122" s="60"/>
      <c r="T122" s="60"/>
      <c r="U122" s="60"/>
      <c r="V122" s="60"/>
      <c r="W122" s="60"/>
      <c r="X122" s="60"/>
      <c r="Y122" s="60"/>
      <c r="Z122" s="60"/>
      <c r="AA122" s="60"/>
      <c r="AB122" s="60"/>
      <c r="AC122" s="60"/>
      <c r="AD122" s="60"/>
      <c r="AE122" s="60"/>
      <c r="AF122" s="60"/>
    </row>
    <row r="123" spans="1:32" s="96" customFormat="1" ht="76.5">
      <c r="A123" s="105"/>
      <c r="B123" s="616">
        <f t="shared" si="7"/>
        <v>13</v>
      </c>
      <c r="C123" s="604" t="s">
        <v>1937</v>
      </c>
      <c r="D123" s="765" t="s">
        <v>1938</v>
      </c>
      <c r="E123" s="596" t="s">
        <v>1930</v>
      </c>
      <c r="F123" s="643">
        <v>1</v>
      </c>
      <c r="G123" s="643">
        <v>50100</v>
      </c>
      <c r="H123" s="762">
        <f t="shared" si="6"/>
        <v>50100</v>
      </c>
      <c r="I123" s="309"/>
      <c r="J123" s="308"/>
      <c r="K123" s="60"/>
      <c r="L123" s="60"/>
      <c r="M123" s="60"/>
      <c r="N123" s="60"/>
      <c r="O123" s="60"/>
      <c r="P123" s="60"/>
      <c r="Q123" s="60"/>
      <c r="R123" s="60"/>
      <c r="S123" s="60"/>
      <c r="T123" s="60"/>
      <c r="U123" s="60"/>
      <c r="V123" s="60"/>
      <c r="W123" s="60"/>
      <c r="X123" s="60"/>
      <c r="Y123" s="60"/>
      <c r="Z123" s="60"/>
      <c r="AA123" s="60"/>
      <c r="AB123" s="60"/>
      <c r="AC123" s="60"/>
      <c r="AD123" s="60"/>
      <c r="AE123" s="60"/>
      <c r="AF123" s="60"/>
    </row>
    <row r="124" spans="1:32" s="96" customFormat="1" ht="25.5">
      <c r="A124" s="105"/>
      <c r="B124" s="616">
        <f t="shared" si="7"/>
        <v>14</v>
      </c>
      <c r="C124" s="604" t="s">
        <v>1939</v>
      </c>
      <c r="D124" s="596" t="s">
        <v>1939</v>
      </c>
      <c r="E124" s="596" t="s">
        <v>1930</v>
      </c>
      <c r="F124" s="643">
        <v>1</v>
      </c>
      <c r="G124" s="643">
        <v>28900.000000000004</v>
      </c>
      <c r="H124" s="762">
        <f t="shared" si="6"/>
        <v>28900.000000000004</v>
      </c>
      <c r="I124" s="309"/>
      <c r="J124" s="308"/>
      <c r="K124" s="60"/>
      <c r="L124" s="60"/>
      <c r="M124" s="60"/>
      <c r="N124" s="60"/>
      <c r="O124" s="60"/>
      <c r="P124" s="60"/>
      <c r="Q124" s="60"/>
      <c r="R124" s="60"/>
      <c r="S124" s="60"/>
      <c r="T124" s="60"/>
      <c r="U124" s="60"/>
      <c r="V124" s="60"/>
      <c r="W124" s="60"/>
      <c r="X124" s="60"/>
      <c r="Y124" s="60"/>
      <c r="Z124" s="60"/>
      <c r="AA124" s="60"/>
      <c r="AB124" s="60"/>
      <c r="AC124" s="60"/>
      <c r="AD124" s="60"/>
      <c r="AE124" s="60"/>
      <c r="AF124" s="60"/>
    </row>
    <row r="125" spans="1:32" s="96" customFormat="1" ht="25.5">
      <c r="A125" s="105"/>
      <c r="B125" s="616">
        <f t="shared" si="7"/>
        <v>15</v>
      </c>
      <c r="C125" s="604" t="s">
        <v>623</v>
      </c>
      <c r="D125" s="596" t="s">
        <v>1940</v>
      </c>
      <c r="E125" s="596" t="s">
        <v>1930</v>
      </c>
      <c r="F125" s="643">
        <v>5</v>
      </c>
      <c r="G125" s="643">
        <v>3600</v>
      </c>
      <c r="H125" s="762">
        <f t="shared" si="6"/>
        <v>18000</v>
      </c>
      <c r="I125" s="309"/>
      <c r="J125" s="308"/>
      <c r="K125" s="60"/>
      <c r="L125" s="60"/>
      <c r="M125" s="60"/>
      <c r="N125" s="60"/>
      <c r="O125" s="60"/>
      <c r="P125" s="60"/>
      <c r="Q125" s="60"/>
      <c r="R125" s="60"/>
      <c r="S125" s="60"/>
      <c r="T125" s="60"/>
      <c r="U125" s="60"/>
      <c r="V125" s="60"/>
      <c r="W125" s="60"/>
      <c r="X125" s="60"/>
      <c r="Y125" s="60"/>
      <c r="Z125" s="60"/>
      <c r="AA125" s="60"/>
      <c r="AB125" s="60"/>
      <c r="AC125" s="60"/>
      <c r="AD125" s="60"/>
      <c r="AE125" s="60"/>
      <c r="AF125" s="60"/>
    </row>
    <row r="126" spans="1:32" s="96" customFormat="1" ht="51">
      <c r="A126" s="105"/>
      <c r="B126" s="616">
        <f t="shared" si="7"/>
        <v>16</v>
      </c>
      <c r="C126" s="604" t="s">
        <v>1941</v>
      </c>
      <c r="D126" s="765" t="s">
        <v>1942</v>
      </c>
      <c r="E126" s="596" t="s">
        <v>302</v>
      </c>
      <c r="F126" s="643">
        <v>50</v>
      </c>
      <c r="G126" s="766">
        <v>352</v>
      </c>
      <c r="H126" s="762">
        <f t="shared" si="6"/>
        <v>17600</v>
      </c>
      <c r="I126" s="309"/>
      <c r="J126" s="308"/>
      <c r="K126" s="60"/>
      <c r="L126" s="60"/>
      <c r="M126" s="60"/>
      <c r="N126" s="60"/>
      <c r="O126" s="60"/>
      <c r="P126" s="60"/>
      <c r="Q126" s="60"/>
      <c r="R126" s="60"/>
      <c r="S126" s="60"/>
      <c r="T126" s="60"/>
      <c r="U126" s="60"/>
      <c r="V126" s="60"/>
      <c r="W126" s="60"/>
      <c r="X126" s="60"/>
      <c r="Y126" s="60"/>
      <c r="Z126" s="60"/>
      <c r="AA126" s="60"/>
      <c r="AB126" s="60"/>
      <c r="AC126" s="60"/>
      <c r="AD126" s="60"/>
      <c r="AE126" s="60"/>
      <c r="AF126" s="60"/>
    </row>
    <row r="127" spans="1:32" s="96" customFormat="1" ht="127.5">
      <c r="A127" s="105"/>
      <c r="B127" s="616">
        <f t="shared" si="7"/>
        <v>17</v>
      </c>
      <c r="C127" s="604" t="s">
        <v>624</v>
      </c>
      <c r="D127" s="596" t="s">
        <v>653</v>
      </c>
      <c r="E127" s="596" t="s">
        <v>1930</v>
      </c>
      <c r="F127" s="643">
        <v>2</v>
      </c>
      <c r="G127" s="763">
        <v>3300</v>
      </c>
      <c r="H127" s="762">
        <f t="shared" si="6"/>
        <v>6600</v>
      </c>
      <c r="I127" s="309"/>
      <c r="J127" s="308"/>
      <c r="K127" s="60"/>
      <c r="L127" s="60"/>
      <c r="M127" s="60"/>
      <c r="N127" s="60"/>
      <c r="O127" s="60"/>
      <c r="P127" s="60"/>
      <c r="Q127" s="60"/>
      <c r="R127" s="60"/>
      <c r="S127" s="60"/>
      <c r="T127" s="60"/>
      <c r="U127" s="60"/>
      <c r="V127" s="60"/>
      <c r="W127" s="60"/>
      <c r="X127" s="60"/>
      <c r="Y127" s="60"/>
      <c r="Z127" s="60"/>
      <c r="AA127" s="60"/>
      <c r="AB127" s="60"/>
      <c r="AC127" s="60"/>
      <c r="AD127" s="60"/>
      <c r="AE127" s="60"/>
      <c r="AF127" s="60"/>
    </row>
    <row r="128" spans="1:32" s="96" customFormat="1" ht="102">
      <c r="A128" s="105"/>
      <c r="B128" s="616">
        <f t="shared" si="7"/>
        <v>18</v>
      </c>
      <c r="C128" s="604" t="s">
        <v>1943</v>
      </c>
      <c r="D128" s="596" t="s">
        <v>1944</v>
      </c>
      <c r="E128" s="596" t="s">
        <v>1930</v>
      </c>
      <c r="F128" s="643">
        <v>2</v>
      </c>
      <c r="G128" s="767">
        <v>13550</v>
      </c>
      <c r="H128" s="768">
        <f t="shared" si="6"/>
        <v>27100</v>
      </c>
      <c r="I128" s="309"/>
      <c r="J128" s="308"/>
      <c r="K128" s="60"/>
      <c r="L128" s="60"/>
      <c r="M128" s="60"/>
      <c r="N128" s="60"/>
      <c r="O128" s="60"/>
      <c r="P128" s="60"/>
      <c r="Q128" s="60"/>
      <c r="R128" s="60"/>
      <c r="S128" s="60"/>
      <c r="T128" s="60"/>
      <c r="U128" s="60"/>
      <c r="V128" s="60"/>
      <c r="W128" s="60"/>
      <c r="X128" s="60"/>
      <c r="Y128" s="60"/>
      <c r="Z128" s="60"/>
      <c r="AA128" s="60"/>
      <c r="AB128" s="60"/>
      <c r="AC128" s="60"/>
      <c r="AD128" s="60"/>
      <c r="AE128" s="60"/>
      <c r="AF128" s="60"/>
    </row>
    <row r="129" spans="1:32" s="96" customFormat="1" ht="51">
      <c r="A129" s="105"/>
      <c r="B129" s="616">
        <f t="shared" si="7"/>
        <v>19</v>
      </c>
      <c r="C129" s="604" t="s">
        <v>625</v>
      </c>
      <c r="D129" s="596" t="s">
        <v>654</v>
      </c>
      <c r="E129" s="596" t="s">
        <v>1930</v>
      </c>
      <c r="F129" s="643">
        <v>2</v>
      </c>
      <c r="G129" s="767">
        <v>5300</v>
      </c>
      <c r="H129" s="768">
        <f t="shared" si="6"/>
        <v>10600</v>
      </c>
      <c r="I129" s="309"/>
      <c r="J129" s="308"/>
      <c r="K129" s="60"/>
      <c r="L129" s="60"/>
      <c r="M129" s="60"/>
      <c r="N129" s="60"/>
      <c r="O129" s="60"/>
      <c r="P129" s="60"/>
      <c r="Q129" s="60"/>
      <c r="R129" s="60"/>
      <c r="S129" s="60"/>
      <c r="T129" s="60"/>
      <c r="U129" s="60"/>
      <c r="V129" s="60"/>
      <c r="W129" s="60"/>
      <c r="X129" s="60"/>
      <c r="Y129" s="60"/>
      <c r="Z129" s="60"/>
      <c r="AA129" s="60"/>
      <c r="AB129" s="60"/>
      <c r="AC129" s="60"/>
      <c r="AD129" s="60"/>
      <c r="AE129" s="60"/>
      <c r="AF129" s="60"/>
    </row>
    <row r="130" spans="1:32" s="96" customFormat="1" ht="76.5">
      <c r="A130" s="105"/>
      <c r="B130" s="616">
        <f t="shared" si="7"/>
        <v>20</v>
      </c>
      <c r="C130" s="604" t="s">
        <v>695</v>
      </c>
      <c r="D130" s="596" t="s">
        <v>800</v>
      </c>
      <c r="E130" s="596" t="s">
        <v>1930</v>
      </c>
      <c r="F130" s="643">
        <v>2</v>
      </c>
      <c r="G130" s="767">
        <v>2100</v>
      </c>
      <c r="H130" s="768">
        <f t="shared" si="6"/>
        <v>4200</v>
      </c>
      <c r="I130" s="309"/>
      <c r="J130" s="308"/>
      <c r="K130" s="60"/>
      <c r="L130" s="60"/>
      <c r="M130" s="60"/>
      <c r="N130" s="60"/>
      <c r="O130" s="60"/>
      <c r="P130" s="60"/>
      <c r="Q130" s="60"/>
      <c r="R130" s="60"/>
      <c r="S130" s="60"/>
      <c r="T130" s="60"/>
      <c r="U130" s="60"/>
      <c r="V130" s="60"/>
      <c r="W130" s="60"/>
      <c r="X130" s="60"/>
      <c r="Y130" s="60"/>
      <c r="Z130" s="60"/>
      <c r="AA130" s="60"/>
      <c r="AB130" s="60"/>
      <c r="AC130" s="60"/>
      <c r="AD130" s="60"/>
      <c r="AE130" s="60"/>
      <c r="AF130" s="60"/>
    </row>
    <row r="131" spans="1:32" s="96" customFormat="1" ht="165.75">
      <c r="A131" s="105"/>
      <c r="B131" s="616">
        <f t="shared" si="7"/>
        <v>21</v>
      </c>
      <c r="C131" s="604" t="s">
        <v>1945</v>
      </c>
      <c r="D131" s="596" t="s">
        <v>1946</v>
      </c>
      <c r="E131" s="596" t="s">
        <v>1930</v>
      </c>
      <c r="F131" s="643">
        <v>5</v>
      </c>
      <c r="G131" s="763">
        <v>1250</v>
      </c>
      <c r="H131" s="762">
        <f t="shared" si="6"/>
        <v>6250</v>
      </c>
      <c r="I131" s="309"/>
      <c r="J131" s="308"/>
      <c r="K131" s="60"/>
      <c r="L131" s="60"/>
      <c r="M131" s="60"/>
      <c r="N131" s="60"/>
      <c r="O131" s="60"/>
      <c r="P131" s="60"/>
      <c r="Q131" s="60"/>
      <c r="R131" s="60"/>
      <c r="S131" s="60"/>
      <c r="T131" s="60"/>
      <c r="U131" s="60"/>
      <c r="V131" s="60"/>
      <c r="W131" s="60"/>
      <c r="X131" s="60"/>
      <c r="Y131" s="60"/>
      <c r="Z131" s="60"/>
      <c r="AA131" s="60"/>
      <c r="AB131" s="60"/>
      <c r="AC131" s="60"/>
      <c r="AD131" s="60"/>
      <c r="AE131" s="60"/>
      <c r="AF131" s="60"/>
    </row>
    <row r="132" spans="1:32" s="96" customFormat="1" ht="51">
      <c r="A132" s="105"/>
      <c r="B132" s="616">
        <f t="shared" si="7"/>
        <v>22</v>
      </c>
      <c r="C132" s="604" t="s">
        <v>305</v>
      </c>
      <c r="D132" s="596" t="s">
        <v>655</v>
      </c>
      <c r="E132" s="596" t="s">
        <v>1930</v>
      </c>
      <c r="F132" s="643">
        <v>5</v>
      </c>
      <c r="G132" s="763">
        <v>3000</v>
      </c>
      <c r="H132" s="762">
        <f t="shared" si="6"/>
        <v>15000</v>
      </c>
      <c r="I132" s="309"/>
      <c r="J132" s="308"/>
      <c r="K132" s="60"/>
      <c r="L132" s="60"/>
      <c r="M132" s="60"/>
      <c r="N132" s="60"/>
      <c r="O132" s="60"/>
      <c r="P132" s="60"/>
      <c r="Q132" s="60"/>
      <c r="R132" s="60"/>
      <c r="S132" s="60"/>
      <c r="T132" s="60"/>
      <c r="U132" s="60"/>
      <c r="V132" s="60"/>
      <c r="W132" s="60"/>
      <c r="X132" s="60"/>
      <c r="Y132" s="60"/>
      <c r="Z132" s="60"/>
      <c r="AA132" s="60"/>
      <c r="AB132" s="60"/>
      <c r="AC132" s="60"/>
      <c r="AD132" s="60"/>
      <c r="AE132" s="60"/>
      <c r="AF132" s="60"/>
    </row>
    <row r="133" spans="1:32" s="96" customFormat="1" ht="114.75">
      <c r="A133" s="105"/>
      <c r="B133" s="616">
        <f t="shared" si="7"/>
        <v>23</v>
      </c>
      <c r="C133" s="604" t="s">
        <v>1947</v>
      </c>
      <c r="D133" s="596" t="s">
        <v>1948</v>
      </c>
      <c r="E133" s="596" t="s">
        <v>1930</v>
      </c>
      <c r="F133" s="643">
        <v>5</v>
      </c>
      <c r="G133" s="763">
        <v>4100</v>
      </c>
      <c r="H133" s="762">
        <f t="shared" si="6"/>
        <v>20500</v>
      </c>
      <c r="I133" s="309"/>
      <c r="J133" s="308"/>
      <c r="K133" s="60"/>
      <c r="L133" s="60"/>
      <c r="M133" s="60"/>
      <c r="N133" s="60"/>
      <c r="O133" s="60"/>
      <c r="P133" s="60"/>
      <c r="Q133" s="60"/>
      <c r="R133" s="60"/>
      <c r="S133" s="60"/>
      <c r="T133" s="60"/>
      <c r="U133" s="60"/>
      <c r="V133" s="60"/>
      <c r="W133" s="60"/>
      <c r="X133" s="60"/>
      <c r="Y133" s="60"/>
      <c r="Z133" s="60"/>
      <c r="AA133" s="60"/>
      <c r="AB133" s="60"/>
      <c r="AC133" s="60"/>
      <c r="AD133" s="60"/>
      <c r="AE133" s="60"/>
      <c r="AF133" s="60"/>
    </row>
    <row r="134" spans="1:32" s="96" customFormat="1" ht="76.5">
      <c r="A134" s="105"/>
      <c r="B134" s="616">
        <f t="shared" si="7"/>
        <v>24</v>
      </c>
      <c r="C134" s="604" t="s">
        <v>306</v>
      </c>
      <c r="D134" s="596" t="s">
        <v>1949</v>
      </c>
      <c r="E134" s="596" t="s">
        <v>1950</v>
      </c>
      <c r="F134" s="643">
        <v>500</v>
      </c>
      <c r="G134" s="766">
        <v>275</v>
      </c>
      <c r="H134" s="762">
        <f t="shared" si="6"/>
        <v>137500</v>
      </c>
      <c r="I134" s="309"/>
      <c r="J134" s="308"/>
      <c r="K134" s="60"/>
      <c r="L134" s="60"/>
      <c r="M134" s="60"/>
      <c r="N134" s="60"/>
      <c r="O134" s="60"/>
      <c r="P134" s="60"/>
      <c r="Q134" s="60"/>
      <c r="R134" s="60"/>
      <c r="S134" s="60"/>
      <c r="T134" s="60"/>
      <c r="U134" s="60"/>
      <c r="V134" s="60"/>
      <c r="W134" s="60"/>
      <c r="X134" s="60"/>
      <c r="Y134" s="60"/>
      <c r="Z134" s="60"/>
      <c r="AA134" s="60"/>
      <c r="AB134" s="60"/>
      <c r="AC134" s="60"/>
      <c r="AD134" s="60"/>
      <c r="AE134" s="60"/>
      <c r="AF134" s="60"/>
    </row>
    <row r="135" spans="1:32" s="96" customFormat="1" ht="63.75">
      <c r="A135" s="105"/>
      <c r="B135" s="616">
        <f t="shared" si="7"/>
        <v>25</v>
      </c>
      <c r="C135" s="604" t="s">
        <v>307</v>
      </c>
      <c r="D135" s="596" t="s">
        <v>1951</v>
      </c>
      <c r="E135" s="596" t="s">
        <v>1950</v>
      </c>
      <c r="F135" s="643">
        <v>500</v>
      </c>
      <c r="G135" s="766">
        <v>539</v>
      </c>
      <c r="H135" s="762">
        <f t="shared" si="6"/>
        <v>269500</v>
      </c>
      <c r="I135" s="309"/>
      <c r="J135" s="308"/>
      <c r="K135" s="60"/>
      <c r="L135" s="60"/>
      <c r="M135" s="60"/>
      <c r="N135" s="60"/>
      <c r="O135" s="60"/>
      <c r="P135" s="60"/>
      <c r="Q135" s="60"/>
      <c r="R135" s="60"/>
      <c r="S135" s="60"/>
      <c r="T135" s="60"/>
      <c r="U135" s="60"/>
      <c r="V135" s="60"/>
      <c r="W135" s="60"/>
      <c r="X135" s="60"/>
      <c r="Y135" s="60"/>
      <c r="Z135" s="60"/>
      <c r="AA135" s="60"/>
      <c r="AB135" s="60"/>
      <c r="AC135" s="60"/>
      <c r="AD135" s="60"/>
      <c r="AE135" s="60"/>
      <c r="AF135" s="60"/>
    </row>
    <row r="136" spans="1:32" s="96" customFormat="1" ht="63.75">
      <c r="A136" s="105"/>
      <c r="B136" s="616">
        <f t="shared" si="7"/>
        <v>26</v>
      </c>
      <c r="C136" s="604" t="s">
        <v>308</v>
      </c>
      <c r="D136" s="596" t="s">
        <v>1952</v>
      </c>
      <c r="E136" s="596" t="s">
        <v>1950</v>
      </c>
      <c r="F136" s="643">
        <v>100</v>
      </c>
      <c r="G136" s="766">
        <v>880</v>
      </c>
      <c r="H136" s="762">
        <f t="shared" si="6"/>
        <v>88000</v>
      </c>
      <c r="I136" s="309"/>
      <c r="J136" s="308"/>
      <c r="K136" s="60"/>
      <c r="L136" s="60"/>
      <c r="M136" s="60"/>
      <c r="N136" s="60"/>
      <c r="O136" s="60"/>
      <c r="P136" s="60"/>
      <c r="Q136" s="60"/>
      <c r="R136" s="60"/>
      <c r="S136" s="60"/>
      <c r="T136" s="60"/>
      <c r="U136" s="60"/>
      <c r="V136" s="60"/>
      <c r="W136" s="60"/>
      <c r="X136" s="60"/>
      <c r="Y136" s="60"/>
      <c r="Z136" s="60"/>
      <c r="AA136" s="60"/>
      <c r="AB136" s="60"/>
      <c r="AC136" s="60"/>
      <c r="AD136" s="60"/>
      <c r="AE136" s="60"/>
      <c r="AF136" s="60"/>
    </row>
    <row r="137" spans="1:32" s="96" customFormat="1" ht="25.5">
      <c r="A137" s="105"/>
      <c r="B137" s="616">
        <f t="shared" si="7"/>
        <v>27</v>
      </c>
      <c r="C137" s="604" t="s">
        <v>309</v>
      </c>
      <c r="D137" s="596" t="s">
        <v>558</v>
      </c>
      <c r="E137" s="596" t="s">
        <v>1930</v>
      </c>
      <c r="F137" s="643">
        <v>20</v>
      </c>
      <c r="G137" s="763">
        <v>1300</v>
      </c>
      <c r="H137" s="762">
        <f t="shared" si="6"/>
        <v>26000</v>
      </c>
      <c r="I137" s="309"/>
      <c r="J137" s="308"/>
      <c r="K137" s="60"/>
      <c r="L137" s="60"/>
      <c r="M137" s="60"/>
      <c r="N137" s="60"/>
      <c r="O137" s="60"/>
      <c r="P137" s="60"/>
      <c r="Q137" s="60"/>
      <c r="R137" s="60"/>
      <c r="S137" s="60"/>
      <c r="T137" s="60"/>
      <c r="U137" s="60"/>
      <c r="V137" s="60"/>
      <c r="W137" s="60"/>
      <c r="X137" s="60"/>
      <c r="Y137" s="60"/>
      <c r="Z137" s="60"/>
      <c r="AA137" s="60"/>
      <c r="AB137" s="60"/>
      <c r="AC137" s="60"/>
      <c r="AD137" s="60"/>
      <c r="AE137" s="60"/>
      <c r="AF137" s="60"/>
    </row>
    <row r="138" spans="1:32" s="96" customFormat="1" ht="89.25">
      <c r="A138" s="105"/>
      <c r="B138" s="616">
        <f t="shared" si="7"/>
        <v>28</v>
      </c>
      <c r="C138" s="604" t="s">
        <v>310</v>
      </c>
      <c r="D138" s="596" t="s">
        <v>559</v>
      </c>
      <c r="E138" s="596" t="s">
        <v>1930</v>
      </c>
      <c r="F138" s="643">
        <v>10</v>
      </c>
      <c r="G138" s="763">
        <v>1300</v>
      </c>
      <c r="H138" s="762">
        <f t="shared" si="6"/>
        <v>13000</v>
      </c>
      <c r="I138" s="309"/>
      <c r="J138" s="308"/>
      <c r="K138" s="60"/>
      <c r="L138" s="60"/>
      <c r="M138" s="60"/>
      <c r="N138" s="60"/>
      <c r="O138" s="60"/>
      <c r="P138" s="60"/>
      <c r="Q138" s="60"/>
      <c r="R138" s="60"/>
      <c r="S138" s="60"/>
      <c r="T138" s="60"/>
      <c r="U138" s="60"/>
      <c r="V138" s="60"/>
      <c r="W138" s="60"/>
      <c r="X138" s="60"/>
      <c r="Y138" s="60"/>
      <c r="Z138" s="60"/>
      <c r="AA138" s="60"/>
      <c r="AB138" s="60"/>
      <c r="AC138" s="60"/>
      <c r="AD138" s="60"/>
      <c r="AE138" s="60"/>
      <c r="AF138" s="60"/>
    </row>
    <row r="139" spans="1:32" s="96" customFormat="1" ht="89.25">
      <c r="A139" s="105"/>
      <c r="B139" s="616">
        <f t="shared" si="7"/>
        <v>29</v>
      </c>
      <c r="C139" s="604" t="s">
        <v>311</v>
      </c>
      <c r="D139" s="596" t="s">
        <v>656</v>
      </c>
      <c r="E139" s="596" t="s">
        <v>1930</v>
      </c>
      <c r="F139" s="643">
        <v>500</v>
      </c>
      <c r="G139" s="766">
        <v>9</v>
      </c>
      <c r="H139" s="762">
        <f t="shared" si="6"/>
        <v>4500</v>
      </c>
      <c r="I139" s="309"/>
      <c r="J139" s="308"/>
      <c r="K139" s="60"/>
      <c r="L139" s="60"/>
      <c r="M139" s="60"/>
      <c r="N139" s="60"/>
      <c r="O139" s="60"/>
      <c r="P139" s="60"/>
      <c r="Q139" s="60"/>
      <c r="R139" s="60"/>
      <c r="S139" s="60"/>
      <c r="T139" s="60"/>
      <c r="U139" s="60"/>
      <c r="V139" s="60"/>
      <c r="W139" s="60"/>
      <c r="X139" s="60"/>
      <c r="Y139" s="60"/>
      <c r="Z139" s="60"/>
      <c r="AA139" s="60"/>
      <c r="AB139" s="60"/>
      <c r="AC139" s="60"/>
      <c r="AD139" s="60"/>
      <c r="AE139" s="60"/>
      <c r="AF139" s="60"/>
    </row>
    <row r="140" spans="1:32" s="96" customFormat="1" ht="51">
      <c r="A140" s="105"/>
      <c r="B140" s="616">
        <f t="shared" si="7"/>
        <v>30</v>
      </c>
      <c r="C140" s="604" t="s">
        <v>312</v>
      </c>
      <c r="D140" s="596" t="s">
        <v>657</v>
      </c>
      <c r="E140" s="596" t="s">
        <v>1930</v>
      </c>
      <c r="F140" s="643">
        <v>20</v>
      </c>
      <c r="G140" s="763">
        <v>2300</v>
      </c>
      <c r="H140" s="762">
        <f t="shared" si="6"/>
        <v>46000</v>
      </c>
      <c r="I140" s="309"/>
      <c r="J140" s="308"/>
      <c r="K140" s="60"/>
      <c r="L140" s="60"/>
      <c r="M140" s="60"/>
      <c r="N140" s="60"/>
      <c r="O140" s="60"/>
      <c r="P140" s="60"/>
      <c r="Q140" s="60"/>
      <c r="R140" s="60"/>
      <c r="S140" s="60"/>
      <c r="T140" s="60"/>
      <c r="U140" s="60"/>
      <c r="V140" s="60"/>
      <c r="W140" s="60"/>
      <c r="X140" s="60"/>
      <c r="Y140" s="60"/>
      <c r="Z140" s="60"/>
      <c r="AA140" s="60"/>
      <c r="AB140" s="60"/>
      <c r="AC140" s="60"/>
      <c r="AD140" s="60"/>
      <c r="AE140" s="60"/>
      <c r="AF140" s="60"/>
    </row>
    <row r="141" spans="1:32" s="96" customFormat="1" ht="38.25">
      <c r="A141" s="105"/>
      <c r="B141" s="616">
        <f t="shared" si="7"/>
        <v>31</v>
      </c>
      <c r="C141" s="604" t="s">
        <v>313</v>
      </c>
      <c r="D141" s="596" t="s">
        <v>560</v>
      </c>
      <c r="E141" s="596" t="s">
        <v>1930</v>
      </c>
      <c r="F141" s="643">
        <v>5</v>
      </c>
      <c r="G141" s="763">
        <v>1550</v>
      </c>
      <c r="H141" s="762">
        <f t="shared" si="6"/>
        <v>7750</v>
      </c>
      <c r="I141" s="309"/>
      <c r="J141" s="308"/>
      <c r="K141" s="60"/>
      <c r="L141" s="60"/>
      <c r="M141" s="60"/>
      <c r="N141" s="60"/>
      <c r="O141" s="60"/>
      <c r="P141" s="60"/>
      <c r="Q141" s="60"/>
      <c r="R141" s="60"/>
      <c r="S141" s="60"/>
      <c r="T141" s="60"/>
      <c r="U141" s="60"/>
      <c r="V141" s="60"/>
      <c r="W141" s="60"/>
      <c r="X141" s="60"/>
      <c r="Y141" s="60"/>
      <c r="Z141" s="60"/>
      <c r="AA141" s="60"/>
      <c r="AB141" s="60"/>
      <c r="AC141" s="60"/>
      <c r="AD141" s="60"/>
      <c r="AE141" s="60"/>
      <c r="AF141" s="60"/>
    </row>
    <row r="142" spans="1:32" s="96" customFormat="1" ht="102">
      <c r="A142" s="105"/>
      <c r="B142" s="616">
        <f t="shared" si="7"/>
        <v>32</v>
      </c>
      <c r="C142" s="604" t="s">
        <v>314</v>
      </c>
      <c r="D142" s="596" t="s">
        <v>1953</v>
      </c>
      <c r="E142" s="596" t="s">
        <v>1930</v>
      </c>
      <c r="F142" s="643">
        <v>5</v>
      </c>
      <c r="G142" s="766">
        <v>880</v>
      </c>
      <c r="H142" s="762">
        <f t="shared" si="6"/>
        <v>4400</v>
      </c>
      <c r="I142" s="309"/>
      <c r="J142" s="308"/>
      <c r="K142" s="60"/>
      <c r="L142" s="60"/>
      <c r="M142" s="60"/>
      <c r="N142" s="60"/>
      <c r="O142" s="60"/>
      <c r="P142" s="60"/>
      <c r="Q142" s="60"/>
      <c r="R142" s="60"/>
      <c r="S142" s="60"/>
      <c r="T142" s="60"/>
      <c r="U142" s="60"/>
      <c r="V142" s="60"/>
      <c r="W142" s="60"/>
      <c r="X142" s="60"/>
      <c r="Y142" s="60"/>
      <c r="Z142" s="60"/>
      <c r="AA142" s="60"/>
      <c r="AB142" s="60"/>
      <c r="AC142" s="60"/>
      <c r="AD142" s="60"/>
      <c r="AE142" s="60"/>
      <c r="AF142" s="60"/>
    </row>
    <row r="143" spans="1:32" s="96" customFormat="1" ht="76.5">
      <c r="A143" s="105"/>
      <c r="B143" s="616">
        <f t="shared" si="7"/>
        <v>33</v>
      </c>
      <c r="C143" s="604" t="s">
        <v>315</v>
      </c>
      <c r="D143" s="596" t="s">
        <v>561</v>
      </c>
      <c r="E143" s="596" t="s">
        <v>1954</v>
      </c>
      <c r="F143" s="643">
        <v>100</v>
      </c>
      <c r="G143" s="766">
        <v>44</v>
      </c>
      <c r="H143" s="762">
        <f t="shared" si="6"/>
        <v>4400</v>
      </c>
      <c r="I143" s="309"/>
      <c r="J143" s="308"/>
      <c r="K143" s="60"/>
      <c r="L143" s="60"/>
      <c r="M143" s="60"/>
      <c r="N143" s="60"/>
      <c r="O143" s="60"/>
      <c r="P143" s="60"/>
      <c r="Q143" s="60"/>
      <c r="R143" s="60"/>
      <c r="S143" s="60"/>
      <c r="T143" s="60"/>
      <c r="U143" s="60"/>
      <c r="V143" s="60"/>
      <c r="W143" s="60"/>
      <c r="X143" s="60"/>
      <c r="Y143" s="60"/>
      <c r="Z143" s="60"/>
      <c r="AA143" s="60"/>
      <c r="AB143" s="60"/>
      <c r="AC143" s="60"/>
      <c r="AD143" s="60"/>
      <c r="AE143" s="60"/>
      <c r="AF143" s="60"/>
    </row>
    <row r="144" spans="1:32" s="96" customFormat="1" ht="51">
      <c r="A144" s="105"/>
      <c r="B144" s="616">
        <f t="shared" si="7"/>
        <v>34</v>
      </c>
      <c r="C144" s="604" t="s">
        <v>316</v>
      </c>
      <c r="D144" s="596" t="s">
        <v>658</v>
      </c>
      <c r="E144" s="596" t="s">
        <v>1930</v>
      </c>
      <c r="F144" s="643">
        <v>5</v>
      </c>
      <c r="G144" s="763">
        <v>2900</v>
      </c>
      <c r="H144" s="762">
        <f t="shared" si="6"/>
        <v>14500</v>
      </c>
      <c r="I144" s="309"/>
      <c r="J144" s="308"/>
      <c r="K144" s="60"/>
      <c r="L144" s="60"/>
      <c r="M144" s="60"/>
      <c r="N144" s="60"/>
      <c r="O144" s="60"/>
      <c r="P144" s="60"/>
      <c r="Q144" s="60"/>
      <c r="R144" s="60"/>
      <c r="S144" s="60"/>
      <c r="T144" s="60"/>
      <c r="U144" s="60"/>
      <c r="V144" s="60"/>
      <c r="W144" s="60"/>
      <c r="X144" s="60"/>
      <c r="Y144" s="60"/>
      <c r="Z144" s="60"/>
      <c r="AA144" s="60"/>
      <c r="AB144" s="60"/>
      <c r="AC144" s="60"/>
      <c r="AD144" s="60"/>
      <c r="AE144" s="60"/>
      <c r="AF144" s="60"/>
    </row>
    <row r="145" spans="1:32" s="96" customFormat="1" ht="127.5">
      <c r="A145" s="105"/>
      <c r="B145" s="616">
        <f t="shared" si="7"/>
        <v>35</v>
      </c>
      <c r="C145" s="604" t="s">
        <v>1955</v>
      </c>
      <c r="D145" s="596" t="s">
        <v>1956</v>
      </c>
      <c r="E145" s="596" t="s">
        <v>1930</v>
      </c>
      <c r="F145" s="643">
        <v>10</v>
      </c>
      <c r="G145" s="763">
        <v>16100</v>
      </c>
      <c r="H145" s="762">
        <f t="shared" si="6"/>
        <v>161000</v>
      </c>
      <c r="I145" s="309"/>
      <c r="J145" s="308"/>
      <c r="K145" s="60"/>
      <c r="L145" s="60"/>
      <c r="M145" s="60"/>
      <c r="N145" s="60"/>
      <c r="O145" s="60"/>
      <c r="P145" s="60"/>
      <c r="Q145" s="60"/>
      <c r="R145" s="60"/>
      <c r="S145" s="60"/>
      <c r="T145" s="60"/>
      <c r="U145" s="60"/>
      <c r="V145" s="60"/>
      <c r="W145" s="60"/>
      <c r="X145" s="60"/>
      <c r="Y145" s="60"/>
      <c r="Z145" s="60"/>
      <c r="AA145" s="60"/>
      <c r="AB145" s="60"/>
      <c r="AC145" s="60"/>
      <c r="AD145" s="60"/>
      <c r="AE145" s="60"/>
      <c r="AF145" s="60"/>
    </row>
    <row r="146" spans="1:32" s="96" customFormat="1" ht="51">
      <c r="A146" s="105"/>
      <c r="B146" s="616">
        <f t="shared" si="7"/>
        <v>36</v>
      </c>
      <c r="C146" s="604" t="s">
        <v>317</v>
      </c>
      <c r="D146" s="596" t="s">
        <v>1957</v>
      </c>
      <c r="E146" s="596" t="s">
        <v>1930</v>
      </c>
      <c r="F146" s="643">
        <v>10</v>
      </c>
      <c r="G146" s="763">
        <v>8200</v>
      </c>
      <c r="H146" s="762">
        <f t="shared" si="6"/>
        <v>82000</v>
      </c>
      <c r="I146" s="309"/>
      <c r="J146" s="308"/>
      <c r="K146" s="60"/>
      <c r="L146" s="60"/>
      <c r="M146" s="60"/>
      <c r="N146" s="60"/>
      <c r="O146" s="60"/>
      <c r="P146" s="60"/>
      <c r="Q146" s="60"/>
      <c r="R146" s="60"/>
      <c r="S146" s="60"/>
      <c r="T146" s="60"/>
      <c r="U146" s="60"/>
      <c r="V146" s="60"/>
      <c r="W146" s="60"/>
      <c r="X146" s="60"/>
      <c r="Y146" s="60"/>
      <c r="Z146" s="60"/>
      <c r="AA146" s="60"/>
      <c r="AB146" s="60"/>
      <c r="AC146" s="60"/>
      <c r="AD146" s="60"/>
      <c r="AE146" s="60"/>
      <c r="AF146" s="60"/>
    </row>
    <row r="147" spans="1:32" s="96" customFormat="1" ht="25.5">
      <c r="A147" s="105"/>
      <c r="B147" s="616">
        <f t="shared" si="7"/>
        <v>37</v>
      </c>
      <c r="C147" s="604" t="s">
        <v>626</v>
      </c>
      <c r="D147" s="596" t="s">
        <v>1958</v>
      </c>
      <c r="E147" s="596" t="s">
        <v>1930</v>
      </c>
      <c r="F147" s="643">
        <v>10</v>
      </c>
      <c r="G147" s="763">
        <v>2700</v>
      </c>
      <c r="H147" s="762">
        <f t="shared" si="6"/>
        <v>27000</v>
      </c>
      <c r="I147" s="309"/>
      <c r="J147" s="308"/>
      <c r="K147" s="60"/>
      <c r="L147" s="60"/>
      <c r="M147" s="60"/>
      <c r="N147" s="60"/>
      <c r="O147" s="60"/>
      <c r="P147" s="60"/>
      <c r="Q147" s="60"/>
      <c r="R147" s="60"/>
      <c r="S147" s="60"/>
      <c r="T147" s="60"/>
      <c r="U147" s="60"/>
      <c r="V147" s="60"/>
      <c r="W147" s="60"/>
      <c r="X147" s="60"/>
      <c r="Y147" s="60"/>
      <c r="Z147" s="60"/>
      <c r="AA147" s="60"/>
      <c r="AB147" s="60"/>
      <c r="AC147" s="60"/>
      <c r="AD147" s="60"/>
      <c r="AE147" s="60"/>
      <c r="AF147" s="60"/>
    </row>
    <row r="148" spans="1:32" s="96" customFormat="1" ht="15">
      <c r="A148" s="105"/>
      <c r="B148" s="616">
        <f t="shared" si="7"/>
        <v>38</v>
      </c>
      <c r="C148" s="604" t="s">
        <v>696</v>
      </c>
      <c r="D148" s="596" t="s">
        <v>696</v>
      </c>
      <c r="E148" s="596" t="s">
        <v>1959</v>
      </c>
      <c r="F148" s="643">
        <v>10</v>
      </c>
      <c r="G148" s="763">
        <v>4300</v>
      </c>
      <c r="H148" s="762">
        <f t="shared" si="6"/>
        <v>43000</v>
      </c>
      <c r="I148" s="309"/>
      <c r="J148" s="308"/>
      <c r="K148" s="60"/>
      <c r="L148" s="60"/>
      <c r="M148" s="60"/>
      <c r="N148" s="60"/>
      <c r="O148" s="60"/>
      <c r="P148" s="60"/>
      <c r="Q148" s="60"/>
      <c r="R148" s="60"/>
      <c r="S148" s="60"/>
      <c r="T148" s="60"/>
      <c r="U148" s="60"/>
      <c r="V148" s="60"/>
      <c r="W148" s="60"/>
      <c r="X148" s="60"/>
      <c r="Y148" s="60"/>
      <c r="Z148" s="60"/>
      <c r="AA148" s="60"/>
      <c r="AB148" s="60"/>
      <c r="AC148" s="60"/>
      <c r="AD148" s="60"/>
      <c r="AE148" s="60"/>
      <c r="AF148" s="60"/>
    </row>
    <row r="149" spans="1:32" s="96" customFormat="1" ht="114.75">
      <c r="A149" s="105"/>
      <c r="B149" s="616">
        <f t="shared" si="7"/>
        <v>39</v>
      </c>
      <c r="C149" s="604" t="s">
        <v>318</v>
      </c>
      <c r="D149" s="596" t="s">
        <v>659</v>
      </c>
      <c r="E149" s="596" t="s">
        <v>1930</v>
      </c>
      <c r="F149" s="643">
        <v>5</v>
      </c>
      <c r="G149" s="763">
        <v>7600</v>
      </c>
      <c r="H149" s="762">
        <f t="shared" si="6"/>
        <v>38000</v>
      </c>
      <c r="I149" s="309"/>
      <c r="J149" s="308"/>
      <c r="K149" s="60"/>
      <c r="L149" s="60"/>
      <c r="M149" s="60"/>
      <c r="N149" s="60"/>
      <c r="O149" s="60"/>
      <c r="P149" s="60"/>
      <c r="Q149" s="60"/>
      <c r="R149" s="60"/>
      <c r="S149" s="60"/>
      <c r="T149" s="60"/>
      <c r="U149" s="60"/>
      <c r="V149" s="60"/>
      <c r="W149" s="60"/>
      <c r="X149" s="60"/>
      <c r="Y149" s="60"/>
      <c r="Z149" s="60"/>
      <c r="AA149" s="60"/>
      <c r="AB149" s="60"/>
      <c r="AC149" s="60"/>
      <c r="AD149" s="60"/>
      <c r="AE149" s="60"/>
      <c r="AF149" s="60"/>
    </row>
    <row r="150" spans="1:32" s="96" customFormat="1" ht="242.25">
      <c r="A150" s="105"/>
      <c r="B150" s="616">
        <f t="shared" si="7"/>
        <v>40</v>
      </c>
      <c r="C150" s="604" t="s">
        <v>319</v>
      </c>
      <c r="D150" s="596" t="s">
        <v>660</v>
      </c>
      <c r="E150" s="596" t="s">
        <v>1930</v>
      </c>
      <c r="F150" s="643">
        <v>1</v>
      </c>
      <c r="G150" s="763">
        <v>3000</v>
      </c>
      <c r="H150" s="762">
        <f t="shared" si="6"/>
        <v>3000</v>
      </c>
      <c r="I150" s="309"/>
      <c r="J150" s="308"/>
      <c r="K150" s="60"/>
      <c r="L150" s="60"/>
      <c r="M150" s="60"/>
      <c r="N150" s="60"/>
      <c r="O150" s="60"/>
      <c r="P150" s="60"/>
      <c r="Q150" s="60"/>
      <c r="R150" s="60"/>
      <c r="S150" s="60"/>
      <c r="T150" s="60"/>
      <c r="U150" s="60"/>
      <c r="V150" s="60"/>
      <c r="W150" s="60"/>
      <c r="X150" s="60"/>
      <c r="Y150" s="60"/>
      <c r="Z150" s="60"/>
      <c r="AA150" s="60"/>
      <c r="AB150" s="60"/>
      <c r="AC150" s="60"/>
      <c r="AD150" s="60"/>
      <c r="AE150" s="60"/>
      <c r="AF150" s="60"/>
    </row>
    <row r="151" spans="1:32" s="96" customFormat="1" ht="191.25">
      <c r="A151" s="105"/>
      <c r="B151" s="616">
        <f t="shared" si="7"/>
        <v>41</v>
      </c>
      <c r="C151" s="604" t="s">
        <v>627</v>
      </c>
      <c r="D151" s="596" t="s">
        <v>1960</v>
      </c>
      <c r="E151" s="596" t="s">
        <v>1930</v>
      </c>
      <c r="F151" s="643">
        <v>10</v>
      </c>
      <c r="G151" s="766">
        <v>385</v>
      </c>
      <c r="H151" s="762">
        <f t="shared" si="6"/>
        <v>3850</v>
      </c>
      <c r="I151" s="309"/>
      <c r="J151" s="308"/>
      <c r="K151" s="60"/>
      <c r="L151" s="60"/>
      <c r="M151" s="60"/>
      <c r="N151" s="60"/>
      <c r="O151" s="60"/>
      <c r="P151" s="60"/>
      <c r="Q151" s="60"/>
      <c r="R151" s="60"/>
      <c r="S151" s="60"/>
      <c r="T151" s="60"/>
      <c r="U151" s="60"/>
      <c r="V151" s="60"/>
      <c r="W151" s="60"/>
      <c r="X151" s="60"/>
      <c r="Y151" s="60"/>
      <c r="Z151" s="60"/>
      <c r="AA151" s="60"/>
      <c r="AB151" s="60"/>
      <c r="AC151" s="60"/>
      <c r="AD151" s="60"/>
      <c r="AE151" s="60"/>
      <c r="AF151" s="60"/>
    </row>
    <row r="152" spans="1:32" s="96" customFormat="1" ht="76.5">
      <c r="A152" s="105"/>
      <c r="B152" s="616">
        <f t="shared" si="7"/>
        <v>42</v>
      </c>
      <c r="C152" s="604" t="s">
        <v>320</v>
      </c>
      <c r="D152" s="596" t="s">
        <v>1961</v>
      </c>
      <c r="E152" s="596" t="s">
        <v>1930</v>
      </c>
      <c r="F152" s="643">
        <v>20</v>
      </c>
      <c r="G152" s="766">
        <v>572</v>
      </c>
      <c r="H152" s="762">
        <f t="shared" si="6"/>
        <v>11440</v>
      </c>
      <c r="I152" s="309"/>
      <c r="J152" s="308"/>
      <c r="K152" s="60"/>
      <c r="L152" s="60"/>
      <c r="M152" s="60"/>
      <c r="N152" s="60"/>
      <c r="O152" s="60"/>
      <c r="P152" s="60"/>
      <c r="Q152" s="60"/>
      <c r="R152" s="60"/>
      <c r="S152" s="60"/>
      <c r="T152" s="60"/>
      <c r="U152" s="60"/>
      <c r="V152" s="60"/>
      <c r="W152" s="60"/>
      <c r="X152" s="60"/>
      <c r="Y152" s="60"/>
      <c r="Z152" s="60"/>
      <c r="AA152" s="60"/>
      <c r="AB152" s="60"/>
      <c r="AC152" s="60"/>
      <c r="AD152" s="60"/>
      <c r="AE152" s="60"/>
      <c r="AF152" s="60"/>
    </row>
    <row r="153" spans="1:32" s="96" customFormat="1" ht="25.5">
      <c r="A153" s="105"/>
      <c r="B153" s="616">
        <f t="shared" si="7"/>
        <v>43</v>
      </c>
      <c r="C153" s="604" t="s">
        <v>321</v>
      </c>
      <c r="D153" s="596" t="s">
        <v>661</v>
      </c>
      <c r="E153" s="596" t="s">
        <v>295</v>
      </c>
      <c r="F153" s="643">
        <v>2</v>
      </c>
      <c r="G153" s="766">
        <v>770</v>
      </c>
      <c r="H153" s="762">
        <f t="shared" si="6"/>
        <v>1540</v>
      </c>
      <c r="I153" s="309"/>
      <c r="J153" s="308"/>
      <c r="K153" s="60"/>
      <c r="L153" s="60"/>
      <c r="M153" s="60"/>
      <c r="N153" s="60"/>
      <c r="O153" s="60"/>
      <c r="P153" s="60"/>
      <c r="Q153" s="60"/>
      <c r="R153" s="60"/>
      <c r="S153" s="60"/>
      <c r="T153" s="60"/>
      <c r="U153" s="60"/>
      <c r="V153" s="60"/>
      <c r="W153" s="60"/>
      <c r="X153" s="60"/>
      <c r="Y153" s="60"/>
      <c r="Z153" s="60"/>
      <c r="AA153" s="60"/>
      <c r="AB153" s="60"/>
      <c r="AC153" s="60"/>
      <c r="AD153" s="60"/>
      <c r="AE153" s="60"/>
      <c r="AF153" s="60"/>
    </row>
    <row r="154" spans="1:32" s="96" customFormat="1" ht="38.25">
      <c r="A154" s="105"/>
      <c r="B154" s="616">
        <f t="shared" si="7"/>
        <v>44</v>
      </c>
      <c r="C154" s="604" t="s">
        <v>322</v>
      </c>
      <c r="D154" s="765" t="s">
        <v>662</v>
      </c>
      <c r="E154" s="596" t="s">
        <v>1930</v>
      </c>
      <c r="F154" s="643">
        <v>2</v>
      </c>
      <c r="G154" s="763">
        <v>2100</v>
      </c>
      <c r="H154" s="762">
        <f t="shared" si="6"/>
        <v>4200</v>
      </c>
      <c r="I154" s="309"/>
      <c r="J154" s="308"/>
      <c r="K154" s="60"/>
      <c r="L154" s="60"/>
      <c r="M154" s="60"/>
      <c r="N154" s="60"/>
      <c r="O154" s="60"/>
      <c r="P154" s="60"/>
      <c r="Q154" s="60"/>
      <c r="R154" s="60"/>
      <c r="S154" s="60"/>
      <c r="T154" s="60"/>
      <c r="U154" s="60"/>
      <c r="V154" s="60"/>
      <c r="W154" s="60"/>
      <c r="X154" s="60"/>
      <c r="Y154" s="60"/>
      <c r="Z154" s="60"/>
      <c r="AA154" s="60"/>
      <c r="AB154" s="60"/>
      <c r="AC154" s="60"/>
      <c r="AD154" s="60"/>
      <c r="AE154" s="60"/>
      <c r="AF154" s="60"/>
    </row>
    <row r="155" spans="1:32" s="96" customFormat="1" ht="25.5">
      <c r="A155" s="105"/>
      <c r="B155" s="616">
        <f t="shared" si="7"/>
        <v>45</v>
      </c>
      <c r="C155" s="604" t="s">
        <v>628</v>
      </c>
      <c r="D155" s="596" t="s">
        <v>562</v>
      </c>
      <c r="E155" s="596" t="s">
        <v>1930</v>
      </c>
      <c r="F155" s="643">
        <v>5</v>
      </c>
      <c r="G155" s="763">
        <v>2800</v>
      </c>
      <c r="H155" s="762">
        <f t="shared" si="6"/>
        <v>14000</v>
      </c>
      <c r="I155" s="309"/>
      <c r="J155" s="308"/>
      <c r="K155" s="60"/>
      <c r="L155" s="60"/>
      <c r="M155" s="60"/>
      <c r="N155" s="60"/>
      <c r="O155" s="60"/>
      <c r="P155" s="60"/>
      <c r="Q155" s="60"/>
      <c r="R155" s="60"/>
      <c r="S155" s="60"/>
      <c r="T155" s="60"/>
      <c r="U155" s="60"/>
      <c r="V155" s="60"/>
      <c r="W155" s="60"/>
      <c r="X155" s="60"/>
      <c r="Y155" s="60"/>
      <c r="Z155" s="60"/>
      <c r="AA155" s="60"/>
      <c r="AB155" s="60"/>
      <c r="AC155" s="60"/>
      <c r="AD155" s="60"/>
      <c r="AE155" s="60"/>
      <c r="AF155" s="60"/>
    </row>
    <row r="156" spans="1:32" s="96" customFormat="1" ht="89.25">
      <c r="A156" s="105"/>
      <c r="B156" s="616">
        <f t="shared" si="7"/>
        <v>46</v>
      </c>
      <c r="C156" s="604" t="s">
        <v>629</v>
      </c>
      <c r="D156" s="596" t="s">
        <v>1962</v>
      </c>
      <c r="E156" s="596" t="s">
        <v>1930</v>
      </c>
      <c r="F156" s="643">
        <v>5</v>
      </c>
      <c r="G156" s="766">
        <v>187</v>
      </c>
      <c r="H156" s="762">
        <f t="shared" si="6"/>
        <v>935</v>
      </c>
      <c r="I156" s="309"/>
      <c r="J156" s="308"/>
      <c r="K156" s="60"/>
      <c r="L156" s="60"/>
      <c r="M156" s="60"/>
      <c r="N156" s="60"/>
      <c r="O156" s="60"/>
      <c r="P156" s="60"/>
      <c r="Q156" s="60"/>
      <c r="R156" s="60"/>
      <c r="S156" s="60"/>
      <c r="T156" s="60"/>
      <c r="U156" s="60"/>
      <c r="V156" s="60"/>
      <c r="W156" s="60"/>
      <c r="X156" s="60"/>
      <c r="Y156" s="60"/>
      <c r="Z156" s="60"/>
      <c r="AA156" s="60"/>
      <c r="AB156" s="60"/>
      <c r="AC156" s="60"/>
      <c r="AD156" s="60"/>
      <c r="AE156" s="60"/>
      <c r="AF156" s="60"/>
    </row>
    <row r="157" spans="1:32" s="96" customFormat="1" ht="89.25">
      <c r="A157" s="105"/>
      <c r="B157" s="616">
        <f t="shared" si="7"/>
        <v>47</v>
      </c>
      <c r="C157" s="604" t="s">
        <v>630</v>
      </c>
      <c r="D157" s="596" t="s">
        <v>1963</v>
      </c>
      <c r="E157" s="596" t="s">
        <v>1930</v>
      </c>
      <c r="F157" s="643">
        <v>5</v>
      </c>
      <c r="G157" s="766">
        <v>231</v>
      </c>
      <c r="H157" s="762">
        <f t="shared" si="6"/>
        <v>1155</v>
      </c>
      <c r="I157" s="309"/>
      <c r="J157" s="308"/>
      <c r="K157" s="60"/>
      <c r="L157" s="60"/>
      <c r="M157" s="60"/>
      <c r="N157" s="60"/>
      <c r="O157" s="60"/>
      <c r="P157" s="60"/>
      <c r="Q157" s="60"/>
      <c r="R157" s="60"/>
      <c r="S157" s="60"/>
      <c r="T157" s="60"/>
      <c r="U157" s="60"/>
      <c r="V157" s="60"/>
      <c r="W157" s="60"/>
      <c r="X157" s="60"/>
      <c r="Y157" s="60"/>
      <c r="Z157" s="60"/>
      <c r="AA157" s="60"/>
      <c r="AB157" s="60"/>
      <c r="AC157" s="60"/>
      <c r="AD157" s="60"/>
      <c r="AE157" s="60"/>
      <c r="AF157" s="60"/>
    </row>
    <row r="158" spans="1:32" s="96" customFormat="1" ht="25.5">
      <c r="A158" s="105"/>
      <c r="B158" s="616">
        <f t="shared" si="7"/>
        <v>48</v>
      </c>
      <c r="C158" s="604" t="s">
        <v>631</v>
      </c>
      <c r="D158" s="596" t="s">
        <v>1964</v>
      </c>
      <c r="E158" s="596" t="s">
        <v>1930</v>
      </c>
      <c r="F158" s="643">
        <v>10</v>
      </c>
      <c r="G158" s="766">
        <v>121</v>
      </c>
      <c r="H158" s="762">
        <f t="shared" si="6"/>
        <v>1210</v>
      </c>
      <c r="I158" s="309"/>
      <c r="J158" s="308"/>
      <c r="K158" s="60"/>
      <c r="L158" s="60"/>
      <c r="M158" s="60"/>
      <c r="N158" s="60"/>
      <c r="O158" s="60"/>
      <c r="P158" s="60"/>
      <c r="Q158" s="60"/>
      <c r="R158" s="60"/>
      <c r="S158" s="60"/>
      <c r="T158" s="60"/>
      <c r="U158" s="60"/>
      <c r="V158" s="60"/>
      <c r="W158" s="60"/>
      <c r="X158" s="60"/>
      <c r="Y158" s="60"/>
      <c r="Z158" s="60"/>
      <c r="AA158" s="60"/>
      <c r="AB158" s="60"/>
      <c r="AC158" s="60"/>
      <c r="AD158" s="60"/>
      <c r="AE158" s="60"/>
      <c r="AF158" s="60"/>
    </row>
    <row r="159" spans="1:32" s="96" customFormat="1" ht="15">
      <c r="A159" s="105"/>
      <c r="B159" s="616">
        <f t="shared" si="7"/>
        <v>49</v>
      </c>
      <c r="C159" s="604" t="s">
        <v>632</v>
      </c>
      <c r="D159" s="596" t="s">
        <v>1964</v>
      </c>
      <c r="E159" s="596" t="s">
        <v>1930</v>
      </c>
      <c r="F159" s="643">
        <v>10</v>
      </c>
      <c r="G159" s="766">
        <v>132</v>
      </c>
      <c r="H159" s="762">
        <f t="shared" si="6"/>
        <v>1320</v>
      </c>
      <c r="I159" s="309"/>
      <c r="J159" s="308"/>
      <c r="K159" s="60"/>
      <c r="L159" s="60"/>
      <c r="M159" s="60"/>
      <c r="N159" s="60"/>
      <c r="O159" s="60"/>
      <c r="P159" s="60"/>
      <c r="Q159" s="60"/>
      <c r="R159" s="60"/>
      <c r="S159" s="60"/>
      <c r="T159" s="60"/>
      <c r="U159" s="60"/>
      <c r="V159" s="60"/>
      <c r="W159" s="60"/>
      <c r="X159" s="60"/>
      <c r="Y159" s="60"/>
      <c r="Z159" s="60"/>
      <c r="AA159" s="60"/>
      <c r="AB159" s="60"/>
      <c r="AC159" s="60"/>
      <c r="AD159" s="60"/>
      <c r="AE159" s="60"/>
      <c r="AF159" s="60"/>
    </row>
    <row r="160" spans="1:32" s="96" customFormat="1" ht="15">
      <c r="A160" s="105"/>
      <c r="B160" s="616">
        <f t="shared" si="7"/>
        <v>50</v>
      </c>
      <c r="C160" s="604" t="s">
        <v>1965</v>
      </c>
      <c r="D160" s="596" t="s">
        <v>1964</v>
      </c>
      <c r="E160" s="596" t="s">
        <v>1930</v>
      </c>
      <c r="F160" s="643">
        <v>10</v>
      </c>
      <c r="G160" s="766">
        <v>121</v>
      </c>
      <c r="H160" s="762">
        <f t="shared" si="6"/>
        <v>1210</v>
      </c>
      <c r="I160" s="309"/>
      <c r="J160" s="308"/>
      <c r="K160" s="60"/>
      <c r="L160" s="60"/>
      <c r="M160" s="60"/>
      <c r="N160" s="60"/>
      <c r="O160" s="60"/>
      <c r="P160" s="60"/>
      <c r="Q160" s="60"/>
      <c r="R160" s="60"/>
      <c r="S160" s="60"/>
      <c r="T160" s="60"/>
      <c r="U160" s="60"/>
      <c r="V160" s="60"/>
      <c r="W160" s="60"/>
      <c r="X160" s="60"/>
      <c r="Y160" s="60"/>
      <c r="Z160" s="60"/>
      <c r="AA160" s="60"/>
      <c r="AB160" s="60"/>
      <c r="AC160" s="60"/>
      <c r="AD160" s="60"/>
      <c r="AE160" s="60"/>
      <c r="AF160" s="60"/>
    </row>
    <row r="161" spans="1:32" s="96" customFormat="1" ht="25.5">
      <c r="A161" s="105"/>
      <c r="B161" s="616">
        <f t="shared" si="7"/>
        <v>51</v>
      </c>
      <c r="C161" s="604" t="s">
        <v>1966</v>
      </c>
      <c r="D161" s="596" t="s">
        <v>1967</v>
      </c>
      <c r="E161" s="596" t="s">
        <v>1930</v>
      </c>
      <c r="F161" s="643">
        <v>10</v>
      </c>
      <c r="G161" s="766">
        <v>660</v>
      </c>
      <c r="H161" s="762">
        <f t="shared" si="6"/>
        <v>6600</v>
      </c>
      <c r="I161" s="309"/>
      <c r="J161" s="308"/>
      <c r="K161" s="60"/>
      <c r="L161" s="60"/>
      <c r="M161" s="60"/>
      <c r="N161" s="60"/>
      <c r="O161" s="60"/>
      <c r="P161" s="60"/>
      <c r="Q161" s="60"/>
      <c r="R161" s="60"/>
      <c r="S161" s="60"/>
      <c r="T161" s="60"/>
      <c r="U161" s="60"/>
      <c r="V161" s="60"/>
      <c r="W161" s="60"/>
      <c r="X161" s="60"/>
      <c r="Y161" s="60"/>
      <c r="Z161" s="60"/>
      <c r="AA161" s="60"/>
      <c r="AB161" s="60"/>
      <c r="AC161" s="60"/>
      <c r="AD161" s="60"/>
      <c r="AE161" s="60"/>
      <c r="AF161" s="60"/>
    </row>
    <row r="162" spans="1:32" s="96" customFormat="1" ht="25.5">
      <c r="A162" s="105"/>
      <c r="B162" s="616">
        <f t="shared" si="7"/>
        <v>52</v>
      </c>
      <c r="C162" s="604" t="s">
        <v>323</v>
      </c>
      <c r="D162" s="596" t="s">
        <v>663</v>
      </c>
      <c r="E162" s="596" t="s">
        <v>1930</v>
      </c>
      <c r="F162" s="643">
        <v>5</v>
      </c>
      <c r="G162" s="766">
        <v>660</v>
      </c>
      <c r="H162" s="762">
        <f t="shared" si="6"/>
        <v>3300</v>
      </c>
      <c r="I162" s="309"/>
      <c r="J162" s="308"/>
      <c r="K162" s="60"/>
      <c r="L162" s="60"/>
      <c r="M162" s="60"/>
      <c r="N162" s="60"/>
      <c r="O162" s="60"/>
      <c r="P162" s="60"/>
      <c r="Q162" s="60"/>
      <c r="R162" s="60"/>
      <c r="S162" s="60"/>
      <c r="T162" s="60"/>
      <c r="U162" s="60"/>
      <c r="V162" s="60"/>
      <c r="W162" s="60"/>
      <c r="X162" s="60"/>
      <c r="Y162" s="60"/>
      <c r="Z162" s="60"/>
      <c r="AA162" s="60"/>
      <c r="AB162" s="60"/>
      <c r="AC162" s="60"/>
      <c r="AD162" s="60"/>
      <c r="AE162" s="60"/>
      <c r="AF162" s="60"/>
    </row>
    <row r="163" spans="1:32" s="96" customFormat="1" ht="25.5">
      <c r="A163" s="105"/>
      <c r="B163" s="616">
        <f t="shared" si="7"/>
        <v>53</v>
      </c>
      <c r="C163" s="604" t="s">
        <v>323</v>
      </c>
      <c r="D163" s="596" t="s">
        <v>664</v>
      </c>
      <c r="E163" s="596" t="s">
        <v>1930</v>
      </c>
      <c r="F163" s="643">
        <v>5</v>
      </c>
      <c r="G163" s="766">
        <v>660</v>
      </c>
      <c r="H163" s="762">
        <f t="shared" si="6"/>
        <v>3300</v>
      </c>
      <c r="I163" s="309"/>
      <c r="J163" s="308"/>
      <c r="K163" s="60"/>
      <c r="L163" s="60"/>
      <c r="M163" s="60"/>
      <c r="N163" s="60"/>
      <c r="O163" s="60"/>
      <c r="P163" s="60"/>
      <c r="Q163" s="60"/>
      <c r="R163" s="60"/>
      <c r="S163" s="60"/>
      <c r="T163" s="60"/>
      <c r="U163" s="60"/>
      <c r="V163" s="60"/>
      <c r="W163" s="60"/>
      <c r="X163" s="60"/>
      <c r="Y163" s="60"/>
      <c r="Z163" s="60"/>
      <c r="AA163" s="60"/>
      <c r="AB163" s="60"/>
      <c r="AC163" s="60"/>
      <c r="AD163" s="60"/>
      <c r="AE163" s="60"/>
      <c r="AF163" s="60"/>
    </row>
    <row r="164" spans="1:32" s="96" customFormat="1" ht="25.5">
      <c r="A164" s="105"/>
      <c r="B164" s="616">
        <f t="shared" si="7"/>
        <v>54</v>
      </c>
      <c r="C164" s="604" t="s">
        <v>324</v>
      </c>
      <c r="D164" s="596" t="s">
        <v>665</v>
      </c>
      <c r="E164" s="596" t="s">
        <v>1930</v>
      </c>
      <c r="F164" s="643">
        <v>5</v>
      </c>
      <c r="G164" s="766">
        <v>770</v>
      </c>
      <c r="H164" s="762">
        <f t="shared" si="6"/>
        <v>3850</v>
      </c>
      <c r="I164" s="309"/>
      <c r="J164" s="308"/>
      <c r="K164" s="60"/>
      <c r="L164" s="60"/>
      <c r="M164" s="60"/>
      <c r="N164" s="60"/>
      <c r="O164" s="60"/>
      <c r="P164" s="60"/>
      <c r="Q164" s="60"/>
      <c r="R164" s="60"/>
      <c r="S164" s="60"/>
      <c r="T164" s="60"/>
      <c r="U164" s="60"/>
      <c r="V164" s="60"/>
      <c r="W164" s="60"/>
      <c r="X164" s="60"/>
      <c r="Y164" s="60"/>
      <c r="Z164" s="60"/>
      <c r="AA164" s="60"/>
      <c r="AB164" s="60"/>
      <c r="AC164" s="60"/>
      <c r="AD164" s="60"/>
      <c r="AE164" s="60"/>
      <c r="AF164" s="60"/>
    </row>
    <row r="165" spans="1:32" s="96" customFormat="1" ht="25.5">
      <c r="A165" s="105"/>
      <c r="B165" s="616">
        <f t="shared" si="7"/>
        <v>55</v>
      </c>
      <c r="C165" s="604" t="s">
        <v>324</v>
      </c>
      <c r="D165" s="596" t="s">
        <v>664</v>
      </c>
      <c r="E165" s="596" t="s">
        <v>1930</v>
      </c>
      <c r="F165" s="643">
        <v>5</v>
      </c>
      <c r="G165" s="766">
        <v>770</v>
      </c>
      <c r="H165" s="762">
        <f t="shared" si="6"/>
        <v>3850</v>
      </c>
      <c r="I165" s="309"/>
      <c r="J165" s="308"/>
      <c r="K165" s="60"/>
      <c r="L165" s="60"/>
      <c r="M165" s="60"/>
      <c r="N165" s="60"/>
      <c r="O165" s="60"/>
      <c r="P165" s="60"/>
      <c r="Q165" s="60"/>
      <c r="R165" s="60"/>
      <c r="S165" s="60"/>
      <c r="T165" s="60"/>
      <c r="U165" s="60"/>
      <c r="V165" s="60"/>
      <c r="W165" s="60"/>
      <c r="X165" s="60"/>
      <c r="Y165" s="60"/>
      <c r="Z165" s="60"/>
      <c r="AA165" s="60"/>
      <c r="AB165" s="60"/>
      <c r="AC165" s="60"/>
      <c r="AD165" s="60"/>
      <c r="AE165" s="60"/>
      <c r="AF165" s="60"/>
    </row>
    <row r="166" spans="1:32" s="96" customFormat="1" ht="23.25" customHeight="1">
      <c r="A166" s="105"/>
      <c r="B166" s="616">
        <f t="shared" si="7"/>
        <v>56</v>
      </c>
      <c r="C166" s="604" t="s">
        <v>219</v>
      </c>
      <c r="D166" s="596" t="s">
        <v>563</v>
      </c>
      <c r="E166" s="596" t="s">
        <v>1930</v>
      </c>
      <c r="F166" s="643">
        <v>10</v>
      </c>
      <c r="G166" s="766">
        <v>440</v>
      </c>
      <c r="H166" s="762">
        <f t="shared" si="6"/>
        <v>4400</v>
      </c>
      <c r="I166" s="309"/>
      <c r="J166" s="308"/>
      <c r="K166" s="60"/>
      <c r="L166" s="60"/>
      <c r="M166" s="60"/>
      <c r="N166" s="60"/>
      <c r="O166" s="60"/>
      <c r="P166" s="60"/>
      <c r="Q166" s="60"/>
      <c r="R166" s="60"/>
      <c r="S166" s="60"/>
      <c r="T166" s="60"/>
      <c r="U166" s="60"/>
      <c r="V166" s="60"/>
      <c r="W166" s="60"/>
      <c r="X166" s="60"/>
      <c r="Y166" s="60"/>
      <c r="Z166" s="60"/>
      <c r="AA166" s="60"/>
      <c r="AB166" s="60"/>
      <c r="AC166" s="60"/>
      <c r="AD166" s="60"/>
      <c r="AE166" s="60"/>
      <c r="AF166" s="60"/>
    </row>
    <row r="167" spans="1:32" s="96" customFormat="1" ht="51">
      <c r="A167" s="105"/>
      <c r="B167" s="616">
        <f t="shared" si="7"/>
        <v>57</v>
      </c>
      <c r="C167" s="604" t="s">
        <v>1968</v>
      </c>
      <c r="D167" s="765" t="s">
        <v>1969</v>
      </c>
      <c r="E167" s="596" t="s">
        <v>295</v>
      </c>
      <c r="F167" s="643">
        <v>1</v>
      </c>
      <c r="G167" s="763">
        <v>4600</v>
      </c>
      <c r="H167" s="762">
        <f t="shared" si="6"/>
        <v>4600</v>
      </c>
      <c r="I167" s="309"/>
      <c r="J167" s="308"/>
      <c r="K167" s="60"/>
      <c r="L167" s="60"/>
      <c r="M167" s="60"/>
      <c r="N167" s="60"/>
      <c r="O167" s="60"/>
      <c r="P167" s="60"/>
      <c r="Q167" s="60"/>
      <c r="R167" s="60"/>
      <c r="S167" s="60"/>
      <c r="T167" s="60"/>
      <c r="U167" s="60"/>
      <c r="V167" s="60"/>
      <c r="W167" s="60"/>
      <c r="X167" s="60"/>
      <c r="Y167" s="60"/>
      <c r="Z167" s="60"/>
      <c r="AA167" s="60"/>
      <c r="AB167" s="60"/>
      <c r="AC167" s="60"/>
      <c r="AD167" s="60"/>
      <c r="AE167" s="60"/>
      <c r="AF167" s="60"/>
    </row>
    <row r="168" spans="1:32" s="96" customFormat="1" ht="63.75">
      <c r="A168" s="105"/>
      <c r="B168" s="616">
        <f t="shared" si="7"/>
        <v>58</v>
      </c>
      <c r="C168" s="604" t="s">
        <v>1970</v>
      </c>
      <c r="D168" s="596" t="s">
        <v>1971</v>
      </c>
      <c r="E168" s="596" t="s">
        <v>295</v>
      </c>
      <c r="F168" s="643">
        <v>1</v>
      </c>
      <c r="G168" s="763">
        <v>10900</v>
      </c>
      <c r="H168" s="762">
        <f t="shared" si="6"/>
        <v>10900</v>
      </c>
      <c r="I168" s="309"/>
      <c r="J168" s="308"/>
      <c r="K168" s="60"/>
      <c r="L168" s="60"/>
      <c r="M168" s="60"/>
      <c r="N168" s="60"/>
      <c r="O168" s="60"/>
      <c r="P168" s="60"/>
      <c r="Q168" s="60"/>
      <c r="R168" s="60"/>
      <c r="S168" s="60"/>
      <c r="T168" s="60"/>
      <c r="U168" s="60"/>
      <c r="V168" s="60"/>
      <c r="W168" s="60"/>
      <c r="X168" s="60"/>
      <c r="Y168" s="60"/>
      <c r="Z168" s="60"/>
      <c r="AA168" s="60"/>
      <c r="AB168" s="60"/>
      <c r="AC168" s="60"/>
      <c r="AD168" s="60"/>
      <c r="AE168" s="60"/>
      <c r="AF168" s="60"/>
    </row>
    <row r="169" spans="1:32" s="96" customFormat="1" ht="51">
      <c r="A169" s="105"/>
      <c r="B169" s="616">
        <f t="shared" si="7"/>
        <v>59</v>
      </c>
      <c r="C169" s="604" t="s">
        <v>325</v>
      </c>
      <c r="D169" s="596" t="s">
        <v>666</v>
      </c>
      <c r="E169" s="596" t="s">
        <v>295</v>
      </c>
      <c r="F169" s="643">
        <v>1</v>
      </c>
      <c r="G169" s="763">
        <v>10900</v>
      </c>
      <c r="H169" s="762">
        <f t="shared" si="6"/>
        <v>10900</v>
      </c>
      <c r="I169" s="309"/>
      <c r="J169" s="308"/>
      <c r="K169" s="60"/>
      <c r="L169" s="60"/>
      <c r="M169" s="60"/>
      <c r="N169" s="60"/>
      <c r="O169" s="60"/>
      <c r="P169" s="60"/>
      <c r="Q169" s="60"/>
      <c r="R169" s="60"/>
      <c r="S169" s="60"/>
      <c r="T169" s="60"/>
      <c r="U169" s="60"/>
      <c r="V169" s="60"/>
      <c r="W169" s="60"/>
      <c r="X169" s="60"/>
      <c r="Y169" s="60"/>
      <c r="Z169" s="60"/>
      <c r="AA169" s="60"/>
      <c r="AB169" s="60"/>
      <c r="AC169" s="60"/>
      <c r="AD169" s="60"/>
      <c r="AE169" s="60"/>
      <c r="AF169" s="60"/>
    </row>
    <row r="170" spans="1:32" s="96" customFormat="1" ht="25.5">
      <c r="A170" s="105"/>
      <c r="B170" s="616">
        <f t="shared" si="7"/>
        <v>60</v>
      </c>
      <c r="C170" s="604" t="s">
        <v>1972</v>
      </c>
      <c r="D170" s="596" t="s">
        <v>1973</v>
      </c>
      <c r="E170" s="596" t="s">
        <v>1954</v>
      </c>
      <c r="F170" s="643">
        <v>1</v>
      </c>
      <c r="G170" s="763">
        <v>5300</v>
      </c>
      <c r="H170" s="762">
        <f t="shared" si="6"/>
        <v>5300</v>
      </c>
      <c r="I170" s="309"/>
      <c r="J170" s="308"/>
      <c r="K170" s="60"/>
      <c r="L170" s="60"/>
      <c r="M170" s="60"/>
      <c r="N170" s="60"/>
      <c r="O170" s="60"/>
      <c r="P170" s="60"/>
      <c r="Q170" s="60"/>
      <c r="R170" s="60"/>
      <c r="S170" s="60"/>
      <c r="T170" s="60"/>
      <c r="U170" s="60"/>
      <c r="V170" s="60"/>
      <c r="W170" s="60"/>
      <c r="X170" s="60"/>
      <c r="Y170" s="60"/>
      <c r="Z170" s="60"/>
      <c r="AA170" s="60"/>
      <c r="AB170" s="60"/>
      <c r="AC170" s="60"/>
      <c r="AD170" s="60"/>
      <c r="AE170" s="60"/>
      <c r="AF170" s="60"/>
    </row>
    <row r="171" spans="1:32" s="96" customFormat="1" ht="38.25">
      <c r="A171" s="105"/>
      <c r="B171" s="616">
        <f t="shared" si="7"/>
        <v>61</v>
      </c>
      <c r="C171" s="604" t="s">
        <v>1974</v>
      </c>
      <c r="D171" s="596" t="s">
        <v>1975</v>
      </c>
      <c r="E171" s="596" t="s">
        <v>1954</v>
      </c>
      <c r="F171" s="643">
        <v>1</v>
      </c>
      <c r="G171" s="763">
        <v>3800</v>
      </c>
      <c r="H171" s="762">
        <f t="shared" si="6"/>
        <v>3800</v>
      </c>
      <c r="I171" s="309"/>
      <c r="J171" s="308"/>
      <c r="K171" s="60"/>
      <c r="L171" s="60"/>
      <c r="M171" s="60"/>
      <c r="N171" s="60"/>
      <c r="O171" s="60"/>
      <c r="P171" s="60"/>
      <c r="Q171" s="60"/>
      <c r="R171" s="60"/>
      <c r="S171" s="60"/>
      <c r="T171" s="60"/>
      <c r="U171" s="60"/>
      <c r="V171" s="60"/>
      <c r="W171" s="60"/>
      <c r="X171" s="60"/>
      <c r="Y171" s="60"/>
      <c r="Z171" s="60"/>
      <c r="AA171" s="60"/>
      <c r="AB171" s="60"/>
      <c r="AC171" s="60"/>
      <c r="AD171" s="60"/>
      <c r="AE171" s="60"/>
      <c r="AF171" s="60"/>
    </row>
    <row r="172" spans="1:32" s="96" customFormat="1" ht="38.25">
      <c r="A172" s="105"/>
      <c r="B172" s="616">
        <f t="shared" si="7"/>
        <v>62</v>
      </c>
      <c r="C172" s="604" t="s">
        <v>1974</v>
      </c>
      <c r="D172" s="596" t="s">
        <v>667</v>
      </c>
      <c r="E172" s="596" t="s">
        <v>1954</v>
      </c>
      <c r="F172" s="643">
        <v>1</v>
      </c>
      <c r="G172" s="763">
        <v>4000</v>
      </c>
      <c r="H172" s="762">
        <f t="shared" si="6"/>
        <v>4000</v>
      </c>
      <c r="I172" s="309"/>
      <c r="J172" s="308"/>
      <c r="K172" s="60"/>
      <c r="L172" s="60"/>
      <c r="M172" s="60"/>
      <c r="N172" s="60"/>
      <c r="O172" s="60"/>
      <c r="P172" s="60"/>
      <c r="Q172" s="60"/>
      <c r="R172" s="60"/>
      <c r="S172" s="60"/>
      <c r="T172" s="60"/>
      <c r="U172" s="60"/>
      <c r="V172" s="60"/>
      <c r="W172" s="60"/>
      <c r="X172" s="60"/>
      <c r="Y172" s="60"/>
      <c r="Z172" s="60"/>
      <c r="AA172" s="60"/>
      <c r="AB172" s="60"/>
      <c r="AC172" s="60"/>
      <c r="AD172" s="60"/>
      <c r="AE172" s="60"/>
      <c r="AF172" s="60"/>
    </row>
    <row r="173" spans="1:32" s="96" customFormat="1" ht="25.5">
      <c r="A173" s="105"/>
      <c r="B173" s="616">
        <f t="shared" si="7"/>
        <v>63</v>
      </c>
      <c r="C173" s="604" t="s">
        <v>326</v>
      </c>
      <c r="D173" s="596" t="s">
        <v>564</v>
      </c>
      <c r="E173" s="596" t="s">
        <v>1954</v>
      </c>
      <c r="F173" s="643">
        <v>1</v>
      </c>
      <c r="G173" s="763">
        <v>1900</v>
      </c>
      <c r="H173" s="762">
        <f t="shared" si="6"/>
        <v>1900</v>
      </c>
      <c r="I173" s="309"/>
      <c r="J173" s="308"/>
      <c r="K173" s="60"/>
      <c r="L173" s="60"/>
      <c r="M173" s="60"/>
      <c r="N173" s="60"/>
      <c r="O173" s="60"/>
      <c r="P173" s="60"/>
      <c r="Q173" s="60"/>
      <c r="R173" s="60"/>
      <c r="S173" s="60"/>
      <c r="T173" s="60"/>
      <c r="U173" s="60"/>
      <c r="V173" s="60"/>
      <c r="W173" s="60"/>
      <c r="X173" s="60"/>
      <c r="Y173" s="60"/>
      <c r="Z173" s="60"/>
      <c r="AA173" s="60"/>
      <c r="AB173" s="60"/>
      <c r="AC173" s="60"/>
      <c r="AD173" s="60"/>
      <c r="AE173" s="60"/>
      <c r="AF173" s="60"/>
    </row>
    <row r="174" spans="1:32" s="96" customFormat="1" ht="25.5">
      <c r="A174" s="105"/>
      <c r="B174" s="616">
        <f t="shared" si="7"/>
        <v>64</v>
      </c>
      <c r="C174" s="604" t="s">
        <v>326</v>
      </c>
      <c r="D174" s="596" t="s">
        <v>1976</v>
      </c>
      <c r="E174" s="596" t="s">
        <v>1954</v>
      </c>
      <c r="F174" s="643">
        <v>1</v>
      </c>
      <c r="G174" s="763">
        <v>2100</v>
      </c>
      <c r="H174" s="762">
        <f t="shared" si="6"/>
        <v>2100</v>
      </c>
      <c r="I174" s="309"/>
      <c r="J174" s="308"/>
      <c r="K174" s="60"/>
      <c r="L174" s="60"/>
      <c r="M174" s="60"/>
      <c r="N174" s="60"/>
      <c r="O174" s="60"/>
      <c r="P174" s="60"/>
      <c r="Q174" s="60"/>
      <c r="R174" s="60"/>
      <c r="S174" s="60"/>
      <c r="T174" s="60"/>
      <c r="U174" s="60"/>
      <c r="V174" s="60"/>
      <c r="W174" s="60"/>
      <c r="X174" s="60"/>
      <c r="Y174" s="60"/>
      <c r="Z174" s="60"/>
      <c r="AA174" s="60"/>
      <c r="AB174" s="60"/>
      <c r="AC174" s="60"/>
      <c r="AD174" s="60"/>
      <c r="AE174" s="60"/>
      <c r="AF174" s="60"/>
    </row>
    <row r="175" spans="1:32" s="96" customFormat="1" ht="25.5">
      <c r="A175" s="105"/>
      <c r="B175" s="616">
        <f t="shared" si="7"/>
        <v>65</v>
      </c>
      <c r="C175" s="604" t="s">
        <v>326</v>
      </c>
      <c r="D175" s="596" t="s">
        <v>1977</v>
      </c>
      <c r="E175" s="596" t="s">
        <v>1954</v>
      </c>
      <c r="F175" s="643">
        <v>1</v>
      </c>
      <c r="G175" s="763">
        <v>2100</v>
      </c>
      <c r="H175" s="762">
        <f t="shared" ref="H175:H238" si="8">F175*G175</f>
        <v>2100</v>
      </c>
      <c r="I175" s="309"/>
      <c r="J175" s="308"/>
      <c r="K175" s="60"/>
      <c r="L175" s="60"/>
      <c r="M175" s="60"/>
      <c r="N175" s="60"/>
      <c r="O175" s="60"/>
      <c r="P175" s="60"/>
      <c r="Q175" s="60"/>
      <c r="R175" s="60"/>
      <c r="S175" s="60"/>
      <c r="T175" s="60"/>
      <c r="U175" s="60"/>
      <c r="V175" s="60"/>
      <c r="W175" s="60"/>
      <c r="X175" s="60"/>
      <c r="Y175" s="60"/>
      <c r="Z175" s="60"/>
      <c r="AA175" s="60"/>
      <c r="AB175" s="60"/>
      <c r="AC175" s="60"/>
      <c r="AD175" s="60"/>
      <c r="AE175" s="60"/>
      <c r="AF175" s="60"/>
    </row>
    <row r="176" spans="1:32" s="96" customFormat="1" ht="25.5">
      <c r="A176" s="105"/>
      <c r="B176" s="616">
        <f t="shared" si="7"/>
        <v>66</v>
      </c>
      <c r="C176" s="604" t="s">
        <v>326</v>
      </c>
      <c r="D176" s="596" t="s">
        <v>565</v>
      </c>
      <c r="E176" s="596" t="s">
        <v>1954</v>
      </c>
      <c r="F176" s="643">
        <v>1</v>
      </c>
      <c r="G176" s="763">
        <v>2100</v>
      </c>
      <c r="H176" s="762">
        <f t="shared" si="8"/>
        <v>2100</v>
      </c>
      <c r="I176" s="309"/>
      <c r="J176" s="308"/>
      <c r="K176" s="60"/>
      <c r="L176" s="60"/>
      <c r="M176" s="60"/>
      <c r="N176" s="60"/>
      <c r="O176" s="60"/>
      <c r="P176" s="60"/>
      <c r="Q176" s="60"/>
      <c r="R176" s="60"/>
      <c r="S176" s="60"/>
      <c r="T176" s="60"/>
      <c r="U176" s="60"/>
      <c r="V176" s="60"/>
      <c r="W176" s="60"/>
      <c r="X176" s="60"/>
      <c r="Y176" s="60"/>
      <c r="Z176" s="60"/>
      <c r="AA176" s="60"/>
      <c r="AB176" s="60"/>
      <c r="AC176" s="60"/>
      <c r="AD176" s="60"/>
      <c r="AE176" s="60"/>
      <c r="AF176" s="60"/>
    </row>
    <row r="177" spans="1:32" s="96" customFormat="1" ht="25.5">
      <c r="A177" s="105"/>
      <c r="B177" s="616">
        <f t="shared" ref="B177:B240" si="9">B176+1</f>
        <v>67</v>
      </c>
      <c r="C177" s="604" t="s">
        <v>326</v>
      </c>
      <c r="D177" s="596" t="s">
        <v>1978</v>
      </c>
      <c r="E177" s="596" t="s">
        <v>1954</v>
      </c>
      <c r="F177" s="643">
        <v>1</v>
      </c>
      <c r="G177" s="763">
        <v>2100</v>
      </c>
      <c r="H177" s="762">
        <f t="shared" si="8"/>
        <v>2100</v>
      </c>
      <c r="I177" s="309"/>
      <c r="J177" s="308"/>
      <c r="K177" s="60"/>
      <c r="L177" s="60"/>
      <c r="M177" s="60"/>
      <c r="N177" s="60"/>
      <c r="O177" s="60"/>
      <c r="P177" s="60"/>
      <c r="Q177" s="60"/>
      <c r="R177" s="60"/>
      <c r="S177" s="60"/>
      <c r="T177" s="60"/>
      <c r="U177" s="60"/>
      <c r="V177" s="60"/>
      <c r="W177" s="60"/>
      <c r="X177" s="60"/>
      <c r="Y177" s="60"/>
      <c r="Z177" s="60"/>
      <c r="AA177" s="60"/>
      <c r="AB177" s="60"/>
      <c r="AC177" s="60"/>
      <c r="AD177" s="60"/>
      <c r="AE177" s="60"/>
      <c r="AF177" s="60"/>
    </row>
    <row r="178" spans="1:32" s="96" customFormat="1" ht="38.25">
      <c r="A178" s="105"/>
      <c r="B178" s="616">
        <f t="shared" si="9"/>
        <v>68</v>
      </c>
      <c r="C178" s="604" t="s">
        <v>633</v>
      </c>
      <c r="D178" s="596" t="s">
        <v>566</v>
      </c>
      <c r="E178" s="596" t="s">
        <v>1954</v>
      </c>
      <c r="F178" s="643">
        <v>1</v>
      </c>
      <c r="G178" s="763">
        <v>2900</v>
      </c>
      <c r="H178" s="762">
        <f t="shared" si="8"/>
        <v>2900</v>
      </c>
      <c r="I178" s="309"/>
      <c r="J178" s="308"/>
      <c r="K178" s="60"/>
      <c r="L178" s="60"/>
      <c r="M178" s="60"/>
      <c r="N178" s="60"/>
      <c r="O178" s="60"/>
      <c r="P178" s="60"/>
      <c r="Q178" s="60"/>
      <c r="R178" s="60"/>
      <c r="S178" s="60"/>
      <c r="T178" s="60"/>
      <c r="U178" s="60"/>
      <c r="V178" s="60"/>
      <c r="W178" s="60"/>
      <c r="X178" s="60"/>
      <c r="Y178" s="60"/>
      <c r="Z178" s="60"/>
      <c r="AA178" s="60"/>
      <c r="AB178" s="60"/>
      <c r="AC178" s="60"/>
      <c r="AD178" s="60"/>
      <c r="AE178" s="60"/>
      <c r="AF178" s="60"/>
    </row>
    <row r="179" spans="1:32" s="96" customFormat="1" ht="38.25">
      <c r="A179" s="105"/>
      <c r="B179" s="616">
        <f t="shared" si="9"/>
        <v>69</v>
      </c>
      <c r="C179" s="604" t="s">
        <v>633</v>
      </c>
      <c r="D179" s="596" t="s">
        <v>567</v>
      </c>
      <c r="E179" s="596" t="s">
        <v>1954</v>
      </c>
      <c r="F179" s="643">
        <v>1</v>
      </c>
      <c r="G179" s="763">
        <v>2900</v>
      </c>
      <c r="H179" s="762">
        <f t="shared" si="8"/>
        <v>2900</v>
      </c>
      <c r="I179" s="309"/>
      <c r="J179" s="308"/>
      <c r="K179" s="60"/>
      <c r="L179" s="60"/>
      <c r="M179" s="60"/>
      <c r="N179" s="60"/>
      <c r="O179" s="60"/>
      <c r="P179" s="60"/>
      <c r="Q179" s="60"/>
      <c r="R179" s="60"/>
      <c r="S179" s="60"/>
      <c r="T179" s="60"/>
      <c r="U179" s="60"/>
      <c r="V179" s="60"/>
      <c r="W179" s="60"/>
      <c r="X179" s="60"/>
      <c r="Y179" s="60"/>
      <c r="Z179" s="60"/>
      <c r="AA179" s="60"/>
      <c r="AB179" s="60"/>
      <c r="AC179" s="60"/>
      <c r="AD179" s="60"/>
      <c r="AE179" s="60"/>
      <c r="AF179" s="60"/>
    </row>
    <row r="180" spans="1:32" s="96" customFormat="1" ht="25.5">
      <c r="A180" s="105"/>
      <c r="B180" s="616">
        <f t="shared" si="9"/>
        <v>70</v>
      </c>
      <c r="C180" s="604" t="s">
        <v>327</v>
      </c>
      <c r="D180" s="596" t="s">
        <v>568</v>
      </c>
      <c r="E180" s="596" t="s">
        <v>302</v>
      </c>
      <c r="F180" s="643">
        <v>1</v>
      </c>
      <c r="G180" s="766">
        <v>715</v>
      </c>
      <c r="H180" s="762">
        <f t="shared" si="8"/>
        <v>715</v>
      </c>
      <c r="I180" s="309"/>
      <c r="J180" s="308"/>
      <c r="K180" s="60"/>
      <c r="L180" s="60"/>
      <c r="M180" s="60"/>
      <c r="N180" s="60"/>
      <c r="O180" s="60"/>
      <c r="P180" s="60"/>
      <c r="Q180" s="60"/>
      <c r="R180" s="60"/>
      <c r="S180" s="60"/>
      <c r="T180" s="60"/>
      <c r="U180" s="60"/>
      <c r="V180" s="60"/>
      <c r="W180" s="60"/>
      <c r="X180" s="60"/>
      <c r="Y180" s="60"/>
      <c r="Z180" s="60"/>
      <c r="AA180" s="60"/>
      <c r="AB180" s="60"/>
      <c r="AC180" s="60"/>
      <c r="AD180" s="60"/>
      <c r="AE180" s="60"/>
      <c r="AF180" s="60"/>
    </row>
    <row r="181" spans="1:32" s="96" customFormat="1" ht="25.5">
      <c r="A181" s="105"/>
      <c r="B181" s="616">
        <f t="shared" si="9"/>
        <v>71</v>
      </c>
      <c r="C181" s="604" t="s">
        <v>327</v>
      </c>
      <c r="D181" s="596" t="s">
        <v>569</v>
      </c>
      <c r="E181" s="596" t="s">
        <v>302</v>
      </c>
      <c r="F181" s="643">
        <v>1</v>
      </c>
      <c r="G181" s="766">
        <v>715</v>
      </c>
      <c r="H181" s="762">
        <f t="shared" si="8"/>
        <v>715</v>
      </c>
      <c r="I181" s="309"/>
      <c r="J181" s="308"/>
      <c r="K181" s="60"/>
      <c r="L181" s="60"/>
      <c r="M181" s="60"/>
      <c r="N181" s="60"/>
      <c r="O181" s="60"/>
      <c r="P181" s="60"/>
      <c r="Q181" s="60"/>
      <c r="R181" s="60"/>
      <c r="S181" s="60"/>
      <c r="T181" s="60"/>
      <c r="U181" s="60"/>
      <c r="V181" s="60"/>
      <c r="W181" s="60"/>
      <c r="X181" s="60"/>
      <c r="Y181" s="60"/>
      <c r="Z181" s="60"/>
      <c r="AA181" s="60"/>
      <c r="AB181" s="60"/>
      <c r="AC181" s="60"/>
      <c r="AD181" s="60"/>
      <c r="AE181" s="60"/>
      <c r="AF181" s="60"/>
    </row>
    <row r="182" spans="1:32" s="96" customFormat="1" ht="25.5">
      <c r="A182" s="105"/>
      <c r="B182" s="616">
        <f t="shared" si="9"/>
        <v>72</v>
      </c>
      <c r="C182" s="604" t="s">
        <v>327</v>
      </c>
      <c r="D182" s="596" t="s">
        <v>1979</v>
      </c>
      <c r="E182" s="596" t="s">
        <v>302</v>
      </c>
      <c r="F182" s="643">
        <v>1</v>
      </c>
      <c r="G182" s="766">
        <v>715</v>
      </c>
      <c r="H182" s="762">
        <f t="shared" si="8"/>
        <v>715</v>
      </c>
      <c r="I182" s="309"/>
      <c r="J182" s="308"/>
      <c r="K182" s="60"/>
      <c r="L182" s="60"/>
      <c r="M182" s="60"/>
      <c r="N182" s="60"/>
      <c r="O182" s="60"/>
      <c r="P182" s="60"/>
      <c r="Q182" s="60"/>
      <c r="R182" s="60"/>
      <c r="S182" s="60"/>
      <c r="T182" s="60"/>
      <c r="U182" s="60"/>
      <c r="V182" s="60"/>
      <c r="W182" s="60"/>
      <c r="X182" s="60"/>
      <c r="Y182" s="60"/>
      <c r="Z182" s="60"/>
      <c r="AA182" s="60"/>
      <c r="AB182" s="60"/>
      <c r="AC182" s="60"/>
      <c r="AD182" s="60"/>
      <c r="AE182" s="60"/>
      <c r="AF182" s="60"/>
    </row>
    <row r="183" spans="1:32" s="96" customFormat="1" ht="38.25">
      <c r="A183" s="105"/>
      <c r="B183" s="616">
        <f t="shared" si="9"/>
        <v>73</v>
      </c>
      <c r="C183" s="604" t="s">
        <v>327</v>
      </c>
      <c r="D183" s="596" t="s">
        <v>570</v>
      </c>
      <c r="E183" s="596" t="s">
        <v>1954</v>
      </c>
      <c r="F183" s="643">
        <v>1</v>
      </c>
      <c r="G183" s="763">
        <v>1520</v>
      </c>
      <c r="H183" s="762">
        <f t="shared" si="8"/>
        <v>1520</v>
      </c>
      <c r="I183" s="309"/>
      <c r="J183" s="308"/>
      <c r="K183" s="60"/>
      <c r="L183" s="60"/>
      <c r="M183" s="60"/>
      <c r="N183" s="60"/>
      <c r="O183" s="60"/>
      <c r="P183" s="60"/>
      <c r="Q183" s="60"/>
      <c r="R183" s="60"/>
      <c r="S183" s="60"/>
      <c r="T183" s="60"/>
      <c r="U183" s="60"/>
      <c r="V183" s="60"/>
      <c r="W183" s="60"/>
      <c r="X183" s="60"/>
      <c r="Y183" s="60"/>
      <c r="Z183" s="60"/>
      <c r="AA183" s="60"/>
      <c r="AB183" s="60"/>
      <c r="AC183" s="60"/>
      <c r="AD183" s="60"/>
      <c r="AE183" s="60"/>
      <c r="AF183" s="60"/>
    </row>
    <row r="184" spans="1:32" s="96" customFormat="1" ht="15">
      <c r="A184" s="105"/>
      <c r="B184" s="616">
        <f t="shared" si="9"/>
        <v>74</v>
      </c>
      <c r="C184" s="604" t="s">
        <v>1980</v>
      </c>
      <c r="D184" s="596" t="s">
        <v>1981</v>
      </c>
      <c r="E184" s="596" t="s">
        <v>302</v>
      </c>
      <c r="F184" s="643">
        <v>1</v>
      </c>
      <c r="G184" s="766">
        <v>660</v>
      </c>
      <c r="H184" s="762">
        <f t="shared" si="8"/>
        <v>660</v>
      </c>
      <c r="I184" s="309"/>
      <c r="J184" s="308"/>
      <c r="K184" s="60"/>
      <c r="L184" s="60"/>
      <c r="M184" s="60"/>
      <c r="N184" s="60"/>
      <c r="O184" s="60"/>
      <c r="P184" s="60"/>
      <c r="Q184" s="60"/>
      <c r="R184" s="60"/>
      <c r="S184" s="60"/>
      <c r="T184" s="60"/>
      <c r="U184" s="60"/>
      <c r="V184" s="60"/>
      <c r="W184" s="60"/>
      <c r="X184" s="60"/>
      <c r="Y184" s="60"/>
      <c r="Z184" s="60"/>
      <c r="AA184" s="60"/>
      <c r="AB184" s="60"/>
      <c r="AC184" s="60"/>
      <c r="AD184" s="60"/>
      <c r="AE184" s="60"/>
      <c r="AF184" s="60"/>
    </row>
    <row r="185" spans="1:32" s="96" customFormat="1" ht="15">
      <c r="A185" s="105"/>
      <c r="B185" s="616">
        <f t="shared" si="9"/>
        <v>75</v>
      </c>
      <c r="C185" s="604" t="s">
        <v>1980</v>
      </c>
      <c r="D185" s="596" t="s">
        <v>1982</v>
      </c>
      <c r="E185" s="596" t="s">
        <v>302</v>
      </c>
      <c r="F185" s="643">
        <v>1</v>
      </c>
      <c r="G185" s="766">
        <v>660</v>
      </c>
      <c r="H185" s="762">
        <f t="shared" si="8"/>
        <v>660</v>
      </c>
      <c r="I185" s="309"/>
      <c r="J185" s="308"/>
      <c r="K185" s="60"/>
      <c r="L185" s="60"/>
      <c r="M185" s="60"/>
      <c r="N185" s="60"/>
      <c r="O185" s="60"/>
      <c r="P185" s="60"/>
      <c r="Q185" s="60"/>
      <c r="R185" s="60"/>
      <c r="S185" s="60"/>
      <c r="T185" s="60"/>
      <c r="U185" s="60"/>
      <c r="V185" s="60"/>
      <c r="W185" s="60"/>
      <c r="X185" s="60"/>
      <c r="Y185" s="60"/>
      <c r="Z185" s="60"/>
      <c r="AA185" s="60"/>
      <c r="AB185" s="60"/>
      <c r="AC185" s="60"/>
      <c r="AD185" s="60"/>
      <c r="AE185" s="60"/>
      <c r="AF185" s="60"/>
    </row>
    <row r="186" spans="1:32" s="96" customFormat="1" ht="102">
      <c r="A186" s="105"/>
      <c r="B186" s="616">
        <f t="shared" si="9"/>
        <v>76</v>
      </c>
      <c r="C186" s="604" t="s">
        <v>1983</v>
      </c>
      <c r="D186" s="596" t="s">
        <v>668</v>
      </c>
      <c r="E186" s="596" t="s">
        <v>1930</v>
      </c>
      <c r="F186" s="643">
        <v>5</v>
      </c>
      <c r="G186" s="766">
        <v>220</v>
      </c>
      <c r="H186" s="762">
        <f t="shared" si="8"/>
        <v>1100</v>
      </c>
      <c r="I186" s="309"/>
      <c r="J186" s="308"/>
      <c r="K186" s="60"/>
      <c r="L186" s="60"/>
      <c r="M186" s="60"/>
      <c r="N186" s="60"/>
      <c r="O186" s="60"/>
      <c r="P186" s="60"/>
      <c r="Q186" s="60"/>
      <c r="R186" s="60"/>
      <c r="S186" s="60"/>
      <c r="T186" s="60"/>
      <c r="U186" s="60"/>
      <c r="V186" s="60"/>
      <c r="W186" s="60"/>
      <c r="X186" s="60"/>
      <c r="Y186" s="60"/>
      <c r="Z186" s="60"/>
      <c r="AA186" s="60"/>
      <c r="AB186" s="60"/>
      <c r="AC186" s="60"/>
      <c r="AD186" s="60"/>
      <c r="AE186" s="60"/>
      <c r="AF186" s="60"/>
    </row>
    <row r="187" spans="1:32" s="96" customFormat="1" ht="102">
      <c r="A187" s="105"/>
      <c r="B187" s="616">
        <f t="shared" si="9"/>
        <v>77</v>
      </c>
      <c r="C187" s="604" t="s">
        <v>328</v>
      </c>
      <c r="D187" s="596" t="s">
        <v>668</v>
      </c>
      <c r="E187" s="596" t="s">
        <v>1930</v>
      </c>
      <c r="F187" s="643">
        <v>5</v>
      </c>
      <c r="G187" s="766">
        <v>187</v>
      </c>
      <c r="H187" s="762">
        <f t="shared" si="8"/>
        <v>935</v>
      </c>
      <c r="I187" s="309"/>
      <c r="J187" s="308"/>
      <c r="K187" s="60"/>
      <c r="L187" s="60"/>
      <c r="M187" s="60"/>
      <c r="N187" s="60"/>
      <c r="O187" s="60"/>
      <c r="P187" s="60"/>
      <c r="Q187" s="60"/>
      <c r="R187" s="60"/>
      <c r="S187" s="60"/>
      <c r="T187" s="60"/>
      <c r="U187" s="60"/>
      <c r="V187" s="60"/>
      <c r="W187" s="60"/>
      <c r="X187" s="60"/>
      <c r="Y187" s="60"/>
      <c r="Z187" s="60"/>
      <c r="AA187" s="60"/>
      <c r="AB187" s="60"/>
      <c r="AC187" s="60"/>
      <c r="AD187" s="60"/>
      <c r="AE187" s="60"/>
      <c r="AF187" s="60"/>
    </row>
    <row r="188" spans="1:32" s="96" customFormat="1" ht="51">
      <c r="A188" s="105"/>
      <c r="B188" s="616">
        <f t="shared" si="9"/>
        <v>78</v>
      </c>
      <c r="C188" s="604" t="s">
        <v>329</v>
      </c>
      <c r="D188" s="596" t="s">
        <v>1984</v>
      </c>
      <c r="E188" s="596" t="s">
        <v>1930</v>
      </c>
      <c r="F188" s="643">
        <v>1</v>
      </c>
      <c r="G188" s="763">
        <v>1700</v>
      </c>
      <c r="H188" s="762">
        <f t="shared" si="8"/>
        <v>1700</v>
      </c>
      <c r="I188" s="309"/>
      <c r="J188" s="308"/>
      <c r="K188" s="60"/>
      <c r="L188" s="60"/>
      <c r="M188" s="60"/>
      <c r="N188" s="60"/>
      <c r="O188" s="60"/>
      <c r="P188" s="60"/>
      <c r="Q188" s="60"/>
      <c r="R188" s="60"/>
      <c r="S188" s="60"/>
      <c r="T188" s="60"/>
      <c r="U188" s="60"/>
      <c r="V188" s="60"/>
      <c r="W188" s="60"/>
      <c r="X188" s="60"/>
      <c r="Y188" s="60"/>
      <c r="Z188" s="60"/>
      <c r="AA188" s="60"/>
      <c r="AB188" s="60"/>
      <c r="AC188" s="60"/>
      <c r="AD188" s="60"/>
      <c r="AE188" s="60"/>
      <c r="AF188" s="60"/>
    </row>
    <row r="189" spans="1:32" s="96" customFormat="1" ht="114.75">
      <c r="A189" s="105"/>
      <c r="B189" s="616">
        <f t="shared" si="9"/>
        <v>79</v>
      </c>
      <c r="C189" s="604" t="s">
        <v>1985</v>
      </c>
      <c r="D189" s="596" t="s">
        <v>571</v>
      </c>
      <c r="E189" s="596" t="s">
        <v>1930</v>
      </c>
      <c r="F189" s="643">
        <v>1</v>
      </c>
      <c r="G189" s="763">
        <v>1300</v>
      </c>
      <c r="H189" s="762">
        <f t="shared" si="8"/>
        <v>1300</v>
      </c>
      <c r="I189" s="309"/>
      <c r="J189" s="308"/>
      <c r="K189" s="60"/>
      <c r="L189" s="60"/>
      <c r="M189" s="60"/>
      <c r="N189" s="60"/>
      <c r="O189" s="60"/>
      <c r="P189" s="60"/>
      <c r="Q189" s="60"/>
      <c r="R189" s="60"/>
      <c r="S189" s="60"/>
      <c r="T189" s="60"/>
      <c r="U189" s="60"/>
      <c r="V189" s="60"/>
      <c r="W189" s="60"/>
      <c r="X189" s="60"/>
      <c r="Y189" s="60"/>
      <c r="Z189" s="60"/>
      <c r="AA189" s="60"/>
      <c r="AB189" s="60"/>
      <c r="AC189" s="60"/>
      <c r="AD189" s="60"/>
      <c r="AE189" s="60"/>
      <c r="AF189" s="60"/>
    </row>
    <row r="190" spans="1:32" s="96" customFormat="1" ht="114.75">
      <c r="A190" s="105"/>
      <c r="B190" s="616">
        <f t="shared" si="9"/>
        <v>80</v>
      </c>
      <c r="C190" s="604" t="s">
        <v>1986</v>
      </c>
      <c r="D190" s="596" t="s">
        <v>571</v>
      </c>
      <c r="E190" s="596" t="s">
        <v>1930</v>
      </c>
      <c r="F190" s="643">
        <v>1</v>
      </c>
      <c r="G190" s="763">
        <v>1700</v>
      </c>
      <c r="H190" s="762">
        <f t="shared" si="8"/>
        <v>1700</v>
      </c>
      <c r="I190" s="309"/>
      <c r="J190" s="308"/>
      <c r="K190" s="60"/>
      <c r="L190" s="60"/>
      <c r="M190" s="60"/>
      <c r="N190" s="60"/>
      <c r="O190" s="60"/>
      <c r="P190" s="60"/>
      <c r="Q190" s="60"/>
      <c r="R190" s="60"/>
      <c r="S190" s="60"/>
      <c r="T190" s="60"/>
      <c r="U190" s="60"/>
      <c r="V190" s="60"/>
      <c r="W190" s="60"/>
      <c r="X190" s="60"/>
      <c r="Y190" s="60"/>
      <c r="Z190" s="60"/>
      <c r="AA190" s="60"/>
      <c r="AB190" s="60"/>
      <c r="AC190" s="60"/>
      <c r="AD190" s="60"/>
      <c r="AE190" s="60"/>
      <c r="AF190" s="60"/>
    </row>
    <row r="191" spans="1:32" s="96" customFormat="1" ht="114.75">
      <c r="A191" s="105"/>
      <c r="B191" s="616">
        <f t="shared" si="9"/>
        <v>81</v>
      </c>
      <c r="C191" s="604" t="s">
        <v>1987</v>
      </c>
      <c r="D191" s="596" t="s">
        <v>571</v>
      </c>
      <c r="E191" s="596" t="s">
        <v>1930</v>
      </c>
      <c r="F191" s="643">
        <v>1</v>
      </c>
      <c r="G191" s="763">
        <v>1700</v>
      </c>
      <c r="H191" s="762">
        <f t="shared" si="8"/>
        <v>1700</v>
      </c>
      <c r="I191" s="309"/>
      <c r="J191" s="308"/>
      <c r="K191" s="60"/>
      <c r="L191" s="60"/>
      <c r="M191" s="60"/>
      <c r="N191" s="60"/>
      <c r="O191" s="60"/>
      <c r="P191" s="60"/>
      <c r="Q191" s="60"/>
      <c r="R191" s="60"/>
      <c r="S191" s="60"/>
      <c r="T191" s="60"/>
      <c r="U191" s="60"/>
      <c r="V191" s="60"/>
      <c r="W191" s="60"/>
      <c r="X191" s="60"/>
      <c r="Y191" s="60"/>
      <c r="Z191" s="60"/>
      <c r="AA191" s="60"/>
      <c r="AB191" s="60"/>
      <c r="AC191" s="60"/>
      <c r="AD191" s="60"/>
      <c r="AE191" s="60"/>
      <c r="AF191" s="60"/>
    </row>
    <row r="192" spans="1:32" s="96" customFormat="1" ht="114.75">
      <c r="A192" s="105"/>
      <c r="B192" s="616">
        <f t="shared" si="9"/>
        <v>82</v>
      </c>
      <c r="C192" s="604" t="s">
        <v>1988</v>
      </c>
      <c r="D192" s="596" t="s">
        <v>571</v>
      </c>
      <c r="E192" s="596" t="s">
        <v>1930</v>
      </c>
      <c r="F192" s="643">
        <v>1</v>
      </c>
      <c r="G192" s="763">
        <v>1300</v>
      </c>
      <c r="H192" s="762">
        <f t="shared" si="8"/>
        <v>1300</v>
      </c>
      <c r="I192" s="309"/>
      <c r="J192" s="308"/>
      <c r="K192" s="60"/>
      <c r="L192" s="60"/>
      <c r="M192" s="60"/>
      <c r="N192" s="60"/>
      <c r="O192" s="60"/>
      <c r="P192" s="60"/>
      <c r="Q192" s="60"/>
      <c r="R192" s="60"/>
      <c r="S192" s="60"/>
      <c r="T192" s="60"/>
      <c r="U192" s="60"/>
      <c r="V192" s="60"/>
      <c r="W192" s="60"/>
      <c r="X192" s="60"/>
      <c r="Y192" s="60"/>
      <c r="Z192" s="60"/>
      <c r="AA192" s="60"/>
      <c r="AB192" s="60"/>
      <c r="AC192" s="60"/>
      <c r="AD192" s="60"/>
      <c r="AE192" s="60"/>
      <c r="AF192" s="60"/>
    </row>
    <row r="193" spans="1:32" s="96" customFormat="1" ht="76.5">
      <c r="A193" s="105"/>
      <c r="B193" s="616">
        <f t="shared" si="9"/>
        <v>83</v>
      </c>
      <c r="C193" s="604" t="s">
        <v>1989</v>
      </c>
      <c r="D193" s="765" t="s">
        <v>1990</v>
      </c>
      <c r="E193" s="596" t="s">
        <v>1930</v>
      </c>
      <c r="F193" s="643">
        <v>1</v>
      </c>
      <c r="G193" s="763">
        <v>11100</v>
      </c>
      <c r="H193" s="762">
        <f t="shared" si="8"/>
        <v>11100</v>
      </c>
      <c r="I193" s="309"/>
      <c r="J193" s="308"/>
      <c r="K193" s="60"/>
      <c r="L193" s="60"/>
      <c r="M193" s="60"/>
      <c r="N193" s="60"/>
      <c r="O193" s="60"/>
      <c r="P193" s="60"/>
      <c r="Q193" s="60"/>
      <c r="R193" s="60"/>
      <c r="S193" s="60"/>
      <c r="T193" s="60"/>
      <c r="U193" s="60"/>
      <c r="V193" s="60"/>
      <c r="W193" s="60"/>
      <c r="X193" s="60"/>
      <c r="Y193" s="60"/>
      <c r="Z193" s="60"/>
      <c r="AA193" s="60"/>
      <c r="AB193" s="60"/>
      <c r="AC193" s="60"/>
      <c r="AD193" s="60"/>
      <c r="AE193" s="60"/>
      <c r="AF193" s="60"/>
    </row>
    <row r="194" spans="1:32" s="96" customFormat="1" ht="38.25">
      <c r="A194" s="105"/>
      <c r="B194" s="616">
        <f t="shared" si="9"/>
        <v>84</v>
      </c>
      <c r="C194" s="604" t="s">
        <v>1991</v>
      </c>
      <c r="D194" s="596" t="s">
        <v>1992</v>
      </c>
      <c r="E194" s="596" t="s">
        <v>1930</v>
      </c>
      <c r="F194" s="643">
        <v>10</v>
      </c>
      <c r="G194" s="766">
        <v>440</v>
      </c>
      <c r="H194" s="762">
        <f t="shared" si="8"/>
        <v>4400</v>
      </c>
      <c r="I194" s="309"/>
      <c r="J194" s="308"/>
      <c r="K194" s="60"/>
      <c r="L194" s="60"/>
      <c r="M194" s="60"/>
      <c r="N194" s="60"/>
      <c r="O194" s="60"/>
      <c r="P194" s="60"/>
      <c r="Q194" s="60"/>
      <c r="R194" s="60"/>
      <c r="S194" s="60"/>
      <c r="T194" s="60"/>
      <c r="U194" s="60"/>
      <c r="V194" s="60"/>
      <c r="W194" s="60"/>
      <c r="X194" s="60"/>
      <c r="Y194" s="60"/>
      <c r="Z194" s="60"/>
      <c r="AA194" s="60"/>
      <c r="AB194" s="60"/>
      <c r="AC194" s="60"/>
      <c r="AD194" s="60"/>
      <c r="AE194" s="60"/>
      <c r="AF194" s="60"/>
    </row>
    <row r="195" spans="1:32" s="96" customFormat="1" ht="25.5">
      <c r="A195" s="105"/>
      <c r="B195" s="616">
        <f t="shared" si="9"/>
        <v>85</v>
      </c>
      <c r="C195" s="604" t="s">
        <v>634</v>
      </c>
      <c r="D195" s="596" t="s">
        <v>1993</v>
      </c>
      <c r="E195" s="596" t="s">
        <v>1930</v>
      </c>
      <c r="F195" s="643">
        <v>5</v>
      </c>
      <c r="G195" s="763">
        <v>11400</v>
      </c>
      <c r="H195" s="762">
        <f t="shared" si="8"/>
        <v>57000</v>
      </c>
      <c r="I195" s="309"/>
      <c r="J195" s="308"/>
      <c r="K195" s="60"/>
      <c r="L195" s="60"/>
      <c r="M195" s="60"/>
      <c r="N195" s="60"/>
      <c r="O195" s="60"/>
      <c r="P195" s="60"/>
      <c r="Q195" s="60"/>
      <c r="R195" s="60"/>
      <c r="S195" s="60"/>
      <c r="T195" s="60"/>
      <c r="U195" s="60"/>
      <c r="V195" s="60"/>
      <c r="W195" s="60"/>
      <c r="X195" s="60"/>
      <c r="Y195" s="60"/>
      <c r="Z195" s="60"/>
      <c r="AA195" s="60"/>
      <c r="AB195" s="60"/>
      <c r="AC195" s="60"/>
      <c r="AD195" s="60"/>
      <c r="AE195" s="60"/>
      <c r="AF195" s="60"/>
    </row>
    <row r="196" spans="1:32" s="96" customFormat="1" ht="51">
      <c r="A196" s="105"/>
      <c r="B196" s="616">
        <f t="shared" si="9"/>
        <v>86</v>
      </c>
      <c r="C196" s="604" t="s">
        <v>635</v>
      </c>
      <c r="D196" s="596" t="s">
        <v>1994</v>
      </c>
      <c r="E196" s="596" t="s">
        <v>1930</v>
      </c>
      <c r="F196" s="643">
        <v>5</v>
      </c>
      <c r="G196" s="763">
        <v>12300</v>
      </c>
      <c r="H196" s="762">
        <f t="shared" si="8"/>
        <v>61500</v>
      </c>
      <c r="I196" s="309"/>
      <c r="J196" s="308"/>
      <c r="K196" s="60"/>
      <c r="L196" s="60"/>
      <c r="M196" s="60"/>
      <c r="N196" s="60"/>
      <c r="O196" s="60"/>
      <c r="P196" s="60"/>
      <c r="Q196" s="60"/>
      <c r="R196" s="60"/>
      <c r="S196" s="60"/>
      <c r="T196" s="60"/>
      <c r="U196" s="60"/>
      <c r="V196" s="60"/>
      <c r="W196" s="60"/>
      <c r="X196" s="60"/>
      <c r="Y196" s="60"/>
      <c r="Z196" s="60"/>
      <c r="AA196" s="60"/>
      <c r="AB196" s="60"/>
      <c r="AC196" s="60"/>
      <c r="AD196" s="60"/>
      <c r="AE196" s="60"/>
      <c r="AF196" s="60"/>
    </row>
    <row r="197" spans="1:32" s="96" customFormat="1" ht="51">
      <c r="A197" s="105"/>
      <c r="B197" s="616">
        <f t="shared" si="9"/>
        <v>87</v>
      </c>
      <c r="C197" s="604" t="s">
        <v>636</v>
      </c>
      <c r="D197" s="596" t="s">
        <v>1995</v>
      </c>
      <c r="E197" s="596" t="s">
        <v>1930</v>
      </c>
      <c r="F197" s="643">
        <v>2</v>
      </c>
      <c r="G197" s="763">
        <v>12800</v>
      </c>
      <c r="H197" s="762">
        <f t="shared" si="8"/>
        <v>25600</v>
      </c>
      <c r="I197" s="309"/>
      <c r="J197" s="308"/>
      <c r="K197" s="60"/>
      <c r="L197" s="60"/>
      <c r="M197" s="60"/>
      <c r="N197" s="60"/>
      <c r="O197" s="60"/>
      <c r="P197" s="60"/>
      <c r="Q197" s="60"/>
      <c r="R197" s="60"/>
      <c r="S197" s="60"/>
      <c r="T197" s="60"/>
      <c r="U197" s="60"/>
      <c r="V197" s="60"/>
      <c r="W197" s="60"/>
      <c r="X197" s="60"/>
      <c r="Y197" s="60"/>
      <c r="Z197" s="60"/>
      <c r="AA197" s="60"/>
      <c r="AB197" s="60"/>
      <c r="AC197" s="60"/>
      <c r="AD197" s="60"/>
      <c r="AE197" s="60"/>
      <c r="AF197" s="60"/>
    </row>
    <row r="198" spans="1:32" s="96" customFormat="1" ht="191.25">
      <c r="A198" s="105"/>
      <c r="B198" s="616">
        <f t="shared" si="9"/>
        <v>88</v>
      </c>
      <c r="C198" s="604" t="s">
        <v>331</v>
      </c>
      <c r="D198" s="596" t="s">
        <v>1996</v>
      </c>
      <c r="E198" s="596" t="s">
        <v>1930</v>
      </c>
      <c r="F198" s="643">
        <v>20</v>
      </c>
      <c r="G198" s="763">
        <v>1300</v>
      </c>
      <c r="H198" s="762">
        <f t="shared" si="8"/>
        <v>26000</v>
      </c>
      <c r="I198" s="309"/>
      <c r="J198" s="308"/>
      <c r="K198" s="60"/>
      <c r="L198" s="60"/>
      <c r="M198" s="60"/>
      <c r="N198" s="60"/>
      <c r="O198" s="60"/>
      <c r="P198" s="60"/>
      <c r="Q198" s="60"/>
      <c r="R198" s="60"/>
      <c r="S198" s="60"/>
      <c r="T198" s="60"/>
      <c r="U198" s="60"/>
      <c r="V198" s="60"/>
      <c r="W198" s="60"/>
      <c r="X198" s="60"/>
      <c r="Y198" s="60"/>
      <c r="Z198" s="60"/>
      <c r="AA198" s="60"/>
      <c r="AB198" s="60"/>
      <c r="AC198" s="60"/>
      <c r="AD198" s="60"/>
      <c r="AE198" s="60"/>
      <c r="AF198" s="60"/>
    </row>
    <row r="199" spans="1:32" s="96" customFormat="1" ht="25.5">
      <c r="A199" s="105"/>
      <c r="B199" s="616">
        <f t="shared" si="9"/>
        <v>89</v>
      </c>
      <c r="C199" s="604" t="s">
        <v>1997</v>
      </c>
      <c r="D199" s="769" t="s">
        <v>1998</v>
      </c>
      <c r="E199" s="596" t="s">
        <v>295</v>
      </c>
      <c r="F199" s="643">
        <v>2</v>
      </c>
      <c r="G199" s="763">
        <v>2600</v>
      </c>
      <c r="H199" s="762">
        <f t="shared" si="8"/>
        <v>5200</v>
      </c>
      <c r="I199" s="309"/>
      <c r="J199" s="308"/>
      <c r="K199" s="60"/>
      <c r="L199" s="60"/>
      <c r="M199" s="60"/>
      <c r="N199" s="60"/>
      <c r="O199" s="60"/>
      <c r="P199" s="60"/>
      <c r="Q199" s="60"/>
      <c r="R199" s="60"/>
      <c r="S199" s="60"/>
      <c r="T199" s="60"/>
      <c r="U199" s="60"/>
      <c r="V199" s="60"/>
      <c r="W199" s="60"/>
      <c r="X199" s="60"/>
      <c r="Y199" s="60"/>
      <c r="Z199" s="60"/>
      <c r="AA199" s="60"/>
      <c r="AB199" s="60"/>
      <c r="AC199" s="60"/>
      <c r="AD199" s="60"/>
      <c r="AE199" s="60"/>
      <c r="AF199" s="60"/>
    </row>
    <row r="200" spans="1:32" s="96" customFormat="1" ht="38.25">
      <c r="A200" s="105"/>
      <c r="B200" s="616">
        <f t="shared" si="9"/>
        <v>90</v>
      </c>
      <c r="C200" s="604" t="s">
        <v>1999</v>
      </c>
      <c r="D200" s="596" t="s">
        <v>2000</v>
      </c>
      <c r="E200" s="596" t="s">
        <v>295</v>
      </c>
      <c r="F200" s="643">
        <v>2</v>
      </c>
      <c r="G200" s="766">
        <v>880</v>
      </c>
      <c r="H200" s="762">
        <f t="shared" si="8"/>
        <v>1760</v>
      </c>
      <c r="I200" s="309"/>
      <c r="J200" s="308"/>
      <c r="K200" s="60"/>
      <c r="L200" s="60"/>
      <c r="M200" s="60"/>
      <c r="N200" s="60"/>
      <c r="O200" s="60"/>
      <c r="P200" s="60"/>
      <c r="Q200" s="60"/>
      <c r="R200" s="60"/>
      <c r="S200" s="60"/>
      <c r="T200" s="60"/>
      <c r="U200" s="60"/>
      <c r="V200" s="60"/>
      <c r="W200" s="60"/>
      <c r="X200" s="60"/>
      <c r="Y200" s="60"/>
      <c r="Z200" s="60"/>
      <c r="AA200" s="60"/>
      <c r="AB200" s="60"/>
      <c r="AC200" s="60"/>
      <c r="AD200" s="60"/>
      <c r="AE200" s="60"/>
      <c r="AF200" s="60"/>
    </row>
    <row r="201" spans="1:32" s="96" customFormat="1" ht="38.25">
      <c r="A201" s="105"/>
      <c r="B201" s="616">
        <f t="shared" si="9"/>
        <v>91</v>
      </c>
      <c r="C201" s="645" t="s">
        <v>637</v>
      </c>
      <c r="D201" s="765" t="s">
        <v>2001</v>
      </c>
      <c r="E201" s="596" t="s">
        <v>1930</v>
      </c>
      <c r="F201" s="643">
        <v>5</v>
      </c>
      <c r="G201" s="763">
        <v>2040</v>
      </c>
      <c r="H201" s="762">
        <f t="shared" si="8"/>
        <v>10200</v>
      </c>
      <c r="I201" s="309"/>
      <c r="J201" s="308"/>
      <c r="K201" s="60"/>
      <c r="L201" s="60"/>
      <c r="M201" s="60"/>
      <c r="N201" s="60"/>
      <c r="O201" s="60"/>
      <c r="P201" s="60"/>
      <c r="Q201" s="60"/>
      <c r="R201" s="60"/>
      <c r="S201" s="60"/>
      <c r="T201" s="60"/>
      <c r="U201" s="60"/>
      <c r="V201" s="60"/>
      <c r="W201" s="60"/>
      <c r="X201" s="60"/>
      <c r="Y201" s="60"/>
      <c r="Z201" s="60"/>
      <c r="AA201" s="60"/>
      <c r="AB201" s="60"/>
      <c r="AC201" s="60"/>
      <c r="AD201" s="60"/>
      <c r="AE201" s="60"/>
      <c r="AF201" s="60"/>
    </row>
    <row r="202" spans="1:32" s="96" customFormat="1" ht="267.75">
      <c r="A202" s="105"/>
      <c r="B202" s="616">
        <f t="shared" si="9"/>
        <v>92</v>
      </c>
      <c r="C202" s="604" t="s">
        <v>2002</v>
      </c>
      <c r="D202" s="596" t="s">
        <v>2003</v>
      </c>
      <c r="E202" s="596" t="s">
        <v>1930</v>
      </c>
      <c r="F202" s="643">
        <v>2</v>
      </c>
      <c r="G202" s="763">
        <v>1400</v>
      </c>
      <c r="H202" s="762">
        <f t="shared" si="8"/>
        <v>2800</v>
      </c>
      <c r="I202" s="309"/>
      <c r="J202" s="308"/>
      <c r="K202" s="60"/>
      <c r="L202" s="60"/>
      <c r="M202" s="60"/>
      <c r="N202" s="60"/>
      <c r="O202" s="60"/>
      <c r="P202" s="60"/>
      <c r="Q202" s="60"/>
      <c r="R202" s="60"/>
      <c r="S202" s="60"/>
      <c r="T202" s="60"/>
      <c r="U202" s="60"/>
      <c r="V202" s="60"/>
      <c r="W202" s="60"/>
      <c r="X202" s="60"/>
      <c r="Y202" s="60"/>
      <c r="Z202" s="60"/>
      <c r="AA202" s="60"/>
      <c r="AB202" s="60"/>
      <c r="AC202" s="60"/>
      <c r="AD202" s="60"/>
      <c r="AE202" s="60"/>
      <c r="AF202" s="60"/>
    </row>
    <row r="203" spans="1:32" s="96" customFormat="1" ht="51">
      <c r="A203" s="105"/>
      <c r="B203" s="616">
        <f t="shared" si="9"/>
        <v>93</v>
      </c>
      <c r="C203" s="604" t="s">
        <v>638</v>
      </c>
      <c r="D203" s="596" t="s">
        <v>669</v>
      </c>
      <c r="E203" s="596" t="s">
        <v>1930</v>
      </c>
      <c r="F203" s="643">
        <v>1</v>
      </c>
      <c r="G203" s="763">
        <v>3900</v>
      </c>
      <c r="H203" s="762">
        <f t="shared" si="8"/>
        <v>3900</v>
      </c>
      <c r="I203" s="309"/>
      <c r="J203" s="308"/>
      <c r="K203" s="60"/>
      <c r="L203" s="60"/>
      <c r="M203" s="60"/>
      <c r="N203" s="60"/>
      <c r="O203" s="60"/>
      <c r="P203" s="60"/>
      <c r="Q203" s="60"/>
      <c r="R203" s="60"/>
      <c r="S203" s="60"/>
      <c r="T203" s="60"/>
      <c r="U203" s="60"/>
      <c r="V203" s="60"/>
      <c r="W203" s="60"/>
      <c r="X203" s="60"/>
      <c r="Y203" s="60"/>
      <c r="Z203" s="60"/>
      <c r="AA203" s="60"/>
      <c r="AB203" s="60"/>
      <c r="AC203" s="60"/>
      <c r="AD203" s="60"/>
      <c r="AE203" s="60"/>
      <c r="AF203" s="60"/>
    </row>
    <row r="204" spans="1:32" s="96" customFormat="1" ht="140.25">
      <c r="A204" s="105"/>
      <c r="B204" s="616">
        <f t="shared" si="9"/>
        <v>94</v>
      </c>
      <c r="C204" s="604" t="s">
        <v>2004</v>
      </c>
      <c r="D204" s="39" t="s">
        <v>2005</v>
      </c>
      <c r="E204" s="596" t="s">
        <v>1930</v>
      </c>
      <c r="F204" s="643">
        <v>1</v>
      </c>
      <c r="G204" s="763">
        <v>4100</v>
      </c>
      <c r="H204" s="762">
        <f t="shared" si="8"/>
        <v>4100</v>
      </c>
      <c r="I204" s="309"/>
      <c r="J204" s="308"/>
      <c r="K204" s="60"/>
      <c r="L204" s="60"/>
      <c r="M204" s="60"/>
      <c r="N204" s="60"/>
      <c r="O204" s="60"/>
      <c r="P204" s="60"/>
      <c r="Q204" s="60"/>
      <c r="R204" s="60"/>
      <c r="S204" s="60"/>
      <c r="T204" s="60"/>
      <c r="U204" s="60"/>
      <c r="V204" s="60"/>
      <c r="W204" s="60"/>
      <c r="X204" s="60"/>
      <c r="Y204" s="60"/>
      <c r="Z204" s="60"/>
      <c r="AA204" s="60"/>
      <c r="AB204" s="60"/>
      <c r="AC204" s="60"/>
      <c r="AD204" s="60"/>
      <c r="AE204" s="60"/>
      <c r="AF204" s="60"/>
    </row>
    <row r="205" spans="1:32" s="96" customFormat="1" ht="153">
      <c r="A205" s="105"/>
      <c r="B205" s="616">
        <f t="shared" si="9"/>
        <v>95</v>
      </c>
      <c r="C205" s="604" t="s">
        <v>2006</v>
      </c>
      <c r="D205" s="596" t="s">
        <v>2007</v>
      </c>
      <c r="E205" s="596" t="s">
        <v>1930</v>
      </c>
      <c r="F205" s="643">
        <v>1</v>
      </c>
      <c r="G205" s="763">
        <v>1100</v>
      </c>
      <c r="H205" s="762">
        <f t="shared" si="8"/>
        <v>1100</v>
      </c>
      <c r="I205" s="309"/>
      <c r="J205" s="308"/>
      <c r="K205" s="60"/>
      <c r="L205" s="60"/>
      <c r="M205" s="60"/>
      <c r="N205" s="60"/>
      <c r="O205" s="60"/>
      <c r="P205" s="60"/>
      <c r="Q205" s="60"/>
      <c r="R205" s="60"/>
      <c r="S205" s="60"/>
      <c r="T205" s="60"/>
      <c r="U205" s="60"/>
      <c r="V205" s="60"/>
      <c r="W205" s="60"/>
      <c r="X205" s="60"/>
      <c r="Y205" s="60"/>
      <c r="Z205" s="60"/>
      <c r="AA205" s="60"/>
      <c r="AB205" s="60"/>
      <c r="AC205" s="60"/>
      <c r="AD205" s="60"/>
      <c r="AE205" s="60"/>
      <c r="AF205" s="60"/>
    </row>
    <row r="206" spans="1:32" s="96" customFormat="1" ht="51">
      <c r="A206" s="105"/>
      <c r="B206" s="616">
        <f t="shared" si="9"/>
        <v>96</v>
      </c>
      <c r="C206" s="604" t="s">
        <v>2008</v>
      </c>
      <c r="D206" s="596" t="s">
        <v>2009</v>
      </c>
      <c r="E206" s="596" t="s">
        <v>1930</v>
      </c>
      <c r="F206" s="643">
        <v>1</v>
      </c>
      <c r="G206" s="763">
        <v>8300</v>
      </c>
      <c r="H206" s="762">
        <f t="shared" si="8"/>
        <v>8300</v>
      </c>
      <c r="I206" s="309"/>
      <c r="J206" s="308"/>
      <c r="K206" s="60"/>
      <c r="L206" s="60"/>
      <c r="M206" s="60"/>
      <c r="N206" s="60"/>
      <c r="O206" s="60"/>
      <c r="P206" s="60"/>
      <c r="Q206" s="60"/>
      <c r="R206" s="60"/>
      <c r="S206" s="60"/>
      <c r="T206" s="60"/>
      <c r="U206" s="60"/>
      <c r="V206" s="60"/>
      <c r="W206" s="60"/>
      <c r="X206" s="60"/>
      <c r="Y206" s="60"/>
      <c r="Z206" s="60"/>
      <c r="AA206" s="60"/>
      <c r="AB206" s="60"/>
      <c r="AC206" s="60"/>
      <c r="AD206" s="60"/>
      <c r="AE206" s="60"/>
      <c r="AF206" s="60"/>
    </row>
    <row r="207" spans="1:32" s="96" customFormat="1" ht="63.75">
      <c r="A207" s="105"/>
      <c r="B207" s="616">
        <f t="shared" si="9"/>
        <v>97</v>
      </c>
      <c r="C207" s="604" t="s">
        <v>2010</v>
      </c>
      <c r="D207" s="596" t="s">
        <v>2011</v>
      </c>
      <c r="E207" s="596" t="s">
        <v>1930</v>
      </c>
      <c r="F207" s="643">
        <v>3</v>
      </c>
      <c r="G207" s="763">
        <v>1800</v>
      </c>
      <c r="H207" s="762">
        <f t="shared" si="8"/>
        <v>5400</v>
      </c>
      <c r="I207" s="309"/>
      <c r="J207" s="308"/>
      <c r="K207" s="60"/>
      <c r="L207" s="60"/>
      <c r="M207" s="60"/>
      <c r="N207" s="60"/>
      <c r="O207" s="60"/>
      <c r="P207" s="60"/>
      <c r="Q207" s="60"/>
      <c r="R207" s="60"/>
      <c r="S207" s="60"/>
      <c r="T207" s="60"/>
      <c r="U207" s="60"/>
      <c r="V207" s="60"/>
      <c r="W207" s="60"/>
      <c r="X207" s="60"/>
      <c r="Y207" s="60"/>
      <c r="Z207" s="60"/>
      <c r="AA207" s="60"/>
      <c r="AB207" s="60"/>
      <c r="AC207" s="60"/>
      <c r="AD207" s="60"/>
      <c r="AE207" s="60"/>
      <c r="AF207" s="60"/>
    </row>
    <row r="208" spans="1:32" s="96" customFormat="1" ht="51">
      <c r="A208" s="105"/>
      <c r="B208" s="616">
        <f t="shared" si="9"/>
        <v>98</v>
      </c>
      <c r="C208" s="604" t="s">
        <v>2012</v>
      </c>
      <c r="D208" s="596" t="s">
        <v>2013</v>
      </c>
      <c r="E208" s="596" t="s">
        <v>1930</v>
      </c>
      <c r="F208" s="643">
        <v>3</v>
      </c>
      <c r="G208" s="763">
        <v>1400</v>
      </c>
      <c r="H208" s="762">
        <f t="shared" si="8"/>
        <v>4200</v>
      </c>
      <c r="I208" s="309"/>
      <c r="J208" s="308"/>
      <c r="K208" s="60"/>
      <c r="L208" s="60"/>
      <c r="M208" s="60"/>
      <c r="N208" s="60"/>
      <c r="O208" s="60"/>
      <c r="P208" s="60"/>
      <c r="Q208" s="60"/>
      <c r="R208" s="60"/>
      <c r="S208" s="60"/>
      <c r="T208" s="60"/>
      <c r="U208" s="60"/>
      <c r="V208" s="60"/>
      <c r="W208" s="60"/>
      <c r="X208" s="60"/>
      <c r="Y208" s="60"/>
      <c r="Z208" s="60"/>
      <c r="AA208" s="60"/>
      <c r="AB208" s="60"/>
      <c r="AC208" s="60"/>
      <c r="AD208" s="60"/>
      <c r="AE208" s="60"/>
      <c r="AF208" s="60"/>
    </row>
    <row r="209" spans="1:32" s="96" customFormat="1" ht="63.75">
      <c r="A209" s="105"/>
      <c r="B209" s="616">
        <f t="shared" si="9"/>
        <v>99</v>
      </c>
      <c r="C209" s="604" t="s">
        <v>2014</v>
      </c>
      <c r="D209" s="596" t="s">
        <v>2015</v>
      </c>
      <c r="E209" s="596" t="s">
        <v>1930</v>
      </c>
      <c r="F209" s="643">
        <v>3</v>
      </c>
      <c r="G209" s="763">
        <v>1400</v>
      </c>
      <c r="H209" s="762">
        <f t="shared" si="8"/>
        <v>4200</v>
      </c>
      <c r="I209" s="309"/>
      <c r="J209" s="308"/>
      <c r="K209" s="60"/>
      <c r="L209" s="60"/>
      <c r="M209" s="60"/>
      <c r="N209" s="60"/>
      <c r="O209" s="60"/>
      <c r="P209" s="60"/>
      <c r="Q209" s="60"/>
      <c r="R209" s="60"/>
      <c r="S209" s="60"/>
      <c r="T209" s="60"/>
      <c r="U209" s="60"/>
      <c r="V209" s="60"/>
      <c r="W209" s="60"/>
      <c r="X209" s="60"/>
      <c r="Y209" s="60"/>
      <c r="Z209" s="60"/>
      <c r="AA209" s="60"/>
      <c r="AB209" s="60"/>
      <c r="AC209" s="60"/>
      <c r="AD209" s="60"/>
      <c r="AE209" s="60"/>
      <c r="AF209" s="60"/>
    </row>
    <row r="210" spans="1:32" s="96" customFormat="1" ht="38.25">
      <c r="A210" s="105"/>
      <c r="B210" s="616">
        <f t="shared" si="9"/>
        <v>100</v>
      </c>
      <c r="C210" s="604" t="s">
        <v>639</v>
      </c>
      <c r="D210" s="596" t="s">
        <v>670</v>
      </c>
      <c r="E210" s="596" t="s">
        <v>1930</v>
      </c>
      <c r="F210" s="643">
        <v>1</v>
      </c>
      <c r="G210" s="763">
        <v>18300</v>
      </c>
      <c r="H210" s="762">
        <f t="shared" si="8"/>
        <v>18300</v>
      </c>
      <c r="I210" s="309"/>
      <c r="J210" s="308"/>
      <c r="K210" s="60"/>
      <c r="L210" s="60"/>
      <c r="M210" s="60"/>
      <c r="N210" s="60"/>
      <c r="O210" s="60"/>
      <c r="P210" s="60"/>
      <c r="Q210" s="60"/>
      <c r="R210" s="60"/>
      <c r="S210" s="60"/>
      <c r="T210" s="60"/>
      <c r="U210" s="60"/>
      <c r="V210" s="60"/>
      <c r="W210" s="60"/>
      <c r="X210" s="60"/>
      <c r="Y210" s="60"/>
      <c r="Z210" s="60"/>
      <c r="AA210" s="60"/>
      <c r="AB210" s="60"/>
      <c r="AC210" s="60"/>
      <c r="AD210" s="60"/>
      <c r="AE210" s="60"/>
      <c r="AF210" s="60"/>
    </row>
    <row r="211" spans="1:32" s="96" customFormat="1" ht="25.5">
      <c r="A211" s="105"/>
      <c r="B211" s="616">
        <f t="shared" si="9"/>
        <v>101</v>
      </c>
      <c r="C211" s="604" t="s">
        <v>2016</v>
      </c>
      <c r="D211" s="596" t="s">
        <v>2017</v>
      </c>
      <c r="E211" s="596" t="s">
        <v>1930</v>
      </c>
      <c r="F211" s="643">
        <v>5</v>
      </c>
      <c r="G211" s="766">
        <v>572</v>
      </c>
      <c r="H211" s="762">
        <f t="shared" si="8"/>
        <v>2860</v>
      </c>
      <c r="I211" s="309"/>
      <c r="J211" s="308"/>
      <c r="K211" s="60"/>
      <c r="L211" s="60"/>
      <c r="M211" s="60"/>
      <c r="N211" s="60"/>
      <c r="O211" s="60"/>
      <c r="P211" s="60"/>
      <c r="Q211" s="60"/>
      <c r="R211" s="60"/>
      <c r="S211" s="60"/>
      <c r="T211" s="60"/>
      <c r="U211" s="60"/>
      <c r="V211" s="60"/>
      <c r="W211" s="60"/>
      <c r="X211" s="60"/>
      <c r="Y211" s="60"/>
      <c r="Z211" s="60"/>
      <c r="AA211" s="60"/>
      <c r="AB211" s="60"/>
      <c r="AC211" s="60"/>
      <c r="AD211" s="60"/>
      <c r="AE211" s="60"/>
      <c r="AF211" s="60"/>
    </row>
    <row r="212" spans="1:32" s="96" customFormat="1" ht="76.5">
      <c r="A212" s="105"/>
      <c r="B212" s="616">
        <f t="shared" si="9"/>
        <v>102</v>
      </c>
      <c r="C212" s="604" t="s">
        <v>2018</v>
      </c>
      <c r="D212" s="769" t="s">
        <v>2019</v>
      </c>
      <c r="E212" s="596" t="s">
        <v>1930</v>
      </c>
      <c r="F212" s="643">
        <v>3</v>
      </c>
      <c r="G212" s="763">
        <v>1100</v>
      </c>
      <c r="H212" s="762">
        <f t="shared" si="8"/>
        <v>3300</v>
      </c>
      <c r="I212" s="309"/>
      <c r="J212" s="308"/>
      <c r="K212" s="60"/>
      <c r="L212" s="60"/>
      <c r="M212" s="60"/>
      <c r="N212" s="60"/>
      <c r="O212" s="60"/>
      <c r="P212" s="60"/>
      <c r="Q212" s="60"/>
      <c r="R212" s="60"/>
      <c r="S212" s="60"/>
      <c r="T212" s="60"/>
      <c r="U212" s="60"/>
      <c r="V212" s="60"/>
      <c r="W212" s="60"/>
      <c r="X212" s="60"/>
      <c r="Y212" s="60"/>
      <c r="Z212" s="60"/>
      <c r="AA212" s="60"/>
      <c r="AB212" s="60"/>
      <c r="AC212" s="60"/>
      <c r="AD212" s="60"/>
      <c r="AE212" s="60"/>
      <c r="AF212" s="60"/>
    </row>
    <row r="213" spans="1:32" s="96" customFormat="1" ht="25.5">
      <c r="A213" s="105"/>
      <c r="B213" s="616">
        <f t="shared" si="9"/>
        <v>103</v>
      </c>
      <c r="C213" s="604" t="s">
        <v>332</v>
      </c>
      <c r="D213" s="596" t="s">
        <v>572</v>
      </c>
      <c r="E213" s="596" t="s">
        <v>1930</v>
      </c>
      <c r="F213" s="643">
        <v>2</v>
      </c>
      <c r="G213" s="766">
        <v>275</v>
      </c>
      <c r="H213" s="762">
        <f t="shared" si="8"/>
        <v>550</v>
      </c>
      <c r="I213" s="309"/>
      <c r="J213" s="308"/>
      <c r="K213" s="60"/>
      <c r="L213" s="60"/>
      <c r="M213" s="60"/>
      <c r="N213" s="60"/>
      <c r="O213" s="60"/>
      <c r="P213" s="60"/>
      <c r="Q213" s="60"/>
      <c r="R213" s="60"/>
      <c r="S213" s="60"/>
      <c r="T213" s="60"/>
      <c r="U213" s="60"/>
      <c r="V213" s="60"/>
      <c r="W213" s="60"/>
      <c r="X213" s="60"/>
      <c r="Y213" s="60"/>
      <c r="Z213" s="60"/>
      <c r="AA213" s="60"/>
      <c r="AB213" s="60"/>
      <c r="AC213" s="60"/>
      <c r="AD213" s="60"/>
      <c r="AE213" s="60"/>
      <c r="AF213" s="60"/>
    </row>
    <row r="214" spans="1:32" s="96" customFormat="1" ht="178.5">
      <c r="A214" s="105"/>
      <c r="B214" s="616">
        <f t="shared" si="9"/>
        <v>104</v>
      </c>
      <c r="C214" s="604" t="s">
        <v>333</v>
      </c>
      <c r="D214" s="596" t="s">
        <v>573</v>
      </c>
      <c r="E214" s="596" t="s">
        <v>1930</v>
      </c>
      <c r="F214" s="643">
        <v>5</v>
      </c>
      <c r="G214" s="763">
        <v>2300</v>
      </c>
      <c r="H214" s="762">
        <f t="shared" si="8"/>
        <v>11500</v>
      </c>
      <c r="I214" s="309"/>
      <c r="J214" s="308"/>
      <c r="K214" s="60"/>
      <c r="L214" s="60"/>
      <c r="M214" s="60"/>
      <c r="N214" s="60"/>
      <c r="O214" s="60"/>
      <c r="P214" s="60"/>
      <c r="Q214" s="60"/>
      <c r="R214" s="60"/>
      <c r="S214" s="60"/>
      <c r="T214" s="60"/>
      <c r="U214" s="60"/>
      <c r="V214" s="60"/>
      <c r="W214" s="60"/>
      <c r="X214" s="60"/>
      <c r="Y214" s="60"/>
      <c r="Z214" s="60"/>
      <c r="AA214" s="60"/>
      <c r="AB214" s="60"/>
      <c r="AC214" s="60"/>
      <c r="AD214" s="60"/>
      <c r="AE214" s="60"/>
      <c r="AF214" s="60"/>
    </row>
    <row r="215" spans="1:32" s="96" customFormat="1" ht="178.5">
      <c r="A215" s="105"/>
      <c r="B215" s="616">
        <f t="shared" si="9"/>
        <v>105</v>
      </c>
      <c r="C215" s="604" t="s">
        <v>334</v>
      </c>
      <c r="D215" s="596" t="s">
        <v>573</v>
      </c>
      <c r="E215" s="596" t="s">
        <v>1930</v>
      </c>
      <c r="F215" s="643">
        <v>2</v>
      </c>
      <c r="G215" s="763">
        <v>2650</v>
      </c>
      <c r="H215" s="762">
        <f t="shared" si="8"/>
        <v>5300</v>
      </c>
      <c r="I215" s="309"/>
      <c r="J215" s="308"/>
      <c r="K215" s="60"/>
      <c r="L215" s="60"/>
      <c r="M215" s="60"/>
      <c r="N215" s="60"/>
      <c r="O215" s="60"/>
      <c r="P215" s="60"/>
      <c r="Q215" s="60"/>
      <c r="R215" s="60"/>
      <c r="S215" s="60"/>
      <c r="T215" s="60"/>
      <c r="U215" s="60"/>
      <c r="V215" s="60"/>
      <c r="W215" s="60"/>
      <c r="X215" s="60"/>
      <c r="Y215" s="60"/>
      <c r="Z215" s="60"/>
      <c r="AA215" s="60"/>
      <c r="AB215" s="60"/>
      <c r="AC215" s="60"/>
      <c r="AD215" s="60"/>
      <c r="AE215" s="60"/>
      <c r="AF215" s="60"/>
    </row>
    <row r="216" spans="1:32" s="96" customFormat="1" ht="178.5">
      <c r="A216" s="105"/>
      <c r="B216" s="616">
        <f t="shared" si="9"/>
        <v>106</v>
      </c>
      <c r="C216" s="604" t="s">
        <v>2020</v>
      </c>
      <c r="D216" s="596" t="s">
        <v>573</v>
      </c>
      <c r="E216" s="596" t="s">
        <v>1930</v>
      </c>
      <c r="F216" s="643">
        <v>2</v>
      </c>
      <c r="G216" s="763">
        <v>2650</v>
      </c>
      <c r="H216" s="762">
        <f t="shared" si="8"/>
        <v>5300</v>
      </c>
      <c r="I216" s="309"/>
      <c r="J216" s="308"/>
      <c r="K216" s="60"/>
      <c r="L216" s="60"/>
      <c r="M216" s="60"/>
      <c r="N216" s="60"/>
      <c r="O216" s="60"/>
      <c r="P216" s="60"/>
      <c r="Q216" s="60"/>
      <c r="R216" s="60"/>
      <c r="S216" s="60"/>
      <c r="T216" s="60"/>
      <c r="U216" s="60"/>
      <c r="V216" s="60"/>
      <c r="W216" s="60"/>
      <c r="X216" s="60"/>
      <c r="Y216" s="60"/>
      <c r="Z216" s="60"/>
      <c r="AA216" s="60"/>
      <c r="AB216" s="60"/>
      <c r="AC216" s="60"/>
      <c r="AD216" s="60"/>
      <c r="AE216" s="60"/>
      <c r="AF216" s="60"/>
    </row>
    <row r="217" spans="1:32" s="96" customFormat="1" ht="15">
      <c r="A217" s="105"/>
      <c r="B217" s="616">
        <f t="shared" si="9"/>
        <v>107</v>
      </c>
      <c r="C217" s="604" t="s">
        <v>2021</v>
      </c>
      <c r="D217" s="596" t="s">
        <v>2022</v>
      </c>
      <c r="E217" s="596" t="s">
        <v>1930</v>
      </c>
      <c r="F217" s="643">
        <v>3</v>
      </c>
      <c r="G217" s="763">
        <v>1350</v>
      </c>
      <c r="H217" s="762">
        <f t="shared" si="8"/>
        <v>4050</v>
      </c>
      <c r="I217" s="309"/>
      <c r="J217" s="308"/>
      <c r="K217" s="60"/>
      <c r="L217" s="60"/>
      <c r="M217" s="60"/>
      <c r="N217" s="60"/>
      <c r="O217" s="60"/>
      <c r="P217" s="60"/>
      <c r="Q217" s="60"/>
      <c r="R217" s="60"/>
      <c r="S217" s="60"/>
      <c r="T217" s="60"/>
      <c r="U217" s="60"/>
      <c r="V217" s="60"/>
      <c r="W217" s="60"/>
      <c r="X217" s="60"/>
      <c r="Y217" s="60"/>
      <c r="Z217" s="60"/>
      <c r="AA217" s="60"/>
      <c r="AB217" s="60"/>
      <c r="AC217" s="60"/>
      <c r="AD217" s="60"/>
      <c r="AE217" s="60"/>
      <c r="AF217" s="60"/>
    </row>
    <row r="218" spans="1:32" s="96" customFormat="1" ht="51">
      <c r="A218" s="105"/>
      <c r="B218" s="616">
        <f t="shared" si="9"/>
        <v>108</v>
      </c>
      <c r="C218" s="604" t="s">
        <v>335</v>
      </c>
      <c r="D218" s="596" t="s">
        <v>574</v>
      </c>
      <c r="E218" s="596" t="s">
        <v>1930</v>
      </c>
      <c r="F218" s="643">
        <v>1</v>
      </c>
      <c r="G218" s="763">
        <v>37100</v>
      </c>
      <c r="H218" s="762">
        <f t="shared" si="8"/>
        <v>37100</v>
      </c>
      <c r="I218" s="309"/>
      <c r="J218" s="308"/>
      <c r="K218" s="60"/>
      <c r="L218" s="60"/>
      <c r="M218" s="60"/>
      <c r="N218" s="60"/>
      <c r="O218" s="60"/>
      <c r="P218" s="60"/>
      <c r="Q218" s="60"/>
      <c r="R218" s="60"/>
      <c r="S218" s="60"/>
      <c r="T218" s="60"/>
      <c r="U218" s="60"/>
      <c r="V218" s="60"/>
      <c r="W218" s="60"/>
      <c r="X218" s="60"/>
      <c r="Y218" s="60"/>
      <c r="Z218" s="60"/>
      <c r="AA218" s="60"/>
      <c r="AB218" s="60"/>
      <c r="AC218" s="60"/>
      <c r="AD218" s="60"/>
      <c r="AE218" s="60"/>
      <c r="AF218" s="60"/>
    </row>
    <row r="219" spans="1:32" s="96" customFormat="1" ht="15">
      <c r="A219" s="105"/>
      <c r="B219" s="616">
        <f t="shared" si="9"/>
        <v>109</v>
      </c>
      <c r="C219" s="604" t="s">
        <v>2023</v>
      </c>
      <c r="D219" s="596" t="s">
        <v>2024</v>
      </c>
      <c r="E219" s="596" t="s">
        <v>1930</v>
      </c>
      <c r="F219" s="643">
        <v>2</v>
      </c>
      <c r="G219" s="763">
        <v>2850</v>
      </c>
      <c r="H219" s="762">
        <f t="shared" si="8"/>
        <v>5700</v>
      </c>
      <c r="I219" s="309"/>
      <c r="J219" s="308"/>
      <c r="K219" s="60"/>
      <c r="L219" s="60"/>
      <c r="M219" s="60"/>
      <c r="N219" s="60"/>
      <c r="O219" s="60"/>
      <c r="P219" s="60"/>
      <c r="Q219" s="60"/>
      <c r="R219" s="60"/>
      <c r="S219" s="60"/>
      <c r="T219" s="60"/>
      <c r="U219" s="60"/>
      <c r="V219" s="60"/>
      <c r="W219" s="60"/>
      <c r="X219" s="60"/>
      <c r="Y219" s="60"/>
      <c r="Z219" s="60"/>
      <c r="AA219" s="60"/>
      <c r="AB219" s="60"/>
      <c r="AC219" s="60"/>
      <c r="AD219" s="60"/>
      <c r="AE219" s="60"/>
      <c r="AF219" s="60"/>
    </row>
    <row r="220" spans="1:32" s="96" customFormat="1" ht="38.25">
      <c r="A220" s="105"/>
      <c r="B220" s="616">
        <f t="shared" si="9"/>
        <v>110</v>
      </c>
      <c r="C220" s="604" t="s">
        <v>2025</v>
      </c>
      <c r="D220" s="596" t="s">
        <v>2026</v>
      </c>
      <c r="E220" s="596" t="s">
        <v>302</v>
      </c>
      <c r="F220" s="643">
        <v>2</v>
      </c>
      <c r="G220" s="763">
        <v>2035</v>
      </c>
      <c r="H220" s="762">
        <f t="shared" si="8"/>
        <v>4070</v>
      </c>
      <c r="I220" s="309"/>
      <c r="J220" s="308"/>
      <c r="K220" s="60"/>
      <c r="L220" s="60"/>
      <c r="M220" s="60"/>
      <c r="N220" s="60"/>
      <c r="O220" s="60"/>
      <c r="P220" s="60"/>
      <c r="Q220" s="60"/>
      <c r="R220" s="60"/>
      <c r="S220" s="60"/>
      <c r="T220" s="60"/>
      <c r="U220" s="60"/>
      <c r="V220" s="60"/>
      <c r="W220" s="60"/>
      <c r="X220" s="60"/>
      <c r="Y220" s="60"/>
      <c r="Z220" s="60"/>
      <c r="AA220" s="60"/>
      <c r="AB220" s="60"/>
      <c r="AC220" s="60"/>
      <c r="AD220" s="60"/>
      <c r="AE220" s="60"/>
      <c r="AF220" s="60"/>
    </row>
    <row r="221" spans="1:32" s="96" customFormat="1" ht="38.25">
      <c r="A221" s="105"/>
      <c r="B221" s="616">
        <f t="shared" si="9"/>
        <v>111</v>
      </c>
      <c r="C221" s="604" t="s">
        <v>338</v>
      </c>
      <c r="D221" s="596" t="s">
        <v>673</v>
      </c>
      <c r="E221" s="596" t="s">
        <v>1930</v>
      </c>
      <c r="F221" s="643">
        <v>50</v>
      </c>
      <c r="G221" s="766">
        <v>715</v>
      </c>
      <c r="H221" s="762">
        <f t="shared" si="8"/>
        <v>35750</v>
      </c>
      <c r="I221" s="309"/>
      <c r="J221" s="308"/>
      <c r="K221" s="60"/>
      <c r="L221" s="60"/>
      <c r="M221" s="60"/>
      <c r="N221" s="60"/>
      <c r="O221" s="60"/>
      <c r="P221" s="60"/>
      <c r="Q221" s="60"/>
      <c r="R221" s="60"/>
      <c r="S221" s="60"/>
      <c r="T221" s="60"/>
      <c r="U221" s="60"/>
      <c r="V221" s="60"/>
      <c r="W221" s="60"/>
      <c r="X221" s="60"/>
      <c r="Y221" s="60"/>
      <c r="Z221" s="60"/>
      <c r="AA221" s="60"/>
      <c r="AB221" s="60"/>
      <c r="AC221" s="60"/>
      <c r="AD221" s="60"/>
      <c r="AE221" s="60"/>
      <c r="AF221" s="60"/>
    </row>
    <row r="222" spans="1:32" s="96" customFormat="1" ht="25.5">
      <c r="A222" s="105"/>
      <c r="B222" s="616">
        <f t="shared" si="9"/>
        <v>112</v>
      </c>
      <c r="C222" s="604" t="s">
        <v>2027</v>
      </c>
      <c r="D222" s="596" t="s">
        <v>2028</v>
      </c>
      <c r="E222" s="596" t="s">
        <v>1930</v>
      </c>
      <c r="F222" s="643">
        <v>25</v>
      </c>
      <c r="G222" s="766">
        <v>550</v>
      </c>
      <c r="H222" s="762">
        <f t="shared" si="8"/>
        <v>13750</v>
      </c>
      <c r="I222" s="309"/>
      <c r="J222" s="308"/>
      <c r="K222" s="60"/>
      <c r="L222" s="60"/>
      <c r="M222" s="60"/>
      <c r="N222" s="60"/>
      <c r="O222" s="60"/>
      <c r="P222" s="60"/>
      <c r="Q222" s="60"/>
      <c r="R222" s="60"/>
      <c r="S222" s="60"/>
      <c r="T222" s="60"/>
      <c r="U222" s="60"/>
      <c r="V222" s="60"/>
      <c r="W222" s="60"/>
      <c r="X222" s="60"/>
      <c r="Y222" s="60"/>
      <c r="Z222" s="60"/>
      <c r="AA222" s="60"/>
      <c r="AB222" s="60"/>
      <c r="AC222" s="60"/>
      <c r="AD222" s="60"/>
      <c r="AE222" s="60"/>
      <c r="AF222" s="60"/>
    </row>
    <row r="223" spans="1:32" s="96" customFormat="1" ht="38.25">
      <c r="A223" s="105"/>
      <c r="B223" s="616">
        <f t="shared" si="9"/>
        <v>113</v>
      </c>
      <c r="C223" s="604" t="s">
        <v>2029</v>
      </c>
      <c r="D223" s="765" t="s">
        <v>2030</v>
      </c>
      <c r="E223" s="596" t="s">
        <v>1930</v>
      </c>
      <c r="F223" s="643">
        <v>20</v>
      </c>
      <c r="G223" s="766">
        <v>176</v>
      </c>
      <c r="H223" s="762">
        <f t="shared" si="8"/>
        <v>3520</v>
      </c>
      <c r="I223" s="309"/>
      <c r="J223" s="308"/>
      <c r="K223" s="60"/>
      <c r="L223" s="60"/>
      <c r="M223" s="60"/>
      <c r="N223" s="60"/>
      <c r="O223" s="60"/>
      <c r="P223" s="60"/>
      <c r="Q223" s="60"/>
      <c r="R223" s="60"/>
      <c r="S223" s="60"/>
      <c r="T223" s="60"/>
      <c r="U223" s="60"/>
      <c r="V223" s="60"/>
      <c r="W223" s="60"/>
      <c r="X223" s="60"/>
      <c r="Y223" s="60"/>
      <c r="Z223" s="60"/>
      <c r="AA223" s="60"/>
      <c r="AB223" s="60"/>
      <c r="AC223" s="60"/>
      <c r="AD223" s="60"/>
      <c r="AE223" s="60"/>
      <c r="AF223" s="60"/>
    </row>
    <row r="224" spans="1:32" s="96" customFormat="1" ht="76.5">
      <c r="A224" s="105"/>
      <c r="B224" s="616">
        <f t="shared" si="9"/>
        <v>114</v>
      </c>
      <c r="C224" s="604" t="s">
        <v>2031</v>
      </c>
      <c r="D224" s="596" t="s">
        <v>2032</v>
      </c>
      <c r="E224" s="596" t="s">
        <v>1930</v>
      </c>
      <c r="F224" s="643">
        <v>4</v>
      </c>
      <c r="G224" s="763">
        <v>3300</v>
      </c>
      <c r="H224" s="762">
        <f t="shared" si="8"/>
        <v>13200</v>
      </c>
      <c r="I224" s="309"/>
      <c r="J224" s="308"/>
      <c r="K224" s="60"/>
      <c r="L224" s="60"/>
      <c r="M224" s="60"/>
      <c r="N224" s="60"/>
      <c r="O224" s="60"/>
      <c r="P224" s="60"/>
      <c r="Q224" s="60"/>
      <c r="R224" s="60"/>
      <c r="S224" s="60"/>
      <c r="T224" s="60"/>
      <c r="U224" s="60"/>
      <c r="V224" s="60"/>
      <c r="W224" s="60"/>
      <c r="X224" s="60"/>
      <c r="Y224" s="60"/>
      <c r="Z224" s="60"/>
      <c r="AA224" s="60"/>
      <c r="AB224" s="60"/>
      <c r="AC224" s="60"/>
      <c r="AD224" s="60"/>
      <c r="AE224" s="60"/>
      <c r="AF224" s="60"/>
    </row>
    <row r="225" spans="1:32" s="96" customFormat="1" ht="25.5">
      <c r="A225" s="105"/>
      <c r="B225" s="616">
        <f t="shared" si="9"/>
        <v>115</v>
      </c>
      <c r="C225" s="604" t="s">
        <v>339</v>
      </c>
      <c r="D225" s="596" t="s">
        <v>2033</v>
      </c>
      <c r="E225" s="596" t="s">
        <v>295</v>
      </c>
      <c r="F225" s="643">
        <v>10</v>
      </c>
      <c r="G225" s="763">
        <v>3090</v>
      </c>
      <c r="H225" s="762">
        <f t="shared" si="8"/>
        <v>30900</v>
      </c>
      <c r="I225" s="309"/>
      <c r="J225" s="308"/>
      <c r="K225" s="60"/>
      <c r="L225" s="60"/>
      <c r="M225" s="60"/>
      <c r="N225" s="60"/>
      <c r="O225" s="60"/>
      <c r="P225" s="60"/>
      <c r="Q225" s="60"/>
      <c r="R225" s="60"/>
      <c r="S225" s="60"/>
      <c r="T225" s="60"/>
      <c r="U225" s="60"/>
      <c r="V225" s="60"/>
      <c r="W225" s="60"/>
      <c r="X225" s="60"/>
      <c r="Y225" s="60"/>
      <c r="Z225" s="60"/>
      <c r="AA225" s="60"/>
      <c r="AB225" s="60"/>
      <c r="AC225" s="60"/>
      <c r="AD225" s="60"/>
      <c r="AE225" s="60"/>
      <c r="AF225" s="60"/>
    </row>
    <row r="226" spans="1:32" s="96" customFormat="1" ht="38.25">
      <c r="A226" s="105"/>
      <c r="B226" s="616">
        <f t="shared" si="9"/>
        <v>116</v>
      </c>
      <c r="C226" s="604" t="s">
        <v>340</v>
      </c>
      <c r="D226" s="596" t="s">
        <v>674</v>
      </c>
      <c r="E226" s="596" t="s">
        <v>295</v>
      </c>
      <c r="F226" s="643">
        <v>5</v>
      </c>
      <c r="G226" s="763">
        <v>1200</v>
      </c>
      <c r="H226" s="762">
        <f t="shared" si="8"/>
        <v>6000</v>
      </c>
      <c r="I226" s="309"/>
      <c r="J226" s="308"/>
      <c r="K226" s="60"/>
      <c r="L226" s="60"/>
      <c r="M226" s="60"/>
      <c r="N226" s="60"/>
      <c r="O226" s="60"/>
      <c r="P226" s="60"/>
      <c r="Q226" s="60"/>
      <c r="R226" s="60"/>
      <c r="S226" s="60"/>
      <c r="T226" s="60"/>
      <c r="U226" s="60"/>
      <c r="V226" s="60"/>
      <c r="W226" s="60"/>
      <c r="X226" s="60"/>
      <c r="Y226" s="60"/>
      <c r="Z226" s="60"/>
      <c r="AA226" s="60"/>
      <c r="AB226" s="60"/>
      <c r="AC226" s="60"/>
      <c r="AD226" s="60"/>
      <c r="AE226" s="60"/>
      <c r="AF226" s="60"/>
    </row>
    <row r="227" spans="1:32" s="96" customFormat="1" ht="89.25">
      <c r="A227" s="105"/>
      <c r="B227" s="616">
        <f t="shared" si="9"/>
        <v>117</v>
      </c>
      <c r="C227" s="604" t="s">
        <v>341</v>
      </c>
      <c r="D227" s="596" t="s">
        <v>2034</v>
      </c>
      <c r="E227" s="596" t="s">
        <v>1930</v>
      </c>
      <c r="F227" s="643">
        <v>10</v>
      </c>
      <c r="G227" s="763">
        <v>13800</v>
      </c>
      <c r="H227" s="762">
        <f t="shared" si="8"/>
        <v>138000</v>
      </c>
      <c r="I227" s="309"/>
      <c r="J227" s="308"/>
      <c r="K227" s="60"/>
      <c r="L227" s="60"/>
      <c r="M227" s="60"/>
      <c r="N227" s="60"/>
      <c r="O227" s="60"/>
      <c r="P227" s="60"/>
      <c r="Q227" s="60"/>
      <c r="R227" s="60"/>
      <c r="S227" s="60"/>
      <c r="T227" s="60"/>
      <c r="U227" s="60"/>
      <c r="V227" s="60"/>
      <c r="W227" s="60"/>
      <c r="X227" s="60"/>
      <c r="Y227" s="60"/>
      <c r="Z227" s="60"/>
      <c r="AA227" s="60"/>
      <c r="AB227" s="60"/>
      <c r="AC227" s="60"/>
      <c r="AD227" s="60"/>
      <c r="AE227" s="60"/>
      <c r="AF227" s="60"/>
    </row>
    <row r="228" spans="1:32" s="96" customFormat="1" ht="63.75">
      <c r="A228" s="105"/>
      <c r="B228" s="616">
        <f t="shared" si="9"/>
        <v>118</v>
      </c>
      <c r="C228" s="604" t="s">
        <v>341</v>
      </c>
      <c r="D228" s="596" t="s">
        <v>776</v>
      </c>
      <c r="E228" s="596" t="s">
        <v>1930</v>
      </c>
      <c r="F228" s="643">
        <v>10</v>
      </c>
      <c r="G228" s="763">
        <v>17100</v>
      </c>
      <c r="H228" s="762">
        <f t="shared" si="8"/>
        <v>171000</v>
      </c>
      <c r="I228" s="309"/>
      <c r="J228" s="308"/>
      <c r="K228" s="60"/>
      <c r="L228" s="60"/>
      <c r="M228" s="60"/>
      <c r="N228" s="60"/>
      <c r="O228" s="60"/>
      <c r="P228" s="60"/>
      <c r="Q228" s="60"/>
      <c r="R228" s="60"/>
      <c r="S228" s="60"/>
      <c r="T228" s="60"/>
      <c r="U228" s="60"/>
      <c r="V228" s="60"/>
      <c r="W228" s="60"/>
      <c r="X228" s="60"/>
      <c r="Y228" s="60"/>
      <c r="Z228" s="60"/>
      <c r="AA228" s="60"/>
      <c r="AB228" s="60"/>
      <c r="AC228" s="60"/>
      <c r="AD228" s="60"/>
      <c r="AE228" s="60"/>
      <c r="AF228" s="60"/>
    </row>
    <row r="229" spans="1:32" s="96" customFormat="1" ht="38.25">
      <c r="A229" s="105"/>
      <c r="B229" s="616">
        <f t="shared" si="9"/>
        <v>119</v>
      </c>
      <c r="C229" s="604" t="s">
        <v>2035</v>
      </c>
      <c r="D229" s="596" t="s">
        <v>2036</v>
      </c>
      <c r="E229" s="596" t="s">
        <v>1930</v>
      </c>
      <c r="F229" s="643">
        <v>2</v>
      </c>
      <c r="G229" s="763">
        <v>38850</v>
      </c>
      <c r="H229" s="762">
        <f t="shared" si="8"/>
        <v>77700</v>
      </c>
      <c r="I229" s="309"/>
      <c r="J229" s="308"/>
      <c r="K229" s="60"/>
      <c r="L229" s="60"/>
      <c r="M229" s="60"/>
      <c r="N229" s="60"/>
      <c r="O229" s="60"/>
      <c r="P229" s="60"/>
      <c r="Q229" s="60"/>
      <c r="R229" s="60"/>
      <c r="S229" s="60"/>
      <c r="T229" s="60"/>
      <c r="U229" s="60"/>
      <c r="V229" s="60"/>
      <c r="W229" s="60"/>
      <c r="X229" s="60"/>
      <c r="Y229" s="60"/>
      <c r="Z229" s="60"/>
      <c r="AA229" s="60"/>
      <c r="AB229" s="60"/>
      <c r="AC229" s="60"/>
      <c r="AD229" s="60"/>
      <c r="AE229" s="60"/>
      <c r="AF229" s="60"/>
    </row>
    <row r="230" spans="1:32" s="96" customFormat="1" ht="63.75">
      <c r="A230" s="105"/>
      <c r="B230" s="616">
        <f t="shared" si="9"/>
        <v>120</v>
      </c>
      <c r="C230" s="604" t="s">
        <v>2037</v>
      </c>
      <c r="D230" s="765" t="s">
        <v>2038</v>
      </c>
      <c r="E230" s="596" t="s">
        <v>1930</v>
      </c>
      <c r="F230" s="643">
        <v>5</v>
      </c>
      <c r="G230" s="763">
        <v>12100</v>
      </c>
      <c r="H230" s="762">
        <f t="shared" si="8"/>
        <v>60500</v>
      </c>
      <c r="I230" s="309"/>
      <c r="J230" s="308"/>
      <c r="K230" s="60"/>
      <c r="L230" s="60"/>
      <c r="M230" s="60"/>
      <c r="N230" s="60"/>
      <c r="O230" s="60"/>
      <c r="P230" s="60"/>
      <c r="Q230" s="60"/>
      <c r="R230" s="60"/>
      <c r="S230" s="60"/>
      <c r="T230" s="60"/>
      <c r="U230" s="60"/>
      <c r="V230" s="60"/>
      <c r="W230" s="60"/>
      <c r="X230" s="60"/>
      <c r="Y230" s="60"/>
      <c r="Z230" s="60"/>
      <c r="AA230" s="60"/>
      <c r="AB230" s="60"/>
      <c r="AC230" s="60"/>
      <c r="AD230" s="60"/>
      <c r="AE230" s="60"/>
      <c r="AF230" s="60"/>
    </row>
    <row r="231" spans="1:32" s="96" customFormat="1" ht="51">
      <c r="A231" s="105"/>
      <c r="B231" s="616">
        <f t="shared" si="9"/>
        <v>121</v>
      </c>
      <c r="C231" s="604" t="s">
        <v>2039</v>
      </c>
      <c r="D231" s="596" t="s">
        <v>2040</v>
      </c>
      <c r="E231" s="596" t="s">
        <v>1930</v>
      </c>
      <c r="F231" s="643">
        <v>1</v>
      </c>
      <c r="G231" s="763">
        <v>3900</v>
      </c>
      <c r="H231" s="762">
        <f t="shared" si="8"/>
        <v>3900</v>
      </c>
      <c r="I231" s="309"/>
      <c r="J231" s="308"/>
      <c r="K231" s="60"/>
      <c r="L231" s="60"/>
      <c r="M231" s="60"/>
      <c r="N231" s="60"/>
      <c r="O231" s="60"/>
      <c r="P231" s="60"/>
      <c r="Q231" s="60"/>
      <c r="R231" s="60"/>
      <c r="S231" s="60"/>
      <c r="T231" s="60"/>
      <c r="U231" s="60"/>
      <c r="V231" s="60"/>
      <c r="W231" s="60"/>
      <c r="X231" s="60"/>
      <c r="Y231" s="60"/>
      <c r="Z231" s="60"/>
      <c r="AA231" s="60"/>
      <c r="AB231" s="60"/>
      <c r="AC231" s="60"/>
      <c r="AD231" s="60"/>
      <c r="AE231" s="60"/>
      <c r="AF231" s="60"/>
    </row>
    <row r="232" spans="1:32" s="96" customFormat="1" ht="38.25">
      <c r="A232" s="105"/>
      <c r="B232" s="616">
        <f t="shared" si="9"/>
        <v>122</v>
      </c>
      <c r="C232" s="604" t="s">
        <v>2041</v>
      </c>
      <c r="D232" s="596" t="s">
        <v>2042</v>
      </c>
      <c r="E232" s="596" t="s">
        <v>1930</v>
      </c>
      <c r="F232" s="643">
        <v>1</v>
      </c>
      <c r="G232" s="763">
        <v>5430</v>
      </c>
      <c r="H232" s="762">
        <f t="shared" si="8"/>
        <v>5430</v>
      </c>
      <c r="I232" s="309"/>
      <c r="J232" s="308"/>
      <c r="K232" s="60"/>
      <c r="L232" s="60"/>
      <c r="M232" s="60"/>
      <c r="N232" s="60"/>
      <c r="O232" s="60"/>
      <c r="P232" s="60"/>
      <c r="Q232" s="60"/>
      <c r="R232" s="60"/>
      <c r="S232" s="60"/>
      <c r="T232" s="60"/>
      <c r="U232" s="60"/>
      <c r="V232" s="60"/>
      <c r="W232" s="60"/>
      <c r="X232" s="60"/>
      <c r="Y232" s="60"/>
      <c r="Z232" s="60"/>
      <c r="AA232" s="60"/>
      <c r="AB232" s="60"/>
      <c r="AC232" s="60"/>
      <c r="AD232" s="60"/>
      <c r="AE232" s="60"/>
      <c r="AF232" s="60"/>
    </row>
    <row r="233" spans="1:32" s="96" customFormat="1" ht="38.25">
      <c r="A233" s="105"/>
      <c r="B233" s="616">
        <f t="shared" si="9"/>
        <v>123</v>
      </c>
      <c r="C233" s="604" t="s">
        <v>640</v>
      </c>
      <c r="D233" s="596" t="s">
        <v>2043</v>
      </c>
      <c r="E233" s="596" t="s">
        <v>1930</v>
      </c>
      <c r="F233" s="643">
        <v>5</v>
      </c>
      <c r="G233" s="763">
        <v>5800</v>
      </c>
      <c r="H233" s="762">
        <f t="shared" si="8"/>
        <v>29000</v>
      </c>
      <c r="I233" s="309"/>
      <c r="J233" s="308"/>
      <c r="K233" s="60"/>
      <c r="L233" s="60"/>
      <c r="M233" s="60"/>
      <c r="N233" s="60"/>
      <c r="O233" s="60"/>
      <c r="P233" s="60"/>
      <c r="Q233" s="60"/>
      <c r="R233" s="60"/>
      <c r="S233" s="60"/>
      <c r="T233" s="60"/>
      <c r="U233" s="60"/>
      <c r="V233" s="60"/>
      <c r="W233" s="60"/>
      <c r="X233" s="60"/>
      <c r="Y233" s="60"/>
      <c r="Z233" s="60"/>
      <c r="AA233" s="60"/>
      <c r="AB233" s="60"/>
      <c r="AC233" s="60"/>
      <c r="AD233" s="60"/>
      <c r="AE233" s="60"/>
      <c r="AF233" s="60"/>
    </row>
    <row r="234" spans="1:32" s="96" customFormat="1" ht="25.5">
      <c r="A234" s="105"/>
      <c r="B234" s="616">
        <f t="shared" si="9"/>
        <v>124</v>
      </c>
      <c r="C234" s="645" t="s">
        <v>799</v>
      </c>
      <c r="D234" s="596" t="s">
        <v>675</v>
      </c>
      <c r="E234" s="596" t="s">
        <v>1930</v>
      </c>
      <c r="F234" s="643">
        <v>5</v>
      </c>
      <c r="G234" s="766">
        <v>440</v>
      </c>
      <c r="H234" s="762">
        <f t="shared" si="8"/>
        <v>2200</v>
      </c>
      <c r="I234" s="309"/>
      <c r="J234" s="308"/>
      <c r="K234" s="60"/>
      <c r="L234" s="60"/>
      <c r="M234" s="60"/>
      <c r="N234" s="60"/>
      <c r="O234" s="60"/>
      <c r="P234" s="60"/>
      <c r="Q234" s="60"/>
      <c r="R234" s="60"/>
      <c r="S234" s="60"/>
      <c r="T234" s="60"/>
      <c r="U234" s="60"/>
      <c r="V234" s="60"/>
      <c r="W234" s="60"/>
      <c r="X234" s="60"/>
      <c r="Y234" s="60"/>
      <c r="Z234" s="60"/>
      <c r="AA234" s="60"/>
      <c r="AB234" s="60"/>
      <c r="AC234" s="60"/>
      <c r="AD234" s="60"/>
      <c r="AE234" s="60"/>
      <c r="AF234" s="60"/>
    </row>
    <row r="235" spans="1:32" s="96" customFormat="1" ht="25.5">
      <c r="A235" s="105"/>
      <c r="B235" s="616">
        <f t="shared" si="9"/>
        <v>125</v>
      </c>
      <c r="C235" s="645" t="s">
        <v>799</v>
      </c>
      <c r="D235" s="596" t="s">
        <v>575</v>
      </c>
      <c r="E235" s="596" t="s">
        <v>1930</v>
      </c>
      <c r="F235" s="643">
        <v>5</v>
      </c>
      <c r="G235" s="766">
        <v>770</v>
      </c>
      <c r="H235" s="762">
        <f t="shared" si="8"/>
        <v>3850</v>
      </c>
      <c r="I235" s="309"/>
      <c r="J235" s="308"/>
      <c r="K235" s="60"/>
      <c r="L235" s="60"/>
      <c r="M235" s="60"/>
      <c r="N235" s="60"/>
      <c r="O235" s="60"/>
      <c r="P235" s="60"/>
      <c r="Q235" s="60"/>
      <c r="R235" s="60"/>
      <c r="S235" s="60"/>
      <c r="T235" s="60"/>
      <c r="U235" s="60"/>
      <c r="V235" s="60"/>
      <c r="W235" s="60"/>
      <c r="X235" s="60"/>
      <c r="Y235" s="60"/>
      <c r="Z235" s="60"/>
      <c r="AA235" s="60"/>
      <c r="AB235" s="60"/>
      <c r="AC235" s="60"/>
      <c r="AD235" s="60"/>
      <c r="AE235" s="60"/>
      <c r="AF235" s="60"/>
    </row>
    <row r="236" spans="1:32" s="96" customFormat="1" ht="51">
      <c r="A236" s="105"/>
      <c r="B236" s="616">
        <f t="shared" si="9"/>
        <v>126</v>
      </c>
      <c r="C236" s="604" t="s">
        <v>342</v>
      </c>
      <c r="D236" s="596" t="s">
        <v>576</v>
      </c>
      <c r="E236" s="596" t="s">
        <v>1930</v>
      </c>
      <c r="F236" s="643">
        <v>10</v>
      </c>
      <c r="G236" s="766">
        <v>385</v>
      </c>
      <c r="H236" s="762">
        <f t="shared" si="8"/>
        <v>3850</v>
      </c>
      <c r="I236" s="309"/>
      <c r="J236" s="308"/>
      <c r="K236" s="60"/>
      <c r="L236" s="60"/>
      <c r="M236" s="60"/>
      <c r="N236" s="60"/>
      <c r="O236" s="60"/>
      <c r="P236" s="60"/>
      <c r="Q236" s="60"/>
      <c r="R236" s="60"/>
      <c r="S236" s="60"/>
      <c r="T236" s="60"/>
      <c r="U236" s="60"/>
      <c r="V236" s="60"/>
      <c r="W236" s="60"/>
      <c r="X236" s="60"/>
      <c r="Y236" s="60"/>
      <c r="Z236" s="60"/>
      <c r="AA236" s="60"/>
      <c r="AB236" s="60"/>
      <c r="AC236" s="60"/>
      <c r="AD236" s="60"/>
      <c r="AE236" s="60"/>
      <c r="AF236" s="60"/>
    </row>
    <row r="237" spans="1:32" s="96" customFormat="1" ht="63.75">
      <c r="A237" s="105"/>
      <c r="B237" s="616">
        <f t="shared" si="9"/>
        <v>127</v>
      </c>
      <c r="C237" s="604" t="s">
        <v>343</v>
      </c>
      <c r="D237" s="596" t="s">
        <v>676</v>
      </c>
      <c r="E237" s="596" t="s">
        <v>1930</v>
      </c>
      <c r="F237" s="643">
        <v>10</v>
      </c>
      <c r="G237" s="766">
        <v>990</v>
      </c>
      <c r="H237" s="762">
        <f t="shared" si="8"/>
        <v>9900</v>
      </c>
      <c r="I237" s="309"/>
      <c r="J237" s="308"/>
      <c r="K237" s="60"/>
      <c r="L237" s="60"/>
      <c r="M237" s="60"/>
      <c r="N237" s="60"/>
      <c r="O237" s="60"/>
      <c r="P237" s="60"/>
      <c r="Q237" s="60"/>
      <c r="R237" s="60"/>
      <c r="S237" s="60"/>
      <c r="T237" s="60"/>
      <c r="U237" s="60"/>
      <c r="V237" s="60"/>
      <c r="W237" s="60"/>
      <c r="X237" s="60"/>
      <c r="Y237" s="60"/>
      <c r="Z237" s="60"/>
      <c r="AA237" s="60"/>
      <c r="AB237" s="60"/>
      <c r="AC237" s="60"/>
      <c r="AD237" s="60"/>
      <c r="AE237" s="60"/>
      <c r="AF237" s="60"/>
    </row>
    <row r="238" spans="1:32" s="96" customFormat="1" ht="89.25">
      <c r="A238" s="105"/>
      <c r="B238" s="616">
        <f t="shared" si="9"/>
        <v>128</v>
      </c>
      <c r="C238" s="604" t="s">
        <v>344</v>
      </c>
      <c r="D238" s="596" t="s">
        <v>2044</v>
      </c>
      <c r="E238" s="596" t="s">
        <v>1930</v>
      </c>
      <c r="F238" s="643">
        <v>10</v>
      </c>
      <c r="G238" s="763">
        <v>1100</v>
      </c>
      <c r="H238" s="762">
        <f t="shared" si="8"/>
        <v>11000</v>
      </c>
      <c r="I238" s="309"/>
      <c r="J238" s="308"/>
      <c r="K238" s="60"/>
      <c r="L238" s="60"/>
      <c r="M238" s="60"/>
      <c r="N238" s="60"/>
      <c r="O238" s="60"/>
      <c r="P238" s="60"/>
      <c r="Q238" s="60"/>
      <c r="R238" s="60"/>
      <c r="S238" s="60"/>
      <c r="T238" s="60"/>
      <c r="U238" s="60"/>
      <c r="V238" s="60"/>
      <c r="W238" s="60"/>
      <c r="X238" s="60"/>
      <c r="Y238" s="60"/>
      <c r="Z238" s="60"/>
      <c r="AA238" s="60"/>
      <c r="AB238" s="60"/>
      <c r="AC238" s="60"/>
      <c r="AD238" s="60"/>
      <c r="AE238" s="60"/>
      <c r="AF238" s="60"/>
    </row>
    <row r="239" spans="1:32" s="96" customFormat="1" ht="38.25">
      <c r="A239" s="105"/>
      <c r="B239" s="616">
        <f t="shared" si="9"/>
        <v>129</v>
      </c>
      <c r="C239" s="604" t="s">
        <v>2045</v>
      </c>
      <c r="D239" s="596" t="s">
        <v>2046</v>
      </c>
      <c r="E239" s="596" t="s">
        <v>694</v>
      </c>
      <c r="F239" s="643">
        <v>1</v>
      </c>
      <c r="G239" s="763">
        <v>10300</v>
      </c>
      <c r="H239" s="762">
        <f t="shared" ref="H239:H302" si="10">F239*G239</f>
        <v>10300</v>
      </c>
      <c r="I239" s="309"/>
      <c r="J239" s="308"/>
      <c r="K239" s="60"/>
      <c r="L239" s="60"/>
      <c r="M239" s="60"/>
      <c r="N239" s="60"/>
      <c r="O239" s="60"/>
      <c r="P239" s="60"/>
      <c r="Q239" s="60"/>
      <c r="R239" s="60"/>
      <c r="S239" s="60"/>
      <c r="T239" s="60"/>
      <c r="U239" s="60"/>
      <c r="V239" s="60"/>
      <c r="W239" s="60"/>
      <c r="X239" s="60"/>
      <c r="Y239" s="60"/>
      <c r="Z239" s="60"/>
      <c r="AA239" s="60"/>
      <c r="AB239" s="60"/>
      <c r="AC239" s="60"/>
      <c r="AD239" s="60"/>
      <c r="AE239" s="60"/>
      <c r="AF239" s="60"/>
    </row>
    <row r="240" spans="1:32" s="96" customFormat="1" ht="89.25">
      <c r="A240" s="105"/>
      <c r="B240" s="616">
        <f t="shared" si="9"/>
        <v>130</v>
      </c>
      <c r="C240" s="645" t="s">
        <v>641</v>
      </c>
      <c r="D240" s="596" t="s">
        <v>677</v>
      </c>
      <c r="E240" s="596" t="s">
        <v>1930</v>
      </c>
      <c r="F240" s="643">
        <v>20</v>
      </c>
      <c r="G240" s="766">
        <v>440</v>
      </c>
      <c r="H240" s="762">
        <f t="shared" si="10"/>
        <v>8800</v>
      </c>
      <c r="I240" s="309"/>
      <c r="J240" s="308"/>
      <c r="K240" s="60"/>
      <c r="L240" s="60"/>
      <c r="M240" s="60"/>
      <c r="N240" s="60"/>
      <c r="O240" s="60"/>
      <c r="P240" s="60"/>
      <c r="Q240" s="60"/>
      <c r="R240" s="60"/>
      <c r="S240" s="60"/>
      <c r="T240" s="60"/>
      <c r="U240" s="60"/>
      <c r="V240" s="60"/>
      <c r="W240" s="60"/>
      <c r="X240" s="60"/>
      <c r="Y240" s="60"/>
      <c r="Z240" s="60"/>
      <c r="AA240" s="60"/>
      <c r="AB240" s="60"/>
      <c r="AC240" s="60"/>
      <c r="AD240" s="60"/>
      <c r="AE240" s="60"/>
      <c r="AF240" s="60"/>
    </row>
    <row r="241" spans="1:32" s="96" customFormat="1" ht="89.25">
      <c r="A241" s="105"/>
      <c r="B241" s="616">
        <f t="shared" ref="B241:B304" si="11">B240+1</f>
        <v>131</v>
      </c>
      <c r="C241" s="604" t="s">
        <v>697</v>
      </c>
      <c r="D241" s="769" t="s">
        <v>2047</v>
      </c>
      <c r="E241" s="596" t="s">
        <v>1930</v>
      </c>
      <c r="F241" s="643">
        <v>2</v>
      </c>
      <c r="G241" s="763">
        <v>3900</v>
      </c>
      <c r="H241" s="762">
        <f t="shared" si="10"/>
        <v>7800</v>
      </c>
      <c r="I241" s="309"/>
      <c r="J241" s="308"/>
      <c r="K241" s="60"/>
      <c r="L241" s="60"/>
      <c r="M241" s="60"/>
      <c r="N241" s="60"/>
      <c r="O241" s="60"/>
      <c r="P241" s="60"/>
      <c r="Q241" s="60"/>
      <c r="R241" s="60"/>
      <c r="S241" s="60"/>
      <c r="T241" s="60"/>
      <c r="U241" s="60"/>
      <c r="V241" s="60"/>
      <c r="W241" s="60"/>
      <c r="X241" s="60"/>
      <c r="Y241" s="60"/>
      <c r="Z241" s="60"/>
      <c r="AA241" s="60"/>
      <c r="AB241" s="60"/>
      <c r="AC241" s="60"/>
      <c r="AD241" s="60"/>
      <c r="AE241" s="60"/>
      <c r="AF241" s="60"/>
    </row>
    <row r="242" spans="1:32" s="96" customFormat="1" ht="51">
      <c r="A242" s="105"/>
      <c r="B242" s="616">
        <f t="shared" si="11"/>
        <v>132</v>
      </c>
      <c r="C242" s="604" t="s">
        <v>222</v>
      </c>
      <c r="D242" s="596" t="s">
        <v>678</v>
      </c>
      <c r="E242" s="596" t="s">
        <v>694</v>
      </c>
      <c r="F242" s="643">
        <v>2</v>
      </c>
      <c r="G242" s="763">
        <v>19600</v>
      </c>
      <c r="H242" s="762">
        <f t="shared" si="10"/>
        <v>39200</v>
      </c>
      <c r="I242" s="309"/>
      <c r="J242" s="308"/>
      <c r="K242" s="60"/>
      <c r="L242" s="60"/>
      <c r="M242" s="60"/>
      <c r="N242" s="60"/>
      <c r="O242" s="60"/>
      <c r="P242" s="60"/>
      <c r="Q242" s="60"/>
      <c r="R242" s="60"/>
      <c r="S242" s="60"/>
      <c r="T242" s="60"/>
      <c r="U242" s="60"/>
      <c r="V242" s="60"/>
      <c r="W242" s="60"/>
      <c r="X242" s="60"/>
      <c r="Y242" s="60"/>
      <c r="Z242" s="60"/>
      <c r="AA242" s="60"/>
      <c r="AB242" s="60"/>
      <c r="AC242" s="60"/>
      <c r="AD242" s="60"/>
      <c r="AE242" s="60"/>
      <c r="AF242" s="60"/>
    </row>
    <row r="243" spans="1:32" s="96" customFormat="1" ht="76.5">
      <c r="A243" s="105"/>
      <c r="B243" s="616">
        <f t="shared" si="11"/>
        <v>133</v>
      </c>
      <c r="C243" s="604" t="s">
        <v>2048</v>
      </c>
      <c r="D243" s="596" t="s">
        <v>2049</v>
      </c>
      <c r="E243" s="596" t="s">
        <v>694</v>
      </c>
      <c r="F243" s="643">
        <v>1</v>
      </c>
      <c r="G243" s="763">
        <v>22100</v>
      </c>
      <c r="H243" s="762">
        <f t="shared" si="10"/>
        <v>22100</v>
      </c>
      <c r="I243" s="309"/>
      <c r="J243" s="308"/>
      <c r="K243" s="60"/>
      <c r="L243" s="60"/>
      <c r="M243" s="60"/>
      <c r="N243" s="60"/>
      <c r="O243" s="60"/>
      <c r="P243" s="60"/>
      <c r="Q243" s="60"/>
      <c r="R243" s="60"/>
      <c r="S243" s="60"/>
      <c r="T243" s="60"/>
      <c r="U243" s="60"/>
      <c r="V243" s="60"/>
      <c r="W243" s="60"/>
      <c r="X243" s="60"/>
      <c r="Y243" s="60"/>
      <c r="Z243" s="60"/>
      <c r="AA243" s="60"/>
      <c r="AB243" s="60"/>
      <c r="AC243" s="60"/>
      <c r="AD243" s="60"/>
      <c r="AE243" s="60"/>
      <c r="AF243" s="60"/>
    </row>
    <row r="244" spans="1:32" s="96" customFormat="1" ht="102">
      <c r="A244" s="105"/>
      <c r="B244" s="616">
        <f t="shared" si="11"/>
        <v>134</v>
      </c>
      <c r="C244" s="604" t="s">
        <v>642</v>
      </c>
      <c r="D244" s="769" t="s">
        <v>2050</v>
      </c>
      <c r="E244" s="596" t="s">
        <v>1930</v>
      </c>
      <c r="F244" s="643">
        <v>5</v>
      </c>
      <c r="G244" s="766">
        <v>710</v>
      </c>
      <c r="H244" s="762">
        <f t="shared" si="10"/>
        <v>3550</v>
      </c>
      <c r="I244" s="309"/>
      <c r="J244" s="308"/>
      <c r="K244" s="60"/>
      <c r="L244" s="60"/>
      <c r="M244" s="60"/>
      <c r="N244" s="60"/>
      <c r="O244" s="60"/>
      <c r="P244" s="60"/>
      <c r="Q244" s="60"/>
      <c r="R244" s="60"/>
      <c r="S244" s="60"/>
      <c r="T244" s="60"/>
      <c r="U244" s="60"/>
      <c r="V244" s="60"/>
      <c r="W244" s="60"/>
      <c r="X244" s="60"/>
      <c r="Y244" s="60"/>
      <c r="Z244" s="60"/>
      <c r="AA244" s="60"/>
      <c r="AB244" s="60"/>
      <c r="AC244" s="60"/>
      <c r="AD244" s="60"/>
      <c r="AE244" s="60"/>
      <c r="AF244" s="60"/>
    </row>
    <row r="245" spans="1:32" s="96" customFormat="1" ht="204">
      <c r="A245" s="105"/>
      <c r="B245" s="616">
        <f t="shared" si="11"/>
        <v>135</v>
      </c>
      <c r="C245" s="604" t="s">
        <v>345</v>
      </c>
      <c r="D245" s="596" t="s">
        <v>679</v>
      </c>
      <c r="E245" s="596" t="s">
        <v>1930</v>
      </c>
      <c r="F245" s="643">
        <v>4</v>
      </c>
      <c r="G245" s="763">
        <v>25100</v>
      </c>
      <c r="H245" s="762">
        <f t="shared" si="10"/>
        <v>100400</v>
      </c>
      <c r="I245" s="311"/>
      <c r="J245" s="308"/>
      <c r="K245" s="60"/>
      <c r="L245" s="60"/>
      <c r="M245" s="60"/>
      <c r="N245" s="60"/>
      <c r="O245" s="60"/>
      <c r="P245" s="60"/>
      <c r="Q245" s="60"/>
      <c r="R245" s="60"/>
      <c r="S245" s="60"/>
      <c r="T245" s="60"/>
      <c r="U245" s="60"/>
      <c r="V245" s="60"/>
      <c r="W245" s="60"/>
      <c r="X245" s="60"/>
      <c r="Y245" s="60"/>
      <c r="Z245" s="60"/>
      <c r="AA245" s="60"/>
      <c r="AB245" s="60"/>
      <c r="AC245" s="60"/>
      <c r="AD245" s="60"/>
      <c r="AE245" s="60"/>
      <c r="AF245" s="60"/>
    </row>
    <row r="246" spans="1:32" s="96" customFormat="1" ht="25.5">
      <c r="A246" s="105"/>
      <c r="B246" s="616">
        <f t="shared" si="11"/>
        <v>136</v>
      </c>
      <c r="C246" s="604" t="s">
        <v>643</v>
      </c>
      <c r="D246" s="596" t="s">
        <v>2051</v>
      </c>
      <c r="E246" s="596" t="s">
        <v>1959</v>
      </c>
      <c r="F246" s="596">
        <v>1</v>
      </c>
      <c r="G246" s="643">
        <v>5600</v>
      </c>
      <c r="H246" s="762">
        <f t="shared" si="10"/>
        <v>5600</v>
      </c>
      <c r="I246" s="309"/>
      <c r="J246" s="308"/>
      <c r="K246" s="60"/>
      <c r="L246" s="60"/>
      <c r="M246" s="60"/>
      <c r="N246" s="60"/>
      <c r="O246" s="60"/>
      <c r="P246" s="60"/>
      <c r="Q246" s="60"/>
      <c r="R246" s="60"/>
      <c r="S246" s="60"/>
      <c r="T246" s="60"/>
      <c r="U246" s="60"/>
      <c r="V246" s="60"/>
      <c r="W246" s="60"/>
      <c r="X246" s="60"/>
      <c r="Y246" s="60"/>
      <c r="Z246" s="60"/>
      <c r="AA246" s="60"/>
      <c r="AB246" s="60"/>
      <c r="AC246" s="60"/>
      <c r="AD246" s="60"/>
      <c r="AE246" s="60"/>
      <c r="AF246" s="60"/>
    </row>
    <row r="247" spans="1:32" s="96" customFormat="1" ht="38.25">
      <c r="A247" s="105"/>
      <c r="B247" s="616">
        <f t="shared" si="11"/>
        <v>137</v>
      </c>
      <c r="C247" s="645" t="s">
        <v>2052</v>
      </c>
      <c r="D247" s="765" t="s">
        <v>2053</v>
      </c>
      <c r="E247" s="596" t="s">
        <v>1930</v>
      </c>
      <c r="F247" s="643">
        <v>1</v>
      </c>
      <c r="G247" s="763">
        <v>2790</v>
      </c>
      <c r="H247" s="762">
        <f t="shared" si="10"/>
        <v>2790</v>
      </c>
      <c r="I247" s="309"/>
      <c r="J247" s="308"/>
      <c r="K247" s="60"/>
      <c r="L247" s="60"/>
      <c r="M247" s="60"/>
      <c r="N247" s="60"/>
      <c r="O247" s="60"/>
      <c r="P247" s="60"/>
      <c r="Q247" s="60"/>
      <c r="R247" s="60"/>
      <c r="S247" s="60"/>
      <c r="T247" s="60"/>
      <c r="U247" s="60"/>
      <c r="V247" s="60"/>
      <c r="W247" s="60"/>
      <c r="X247" s="60"/>
      <c r="Y247" s="60"/>
      <c r="Z247" s="60"/>
      <c r="AA247" s="60"/>
      <c r="AB247" s="60"/>
      <c r="AC247" s="60"/>
      <c r="AD247" s="60"/>
      <c r="AE247" s="60"/>
      <c r="AF247" s="60"/>
    </row>
    <row r="248" spans="1:32" s="96" customFormat="1" ht="51">
      <c r="A248" s="105"/>
      <c r="B248" s="616">
        <f t="shared" si="11"/>
        <v>138</v>
      </c>
      <c r="C248" s="604" t="s">
        <v>2054</v>
      </c>
      <c r="D248" s="596" t="s">
        <v>2055</v>
      </c>
      <c r="E248" s="596" t="s">
        <v>1930</v>
      </c>
      <c r="F248" s="643">
        <v>1</v>
      </c>
      <c r="G248" s="763">
        <v>33600</v>
      </c>
      <c r="H248" s="762">
        <f t="shared" si="10"/>
        <v>33600</v>
      </c>
      <c r="I248" s="309"/>
      <c r="J248" s="308"/>
      <c r="K248" s="60"/>
      <c r="L248" s="60"/>
      <c r="M248" s="60"/>
      <c r="N248" s="60"/>
      <c r="O248" s="60"/>
      <c r="P248" s="60"/>
      <c r="Q248" s="60"/>
      <c r="R248" s="60"/>
      <c r="S248" s="60"/>
      <c r="T248" s="60"/>
      <c r="U248" s="60"/>
      <c r="V248" s="60"/>
      <c r="W248" s="60"/>
      <c r="X248" s="60"/>
      <c r="Y248" s="60"/>
      <c r="Z248" s="60"/>
      <c r="AA248" s="60"/>
      <c r="AB248" s="60"/>
      <c r="AC248" s="60"/>
      <c r="AD248" s="60"/>
      <c r="AE248" s="60"/>
      <c r="AF248" s="60"/>
    </row>
    <row r="249" spans="1:32" s="96" customFormat="1" ht="63.75">
      <c r="A249" s="105"/>
      <c r="B249" s="616">
        <f t="shared" si="11"/>
        <v>139</v>
      </c>
      <c r="C249" s="604" t="s">
        <v>2056</v>
      </c>
      <c r="D249" s="765" t="s">
        <v>2057</v>
      </c>
      <c r="E249" s="596" t="s">
        <v>1930</v>
      </c>
      <c r="F249" s="643">
        <v>10</v>
      </c>
      <c r="G249" s="763">
        <v>4100</v>
      </c>
      <c r="H249" s="762">
        <f t="shared" si="10"/>
        <v>41000</v>
      </c>
      <c r="I249" s="309"/>
      <c r="J249" s="308"/>
      <c r="K249" s="60"/>
      <c r="L249" s="60"/>
      <c r="M249" s="60"/>
      <c r="N249" s="60"/>
      <c r="O249" s="60"/>
      <c r="P249" s="60"/>
      <c r="Q249" s="60"/>
      <c r="R249" s="60"/>
      <c r="S249" s="60"/>
      <c r="T249" s="60"/>
      <c r="U249" s="60"/>
      <c r="V249" s="60"/>
      <c r="W249" s="60"/>
      <c r="X249" s="60"/>
      <c r="Y249" s="60"/>
      <c r="Z249" s="60"/>
      <c r="AA249" s="60"/>
      <c r="AB249" s="60"/>
      <c r="AC249" s="60"/>
      <c r="AD249" s="60"/>
      <c r="AE249" s="60"/>
      <c r="AF249" s="60"/>
    </row>
    <row r="250" spans="1:32" s="96" customFormat="1" ht="38.25">
      <c r="A250" s="105"/>
      <c r="B250" s="616">
        <f t="shared" si="11"/>
        <v>140</v>
      </c>
      <c r="C250" s="604" t="s">
        <v>2058</v>
      </c>
      <c r="D250" s="596" t="s">
        <v>2059</v>
      </c>
      <c r="E250" s="596" t="s">
        <v>1930</v>
      </c>
      <c r="F250" s="643">
        <v>10</v>
      </c>
      <c r="G250" s="763">
        <v>5100</v>
      </c>
      <c r="H250" s="762">
        <f t="shared" si="10"/>
        <v>51000</v>
      </c>
      <c r="I250" s="309"/>
      <c r="J250" s="308"/>
      <c r="K250" s="60"/>
      <c r="L250" s="60"/>
      <c r="M250" s="60"/>
      <c r="N250" s="60"/>
      <c r="O250" s="60"/>
      <c r="P250" s="60"/>
      <c r="Q250" s="60"/>
      <c r="R250" s="60"/>
      <c r="S250" s="60"/>
      <c r="T250" s="60"/>
      <c r="U250" s="60"/>
      <c r="V250" s="60"/>
      <c r="W250" s="60"/>
      <c r="X250" s="60"/>
      <c r="Y250" s="60"/>
      <c r="Z250" s="60"/>
      <c r="AA250" s="60"/>
      <c r="AB250" s="60"/>
      <c r="AC250" s="60"/>
      <c r="AD250" s="60"/>
      <c r="AE250" s="60"/>
      <c r="AF250" s="60"/>
    </row>
    <row r="251" spans="1:32" s="96" customFormat="1" ht="38.25">
      <c r="A251" s="105"/>
      <c r="B251" s="616">
        <f t="shared" si="11"/>
        <v>141</v>
      </c>
      <c r="C251" s="604" t="s">
        <v>2060</v>
      </c>
      <c r="D251" s="765" t="s">
        <v>2061</v>
      </c>
      <c r="E251" s="596" t="s">
        <v>1930</v>
      </c>
      <c r="F251" s="643">
        <v>5</v>
      </c>
      <c r="G251" s="763">
        <v>1100</v>
      </c>
      <c r="H251" s="762">
        <f t="shared" si="10"/>
        <v>5500</v>
      </c>
      <c r="I251" s="309"/>
      <c r="J251" s="308"/>
      <c r="K251" s="60"/>
      <c r="L251" s="60"/>
      <c r="M251" s="60"/>
      <c r="N251" s="60"/>
      <c r="O251" s="60"/>
      <c r="P251" s="60"/>
      <c r="Q251" s="60"/>
      <c r="R251" s="60"/>
      <c r="S251" s="60"/>
      <c r="T251" s="60"/>
      <c r="U251" s="60"/>
      <c r="V251" s="60"/>
      <c r="W251" s="60"/>
      <c r="X251" s="60"/>
      <c r="Y251" s="60"/>
      <c r="Z251" s="60"/>
      <c r="AA251" s="60"/>
      <c r="AB251" s="60"/>
      <c r="AC251" s="60"/>
      <c r="AD251" s="60"/>
      <c r="AE251" s="60"/>
      <c r="AF251" s="60"/>
    </row>
    <row r="252" spans="1:32" s="96" customFormat="1" ht="25.5">
      <c r="A252" s="105"/>
      <c r="B252" s="616">
        <f t="shared" si="11"/>
        <v>142</v>
      </c>
      <c r="C252" s="604" t="s">
        <v>2062</v>
      </c>
      <c r="D252" s="765" t="s">
        <v>2063</v>
      </c>
      <c r="E252" s="596" t="s">
        <v>1930</v>
      </c>
      <c r="F252" s="643">
        <v>5</v>
      </c>
      <c r="G252" s="763">
        <v>1100</v>
      </c>
      <c r="H252" s="762">
        <f t="shared" si="10"/>
        <v>5500</v>
      </c>
      <c r="I252" s="309"/>
      <c r="J252" s="308"/>
      <c r="K252" s="60"/>
      <c r="L252" s="60"/>
      <c r="M252" s="60"/>
      <c r="N252" s="60"/>
      <c r="O252" s="60"/>
      <c r="P252" s="60"/>
      <c r="Q252" s="60"/>
      <c r="R252" s="60"/>
      <c r="S252" s="60"/>
      <c r="T252" s="60"/>
      <c r="U252" s="60"/>
      <c r="V252" s="60"/>
      <c r="W252" s="60"/>
      <c r="X252" s="60"/>
      <c r="Y252" s="60"/>
      <c r="Z252" s="60"/>
      <c r="AA252" s="60"/>
      <c r="AB252" s="60"/>
      <c r="AC252" s="60"/>
      <c r="AD252" s="60"/>
      <c r="AE252" s="60"/>
      <c r="AF252" s="60"/>
    </row>
    <row r="253" spans="1:32" s="96" customFormat="1" ht="38.25">
      <c r="A253" s="105"/>
      <c r="B253" s="616">
        <f t="shared" si="11"/>
        <v>143</v>
      </c>
      <c r="C253" s="604" t="s">
        <v>353</v>
      </c>
      <c r="D253" s="765" t="s">
        <v>680</v>
      </c>
      <c r="E253" s="596" t="s">
        <v>1930</v>
      </c>
      <c r="F253" s="643">
        <v>200</v>
      </c>
      <c r="G253" s="766">
        <v>198</v>
      </c>
      <c r="H253" s="762">
        <f t="shared" si="10"/>
        <v>39600</v>
      </c>
      <c r="I253" s="309"/>
      <c r="J253" s="308"/>
      <c r="K253" s="60"/>
      <c r="L253" s="60"/>
      <c r="M253" s="60"/>
      <c r="N253" s="60"/>
      <c r="O253" s="60"/>
      <c r="P253" s="60"/>
      <c r="Q253" s="60"/>
      <c r="R253" s="60"/>
      <c r="S253" s="60"/>
      <c r="T253" s="60"/>
      <c r="U253" s="60"/>
      <c r="V253" s="60"/>
      <c r="W253" s="60"/>
      <c r="X253" s="60"/>
      <c r="Y253" s="60"/>
      <c r="Z253" s="60"/>
      <c r="AA253" s="60"/>
      <c r="AB253" s="60"/>
      <c r="AC253" s="60"/>
      <c r="AD253" s="60"/>
      <c r="AE253" s="60"/>
      <c r="AF253" s="60"/>
    </row>
    <row r="254" spans="1:32" s="96" customFormat="1" ht="38.25">
      <c r="A254" s="105"/>
      <c r="B254" s="616">
        <f t="shared" si="11"/>
        <v>144</v>
      </c>
      <c r="C254" s="604" t="s">
        <v>354</v>
      </c>
      <c r="D254" s="596" t="s">
        <v>582</v>
      </c>
      <c r="E254" s="596" t="s">
        <v>1930</v>
      </c>
      <c r="F254" s="643">
        <v>100</v>
      </c>
      <c r="G254" s="766">
        <v>220</v>
      </c>
      <c r="H254" s="762">
        <f t="shared" si="10"/>
        <v>22000</v>
      </c>
      <c r="I254" s="309"/>
      <c r="J254" s="308"/>
      <c r="K254" s="60"/>
      <c r="L254" s="60"/>
      <c r="M254" s="60"/>
      <c r="N254" s="60"/>
      <c r="O254" s="60"/>
      <c r="P254" s="60"/>
      <c r="Q254" s="60"/>
      <c r="R254" s="60"/>
      <c r="S254" s="60"/>
      <c r="T254" s="60"/>
      <c r="U254" s="60"/>
      <c r="V254" s="60"/>
      <c r="W254" s="60"/>
      <c r="X254" s="60"/>
      <c r="Y254" s="60"/>
      <c r="Z254" s="60"/>
      <c r="AA254" s="60"/>
      <c r="AB254" s="60"/>
      <c r="AC254" s="60"/>
      <c r="AD254" s="60"/>
      <c r="AE254" s="60"/>
      <c r="AF254" s="60"/>
    </row>
    <row r="255" spans="1:32" s="96" customFormat="1" ht="38.25">
      <c r="A255" s="105"/>
      <c r="B255" s="616">
        <f t="shared" si="11"/>
        <v>145</v>
      </c>
      <c r="C255" s="604" t="s">
        <v>2064</v>
      </c>
      <c r="D255" s="596" t="s">
        <v>2065</v>
      </c>
      <c r="E255" s="596" t="s">
        <v>1930</v>
      </c>
      <c r="F255" s="643">
        <v>20</v>
      </c>
      <c r="G255" s="763">
        <v>6200</v>
      </c>
      <c r="H255" s="762">
        <f t="shared" si="10"/>
        <v>124000</v>
      </c>
      <c r="I255" s="309"/>
      <c r="J255" s="308"/>
      <c r="K255" s="60"/>
      <c r="L255" s="60"/>
      <c r="M255" s="60"/>
      <c r="N255" s="60"/>
      <c r="O255" s="60"/>
      <c r="P255" s="60"/>
      <c r="Q255" s="60"/>
      <c r="R255" s="60"/>
      <c r="S255" s="60"/>
      <c r="T255" s="60"/>
      <c r="U255" s="60"/>
      <c r="V255" s="60"/>
      <c r="W255" s="60"/>
      <c r="X255" s="60"/>
      <c r="Y255" s="60"/>
      <c r="Z255" s="60"/>
      <c r="AA255" s="60"/>
      <c r="AB255" s="60"/>
      <c r="AC255" s="60"/>
      <c r="AD255" s="60"/>
      <c r="AE255" s="60"/>
      <c r="AF255" s="60"/>
    </row>
    <row r="256" spans="1:32" s="96" customFormat="1" ht="25.5">
      <c r="A256" s="105"/>
      <c r="B256" s="616">
        <f t="shared" si="11"/>
        <v>146</v>
      </c>
      <c r="C256" s="604" t="s">
        <v>2066</v>
      </c>
      <c r="D256" s="596" t="s">
        <v>2067</v>
      </c>
      <c r="E256" s="596" t="s">
        <v>1930</v>
      </c>
      <c r="F256" s="643">
        <v>4</v>
      </c>
      <c r="G256" s="763">
        <v>26490</v>
      </c>
      <c r="H256" s="762">
        <f t="shared" si="10"/>
        <v>105960</v>
      </c>
      <c r="I256" s="309"/>
      <c r="J256" s="308"/>
      <c r="K256" s="60"/>
      <c r="L256" s="60"/>
      <c r="M256" s="60"/>
      <c r="N256" s="60"/>
      <c r="O256" s="60"/>
      <c r="P256" s="60"/>
      <c r="Q256" s="60"/>
      <c r="R256" s="60"/>
      <c r="S256" s="60"/>
      <c r="T256" s="60"/>
      <c r="U256" s="60"/>
      <c r="V256" s="60"/>
      <c r="W256" s="60"/>
      <c r="X256" s="60"/>
      <c r="Y256" s="60"/>
      <c r="Z256" s="60"/>
      <c r="AA256" s="60"/>
      <c r="AB256" s="60"/>
      <c r="AC256" s="60"/>
      <c r="AD256" s="60"/>
      <c r="AE256" s="60"/>
      <c r="AF256" s="60"/>
    </row>
    <row r="257" spans="1:32" s="96" customFormat="1" ht="63.75">
      <c r="A257" s="105"/>
      <c r="B257" s="616">
        <f t="shared" si="11"/>
        <v>147</v>
      </c>
      <c r="C257" s="604" t="s">
        <v>2068</v>
      </c>
      <c r="D257" s="765" t="s">
        <v>2069</v>
      </c>
      <c r="E257" s="596" t="s">
        <v>1930</v>
      </c>
      <c r="F257" s="643">
        <v>25</v>
      </c>
      <c r="G257" s="766">
        <v>352</v>
      </c>
      <c r="H257" s="762">
        <f t="shared" si="10"/>
        <v>8800</v>
      </c>
      <c r="I257" s="309"/>
      <c r="J257" s="308"/>
      <c r="K257" s="60"/>
      <c r="L257" s="60"/>
      <c r="M257" s="60"/>
      <c r="N257" s="60"/>
      <c r="O257" s="60"/>
      <c r="P257" s="60"/>
      <c r="Q257" s="60"/>
      <c r="R257" s="60"/>
      <c r="S257" s="60"/>
      <c r="T257" s="60"/>
      <c r="U257" s="60"/>
      <c r="V257" s="60"/>
      <c r="W257" s="60"/>
      <c r="X257" s="60"/>
      <c r="Y257" s="60"/>
      <c r="Z257" s="60"/>
      <c r="AA257" s="60"/>
      <c r="AB257" s="60"/>
      <c r="AC257" s="60"/>
      <c r="AD257" s="60"/>
      <c r="AE257" s="60"/>
      <c r="AF257" s="60"/>
    </row>
    <row r="258" spans="1:32" s="96" customFormat="1" ht="63.75">
      <c r="A258" s="105"/>
      <c r="B258" s="616">
        <f t="shared" si="11"/>
        <v>148</v>
      </c>
      <c r="C258" s="604" t="s">
        <v>2070</v>
      </c>
      <c r="D258" s="765" t="s">
        <v>2071</v>
      </c>
      <c r="E258" s="596" t="s">
        <v>233</v>
      </c>
      <c r="F258" s="643">
        <v>10</v>
      </c>
      <c r="G258" s="763">
        <v>4600</v>
      </c>
      <c r="H258" s="762">
        <f t="shared" si="10"/>
        <v>46000</v>
      </c>
      <c r="I258" s="309"/>
      <c r="J258" s="308"/>
      <c r="K258" s="60"/>
      <c r="L258" s="60"/>
      <c r="M258" s="60"/>
      <c r="N258" s="60"/>
      <c r="O258" s="60"/>
      <c r="P258" s="60"/>
      <c r="Q258" s="60"/>
      <c r="R258" s="60"/>
      <c r="S258" s="60"/>
      <c r="T258" s="60"/>
      <c r="U258" s="60"/>
      <c r="V258" s="60"/>
      <c r="W258" s="60"/>
      <c r="X258" s="60"/>
      <c r="Y258" s="60"/>
      <c r="Z258" s="60"/>
      <c r="AA258" s="60"/>
      <c r="AB258" s="60"/>
      <c r="AC258" s="60"/>
      <c r="AD258" s="60"/>
      <c r="AE258" s="60"/>
      <c r="AF258" s="60"/>
    </row>
    <row r="259" spans="1:32" s="96" customFormat="1" ht="51">
      <c r="A259" s="105"/>
      <c r="B259" s="616">
        <f t="shared" si="11"/>
        <v>149</v>
      </c>
      <c r="C259" s="770" t="s">
        <v>644</v>
      </c>
      <c r="D259" s="644" t="s">
        <v>681</v>
      </c>
      <c r="E259" s="596" t="s">
        <v>1930</v>
      </c>
      <c r="F259" s="643">
        <v>30</v>
      </c>
      <c r="G259" s="766">
        <v>660</v>
      </c>
      <c r="H259" s="762">
        <f t="shared" si="10"/>
        <v>19800</v>
      </c>
      <c r="I259" s="309"/>
      <c r="J259" s="308"/>
      <c r="K259" s="60"/>
      <c r="L259" s="60"/>
      <c r="M259" s="60"/>
      <c r="N259" s="60"/>
      <c r="O259" s="60"/>
      <c r="P259" s="60"/>
      <c r="Q259" s="60"/>
      <c r="R259" s="60"/>
      <c r="S259" s="60"/>
      <c r="T259" s="60"/>
      <c r="U259" s="60"/>
      <c r="V259" s="60"/>
      <c r="W259" s="60"/>
      <c r="X259" s="60"/>
      <c r="Y259" s="60"/>
      <c r="Z259" s="60"/>
      <c r="AA259" s="60"/>
      <c r="AB259" s="60"/>
      <c r="AC259" s="60"/>
      <c r="AD259" s="60"/>
      <c r="AE259" s="60"/>
      <c r="AF259" s="60"/>
    </row>
    <row r="260" spans="1:32" s="96" customFormat="1" ht="63.75">
      <c r="A260" s="105"/>
      <c r="B260" s="616">
        <f t="shared" si="11"/>
        <v>150</v>
      </c>
      <c r="C260" s="604" t="s">
        <v>2072</v>
      </c>
      <c r="D260" s="765" t="s">
        <v>2073</v>
      </c>
      <c r="E260" s="596" t="s">
        <v>1930</v>
      </c>
      <c r="F260" s="643">
        <v>15</v>
      </c>
      <c r="G260" s="763">
        <v>2650</v>
      </c>
      <c r="H260" s="762">
        <f t="shared" si="10"/>
        <v>39750</v>
      </c>
      <c r="I260" s="309"/>
      <c r="J260" s="308"/>
      <c r="K260" s="60"/>
      <c r="L260" s="60"/>
      <c r="M260" s="60"/>
      <c r="N260" s="60"/>
      <c r="O260" s="60"/>
      <c r="P260" s="60"/>
      <c r="Q260" s="60"/>
      <c r="R260" s="60"/>
      <c r="S260" s="60"/>
      <c r="T260" s="60"/>
      <c r="U260" s="60"/>
      <c r="V260" s="60"/>
      <c r="W260" s="60"/>
      <c r="X260" s="60"/>
      <c r="Y260" s="60"/>
      <c r="Z260" s="60"/>
      <c r="AA260" s="60"/>
      <c r="AB260" s="60"/>
      <c r="AC260" s="60"/>
      <c r="AD260" s="60"/>
      <c r="AE260" s="60"/>
      <c r="AF260" s="60"/>
    </row>
    <row r="261" spans="1:32" s="96" customFormat="1" ht="38.25">
      <c r="A261" s="105"/>
      <c r="B261" s="616">
        <f t="shared" si="11"/>
        <v>151</v>
      </c>
      <c r="C261" s="604" t="s">
        <v>645</v>
      </c>
      <c r="D261" s="596" t="s">
        <v>682</v>
      </c>
      <c r="E261" s="596" t="s">
        <v>1930</v>
      </c>
      <c r="F261" s="643">
        <v>15</v>
      </c>
      <c r="G261" s="763">
        <v>2750</v>
      </c>
      <c r="H261" s="762">
        <f t="shared" si="10"/>
        <v>41250</v>
      </c>
      <c r="I261" s="309"/>
      <c r="J261" s="308"/>
      <c r="K261" s="60"/>
      <c r="L261" s="60"/>
      <c r="M261" s="60"/>
      <c r="N261" s="60"/>
      <c r="O261" s="60"/>
      <c r="P261" s="60"/>
      <c r="Q261" s="60"/>
      <c r="R261" s="60"/>
      <c r="S261" s="60"/>
      <c r="T261" s="60"/>
      <c r="U261" s="60"/>
      <c r="V261" s="60"/>
      <c r="W261" s="60"/>
      <c r="X261" s="60"/>
      <c r="Y261" s="60"/>
      <c r="Z261" s="60"/>
      <c r="AA261" s="60"/>
      <c r="AB261" s="60"/>
      <c r="AC261" s="60"/>
      <c r="AD261" s="60"/>
      <c r="AE261" s="60"/>
      <c r="AF261" s="60"/>
    </row>
    <row r="262" spans="1:32" s="96" customFormat="1" ht="51">
      <c r="A262" s="105"/>
      <c r="B262" s="616">
        <f t="shared" si="11"/>
        <v>152</v>
      </c>
      <c r="C262" s="604" t="s">
        <v>2074</v>
      </c>
      <c r="D262" s="765" t="s">
        <v>2075</v>
      </c>
      <c r="E262" s="596" t="s">
        <v>1930</v>
      </c>
      <c r="F262" s="643">
        <v>2</v>
      </c>
      <c r="G262" s="763">
        <v>45100</v>
      </c>
      <c r="H262" s="762">
        <f t="shared" si="10"/>
        <v>90200</v>
      </c>
      <c r="I262" s="309"/>
      <c r="J262" s="308"/>
      <c r="K262" s="60"/>
      <c r="L262" s="60"/>
      <c r="M262" s="60"/>
      <c r="N262" s="60"/>
      <c r="O262" s="60"/>
      <c r="P262" s="60"/>
      <c r="Q262" s="60"/>
      <c r="R262" s="60"/>
      <c r="S262" s="60"/>
      <c r="T262" s="60"/>
      <c r="U262" s="60"/>
      <c r="V262" s="60"/>
      <c r="W262" s="60"/>
      <c r="X262" s="60"/>
      <c r="Y262" s="60"/>
      <c r="Z262" s="60"/>
      <c r="AA262" s="60"/>
      <c r="AB262" s="60"/>
      <c r="AC262" s="60"/>
      <c r="AD262" s="60"/>
      <c r="AE262" s="60"/>
      <c r="AF262" s="60"/>
    </row>
    <row r="263" spans="1:32" s="96" customFormat="1" ht="38.25">
      <c r="A263" s="105"/>
      <c r="B263" s="616">
        <f t="shared" si="11"/>
        <v>153</v>
      </c>
      <c r="C263" s="770" t="s">
        <v>2076</v>
      </c>
      <c r="D263" s="769" t="s">
        <v>2077</v>
      </c>
      <c r="E263" s="596" t="s">
        <v>1930</v>
      </c>
      <c r="F263" s="643">
        <v>1</v>
      </c>
      <c r="G263" s="763">
        <v>13100</v>
      </c>
      <c r="H263" s="762">
        <f t="shared" si="10"/>
        <v>13100</v>
      </c>
      <c r="I263" s="311"/>
      <c r="J263" s="308"/>
      <c r="K263" s="60"/>
      <c r="L263" s="60"/>
      <c r="M263" s="60"/>
      <c r="N263" s="60"/>
      <c r="O263" s="60"/>
      <c r="P263" s="60"/>
      <c r="Q263" s="60"/>
      <c r="R263" s="60"/>
      <c r="S263" s="60"/>
      <c r="T263" s="60"/>
      <c r="U263" s="60"/>
      <c r="V263" s="60"/>
      <c r="W263" s="60"/>
      <c r="X263" s="60"/>
      <c r="Y263" s="60"/>
      <c r="Z263" s="60"/>
      <c r="AA263" s="60"/>
      <c r="AB263" s="60"/>
      <c r="AC263" s="60"/>
      <c r="AD263" s="60"/>
      <c r="AE263" s="60"/>
      <c r="AF263" s="60"/>
    </row>
    <row r="264" spans="1:32" s="96" customFormat="1" ht="165.75">
      <c r="A264" s="105"/>
      <c r="B264" s="616">
        <f t="shared" si="11"/>
        <v>154</v>
      </c>
      <c r="C264" s="604" t="s">
        <v>2078</v>
      </c>
      <c r="D264" s="765" t="s">
        <v>2079</v>
      </c>
      <c r="E264" s="596" t="s">
        <v>33</v>
      </c>
      <c r="F264" s="596">
        <v>5</v>
      </c>
      <c r="G264" s="643">
        <v>5750</v>
      </c>
      <c r="H264" s="762">
        <f t="shared" si="10"/>
        <v>28750</v>
      </c>
      <c r="I264" s="311"/>
      <c r="J264" s="308"/>
      <c r="K264" s="60"/>
      <c r="L264" s="60"/>
      <c r="M264" s="60"/>
      <c r="N264" s="60"/>
      <c r="O264" s="60"/>
      <c r="P264" s="60"/>
      <c r="Q264" s="60"/>
      <c r="R264" s="60"/>
      <c r="S264" s="60"/>
      <c r="T264" s="60"/>
      <c r="U264" s="60"/>
      <c r="V264" s="60"/>
      <c r="W264" s="60"/>
      <c r="X264" s="60"/>
      <c r="Y264" s="60"/>
      <c r="Z264" s="60"/>
      <c r="AA264" s="60"/>
      <c r="AB264" s="60"/>
      <c r="AC264" s="60"/>
      <c r="AD264" s="60"/>
      <c r="AE264" s="60"/>
      <c r="AF264" s="60"/>
    </row>
    <row r="265" spans="1:32" s="96" customFormat="1" ht="178.5">
      <c r="A265" s="105"/>
      <c r="B265" s="616">
        <f t="shared" si="11"/>
        <v>155</v>
      </c>
      <c r="C265" s="604" t="s">
        <v>2080</v>
      </c>
      <c r="D265" s="765" t="s">
        <v>2081</v>
      </c>
      <c r="E265" s="596" t="s">
        <v>33</v>
      </c>
      <c r="F265" s="596">
        <v>10</v>
      </c>
      <c r="G265" s="643">
        <v>3150</v>
      </c>
      <c r="H265" s="762">
        <f t="shared" si="10"/>
        <v>31500</v>
      </c>
      <c r="I265" s="311"/>
      <c r="J265" s="308"/>
      <c r="K265" s="60"/>
      <c r="L265" s="60"/>
      <c r="M265" s="60"/>
      <c r="N265" s="60"/>
      <c r="O265" s="60"/>
      <c r="P265" s="60"/>
      <c r="Q265" s="60"/>
      <c r="R265" s="60"/>
      <c r="S265" s="60"/>
      <c r="T265" s="60"/>
      <c r="U265" s="60"/>
      <c r="V265" s="60"/>
      <c r="W265" s="60"/>
      <c r="X265" s="60"/>
      <c r="Y265" s="60"/>
      <c r="Z265" s="60"/>
      <c r="AA265" s="60"/>
      <c r="AB265" s="60"/>
      <c r="AC265" s="60"/>
      <c r="AD265" s="60"/>
      <c r="AE265" s="60"/>
      <c r="AF265" s="60"/>
    </row>
    <row r="266" spans="1:32" s="96" customFormat="1" ht="76.5">
      <c r="A266" s="105"/>
      <c r="B266" s="616">
        <f t="shared" si="11"/>
        <v>156</v>
      </c>
      <c r="C266" s="604" t="s">
        <v>2082</v>
      </c>
      <c r="D266" s="765" t="s">
        <v>2083</v>
      </c>
      <c r="E266" s="596" t="s">
        <v>33</v>
      </c>
      <c r="F266" s="596">
        <v>5</v>
      </c>
      <c r="G266" s="643">
        <v>3350</v>
      </c>
      <c r="H266" s="762">
        <f t="shared" si="10"/>
        <v>16750</v>
      </c>
      <c r="I266" s="311"/>
      <c r="J266" s="308"/>
      <c r="K266" s="60"/>
      <c r="L266" s="60"/>
      <c r="M266" s="60"/>
      <c r="N266" s="60"/>
      <c r="O266" s="60"/>
      <c r="P266" s="60"/>
      <c r="Q266" s="60"/>
      <c r="R266" s="60"/>
      <c r="S266" s="60"/>
      <c r="T266" s="60"/>
      <c r="U266" s="60"/>
      <c r="V266" s="60"/>
      <c r="W266" s="60"/>
      <c r="X266" s="60"/>
      <c r="Y266" s="60"/>
      <c r="Z266" s="60"/>
      <c r="AA266" s="60"/>
      <c r="AB266" s="60"/>
      <c r="AC266" s="60"/>
      <c r="AD266" s="60"/>
      <c r="AE266" s="60"/>
      <c r="AF266" s="60"/>
    </row>
    <row r="267" spans="1:32" s="96" customFormat="1" ht="102">
      <c r="A267" s="105"/>
      <c r="B267" s="616">
        <f t="shared" si="11"/>
        <v>157</v>
      </c>
      <c r="C267" s="604" t="s">
        <v>2084</v>
      </c>
      <c r="D267" s="765" t="s">
        <v>2085</v>
      </c>
      <c r="E267" s="596" t="s">
        <v>33</v>
      </c>
      <c r="F267" s="596">
        <v>10</v>
      </c>
      <c r="G267" s="643">
        <v>3350</v>
      </c>
      <c r="H267" s="762">
        <f t="shared" si="10"/>
        <v>33500</v>
      </c>
      <c r="I267" s="311"/>
      <c r="J267" s="308"/>
      <c r="K267" s="60"/>
      <c r="L267" s="60"/>
      <c r="M267" s="60"/>
      <c r="N267" s="60"/>
      <c r="O267" s="60"/>
      <c r="P267" s="60"/>
      <c r="Q267" s="60"/>
      <c r="R267" s="60"/>
      <c r="S267" s="60"/>
      <c r="T267" s="60"/>
      <c r="U267" s="60"/>
      <c r="V267" s="60"/>
      <c r="W267" s="60"/>
      <c r="X267" s="60"/>
      <c r="Y267" s="60"/>
      <c r="Z267" s="60"/>
      <c r="AA267" s="60"/>
      <c r="AB267" s="60"/>
      <c r="AC267" s="60"/>
      <c r="AD267" s="60"/>
      <c r="AE267" s="60"/>
      <c r="AF267" s="60"/>
    </row>
    <row r="268" spans="1:32" s="96" customFormat="1" ht="280.5">
      <c r="A268" s="105"/>
      <c r="B268" s="616">
        <f t="shared" si="11"/>
        <v>158</v>
      </c>
      <c r="C268" s="604" t="s">
        <v>2086</v>
      </c>
      <c r="D268" s="765" t="s">
        <v>2087</v>
      </c>
      <c r="E268" s="596" t="s">
        <v>33</v>
      </c>
      <c r="F268" s="596">
        <v>20</v>
      </c>
      <c r="G268" s="643">
        <v>3780</v>
      </c>
      <c r="H268" s="762">
        <f t="shared" si="10"/>
        <v>75600</v>
      </c>
      <c r="I268" s="311"/>
      <c r="J268" s="308"/>
      <c r="K268" s="60"/>
      <c r="L268" s="60"/>
      <c r="M268" s="60"/>
      <c r="N268" s="60"/>
      <c r="O268" s="60"/>
      <c r="P268" s="60"/>
      <c r="Q268" s="60"/>
      <c r="R268" s="60"/>
      <c r="S268" s="60"/>
      <c r="T268" s="60"/>
      <c r="U268" s="60"/>
      <c r="V268" s="60"/>
      <c r="W268" s="60"/>
      <c r="X268" s="60"/>
      <c r="Y268" s="60"/>
      <c r="Z268" s="60"/>
      <c r="AA268" s="60"/>
      <c r="AB268" s="60"/>
      <c r="AC268" s="60"/>
      <c r="AD268" s="60"/>
      <c r="AE268" s="60"/>
      <c r="AF268" s="60"/>
    </row>
    <row r="269" spans="1:32" s="96" customFormat="1" ht="204">
      <c r="A269" s="105"/>
      <c r="B269" s="616">
        <f t="shared" si="11"/>
        <v>159</v>
      </c>
      <c r="C269" s="604" t="s">
        <v>2088</v>
      </c>
      <c r="D269" s="765" t="s">
        <v>2089</v>
      </c>
      <c r="E269" s="596" t="s">
        <v>33</v>
      </c>
      <c r="F269" s="596">
        <v>1</v>
      </c>
      <c r="G269" s="643">
        <v>20100</v>
      </c>
      <c r="H269" s="762">
        <f t="shared" si="10"/>
        <v>20100</v>
      </c>
      <c r="I269" s="311"/>
      <c r="J269" s="308"/>
      <c r="K269" s="60"/>
      <c r="L269" s="60"/>
      <c r="M269" s="60"/>
      <c r="N269" s="60"/>
      <c r="O269" s="60"/>
      <c r="P269" s="60"/>
      <c r="Q269" s="60"/>
      <c r="R269" s="60"/>
      <c r="S269" s="60"/>
      <c r="T269" s="60"/>
      <c r="U269" s="60"/>
      <c r="V269" s="60"/>
      <c r="W269" s="60"/>
      <c r="X269" s="60"/>
      <c r="Y269" s="60"/>
      <c r="Z269" s="60"/>
      <c r="AA269" s="60"/>
      <c r="AB269" s="60"/>
      <c r="AC269" s="60"/>
      <c r="AD269" s="60"/>
      <c r="AE269" s="60"/>
      <c r="AF269" s="60"/>
    </row>
    <row r="270" spans="1:32" s="96" customFormat="1" ht="204">
      <c r="A270" s="105"/>
      <c r="B270" s="616">
        <f t="shared" si="11"/>
        <v>160</v>
      </c>
      <c r="C270" s="604" t="s">
        <v>2090</v>
      </c>
      <c r="D270" s="765" t="s">
        <v>2091</v>
      </c>
      <c r="E270" s="596" t="s">
        <v>33</v>
      </c>
      <c r="F270" s="596">
        <v>1</v>
      </c>
      <c r="G270" s="643">
        <v>26100</v>
      </c>
      <c r="H270" s="762">
        <f t="shared" si="10"/>
        <v>26100</v>
      </c>
      <c r="I270" s="311"/>
      <c r="J270" s="308"/>
      <c r="K270" s="60"/>
      <c r="L270" s="60"/>
      <c r="M270" s="60"/>
      <c r="N270" s="60"/>
      <c r="O270" s="60"/>
      <c r="P270" s="60"/>
      <c r="Q270" s="60"/>
      <c r="R270" s="60"/>
      <c r="S270" s="60"/>
      <c r="T270" s="60"/>
      <c r="U270" s="60"/>
      <c r="V270" s="60"/>
      <c r="W270" s="60"/>
      <c r="X270" s="60"/>
      <c r="Y270" s="60"/>
      <c r="Z270" s="60"/>
      <c r="AA270" s="60"/>
      <c r="AB270" s="60"/>
      <c r="AC270" s="60"/>
      <c r="AD270" s="60"/>
      <c r="AE270" s="60"/>
      <c r="AF270" s="60"/>
    </row>
    <row r="271" spans="1:32" s="96" customFormat="1" ht="204">
      <c r="A271" s="105"/>
      <c r="B271" s="616">
        <f t="shared" si="11"/>
        <v>161</v>
      </c>
      <c r="C271" s="604" t="s">
        <v>2092</v>
      </c>
      <c r="D271" s="765" t="s">
        <v>2093</v>
      </c>
      <c r="E271" s="596" t="s">
        <v>33</v>
      </c>
      <c r="F271" s="596">
        <v>1</v>
      </c>
      <c r="G271" s="643">
        <v>30100</v>
      </c>
      <c r="H271" s="762">
        <f t="shared" si="10"/>
        <v>30100</v>
      </c>
      <c r="I271" s="311"/>
      <c r="J271" s="308"/>
      <c r="K271" s="60"/>
      <c r="L271" s="60"/>
      <c r="M271" s="60"/>
      <c r="N271" s="60"/>
      <c r="O271" s="60"/>
      <c r="P271" s="60"/>
      <c r="Q271" s="60"/>
      <c r="R271" s="60"/>
      <c r="S271" s="60"/>
      <c r="T271" s="60"/>
      <c r="U271" s="60"/>
      <c r="V271" s="60"/>
      <c r="W271" s="60"/>
      <c r="X271" s="60"/>
      <c r="Y271" s="60"/>
      <c r="Z271" s="60"/>
      <c r="AA271" s="60"/>
      <c r="AB271" s="60"/>
      <c r="AC271" s="60"/>
      <c r="AD271" s="60"/>
      <c r="AE271" s="60"/>
      <c r="AF271" s="60"/>
    </row>
    <row r="272" spans="1:32" s="96" customFormat="1" ht="89.25">
      <c r="A272" s="105"/>
      <c r="B272" s="616">
        <f t="shared" si="11"/>
        <v>162</v>
      </c>
      <c r="C272" s="604" t="s">
        <v>2094</v>
      </c>
      <c r="D272" s="596" t="s">
        <v>2095</v>
      </c>
      <c r="E272" s="596" t="s">
        <v>1930</v>
      </c>
      <c r="F272" s="596">
        <v>1</v>
      </c>
      <c r="G272" s="643">
        <v>18100</v>
      </c>
      <c r="H272" s="762">
        <f t="shared" si="10"/>
        <v>18100</v>
      </c>
      <c r="I272" s="309"/>
      <c r="J272" s="308"/>
      <c r="K272" s="60"/>
      <c r="L272" s="60"/>
      <c r="M272" s="60"/>
      <c r="N272" s="60"/>
      <c r="O272" s="60"/>
      <c r="P272" s="60"/>
      <c r="Q272" s="60"/>
      <c r="R272" s="60"/>
      <c r="S272" s="60"/>
      <c r="T272" s="60"/>
      <c r="U272" s="60"/>
      <c r="V272" s="60"/>
      <c r="W272" s="60"/>
      <c r="X272" s="60"/>
      <c r="Y272" s="60"/>
      <c r="Z272" s="60"/>
      <c r="AA272" s="60"/>
      <c r="AB272" s="60"/>
      <c r="AC272" s="60"/>
      <c r="AD272" s="60"/>
      <c r="AE272" s="60"/>
      <c r="AF272" s="60"/>
    </row>
    <row r="273" spans="1:32" s="96" customFormat="1" ht="25.5">
      <c r="A273" s="105"/>
      <c r="B273" s="616">
        <f t="shared" si="11"/>
        <v>163</v>
      </c>
      <c r="C273" s="645" t="s">
        <v>2096</v>
      </c>
      <c r="D273" s="765" t="s">
        <v>2097</v>
      </c>
      <c r="E273" s="596" t="s">
        <v>1930</v>
      </c>
      <c r="F273" s="643">
        <v>1</v>
      </c>
      <c r="G273" s="763">
        <v>2300</v>
      </c>
      <c r="H273" s="762">
        <f t="shared" si="10"/>
        <v>2300</v>
      </c>
      <c r="I273" s="309"/>
      <c r="J273" s="308"/>
      <c r="K273" s="60"/>
      <c r="L273" s="60"/>
      <c r="M273" s="60"/>
      <c r="N273" s="60"/>
      <c r="O273" s="60"/>
      <c r="P273" s="60"/>
      <c r="Q273" s="60"/>
      <c r="R273" s="60"/>
      <c r="S273" s="60"/>
      <c r="T273" s="60"/>
      <c r="U273" s="60"/>
      <c r="V273" s="60"/>
      <c r="W273" s="60"/>
      <c r="X273" s="60"/>
      <c r="Y273" s="60"/>
      <c r="Z273" s="60"/>
      <c r="AA273" s="60"/>
      <c r="AB273" s="60"/>
      <c r="AC273" s="60"/>
      <c r="AD273" s="60"/>
      <c r="AE273" s="60"/>
      <c r="AF273" s="60"/>
    </row>
    <row r="274" spans="1:32" s="96" customFormat="1" ht="38.25">
      <c r="A274" s="105"/>
      <c r="B274" s="616">
        <f t="shared" si="11"/>
        <v>164</v>
      </c>
      <c r="C274" s="770" t="s">
        <v>646</v>
      </c>
      <c r="D274" s="769" t="s">
        <v>683</v>
      </c>
      <c r="E274" s="596" t="s">
        <v>1930</v>
      </c>
      <c r="F274" s="643">
        <v>1</v>
      </c>
      <c r="G274" s="763">
        <v>2300</v>
      </c>
      <c r="H274" s="762">
        <f t="shared" si="10"/>
        <v>2300</v>
      </c>
      <c r="I274" s="309"/>
      <c r="J274" s="308"/>
      <c r="K274" s="60"/>
      <c r="L274" s="60"/>
      <c r="M274" s="60"/>
      <c r="N274" s="60"/>
      <c r="O274" s="60"/>
      <c r="P274" s="60"/>
      <c r="Q274" s="60"/>
      <c r="R274" s="60"/>
      <c r="S274" s="60"/>
      <c r="T274" s="60"/>
      <c r="U274" s="60"/>
      <c r="V274" s="60"/>
      <c r="W274" s="60"/>
      <c r="X274" s="60"/>
      <c r="Y274" s="60"/>
      <c r="Z274" s="60"/>
      <c r="AA274" s="60"/>
      <c r="AB274" s="60"/>
      <c r="AC274" s="60"/>
      <c r="AD274" s="60"/>
      <c r="AE274" s="60"/>
      <c r="AF274" s="60"/>
    </row>
    <row r="275" spans="1:32" s="96" customFormat="1" ht="76.5">
      <c r="A275" s="105"/>
      <c r="B275" s="616">
        <f t="shared" si="11"/>
        <v>165</v>
      </c>
      <c r="C275" s="645" t="s">
        <v>2098</v>
      </c>
      <c r="D275" s="765" t="s">
        <v>2099</v>
      </c>
      <c r="E275" s="596" t="s">
        <v>1959</v>
      </c>
      <c r="F275" s="643">
        <v>1</v>
      </c>
      <c r="G275" s="763">
        <v>3800</v>
      </c>
      <c r="H275" s="762">
        <f t="shared" si="10"/>
        <v>3800</v>
      </c>
      <c r="I275" s="309"/>
      <c r="J275" s="308"/>
      <c r="K275" s="60"/>
      <c r="L275" s="60"/>
      <c r="M275" s="60"/>
      <c r="N275" s="60"/>
      <c r="O275" s="60"/>
      <c r="P275" s="60"/>
      <c r="Q275" s="60"/>
      <c r="R275" s="60"/>
      <c r="S275" s="60"/>
      <c r="T275" s="60"/>
      <c r="U275" s="60"/>
      <c r="V275" s="60"/>
      <c r="W275" s="60"/>
      <c r="X275" s="60"/>
      <c r="Y275" s="60"/>
      <c r="Z275" s="60"/>
      <c r="AA275" s="60"/>
      <c r="AB275" s="60"/>
      <c r="AC275" s="60"/>
      <c r="AD275" s="60"/>
      <c r="AE275" s="60"/>
      <c r="AF275" s="60"/>
    </row>
    <row r="276" spans="1:32" s="96" customFormat="1" ht="38.25">
      <c r="A276" s="105"/>
      <c r="B276" s="616">
        <f t="shared" si="11"/>
        <v>166</v>
      </c>
      <c r="C276" s="645" t="s">
        <v>2100</v>
      </c>
      <c r="D276" s="765" t="s">
        <v>2101</v>
      </c>
      <c r="E276" s="596" t="s">
        <v>1959</v>
      </c>
      <c r="F276" s="643">
        <v>1</v>
      </c>
      <c r="G276" s="763">
        <v>3000</v>
      </c>
      <c r="H276" s="762">
        <f t="shared" si="10"/>
        <v>3000</v>
      </c>
      <c r="I276" s="309"/>
      <c r="J276" s="308"/>
      <c r="K276" s="60"/>
      <c r="L276" s="60"/>
      <c r="M276" s="60"/>
      <c r="N276" s="60"/>
      <c r="O276" s="60"/>
      <c r="P276" s="60"/>
      <c r="Q276" s="60"/>
      <c r="R276" s="60"/>
      <c r="S276" s="60"/>
      <c r="T276" s="60"/>
      <c r="U276" s="60"/>
      <c r="V276" s="60"/>
      <c r="W276" s="60"/>
      <c r="X276" s="60"/>
      <c r="Y276" s="60"/>
      <c r="Z276" s="60"/>
      <c r="AA276" s="60"/>
      <c r="AB276" s="60"/>
      <c r="AC276" s="60"/>
      <c r="AD276" s="60"/>
      <c r="AE276" s="60"/>
      <c r="AF276" s="60"/>
    </row>
    <row r="277" spans="1:32" s="96" customFormat="1" ht="63.75">
      <c r="A277" s="105"/>
      <c r="B277" s="616">
        <f t="shared" si="11"/>
        <v>167</v>
      </c>
      <c r="C277" s="604" t="s">
        <v>647</v>
      </c>
      <c r="D277" s="596" t="s">
        <v>2102</v>
      </c>
      <c r="E277" s="596" t="s">
        <v>1930</v>
      </c>
      <c r="F277" s="643">
        <v>1</v>
      </c>
      <c r="G277" s="763">
        <v>5800</v>
      </c>
      <c r="H277" s="762">
        <f t="shared" si="10"/>
        <v>5800</v>
      </c>
      <c r="I277" s="309"/>
      <c r="J277" s="308"/>
      <c r="K277" s="60"/>
      <c r="L277" s="60"/>
      <c r="M277" s="60"/>
      <c r="N277" s="60"/>
      <c r="O277" s="60"/>
      <c r="P277" s="60"/>
      <c r="Q277" s="60"/>
      <c r="R277" s="60"/>
      <c r="S277" s="60"/>
      <c r="T277" s="60"/>
      <c r="U277" s="60"/>
      <c r="V277" s="60"/>
      <c r="W277" s="60"/>
      <c r="X277" s="60"/>
      <c r="Y277" s="60"/>
      <c r="Z277" s="60"/>
      <c r="AA277" s="60"/>
      <c r="AB277" s="60"/>
      <c r="AC277" s="60"/>
      <c r="AD277" s="60"/>
      <c r="AE277" s="60"/>
      <c r="AF277" s="60"/>
    </row>
    <row r="278" spans="1:32" s="96" customFormat="1" ht="63.75">
      <c r="A278" s="105"/>
      <c r="B278" s="616">
        <f t="shared" si="11"/>
        <v>168</v>
      </c>
      <c r="C278" s="604" t="s">
        <v>2103</v>
      </c>
      <c r="D278" s="596" t="s">
        <v>2104</v>
      </c>
      <c r="E278" s="596" t="s">
        <v>1930</v>
      </c>
      <c r="F278" s="643">
        <v>2</v>
      </c>
      <c r="G278" s="763">
        <v>5300</v>
      </c>
      <c r="H278" s="762">
        <f t="shared" si="10"/>
        <v>10600</v>
      </c>
      <c r="I278" s="309"/>
      <c r="J278" s="308"/>
      <c r="K278" s="60"/>
      <c r="L278" s="60"/>
      <c r="M278" s="60"/>
      <c r="N278" s="60"/>
      <c r="O278" s="60"/>
      <c r="P278" s="60"/>
      <c r="Q278" s="60"/>
      <c r="R278" s="60"/>
      <c r="S278" s="60"/>
      <c r="T278" s="60"/>
      <c r="U278" s="60"/>
      <c r="V278" s="60"/>
      <c r="W278" s="60"/>
      <c r="X278" s="60"/>
      <c r="Y278" s="60"/>
      <c r="Z278" s="60"/>
      <c r="AA278" s="60"/>
      <c r="AB278" s="60"/>
      <c r="AC278" s="60"/>
      <c r="AD278" s="60"/>
      <c r="AE278" s="60"/>
      <c r="AF278" s="60"/>
    </row>
    <row r="279" spans="1:32" s="96" customFormat="1" ht="38.25">
      <c r="A279" s="105"/>
      <c r="B279" s="616">
        <f t="shared" si="11"/>
        <v>169</v>
      </c>
      <c r="C279" s="604" t="s">
        <v>2105</v>
      </c>
      <c r="D279" s="596" t="s">
        <v>2106</v>
      </c>
      <c r="E279" s="596" t="s">
        <v>1950</v>
      </c>
      <c r="F279" s="643">
        <v>1</v>
      </c>
      <c r="G279" s="763">
        <v>2800</v>
      </c>
      <c r="H279" s="762">
        <f t="shared" si="10"/>
        <v>2800</v>
      </c>
      <c r="I279" s="309"/>
      <c r="J279" s="308"/>
      <c r="K279" s="60"/>
      <c r="L279" s="60"/>
      <c r="M279" s="60"/>
      <c r="N279" s="60"/>
      <c r="O279" s="60"/>
      <c r="P279" s="60"/>
      <c r="Q279" s="60"/>
      <c r="R279" s="60"/>
      <c r="S279" s="60"/>
      <c r="T279" s="60"/>
      <c r="U279" s="60"/>
      <c r="V279" s="60"/>
      <c r="W279" s="60"/>
      <c r="X279" s="60"/>
      <c r="Y279" s="60"/>
      <c r="Z279" s="60"/>
      <c r="AA279" s="60"/>
      <c r="AB279" s="60"/>
      <c r="AC279" s="60"/>
      <c r="AD279" s="60"/>
      <c r="AE279" s="60"/>
      <c r="AF279" s="60"/>
    </row>
    <row r="280" spans="1:32" s="96" customFormat="1" ht="89.25">
      <c r="A280" s="105"/>
      <c r="B280" s="616">
        <f t="shared" si="11"/>
        <v>170</v>
      </c>
      <c r="C280" s="604" t="s">
        <v>2107</v>
      </c>
      <c r="D280" s="765" t="s">
        <v>2108</v>
      </c>
      <c r="E280" s="596" t="s">
        <v>2109</v>
      </c>
      <c r="F280" s="643">
        <v>1</v>
      </c>
      <c r="G280" s="763">
        <v>39100</v>
      </c>
      <c r="H280" s="762">
        <f t="shared" si="10"/>
        <v>39100</v>
      </c>
      <c r="I280" s="309"/>
      <c r="J280" s="308"/>
      <c r="K280" s="60"/>
      <c r="L280" s="60"/>
      <c r="M280" s="60"/>
      <c r="N280" s="60"/>
      <c r="O280" s="60"/>
      <c r="P280" s="60"/>
      <c r="Q280" s="60"/>
      <c r="R280" s="60"/>
      <c r="S280" s="60"/>
      <c r="T280" s="60"/>
      <c r="U280" s="60"/>
      <c r="V280" s="60"/>
      <c r="W280" s="60"/>
      <c r="X280" s="60"/>
      <c r="Y280" s="60"/>
      <c r="Z280" s="60"/>
      <c r="AA280" s="60"/>
      <c r="AB280" s="60"/>
      <c r="AC280" s="60"/>
      <c r="AD280" s="60"/>
      <c r="AE280" s="60"/>
      <c r="AF280" s="60"/>
    </row>
    <row r="281" spans="1:32" s="96" customFormat="1" ht="25.5">
      <c r="A281" s="105"/>
      <c r="B281" s="616">
        <f t="shared" si="11"/>
        <v>171</v>
      </c>
      <c r="C281" s="604" t="s">
        <v>2110</v>
      </c>
      <c r="D281" s="765" t="s">
        <v>2111</v>
      </c>
      <c r="E281" s="596" t="s">
        <v>1959</v>
      </c>
      <c r="F281" s="643">
        <v>1</v>
      </c>
      <c r="G281" s="763">
        <v>1600</v>
      </c>
      <c r="H281" s="762">
        <f t="shared" si="10"/>
        <v>1600</v>
      </c>
      <c r="I281" s="309"/>
      <c r="J281" s="308"/>
      <c r="K281" s="60"/>
      <c r="L281" s="60"/>
      <c r="M281" s="60"/>
      <c r="N281" s="60"/>
      <c r="O281" s="60"/>
      <c r="P281" s="60"/>
      <c r="Q281" s="60"/>
      <c r="R281" s="60"/>
      <c r="S281" s="60"/>
      <c r="T281" s="60"/>
      <c r="U281" s="60"/>
      <c r="V281" s="60"/>
      <c r="W281" s="60"/>
      <c r="X281" s="60"/>
      <c r="Y281" s="60"/>
      <c r="Z281" s="60"/>
      <c r="AA281" s="60"/>
      <c r="AB281" s="60"/>
      <c r="AC281" s="60"/>
      <c r="AD281" s="60"/>
      <c r="AE281" s="60"/>
      <c r="AF281" s="60"/>
    </row>
    <row r="282" spans="1:32" s="96" customFormat="1" ht="51">
      <c r="A282" s="105"/>
      <c r="B282" s="616">
        <f t="shared" si="11"/>
        <v>172</v>
      </c>
      <c r="C282" s="604" t="s">
        <v>2112</v>
      </c>
      <c r="D282" s="596" t="s">
        <v>2113</v>
      </c>
      <c r="E282" s="596" t="s">
        <v>1930</v>
      </c>
      <c r="F282" s="643">
        <v>1</v>
      </c>
      <c r="G282" s="763">
        <v>2600</v>
      </c>
      <c r="H282" s="762">
        <f t="shared" si="10"/>
        <v>2600</v>
      </c>
      <c r="I282" s="309"/>
      <c r="J282" s="308"/>
      <c r="K282" s="60"/>
      <c r="L282" s="60"/>
      <c r="M282" s="60"/>
      <c r="N282" s="60"/>
      <c r="O282" s="60"/>
      <c r="P282" s="60"/>
      <c r="Q282" s="60"/>
      <c r="R282" s="60"/>
      <c r="S282" s="60"/>
      <c r="T282" s="60"/>
      <c r="U282" s="60"/>
      <c r="V282" s="60"/>
      <c r="W282" s="60"/>
      <c r="X282" s="60"/>
      <c r="Y282" s="60"/>
      <c r="Z282" s="60"/>
      <c r="AA282" s="60"/>
      <c r="AB282" s="60"/>
      <c r="AC282" s="60"/>
      <c r="AD282" s="60"/>
      <c r="AE282" s="60"/>
      <c r="AF282" s="60"/>
    </row>
    <row r="283" spans="1:32" s="96" customFormat="1" ht="25.5">
      <c r="A283" s="105"/>
      <c r="B283" s="616">
        <f t="shared" si="11"/>
        <v>173</v>
      </c>
      <c r="C283" s="604" t="s">
        <v>698</v>
      </c>
      <c r="D283" s="765" t="s">
        <v>684</v>
      </c>
      <c r="E283" s="596" t="s">
        <v>1930</v>
      </c>
      <c r="F283" s="643">
        <v>4</v>
      </c>
      <c r="G283" s="763">
        <v>4800</v>
      </c>
      <c r="H283" s="762">
        <f t="shared" si="10"/>
        <v>19200</v>
      </c>
      <c r="I283" s="309"/>
      <c r="J283" s="308"/>
      <c r="K283" s="60"/>
      <c r="L283" s="60"/>
      <c r="M283" s="60"/>
      <c r="N283" s="60"/>
      <c r="O283" s="60"/>
      <c r="P283" s="60"/>
      <c r="Q283" s="60"/>
      <c r="R283" s="60"/>
      <c r="S283" s="60"/>
      <c r="T283" s="60"/>
      <c r="U283" s="60"/>
      <c r="V283" s="60"/>
      <c r="W283" s="60"/>
      <c r="X283" s="60"/>
      <c r="Y283" s="60"/>
      <c r="Z283" s="60"/>
      <c r="AA283" s="60"/>
      <c r="AB283" s="60"/>
      <c r="AC283" s="60"/>
      <c r="AD283" s="60"/>
      <c r="AE283" s="60"/>
      <c r="AF283" s="60"/>
    </row>
    <row r="284" spans="1:32" s="96" customFormat="1" ht="38.25">
      <c r="A284" s="105"/>
      <c r="B284" s="616">
        <f t="shared" si="11"/>
        <v>174</v>
      </c>
      <c r="C284" s="771" t="s">
        <v>2114</v>
      </c>
      <c r="D284" s="596" t="s">
        <v>2115</v>
      </c>
      <c r="E284" s="596" t="s">
        <v>1930</v>
      </c>
      <c r="F284" s="643">
        <v>3</v>
      </c>
      <c r="G284" s="763">
        <v>11100</v>
      </c>
      <c r="H284" s="762">
        <f t="shared" si="10"/>
        <v>33300</v>
      </c>
      <c r="I284" s="309"/>
      <c r="J284" s="308"/>
      <c r="K284" s="60"/>
      <c r="L284" s="60"/>
      <c r="M284" s="60"/>
      <c r="N284" s="60"/>
      <c r="O284" s="60"/>
      <c r="P284" s="60"/>
      <c r="Q284" s="60"/>
      <c r="R284" s="60"/>
      <c r="S284" s="60"/>
      <c r="T284" s="60"/>
      <c r="U284" s="60"/>
      <c r="V284" s="60"/>
      <c r="W284" s="60"/>
      <c r="X284" s="60"/>
      <c r="Y284" s="60"/>
      <c r="Z284" s="60"/>
      <c r="AA284" s="60"/>
      <c r="AB284" s="60"/>
      <c r="AC284" s="60"/>
      <c r="AD284" s="60"/>
      <c r="AE284" s="60"/>
      <c r="AF284" s="60"/>
    </row>
    <row r="285" spans="1:32" s="96" customFormat="1" ht="76.5">
      <c r="A285" s="105"/>
      <c r="B285" s="616">
        <f t="shared" si="11"/>
        <v>175</v>
      </c>
      <c r="C285" s="604" t="s">
        <v>2116</v>
      </c>
      <c r="D285" s="596" t="s">
        <v>2117</v>
      </c>
      <c r="E285" s="596" t="s">
        <v>1959</v>
      </c>
      <c r="F285" s="643">
        <v>1</v>
      </c>
      <c r="G285" s="763">
        <v>2670</v>
      </c>
      <c r="H285" s="762">
        <f t="shared" si="10"/>
        <v>2670</v>
      </c>
      <c r="I285" s="309"/>
      <c r="J285" s="308"/>
      <c r="K285" s="60"/>
      <c r="L285" s="60"/>
      <c r="M285" s="60"/>
      <c r="N285" s="60"/>
      <c r="O285" s="60"/>
      <c r="P285" s="60"/>
      <c r="Q285" s="60"/>
      <c r="R285" s="60"/>
      <c r="S285" s="60"/>
      <c r="T285" s="60"/>
      <c r="U285" s="60"/>
      <c r="V285" s="60"/>
      <c r="W285" s="60"/>
      <c r="X285" s="60"/>
      <c r="Y285" s="60"/>
      <c r="Z285" s="60"/>
      <c r="AA285" s="60"/>
      <c r="AB285" s="60"/>
      <c r="AC285" s="60"/>
      <c r="AD285" s="60"/>
      <c r="AE285" s="60"/>
      <c r="AF285" s="60"/>
    </row>
    <row r="286" spans="1:32" s="96" customFormat="1" ht="51">
      <c r="A286" s="105"/>
      <c r="B286" s="616">
        <f t="shared" si="11"/>
        <v>176</v>
      </c>
      <c r="C286" s="645" t="s">
        <v>699</v>
      </c>
      <c r="D286" s="769" t="s">
        <v>685</v>
      </c>
      <c r="E286" s="596" t="s">
        <v>1930</v>
      </c>
      <c r="F286" s="643">
        <v>2</v>
      </c>
      <c r="G286" s="763">
        <v>3200</v>
      </c>
      <c r="H286" s="762">
        <f t="shared" si="10"/>
        <v>6400</v>
      </c>
      <c r="I286" s="309"/>
      <c r="J286" s="308"/>
      <c r="K286" s="60"/>
      <c r="L286" s="60"/>
      <c r="M286" s="60"/>
      <c r="N286" s="60"/>
      <c r="O286" s="60"/>
      <c r="P286" s="60"/>
      <c r="Q286" s="60"/>
      <c r="R286" s="60"/>
      <c r="S286" s="60"/>
      <c r="T286" s="60"/>
      <c r="U286" s="60"/>
      <c r="V286" s="60"/>
      <c r="W286" s="60"/>
      <c r="X286" s="60"/>
      <c r="Y286" s="60"/>
      <c r="Z286" s="60"/>
      <c r="AA286" s="60"/>
      <c r="AB286" s="60"/>
      <c r="AC286" s="60"/>
      <c r="AD286" s="60"/>
      <c r="AE286" s="60"/>
      <c r="AF286" s="60"/>
    </row>
    <row r="287" spans="1:32" s="96" customFormat="1" ht="51">
      <c r="A287" s="105"/>
      <c r="B287" s="616">
        <f t="shared" si="11"/>
        <v>177</v>
      </c>
      <c r="C287" s="604" t="s">
        <v>700</v>
      </c>
      <c r="D287" s="769" t="s">
        <v>686</v>
      </c>
      <c r="E287" s="596" t="s">
        <v>1930</v>
      </c>
      <c r="F287" s="643">
        <v>2</v>
      </c>
      <c r="G287" s="763">
        <v>3880</v>
      </c>
      <c r="H287" s="762">
        <f t="shared" si="10"/>
        <v>7760</v>
      </c>
      <c r="I287" s="309"/>
      <c r="J287" s="308"/>
      <c r="K287" s="60"/>
      <c r="L287" s="60"/>
      <c r="M287" s="60"/>
      <c r="N287" s="60"/>
      <c r="O287" s="60"/>
      <c r="P287" s="60"/>
      <c r="Q287" s="60"/>
      <c r="R287" s="60"/>
      <c r="S287" s="60"/>
      <c r="T287" s="60"/>
      <c r="U287" s="60"/>
      <c r="V287" s="60"/>
      <c r="W287" s="60"/>
      <c r="X287" s="60"/>
      <c r="Y287" s="60"/>
      <c r="Z287" s="60"/>
      <c r="AA287" s="60"/>
      <c r="AB287" s="60"/>
      <c r="AC287" s="60"/>
      <c r="AD287" s="60"/>
      <c r="AE287" s="60"/>
      <c r="AF287" s="60"/>
    </row>
    <row r="288" spans="1:32" s="96" customFormat="1" ht="114.75">
      <c r="A288" s="105"/>
      <c r="B288" s="616">
        <f t="shared" si="11"/>
        <v>178</v>
      </c>
      <c r="C288" s="604" t="s">
        <v>2118</v>
      </c>
      <c r="D288" s="596" t="s">
        <v>2119</v>
      </c>
      <c r="E288" s="596" t="s">
        <v>1930</v>
      </c>
      <c r="F288" s="643">
        <v>1</v>
      </c>
      <c r="G288" s="763">
        <v>44100</v>
      </c>
      <c r="H288" s="762">
        <f t="shared" si="10"/>
        <v>44100</v>
      </c>
      <c r="I288" s="309"/>
      <c r="J288" s="308"/>
      <c r="K288" s="60"/>
      <c r="L288" s="60"/>
      <c r="M288" s="60"/>
      <c r="N288" s="60"/>
      <c r="O288" s="60"/>
      <c r="P288" s="60"/>
      <c r="Q288" s="60"/>
      <c r="R288" s="60"/>
      <c r="S288" s="60"/>
      <c r="T288" s="60"/>
      <c r="U288" s="60"/>
      <c r="V288" s="60"/>
      <c r="W288" s="60"/>
      <c r="X288" s="60"/>
      <c r="Y288" s="60"/>
      <c r="Z288" s="60"/>
      <c r="AA288" s="60"/>
      <c r="AB288" s="60"/>
      <c r="AC288" s="60"/>
      <c r="AD288" s="60"/>
      <c r="AE288" s="60"/>
      <c r="AF288" s="60"/>
    </row>
    <row r="289" spans="1:32" s="96" customFormat="1" ht="38.25">
      <c r="A289" s="105"/>
      <c r="B289" s="616">
        <f t="shared" si="11"/>
        <v>179</v>
      </c>
      <c r="C289" s="645" t="s">
        <v>2120</v>
      </c>
      <c r="D289" s="765" t="s">
        <v>2121</v>
      </c>
      <c r="E289" s="639" t="s">
        <v>1950</v>
      </c>
      <c r="F289" s="643">
        <v>1</v>
      </c>
      <c r="G289" s="763">
        <v>25100</v>
      </c>
      <c r="H289" s="762">
        <f t="shared" si="10"/>
        <v>25100</v>
      </c>
      <c r="I289" s="309"/>
      <c r="J289" s="308"/>
      <c r="K289" s="60"/>
      <c r="L289" s="60"/>
      <c r="M289" s="60"/>
      <c r="N289" s="60"/>
      <c r="O289" s="60"/>
      <c r="P289" s="60"/>
      <c r="Q289" s="60"/>
      <c r="R289" s="60"/>
      <c r="S289" s="60"/>
      <c r="T289" s="60"/>
      <c r="U289" s="60"/>
      <c r="V289" s="60"/>
      <c r="W289" s="60"/>
      <c r="X289" s="60"/>
      <c r="Y289" s="60"/>
      <c r="Z289" s="60"/>
      <c r="AA289" s="60"/>
      <c r="AB289" s="60"/>
      <c r="AC289" s="60"/>
      <c r="AD289" s="60"/>
      <c r="AE289" s="60"/>
      <c r="AF289" s="60"/>
    </row>
    <row r="290" spans="1:32" s="96" customFormat="1" ht="25.5">
      <c r="A290" s="105"/>
      <c r="B290" s="616">
        <f t="shared" si="11"/>
        <v>180</v>
      </c>
      <c r="C290" s="604" t="s">
        <v>2122</v>
      </c>
      <c r="D290" s="769" t="s">
        <v>2123</v>
      </c>
      <c r="E290" s="639" t="s">
        <v>233</v>
      </c>
      <c r="F290" s="643">
        <v>50</v>
      </c>
      <c r="G290" s="766">
        <v>7</v>
      </c>
      <c r="H290" s="762">
        <f t="shared" si="10"/>
        <v>350</v>
      </c>
      <c r="I290" s="309"/>
      <c r="J290" s="308"/>
      <c r="K290" s="60"/>
      <c r="L290" s="60"/>
      <c r="M290" s="60"/>
      <c r="N290" s="60"/>
      <c r="O290" s="60"/>
      <c r="P290" s="60"/>
      <c r="Q290" s="60"/>
      <c r="R290" s="60"/>
      <c r="S290" s="60"/>
      <c r="T290" s="60"/>
      <c r="U290" s="60"/>
      <c r="V290" s="60"/>
      <c r="W290" s="60"/>
      <c r="X290" s="60"/>
      <c r="Y290" s="60"/>
      <c r="Z290" s="60"/>
      <c r="AA290" s="60"/>
      <c r="AB290" s="60"/>
      <c r="AC290" s="60"/>
      <c r="AD290" s="60"/>
      <c r="AE290" s="60"/>
      <c r="AF290" s="60"/>
    </row>
    <row r="291" spans="1:32" s="96" customFormat="1" ht="25.5">
      <c r="A291" s="105"/>
      <c r="B291" s="616">
        <f t="shared" si="11"/>
        <v>181</v>
      </c>
      <c r="C291" s="604" t="s">
        <v>2124</v>
      </c>
      <c r="D291" s="769" t="s">
        <v>2123</v>
      </c>
      <c r="E291" s="639" t="s">
        <v>233</v>
      </c>
      <c r="F291" s="643">
        <v>50</v>
      </c>
      <c r="G291" s="766">
        <v>7</v>
      </c>
      <c r="H291" s="762">
        <f t="shared" si="10"/>
        <v>350</v>
      </c>
      <c r="I291" s="309"/>
      <c r="J291" s="308"/>
      <c r="K291" s="60"/>
      <c r="L291" s="60"/>
      <c r="M291" s="60"/>
      <c r="N291" s="60"/>
      <c r="O291" s="60"/>
      <c r="P291" s="60"/>
      <c r="Q291" s="60"/>
      <c r="R291" s="60"/>
      <c r="S291" s="60"/>
      <c r="T291" s="60"/>
      <c r="U291" s="60"/>
      <c r="V291" s="60"/>
      <c r="W291" s="60"/>
      <c r="X291" s="60"/>
      <c r="Y291" s="60"/>
      <c r="Z291" s="60"/>
      <c r="AA291" s="60"/>
      <c r="AB291" s="60"/>
      <c r="AC291" s="60"/>
      <c r="AD291" s="60"/>
      <c r="AE291" s="60"/>
      <c r="AF291" s="60"/>
    </row>
    <row r="292" spans="1:32" s="96" customFormat="1" ht="38.25">
      <c r="A292" s="105"/>
      <c r="B292" s="616">
        <f t="shared" si="11"/>
        <v>182</v>
      </c>
      <c r="C292" s="604" t="s">
        <v>648</v>
      </c>
      <c r="D292" s="765" t="s">
        <v>687</v>
      </c>
      <c r="E292" s="639" t="s">
        <v>233</v>
      </c>
      <c r="F292" s="643">
        <v>5</v>
      </c>
      <c r="G292" s="766">
        <v>792</v>
      </c>
      <c r="H292" s="762">
        <f t="shared" si="10"/>
        <v>3960</v>
      </c>
      <c r="I292" s="309"/>
      <c r="J292" s="308"/>
      <c r="K292" s="60"/>
      <c r="L292" s="60"/>
      <c r="M292" s="60"/>
      <c r="N292" s="60"/>
      <c r="O292" s="60"/>
      <c r="P292" s="60"/>
      <c r="Q292" s="60"/>
      <c r="R292" s="60"/>
      <c r="S292" s="60"/>
      <c r="T292" s="60"/>
      <c r="U292" s="60"/>
      <c r="V292" s="60"/>
      <c r="W292" s="60"/>
      <c r="X292" s="60"/>
      <c r="Y292" s="60"/>
      <c r="Z292" s="60"/>
      <c r="AA292" s="60"/>
      <c r="AB292" s="60"/>
      <c r="AC292" s="60"/>
      <c r="AD292" s="60"/>
      <c r="AE292" s="60"/>
      <c r="AF292" s="60"/>
    </row>
    <row r="293" spans="1:32" s="96" customFormat="1" ht="38.25">
      <c r="A293" s="105"/>
      <c r="B293" s="616">
        <f t="shared" si="11"/>
        <v>183</v>
      </c>
      <c r="C293" s="604" t="s">
        <v>649</v>
      </c>
      <c r="D293" s="765" t="s">
        <v>688</v>
      </c>
      <c r="E293" s="639" t="s">
        <v>233</v>
      </c>
      <c r="F293" s="643">
        <v>5</v>
      </c>
      <c r="G293" s="766">
        <v>440</v>
      </c>
      <c r="H293" s="762">
        <f t="shared" si="10"/>
        <v>2200</v>
      </c>
      <c r="I293" s="309"/>
      <c r="J293" s="308"/>
      <c r="K293" s="60"/>
      <c r="L293" s="60"/>
      <c r="M293" s="60"/>
      <c r="N293" s="60"/>
      <c r="O293" s="60"/>
      <c r="P293" s="60"/>
      <c r="Q293" s="60"/>
      <c r="R293" s="60"/>
      <c r="S293" s="60"/>
      <c r="T293" s="60"/>
      <c r="U293" s="60"/>
      <c r="V293" s="60"/>
      <c r="W293" s="60"/>
      <c r="X293" s="60"/>
      <c r="Y293" s="60"/>
      <c r="Z293" s="60"/>
      <c r="AA293" s="60"/>
      <c r="AB293" s="60"/>
      <c r="AC293" s="60"/>
      <c r="AD293" s="60"/>
      <c r="AE293" s="60"/>
      <c r="AF293" s="60"/>
    </row>
    <row r="294" spans="1:32" s="96" customFormat="1" ht="38.25">
      <c r="A294" s="105"/>
      <c r="B294" s="616">
        <f t="shared" si="11"/>
        <v>184</v>
      </c>
      <c r="C294" s="604" t="s">
        <v>650</v>
      </c>
      <c r="D294" s="765" t="s">
        <v>689</v>
      </c>
      <c r="E294" s="639" t="s">
        <v>233</v>
      </c>
      <c r="F294" s="643">
        <v>10</v>
      </c>
      <c r="G294" s="766">
        <v>660</v>
      </c>
      <c r="H294" s="762">
        <f t="shared" si="10"/>
        <v>6600</v>
      </c>
      <c r="I294" s="310"/>
      <c r="J294" s="308"/>
      <c r="K294" s="60"/>
      <c r="L294" s="60"/>
      <c r="M294" s="60"/>
      <c r="N294" s="60"/>
      <c r="O294" s="60"/>
      <c r="P294" s="60"/>
      <c r="Q294" s="60"/>
      <c r="R294" s="60"/>
      <c r="S294" s="60"/>
      <c r="T294" s="60"/>
      <c r="U294" s="60"/>
      <c r="V294" s="60"/>
      <c r="W294" s="60"/>
      <c r="X294" s="60"/>
      <c r="Y294" s="60"/>
      <c r="Z294" s="60"/>
      <c r="AA294" s="60"/>
      <c r="AB294" s="60"/>
      <c r="AC294" s="60"/>
      <c r="AD294" s="60"/>
      <c r="AE294" s="60"/>
      <c r="AF294" s="60"/>
    </row>
    <row r="295" spans="1:32" s="96" customFormat="1" ht="25.5">
      <c r="A295" s="105"/>
      <c r="B295" s="616">
        <f t="shared" si="11"/>
        <v>185</v>
      </c>
      <c r="C295" s="645" t="s">
        <v>2125</v>
      </c>
      <c r="D295" s="765" t="s">
        <v>2126</v>
      </c>
      <c r="E295" s="639" t="s">
        <v>233</v>
      </c>
      <c r="F295" s="763">
        <v>2</v>
      </c>
      <c r="G295" s="763">
        <v>4680</v>
      </c>
      <c r="H295" s="762">
        <f t="shared" si="10"/>
        <v>9360</v>
      </c>
      <c r="I295" s="310"/>
      <c r="J295" s="308"/>
      <c r="K295" s="60"/>
      <c r="L295" s="60"/>
      <c r="M295" s="60"/>
      <c r="N295" s="60"/>
      <c r="O295" s="60"/>
      <c r="P295" s="60"/>
      <c r="Q295" s="60"/>
      <c r="R295" s="60"/>
      <c r="S295" s="60"/>
      <c r="T295" s="60"/>
      <c r="U295" s="60"/>
      <c r="V295" s="60"/>
      <c r="W295" s="60"/>
      <c r="X295" s="60"/>
      <c r="Y295" s="60"/>
      <c r="Z295" s="60"/>
      <c r="AA295" s="60"/>
      <c r="AB295" s="60"/>
      <c r="AC295" s="60"/>
      <c r="AD295" s="60"/>
      <c r="AE295" s="60"/>
      <c r="AF295" s="60"/>
    </row>
    <row r="296" spans="1:32" s="96" customFormat="1" ht="51">
      <c r="A296" s="105"/>
      <c r="B296" s="616">
        <f t="shared" si="11"/>
        <v>186</v>
      </c>
      <c r="C296" s="645" t="s">
        <v>2127</v>
      </c>
      <c r="D296" s="765" t="s">
        <v>690</v>
      </c>
      <c r="E296" s="639" t="s">
        <v>233</v>
      </c>
      <c r="F296" s="763">
        <v>3</v>
      </c>
      <c r="G296" s="763">
        <v>5300</v>
      </c>
      <c r="H296" s="762">
        <f t="shared" si="10"/>
        <v>15900</v>
      </c>
      <c r="I296" s="310"/>
      <c r="J296" s="308"/>
      <c r="K296" s="60"/>
      <c r="L296" s="60"/>
      <c r="M296" s="60"/>
      <c r="N296" s="60"/>
      <c r="O296" s="60"/>
      <c r="P296" s="60"/>
      <c r="Q296" s="60"/>
      <c r="R296" s="60"/>
      <c r="S296" s="60"/>
      <c r="T296" s="60"/>
      <c r="U296" s="60"/>
      <c r="V296" s="60"/>
      <c r="W296" s="60"/>
      <c r="X296" s="60"/>
      <c r="Y296" s="60"/>
      <c r="Z296" s="60"/>
      <c r="AA296" s="60"/>
      <c r="AB296" s="60"/>
      <c r="AC296" s="60"/>
      <c r="AD296" s="60"/>
      <c r="AE296" s="60"/>
      <c r="AF296" s="60"/>
    </row>
    <row r="297" spans="1:32" s="96" customFormat="1" ht="25.5">
      <c r="A297" s="105"/>
      <c r="B297" s="616">
        <f t="shared" si="11"/>
        <v>187</v>
      </c>
      <c r="C297" s="604" t="s">
        <v>651</v>
      </c>
      <c r="D297" s="765" t="s">
        <v>691</v>
      </c>
      <c r="E297" s="639" t="s">
        <v>2128</v>
      </c>
      <c r="F297" s="763">
        <v>2</v>
      </c>
      <c r="G297" s="763">
        <v>5100</v>
      </c>
      <c r="H297" s="762">
        <f t="shared" si="10"/>
        <v>10200</v>
      </c>
      <c r="I297" s="310"/>
      <c r="J297" s="308"/>
      <c r="K297" s="60"/>
      <c r="L297" s="60"/>
      <c r="M297" s="60"/>
      <c r="N297" s="60"/>
      <c r="O297" s="60"/>
      <c r="P297" s="60"/>
      <c r="Q297" s="60"/>
      <c r="R297" s="60"/>
      <c r="S297" s="60"/>
      <c r="T297" s="60"/>
      <c r="U297" s="60"/>
      <c r="V297" s="60"/>
      <c r="W297" s="60"/>
      <c r="X297" s="60"/>
      <c r="Y297" s="60"/>
      <c r="Z297" s="60"/>
      <c r="AA297" s="60"/>
      <c r="AB297" s="60"/>
      <c r="AC297" s="60"/>
      <c r="AD297" s="60"/>
      <c r="AE297" s="60"/>
      <c r="AF297" s="60"/>
    </row>
    <row r="298" spans="1:32" s="96" customFormat="1" ht="38.25">
      <c r="A298" s="105"/>
      <c r="B298" s="616">
        <f t="shared" si="11"/>
        <v>188</v>
      </c>
      <c r="C298" s="604" t="s">
        <v>2129</v>
      </c>
      <c r="D298" s="765" t="s">
        <v>2130</v>
      </c>
      <c r="E298" s="639" t="s">
        <v>233</v>
      </c>
      <c r="F298" s="763">
        <v>5</v>
      </c>
      <c r="G298" s="763">
        <v>4660</v>
      </c>
      <c r="H298" s="762">
        <f t="shared" si="10"/>
        <v>23300</v>
      </c>
      <c r="I298" s="310"/>
      <c r="J298" s="308"/>
      <c r="K298" s="60"/>
      <c r="L298" s="60"/>
      <c r="M298" s="60"/>
      <c r="N298" s="60"/>
      <c r="O298" s="60"/>
      <c r="P298" s="60"/>
      <c r="Q298" s="60"/>
      <c r="R298" s="60"/>
      <c r="S298" s="60"/>
      <c r="T298" s="60"/>
      <c r="U298" s="60"/>
      <c r="V298" s="60"/>
      <c r="W298" s="60"/>
      <c r="X298" s="60"/>
      <c r="Y298" s="60"/>
      <c r="Z298" s="60"/>
      <c r="AA298" s="60"/>
      <c r="AB298" s="60"/>
      <c r="AC298" s="60"/>
      <c r="AD298" s="60"/>
      <c r="AE298" s="60"/>
      <c r="AF298" s="60"/>
    </row>
    <row r="299" spans="1:32" s="96" customFormat="1" ht="38.25">
      <c r="A299" s="105"/>
      <c r="B299" s="616">
        <f t="shared" si="11"/>
        <v>189</v>
      </c>
      <c r="C299" s="604" t="s">
        <v>2131</v>
      </c>
      <c r="D299" s="596" t="s">
        <v>2132</v>
      </c>
      <c r="E299" s="639" t="s">
        <v>233</v>
      </c>
      <c r="F299" s="763">
        <v>1</v>
      </c>
      <c r="G299" s="763">
        <v>3900</v>
      </c>
      <c r="H299" s="762">
        <f t="shared" si="10"/>
        <v>3900</v>
      </c>
      <c r="I299" s="310"/>
      <c r="J299" s="308"/>
      <c r="K299" s="60"/>
      <c r="L299" s="60"/>
      <c r="M299" s="60"/>
      <c r="N299" s="60"/>
      <c r="O299" s="60"/>
      <c r="P299" s="60"/>
      <c r="Q299" s="60"/>
      <c r="R299" s="60"/>
      <c r="S299" s="60"/>
      <c r="T299" s="60"/>
      <c r="U299" s="60"/>
      <c r="V299" s="60"/>
      <c r="W299" s="60"/>
      <c r="X299" s="60"/>
      <c r="Y299" s="60"/>
      <c r="Z299" s="60"/>
      <c r="AA299" s="60"/>
      <c r="AB299" s="60"/>
      <c r="AC299" s="60"/>
      <c r="AD299" s="60"/>
      <c r="AE299" s="60"/>
      <c r="AF299" s="60"/>
    </row>
    <row r="300" spans="1:32" s="96" customFormat="1" ht="25.5">
      <c r="A300" s="105"/>
      <c r="B300" s="616">
        <f t="shared" si="11"/>
        <v>190</v>
      </c>
      <c r="C300" s="604" t="s">
        <v>2133</v>
      </c>
      <c r="D300" s="644" t="s">
        <v>692</v>
      </c>
      <c r="E300" s="639" t="s">
        <v>233</v>
      </c>
      <c r="F300" s="763">
        <v>1</v>
      </c>
      <c r="G300" s="766">
        <v>990</v>
      </c>
      <c r="H300" s="762">
        <f t="shared" si="10"/>
        <v>990</v>
      </c>
      <c r="I300" s="310"/>
      <c r="J300" s="308"/>
      <c r="K300" s="60"/>
      <c r="L300" s="60"/>
      <c r="M300" s="60"/>
      <c r="N300" s="60"/>
      <c r="O300" s="60"/>
      <c r="P300" s="60"/>
      <c r="Q300" s="60"/>
      <c r="R300" s="60"/>
      <c r="S300" s="60"/>
      <c r="T300" s="60"/>
      <c r="U300" s="60"/>
      <c r="V300" s="60"/>
      <c r="W300" s="60"/>
      <c r="X300" s="60"/>
      <c r="Y300" s="60"/>
      <c r="Z300" s="60"/>
      <c r="AA300" s="60"/>
      <c r="AB300" s="60"/>
      <c r="AC300" s="60"/>
      <c r="AD300" s="60"/>
      <c r="AE300" s="60"/>
      <c r="AF300" s="60"/>
    </row>
    <row r="301" spans="1:32" s="96" customFormat="1" ht="51">
      <c r="A301" s="105"/>
      <c r="B301" s="616">
        <f t="shared" si="11"/>
        <v>191</v>
      </c>
      <c r="C301" s="604" t="s">
        <v>2134</v>
      </c>
      <c r="D301" s="644" t="s">
        <v>2135</v>
      </c>
      <c r="E301" s="639" t="s">
        <v>233</v>
      </c>
      <c r="F301" s="763">
        <v>1</v>
      </c>
      <c r="G301" s="763">
        <v>2600</v>
      </c>
      <c r="H301" s="762">
        <f t="shared" si="10"/>
        <v>2600</v>
      </c>
      <c r="I301" s="310"/>
      <c r="J301" s="308"/>
      <c r="K301" s="60"/>
      <c r="L301" s="60"/>
      <c r="M301" s="60"/>
      <c r="N301" s="60"/>
      <c r="O301" s="60"/>
      <c r="P301" s="60"/>
      <c r="Q301" s="60"/>
      <c r="R301" s="60"/>
      <c r="S301" s="60"/>
      <c r="T301" s="60"/>
      <c r="U301" s="60"/>
      <c r="V301" s="60"/>
      <c r="W301" s="60"/>
      <c r="X301" s="60"/>
      <c r="Y301" s="60"/>
      <c r="Z301" s="60"/>
      <c r="AA301" s="60"/>
      <c r="AB301" s="60"/>
      <c r="AC301" s="60"/>
      <c r="AD301" s="60"/>
      <c r="AE301" s="60"/>
      <c r="AF301" s="60"/>
    </row>
    <row r="302" spans="1:32" s="96" customFormat="1" ht="51">
      <c r="A302" s="105"/>
      <c r="B302" s="616">
        <f t="shared" si="11"/>
        <v>192</v>
      </c>
      <c r="C302" s="604" t="s">
        <v>2136</v>
      </c>
      <c r="D302" s="644" t="s">
        <v>693</v>
      </c>
      <c r="E302" s="639" t="s">
        <v>233</v>
      </c>
      <c r="F302" s="763">
        <v>1</v>
      </c>
      <c r="G302" s="763">
        <v>3300</v>
      </c>
      <c r="H302" s="762">
        <f t="shared" si="10"/>
        <v>3300</v>
      </c>
      <c r="I302" s="310"/>
      <c r="J302" s="308"/>
      <c r="K302" s="60"/>
      <c r="L302" s="60"/>
      <c r="M302" s="60"/>
      <c r="N302" s="60"/>
      <c r="O302" s="60"/>
      <c r="P302" s="60"/>
      <c r="Q302" s="60"/>
      <c r="R302" s="60"/>
      <c r="S302" s="60"/>
      <c r="T302" s="60"/>
      <c r="U302" s="60"/>
      <c r="V302" s="60"/>
      <c r="W302" s="60"/>
      <c r="X302" s="60"/>
      <c r="Y302" s="60"/>
      <c r="Z302" s="60"/>
      <c r="AA302" s="60"/>
      <c r="AB302" s="60"/>
      <c r="AC302" s="60"/>
      <c r="AD302" s="60"/>
      <c r="AE302" s="60"/>
      <c r="AF302" s="60"/>
    </row>
    <row r="303" spans="1:32" s="96" customFormat="1" ht="114.75">
      <c r="A303" s="105"/>
      <c r="B303" s="616">
        <f t="shared" si="11"/>
        <v>193</v>
      </c>
      <c r="C303" s="604" t="s">
        <v>2137</v>
      </c>
      <c r="D303" s="644" t="s">
        <v>2138</v>
      </c>
      <c r="E303" s="639" t="s">
        <v>233</v>
      </c>
      <c r="F303" s="763">
        <v>2</v>
      </c>
      <c r="G303" s="763">
        <v>33600</v>
      </c>
      <c r="H303" s="762">
        <f t="shared" ref="H303:H310" si="12">F303*G303</f>
        <v>67200</v>
      </c>
      <c r="I303" s="307"/>
      <c r="J303" s="308"/>
      <c r="K303" s="60"/>
      <c r="L303" s="60"/>
      <c r="M303" s="60"/>
      <c r="N303" s="60"/>
      <c r="O303" s="60"/>
      <c r="P303" s="60"/>
      <c r="Q303" s="60"/>
      <c r="R303" s="60"/>
      <c r="S303" s="60"/>
      <c r="T303" s="60"/>
      <c r="U303" s="60"/>
      <c r="V303" s="60"/>
      <c r="W303" s="60"/>
      <c r="X303" s="60"/>
      <c r="Y303" s="60"/>
      <c r="Z303" s="60"/>
      <c r="AA303" s="60"/>
      <c r="AB303" s="60"/>
      <c r="AC303" s="60"/>
      <c r="AD303" s="60"/>
      <c r="AE303" s="60"/>
      <c r="AF303" s="60"/>
    </row>
    <row r="304" spans="1:32" s="96" customFormat="1" ht="25.5">
      <c r="A304" s="105"/>
      <c r="B304" s="616">
        <f t="shared" si="11"/>
        <v>194</v>
      </c>
      <c r="C304" s="613" t="s">
        <v>304</v>
      </c>
      <c r="D304" s="606" t="s">
        <v>2139</v>
      </c>
      <c r="E304" s="606" t="s">
        <v>295</v>
      </c>
      <c r="F304" s="751">
        <v>2</v>
      </c>
      <c r="G304" s="766">
        <v>495</v>
      </c>
      <c r="H304" s="762">
        <f t="shared" si="12"/>
        <v>990</v>
      </c>
      <c r="I304" s="307"/>
      <c r="J304" s="308"/>
      <c r="K304" s="60"/>
      <c r="L304" s="60"/>
      <c r="M304" s="60"/>
      <c r="N304" s="60"/>
      <c r="O304" s="60"/>
      <c r="P304" s="60"/>
      <c r="Q304" s="60"/>
      <c r="R304" s="60"/>
      <c r="S304" s="60"/>
      <c r="T304" s="60"/>
      <c r="U304" s="60"/>
      <c r="V304" s="60"/>
      <c r="W304" s="60"/>
      <c r="X304" s="60"/>
      <c r="Y304" s="60"/>
      <c r="Z304" s="60"/>
      <c r="AA304" s="60"/>
      <c r="AB304" s="60"/>
      <c r="AC304" s="60"/>
      <c r="AD304" s="60"/>
      <c r="AE304" s="60"/>
      <c r="AF304" s="60"/>
    </row>
    <row r="305" spans="1:32" s="96" customFormat="1" ht="25.5">
      <c r="A305" s="105"/>
      <c r="B305" s="616">
        <f t="shared" ref="B305:B310" si="13">B304+1</f>
        <v>195</v>
      </c>
      <c r="C305" s="613" t="s">
        <v>304</v>
      </c>
      <c r="D305" s="606" t="s">
        <v>2140</v>
      </c>
      <c r="E305" s="606" t="s">
        <v>295</v>
      </c>
      <c r="F305" s="751">
        <v>2</v>
      </c>
      <c r="G305" s="766">
        <v>715</v>
      </c>
      <c r="H305" s="762">
        <f t="shared" si="12"/>
        <v>1430</v>
      </c>
      <c r="I305" s="307"/>
      <c r="J305" s="308"/>
      <c r="K305" s="60"/>
      <c r="L305" s="60"/>
      <c r="M305" s="60"/>
      <c r="N305" s="60"/>
      <c r="O305" s="60"/>
      <c r="P305" s="60"/>
      <c r="Q305" s="60"/>
      <c r="R305" s="60"/>
      <c r="S305" s="60"/>
      <c r="T305" s="60"/>
      <c r="U305" s="60"/>
      <c r="V305" s="60"/>
      <c r="W305" s="60"/>
      <c r="X305" s="60"/>
      <c r="Y305" s="60"/>
      <c r="Z305" s="60"/>
      <c r="AA305" s="60"/>
      <c r="AB305" s="60"/>
      <c r="AC305" s="60"/>
      <c r="AD305" s="60"/>
      <c r="AE305" s="60"/>
      <c r="AF305" s="60"/>
    </row>
    <row r="306" spans="1:32" s="96" customFormat="1" ht="25.5">
      <c r="A306" s="105"/>
      <c r="B306" s="616">
        <f t="shared" si="13"/>
        <v>196</v>
      </c>
      <c r="C306" s="613" t="s">
        <v>304</v>
      </c>
      <c r="D306" s="606" t="s">
        <v>2141</v>
      </c>
      <c r="E306" s="606" t="s">
        <v>295</v>
      </c>
      <c r="F306" s="751">
        <v>2</v>
      </c>
      <c r="G306" s="766">
        <v>1045</v>
      </c>
      <c r="H306" s="762">
        <f t="shared" si="12"/>
        <v>2090</v>
      </c>
      <c r="I306" s="307"/>
      <c r="J306" s="308"/>
      <c r="K306" s="60"/>
      <c r="L306" s="60"/>
      <c r="M306" s="60"/>
      <c r="N306" s="60"/>
      <c r="O306" s="60"/>
      <c r="P306" s="60"/>
      <c r="Q306" s="60"/>
      <c r="R306" s="60"/>
      <c r="S306" s="60"/>
      <c r="T306" s="60"/>
      <c r="U306" s="60"/>
      <c r="V306" s="60"/>
      <c r="W306" s="60"/>
      <c r="X306" s="60"/>
      <c r="Y306" s="60"/>
      <c r="Z306" s="60"/>
      <c r="AA306" s="60"/>
      <c r="AB306" s="60"/>
      <c r="AC306" s="60"/>
      <c r="AD306" s="60"/>
      <c r="AE306" s="60"/>
      <c r="AF306" s="60"/>
    </row>
    <row r="307" spans="1:32" s="96" customFormat="1" ht="25.5">
      <c r="A307" s="105"/>
      <c r="B307" s="616">
        <f t="shared" si="13"/>
        <v>197</v>
      </c>
      <c r="C307" s="613" t="s">
        <v>2142</v>
      </c>
      <c r="D307" s="606" t="s">
        <v>2143</v>
      </c>
      <c r="E307" s="606" t="s">
        <v>295</v>
      </c>
      <c r="F307" s="751">
        <v>1</v>
      </c>
      <c r="G307" s="766">
        <v>748</v>
      </c>
      <c r="H307" s="762">
        <f t="shared" si="12"/>
        <v>748</v>
      </c>
      <c r="I307" s="307"/>
      <c r="J307" s="308"/>
      <c r="K307" s="60"/>
      <c r="L307" s="60"/>
      <c r="M307" s="60"/>
      <c r="N307" s="60"/>
      <c r="O307" s="60"/>
      <c r="P307" s="60"/>
      <c r="Q307" s="60"/>
      <c r="R307" s="60"/>
      <c r="S307" s="60"/>
      <c r="T307" s="60"/>
      <c r="U307" s="60"/>
      <c r="V307" s="60"/>
      <c r="W307" s="60"/>
      <c r="X307" s="60"/>
      <c r="Y307" s="60"/>
      <c r="Z307" s="60"/>
      <c r="AA307" s="60"/>
      <c r="AB307" s="60"/>
      <c r="AC307" s="60"/>
      <c r="AD307" s="60"/>
      <c r="AE307" s="60"/>
      <c r="AF307" s="60"/>
    </row>
    <row r="308" spans="1:32" s="96" customFormat="1" ht="25.5">
      <c r="A308" s="105"/>
      <c r="B308" s="616">
        <f t="shared" si="13"/>
        <v>198</v>
      </c>
      <c r="C308" s="613" t="s">
        <v>2142</v>
      </c>
      <c r="D308" s="606" t="s">
        <v>2144</v>
      </c>
      <c r="E308" s="606" t="s">
        <v>295</v>
      </c>
      <c r="F308" s="751">
        <v>1</v>
      </c>
      <c r="G308" s="766">
        <v>748</v>
      </c>
      <c r="H308" s="762">
        <f t="shared" si="12"/>
        <v>748</v>
      </c>
      <c r="I308" s="772"/>
      <c r="J308" s="308"/>
      <c r="K308" s="60"/>
      <c r="L308" s="60"/>
      <c r="M308" s="60"/>
      <c r="N308" s="60"/>
      <c r="O308" s="60"/>
      <c r="P308" s="60"/>
      <c r="Q308" s="60"/>
      <c r="R308" s="60"/>
      <c r="S308" s="60"/>
      <c r="T308" s="60"/>
      <c r="U308" s="60"/>
      <c r="V308" s="60"/>
      <c r="W308" s="60"/>
      <c r="X308" s="60"/>
      <c r="Y308" s="60"/>
      <c r="Z308" s="60"/>
      <c r="AA308" s="60"/>
      <c r="AB308" s="60"/>
      <c r="AC308" s="60"/>
      <c r="AD308" s="60"/>
      <c r="AE308" s="60"/>
      <c r="AF308" s="60"/>
    </row>
    <row r="309" spans="1:32" s="96" customFormat="1" ht="38.25">
      <c r="A309" s="105"/>
      <c r="B309" s="616">
        <f t="shared" si="13"/>
        <v>199</v>
      </c>
      <c r="C309" s="613" t="s">
        <v>2145</v>
      </c>
      <c r="D309" s="606" t="s">
        <v>2146</v>
      </c>
      <c r="E309" s="639" t="s">
        <v>2147</v>
      </c>
      <c r="F309" s="639">
        <v>3</v>
      </c>
      <c r="G309" s="763">
        <v>3300</v>
      </c>
      <c r="H309" s="762">
        <f t="shared" si="12"/>
        <v>9900</v>
      </c>
      <c r="I309" s="772"/>
      <c r="J309" s="308"/>
      <c r="K309" s="60"/>
      <c r="L309" s="60"/>
      <c r="M309" s="60"/>
      <c r="N309" s="60"/>
      <c r="O309" s="60"/>
      <c r="P309" s="60"/>
      <c r="Q309" s="60"/>
      <c r="R309" s="60"/>
      <c r="S309" s="60"/>
      <c r="T309" s="60"/>
      <c r="U309" s="60"/>
      <c r="V309" s="60"/>
      <c r="W309" s="60"/>
      <c r="X309" s="60"/>
      <c r="Y309" s="60"/>
      <c r="Z309" s="60"/>
      <c r="AA309" s="60"/>
      <c r="AB309" s="60"/>
      <c r="AC309" s="60"/>
      <c r="AD309" s="60"/>
      <c r="AE309" s="60"/>
      <c r="AF309" s="60"/>
    </row>
    <row r="310" spans="1:32" s="96" customFormat="1" ht="191.25">
      <c r="A310" s="105"/>
      <c r="B310" s="616">
        <f t="shared" si="13"/>
        <v>200</v>
      </c>
      <c r="C310" s="613" t="s">
        <v>652</v>
      </c>
      <c r="D310" s="606" t="s">
        <v>2148</v>
      </c>
      <c r="E310" s="639" t="s">
        <v>33</v>
      </c>
      <c r="F310" s="639">
        <v>3</v>
      </c>
      <c r="G310" s="763">
        <v>2530</v>
      </c>
      <c r="H310" s="762">
        <f t="shared" si="12"/>
        <v>7590</v>
      </c>
      <c r="I310" s="60"/>
      <c r="J310" s="308"/>
      <c r="K310" s="60"/>
      <c r="L310" s="60"/>
      <c r="M310" s="60"/>
      <c r="N310" s="60"/>
      <c r="O310" s="60"/>
      <c r="P310" s="60"/>
      <c r="Q310" s="60"/>
      <c r="R310" s="60"/>
      <c r="S310" s="60"/>
      <c r="T310" s="60"/>
      <c r="U310" s="60"/>
      <c r="V310" s="60"/>
      <c r="W310" s="60"/>
      <c r="X310" s="60"/>
      <c r="Y310" s="60"/>
      <c r="Z310" s="60"/>
      <c r="AA310" s="60"/>
      <c r="AB310" s="60"/>
      <c r="AC310" s="60"/>
      <c r="AD310" s="60"/>
      <c r="AE310" s="60"/>
      <c r="AF310" s="60"/>
    </row>
    <row r="311" spans="1:32" s="43" customFormat="1" ht="15">
      <c r="A311" s="105"/>
      <c r="B311" s="623"/>
      <c r="C311" s="773" t="s">
        <v>220</v>
      </c>
      <c r="D311" s="774"/>
      <c r="E311" s="775"/>
      <c r="F311" s="776"/>
      <c r="G311" s="776"/>
      <c r="H311" s="777">
        <f>SUM(H312:H342)</f>
        <v>1660445</v>
      </c>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row>
    <row r="312" spans="1:32" s="96" customFormat="1" ht="25.5">
      <c r="A312" s="105"/>
      <c r="B312" s="778">
        <v>1</v>
      </c>
      <c r="C312" s="610" t="s">
        <v>2149</v>
      </c>
      <c r="D312" s="610" t="s">
        <v>2150</v>
      </c>
      <c r="E312" s="606" t="s">
        <v>1930</v>
      </c>
      <c r="F312" s="751">
        <v>5</v>
      </c>
      <c r="G312" s="767">
        <v>3200</v>
      </c>
      <c r="H312" s="762">
        <f>F312*G312</f>
        <v>16000</v>
      </c>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row>
    <row r="313" spans="1:32" s="96" customFormat="1" ht="15">
      <c r="A313" s="105"/>
      <c r="B313" s="778">
        <f>B312+1</f>
        <v>2</v>
      </c>
      <c r="C313" s="610" t="s">
        <v>303</v>
      </c>
      <c r="D313" s="779" t="s">
        <v>719</v>
      </c>
      <c r="E313" s="606" t="s">
        <v>1930</v>
      </c>
      <c r="F313" s="751">
        <v>5</v>
      </c>
      <c r="G313" s="766">
        <v>825</v>
      </c>
      <c r="H313" s="762">
        <f t="shared" ref="H313:H341" si="14">F313*G313</f>
        <v>4125</v>
      </c>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row>
    <row r="314" spans="1:32" s="96" customFormat="1" ht="15">
      <c r="A314" s="105"/>
      <c r="B314" s="778">
        <f t="shared" ref="B314:B342" si="15">B313+1</f>
        <v>3</v>
      </c>
      <c r="C314" s="610" t="s">
        <v>303</v>
      </c>
      <c r="D314" s="779" t="s">
        <v>720</v>
      </c>
      <c r="E314" s="606" t="s">
        <v>1930</v>
      </c>
      <c r="F314" s="751">
        <v>5</v>
      </c>
      <c r="G314" s="766">
        <v>1045</v>
      </c>
      <c r="H314" s="762">
        <f t="shared" si="14"/>
        <v>5225</v>
      </c>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row>
    <row r="315" spans="1:32" s="96" customFormat="1" ht="15">
      <c r="A315" s="105"/>
      <c r="B315" s="778">
        <f t="shared" si="15"/>
        <v>4</v>
      </c>
      <c r="C315" s="610" t="s">
        <v>303</v>
      </c>
      <c r="D315" s="779" t="s">
        <v>721</v>
      </c>
      <c r="E315" s="606" t="s">
        <v>1930</v>
      </c>
      <c r="F315" s="751">
        <v>5</v>
      </c>
      <c r="G315" s="767">
        <v>2535</v>
      </c>
      <c r="H315" s="762">
        <f t="shared" si="14"/>
        <v>12675</v>
      </c>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row>
    <row r="316" spans="1:32" s="96" customFormat="1" ht="15">
      <c r="A316" s="105"/>
      <c r="B316" s="778">
        <f t="shared" si="15"/>
        <v>5</v>
      </c>
      <c r="C316" s="779" t="s">
        <v>330</v>
      </c>
      <c r="D316" s="779" t="s">
        <v>722</v>
      </c>
      <c r="E316" s="606" t="s">
        <v>1930</v>
      </c>
      <c r="F316" s="599">
        <v>5</v>
      </c>
      <c r="G316" s="780">
        <v>396</v>
      </c>
      <c r="H316" s="762">
        <f t="shared" si="14"/>
        <v>1980</v>
      </c>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row>
    <row r="317" spans="1:32" s="96" customFormat="1" ht="25.5">
      <c r="A317" s="105"/>
      <c r="B317" s="778">
        <f t="shared" si="15"/>
        <v>6</v>
      </c>
      <c r="C317" s="779" t="s">
        <v>2151</v>
      </c>
      <c r="D317" s="779" t="s">
        <v>2152</v>
      </c>
      <c r="E317" s="606" t="s">
        <v>1930</v>
      </c>
      <c r="F317" s="599">
        <v>5</v>
      </c>
      <c r="G317" s="768">
        <v>26400</v>
      </c>
      <c r="H317" s="762">
        <f t="shared" si="14"/>
        <v>132000</v>
      </c>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row>
    <row r="318" spans="1:32" s="96" customFormat="1" ht="25.5">
      <c r="A318" s="105"/>
      <c r="B318" s="778">
        <f t="shared" si="15"/>
        <v>7</v>
      </c>
      <c r="C318" s="610" t="s">
        <v>701</v>
      </c>
      <c r="D318" s="781" t="s">
        <v>723</v>
      </c>
      <c r="E318" s="606" t="s">
        <v>1930</v>
      </c>
      <c r="F318" s="751">
        <v>100</v>
      </c>
      <c r="G318" s="767">
        <v>1920</v>
      </c>
      <c r="H318" s="762">
        <f t="shared" si="14"/>
        <v>192000</v>
      </c>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row>
    <row r="319" spans="1:32" s="96" customFormat="1" ht="25.5">
      <c r="A319" s="105"/>
      <c r="B319" s="778">
        <f t="shared" si="15"/>
        <v>8</v>
      </c>
      <c r="C319" s="610" t="s">
        <v>701</v>
      </c>
      <c r="D319" s="781" t="s">
        <v>724</v>
      </c>
      <c r="E319" s="606" t="s">
        <v>1930</v>
      </c>
      <c r="F319" s="751">
        <v>100</v>
      </c>
      <c r="G319" s="767">
        <v>1450</v>
      </c>
      <c r="H319" s="762">
        <f t="shared" si="14"/>
        <v>145000</v>
      </c>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row>
    <row r="320" spans="1:32" s="96" customFormat="1" ht="15">
      <c r="A320" s="105"/>
      <c r="B320" s="778">
        <f t="shared" si="15"/>
        <v>9</v>
      </c>
      <c r="C320" s="610" t="s">
        <v>702</v>
      </c>
      <c r="D320" s="610" t="s">
        <v>725</v>
      </c>
      <c r="E320" s="606" t="s">
        <v>1930</v>
      </c>
      <c r="F320" s="751">
        <v>5</v>
      </c>
      <c r="G320" s="767">
        <v>9800</v>
      </c>
      <c r="H320" s="762">
        <f t="shared" si="14"/>
        <v>49000</v>
      </c>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row>
    <row r="321" spans="1:32" s="96" customFormat="1" ht="15">
      <c r="A321" s="105"/>
      <c r="B321" s="778">
        <f t="shared" si="15"/>
        <v>10</v>
      </c>
      <c r="C321" s="779" t="s">
        <v>703</v>
      </c>
      <c r="D321" s="781" t="s">
        <v>726</v>
      </c>
      <c r="E321" s="606" t="s">
        <v>740</v>
      </c>
      <c r="F321" s="782">
        <v>50</v>
      </c>
      <c r="G321" s="766">
        <v>160</v>
      </c>
      <c r="H321" s="762">
        <f t="shared" si="14"/>
        <v>8000</v>
      </c>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row>
    <row r="322" spans="1:32" s="96" customFormat="1" ht="15">
      <c r="A322" s="105"/>
      <c r="B322" s="778">
        <f t="shared" si="15"/>
        <v>11</v>
      </c>
      <c r="C322" s="779" t="s">
        <v>704</v>
      </c>
      <c r="D322" s="779" t="s">
        <v>727</v>
      </c>
      <c r="E322" s="606" t="s">
        <v>740</v>
      </c>
      <c r="F322" s="599">
        <v>100</v>
      </c>
      <c r="G322" s="780">
        <v>440</v>
      </c>
      <c r="H322" s="762">
        <f t="shared" si="14"/>
        <v>44000</v>
      </c>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row>
    <row r="323" spans="1:32" s="96" customFormat="1" ht="15">
      <c r="A323" s="105"/>
      <c r="B323" s="778">
        <f t="shared" si="15"/>
        <v>12</v>
      </c>
      <c r="C323" s="779" t="s">
        <v>704</v>
      </c>
      <c r="D323" s="779" t="s">
        <v>728</v>
      </c>
      <c r="E323" s="606" t="s">
        <v>740</v>
      </c>
      <c r="F323" s="599">
        <v>100</v>
      </c>
      <c r="G323" s="780">
        <v>737</v>
      </c>
      <c r="H323" s="762">
        <f t="shared" si="14"/>
        <v>73700</v>
      </c>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row>
    <row r="324" spans="1:32" s="96" customFormat="1" ht="25.5">
      <c r="A324" s="105"/>
      <c r="B324" s="778">
        <f t="shared" si="15"/>
        <v>13</v>
      </c>
      <c r="C324" s="779" t="s">
        <v>705</v>
      </c>
      <c r="D324" s="779" t="s">
        <v>729</v>
      </c>
      <c r="E324" s="606" t="s">
        <v>1930</v>
      </c>
      <c r="F324" s="599">
        <v>10</v>
      </c>
      <c r="G324" s="780">
        <v>792</v>
      </c>
      <c r="H324" s="762">
        <f t="shared" si="14"/>
        <v>7920</v>
      </c>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row>
    <row r="325" spans="1:32" s="96" customFormat="1" ht="25.5">
      <c r="A325" s="105"/>
      <c r="B325" s="778">
        <f t="shared" si="15"/>
        <v>14</v>
      </c>
      <c r="C325" s="779" t="s">
        <v>706</v>
      </c>
      <c r="D325" s="779" t="s">
        <v>729</v>
      </c>
      <c r="E325" s="606" t="s">
        <v>1930</v>
      </c>
      <c r="F325" s="599">
        <v>10</v>
      </c>
      <c r="G325" s="780">
        <v>1650</v>
      </c>
      <c r="H325" s="762">
        <f t="shared" si="14"/>
        <v>16500</v>
      </c>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row>
    <row r="326" spans="1:32" s="96" customFormat="1" ht="25.5">
      <c r="A326" s="105"/>
      <c r="B326" s="778">
        <f t="shared" si="15"/>
        <v>15</v>
      </c>
      <c r="C326" s="779" t="s">
        <v>707</v>
      </c>
      <c r="D326" s="779" t="s">
        <v>729</v>
      </c>
      <c r="E326" s="606" t="s">
        <v>1930</v>
      </c>
      <c r="F326" s="599">
        <v>10</v>
      </c>
      <c r="G326" s="780">
        <v>660</v>
      </c>
      <c r="H326" s="762">
        <f t="shared" si="14"/>
        <v>6600</v>
      </c>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row>
    <row r="327" spans="1:32" s="96" customFormat="1" ht="25.5">
      <c r="A327" s="105"/>
      <c r="B327" s="778">
        <f t="shared" si="15"/>
        <v>16</v>
      </c>
      <c r="C327" s="779" t="s">
        <v>708</v>
      </c>
      <c r="D327" s="779" t="s">
        <v>730</v>
      </c>
      <c r="E327" s="606" t="s">
        <v>1930</v>
      </c>
      <c r="F327" s="599">
        <v>10</v>
      </c>
      <c r="G327" s="780">
        <v>990</v>
      </c>
      <c r="H327" s="762">
        <f>F327*G327</f>
        <v>9900</v>
      </c>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row>
    <row r="328" spans="1:32" s="96" customFormat="1" ht="25.5">
      <c r="A328" s="105"/>
      <c r="B328" s="778">
        <f t="shared" si="15"/>
        <v>17</v>
      </c>
      <c r="C328" s="779" t="s">
        <v>709</v>
      </c>
      <c r="D328" s="779" t="s">
        <v>731</v>
      </c>
      <c r="E328" s="606" t="s">
        <v>1930</v>
      </c>
      <c r="F328" s="599">
        <v>10</v>
      </c>
      <c r="G328" s="768">
        <v>1170</v>
      </c>
      <c r="H328" s="762">
        <f t="shared" si="14"/>
        <v>11700</v>
      </c>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row>
    <row r="329" spans="1:32" s="96" customFormat="1" ht="25.5">
      <c r="A329" s="105"/>
      <c r="B329" s="778">
        <f t="shared" si="15"/>
        <v>18</v>
      </c>
      <c r="C329" s="779" t="s">
        <v>710</v>
      </c>
      <c r="D329" s="779" t="s">
        <v>732</v>
      </c>
      <c r="E329" s="606" t="s">
        <v>1930</v>
      </c>
      <c r="F329" s="599">
        <v>10</v>
      </c>
      <c r="G329" s="780">
        <v>1062</v>
      </c>
      <c r="H329" s="762">
        <f t="shared" si="14"/>
        <v>10620</v>
      </c>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row>
    <row r="330" spans="1:32" s="96" customFormat="1" ht="25.5">
      <c r="A330" s="105"/>
      <c r="B330" s="778">
        <f t="shared" si="15"/>
        <v>19</v>
      </c>
      <c r="C330" s="779" t="s">
        <v>711</v>
      </c>
      <c r="D330" s="779" t="s">
        <v>2153</v>
      </c>
      <c r="E330" s="606" t="s">
        <v>1930</v>
      </c>
      <c r="F330" s="599">
        <v>10</v>
      </c>
      <c r="G330" s="780">
        <v>550</v>
      </c>
      <c r="H330" s="762">
        <f t="shared" si="14"/>
        <v>5500</v>
      </c>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row>
    <row r="331" spans="1:32" s="96" customFormat="1" ht="25.5">
      <c r="A331" s="105"/>
      <c r="B331" s="778">
        <f t="shared" si="15"/>
        <v>20</v>
      </c>
      <c r="C331" s="779" t="s">
        <v>712</v>
      </c>
      <c r="D331" s="779" t="s">
        <v>733</v>
      </c>
      <c r="E331" s="606" t="s">
        <v>1930</v>
      </c>
      <c r="F331" s="751">
        <v>20</v>
      </c>
      <c r="G331" s="766">
        <v>385</v>
      </c>
      <c r="H331" s="762">
        <f t="shared" si="14"/>
        <v>7700</v>
      </c>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row>
    <row r="332" spans="1:32" s="96" customFormat="1" ht="25.5">
      <c r="A332" s="105"/>
      <c r="B332" s="778">
        <f t="shared" si="15"/>
        <v>21</v>
      </c>
      <c r="C332" s="779" t="s">
        <v>713</v>
      </c>
      <c r="D332" s="779" t="s">
        <v>734</v>
      </c>
      <c r="E332" s="606" t="s">
        <v>1930</v>
      </c>
      <c r="F332" s="599">
        <v>20</v>
      </c>
      <c r="G332" s="768">
        <v>13600</v>
      </c>
      <c r="H332" s="762">
        <f t="shared" si="14"/>
        <v>272000</v>
      </c>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row>
    <row r="333" spans="1:32" s="96" customFormat="1" ht="25.5">
      <c r="A333" s="105"/>
      <c r="B333" s="778">
        <f t="shared" si="15"/>
        <v>22</v>
      </c>
      <c r="C333" s="779" t="s">
        <v>714</v>
      </c>
      <c r="D333" s="779" t="s">
        <v>735</v>
      </c>
      <c r="E333" s="606" t="s">
        <v>1930</v>
      </c>
      <c r="F333" s="599">
        <v>20</v>
      </c>
      <c r="G333" s="768">
        <v>14068</v>
      </c>
      <c r="H333" s="762">
        <f t="shared" si="14"/>
        <v>281360</v>
      </c>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row>
    <row r="334" spans="1:32" s="96" customFormat="1" ht="38.25">
      <c r="A334" s="105"/>
      <c r="B334" s="778">
        <f t="shared" si="15"/>
        <v>23</v>
      </c>
      <c r="C334" s="779" t="s">
        <v>715</v>
      </c>
      <c r="D334" s="779" t="s">
        <v>736</v>
      </c>
      <c r="E334" s="606" t="s">
        <v>1930</v>
      </c>
      <c r="F334" s="599">
        <v>10</v>
      </c>
      <c r="G334" s="768">
        <v>2000</v>
      </c>
      <c r="H334" s="762">
        <f t="shared" si="14"/>
        <v>20000</v>
      </c>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row>
    <row r="335" spans="1:32" s="96" customFormat="1" ht="25.5">
      <c r="A335" s="105"/>
      <c r="B335" s="778">
        <f t="shared" si="15"/>
        <v>24</v>
      </c>
      <c r="C335" s="779" t="s">
        <v>716</v>
      </c>
      <c r="D335" s="779" t="s">
        <v>737</v>
      </c>
      <c r="E335" s="606" t="s">
        <v>2154</v>
      </c>
      <c r="F335" s="599">
        <v>3</v>
      </c>
      <c r="G335" s="768">
        <v>1265</v>
      </c>
      <c r="H335" s="762">
        <f t="shared" si="14"/>
        <v>3795</v>
      </c>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row>
    <row r="336" spans="1:32" s="102" customFormat="1" ht="25.5">
      <c r="A336" s="105"/>
      <c r="B336" s="778">
        <f t="shared" si="15"/>
        <v>25</v>
      </c>
      <c r="C336" s="779" t="s">
        <v>716</v>
      </c>
      <c r="D336" s="779" t="s">
        <v>738</v>
      </c>
      <c r="E336" s="606" t="s">
        <v>2154</v>
      </c>
      <c r="F336" s="599">
        <v>3</v>
      </c>
      <c r="G336" s="768">
        <v>1825</v>
      </c>
      <c r="H336" s="762">
        <f t="shared" si="14"/>
        <v>5475</v>
      </c>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row>
    <row r="337" spans="1:32" s="102" customFormat="1" ht="25.5">
      <c r="A337" s="105"/>
      <c r="B337" s="778">
        <f t="shared" si="15"/>
        <v>26</v>
      </c>
      <c r="C337" s="779" t="s">
        <v>716</v>
      </c>
      <c r="D337" s="779" t="s">
        <v>2155</v>
      </c>
      <c r="E337" s="606" t="s">
        <v>2154</v>
      </c>
      <c r="F337" s="599">
        <v>2</v>
      </c>
      <c r="G337" s="768">
        <v>2385</v>
      </c>
      <c r="H337" s="762">
        <f t="shared" si="14"/>
        <v>4770</v>
      </c>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row>
    <row r="338" spans="1:32" s="102" customFormat="1" ht="38.25">
      <c r="A338" s="105"/>
      <c r="B338" s="778">
        <f t="shared" si="15"/>
        <v>27</v>
      </c>
      <c r="C338" s="779" t="s">
        <v>2156</v>
      </c>
      <c r="D338" s="779" t="s">
        <v>2157</v>
      </c>
      <c r="E338" s="606" t="s">
        <v>1930</v>
      </c>
      <c r="F338" s="599">
        <v>1</v>
      </c>
      <c r="G338" s="768">
        <v>37300</v>
      </c>
      <c r="H338" s="762">
        <f t="shared" si="14"/>
        <v>37300</v>
      </c>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row>
    <row r="339" spans="1:32" s="102" customFormat="1" ht="25.5">
      <c r="A339" s="105"/>
      <c r="B339" s="778">
        <f t="shared" si="15"/>
        <v>28</v>
      </c>
      <c r="C339" s="779" t="s">
        <v>2158</v>
      </c>
      <c r="D339" s="779" t="s">
        <v>2159</v>
      </c>
      <c r="E339" s="606" t="s">
        <v>1930</v>
      </c>
      <c r="F339" s="599">
        <v>1</v>
      </c>
      <c r="G339" s="768">
        <v>46300</v>
      </c>
      <c r="H339" s="762">
        <f t="shared" si="14"/>
        <v>46300</v>
      </c>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row>
    <row r="340" spans="1:32" s="102" customFormat="1" ht="165.75">
      <c r="A340" s="105"/>
      <c r="B340" s="778">
        <f t="shared" si="15"/>
        <v>29</v>
      </c>
      <c r="C340" s="779" t="s">
        <v>717</v>
      </c>
      <c r="D340" s="610" t="s">
        <v>2160</v>
      </c>
      <c r="E340" s="606" t="s">
        <v>1930</v>
      </c>
      <c r="F340" s="599">
        <v>1</v>
      </c>
      <c r="G340" s="768">
        <v>6100</v>
      </c>
      <c r="H340" s="762">
        <f t="shared" si="14"/>
        <v>6100</v>
      </c>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row>
    <row r="341" spans="1:32" s="102" customFormat="1" ht="25.5">
      <c r="A341" s="105"/>
      <c r="B341" s="778">
        <f t="shared" si="15"/>
        <v>30</v>
      </c>
      <c r="C341" s="779" t="s">
        <v>718</v>
      </c>
      <c r="D341" s="779" t="s">
        <v>739</v>
      </c>
      <c r="E341" s="606" t="s">
        <v>1930</v>
      </c>
      <c r="F341" s="599">
        <v>1</v>
      </c>
      <c r="G341" s="768">
        <v>2200</v>
      </c>
      <c r="H341" s="762">
        <f t="shared" si="14"/>
        <v>2200</v>
      </c>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row>
    <row r="342" spans="1:32" s="102" customFormat="1" ht="51">
      <c r="A342" s="105"/>
      <c r="B342" s="778">
        <f t="shared" si="15"/>
        <v>31</v>
      </c>
      <c r="C342" s="779" t="s">
        <v>2161</v>
      </c>
      <c r="D342" s="779" t="s">
        <v>2162</v>
      </c>
      <c r="E342" s="606" t="s">
        <v>1930</v>
      </c>
      <c r="F342" s="599">
        <v>10</v>
      </c>
      <c r="G342" s="768">
        <v>22100</v>
      </c>
      <c r="H342" s="762">
        <f>F342*G342</f>
        <v>221000</v>
      </c>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row>
    <row r="343" spans="1:32" s="43" customFormat="1" ht="15">
      <c r="A343" s="105"/>
      <c r="B343" s="623"/>
      <c r="C343" s="783" t="s">
        <v>213</v>
      </c>
      <c r="D343" s="775"/>
      <c r="E343" s="775"/>
      <c r="F343" s="776"/>
      <c r="G343" s="784"/>
      <c r="H343" s="785">
        <f>SUM(H344:H366)</f>
        <v>3100625</v>
      </c>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row>
    <row r="344" spans="1:32" s="96" customFormat="1" ht="51">
      <c r="A344" s="105"/>
      <c r="B344" s="778">
        <v>1</v>
      </c>
      <c r="C344" s="610" t="s">
        <v>346</v>
      </c>
      <c r="D344" s="610" t="s">
        <v>744</v>
      </c>
      <c r="E344" s="606" t="s">
        <v>295</v>
      </c>
      <c r="F344" s="751">
        <v>75</v>
      </c>
      <c r="G344" s="767">
        <v>638</v>
      </c>
      <c r="H344" s="762">
        <f t="shared" ref="H344:H366" si="16">F344*G344</f>
        <v>47850</v>
      </c>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row>
    <row r="345" spans="1:32" s="96" customFormat="1" ht="25.5">
      <c r="A345" s="105"/>
      <c r="B345" s="778">
        <f t="shared" ref="B345:B366" si="17">B344+1</f>
        <v>2</v>
      </c>
      <c r="C345" s="610" t="s">
        <v>741</v>
      </c>
      <c r="D345" s="610" t="s">
        <v>745</v>
      </c>
      <c r="E345" s="606" t="s">
        <v>295</v>
      </c>
      <c r="F345" s="751">
        <v>60</v>
      </c>
      <c r="G345" s="766">
        <v>2450</v>
      </c>
      <c r="H345" s="762">
        <f t="shared" si="16"/>
        <v>147000</v>
      </c>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row>
    <row r="346" spans="1:32" s="96" customFormat="1" ht="63.75">
      <c r="A346" s="105"/>
      <c r="B346" s="778">
        <f t="shared" si="17"/>
        <v>3</v>
      </c>
      <c r="C346" s="610" t="s">
        <v>347</v>
      </c>
      <c r="D346" s="610" t="s">
        <v>2163</v>
      </c>
      <c r="E346" s="606" t="s">
        <v>1930</v>
      </c>
      <c r="F346" s="751">
        <v>500</v>
      </c>
      <c r="G346" s="767">
        <v>605</v>
      </c>
      <c r="H346" s="762">
        <f t="shared" si="16"/>
        <v>302500</v>
      </c>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row>
    <row r="347" spans="1:32" s="96" customFormat="1" ht="38.25">
      <c r="A347" s="105"/>
      <c r="B347" s="778">
        <f t="shared" si="17"/>
        <v>4</v>
      </c>
      <c r="C347" s="610" t="s">
        <v>348</v>
      </c>
      <c r="D347" s="610" t="s">
        <v>577</v>
      </c>
      <c r="E347" s="606" t="s">
        <v>1930</v>
      </c>
      <c r="F347" s="751">
        <v>75</v>
      </c>
      <c r="G347" s="766">
        <v>1350</v>
      </c>
      <c r="H347" s="762">
        <f t="shared" si="16"/>
        <v>101250</v>
      </c>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row>
    <row r="348" spans="1:32" s="96" customFormat="1" ht="25.5">
      <c r="A348" s="105"/>
      <c r="B348" s="778">
        <f t="shared" si="17"/>
        <v>5</v>
      </c>
      <c r="C348" s="610" t="s">
        <v>348</v>
      </c>
      <c r="D348" s="610" t="s">
        <v>2164</v>
      </c>
      <c r="E348" s="606" t="s">
        <v>1930</v>
      </c>
      <c r="F348" s="751">
        <v>20</v>
      </c>
      <c r="G348" s="767">
        <v>2900</v>
      </c>
      <c r="H348" s="762">
        <f t="shared" si="16"/>
        <v>58000</v>
      </c>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row>
    <row r="349" spans="1:32" s="96" customFormat="1" ht="63.75">
      <c r="A349" s="105"/>
      <c r="B349" s="778">
        <f t="shared" si="17"/>
        <v>6</v>
      </c>
      <c r="C349" s="602" t="s">
        <v>349</v>
      </c>
      <c r="D349" s="610" t="s">
        <v>578</v>
      </c>
      <c r="E349" s="606" t="s">
        <v>1930</v>
      </c>
      <c r="F349" s="751">
        <v>15</v>
      </c>
      <c r="G349" s="766">
        <v>4900</v>
      </c>
      <c r="H349" s="762">
        <f t="shared" si="16"/>
        <v>73500</v>
      </c>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row>
    <row r="350" spans="1:32" s="96" customFormat="1" ht="25.5">
      <c r="A350" s="105"/>
      <c r="B350" s="778">
        <f t="shared" si="17"/>
        <v>7</v>
      </c>
      <c r="C350" s="610" t="s">
        <v>350</v>
      </c>
      <c r="D350" s="610" t="s">
        <v>579</v>
      </c>
      <c r="E350" s="606" t="s">
        <v>1930</v>
      </c>
      <c r="F350" s="751">
        <v>50</v>
      </c>
      <c r="G350" s="767">
        <v>495.00000000000006</v>
      </c>
      <c r="H350" s="762">
        <f t="shared" si="16"/>
        <v>24750.000000000004</v>
      </c>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row>
    <row r="351" spans="1:32" s="96" customFormat="1" ht="25.5">
      <c r="A351" s="105"/>
      <c r="B351" s="778">
        <f t="shared" si="17"/>
        <v>8</v>
      </c>
      <c r="C351" s="610" t="s">
        <v>351</v>
      </c>
      <c r="D351" s="610" t="s">
        <v>580</v>
      </c>
      <c r="E351" s="606" t="s">
        <v>1930</v>
      </c>
      <c r="F351" s="751">
        <v>500</v>
      </c>
      <c r="G351" s="767">
        <v>242.00000000000003</v>
      </c>
      <c r="H351" s="762">
        <f t="shared" si="16"/>
        <v>121000.00000000001</v>
      </c>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row>
    <row r="352" spans="1:32" s="96" customFormat="1" ht="25.5">
      <c r="A352" s="105"/>
      <c r="B352" s="778">
        <f t="shared" si="17"/>
        <v>9</v>
      </c>
      <c r="C352" s="610" t="s">
        <v>218</v>
      </c>
      <c r="D352" s="610" t="s">
        <v>581</v>
      </c>
      <c r="E352" s="606" t="s">
        <v>1930</v>
      </c>
      <c r="F352" s="751">
        <v>50</v>
      </c>
      <c r="G352" s="767">
        <v>588.5</v>
      </c>
      <c r="H352" s="762">
        <f t="shared" si="16"/>
        <v>29425</v>
      </c>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row>
    <row r="353" spans="1:32" s="96" customFormat="1" ht="153">
      <c r="A353" s="105"/>
      <c r="B353" s="778">
        <f t="shared" si="17"/>
        <v>10</v>
      </c>
      <c r="C353" s="610" t="s">
        <v>352</v>
      </c>
      <c r="D353" s="610" t="s">
        <v>746</v>
      </c>
      <c r="E353" s="606" t="s">
        <v>1930</v>
      </c>
      <c r="F353" s="751">
        <v>700</v>
      </c>
      <c r="G353" s="767">
        <v>396.00000000000006</v>
      </c>
      <c r="H353" s="762">
        <f>F353*G353</f>
        <v>277200.00000000006</v>
      </c>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row>
    <row r="354" spans="1:32" s="96" customFormat="1" ht="280.5">
      <c r="A354" s="105"/>
      <c r="B354" s="778">
        <f t="shared" si="17"/>
        <v>11</v>
      </c>
      <c r="C354" s="610" t="s">
        <v>355</v>
      </c>
      <c r="D354" s="610" t="s">
        <v>747</v>
      </c>
      <c r="E354" s="606" t="s">
        <v>1930</v>
      </c>
      <c r="F354" s="751">
        <v>2</v>
      </c>
      <c r="G354" s="766">
        <v>6900</v>
      </c>
      <c r="H354" s="762">
        <f t="shared" si="16"/>
        <v>13800</v>
      </c>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row>
    <row r="355" spans="1:32" s="96" customFormat="1" ht="102">
      <c r="A355" s="105"/>
      <c r="B355" s="778">
        <f t="shared" si="17"/>
        <v>12</v>
      </c>
      <c r="C355" s="610" t="s">
        <v>742</v>
      </c>
      <c r="D355" s="610" t="s">
        <v>748</v>
      </c>
      <c r="E355" s="606" t="s">
        <v>1930</v>
      </c>
      <c r="F355" s="751">
        <v>500</v>
      </c>
      <c r="G355" s="767">
        <v>451.00000000000006</v>
      </c>
      <c r="H355" s="762">
        <f t="shared" si="16"/>
        <v>225500.00000000003</v>
      </c>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row>
    <row r="356" spans="1:32" s="96" customFormat="1" ht="38.25">
      <c r="A356" s="105"/>
      <c r="B356" s="778">
        <f t="shared" si="17"/>
        <v>13</v>
      </c>
      <c r="C356" s="610" t="s">
        <v>356</v>
      </c>
      <c r="D356" s="610" t="s">
        <v>2165</v>
      </c>
      <c r="E356" s="606" t="s">
        <v>1930</v>
      </c>
      <c r="F356" s="751">
        <v>50</v>
      </c>
      <c r="G356" s="766">
        <v>6200</v>
      </c>
      <c r="H356" s="762">
        <f t="shared" si="16"/>
        <v>310000</v>
      </c>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row>
    <row r="357" spans="1:32" s="96" customFormat="1" ht="114.75">
      <c r="A357" s="105"/>
      <c r="B357" s="778">
        <f t="shared" si="17"/>
        <v>14</v>
      </c>
      <c r="C357" s="610" t="s">
        <v>357</v>
      </c>
      <c r="D357" s="610" t="s">
        <v>749</v>
      </c>
      <c r="E357" s="606" t="s">
        <v>1930</v>
      </c>
      <c r="F357" s="751">
        <v>150</v>
      </c>
      <c r="G357" s="766">
        <v>1150</v>
      </c>
      <c r="H357" s="762">
        <f t="shared" si="16"/>
        <v>172500</v>
      </c>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row>
    <row r="358" spans="1:32" s="96" customFormat="1" ht="102">
      <c r="A358" s="105"/>
      <c r="B358" s="778">
        <f t="shared" si="17"/>
        <v>15</v>
      </c>
      <c r="C358" s="786" t="s">
        <v>777</v>
      </c>
      <c r="D358" s="610" t="s">
        <v>750</v>
      </c>
      <c r="E358" s="606" t="s">
        <v>1930</v>
      </c>
      <c r="F358" s="751">
        <v>120</v>
      </c>
      <c r="G358" s="766">
        <v>1300</v>
      </c>
      <c r="H358" s="762">
        <f t="shared" si="16"/>
        <v>156000</v>
      </c>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row>
    <row r="359" spans="1:32" s="96" customFormat="1" ht="102">
      <c r="A359" s="105"/>
      <c r="B359" s="778">
        <f t="shared" si="17"/>
        <v>16</v>
      </c>
      <c r="C359" s="786" t="s">
        <v>778</v>
      </c>
      <c r="D359" s="610" t="s">
        <v>779</v>
      </c>
      <c r="E359" s="606" t="s">
        <v>1930</v>
      </c>
      <c r="F359" s="751">
        <v>120</v>
      </c>
      <c r="G359" s="766">
        <v>1480</v>
      </c>
      <c r="H359" s="762">
        <f t="shared" si="16"/>
        <v>177600</v>
      </c>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row>
    <row r="360" spans="1:32" s="96" customFormat="1" ht="89.25">
      <c r="A360" s="105"/>
      <c r="B360" s="778">
        <f t="shared" si="17"/>
        <v>17</v>
      </c>
      <c r="C360" s="786" t="s">
        <v>780</v>
      </c>
      <c r="D360" s="787" t="s">
        <v>781</v>
      </c>
      <c r="E360" s="606" t="s">
        <v>1930</v>
      </c>
      <c r="F360" s="751">
        <v>120</v>
      </c>
      <c r="G360" s="766">
        <v>1165</v>
      </c>
      <c r="H360" s="762">
        <f t="shared" si="16"/>
        <v>139800</v>
      </c>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row>
    <row r="361" spans="1:32" s="96" customFormat="1" ht="76.5">
      <c r="A361" s="105"/>
      <c r="B361" s="778">
        <f t="shared" si="17"/>
        <v>18</v>
      </c>
      <c r="C361" s="610" t="s">
        <v>358</v>
      </c>
      <c r="D361" s="610" t="s">
        <v>751</v>
      </c>
      <c r="E361" s="606" t="s">
        <v>694</v>
      </c>
      <c r="F361" s="751">
        <v>500</v>
      </c>
      <c r="G361" s="767">
        <v>825.00000000000011</v>
      </c>
      <c r="H361" s="762">
        <f t="shared" si="16"/>
        <v>412500.00000000006</v>
      </c>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row>
    <row r="362" spans="1:32" s="96" customFormat="1" ht="25.5">
      <c r="A362" s="105"/>
      <c r="B362" s="778">
        <f t="shared" si="17"/>
        <v>19</v>
      </c>
      <c r="C362" s="610" t="s">
        <v>359</v>
      </c>
      <c r="D362" s="610" t="s">
        <v>752</v>
      </c>
      <c r="E362" s="606" t="s">
        <v>694</v>
      </c>
      <c r="F362" s="751">
        <v>3</v>
      </c>
      <c r="G362" s="766">
        <v>30100</v>
      </c>
      <c r="H362" s="762">
        <f t="shared" si="16"/>
        <v>90300</v>
      </c>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row>
    <row r="363" spans="1:32" s="96" customFormat="1" ht="38.25">
      <c r="A363" s="105"/>
      <c r="B363" s="778">
        <f t="shared" si="17"/>
        <v>20</v>
      </c>
      <c r="C363" s="610" t="s">
        <v>743</v>
      </c>
      <c r="D363" s="787" t="s">
        <v>753</v>
      </c>
      <c r="E363" s="606" t="s">
        <v>694</v>
      </c>
      <c r="F363" s="751">
        <v>3</v>
      </c>
      <c r="G363" s="766">
        <v>31100</v>
      </c>
      <c r="H363" s="762">
        <f t="shared" si="16"/>
        <v>93300</v>
      </c>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row>
    <row r="364" spans="1:32" s="96" customFormat="1" ht="38.25">
      <c r="A364" s="105"/>
      <c r="B364" s="778">
        <f t="shared" si="17"/>
        <v>21</v>
      </c>
      <c r="C364" s="610" t="s">
        <v>360</v>
      </c>
      <c r="D364" s="610" t="s">
        <v>583</v>
      </c>
      <c r="E364" s="606" t="s">
        <v>1930</v>
      </c>
      <c r="F364" s="751">
        <v>150</v>
      </c>
      <c r="G364" s="767">
        <v>319</v>
      </c>
      <c r="H364" s="762">
        <f t="shared" si="16"/>
        <v>47850</v>
      </c>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row>
    <row r="365" spans="1:32" s="96" customFormat="1" ht="76.5">
      <c r="A365" s="105"/>
      <c r="B365" s="778">
        <f t="shared" si="17"/>
        <v>22</v>
      </c>
      <c r="C365" s="602" t="s">
        <v>349</v>
      </c>
      <c r="D365" s="788" t="s">
        <v>754</v>
      </c>
      <c r="E365" s="606" t="s">
        <v>1930</v>
      </c>
      <c r="F365" s="751">
        <v>15</v>
      </c>
      <c r="G365" s="766">
        <v>4300</v>
      </c>
      <c r="H365" s="762">
        <f t="shared" si="16"/>
        <v>64500</v>
      </c>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row>
    <row r="366" spans="1:32" s="96" customFormat="1" ht="89.25">
      <c r="A366" s="105"/>
      <c r="B366" s="778">
        <f t="shared" si="17"/>
        <v>23</v>
      </c>
      <c r="C366" s="610" t="s">
        <v>2166</v>
      </c>
      <c r="D366" s="610" t="s">
        <v>2167</v>
      </c>
      <c r="E366" s="606" t="s">
        <v>1930</v>
      </c>
      <c r="F366" s="751">
        <v>10</v>
      </c>
      <c r="G366" s="766">
        <v>1450</v>
      </c>
      <c r="H366" s="762">
        <f t="shared" si="16"/>
        <v>14500</v>
      </c>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row>
    <row r="367" spans="1:32" s="96" customFormat="1" ht="15">
      <c r="A367" s="105"/>
      <c r="B367" s="1380" t="s">
        <v>1817</v>
      </c>
      <c r="C367" s="1380"/>
      <c r="D367" s="1380"/>
      <c r="E367" s="1380"/>
      <c r="F367" s="1380"/>
      <c r="G367" s="1380"/>
      <c r="H367" s="1380"/>
      <c r="I367" s="106"/>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row>
    <row r="368" spans="1:32" s="96" customFormat="1" ht="38.25">
      <c r="A368" s="105"/>
      <c r="B368" s="625" t="s">
        <v>84</v>
      </c>
      <c r="C368" s="656" t="s">
        <v>0</v>
      </c>
      <c r="D368" s="625" t="s">
        <v>90</v>
      </c>
      <c r="E368" s="625" t="s">
        <v>85</v>
      </c>
      <c r="F368" s="625" t="s">
        <v>32</v>
      </c>
      <c r="G368" s="625" t="s">
        <v>86</v>
      </c>
      <c r="H368" s="625" t="s">
        <v>87</v>
      </c>
      <c r="I368" s="106"/>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row>
    <row r="369" spans="1:33" s="96" customFormat="1" ht="15">
      <c r="A369" s="105"/>
      <c r="B369" s="612"/>
      <c r="C369" s="616">
        <v>1</v>
      </c>
      <c r="D369" s="606">
        <v>2</v>
      </c>
      <c r="E369" s="606">
        <v>3</v>
      </c>
      <c r="F369" s="606">
        <v>4</v>
      </c>
      <c r="G369" s="606">
        <v>5</v>
      </c>
      <c r="H369" s="619">
        <v>6</v>
      </c>
      <c r="I369" s="106"/>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row>
    <row r="370" spans="1:33" s="96" customFormat="1" ht="15">
      <c r="A370" s="105"/>
      <c r="B370" s="713"/>
      <c r="C370" s="1382" t="s">
        <v>1818</v>
      </c>
      <c r="D370" s="1382"/>
      <c r="E370" s="1383"/>
      <c r="F370" s="1383"/>
      <c r="G370" s="1383"/>
      <c r="H370" s="624">
        <f>SUM(H371:H374)</f>
        <v>2900000</v>
      </c>
      <c r="I370" s="60"/>
      <c r="J370" s="308"/>
      <c r="K370" s="60"/>
      <c r="L370" s="60"/>
      <c r="M370" s="60"/>
      <c r="N370" s="60"/>
      <c r="O370" s="60"/>
      <c r="P370" s="60"/>
      <c r="Q370" s="60"/>
      <c r="R370" s="60"/>
      <c r="S370" s="60"/>
      <c r="T370" s="60"/>
      <c r="U370" s="60"/>
      <c r="V370" s="60"/>
      <c r="W370" s="60"/>
      <c r="X370" s="60"/>
      <c r="Y370" s="60"/>
      <c r="Z370" s="60"/>
      <c r="AA370" s="60"/>
      <c r="AB370" s="60"/>
      <c r="AC370" s="60"/>
      <c r="AD370" s="60"/>
      <c r="AE370" s="60"/>
      <c r="AF370" s="60"/>
    </row>
    <row r="371" spans="1:33" s="96" customFormat="1" ht="76.5">
      <c r="A371" s="105"/>
      <c r="B371" s="688">
        <v>1</v>
      </c>
      <c r="C371" s="602" t="s">
        <v>1819</v>
      </c>
      <c r="D371" s="657" t="s">
        <v>1820</v>
      </c>
      <c r="E371" s="789" t="s">
        <v>33</v>
      </c>
      <c r="F371" s="688">
        <v>100</v>
      </c>
      <c r="G371" s="643">
        <v>7100</v>
      </c>
      <c r="H371" s="790">
        <f>G371*F371</f>
        <v>710000</v>
      </c>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row>
    <row r="372" spans="1:33" s="96" customFormat="1" ht="38.25">
      <c r="A372" s="105"/>
      <c r="B372" s="688">
        <v>2</v>
      </c>
      <c r="C372" s="658" t="s">
        <v>2168</v>
      </c>
      <c r="D372" s="602" t="s">
        <v>2169</v>
      </c>
      <c r="E372" s="789" t="s">
        <v>33</v>
      </c>
      <c r="F372" s="688">
        <v>150</v>
      </c>
      <c r="G372" s="643">
        <v>4200</v>
      </c>
      <c r="H372" s="790">
        <f t="shared" ref="H372:H374" si="18">G372*F372</f>
        <v>630000</v>
      </c>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row>
    <row r="373" spans="1:33" s="96" customFormat="1" ht="63.75">
      <c r="A373" s="105"/>
      <c r="B373" s="688">
        <v>3</v>
      </c>
      <c r="C373" s="658" t="s">
        <v>1821</v>
      </c>
      <c r="D373" s="602" t="s">
        <v>1822</v>
      </c>
      <c r="E373" s="789" t="s">
        <v>33</v>
      </c>
      <c r="F373" s="688">
        <v>150</v>
      </c>
      <c r="G373" s="643">
        <v>3200</v>
      </c>
      <c r="H373" s="790">
        <f t="shared" si="18"/>
        <v>480000</v>
      </c>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row>
    <row r="374" spans="1:33" s="96" customFormat="1" ht="63.75">
      <c r="A374" s="105"/>
      <c r="B374" s="688">
        <v>4</v>
      </c>
      <c r="C374" s="658" t="s">
        <v>1823</v>
      </c>
      <c r="D374" s="602" t="s">
        <v>1824</v>
      </c>
      <c r="E374" s="789" t="s">
        <v>33</v>
      </c>
      <c r="F374" s="688">
        <v>150</v>
      </c>
      <c r="G374" s="643">
        <v>7200</v>
      </c>
      <c r="H374" s="790">
        <f t="shared" si="18"/>
        <v>1080000</v>
      </c>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row>
    <row r="375" spans="1:33" s="43" customFormat="1" ht="15">
      <c r="A375" s="1449" t="s">
        <v>755</v>
      </c>
      <c r="B375" s="1449"/>
      <c r="C375" s="1449"/>
      <c r="D375" s="1449"/>
      <c r="E375" s="1449"/>
      <c r="F375" s="1449"/>
      <c r="G375" s="1449"/>
      <c r="H375" s="1449"/>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row>
    <row r="376" spans="1:33" s="43" customFormat="1" ht="38.25">
      <c r="A376" s="105"/>
      <c r="B376" s="625" t="s">
        <v>84</v>
      </c>
      <c r="C376" s="656" t="s">
        <v>0</v>
      </c>
      <c r="D376" s="625" t="s">
        <v>90</v>
      </c>
      <c r="E376" s="625" t="s">
        <v>85</v>
      </c>
      <c r="F376" s="625" t="s">
        <v>32</v>
      </c>
      <c r="G376" s="625" t="s">
        <v>86</v>
      </c>
      <c r="H376" s="625" t="s">
        <v>87</v>
      </c>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row>
    <row r="377" spans="1:33" s="60" customFormat="1" ht="15">
      <c r="A377" s="105"/>
      <c r="B377" s="612"/>
      <c r="C377" s="616">
        <v>1</v>
      </c>
      <c r="D377" s="606">
        <v>2</v>
      </c>
      <c r="E377" s="606">
        <v>3</v>
      </c>
      <c r="F377" s="606">
        <v>4</v>
      </c>
      <c r="G377" s="606">
        <v>5</v>
      </c>
      <c r="H377" s="619">
        <v>6</v>
      </c>
    </row>
    <row r="378" spans="1:33" s="60" customFormat="1" ht="15">
      <c r="A378" s="105"/>
      <c r="B378" s="627"/>
      <c r="C378" s="627" t="s">
        <v>88</v>
      </c>
      <c r="D378" s="791"/>
      <c r="E378" s="792"/>
      <c r="F378" s="793"/>
      <c r="G378" s="794"/>
      <c r="H378" s="663"/>
    </row>
    <row r="379" spans="1:33" s="101" customFormat="1" ht="25.5">
      <c r="A379" s="105"/>
      <c r="B379" s="616">
        <v>1</v>
      </c>
      <c r="C379" s="604" t="s">
        <v>2170</v>
      </c>
      <c r="D379" s="602" t="s">
        <v>2171</v>
      </c>
      <c r="E379" s="596" t="s">
        <v>1930</v>
      </c>
      <c r="F379" s="596">
        <v>5</v>
      </c>
      <c r="G379" s="643">
        <v>584.1</v>
      </c>
      <c r="H379" s="790">
        <f>F379*G379</f>
        <v>2920.5</v>
      </c>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row>
    <row r="380" spans="1:33" s="101" customFormat="1" ht="25.5">
      <c r="A380" s="105"/>
      <c r="B380" s="616">
        <f>B379+1</f>
        <v>2</v>
      </c>
      <c r="C380" s="604" t="s">
        <v>294</v>
      </c>
      <c r="D380" s="602" t="s">
        <v>2172</v>
      </c>
      <c r="E380" s="596" t="s">
        <v>302</v>
      </c>
      <c r="F380" s="606">
        <v>250</v>
      </c>
      <c r="G380" s="764">
        <v>2600</v>
      </c>
      <c r="H380" s="790">
        <f t="shared" ref="H380:H443" si="19">F380*G380</f>
        <v>650000</v>
      </c>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row>
    <row r="381" spans="1:33" s="101" customFormat="1" ht="15">
      <c r="A381" s="105"/>
      <c r="B381" s="616">
        <f t="shared" ref="B381:B444" si="20">B380+1</f>
        <v>3</v>
      </c>
      <c r="C381" s="604" t="s">
        <v>2173</v>
      </c>
      <c r="D381" s="602" t="s">
        <v>2173</v>
      </c>
      <c r="E381" s="596" t="s">
        <v>302</v>
      </c>
      <c r="F381" s="606">
        <v>3</v>
      </c>
      <c r="G381" s="764">
        <v>3100</v>
      </c>
      <c r="H381" s="790">
        <f t="shared" si="19"/>
        <v>9300</v>
      </c>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row>
    <row r="382" spans="1:33" s="101" customFormat="1" ht="25.5">
      <c r="A382" s="105"/>
      <c r="B382" s="616">
        <f t="shared" si="20"/>
        <v>4</v>
      </c>
      <c r="C382" s="604" t="s">
        <v>2174</v>
      </c>
      <c r="D382" s="602" t="s">
        <v>2175</v>
      </c>
      <c r="E382" s="596" t="s">
        <v>302</v>
      </c>
      <c r="F382" s="596">
        <v>25</v>
      </c>
      <c r="G382" s="643">
        <v>660</v>
      </c>
      <c r="H382" s="790">
        <f>F382*G382</f>
        <v>16500</v>
      </c>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row>
    <row r="383" spans="1:33" s="101" customFormat="1" ht="15">
      <c r="A383" s="105"/>
      <c r="B383" s="616">
        <f t="shared" si="20"/>
        <v>5</v>
      </c>
      <c r="C383" s="604" t="s">
        <v>2176</v>
      </c>
      <c r="D383" s="602" t="s">
        <v>2177</v>
      </c>
      <c r="E383" s="596" t="s">
        <v>1930</v>
      </c>
      <c r="F383" s="596">
        <v>10</v>
      </c>
      <c r="G383" s="764">
        <v>1180</v>
      </c>
      <c r="H383" s="790">
        <f t="shared" si="19"/>
        <v>11800</v>
      </c>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row>
    <row r="384" spans="1:33" s="101" customFormat="1" ht="15">
      <c r="A384" s="105"/>
      <c r="B384" s="616">
        <f t="shared" si="20"/>
        <v>6</v>
      </c>
      <c r="C384" s="604" t="s">
        <v>2178</v>
      </c>
      <c r="D384" s="602" t="s">
        <v>2179</v>
      </c>
      <c r="E384" s="596" t="s">
        <v>1930</v>
      </c>
      <c r="F384" s="596">
        <v>5</v>
      </c>
      <c r="G384" s="764">
        <v>1117</v>
      </c>
      <c r="H384" s="790">
        <f t="shared" si="19"/>
        <v>5585</v>
      </c>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row>
    <row r="385" spans="1:32" s="101" customFormat="1" ht="15">
      <c r="A385" s="105"/>
      <c r="B385" s="616">
        <f t="shared" si="20"/>
        <v>7</v>
      </c>
      <c r="C385" s="604" t="s">
        <v>2180</v>
      </c>
      <c r="D385" s="602" t="s">
        <v>2181</v>
      </c>
      <c r="E385" s="596" t="s">
        <v>1930</v>
      </c>
      <c r="F385" s="596">
        <v>5</v>
      </c>
      <c r="G385" s="764">
        <v>1306</v>
      </c>
      <c r="H385" s="790">
        <f t="shared" si="19"/>
        <v>6530</v>
      </c>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row>
    <row r="386" spans="1:32" s="101" customFormat="1" ht="25.5">
      <c r="A386" s="105"/>
      <c r="B386" s="616">
        <f t="shared" si="20"/>
        <v>8</v>
      </c>
      <c r="C386" s="604" t="s">
        <v>2176</v>
      </c>
      <c r="D386" s="602" t="s">
        <v>2182</v>
      </c>
      <c r="E386" s="596" t="s">
        <v>1930</v>
      </c>
      <c r="F386" s="596">
        <v>5</v>
      </c>
      <c r="G386" s="764">
        <v>1261</v>
      </c>
      <c r="H386" s="790">
        <f t="shared" si="19"/>
        <v>6305</v>
      </c>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row>
    <row r="387" spans="1:32" s="101" customFormat="1" ht="38.25">
      <c r="A387" s="105"/>
      <c r="B387" s="616">
        <f t="shared" si="20"/>
        <v>9</v>
      </c>
      <c r="C387" s="604" t="s">
        <v>2183</v>
      </c>
      <c r="D387" s="602" t="s">
        <v>2184</v>
      </c>
      <c r="E387" s="596" t="s">
        <v>1930</v>
      </c>
      <c r="F387" s="596">
        <v>10</v>
      </c>
      <c r="G387" s="643">
        <v>396.00000000000006</v>
      </c>
      <c r="H387" s="790">
        <f t="shared" si="19"/>
        <v>3960.0000000000005</v>
      </c>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row>
    <row r="388" spans="1:32" s="101" customFormat="1" ht="15">
      <c r="A388" s="105"/>
      <c r="B388" s="616">
        <f t="shared" si="20"/>
        <v>10</v>
      </c>
      <c r="C388" s="613" t="s">
        <v>2185</v>
      </c>
      <c r="D388" s="610" t="s">
        <v>2186</v>
      </c>
      <c r="E388" s="606" t="s">
        <v>295</v>
      </c>
      <c r="F388" s="606">
        <v>2</v>
      </c>
      <c r="G388" s="751">
        <v>352</v>
      </c>
      <c r="H388" s="795">
        <f t="shared" si="19"/>
        <v>704</v>
      </c>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row>
    <row r="389" spans="1:32" s="101" customFormat="1" ht="15">
      <c r="A389" s="105"/>
      <c r="B389" s="616">
        <f t="shared" si="20"/>
        <v>11</v>
      </c>
      <c r="C389" s="613" t="s">
        <v>2185</v>
      </c>
      <c r="D389" s="610" t="s">
        <v>2187</v>
      </c>
      <c r="E389" s="606" t="s">
        <v>295</v>
      </c>
      <c r="F389" s="606">
        <v>10</v>
      </c>
      <c r="G389" s="751">
        <v>528</v>
      </c>
      <c r="H389" s="795">
        <f t="shared" si="19"/>
        <v>5280</v>
      </c>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row>
    <row r="390" spans="1:32" s="101" customFormat="1" ht="15">
      <c r="A390" s="105"/>
      <c r="B390" s="616">
        <f t="shared" si="20"/>
        <v>12</v>
      </c>
      <c r="C390" s="613" t="s">
        <v>2185</v>
      </c>
      <c r="D390" s="610" t="s">
        <v>2188</v>
      </c>
      <c r="E390" s="606" t="s">
        <v>295</v>
      </c>
      <c r="F390" s="606">
        <v>10</v>
      </c>
      <c r="G390" s="751">
        <v>792.00000000000011</v>
      </c>
      <c r="H390" s="795">
        <f t="shared" si="19"/>
        <v>7920.0000000000009</v>
      </c>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row>
    <row r="391" spans="1:32" s="101" customFormat="1" ht="63.75">
      <c r="A391" s="105"/>
      <c r="B391" s="616">
        <f t="shared" si="20"/>
        <v>13</v>
      </c>
      <c r="C391" s="613" t="s">
        <v>296</v>
      </c>
      <c r="D391" s="610" t="s">
        <v>584</v>
      </c>
      <c r="E391" s="606" t="s">
        <v>1930</v>
      </c>
      <c r="F391" s="606">
        <v>20</v>
      </c>
      <c r="G391" s="751">
        <v>336.6</v>
      </c>
      <c r="H391" s="795">
        <f t="shared" si="19"/>
        <v>6732</v>
      </c>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row>
    <row r="392" spans="1:32" s="101" customFormat="1" ht="15">
      <c r="A392" s="105"/>
      <c r="B392" s="616">
        <f t="shared" si="20"/>
        <v>14</v>
      </c>
      <c r="C392" s="604" t="s">
        <v>2189</v>
      </c>
      <c r="D392" s="602" t="s">
        <v>2190</v>
      </c>
      <c r="E392" s="596" t="s">
        <v>1930</v>
      </c>
      <c r="F392" s="606">
        <v>20</v>
      </c>
      <c r="G392" s="643">
        <v>49.500000000000007</v>
      </c>
      <c r="H392" s="790">
        <f t="shared" si="19"/>
        <v>990.00000000000011</v>
      </c>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row>
    <row r="393" spans="1:32" s="101" customFormat="1" ht="38.25">
      <c r="A393" s="105"/>
      <c r="B393" s="616">
        <f t="shared" si="20"/>
        <v>15</v>
      </c>
      <c r="C393" s="604" t="s">
        <v>2191</v>
      </c>
      <c r="D393" s="602" t="s">
        <v>2192</v>
      </c>
      <c r="E393" s="596" t="s">
        <v>1930</v>
      </c>
      <c r="F393" s="606">
        <v>20</v>
      </c>
      <c r="G393" s="643">
        <v>825.00000000000011</v>
      </c>
      <c r="H393" s="790">
        <f t="shared" si="19"/>
        <v>16500.000000000004</v>
      </c>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row>
    <row r="394" spans="1:32" s="101" customFormat="1" ht="15">
      <c r="A394" s="105"/>
      <c r="B394" s="616">
        <f t="shared" si="20"/>
        <v>16</v>
      </c>
      <c r="C394" s="613" t="s">
        <v>2193</v>
      </c>
      <c r="D394" s="602" t="s">
        <v>2194</v>
      </c>
      <c r="E394" s="596" t="s">
        <v>1930</v>
      </c>
      <c r="F394" s="606">
        <v>20</v>
      </c>
      <c r="G394" s="643">
        <v>1045</v>
      </c>
      <c r="H394" s="790">
        <f t="shared" si="19"/>
        <v>20900</v>
      </c>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row>
    <row r="395" spans="1:32" s="101" customFormat="1" ht="25.5">
      <c r="A395" s="105"/>
      <c r="B395" s="616">
        <f t="shared" si="20"/>
        <v>17</v>
      </c>
      <c r="C395" s="604" t="s">
        <v>2195</v>
      </c>
      <c r="D395" s="602" t="s">
        <v>2196</v>
      </c>
      <c r="E395" s="596" t="s">
        <v>1930</v>
      </c>
      <c r="F395" s="606">
        <v>20</v>
      </c>
      <c r="G395" s="764">
        <v>2710</v>
      </c>
      <c r="H395" s="790">
        <f t="shared" si="19"/>
        <v>54200</v>
      </c>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row>
    <row r="396" spans="1:32" s="101" customFormat="1" ht="102">
      <c r="A396" s="105"/>
      <c r="B396" s="616">
        <f t="shared" si="20"/>
        <v>18</v>
      </c>
      <c r="C396" s="604" t="s">
        <v>2197</v>
      </c>
      <c r="D396" s="602" t="s">
        <v>2198</v>
      </c>
      <c r="E396" s="596" t="s">
        <v>1930</v>
      </c>
      <c r="F396" s="596">
        <v>15</v>
      </c>
      <c r="G396" s="764">
        <v>2100</v>
      </c>
      <c r="H396" s="790">
        <f t="shared" si="19"/>
        <v>31500</v>
      </c>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row>
    <row r="397" spans="1:32" s="101" customFormat="1" ht="63.75">
      <c r="A397" s="105"/>
      <c r="B397" s="616">
        <f t="shared" si="20"/>
        <v>19</v>
      </c>
      <c r="C397" s="604" t="s">
        <v>2199</v>
      </c>
      <c r="D397" s="602" t="s">
        <v>2200</v>
      </c>
      <c r="E397" s="596" t="s">
        <v>1930</v>
      </c>
      <c r="F397" s="606">
        <v>10</v>
      </c>
      <c r="G397" s="764">
        <v>5100</v>
      </c>
      <c r="H397" s="790">
        <f t="shared" si="19"/>
        <v>51000</v>
      </c>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row>
    <row r="398" spans="1:32" s="101" customFormat="1" ht="15">
      <c r="A398" s="105"/>
      <c r="B398" s="616">
        <f t="shared" si="20"/>
        <v>20</v>
      </c>
      <c r="C398" s="604" t="s">
        <v>2201</v>
      </c>
      <c r="D398" s="602" t="s">
        <v>2202</v>
      </c>
      <c r="E398" s="596" t="s">
        <v>1930</v>
      </c>
      <c r="F398" s="596">
        <v>10</v>
      </c>
      <c r="G398" s="643">
        <v>495.00000000000006</v>
      </c>
      <c r="H398" s="790">
        <f t="shared" si="19"/>
        <v>4950.0000000000009</v>
      </c>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row>
    <row r="399" spans="1:32" s="101" customFormat="1" ht="25.5">
      <c r="A399" s="105"/>
      <c r="B399" s="616">
        <f t="shared" si="20"/>
        <v>21</v>
      </c>
      <c r="C399" s="604" t="s">
        <v>2203</v>
      </c>
      <c r="D399" s="602" t="s">
        <v>2204</v>
      </c>
      <c r="E399" s="596" t="s">
        <v>1930</v>
      </c>
      <c r="F399" s="596">
        <v>10</v>
      </c>
      <c r="G399" s="643">
        <v>514.80000000000007</v>
      </c>
      <c r="H399" s="790">
        <f t="shared" si="19"/>
        <v>5148.0000000000009</v>
      </c>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row>
    <row r="400" spans="1:32" s="101" customFormat="1" ht="15">
      <c r="A400" s="105"/>
      <c r="B400" s="616">
        <f t="shared" si="20"/>
        <v>22</v>
      </c>
      <c r="C400" s="604" t="s">
        <v>2205</v>
      </c>
      <c r="D400" s="602" t="s">
        <v>2206</v>
      </c>
      <c r="E400" s="596" t="s">
        <v>1930</v>
      </c>
      <c r="F400" s="596">
        <v>3</v>
      </c>
      <c r="G400" s="764">
        <v>1360</v>
      </c>
      <c r="H400" s="790">
        <f t="shared" si="19"/>
        <v>4080</v>
      </c>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row>
    <row r="401" spans="1:32" s="101" customFormat="1" ht="25.5">
      <c r="A401" s="105"/>
      <c r="B401" s="616">
        <f t="shared" si="20"/>
        <v>23</v>
      </c>
      <c r="C401" s="604" t="s">
        <v>2207</v>
      </c>
      <c r="D401" s="602" t="s">
        <v>2208</v>
      </c>
      <c r="E401" s="596" t="s">
        <v>1930</v>
      </c>
      <c r="F401" s="596">
        <v>5</v>
      </c>
      <c r="G401" s="643">
        <v>564.30000000000007</v>
      </c>
      <c r="H401" s="790">
        <f t="shared" si="19"/>
        <v>2821.5000000000005</v>
      </c>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row>
    <row r="402" spans="1:32" s="101" customFormat="1" ht="25.5">
      <c r="A402" s="105"/>
      <c r="B402" s="616">
        <f t="shared" si="20"/>
        <v>24</v>
      </c>
      <c r="C402" s="604" t="s">
        <v>2209</v>
      </c>
      <c r="D402" s="602" t="s">
        <v>2210</v>
      </c>
      <c r="E402" s="596" t="s">
        <v>1930</v>
      </c>
      <c r="F402" s="596">
        <v>1</v>
      </c>
      <c r="G402" s="764">
        <v>6130</v>
      </c>
      <c r="H402" s="790">
        <f t="shared" si="19"/>
        <v>6130</v>
      </c>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row>
    <row r="403" spans="1:32" s="101" customFormat="1" ht="76.5">
      <c r="A403" s="105"/>
      <c r="B403" s="616">
        <f t="shared" si="20"/>
        <v>25</v>
      </c>
      <c r="C403" s="604" t="s">
        <v>2211</v>
      </c>
      <c r="D403" s="602" t="s">
        <v>2212</v>
      </c>
      <c r="E403" s="596" t="s">
        <v>1930</v>
      </c>
      <c r="F403" s="596">
        <v>20</v>
      </c>
      <c r="G403" s="643">
        <v>356.40000000000003</v>
      </c>
      <c r="H403" s="790">
        <f t="shared" si="19"/>
        <v>7128.0000000000009</v>
      </c>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row>
    <row r="404" spans="1:32" s="101" customFormat="1" ht="25.5">
      <c r="A404" s="105"/>
      <c r="B404" s="616">
        <f t="shared" si="20"/>
        <v>26</v>
      </c>
      <c r="C404" s="613" t="s">
        <v>2213</v>
      </c>
      <c r="D404" s="602" t="s">
        <v>2214</v>
      </c>
      <c r="E404" s="596" t="s">
        <v>295</v>
      </c>
      <c r="F404" s="596">
        <v>10</v>
      </c>
      <c r="G404" s="643">
        <v>455.40000000000003</v>
      </c>
      <c r="H404" s="790">
        <f t="shared" si="19"/>
        <v>4554</v>
      </c>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row>
    <row r="405" spans="1:32" s="101" customFormat="1" ht="38.25">
      <c r="A405" s="105"/>
      <c r="B405" s="616">
        <f t="shared" si="20"/>
        <v>27</v>
      </c>
      <c r="C405" s="604" t="s">
        <v>297</v>
      </c>
      <c r="D405" s="602" t="s">
        <v>585</v>
      </c>
      <c r="E405" s="596" t="s">
        <v>1930</v>
      </c>
      <c r="F405" s="596">
        <v>20</v>
      </c>
      <c r="G405" s="643">
        <v>178.20000000000002</v>
      </c>
      <c r="H405" s="790">
        <f t="shared" si="19"/>
        <v>3564.0000000000005</v>
      </c>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row>
    <row r="406" spans="1:32" s="101" customFormat="1" ht="38.25">
      <c r="A406" s="105"/>
      <c r="B406" s="616">
        <f t="shared" si="20"/>
        <v>28</v>
      </c>
      <c r="C406" s="604" t="s">
        <v>298</v>
      </c>
      <c r="D406" s="602" t="s">
        <v>586</v>
      </c>
      <c r="E406" s="596" t="s">
        <v>1930</v>
      </c>
      <c r="F406" s="596">
        <v>20</v>
      </c>
      <c r="G406" s="643">
        <v>277.20000000000005</v>
      </c>
      <c r="H406" s="790">
        <f t="shared" si="19"/>
        <v>5544.0000000000009</v>
      </c>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row>
    <row r="407" spans="1:32" s="101" customFormat="1" ht="38.25">
      <c r="A407" s="105"/>
      <c r="B407" s="616">
        <f t="shared" si="20"/>
        <v>29</v>
      </c>
      <c r="C407" s="604" t="s">
        <v>2215</v>
      </c>
      <c r="D407" s="602" t="s">
        <v>2216</v>
      </c>
      <c r="E407" s="596" t="s">
        <v>1930</v>
      </c>
      <c r="F407" s="606">
        <v>20</v>
      </c>
      <c r="G407" s="764">
        <v>2300</v>
      </c>
      <c r="H407" s="790">
        <f t="shared" si="19"/>
        <v>46000</v>
      </c>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row>
    <row r="408" spans="1:32" s="101" customFormat="1" ht="76.5">
      <c r="A408" s="105"/>
      <c r="B408" s="616">
        <f t="shared" si="20"/>
        <v>30</v>
      </c>
      <c r="C408" s="604" t="s">
        <v>2217</v>
      </c>
      <c r="D408" s="602" t="s">
        <v>2218</v>
      </c>
      <c r="E408" s="596" t="s">
        <v>295</v>
      </c>
      <c r="F408" s="596">
        <v>30</v>
      </c>
      <c r="G408" s="764">
        <v>1300</v>
      </c>
      <c r="H408" s="790">
        <f t="shared" si="19"/>
        <v>39000</v>
      </c>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row>
    <row r="409" spans="1:32" s="101" customFormat="1" ht="25.5">
      <c r="A409" s="105"/>
      <c r="B409" s="616">
        <f t="shared" si="20"/>
        <v>31</v>
      </c>
      <c r="C409" s="604" t="s">
        <v>299</v>
      </c>
      <c r="D409" s="602" t="s">
        <v>2219</v>
      </c>
      <c r="E409" s="596" t="s">
        <v>1930</v>
      </c>
      <c r="F409" s="596">
        <v>30</v>
      </c>
      <c r="G409" s="643">
        <v>1100</v>
      </c>
      <c r="H409" s="790">
        <f t="shared" si="19"/>
        <v>33000</v>
      </c>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row>
    <row r="410" spans="1:32" s="101" customFormat="1" ht="25.5">
      <c r="A410" s="105"/>
      <c r="B410" s="616">
        <f t="shared" si="20"/>
        <v>32</v>
      </c>
      <c r="C410" s="604" t="s">
        <v>300</v>
      </c>
      <c r="D410" s="602" t="s">
        <v>605</v>
      </c>
      <c r="E410" s="596" t="s">
        <v>295</v>
      </c>
      <c r="F410" s="596">
        <v>25</v>
      </c>
      <c r="G410" s="643">
        <v>1100</v>
      </c>
      <c r="H410" s="790">
        <f t="shared" si="19"/>
        <v>27500</v>
      </c>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row>
    <row r="411" spans="1:32" s="101" customFormat="1" ht="25.5">
      <c r="A411" s="105"/>
      <c r="B411" s="616">
        <f t="shared" si="20"/>
        <v>33</v>
      </c>
      <c r="C411" s="604" t="s">
        <v>2220</v>
      </c>
      <c r="D411" s="602" t="s">
        <v>2221</v>
      </c>
      <c r="E411" s="596" t="s">
        <v>295</v>
      </c>
      <c r="F411" s="596">
        <v>25</v>
      </c>
      <c r="G411" s="764">
        <v>1630</v>
      </c>
      <c r="H411" s="790">
        <f t="shared" si="19"/>
        <v>40750</v>
      </c>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row>
    <row r="412" spans="1:32" s="101" customFormat="1" ht="25.5">
      <c r="A412" s="105"/>
      <c r="B412" s="616">
        <f t="shared" si="20"/>
        <v>34</v>
      </c>
      <c r="C412" s="604" t="s">
        <v>2222</v>
      </c>
      <c r="D412" s="602" t="s">
        <v>2223</v>
      </c>
      <c r="E412" s="596" t="s">
        <v>1930</v>
      </c>
      <c r="F412" s="606">
        <v>25</v>
      </c>
      <c r="G412" s="764">
        <v>1630</v>
      </c>
      <c r="H412" s="790">
        <f t="shared" si="19"/>
        <v>40750</v>
      </c>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row>
    <row r="413" spans="1:32" s="101" customFormat="1" ht="25.5">
      <c r="A413" s="105"/>
      <c r="B413" s="616">
        <f t="shared" si="20"/>
        <v>35</v>
      </c>
      <c r="C413" s="604" t="s">
        <v>2224</v>
      </c>
      <c r="D413" s="602" t="s">
        <v>2225</v>
      </c>
      <c r="E413" s="596" t="s">
        <v>1930</v>
      </c>
      <c r="F413" s="606">
        <v>2</v>
      </c>
      <c r="G413" s="764">
        <v>1180</v>
      </c>
      <c r="H413" s="790">
        <f t="shared" si="19"/>
        <v>2360</v>
      </c>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row>
    <row r="414" spans="1:32" s="101" customFormat="1" ht="25.5">
      <c r="A414" s="105"/>
      <c r="B414" s="616">
        <f t="shared" si="20"/>
        <v>36</v>
      </c>
      <c r="C414" s="604" t="s">
        <v>2226</v>
      </c>
      <c r="D414" s="602" t="s">
        <v>2226</v>
      </c>
      <c r="E414" s="596" t="s">
        <v>1930</v>
      </c>
      <c r="F414" s="606">
        <v>25</v>
      </c>
      <c r="G414" s="643">
        <v>605</v>
      </c>
      <c r="H414" s="790">
        <f t="shared" si="19"/>
        <v>15125</v>
      </c>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row>
    <row r="415" spans="1:32" s="101" customFormat="1" ht="25.5">
      <c r="A415" s="105"/>
      <c r="B415" s="616">
        <f t="shared" si="20"/>
        <v>37</v>
      </c>
      <c r="C415" s="604" t="s">
        <v>2227</v>
      </c>
      <c r="D415" s="602" t="s">
        <v>2228</v>
      </c>
      <c r="E415" s="596" t="s">
        <v>1930</v>
      </c>
      <c r="F415" s="596">
        <v>5</v>
      </c>
      <c r="G415" s="643">
        <v>900.90000000000009</v>
      </c>
      <c r="H415" s="790">
        <f t="shared" si="19"/>
        <v>4504.5</v>
      </c>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row>
    <row r="416" spans="1:32" s="101" customFormat="1" ht="25.5">
      <c r="A416" s="105"/>
      <c r="B416" s="616">
        <f t="shared" si="20"/>
        <v>38</v>
      </c>
      <c r="C416" s="604" t="s">
        <v>2229</v>
      </c>
      <c r="D416" s="602" t="s">
        <v>2230</v>
      </c>
      <c r="E416" s="596" t="s">
        <v>1930</v>
      </c>
      <c r="F416" s="596">
        <v>5</v>
      </c>
      <c r="G416" s="643">
        <v>2368</v>
      </c>
      <c r="H416" s="790">
        <f t="shared" si="19"/>
        <v>11840</v>
      </c>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row>
    <row r="417" spans="1:32" s="101" customFormat="1" ht="25.5">
      <c r="A417" s="105"/>
      <c r="B417" s="616">
        <f t="shared" si="20"/>
        <v>39</v>
      </c>
      <c r="C417" s="604" t="s">
        <v>301</v>
      </c>
      <c r="D417" s="602" t="s">
        <v>587</v>
      </c>
      <c r="E417" s="596" t="s">
        <v>1930</v>
      </c>
      <c r="F417" s="596">
        <v>20</v>
      </c>
      <c r="G417" s="764">
        <v>1300</v>
      </c>
      <c r="H417" s="790">
        <f t="shared" si="19"/>
        <v>26000</v>
      </c>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row>
    <row r="418" spans="1:32" s="101" customFormat="1" ht="25.5">
      <c r="A418" s="105"/>
      <c r="B418" s="616">
        <f t="shared" si="20"/>
        <v>40</v>
      </c>
      <c r="C418" s="604" t="s">
        <v>2231</v>
      </c>
      <c r="D418" s="602" t="s">
        <v>2232</v>
      </c>
      <c r="E418" s="596" t="s">
        <v>1930</v>
      </c>
      <c r="F418" s="596">
        <v>20</v>
      </c>
      <c r="G418" s="764">
        <v>1300</v>
      </c>
      <c r="H418" s="790">
        <f t="shared" si="19"/>
        <v>26000</v>
      </c>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row>
    <row r="419" spans="1:32" s="101" customFormat="1" ht="38.25">
      <c r="A419" s="105"/>
      <c r="B419" s="616">
        <f t="shared" si="20"/>
        <v>41</v>
      </c>
      <c r="C419" s="604" t="s">
        <v>601</v>
      </c>
      <c r="D419" s="602" t="s">
        <v>588</v>
      </c>
      <c r="E419" s="596" t="s">
        <v>1930</v>
      </c>
      <c r="F419" s="596">
        <v>20</v>
      </c>
      <c r="G419" s="643">
        <v>950.40000000000009</v>
      </c>
      <c r="H419" s="790">
        <f t="shared" si="19"/>
        <v>19008</v>
      </c>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row>
    <row r="420" spans="1:32" s="101" customFormat="1" ht="38.25">
      <c r="A420" s="105"/>
      <c r="B420" s="616">
        <f t="shared" si="20"/>
        <v>42</v>
      </c>
      <c r="C420" s="604" t="s">
        <v>602</v>
      </c>
      <c r="D420" s="602" t="s">
        <v>603</v>
      </c>
      <c r="E420" s="596" t="s">
        <v>1930</v>
      </c>
      <c r="F420" s="596">
        <v>20</v>
      </c>
      <c r="G420" s="643">
        <v>950.40000000000009</v>
      </c>
      <c r="H420" s="790">
        <f t="shared" si="19"/>
        <v>19008</v>
      </c>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row>
    <row r="421" spans="1:32" s="101" customFormat="1" ht="127.5">
      <c r="A421" s="105"/>
      <c r="B421" s="616">
        <f t="shared" si="20"/>
        <v>43</v>
      </c>
      <c r="C421" s="604" t="s">
        <v>2233</v>
      </c>
      <c r="D421" s="602" t="s">
        <v>2234</v>
      </c>
      <c r="E421" s="596" t="s">
        <v>1930</v>
      </c>
      <c r="F421" s="596">
        <v>50</v>
      </c>
      <c r="G421" s="764">
        <v>1612</v>
      </c>
      <c r="H421" s="790">
        <f t="shared" si="19"/>
        <v>80600</v>
      </c>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row>
    <row r="422" spans="1:32" s="101" customFormat="1" ht="38.25">
      <c r="A422" s="105"/>
      <c r="B422" s="616">
        <f t="shared" si="20"/>
        <v>44</v>
      </c>
      <c r="C422" s="604" t="s">
        <v>2235</v>
      </c>
      <c r="D422" s="602" t="s">
        <v>2236</v>
      </c>
      <c r="E422" s="596" t="s">
        <v>1930</v>
      </c>
      <c r="F422" s="596">
        <v>20</v>
      </c>
      <c r="G422" s="764">
        <v>1630</v>
      </c>
      <c r="H422" s="790">
        <f t="shared" si="19"/>
        <v>32600</v>
      </c>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row>
    <row r="423" spans="1:32" s="101" customFormat="1" ht="25.5">
      <c r="A423" s="105"/>
      <c r="B423" s="616">
        <f t="shared" si="20"/>
        <v>45</v>
      </c>
      <c r="C423" s="604" t="s">
        <v>2237</v>
      </c>
      <c r="D423" s="602" t="s">
        <v>2238</v>
      </c>
      <c r="E423" s="596" t="s">
        <v>1930</v>
      </c>
      <c r="F423" s="596">
        <v>10</v>
      </c>
      <c r="G423" s="643">
        <v>594</v>
      </c>
      <c r="H423" s="790">
        <f t="shared" si="19"/>
        <v>5940</v>
      </c>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row>
    <row r="424" spans="1:32" s="101" customFormat="1" ht="25.5">
      <c r="A424" s="105"/>
      <c r="B424" s="616">
        <f t="shared" si="20"/>
        <v>46</v>
      </c>
      <c r="C424" s="604" t="s">
        <v>2239</v>
      </c>
      <c r="D424" s="602" t="s">
        <v>2239</v>
      </c>
      <c r="E424" s="596" t="s">
        <v>1930</v>
      </c>
      <c r="F424" s="596">
        <v>50</v>
      </c>
      <c r="G424" s="763">
        <v>220.00000000000003</v>
      </c>
      <c r="H424" s="790">
        <f t="shared" si="19"/>
        <v>11000.000000000002</v>
      </c>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row>
    <row r="425" spans="1:32" s="101" customFormat="1" ht="25.5">
      <c r="A425" s="105"/>
      <c r="B425" s="616">
        <f t="shared" si="20"/>
        <v>47</v>
      </c>
      <c r="C425" s="604" t="s">
        <v>2240</v>
      </c>
      <c r="D425" s="602" t="s">
        <v>2240</v>
      </c>
      <c r="E425" s="596" t="s">
        <v>1930</v>
      </c>
      <c r="F425" s="596">
        <v>50</v>
      </c>
      <c r="G425" s="763">
        <v>275</v>
      </c>
      <c r="H425" s="790">
        <f t="shared" si="19"/>
        <v>13750</v>
      </c>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row>
    <row r="426" spans="1:32" s="101" customFormat="1" ht="25.5">
      <c r="A426" s="105"/>
      <c r="B426" s="616">
        <f t="shared" si="20"/>
        <v>48</v>
      </c>
      <c r="C426" s="604" t="s">
        <v>2241</v>
      </c>
      <c r="D426" s="602" t="s">
        <v>2241</v>
      </c>
      <c r="E426" s="596" t="s">
        <v>1930</v>
      </c>
      <c r="F426" s="596">
        <v>50</v>
      </c>
      <c r="G426" s="763">
        <v>275</v>
      </c>
      <c r="H426" s="790">
        <f t="shared" si="19"/>
        <v>13750</v>
      </c>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row>
    <row r="427" spans="1:32" s="101" customFormat="1" ht="25.5">
      <c r="A427" s="105"/>
      <c r="B427" s="616">
        <f t="shared" si="20"/>
        <v>49</v>
      </c>
      <c r="C427" s="604" t="s">
        <v>2242</v>
      </c>
      <c r="D427" s="602" t="s">
        <v>2242</v>
      </c>
      <c r="E427" s="596" t="s">
        <v>1930</v>
      </c>
      <c r="F427" s="596">
        <v>50</v>
      </c>
      <c r="G427" s="763">
        <v>275</v>
      </c>
      <c r="H427" s="790">
        <f t="shared" si="19"/>
        <v>13750</v>
      </c>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row>
    <row r="428" spans="1:32" s="101" customFormat="1" ht="25.5">
      <c r="A428" s="105"/>
      <c r="B428" s="616">
        <f t="shared" si="20"/>
        <v>50</v>
      </c>
      <c r="C428" s="604" t="s">
        <v>2243</v>
      </c>
      <c r="D428" s="602" t="s">
        <v>589</v>
      </c>
      <c r="E428" s="596" t="s">
        <v>1930</v>
      </c>
      <c r="F428" s="596">
        <v>27</v>
      </c>
      <c r="G428" s="643">
        <v>297</v>
      </c>
      <c r="H428" s="790">
        <f t="shared" si="19"/>
        <v>8019</v>
      </c>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row>
    <row r="429" spans="1:32" s="101" customFormat="1" ht="63.75">
      <c r="A429" s="105"/>
      <c r="B429" s="616">
        <f t="shared" si="20"/>
        <v>51</v>
      </c>
      <c r="C429" s="604" t="s">
        <v>2244</v>
      </c>
      <c r="D429" s="602" t="s">
        <v>606</v>
      </c>
      <c r="E429" s="596" t="s">
        <v>1930</v>
      </c>
      <c r="F429" s="596">
        <v>20</v>
      </c>
      <c r="G429" s="643">
        <v>287.10000000000002</v>
      </c>
      <c r="H429" s="790">
        <f t="shared" si="19"/>
        <v>5742</v>
      </c>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row>
    <row r="430" spans="1:32" s="101" customFormat="1" ht="15">
      <c r="A430" s="105"/>
      <c r="B430" s="616">
        <f t="shared" si="20"/>
        <v>52</v>
      </c>
      <c r="C430" s="604" t="s">
        <v>2245</v>
      </c>
      <c r="D430" s="602" t="s">
        <v>2245</v>
      </c>
      <c r="E430" s="596" t="s">
        <v>1930</v>
      </c>
      <c r="F430" s="596">
        <v>5</v>
      </c>
      <c r="G430" s="643">
        <v>227.70000000000002</v>
      </c>
      <c r="H430" s="790">
        <v>1034</v>
      </c>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row>
    <row r="431" spans="1:32" s="101" customFormat="1" ht="15">
      <c r="A431" s="105"/>
      <c r="B431" s="616">
        <f t="shared" si="20"/>
        <v>53</v>
      </c>
      <c r="C431" s="604" t="s">
        <v>2246</v>
      </c>
      <c r="D431" s="602" t="s">
        <v>2247</v>
      </c>
      <c r="E431" s="596" t="s">
        <v>1930</v>
      </c>
      <c r="F431" s="596">
        <v>50</v>
      </c>
      <c r="G431" s="764">
        <v>1600</v>
      </c>
      <c r="H431" s="790">
        <f t="shared" si="19"/>
        <v>80000</v>
      </c>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row>
    <row r="432" spans="1:32" s="101" customFormat="1" ht="15">
      <c r="A432" s="105"/>
      <c r="B432" s="616">
        <f t="shared" si="20"/>
        <v>54</v>
      </c>
      <c r="C432" s="604" t="s">
        <v>2248</v>
      </c>
      <c r="D432" s="602" t="s">
        <v>2248</v>
      </c>
      <c r="E432" s="596" t="s">
        <v>1930</v>
      </c>
      <c r="F432" s="596">
        <v>15</v>
      </c>
      <c r="G432" s="764">
        <v>2350</v>
      </c>
      <c r="H432" s="790">
        <f t="shared" si="19"/>
        <v>35250</v>
      </c>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row>
    <row r="433" spans="1:32" s="101" customFormat="1" ht="25.5">
      <c r="A433" s="105"/>
      <c r="B433" s="616">
        <f t="shared" si="20"/>
        <v>55</v>
      </c>
      <c r="C433" s="604" t="s">
        <v>2249</v>
      </c>
      <c r="D433" s="602" t="s">
        <v>2250</v>
      </c>
      <c r="E433" s="596" t="s">
        <v>1930</v>
      </c>
      <c r="F433" s="596">
        <v>13</v>
      </c>
      <c r="G433" s="643">
        <v>297</v>
      </c>
      <c r="H433" s="790">
        <f t="shared" si="19"/>
        <v>3861</v>
      </c>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row>
    <row r="434" spans="1:32" s="101" customFormat="1" ht="25.5">
      <c r="A434" s="105"/>
      <c r="B434" s="616">
        <f t="shared" si="20"/>
        <v>56</v>
      </c>
      <c r="C434" s="604" t="s">
        <v>2251</v>
      </c>
      <c r="D434" s="602" t="s">
        <v>2252</v>
      </c>
      <c r="E434" s="596" t="s">
        <v>295</v>
      </c>
      <c r="F434" s="596">
        <v>70</v>
      </c>
      <c r="G434" s="764">
        <v>1108</v>
      </c>
      <c r="H434" s="790">
        <f t="shared" si="19"/>
        <v>77560</v>
      </c>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row>
    <row r="435" spans="1:32" s="101" customFormat="1" ht="38.25">
      <c r="A435" s="105"/>
      <c r="B435" s="616">
        <f t="shared" si="20"/>
        <v>57</v>
      </c>
      <c r="C435" s="604" t="s">
        <v>2253</v>
      </c>
      <c r="D435" s="602" t="s">
        <v>2254</v>
      </c>
      <c r="E435" s="596" t="s">
        <v>295</v>
      </c>
      <c r="F435" s="606">
        <v>5</v>
      </c>
      <c r="G435" s="643">
        <v>554.40000000000009</v>
      </c>
      <c r="H435" s="790">
        <f t="shared" si="19"/>
        <v>2772.0000000000005</v>
      </c>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row>
    <row r="436" spans="1:32" s="101" customFormat="1" ht="15">
      <c r="A436" s="105"/>
      <c r="B436" s="616">
        <f t="shared" si="20"/>
        <v>58</v>
      </c>
      <c r="C436" s="604" t="s">
        <v>2255</v>
      </c>
      <c r="D436" s="602" t="s">
        <v>2256</v>
      </c>
      <c r="E436" s="596" t="s">
        <v>1930</v>
      </c>
      <c r="F436" s="596">
        <v>50</v>
      </c>
      <c r="G436" s="643">
        <v>1378</v>
      </c>
      <c r="H436" s="790">
        <f t="shared" si="19"/>
        <v>68900</v>
      </c>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row>
    <row r="437" spans="1:32" s="101" customFormat="1" ht="15">
      <c r="A437" s="105"/>
      <c r="B437" s="616">
        <f t="shared" si="20"/>
        <v>59</v>
      </c>
      <c r="C437" s="604" t="s">
        <v>2257</v>
      </c>
      <c r="D437" s="602" t="s">
        <v>2257</v>
      </c>
      <c r="E437" s="596" t="s">
        <v>1930</v>
      </c>
      <c r="F437" s="596">
        <v>50</v>
      </c>
      <c r="G437" s="764">
        <v>1522</v>
      </c>
      <c r="H437" s="790">
        <f t="shared" si="19"/>
        <v>76100</v>
      </c>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row>
    <row r="438" spans="1:32" s="101" customFormat="1" ht="38.25">
      <c r="A438" s="105"/>
      <c r="B438" s="616">
        <f t="shared" si="20"/>
        <v>60</v>
      </c>
      <c r="C438" s="604" t="s">
        <v>2258</v>
      </c>
      <c r="D438" s="602" t="s">
        <v>2259</v>
      </c>
      <c r="E438" s="596" t="s">
        <v>1930</v>
      </c>
      <c r="F438" s="596">
        <v>50</v>
      </c>
      <c r="G438" s="764">
        <v>1600</v>
      </c>
      <c r="H438" s="790">
        <f t="shared" si="19"/>
        <v>80000</v>
      </c>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row>
    <row r="439" spans="1:32" s="101" customFormat="1" ht="25.5">
      <c r="A439" s="105"/>
      <c r="B439" s="616">
        <f t="shared" si="20"/>
        <v>61</v>
      </c>
      <c r="C439" s="604" t="s">
        <v>2260</v>
      </c>
      <c r="D439" s="602" t="s">
        <v>2261</v>
      </c>
      <c r="E439" s="596" t="s">
        <v>1930</v>
      </c>
      <c r="F439" s="596">
        <v>25</v>
      </c>
      <c r="G439" s="751">
        <v>550</v>
      </c>
      <c r="H439" s="790">
        <f t="shared" si="19"/>
        <v>13750</v>
      </c>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row>
    <row r="440" spans="1:32" s="101" customFormat="1" ht="89.25">
      <c r="A440" s="105"/>
      <c r="B440" s="616">
        <f t="shared" si="20"/>
        <v>62</v>
      </c>
      <c r="C440" s="604" t="s">
        <v>2262</v>
      </c>
      <c r="D440" s="602" t="s">
        <v>2263</v>
      </c>
      <c r="E440" s="596" t="s">
        <v>295</v>
      </c>
      <c r="F440" s="596">
        <v>80</v>
      </c>
      <c r="G440" s="643">
        <v>2100</v>
      </c>
      <c r="H440" s="790">
        <f t="shared" si="19"/>
        <v>168000</v>
      </c>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row>
    <row r="441" spans="1:32" s="101" customFormat="1" ht="25.5">
      <c r="A441" s="105"/>
      <c r="B441" s="616">
        <f t="shared" si="20"/>
        <v>63</v>
      </c>
      <c r="C441" s="604" t="s">
        <v>2264</v>
      </c>
      <c r="D441" s="602" t="s">
        <v>2264</v>
      </c>
      <c r="E441" s="596" t="s">
        <v>33</v>
      </c>
      <c r="F441" s="596">
        <v>1</v>
      </c>
      <c r="G441" s="764">
        <v>3100</v>
      </c>
      <c r="H441" s="790">
        <f t="shared" si="19"/>
        <v>3100</v>
      </c>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row>
    <row r="442" spans="1:32" s="101" customFormat="1" ht="25.5">
      <c r="A442" s="105"/>
      <c r="B442" s="616">
        <f t="shared" si="20"/>
        <v>64</v>
      </c>
      <c r="C442" s="604" t="s">
        <v>2265</v>
      </c>
      <c r="D442" s="602" t="s">
        <v>2265</v>
      </c>
      <c r="E442" s="596" t="s">
        <v>33</v>
      </c>
      <c r="F442" s="596">
        <v>1</v>
      </c>
      <c r="G442" s="764">
        <v>3100</v>
      </c>
      <c r="H442" s="790">
        <f t="shared" si="19"/>
        <v>3100</v>
      </c>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row>
    <row r="443" spans="1:32" s="101" customFormat="1" ht="38.25">
      <c r="A443" s="105"/>
      <c r="B443" s="616">
        <f t="shared" si="20"/>
        <v>65</v>
      </c>
      <c r="C443" s="604" t="s">
        <v>2266</v>
      </c>
      <c r="D443" s="602" t="s">
        <v>2266</v>
      </c>
      <c r="E443" s="596" t="s">
        <v>33</v>
      </c>
      <c r="F443" s="596">
        <v>2</v>
      </c>
      <c r="G443" s="764">
        <v>3600</v>
      </c>
      <c r="H443" s="790">
        <f t="shared" si="19"/>
        <v>7200</v>
      </c>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row>
    <row r="444" spans="1:32" s="101" customFormat="1" ht="38.25">
      <c r="A444" s="105"/>
      <c r="B444" s="616">
        <f t="shared" si="20"/>
        <v>66</v>
      </c>
      <c r="C444" s="604" t="s">
        <v>2267</v>
      </c>
      <c r="D444" s="602" t="s">
        <v>2267</v>
      </c>
      <c r="E444" s="596" t="s">
        <v>33</v>
      </c>
      <c r="F444" s="596">
        <v>2</v>
      </c>
      <c r="G444" s="764">
        <v>3600</v>
      </c>
      <c r="H444" s="790">
        <f t="shared" ref="H444:H452" si="21">F444*G444</f>
        <v>7200</v>
      </c>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row>
    <row r="445" spans="1:32" s="101" customFormat="1" ht="25.5">
      <c r="A445" s="105"/>
      <c r="B445" s="616">
        <f t="shared" ref="B445:B452" si="22">B444+1</f>
        <v>67</v>
      </c>
      <c r="C445" s="604" t="s">
        <v>2268</v>
      </c>
      <c r="D445" s="602" t="s">
        <v>2268</v>
      </c>
      <c r="E445" s="596" t="s">
        <v>33</v>
      </c>
      <c r="F445" s="596">
        <v>2</v>
      </c>
      <c r="G445" s="764">
        <v>3600</v>
      </c>
      <c r="H445" s="790">
        <f t="shared" si="21"/>
        <v>7200</v>
      </c>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row>
    <row r="446" spans="1:32" s="101" customFormat="1" ht="25.5">
      <c r="A446" s="105"/>
      <c r="B446" s="616">
        <f t="shared" si="22"/>
        <v>68</v>
      </c>
      <c r="C446" s="604" t="s">
        <v>2269</v>
      </c>
      <c r="D446" s="604" t="s">
        <v>2269</v>
      </c>
      <c r="E446" s="596" t="s">
        <v>33</v>
      </c>
      <c r="F446" s="596">
        <v>50</v>
      </c>
      <c r="G446" s="643">
        <v>220.00000000000003</v>
      </c>
      <c r="H446" s="790">
        <f>F446*G446</f>
        <v>11000.000000000002</v>
      </c>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row>
    <row r="447" spans="1:32" s="101" customFormat="1" ht="51">
      <c r="A447" s="105"/>
      <c r="B447" s="616">
        <f t="shared" si="22"/>
        <v>69</v>
      </c>
      <c r="C447" s="604" t="s">
        <v>2270</v>
      </c>
      <c r="D447" s="602" t="s">
        <v>2271</v>
      </c>
      <c r="E447" s="596" t="s">
        <v>2272</v>
      </c>
      <c r="F447" s="596">
        <v>80</v>
      </c>
      <c r="G447" s="643">
        <v>715.00000000000011</v>
      </c>
      <c r="H447" s="790">
        <f t="shared" si="21"/>
        <v>57200.000000000007</v>
      </c>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row>
    <row r="448" spans="1:32" s="101" customFormat="1" ht="15">
      <c r="A448" s="105"/>
      <c r="B448" s="616">
        <f t="shared" si="22"/>
        <v>70</v>
      </c>
      <c r="C448" s="613" t="s">
        <v>2273</v>
      </c>
      <c r="D448" s="602" t="s">
        <v>2274</v>
      </c>
      <c r="E448" s="596" t="s">
        <v>2272</v>
      </c>
      <c r="F448" s="596">
        <v>3</v>
      </c>
      <c r="G448" s="764">
        <v>4800</v>
      </c>
      <c r="H448" s="790">
        <f t="shared" si="21"/>
        <v>14400</v>
      </c>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row>
    <row r="449" spans="1:33" s="101" customFormat="1" ht="25.5">
      <c r="A449" s="105"/>
      <c r="B449" s="616">
        <f t="shared" si="22"/>
        <v>71</v>
      </c>
      <c r="C449" s="613" t="s">
        <v>2275</v>
      </c>
      <c r="D449" s="602" t="s">
        <v>2276</v>
      </c>
      <c r="E449" s="596" t="s">
        <v>33</v>
      </c>
      <c r="F449" s="596">
        <v>50</v>
      </c>
      <c r="G449" s="643">
        <v>715.00000000000011</v>
      </c>
      <c r="H449" s="790">
        <f t="shared" si="21"/>
        <v>35750.000000000007</v>
      </c>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row>
    <row r="450" spans="1:33" s="101" customFormat="1" ht="15">
      <c r="A450" s="105"/>
      <c r="B450" s="616">
        <f t="shared" si="22"/>
        <v>72</v>
      </c>
      <c r="C450" s="613" t="s">
        <v>2277</v>
      </c>
      <c r="D450" s="602" t="s">
        <v>604</v>
      </c>
      <c r="E450" s="596" t="s">
        <v>295</v>
      </c>
      <c r="F450" s="596">
        <v>10</v>
      </c>
      <c r="G450" s="764">
        <v>2050</v>
      </c>
      <c r="H450" s="790">
        <f t="shared" si="21"/>
        <v>20500</v>
      </c>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row>
    <row r="451" spans="1:33" s="101" customFormat="1" ht="25.5">
      <c r="A451" s="105"/>
      <c r="B451" s="616">
        <f t="shared" si="22"/>
        <v>73</v>
      </c>
      <c r="C451" s="613" t="s">
        <v>2278</v>
      </c>
      <c r="D451" s="602" t="s">
        <v>2279</v>
      </c>
      <c r="E451" s="596" t="s">
        <v>1932</v>
      </c>
      <c r="F451" s="596">
        <v>2</v>
      </c>
      <c r="G451" s="764">
        <v>5600</v>
      </c>
      <c r="H451" s="790">
        <f t="shared" si="21"/>
        <v>11200</v>
      </c>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row>
    <row r="452" spans="1:33" s="101" customFormat="1" ht="51">
      <c r="A452" s="105"/>
      <c r="B452" s="616">
        <f t="shared" si="22"/>
        <v>74</v>
      </c>
      <c r="C452" s="604" t="s">
        <v>2280</v>
      </c>
      <c r="D452" s="602" t="s">
        <v>2281</v>
      </c>
      <c r="E452" s="596" t="s">
        <v>233</v>
      </c>
      <c r="F452" s="596">
        <v>20</v>
      </c>
      <c r="G452" s="764">
        <v>3100</v>
      </c>
      <c r="H452" s="790">
        <f t="shared" si="21"/>
        <v>62000</v>
      </c>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row>
    <row r="453" spans="1:33" s="101" customFormat="1" ht="15">
      <c r="A453" s="105"/>
      <c r="B453" s="606"/>
      <c r="C453" s="796" t="s">
        <v>44</v>
      </c>
      <c r="D453" s="246"/>
      <c r="E453" s="797"/>
      <c r="F453" s="798"/>
      <c r="G453" s="799"/>
      <c r="H453" s="800">
        <f>SUM(H379:H452)</f>
        <v>2335619.5</v>
      </c>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row>
    <row r="454" spans="1:33" s="101" customFormat="1" ht="15">
      <c r="A454" s="105"/>
      <c r="B454" s="801"/>
      <c r="C454" s="801" t="s">
        <v>2282</v>
      </c>
      <c r="D454" s="802"/>
      <c r="E454" s="803"/>
      <c r="F454" s="803"/>
      <c r="G454" s="803"/>
      <c r="H454" s="803"/>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row>
    <row r="455" spans="1:33" s="101" customFormat="1" ht="25.5">
      <c r="A455" s="105"/>
      <c r="B455" s="625" t="s">
        <v>7</v>
      </c>
      <c r="C455" s="626" t="s">
        <v>0</v>
      </c>
      <c r="D455" s="625" t="s">
        <v>590</v>
      </c>
      <c r="E455" s="625" t="s">
        <v>85</v>
      </c>
      <c r="F455" s="625" t="s">
        <v>127</v>
      </c>
      <c r="G455" s="625" t="s">
        <v>591</v>
      </c>
      <c r="H455" s="625" t="s">
        <v>87</v>
      </c>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row>
    <row r="456" spans="1:33" s="101" customFormat="1" ht="15">
      <c r="A456" s="105"/>
      <c r="B456" s="804"/>
      <c r="C456" s="805">
        <v>1</v>
      </c>
      <c r="D456" s="616">
        <v>2</v>
      </c>
      <c r="E456" s="606">
        <v>3</v>
      </c>
      <c r="F456" s="606">
        <v>4</v>
      </c>
      <c r="G456" s="606">
        <v>5</v>
      </c>
      <c r="H456" s="606">
        <v>6</v>
      </c>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row>
    <row r="457" spans="1:33" s="101" customFormat="1" ht="15">
      <c r="A457" s="105"/>
      <c r="B457" s="9"/>
      <c r="C457" s="734" t="s">
        <v>2283</v>
      </c>
      <c r="D457" s="806"/>
      <c r="E457" s="736"/>
      <c r="F457" s="807"/>
      <c r="G457" s="807"/>
      <c r="H457" s="808">
        <f>SUM(H458:H463)</f>
        <v>65332.44</v>
      </c>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row>
    <row r="458" spans="1:33" s="43" customFormat="1" ht="15">
      <c r="A458" s="105"/>
      <c r="B458" s="809">
        <v>1</v>
      </c>
      <c r="C458" s="604" t="s">
        <v>364</v>
      </c>
      <c r="D458" s="596" t="s">
        <v>592</v>
      </c>
      <c r="E458" s="599" t="s">
        <v>33</v>
      </c>
      <c r="F458" s="318">
        <v>1</v>
      </c>
      <c r="G458" s="319">
        <v>17129.16</v>
      </c>
      <c r="H458" s="810">
        <f>F458*G458</f>
        <v>17129.16</v>
      </c>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row>
    <row r="459" spans="1:33" s="43" customFormat="1" ht="15">
      <c r="A459" s="105"/>
      <c r="B459" s="778">
        <f>B458+1</f>
        <v>2</v>
      </c>
      <c r="C459" s="604" t="s">
        <v>365</v>
      </c>
      <c r="D459" s="596" t="s">
        <v>593</v>
      </c>
      <c r="E459" s="599" t="s">
        <v>33</v>
      </c>
      <c r="F459" s="318">
        <v>1</v>
      </c>
      <c r="G459" s="319">
        <v>13589.16</v>
      </c>
      <c r="H459" s="810">
        <f t="shared" ref="H459:H463" si="23">F459*G459</f>
        <v>13589.16</v>
      </c>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row>
    <row r="460" spans="1:33" s="43" customFormat="1" ht="15">
      <c r="A460" s="105"/>
      <c r="B460" s="778">
        <f t="shared" ref="B460:B463" si="24">B459+1</f>
        <v>3</v>
      </c>
      <c r="C460" s="604" t="s">
        <v>366</v>
      </c>
      <c r="D460" s="596" t="s">
        <v>594</v>
      </c>
      <c r="E460" s="599" t="s">
        <v>33</v>
      </c>
      <c r="F460" s="599">
        <v>1</v>
      </c>
      <c r="G460" s="319">
        <v>7982.4</v>
      </c>
      <c r="H460" s="810">
        <f t="shared" si="23"/>
        <v>7982.4</v>
      </c>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row>
    <row r="461" spans="1:33" s="43" customFormat="1" ht="15">
      <c r="A461" s="105"/>
      <c r="B461" s="778">
        <f t="shared" si="24"/>
        <v>4</v>
      </c>
      <c r="C461" s="604" t="s">
        <v>367</v>
      </c>
      <c r="D461" s="596" t="s">
        <v>595</v>
      </c>
      <c r="E461" s="599" t="s">
        <v>33</v>
      </c>
      <c r="F461" s="599">
        <v>1</v>
      </c>
      <c r="G461" s="319">
        <v>13798.08</v>
      </c>
      <c r="H461" s="810">
        <f t="shared" si="23"/>
        <v>13798.08</v>
      </c>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row>
    <row r="462" spans="1:33" s="43" customFormat="1" ht="15">
      <c r="A462" s="105"/>
      <c r="B462" s="778">
        <f t="shared" si="24"/>
        <v>5</v>
      </c>
      <c r="C462" s="604" t="s">
        <v>607</v>
      </c>
      <c r="D462" s="596" t="s">
        <v>595</v>
      </c>
      <c r="E462" s="599" t="s">
        <v>33</v>
      </c>
      <c r="F462" s="318">
        <v>1</v>
      </c>
      <c r="G462" s="319">
        <v>3867.24</v>
      </c>
      <c r="H462" s="810">
        <f t="shared" si="23"/>
        <v>3867.24</v>
      </c>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row>
    <row r="463" spans="1:33" s="43" customFormat="1" ht="30" customHeight="1">
      <c r="A463" s="105"/>
      <c r="B463" s="778">
        <f t="shared" si="24"/>
        <v>6</v>
      </c>
      <c r="C463" s="604" t="s">
        <v>608</v>
      </c>
      <c r="D463" s="596" t="s">
        <v>595</v>
      </c>
      <c r="E463" s="599" t="s">
        <v>33</v>
      </c>
      <c r="F463" s="318">
        <v>1</v>
      </c>
      <c r="G463" s="319">
        <v>8966.4</v>
      </c>
      <c r="H463" s="810">
        <f t="shared" si="23"/>
        <v>8966.4</v>
      </c>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row>
    <row r="464" spans="1:33" s="100" customFormat="1" ht="15">
      <c r="A464" s="105"/>
      <c r="B464" s="760"/>
      <c r="C464" s="811" t="s">
        <v>2284</v>
      </c>
      <c r="D464" s="188"/>
      <c r="E464" s="188"/>
      <c r="F464" s="251"/>
      <c r="G464" s="313"/>
      <c r="H464" s="314">
        <f>SUM(H465:H482)</f>
        <v>272497.20000000007</v>
      </c>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row>
    <row r="465" spans="1:32" s="100" customFormat="1" ht="15">
      <c r="A465" s="317"/>
      <c r="B465" s="606">
        <v>1</v>
      </c>
      <c r="C465" s="604" t="s">
        <v>368</v>
      </c>
      <c r="D465" s="596" t="s">
        <v>596</v>
      </c>
      <c r="E465" s="599" t="s">
        <v>33</v>
      </c>
      <c r="F465" s="318">
        <v>1</v>
      </c>
      <c r="G465" s="319">
        <v>18866.400000000001</v>
      </c>
      <c r="H465" s="812">
        <f>F465*G465</f>
        <v>18866.400000000001</v>
      </c>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row>
    <row r="466" spans="1:32" s="100" customFormat="1" ht="25.5">
      <c r="A466" s="317"/>
      <c r="B466" s="606">
        <v>2</v>
      </c>
      <c r="C466" s="604" t="s">
        <v>2285</v>
      </c>
      <c r="D466" s="596" t="s">
        <v>597</v>
      </c>
      <c r="E466" s="599" t="s">
        <v>33</v>
      </c>
      <c r="F466" s="318">
        <v>1</v>
      </c>
      <c r="G466" s="319">
        <v>51290.400000000001</v>
      </c>
      <c r="H466" s="812">
        <f t="shared" ref="H466:H481" si="25">F466*G466</f>
        <v>51290.400000000001</v>
      </c>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row>
    <row r="467" spans="1:32" s="100" customFormat="1" ht="25.5">
      <c r="A467" s="317"/>
      <c r="B467" s="606">
        <v>3</v>
      </c>
      <c r="C467" s="604" t="s">
        <v>2286</v>
      </c>
      <c r="D467" s="596" t="s">
        <v>597</v>
      </c>
      <c r="E467" s="599" t="s">
        <v>33</v>
      </c>
      <c r="F467" s="318">
        <v>1</v>
      </c>
      <c r="G467" s="319">
        <v>62188.800000000003</v>
      </c>
      <c r="H467" s="812">
        <f t="shared" si="25"/>
        <v>62188.800000000003</v>
      </c>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row>
    <row r="468" spans="1:32" s="100" customFormat="1" ht="25.5">
      <c r="A468" s="317"/>
      <c r="B468" s="606">
        <f t="shared" ref="B468:B482" si="26">B467+1</f>
        <v>4</v>
      </c>
      <c r="C468" s="604" t="s">
        <v>2287</v>
      </c>
      <c r="D468" s="596" t="s">
        <v>597</v>
      </c>
      <c r="E468" s="599" t="s">
        <v>33</v>
      </c>
      <c r="F468" s="318">
        <v>1</v>
      </c>
      <c r="G468" s="319">
        <v>12220.8</v>
      </c>
      <c r="H468" s="812">
        <f t="shared" si="25"/>
        <v>12220.8</v>
      </c>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row>
    <row r="469" spans="1:32" s="100" customFormat="1" ht="15">
      <c r="A469" s="317"/>
      <c r="B469" s="606">
        <f>B468+1</f>
        <v>5</v>
      </c>
      <c r="C469" s="604" t="s">
        <v>2288</v>
      </c>
      <c r="D469" s="596" t="s">
        <v>598</v>
      </c>
      <c r="E469" s="599" t="s">
        <v>33</v>
      </c>
      <c r="F469" s="318">
        <v>1</v>
      </c>
      <c r="G469" s="319">
        <v>9141.6</v>
      </c>
      <c r="H469" s="812">
        <f t="shared" si="25"/>
        <v>9141.6</v>
      </c>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row>
    <row r="470" spans="1:32" s="43" customFormat="1" ht="25.5">
      <c r="A470" s="317"/>
      <c r="B470" s="606">
        <f t="shared" si="26"/>
        <v>6</v>
      </c>
      <c r="C470" s="604" t="s">
        <v>2289</v>
      </c>
      <c r="D470" s="596" t="s">
        <v>599</v>
      </c>
      <c r="E470" s="599" t="s">
        <v>33</v>
      </c>
      <c r="F470" s="318">
        <v>1</v>
      </c>
      <c r="G470" s="319">
        <v>9141.6</v>
      </c>
      <c r="H470" s="812">
        <f t="shared" si="25"/>
        <v>9141.6</v>
      </c>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row>
    <row r="471" spans="1:32" s="100" customFormat="1" ht="25.5">
      <c r="A471" s="317"/>
      <c r="B471" s="606">
        <f t="shared" si="26"/>
        <v>7</v>
      </c>
      <c r="C471" s="604" t="s">
        <v>370</v>
      </c>
      <c r="D471" s="596" t="s">
        <v>600</v>
      </c>
      <c r="E471" s="599" t="s">
        <v>33</v>
      </c>
      <c r="F471" s="318">
        <v>1</v>
      </c>
      <c r="G471" s="319">
        <v>11755.2</v>
      </c>
      <c r="H471" s="812">
        <f t="shared" si="25"/>
        <v>11755.2</v>
      </c>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row>
    <row r="472" spans="1:32" s="100" customFormat="1" ht="25.5">
      <c r="A472" s="317"/>
      <c r="B472" s="606">
        <f t="shared" si="26"/>
        <v>8</v>
      </c>
      <c r="C472" s="604" t="s">
        <v>371</v>
      </c>
      <c r="D472" s="596" t="s">
        <v>600</v>
      </c>
      <c r="E472" s="599" t="s">
        <v>33</v>
      </c>
      <c r="F472" s="318">
        <v>1</v>
      </c>
      <c r="G472" s="319">
        <v>11179.2</v>
      </c>
      <c r="H472" s="812">
        <f t="shared" si="25"/>
        <v>11179.2</v>
      </c>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row>
    <row r="473" spans="1:32" s="100" customFormat="1" ht="15">
      <c r="A473" s="317"/>
      <c r="B473" s="606">
        <f t="shared" si="26"/>
        <v>9</v>
      </c>
      <c r="C473" s="604" t="s">
        <v>372</v>
      </c>
      <c r="D473" s="596" t="s">
        <v>597</v>
      </c>
      <c r="E473" s="599" t="s">
        <v>33</v>
      </c>
      <c r="F473" s="318">
        <v>1</v>
      </c>
      <c r="G473" s="319">
        <v>16027.2</v>
      </c>
      <c r="H473" s="812">
        <f t="shared" si="25"/>
        <v>16027.2</v>
      </c>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row>
    <row r="474" spans="1:32" s="100" customFormat="1" ht="25.5">
      <c r="A474" s="317"/>
      <c r="B474" s="606">
        <f t="shared" si="26"/>
        <v>10</v>
      </c>
      <c r="C474" s="604" t="s">
        <v>2290</v>
      </c>
      <c r="D474" s="596" t="s">
        <v>600</v>
      </c>
      <c r="E474" s="599" t="s">
        <v>33</v>
      </c>
      <c r="F474" s="318">
        <v>1</v>
      </c>
      <c r="G474" s="319">
        <v>16027.2</v>
      </c>
      <c r="H474" s="812">
        <f t="shared" si="25"/>
        <v>16027.2</v>
      </c>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row>
    <row r="475" spans="1:32" s="100" customFormat="1" ht="15">
      <c r="A475" s="317"/>
      <c r="B475" s="606">
        <f t="shared" si="26"/>
        <v>11</v>
      </c>
      <c r="C475" s="604" t="s">
        <v>373</v>
      </c>
      <c r="D475" s="596" t="s">
        <v>599</v>
      </c>
      <c r="E475" s="599" t="s">
        <v>33</v>
      </c>
      <c r="F475" s="318">
        <v>1</v>
      </c>
      <c r="G475" s="319">
        <v>9129.6</v>
      </c>
      <c r="H475" s="812">
        <f t="shared" si="25"/>
        <v>9129.6</v>
      </c>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row>
    <row r="476" spans="1:32" s="100" customFormat="1" ht="26.25" customHeight="1">
      <c r="A476" s="317"/>
      <c r="B476" s="606">
        <f t="shared" si="26"/>
        <v>12</v>
      </c>
      <c r="C476" s="604" t="s">
        <v>2291</v>
      </c>
      <c r="D476" s="596" t="s">
        <v>600</v>
      </c>
      <c r="E476" s="599" t="s">
        <v>33</v>
      </c>
      <c r="F476" s="318">
        <v>1</v>
      </c>
      <c r="G476" s="319">
        <v>3105.6</v>
      </c>
      <c r="H476" s="812">
        <f t="shared" si="25"/>
        <v>3105.6</v>
      </c>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row>
    <row r="477" spans="1:32" s="100" customFormat="1" ht="15">
      <c r="A477" s="317"/>
      <c r="B477" s="606">
        <f t="shared" si="26"/>
        <v>13</v>
      </c>
      <c r="C477" s="604" t="s">
        <v>2292</v>
      </c>
      <c r="D477" s="596" t="s">
        <v>600</v>
      </c>
      <c r="E477" s="599" t="s">
        <v>33</v>
      </c>
      <c r="F477" s="318">
        <v>1</v>
      </c>
      <c r="G477" s="319">
        <v>6400.8</v>
      </c>
      <c r="H477" s="812">
        <f t="shared" si="25"/>
        <v>6400.8</v>
      </c>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row>
    <row r="478" spans="1:32" s="100" customFormat="1" ht="15">
      <c r="A478" s="317"/>
      <c r="B478" s="606">
        <f t="shared" si="26"/>
        <v>14</v>
      </c>
      <c r="C478" s="604" t="s">
        <v>2293</v>
      </c>
      <c r="D478" s="596" t="s">
        <v>600</v>
      </c>
      <c r="E478" s="599" t="s">
        <v>33</v>
      </c>
      <c r="F478" s="318">
        <v>1</v>
      </c>
      <c r="G478" s="319">
        <v>4603.2</v>
      </c>
      <c r="H478" s="812">
        <f t="shared" si="25"/>
        <v>4603.2</v>
      </c>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row>
    <row r="479" spans="1:32" s="100" customFormat="1" ht="15">
      <c r="A479" s="317"/>
      <c r="B479" s="606">
        <f t="shared" si="26"/>
        <v>15</v>
      </c>
      <c r="C479" s="604" t="s">
        <v>609</v>
      </c>
      <c r="D479" s="596" t="s">
        <v>599</v>
      </c>
      <c r="E479" s="599" t="s">
        <v>33</v>
      </c>
      <c r="F479" s="318">
        <v>1</v>
      </c>
      <c r="G479" s="319">
        <v>8870.4</v>
      </c>
      <c r="H479" s="812">
        <f t="shared" si="25"/>
        <v>8870.4</v>
      </c>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row>
    <row r="480" spans="1:32" s="100" customFormat="1" ht="15">
      <c r="A480" s="317"/>
      <c r="B480" s="606">
        <f t="shared" si="26"/>
        <v>16</v>
      </c>
      <c r="C480" s="604" t="s">
        <v>374</v>
      </c>
      <c r="D480" s="596" t="s">
        <v>599</v>
      </c>
      <c r="E480" s="599" t="s">
        <v>33</v>
      </c>
      <c r="F480" s="318">
        <v>1</v>
      </c>
      <c r="G480" s="319">
        <v>7359.6</v>
      </c>
      <c r="H480" s="812">
        <f t="shared" si="25"/>
        <v>7359.6</v>
      </c>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row>
    <row r="481" spans="1:33" s="100" customFormat="1" ht="89.25">
      <c r="A481" s="317"/>
      <c r="B481" s="606">
        <f t="shared" si="26"/>
        <v>17</v>
      </c>
      <c r="C481" s="604" t="s">
        <v>2294</v>
      </c>
      <c r="D481" s="596" t="s">
        <v>599</v>
      </c>
      <c r="E481" s="599" t="s">
        <v>33</v>
      </c>
      <c r="F481" s="318">
        <v>1</v>
      </c>
      <c r="G481" s="319">
        <v>15189.6</v>
      </c>
      <c r="H481" s="812">
        <f t="shared" si="25"/>
        <v>15189.6</v>
      </c>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row>
    <row r="482" spans="1:33" s="100" customFormat="1" ht="89.25">
      <c r="A482" s="317"/>
      <c r="B482" s="606">
        <f t="shared" si="26"/>
        <v>18</v>
      </c>
      <c r="C482" s="604" t="s">
        <v>2295</v>
      </c>
      <c r="D482" s="596" t="s">
        <v>599</v>
      </c>
      <c r="E482" s="599" t="s">
        <v>33</v>
      </c>
      <c r="F482" s="318">
        <v>1</v>
      </c>
      <c r="G482" s="319">
        <v>15189.6</v>
      </c>
      <c r="H482" s="813">
        <v>0</v>
      </c>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row>
    <row r="483" spans="1:33" s="100" customFormat="1" ht="15">
      <c r="A483" s="105"/>
      <c r="B483" s="252"/>
      <c r="C483" s="814" t="s">
        <v>2296</v>
      </c>
      <c r="D483" s="188"/>
      <c r="E483" s="815"/>
      <c r="F483" s="251"/>
      <c r="G483" s="313"/>
      <c r="H483" s="816">
        <f>SUM(H484:H484)</f>
        <v>90718.080000000002</v>
      </c>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row>
    <row r="484" spans="1:33" s="100" customFormat="1" ht="15">
      <c r="A484" s="105"/>
      <c r="B484" s="616">
        <v>1</v>
      </c>
      <c r="C484" s="604" t="s">
        <v>2297</v>
      </c>
      <c r="D484" s="596" t="s">
        <v>597</v>
      </c>
      <c r="E484" s="817" t="s">
        <v>33</v>
      </c>
      <c r="F484" s="818">
        <v>2</v>
      </c>
      <c r="G484" s="319">
        <v>45359.040000000001</v>
      </c>
      <c r="H484" s="708">
        <f>F484*G484</f>
        <v>90718.080000000002</v>
      </c>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row>
    <row r="485" spans="1:33" s="100" customFormat="1" ht="15">
      <c r="A485" s="105"/>
      <c r="B485" s="606"/>
      <c r="C485" s="819" t="s">
        <v>35</v>
      </c>
      <c r="D485" s="820"/>
      <c r="E485" s="821"/>
      <c r="F485" s="798"/>
      <c r="G485" s="799"/>
      <c r="H485" s="822">
        <f>H457+H464+H483</f>
        <v>428547.72000000009</v>
      </c>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row>
    <row r="486" spans="1:33" s="43" customFormat="1" ht="15" customHeight="1">
      <c r="A486" s="105"/>
      <c r="B486" s="114"/>
      <c r="C486" s="258"/>
      <c r="D486" s="111"/>
      <c r="E486" s="175"/>
      <c r="F486" s="120"/>
      <c r="G486" s="112"/>
      <c r="H486" s="113"/>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row>
    <row r="487" spans="1:33" s="43" customFormat="1" ht="15">
      <c r="A487" s="105"/>
      <c r="B487" s="274"/>
      <c r="C487" s="1408" t="s">
        <v>768</v>
      </c>
      <c r="D487" s="1408"/>
      <c r="E487" s="1408"/>
      <c r="F487" s="180"/>
      <c r="G487" s="193"/>
      <c r="H487" s="823">
        <f>H488+H492+H495</f>
        <v>41917668.8843472</v>
      </c>
      <c r="I487" s="288"/>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row>
    <row r="488" spans="1:33" s="43" customFormat="1" ht="17.25" customHeight="1">
      <c r="A488" s="105"/>
      <c r="B488" s="133"/>
      <c r="C488" s="1450" t="s">
        <v>769</v>
      </c>
      <c r="D488" s="1450"/>
      <c r="E488" s="1450"/>
      <c r="F488" s="130"/>
      <c r="G488" s="36"/>
      <c r="H488" s="824">
        <f>H490+H491</f>
        <v>4916.1660800000009</v>
      </c>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row>
    <row r="489" spans="1:33" s="43" customFormat="1" ht="39.6" customHeight="1">
      <c r="A489" s="105"/>
      <c r="B489" s="625" t="s">
        <v>79</v>
      </c>
      <c r="C489" s="746" t="s">
        <v>130</v>
      </c>
      <c r="D489" s="625" t="s">
        <v>94</v>
      </c>
      <c r="E489" s="735" t="s">
        <v>165</v>
      </c>
      <c r="F489" s="625" t="s">
        <v>134</v>
      </c>
      <c r="G489" s="729" t="s">
        <v>95</v>
      </c>
      <c r="H489" s="625" t="s">
        <v>859</v>
      </c>
      <c r="I489" s="288"/>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row>
    <row r="490" spans="1:33" s="94" customFormat="1" ht="16.5" customHeight="1">
      <c r="A490" s="105"/>
      <c r="B490" s="719">
        <v>1</v>
      </c>
      <c r="C490" s="640" t="s">
        <v>96</v>
      </c>
      <c r="D490" s="825">
        <f>2.6*3.5</f>
        <v>9.1</v>
      </c>
      <c r="E490" s="738">
        <f>278.5*1.12</f>
        <v>311.92</v>
      </c>
      <c r="F490" s="826">
        <f>D490*E490</f>
        <v>2838.4720000000002</v>
      </c>
      <c r="G490" s="827">
        <v>1186</v>
      </c>
      <c r="H490" s="828">
        <f>F490</f>
        <v>2838.4720000000002</v>
      </c>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row>
    <row r="491" spans="1:33" s="94" customFormat="1" ht="16.5" customHeight="1">
      <c r="A491" s="105"/>
      <c r="B491" s="719">
        <v>2</v>
      </c>
      <c r="C491" s="640" t="s">
        <v>415</v>
      </c>
      <c r="D491" s="825">
        <f>4.4*3.5</f>
        <v>15.400000000000002</v>
      </c>
      <c r="E491" s="829">
        <f>120.46*1.12</f>
        <v>134.9152</v>
      </c>
      <c r="F491" s="826">
        <f>D491*E491</f>
        <v>2077.6940800000002</v>
      </c>
      <c r="G491" s="827">
        <v>1186</v>
      </c>
      <c r="H491" s="828">
        <f>F491</f>
        <v>2077.6940800000002</v>
      </c>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row>
    <row r="492" spans="1:33" s="43" customFormat="1" ht="22.5" customHeight="1">
      <c r="A492" s="105"/>
      <c r="B492" s="105"/>
      <c r="C492" s="1451" t="s">
        <v>770</v>
      </c>
      <c r="D492" s="1451"/>
      <c r="E492" s="130"/>
      <c r="F492" s="130"/>
      <c r="G492" s="202"/>
      <c r="H492" s="830">
        <f>H494</f>
        <v>18441183.241600003</v>
      </c>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row>
    <row r="493" spans="1:33" s="43" customFormat="1" ht="78.75" customHeight="1">
      <c r="A493" s="105"/>
      <c r="B493" s="625" t="s">
        <v>79</v>
      </c>
      <c r="C493" s="746" t="s">
        <v>130</v>
      </c>
      <c r="D493" s="625" t="s">
        <v>97</v>
      </c>
      <c r="E493" s="625" t="s">
        <v>239</v>
      </c>
      <c r="F493" s="625" t="s">
        <v>135</v>
      </c>
      <c r="G493" s="831" t="s">
        <v>95</v>
      </c>
      <c r="H493" s="831" t="s">
        <v>859</v>
      </c>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row>
    <row r="494" spans="1:33" s="94" customFormat="1" ht="16.5" customHeight="1">
      <c r="A494" s="105"/>
      <c r="B494" s="832" t="s">
        <v>235</v>
      </c>
      <c r="C494" s="640" t="s">
        <v>136</v>
      </c>
      <c r="D494" s="833">
        <v>615757</v>
      </c>
      <c r="E494" s="834">
        <f>26.74*1.12</f>
        <v>29.948800000000002</v>
      </c>
      <c r="F494" s="835">
        <f>D494*E494</f>
        <v>18441183.241600003</v>
      </c>
      <c r="G494" s="319">
        <v>1186</v>
      </c>
      <c r="H494" s="828">
        <f>F494</f>
        <v>18441183.241600003</v>
      </c>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row>
    <row r="495" spans="1:33" s="43" customFormat="1" ht="22.5" customHeight="1">
      <c r="A495" s="105"/>
      <c r="B495" s="105"/>
      <c r="C495" s="1451" t="s">
        <v>771</v>
      </c>
      <c r="D495" s="1451"/>
      <c r="E495" s="130"/>
      <c r="F495" s="130"/>
      <c r="G495" s="36"/>
      <c r="H495" s="824">
        <f>H497+H498+H501+H499+H500</f>
        <v>23471569.476667196</v>
      </c>
      <c r="I495" s="289"/>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row>
    <row r="496" spans="1:33" s="43" customFormat="1" ht="40.5" customHeight="1">
      <c r="A496" s="105"/>
      <c r="B496" s="625" t="s">
        <v>79</v>
      </c>
      <c r="C496" s="746" t="s">
        <v>130</v>
      </c>
      <c r="D496" s="625" t="s">
        <v>148</v>
      </c>
      <c r="E496" s="625" t="s">
        <v>172</v>
      </c>
      <c r="F496" s="625" t="s">
        <v>877</v>
      </c>
      <c r="G496" s="725" t="s">
        <v>98</v>
      </c>
      <c r="H496" s="625" t="s">
        <v>859</v>
      </c>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row>
    <row r="497" spans="1:33" s="94" customFormat="1" ht="16.5" customHeight="1">
      <c r="A497" s="105"/>
      <c r="B497" s="832" t="s">
        <v>235</v>
      </c>
      <c r="C497" s="640" t="s">
        <v>145</v>
      </c>
      <c r="D497" s="666">
        <v>240.64</v>
      </c>
      <c r="E497" s="834">
        <f>9196.21*1.12</f>
        <v>10299.7552</v>
      </c>
      <c r="F497" s="835">
        <f>D497*E497</f>
        <v>2478533.0913279997</v>
      </c>
      <c r="G497" s="835">
        <v>12</v>
      </c>
      <c r="H497" s="835">
        <f>F497</f>
        <v>2478533.0913279997</v>
      </c>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row>
    <row r="498" spans="1:33" s="94" customFormat="1" ht="16.5" customHeight="1">
      <c r="A498" s="105"/>
      <c r="B498" s="832" t="s">
        <v>236</v>
      </c>
      <c r="C498" s="836" t="s">
        <v>146</v>
      </c>
      <c r="D498" s="837">
        <v>1600.96</v>
      </c>
      <c r="E498" s="834">
        <f>9196.21*1.12</f>
        <v>10299.7552</v>
      </c>
      <c r="F498" s="835">
        <f t="shared" ref="F498:F500" si="27">D498*E498</f>
        <v>16489496.084991999</v>
      </c>
      <c r="G498" s="835">
        <v>7</v>
      </c>
      <c r="H498" s="835">
        <f t="shared" ref="H498:H501" si="28">F498</f>
        <v>16489496.084991999</v>
      </c>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row>
    <row r="499" spans="1:33" s="94" customFormat="1" ht="16.5" customHeight="1">
      <c r="A499" s="105"/>
      <c r="B499" s="832" t="s">
        <v>237</v>
      </c>
      <c r="C499" s="836" t="s">
        <v>416</v>
      </c>
      <c r="D499" s="837">
        <v>21.082999999999998</v>
      </c>
      <c r="E499" s="834">
        <f>9196.21*1.12</f>
        <v>10299.7552</v>
      </c>
      <c r="F499" s="835">
        <f t="shared" si="27"/>
        <v>217149.73888159997</v>
      </c>
      <c r="G499" s="835">
        <v>12</v>
      </c>
      <c r="H499" s="835">
        <f t="shared" si="28"/>
        <v>217149.73888159997</v>
      </c>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row>
    <row r="500" spans="1:33" s="94" customFormat="1" ht="16.5" customHeight="1">
      <c r="A500" s="105"/>
      <c r="B500" s="832" t="s">
        <v>418</v>
      </c>
      <c r="C500" s="836" t="s">
        <v>417</v>
      </c>
      <c r="D500" s="837">
        <v>380.25799999999998</v>
      </c>
      <c r="E500" s="834">
        <f>9196.21*1.12</f>
        <v>10299.7552</v>
      </c>
      <c r="F500" s="835">
        <f t="shared" si="27"/>
        <v>3916564.3128415998</v>
      </c>
      <c r="G500" s="835">
        <v>7</v>
      </c>
      <c r="H500" s="835">
        <f t="shared" si="28"/>
        <v>3916564.3128415998</v>
      </c>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row>
    <row r="501" spans="1:33" s="43" customFormat="1" ht="17.25" customHeight="1">
      <c r="A501" s="105"/>
      <c r="B501" s="832" t="s">
        <v>419</v>
      </c>
      <c r="C501" s="640" t="s">
        <v>147</v>
      </c>
      <c r="D501" s="838">
        <v>4786.2299999999996</v>
      </c>
      <c r="E501" s="839">
        <f>68.99*1.12</f>
        <v>77.268799999999999</v>
      </c>
      <c r="F501" s="835">
        <f>D501*E501</f>
        <v>369826.24862399994</v>
      </c>
      <c r="G501" s="835">
        <v>12</v>
      </c>
      <c r="H501" s="835">
        <f t="shared" si="28"/>
        <v>369826.24862399994</v>
      </c>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row>
    <row r="502" spans="1:33" s="43" customFormat="1" ht="17.25" customHeight="1">
      <c r="A502" s="105"/>
      <c r="B502" s="105"/>
      <c r="C502" s="135"/>
      <c r="D502" s="120"/>
      <c r="E502" s="120"/>
      <c r="F502" s="120"/>
      <c r="G502" s="136"/>
      <c r="H502" s="136"/>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row>
    <row r="503" spans="1:33" s="43" customFormat="1" ht="15">
      <c r="A503" s="105"/>
      <c r="B503" s="169"/>
      <c r="C503" s="276" t="s">
        <v>772</v>
      </c>
      <c r="D503" s="276"/>
      <c r="E503" s="180"/>
      <c r="F503" s="180"/>
      <c r="G503" s="193"/>
      <c r="H503" s="840">
        <f>SUM(H505:H505)</f>
        <v>1781232</v>
      </c>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row>
    <row r="504" spans="1:33" s="43" customFormat="1" ht="50.25" customHeight="1">
      <c r="A504" s="105"/>
      <c r="B504" s="625" t="s">
        <v>79</v>
      </c>
      <c r="C504" s="841" t="s">
        <v>99</v>
      </c>
      <c r="D504" s="625" t="s">
        <v>100</v>
      </c>
      <c r="E504" s="1425" t="s">
        <v>101</v>
      </c>
      <c r="F504" s="1426"/>
      <c r="G504" s="625" t="s">
        <v>102</v>
      </c>
      <c r="H504" s="625" t="s">
        <v>862</v>
      </c>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row>
    <row r="505" spans="1:33" s="43" customFormat="1" ht="27.75" customHeight="1">
      <c r="A505" s="105"/>
      <c r="B505" s="616">
        <v>1</v>
      </c>
      <c r="C505" s="604" t="s">
        <v>178</v>
      </c>
      <c r="D505" s="842">
        <v>1</v>
      </c>
      <c r="E505" s="1452">
        <v>148436</v>
      </c>
      <c r="F505" s="1453"/>
      <c r="G505" s="619">
        <v>12</v>
      </c>
      <c r="H505" s="835">
        <f>E505*G505</f>
        <v>1781232</v>
      </c>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row>
    <row r="506" spans="1:33" s="43" customFormat="1" ht="15.75" customHeight="1">
      <c r="A506" s="105"/>
      <c r="B506" s="9"/>
      <c r="C506" s="87"/>
      <c r="D506" s="115"/>
      <c r="E506" s="126"/>
      <c r="F506" s="127"/>
      <c r="G506" s="115"/>
      <c r="H506" s="12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row>
    <row r="507" spans="1:33" s="43" customFormat="1" ht="15">
      <c r="A507" s="105"/>
      <c r="B507" s="169"/>
      <c r="C507" s="1424" t="s">
        <v>773</v>
      </c>
      <c r="D507" s="1424"/>
      <c r="E507" s="180"/>
      <c r="F507" s="180"/>
      <c r="G507" s="193"/>
      <c r="H507" s="843">
        <f>SUM(H509:H526)</f>
        <v>49238590</v>
      </c>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row>
    <row r="508" spans="1:33" s="43" customFormat="1" ht="38.25">
      <c r="A508" s="105"/>
      <c r="B508" s="625" t="s">
        <v>79</v>
      </c>
      <c r="C508" s="844" t="s">
        <v>883</v>
      </c>
      <c r="D508" s="625" t="s">
        <v>55</v>
      </c>
      <c r="E508" s="625" t="s">
        <v>32</v>
      </c>
      <c r="F508" s="625" t="s">
        <v>102</v>
      </c>
      <c r="G508" s="625" t="s">
        <v>211</v>
      </c>
      <c r="H508" s="625" t="s">
        <v>863</v>
      </c>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row>
    <row r="509" spans="1:33" s="97" customFormat="1" ht="15">
      <c r="A509" s="105"/>
      <c r="B509" s="606">
        <v>1</v>
      </c>
      <c r="C509" s="845" t="s">
        <v>612</v>
      </c>
      <c r="D509" s="672" t="s">
        <v>129</v>
      </c>
      <c r="E509" s="619">
        <v>1</v>
      </c>
      <c r="F509" s="751">
        <v>12</v>
      </c>
      <c r="G509" s="294">
        <f>H509/F509</f>
        <v>2061800</v>
      </c>
      <c r="H509" s="763">
        <v>24741600</v>
      </c>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row>
    <row r="510" spans="1:33" s="97" customFormat="1" ht="15">
      <c r="A510" s="105"/>
      <c r="B510" s="606">
        <f>B509+1</f>
        <v>2</v>
      </c>
      <c r="C510" s="642" t="s">
        <v>756</v>
      </c>
      <c r="D510" s="672" t="s">
        <v>129</v>
      </c>
      <c r="E510" s="619"/>
      <c r="F510" s="751">
        <v>12</v>
      </c>
      <c r="G510" s="767">
        <v>108000</v>
      </c>
      <c r="H510" s="763">
        <f>E510*F510*G510</f>
        <v>0</v>
      </c>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row>
    <row r="511" spans="1:33" s="97" customFormat="1" ht="63.75">
      <c r="A511" s="105"/>
      <c r="B511" s="606">
        <f t="shared" ref="B511:B526" si="29">B510+1</f>
        <v>3</v>
      </c>
      <c r="C511" s="602" t="s">
        <v>757</v>
      </c>
      <c r="D511" s="672" t="s">
        <v>129</v>
      </c>
      <c r="E511" s="619">
        <v>1</v>
      </c>
      <c r="F511" s="751">
        <v>11</v>
      </c>
      <c r="G511" s="767">
        <v>380800</v>
      </c>
      <c r="H511" s="763">
        <f t="shared" ref="H511:H523" si="30">E511*F511*G511</f>
        <v>4188800</v>
      </c>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row>
    <row r="512" spans="1:33" s="97" customFormat="1" ht="25.5">
      <c r="A512" s="105"/>
      <c r="B512" s="606">
        <f t="shared" si="29"/>
        <v>4</v>
      </c>
      <c r="C512" s="846" t="s">
        <v>758</v>
      </c>
      <c r="D512" s="672" t="s">
        <v>129</v>
      </c>
      <c r="E512" s="619">
        <v>1</v>
      </c>
      <c r="F512" s="751">
        <v>1</v>
      </c>
      <c r="G512" s="767">
        <v>446000</v>
      </c>
      <c r="H512" s="763">
        <f t="shared" si="30"/>
        <v>446000</v>
      </c>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row>
    <row r="513" spans="1:33" s="97" customFormat="1" ht="25.5">
      <c r="A513" s="105"/>
      <c r="B513" s="606">
        <f t="shared" si="29"/>
        <v>5</v>
      </c>
      <c r="C513" s="847" t="s">
        <v>759</v>
      </c>
      <c r="D513" s="672" t="s">
        <v>129</v>
      </c>
      <c r="E513" s="619">
        <v>1</v>
      </c>
      <c r="F513" s="751">
        <v>11</v>
      </c>
      <c r="G513" s="767">
        <v>90000</v>
      </c>
      <c r="H513" s="763">
        <f t="shared" si="30"/>
        <v>990000</v>
      </c>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row>
    <row r="514" spans="1:33" s="97" customFormat="1" ht="15">
      <c r="A514" s="105"/>
      <c r="B514" s="606">
        <f t="shared" si="29"/>
        <v>6</v>
      </c>
      <c r="C514" s="848" t="s">
        <v>760</v>
      </c>
      <c r="D514" s="672" t="s">
        <v>129</v>
      </c>
      <c r="E514" s="619">
        <v>1</v>
      </c>
      <c r="F514" s="751">
        <v>12</v>
      </c>
      <c r="G514" s="767">
        <v>62537</v>
      </c>
      <c r="H514" s="763">
        <f t="shared" si="30"/>
        <v>750444</v>
      </c>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row>
    <row r="515" spans="1:33" s="97" customFormat="1" ht="25.5">
      <c r="A515" s="105"/>
      <c r="B515" s="606">
        <f t="shared" si="29"/>
        <v>7</v>
      </c>
      <c r="C515" s="849" t="s">
        <v>762</v>
      </c>
      <c r="D515" s="672" t="s">
        <v>129</v>
      </c>
      <c r="E515" s="619">
        <v>1</v>
      </c>
      <c r="F515" s="751">
        <v>1</v>
      </c>
      <c r="G515" s="767">
        <v>15000</v>
      </c>
      <c r="H515" s="763">
        <f t="shared" si="30"/>
        <v>15000</v>
      </c>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row>
    <row r="516" spans="1:33" s="97" customFormat="1" ht="38.25">
      <c r="A516" s="105"/>
      <c r="B516" s="606">
        <f t="shared" si="29"/>
        <v>8</v>
      </c>
      <c r="C516" s="849" t="s">
        <v>763</v>
      </c>
      <c r="D516" s="672" t="s">
        <v>129</v>
      </c>
      <c r="E516" s="619">
        <v>1</v>
      </c>
      <c r="F516" s="751">
        <v>10</v>
      </c>
      <c r="G516" s="767">
        <v>28000</v>
      </c>
      <c r="H516" s="763">
        <f t="shared" si="30"/>
        <v>280000</v>
      </c>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row>
    <row r="517" spans="1:33" s="850" customFormat="1" ht="38.25">
      <c r="A517" s="105"/>
      <c r="B517" s="606">
        <f t="shared" si="29"/>
        <v>9</v>
      </c>
      <c r="C517" s="602" t="s">
        <v>2298</v>
      </c>
      <c r="D517" s="672" t="s">
        <v>129</v>
      </c>
      <c r="E517" s="619">
        <v>1</v>
      </c>
      <c r="F517" s="751">
        <v>1</v>
      </c>
      <c r="G517" s="767">
        <v>340000</v>
      </c>
      <c r="H517" s="763">
        <f t="shared" si="30"/>
        <v>340000</v>
      </c>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row>
    <row r="518" spans="1:33" s="97" customFormat="1" ht="38.25">
      <c r="A518" s="105"/>
      <c r="B518" s="606">
        <f t="shared" si="29"/>
        <v>10</v>
      </c>
      <c r="C518" s="849" t="s">
        <v>764</v>
      </c>
      <c r="D518" s="851" t="s">
        <v>129</v>
      </c>
      <c r="E518" s="639">
        <v>1</v>
      </c>
      <c r="F518" s="643">
        <v>12</v>
      </c>
      <c r="G518" s="763">
        <v>902958</v>
      </c>
      <c r="H518" s="763">
        <f t="shared" si="30"/>
        <v>10835496</v>
      </c>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row>
    <row r="519" spans="1:33" s="97" customFormat="1" ht="38.25">
      <c r="A519" s="105"/>
      <c r="B519" s="606">
        <f t="shared" si="29"/>
        <v>11</v>
      </c>
      <c r="C519" s="849" t="s">
        <v>765</v>
      </c>
      <c r="D519" s="851" t="s">
        <v>129</v>
      </c>
      <c r="E519" s="639">
        <v>1</v>
      </c>
      <c r="F519" s="643">
        <v>4</v>
      </c>
      <c r="G519" s="763">
        <v>182500</v>
      </c>
      <c r="H519" s="763">
        <f t="shared" si="30"/>
        <v>730000</v>
      </c>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row>
    <row r="520" spans="1:33" s="97" customFormat="1" ht="25.5">
      <c r="A520" s="105"/>
      <c r="B520" s="606">
        <f t="shared" si="29"/>
        <v>12</v>
      </c>
      <c r="C520" s="849" t="s">
        <v>766</v>
      </c>
      <c r="D520" s="851" t="s">
        <v>129</v>
      </c>
      <c r="E520" s="639">
        <v>1</v>
      </c>
      <c r="F520" s="643">
        <v>4</v>
      </c>
      <c r="G520" s="763">
        <v>222750</v>
      </c>
      <c r="H520" s="763">
        <f t="shared" si="30"/>
        <v>891000</v>
      </c>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row>
    <row r="521" spans="1:33" s="97" customFormat="1" ht="15">
      <c r="A521" s="105"/>
      <c r="B521" s="606">
        <f t="shared" si="29"/>
        <v>13</v>
      </c>
      <c r="C521" s="848" t="s">
        <v>761</v>
      </c>
      <c r="D521" s="851" t="s">
        <v>129</v>
      </c>
      <c r="E521" s="639"/>
      <c r="F521" s="643">
        <v>4</v>
      </c>
      <c r="G521" s="763">
        <v>100000</v>
      </c>
      <c r="H521" s="763">
        <f t="shared" si="30"/>
        <v>0</v>
      </c>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row>
    <row r="522" spans="1:33" s="97" customFormat="1" ht="15">
      <c r="A522" s="105"/>
      <c r="B522" s="606">
        <f t="shared" si="29"/>
        <v>14</v>
      </c>
      <c r="C522" s="602" t="s">
        <v>1835</v>
      </c>
      <c r="D522" s="852" t="s">
        <v>129</v>
      </c>
      <c r="E522" s="639">
        <v>1</v>
      </c>
      <c r="F522" s="643">
        <v>1</v>
      </c>
      <c r="G522" s="763">
        <v>2550000</v>
      </c>
      <c r="H522" s="763">
        <f t="shared" si="30"/>
        <v>2550000</v>
      </c>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row>
    <row r="523" spans="1:33" s="97" customFormat="1" ht="15">
      <c r="A523" s="105"/>
      <c r="B523" s="606">
        <f t="shared" si="29"/>
        <v>15</v>
      </c>
      <c r="C523" s="602" t="s">
        <v>2299</v>
      </c>
      <c r="D523" s="852" t="s">
        <v>129</v>
      </c>
      <c r="E523" s="639">
        <v>1</v>
      </c>
      <c r="F523" s="643">
        <v>1</v>
      </c>
      <c r="G523" s="763">
        <v>350000</v>
      </c>
      <c r="H523" s="763">
        <f t="shared" si="30"/>
        <v>350000</v>
      </c>
      <c r="I523" s="60"/>
      <c r="J523" s="60" t="s">
        <v>2300</v>
      </c>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row>
    <row r="524" spans="1:33" s="97" customFormat="1" ht="15">
      <c r="A524" s="105"/>
      <c r="B524" s="606">
        <f t="shared" si="29"/>
        <v>16</v>
      </c>
      <c r="C524" s="602" t="s">
        <v>2301</v>
      </c>
      <c r="D524" s="852" t="s">
        <v>129</v>
      </c>
      <c r="E524" s="639">
        <v>1</v>
      </c>
      <c r="F524" s="643">
        <v>1</v>
      </c>
      <c r="G524" s="763">
        <v>1250250</v>
      </c>
      <c r="H524" s="763">
        <f>E524*F524*G524</f>
        <v>1250250</v>
      </c>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row>
    <row r="525" spans="1:33" s="97" customFormat="1" ht="33.75" customHeight="1">
      <c r="A525" s="105"/>
      <c r="B525" s="606">
        <f t="shared" si="29"/>
        <v>17</v>
      </c>
      <c r="C525" s="602" t="s">
        <v>797</v>
      </c>
      <c r="D525" s="853" t="s">
        <v>129</v>
      </c>
      <c r="E525" s="619">
        <v>1</v>
      </c>
      <c r="F525" s="619">
        <v>1</v>
      </c>
      <c r="G525" s="643">
        <v>440000</v>
      </c>
      <c r="H525" s="763">
        <f>E525*F525*G525</f>
        <v>440000</v>
      </c>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row>
    <row r="526" spans="1:33" s="97" customFormat="1" ht="15">
      <c r="A526" s="105"/>
      <c r="B526" s="606">
        <f t="shared" si="29"/>
        <v>18</v>
      </c>
      <c r="C526" s="602" t="s">
        <v>798</v>
      </c>
      <c r="D526" s="853" t="s">
        <v>129</v>
      </c>
      <c r="E526" s="619">
        <v>1</v>
      </c>
      <c r="F526" s="619">
        <v>1</v>
      </c>
      <c r="G526" s="643">
        <v>440000</v>
      </c>
      <c r="H526" s="763">
        <f>E526*F526*G526</f>
        <v>440000</v>
      </c>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row>
    <row r="527" spans="1:33" s="97" customFormat="1" ht="23.25" customHeight="1">
      <c r="A527" s="105"/>
      <c r="B527" s="115"/>
      <c r="C527" s="87"/>
      <c r="D527" s="118"/>
      <c r="E527" s="115"/>
      <c r="F527" s="115"/>
      <c r="G527" s="120"/>
      <c r="H527" s="126"/>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row>
    <row r="528" spans="1:33" s="43" customFormat="1" ht="17.25" customHeight="1">
      <c r="A528" s="105"/>
      <c r="B528" s="197"/>
      <c r="C528" s="259" t="s">
        <v>774</v>
      </c>
      <c r="D528" s="189"/>
      <c r="E528" s="198"/>
      <c r="F528" s="199"/>
      <c r="G528" s="198"/>
      <c r="H528" s="823">
        <f>H530</f>
        <v>944172</v>
      </c>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row>
    <row r="529" spans="1:33" s="43" customFormat="1" ht="65.25" customHeight="1">
      <c r="A529" s="105"/>
      <c r="B529" s="832" t="s">
        <v>7</v>
      </c>
      <c r="C529" s="854" t="s">
        <v>34</v>
      </c>
      <c r="D529" s="736" t="s">
        <v>414</v>
      </c>
      <c r="E529" s="736" t="s">
        <v>423</v>
      </c>
      <c r="F529" s="736" t="s">
        <v>424</v>
      </c>
      <c r="G529" s="736" t="s">
        <v>103</v>
      </c>
      <c r="H529" s="625" t="s">
        <v>555</v>
      </c>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row>
    <row r="530" spans="1:33" s="43" customFormat="1" ht="33.75" customHeight="1">
      <c r="A530" s="105"/>
      <c r="B530" s="778">
        <v>1</v>
      </c>
      <c r="C530" s="855" t="s">
        <v>2302</v>
      </c>
      <c r="D530" s="643">
        <f>4552*2</f>
        <v>9104</v>
      </c>
      <c r="E530" s="596">
        <v>0</v>
      </c>
      <c r="F530" s="596">
        <v>21</v>
      </c>
      <c r="G530" s="856">
        <v>39721.523809523809</v>
      </c>
      <c r="H530" s="838">
        <f>'[1]План командир 2027'!R29</f>
        <v>944172</v>
      </c>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row>
    <row r="531" spans="1:33" s="43" customFormat="1" ht="15">
      <c r="A531" s="105"/>
      <c r="B531" s="115"/>
      <c r="C531" s="87"/>
      <c r="D531" s="112"/>
      <c r="E531" s="112"/>
      <c r="F531" s="36"/>
      <c r="G531" s="172"/>
      <c r="H531" s="194"/>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row>
    <row r="532" spans="1:33" s="43" customFormat="1" ht="15">
      <c r="A532" s="105"/>
      <c r="B532" s="1402" t="s">
        <v>184</v>
      </c>
      <c r="C532" s="1402"/>
      <c r="D532" s="1402"/>
      <c r="E532" s="1402"/>
      <c r="F532" s="1402"/>
      <c r="G532" s="1402"/>
      <c r="H532" s="194"/>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row>
    <row r="533" spans="1:33" s="43" customFormat="1" ht="15">
      <c r="A533" s="105"/>
      <c r="B533" s="1454" t="s">
        <v>775</v>
      </c>
      <c r="C533" s="1454"/>
      <c r="D533" s="1454"/>
      <c r="E533" s="1454"/>
      <c r="F533" s="1454"/>
      <c r="G533" s="631">
        <f>G537</f>
        <v>347040000</v>
      </c>
      <c r="H533" s="194"/>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row>
    <row r="534" spans="1:33" s="43" customFormat="1" ht="68.45" customHeight="1">
      <c r="A534" s="105"/>
      <c r="B534" s="625" t="s">
        <v>79</v>
      </c>
      <c r="C534" s="626" t="s">
        <v>34</v>
      </c>
      <c r="D534" s="625" t="s">
        <v>156</v>
      </c>
      <c r="E534" s="625" t="s">
        <v>123</v>
      </c>
      <c r="F534" s="625" t="s">
        <v>157</v>
      </c>
      <c r="G534" s="625" t="s">
        <v>864</v>
      </c>
      <c r="H534" s="194"/>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row>
    <row r="535" spans="1:33" s="43" customFormat="1" ht="15">
      <c r="A535" s="105"/>
      <c r="B535" s="606">
        <v>1</v>
      </c>
      <c r="C535" s="606">
        <v>2</v>
      </c>
      <c r="D535" s="606">
        <v>3</v>
      </c>
      <c r="E535" s="606">
        <v>4</v>
      </c>
      <c r="F535" s="606">
        <v>5</v>
      </c>
      <c r="G535" s="606">
        <v>6</v>
      </c>
      <c r="H535" s="194"/>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row>
    <row r="536" spans="1:33" s="43" customFormat="1" ht="38.25">
      <c r="A536" s="105"/>
      <c r="B536" s="606" t="s">
        <v>138</v>
      </c>
      <c r="C536" s="613" t="s">
        <v>243</v>
      </c>
      <c r="D536" s="606">
        <v>360</v>
      </c>
      <c r="E536" s="857">
        <f>E552</f>
        <v>241</v>
      </c>
      <c r="F536" s="858">
        <v>4000</v>
      </c>
      <c r="G536" s="731">
        <f>E536*F536*D536</f>
        <v>347040000</v>
      </c>
      <c r="H536" s="194"/>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row>
    <row r="537" spans="1:33" s="43" customFormat="1" ht="15">
      <c r="A537" s="105"/>
      <c r="B537" s="625"/>
      <c r="C537" s="626" t="s">
        <v>158</v>
      </c>
      <c r="D537" s="625"/>
      <c r="E537" s="625"/>
      <c r="F537" s="831"/>
      <c r="G537" s="859">
        <f>G536</f>
        <v>347040000</v>
      </c>
      <c r="H537" s="194"/>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row>
    <row r="538" spans="1:33" s="43" customFormat="1" ht="15">
      <c r="A538" s="105"/>
      <c r="B538" s="317"/>
      <c r="C538" s="640"/>
      <c r="D538" s="747"/>
      <c r="E538" s="619"/>
      <c r="F538" s="639"/>
      <c r="G538" s="606"/>
      <c r="H538" s="194"/>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row>
    <row r="539" spans="1:33" s="43" customFormat="1" ht="70.150000000000006" customHeight="1">
      <c r="A539" s="105"/>
      <c r="B539" s="625" t="s">
        <v>79</v>
      </c>
      <c r="C539" s="626" t="s">
        <v>124</v>
      </c>
      <c r="D539" s="625" t="s">
        <v>174</v>
      </c>
      <c r="E539" s="625" t="s">
        <v>41</v>
      </c>
      <c r="F539" s="831" t="s">
        <v>173</v>
      </c>
      <c r="G539" s="625" t="s">
        <v>801</v>
      </c>
      <c r="H539" s="194"/>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row>
    <row r="540" spans="1:33" s="43" customFormat="1" ht="15">
      <c r="A540" s="105"/>
      <c r="B540" s="719">
        <v>1</v>
      </c>
      <c r="C540" s="640" t="s">
        <v>175</v>
      </c>
      <c r="D540" s="596">
        <v>360</v>
      </c>
      <c r="E540" s="860">
        <v>24</v>
      </c>
      <c r="F540" s="858">
        <v>4000</v>
      </c>
      <c r="G540" s="600">
        <f>D540*E540*F540</f>
        <v>34560000</v>
      </c>
      <c r="H540" s="194"/>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row>
    <row r="541" spans="1:33" s="43" customFormat="1" ht="15">
      <c r="A541" s="105"/>
      <c r="B541" s="719">
        <v>2</v>
      </c>
      <c r="C541" s="640" t="s">
        <v>21</v>
      </c>
      <c r="D541" s="606">
        <v>360</v>
      </c>
      <c r="E541" s="860">
        <v>28</v>
      </c>
      <c r="F541" s="858">
        <v>4000</v>
      </c>
      <c r="G541" s="319">
        <f t="shared" ref="G541:G551" si="31">D541*E541*F541</f>
        <v>40320000</v>
      </c>
      <c r="H541" s="194"/>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row>
    <row r="542" spans="1:33" s="43" customFormat="1" ht="15">
      <c r="A542" s="105"/>
      <c r="B542" s="719">
        <v>3</v>
      </c>
      <c r="C542" s="640" t="s">
        <v>22</v>
      </c>
      <c r="D542" s="606">
        <v>360</v>
      </c>
      <c r="E542" s="860">
        <v>22</v>
      </c>
      <c r="F542" s="858">
        <v>4000</v>
      </c>
      <c r="G542" s="600">
        <f t="shared" si="31"/>
        <v>31680000</v>
      </c>
      <c r="H542" s="194"/>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row>
    <row r="543" spans="1:33" s="43" customFormat="1" ht="15">
      <c r="A543" s="105"/>
      <c r="B543" s="719">
        <v>4</v>
      </c>
      <c r="C543" s="640" t="s">
        <v>176</v>
      </c>
      <c r="D543" s="606">
        <v>360</v>
      </c>
      <c r="E543" s="860">
        <v>30</v>
      </c>
      <c r="F543" s="858">
        <v>4000</v>
      </c>
      <c r="G543" s="600">
        <f t="shared" si="31"/>
        <v>43200000</v>
      </c>
      <c r="H543" s="194"/>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row>
    <row r="544" spans="1:33" s="43" customFormat="1" ht="15">
      <c r="A544" s="105"/>
      <c r="B544" s="719">
        <v>5</v>
      </c>
      <c r="C544" s="640" t="s">
        <v>23</v>
      </c>
      <c r="D544" s="606">
        <v>360</v>
      </c>
      <c r="E544" s="860">
        <v>25</v>
      </c>
      <c r="F544" s="858">
        <v>4000</v>
      </c>
      <c r="G544" s="600">
        <f t="shared" si="31"/>
        <v>36000000</v>
      </c>
      <c r="H544" s="194"/>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row>
    <row r="545" spans="1:33" s="43" customFormat="1" ht="15">
      <c r="A545" s="105"/>
      <c r="B545" s="719">
        <v>6</v>
      </c>
      <c r="C545" s="640" t="s">
        <v>24</v>
      </c>
      <c r="D545" s="606">
        <v>360</v>
      </c>
      <c r="E545" s="860">
        <v>7</v>
      </c>
      <c r="F545" s="858">
        <v>4000</v>
      </c>
      <c r="G545" s="600">
        <f t="shared" si="31"/>
        <v>10080000</v>
      </c>
      <c r="H545" s="194"/>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row>
    <row r="546" spans="1:33" s="43" customFormat="1" ht="15">
      <c r="A546" s="105"/>
      <c r="B546" s="719">
        <v>7</v>
      </c>
      <c r="C546" s="640" t="s">
        <v>177</v>
      </c>
      <c r="D546" s="606">
        <v>360</v>
      </c>
      <c r="E546" s="860">
        <v>0</v>
      </c>
      <c r="F546" s="858">
        <v>4000</v>
      </c>
      <c r="G546" s="600">
        <f t="shared" si="31"/>
        <v>0</v>
      </c>
      <c r="H546" s="194"/>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row>
    <row r="547" spans="1:33" s="43" customFormat="1" ht="15">
      <c r="A547" s="105"/>
      <c r="B547" s="719">
        <v>8</v>
      </c>
      <c r="C547" s="640" t="s">
        <v>25</v>
      </c>
      <c r="D547" s="606">
        <v>360</v>
      </c>
      <c r="E547" s="861">
        <v>0</v>
      </c>
      <c r="F547" s="858">
        <v>4000</v>
      </c>
      <c r="G547" s="600">
        <f t="shared" si="31"/>
        <v>0</v>
      </c>
      <c r="H547" s="194"/>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row>
    <row r="548" spans="1:33" s="43" customFormat="1" ht="15">
      <c r="A548" s="105"/>
      <c r="B548" s="719">
        <v>9</v>
      </c>
      <c r="C548" s="640" t="s">
        <v>26</v>
      </c>
      <c r="D548" s="606">
        <v>360</v>
      </c>
      <c r="E548" s="860">
        <v>30</v>
      </c>
      <c r="F548" s="858">
        <v>4000</v>
      </c>
      <c r="G548" s="600">
        <f t="shared" si="31"/>
        <v>43200000</v>
      </c>
      <c r="H548" s="194"/>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row>
    <row r="549" spans="1:33" s="43" customFormat="1" ht="15">
      <c r="A549" s="105"/>
      <c r="B549" s="719">
        <v>10</v>
      </c>
      <c r="C549" s="640" t="s">
        <v>27</v>
      </c>
      <c r="D549" s="606">
        <v>360</v>
      </c>
      <c r="E549" s="860">
        <v>29</v>
      </c>
      <c r="F549" s="858">
        <v>4000</v>
      </c>
      <c r="G549" s="600">
        <f t="shared" si="31"/>
        <v>41760000</v>
      </c>
      <c r="H549" s="194"/>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row>
    <row r="550" spans="1:33" s="43" customFormat="1" ht="15">
      <c r="A550" s="105"/>
      <c r="B550" s="719">
        <v>11</v>
      </c>
      <c r="C550" s="640" t="s">
        <v>28</v>
      </c>
      <c r="D550" s="606">
        <v>360</v>
      </c>
      <c r="E550" s="860">
        <v>21</v>
      </c>
      <c r="F550" s="858">
        <v>4000</v>
      </c>
      <c r="G550" s="600">
        <f t="shared" si="31"/>
        <v>30240000</v>
      </c>
      <c r="H550" s="194"/>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row>
    <row r="551" spans="1:33" s="43" customFormat="1" ht="15">
      <c r="A551" s="105"/>
      <c r="B551" s="719">
        <v>12</v>
      </c>
      <c r="C551" s="640" t="s">
        <v>29</v>
      </c>
      <c r="D551" s="606">
        <v>360</v>
      </c>
      <c r="E551" s="860">
        <v>25</v>
      </c>
      <c r="F551" s="858">
        <v>4000</v>
      </c>
      <c r="G551" s="600">
        <f t="shared" si="31"/>
        <v>36000000</v>
      </c>
      <c r="H551" s="194"/>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row>
    <row r="552" spans="1:33" s="43" customFormat="1" ht="15.75" customHeight="1">
      <c r="A552" s="105"/>
      <c r="B552" s="317"/>
      <c r="C552" s="640"/>
      <c r="D552" s="747"/>
      <c r="E552" s="862">
        <f>SUM(E540:E551)</f>
        <v>241</v>
      </c>
      <c r="F552" s="863"/>
      <c r="G552" s="601">
        <f>SUM(G540:G551)</f>
        <v>347040000</v>
      </c>
      <c r="H552" s="268"/>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row>
    <row r="553" spans="1:33" s="43" customFormat="1" ht="27.75" customHeight="1">
      <c r="A553" s="105"/>
      <c r="B553" s="1388" t="s">
        <v>284</v>
      </c>
      <c r="C553" s="1389"/>
      <c r="D553" s="1389"/>
      <c r="E553" s="176"/>
      <c r="F553" s="121"/>
      <c r="G553" s="167"/>
      <c r="H553" s="27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row>
    <row r="554" spans="1:33" s="43" customFormat="1" ht="15.75" customHeight="1">
      <c r="A554" s="60"/>
      <c r="B554" s="1390" t="s">
        <v>160</v>
      </c>
      <c r="C554" s="1390"/>
      <c r="D554" s="1390"/>
      <c r="E554" s="176">
        <f>E556*20%</f>
        <v>1000</v>
      </c>
      <c r="F554" s="115" t="s">
        <v>8</v>
      </c>
      <c r="G554" s="121"/>
      <c r="H554" s="271"/>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row>
    <row r="555" spans="1:33" s="43" customFormat="1" ht="14.25" customHeight="1">
      <c r="A555" s="60"/>
      <c r="B555" s="1390" t="s">
        <v>161</v>
      </c>
      <c r="C555" s="1390"/>
      <c r="D555" s="1390"/>
      <c r="E555" s="176">
        <f>E556*80%</f>
        <v>4000</v>
      </c>
      <c r="F555" s="115" t="s">
        <v>8</v>
      </c>
      <c r="G555" s="121"/>
      <c r="H555" s="67"/>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row>
    <row r="556" spans="1:33" s="43" customFormat="1" ht="28.5" customHeight="1">
      <c r="A556" s="60"/>
      <c r="B556" s="1391" t="s">
        <v>289</v>
      </c>
      <c r="C556" s="1391"/>
      <c r="D556" s="1391"/>
      <c r="E556" s="176">
        <v>5000</v>
      </c>
      <c r="F556" s="115" t="s">
        <v>8</v>
      </c>
      <c r="G556" s="121"/>
      <c r="H556" s="67"/>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row>
    <row r="557" spans="1:33" s="43" customFormat="1" ht="28.5" customHeight="1">
      <c r="A557" s="60"/>
      <c r="B557" s="711"/>
      <c r="C557" s="711"/>
      <c r="D557" s="711"/>
      <c r="E557" s="176"/>
      <c r="F557" s="115"/>
      <c r="G557" s="121"/>
      <c r="H557" s="67"/>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row>
    <row r="558" spans="1:33" s="43" customFormat="1" ht="15.75">
      <c r="A558" s="60"/>
      <c r="B558" s="711"/>
      <c r="C558" s="709"/>
      <c r="D558" s="709"/>
      <c r="E558" s="176"/>
      <c r="F558" s="115"/>
      <c r="G558" s="121"/>
      <c r="H558" s="67"/>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row>
    <row r="559" spans="1:33" s="43" customFormat="1" ht="15" customHeight="1">
      <c r="A559" s="60"/>
      <c r="B559" s="169"/>
      <c r="C559" s="1424" t="s">
        <v>2305</v>
      </c>
      <c r="D559" s="1424"/>
      <c r="E559" s="1424"/>
      <c r="F559" s="1424"/>
      <c r="G559" s="181"/>
      <c r="H559" s="636">
        <f>SUM(H562:H568)</f>
        <v>151581.6</v>
      </c>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row>
    <row r="560" spans="1:33" s="43" customFormat="1" ht="53.45" customHeight="1">
      <c r="A560" s="60"/>
      <c r="B560" s="831" t="s">
        <v>7</v>
      </c>
      <c r="C560" s="864" t="s">
        <v>36</v>
      </c>
      <c r="D560" s="831" t="s">
        <v>291</v>
      </c>
      <c r="E560" s="831" t="s">
        <v>292</v>
      </c>
      <c r="F560" s="831" t="s">
        <v>782</v>
      </c>
      <c r="G560" s="625" t="s">
        <v>783</v>
      </c>
      <c r="H560" s="831" t="s">
        <v>784</v>
      </c>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row>
    <row r="561" spans="1:33" s="43" customFormat="1" ht="16.5" customHeight="1">
      <c r="A561" s="60"/>
      <c r="B561" s="596"/>
      <c r="C561" s="626" t="s">
        <v>285</v>
      </c>
      <c r="D561" s="865"/>
      <c r="E561" s="619"/>
      <c r="F561" s="768"/>
      <c r="G561" s="753"/>
      <c r="H561" s="866"/>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row>
    <row r="562" spans="1:33" s="43" customFormat="1" ht="127.5">
      <c r="A562" s="60"/>
      <c r="B562" s="596">
        <v>1</v>
      </c>
      <c r="C562" s="604" t="s">
        <v>376</v>
      </c>
      <c r="D562" s="858" t="s">
        <v>377</v>
      </c>
      <c r="E562" s="762">
        <v>1</v>
      </c>
      <c r="F562" s="762">
        <f>1000%*4552</f>
        <v>45520</v>
      </c>
      <c r="G562" s="728">
        <f>4552*7</f>
        <v>31864</v>
      </c>
      <c r="H562" s="666">
        <f>(F562+G562)*E562</f>
        <v>77384</v>
      </c>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row>
    <row r="563" spans="1:33" s="43" customFormat="1" ht="38.25">
      <c r="A563" s="60"/>
      <c r="B563" s="596">
        <v>2</v>
      </c>
      <c r="C563" s="867" t="s">
        <v>378</v>
      </c>
      <c r="D563" s="858" t="s">
        <v>377</v>
      </c>
      <c r="E563" s="762">
        <v>1</v>
      </c>
      <c r="F563" s="762">
        <f>50%*4552</f>
        <v>2276</v>
      </c>
      <c r="G563" s="728">
        <f>4552*2</f>
        <v>9104</v>
      </c>
      <c r="H563" s="666">
        <f>(F563+G563)*E563</f>
        <v>11380</v>
      </c>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row>
    <row r="564" spans="1:33" s="43" customFormat="1" ht="89.25">
      <c r="A564" s="60"/>
      <c r="B564" s="596">
        <v>3</v>
      </c>
      <c r="C564" s="867" t="s">
        <v>785</v>
      </c>
      <c r="D564" s="858" t="s">
        <v>377</v>
      </c>
      <c r="E564" s="762">
        <v>1</v>
      </c>
      <c r="F564" s="762">
        <f>10%*4552</f>
        <v>455.20000000000005</v>
      </c>
      <c r="G564" s="728">
        <v>4552</v>
      </c>
      <c r="H564" s="666">
        <f>(F564+G564)*E564</f>
        <v>5007.2</v>
      </c>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row>
    <row r="565" spans="1:33" s="43" customFormat="1" ht="38.25">
      <c r="A565" s="60"/>
      <c r="B565" s="596">
        <v>4</v>
      </c>
      <c r="C565" s="867" t="s">
        <v>379</v>
      </c>
      <c r="D565" s="858" t="s">
        <v>377</v>
      </c>
      <c r="E565" s="762">
        <v>1</v>
      </c>
      <c r="F565" s="762">
        <f>50%*4552</f>
        <v>2276</v>
      </c>
      <c r="G565" s="728">
        <v>4552</v>
      </c>
      <c r="H565" s="666">
        <f t="shared" ref="H565:H567" si="32">(F565+G565)*E565</f>
        <v>6828</v>
      </c>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row>
    <row r="566" spans="1:33" s="43" customFormat="1" ht="76.5">
      <c r="A566" s="60"/>
      <c r="B566" s="596">
        <v>5</v>
      </c>
      <c r="C566" s="867" t="s">
        <v>380</v>
      </c>
      <c r="D566" s="858" t="s">
        <v>377</v>
      </c>
      <c r="E566" s="762">
        <v>1</v>
      </c>
      <c r="F566" s="762">
        <f>20%*4552</f>
        <v>910.40000000000009</v>
      </c>
      <c r="G566" s="728">
        <f>4552*7</f>
        <v>31864</v>
      </c>
      <c r="H566" s="666">
        <f t="shared" si="32"/>
        <v>32774.400000000001</v>
      </c>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row>
    <row r="567" spans="1:33" s="43" customFormat="1" ht="15">
      <c r="A567" s="60"/>
      <c r="B567" s="596">
        <v>6</v>
      </c>
      <c r="C567" s="867" t="s">
        <v>381</v>
      </c>
      <c r="D567" s="858" t="s">
        <v>377</v>
      </c>
      <c r="E567" s="762">
        <v>1</v>
      </c>
      <c r="F567" s="762">
        <f>100%*4552</f>
        <v>4552</v>
      </c>
      <c r="G567" s="728">
        <f>2*4552</f>
        <v>9104</v>
      </c>
      <c r="H567" s="666">
        <f t="shared" si="32"/>
        <v>13656</v>
      </c>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row>
    <row r="568" spans="1:33" s="43" customFormat="1" ht="51">
      <c r="A568" s="60"/>
      <c r="B568" s="596">
        <v>7</v>
      </c>
      <c r="C568" s="867" t="s">
        <v>382</v>
      </c>
      <c r="D568" s="858" t="s">
        <v>377</v>
      </c>
      <c r="E568" s="762">
        <v>1</v>
      </c>
      <c r="F568" s="762">
        <f>50%*4552</f>
        <v>2276</v>
      </c>
      <c r="G568" s="728">
        <f>0.5*4552</f>
        <v>2276</v>
      </c>
      <c r="H568" s="666">
        <f>(F568+G568)*E568</f>
        <v>4552</v>
      </c>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row>
    <row r="569" spans="1:33" s="43" customFormat="1" ht="16.5" customHeight="1">
      <c r="A569" s="60"/>
      <c r="B569" s="208"/>
      <c r="C569" s="87"/>
      <c r="D569" s="118"/>
      <c r="E569" s="115"/>
      <c r="F569" s="209"/>
      <c r="G569" s="120"/>
      <c r="H569" s="21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row>
    <row r="570" spans="1:33" s="43" customFormat="1" ht="15" customHeight="1">
      <c r="A570" s="60"/>
      <c r="B570" s="711"/>
      <c r="C570" s="709"/>
      <c r="D570" s="709"/>
      <c r="E570" s="176"/>
      <c r="F570" s="115"/>
      <c r="G570" s="121"/>
      <c r="H570" s="67"/>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row>
    <row r="571" spans="1:33" s="43" customFormat="1" ht="15" customHeight="1">
      <c r="A571" s="60"/>
      <c r="B571" s="711"/>
      <c r="C571" s="256" t="s">
        <v>232</v>
      </c>
      <c r="D571" s="106"/>
      <c r="E571" s="121"/>
      <c r="F571" s="115"/>
      <c r="G571" s="115"/>
      <c r="H571" s="868">
        <f>H8+G18+H93+H38+H98+H487+H503+H507+H528+G533+H559</f>
        <v>2691100038.4581218</v>
      </c>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row>
    <row r="572" spans="1:33" s="43" customFormat="1" ht="16.5" customHeight="1">
      <c r="A572" s="60"/>
      <c r="B572" s="105"/>
      <c r="C572" s="135"/>
      <c r="D572" s="107"/>
      <c r="E572" s="115"/>
      <c r="F572" s="115"/>
      <c r="G572" s="115"/>
      <c r="H572" s="67"/>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row>
    <row r="573" spans="1:33" s="43" customFormat="1" ht="16.5" customHeight="1">
      <c r="A573" s="60"/>
      <c r="B573" s="105"/>
      <c r="C573" s="12" t="s">
        <v>240</v>
      </c>
      <c r="D573" s="10"/>
      <c r="E573" s="10"/>
      <c r="F573" s="60"/>
      <c r="G573" s="72"/>
      <c r="H573" s="67"/>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row>
    <row r="574" spans="1:33" s="43" customFormat="1" ht="22.5" customHeight="1">
      <c r="A574" s="60"/>
      <c r="B574" s="104"/>
      <c r="C574" s="1358" t="s">
        <v>166</v>
      </c>
      <c r="D574" s="1358"/>
      <c r="E574" s="26"/>
      <c r="F574" s="72"/>
      <c r="H574" s="49" t="s">
        <v>407</v>
      </c>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row>
    <row r="575" spans="1:33" s="43" customFormat="1" ht="22.5" customHeight="1">
      <c r="A575" s="60"/>
      <c r="B575" s="104"/>
      <c r="C575" s="10"/>
      <c r="D575" s="706"/>
      <c r="E575" s="706"/>
      <c r="F575" s="72"/>
      <c r="H575"/>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row>
    <row r="576" spans="1:33" s="43" customFormat="1" ht="14.25" customHeight="1">
      <c r="A576" s="60"/>
      <c r="B576" s="104"/>
      <c r="C576" s="1358" t="s">
        <v>167</v>
      </c>
      <c r="D576" s="1358"/>
      <c r="E576" s="26"/>
      <c r="F576" s="67"/>
      <c r="H576" s="49" t="s">
        <v>407</v>
      </c>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row>
    <row r="577" spans="1:33" s="43" customFormat="1" ht="22.5" customHeight="1">
      <c r="A577" s="60"/>
      <c r="B577" s="104"/>
      <c r="C577" s="53"/>
      <c r="D577" s="10"/>
      <c r="E577" s="10"/>
      <c r="F577" s="67"/>
      <c r="H577"/>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row>
    <row r="578" spans="1:33" s="43" customFormat="1" ht="15" customHeight="1">
      <c r="A578" s="60"/>
      <c r="B578" s="104"/>
      <c r="C578" s="74" t="s">
        <v>168</v>
      </c>
      <c r="D578" s="12"/>
      <c r="E578" s="10"/>
      <c r="F578" s="67"/>
      <c r="H578" s="49" t="s">
        <v>407</v>
      </c>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row>
    <row r="579" spans="1:33" s="43" customFormat="1" ht="22.5" customHeight="1">
      <c r="A579" s="60"/>
      <c r="B579" s="104"/>
      <c r="C579" s="53"/>
      <c r="D579" s="1359"/>
      <c r="E579" s="1359"/>
      <c r="F579" s="67"/>
      <c r="H579"/>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row>
    <row r="580" spans="1:33" s="43" customFormat="1" ht="15.75" customHeight="1">
      <c r="A580" s="60"/>
      <c r="B580" s="104"/>
      <c r="C580" s="12" t="s">
        <v>216</v>
      </c>
      <c r="D580" s="10"/>
      <c r="E580" s="10"/>
      <c r="F580" s="67"/>
      <c r="H58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row>
    <row r="581" spans="1:33" s="43" customFormat="1" ht="15.75" customHeight="1">
      <c r="A581" s="60"/>
      <c r="B581" s="104"/>
      <c r="C581" s="1358" t="s">
        <v>403</v>
      </c>
      <c r="D581" s="1358"/>
      <c r="E581" s="26"/>
      <c r="F581" s="67"/>
      <c r="H581" s="49" t="s">
        <v>407</v>
      </c>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row>
    <row r="582" spans="1:33" s="43" customFormat="1" ht="22.5" customHeight="1">
      <c r="A582" s="60"/>
      <c r="B582" s="104"/>
      <c r="C582" s="87"/>
      <c r="D582" s="70"/>
      <c r="E582" s="70"/>
      <c r="F582" s="67"/>
      <c r="G582" s="67"/>
      <c r="H582" s="67"/>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row>
    <row r="583" spans="1:33" s="43" customFormat="1" ht="22.5" customHeight="1">
      <c r="A583" s="60"/>
      <c r="B583" s="104"/>
      <c r="C583" s="87"/>
      <c r="D583" s="70"/>
      <c r="E583" s="70"/>
      <c r="F583" s="67"/>
      <c r="G583" s="67"/>
      <c r="H583" s="67"/>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row>
    <row r="584" spans="1:33" s="43" customFormat="1" ht="17.25" customHeight="1">
      <c r="A584" s="60"/>
      <c r="B584" s="60"/>
      <c r="C584" s="255"/>
      <c r="D584" s="66"/>
      <c r="E584" s="165"/>
      <c r="F584" s="165"/>
      <c r="G584" s="165"/>
      <c r="H584" s="165"/>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row>
    <row r="585" spans="1:33" s="43" customFormat="1" ht="24.75" customHeight="1">
      <c r="A585" s="60"/>
      <c r="B585" s="60"/>
      <c r="C585" s="260"/>
      <c r="D585" s="66"/>
      <c r="E585" s="165"/>
      <c r="F585" s="165"/>
      <c r="G585" s="165"/>
      <c r="H585" s="165"/>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row>
    <row r="586" spans="1:33" s="43" customFormat="1" ht="18.75" customHeight="1">
      <c r="A586" s="60"/>
      <c r="B586" s="60"/>
      <c r="C586" s="87"/>
      <c r="D586" s="114"/>
      <c r="E586" s="70"/>
      <c r="F586" s="67"/>
      <c r="G586" s="67"/>
      <c r="H586" s="67"/>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row>
    <row r="587" spans="1:33" s="43" customFormat="1" ht="21.75" customHeight="1">
      <c r="A587" s="60"/>
      <c r="B587" s="60"/>
      <c r="C587" s="260"/>
      <c r="D587" s="66"/>
      <c r="E587" s="165"/>
      <c r="F587" s="165"/>
      <c r="G587" s="165"/>
      <c r="H587" s="165"/>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row>
    <row r="588" spans="1:33" s="43" customFormat="1" ht="18" customHeight="1">
      <c r="A588" s="60"/>
      <c r="B588" s="60"/>
      <c r="C588" s="260"/>
      <c r="D588" s="66"/>
      <c r="E588" s="165"/>
      <c r="F588" s="165"/>
      <c r="G588" s="165"/>
      <c r="H588" s="165"/>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row>
    <row r="589" spans="1:33" s="43" customFormat="1" ht="27" customHeight="1">
      <c r="A589" s="60"/>
      <c r="B589" s="115"/>
      <c r="C589" s="260"/>
      <c r="D589" s="66"/>
      <c r="E589" s="165"/>
      <c r="F589" s="165"/>
      <c r="G589" s="165"/>
      <c r="H589" s="165"/>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row>
    <row r="590" spans="1:33" s="43" customFormat="1" ht="24" customHeight="1">
      <c r="A590" s="60"/>
      <c r="B590" s="60"/>
      <c r="C590" s="260"/>
      <c r="D590" s="66"/>
      <c r="E590" s="165"/>
      <c r="F590" s="165"/>
      <c r="G590" s="165"/>
      <c r="H590" s="165"/>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row>
    <row r="591" spans="1:33" s="43" customFormat="1" ht="19.5" customHeight="1">
      <c r="A591" s="60"/>
      <c r="B591" s="60"/>
      <c r="C591" s="260"/>
      <c r="D591" s="66"/>
      <c r="E591" s="165"/>
      <c r="F591" s="165"/>
      <c r="G591" s="165"/>
      <c r="H591" s="165"/>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row>
    <row r="592" spans="1:33" s="43" customFormat="1" ht="19.5" customHeight="1">
      <c r="A592" s="60"/>
      <c r="B592" s="60"/>
      <c r="C592" s="260"/>
      <c r="D592" s="66"/>
      <c r="E592" s="165"/>
      <c r="F592" s="165"/>
      <c r="G592" s="165"/>
      <c r="H592" s="165"/>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row>
    <row r="593" spans="1:33" s="43" customFormat="1" ht="56.25" customHeight="1">
      <c r="A593" s="60"/>
      <c r="B593" s="60"/>
      <c r="C593" s="260"/>
      <c r="D593" s="66"/>
      <c r="E593" s="165"/>
      <c r="F593" s="165"/>
      <c r="G593" s="165"/>
      <c r="H593" s="165"/>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row>
    <row r="594" spans="1:33" s="43" customFormat="1" ht="20.25" customHeight="1">
      <c r="A594" s="60"/>
      <c r="B594" s="60"/>
      <c r="C594" s="260"/>
      <c r="D594" s="66"/>
      <c r="E594" s="165"/>
      <c r="F594" s="165"/>
      <c r="G594" s="165"/>
      <c r="H594" s="165"/>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row>
    <row r="595" spans="1:33" s="43" customFormat="1" ht="19.5" customHeight="1">
      <c r="A595" s="60"/>
      <c r="B595" s="60"/>
      <c r="C595" s="260"/>
      <c r="D595" s="66"/>
      <c r="E595" s="165"/>
      <c r="F595" s="165"/>
      <c r="G595" s="165"/>
      <c r="H595" s="165"/>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row>
    <row r="596" spans="1:33" s="43" customFormat="1" ht="33" customHeight="1">
      <c r="A596" s="60"/>
      <c r="B596" s="60"/>
      <c r="C596" s="260"/>
      <c r="D596" s="66"/>
      <c r="E596" s="165"/>
      <c r="F596" s="165"/>
      <c r="G596" s="165"/>
      <c r="H596" s="165"/>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row>
    <row r="597" spans="1:33" s="43" customFormat="1" ht="18" customHeight="1">
      <c r="A597" s="60"/>
      <c r="B597" s="60"/>
      <c r="C597" s="260"/>
      <c r="D597" s="66"/>
      <c r="E597" s="165"/>
      <c r="F597" s="165"/>
      <c r="G597" s="165"/>
      <c r="H597" s="165"/>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row>
    <row r="598" spans="1:33" s="43" customFormat="1" ht="18" customHeight="1">
      <c r="A598" s="60"/>
      <c r="B598" s="60"/>
      <c r="C598" s="260"/>
      <c r="D598" s="66"/>
      <c r="E598" s="165"/>
      <c r="F598" s="165"/>
      <c r="G598" s="165"/>
      <c r="H598" s="165"/>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row>
    <row r="599" spans="1:33" s="43" customFormat="1" ht="20.25" customHeight="1">
      <c r="A599" s="60"/>
      <c r="B599" s="60"/>
      <c r="C599" s="260"/>
      <c r="D599" s="66"/>
      <c r="E599" s="165"/>
      <c r="F599" s="165"/>
      <c r="G599" s="165"/>
      <c r="H599" s="165"/>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row>
    <row r="600" spans="1:33" s="43" customFormat="1" ht="35.25" customHeight="1">
      <c r="A600" s="60"/>
      <c r="B600" s="60"/>
      <c r="C600" s="260"/>
      <c r="D600" s="66"/>
      <c r="E600" s="165"/>
      <c r="F600" s="165"/>
      <c r="G600" s="165"/>
      <c r="H600" s="165"/>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row>
    <row r="601" spans="1:33" s="43" customFormat="1" ht="26.25" customHeight="1">
      <c r="A601" s="60"/>
      <c r="B601" s="60"/>
      <c r="C601" s="260"/>
      <c r="D601" s="66"/>
      <c r="E601" s="165"/>
      <c r="F601" s="165"/>
      <c r="G601" s="165"/>
      <c r="H601" s="165"/>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row>
    <row r="602" spans="1:33" s="43" customFormat="1" ht="27.75" customHeight="1">
      <c r="A602" s="60"/>
      <c r="B602" s="60"/>
      <c r="C602" s="260"/>
      <c r="D602" s="66"/>
      <c r="E602" s="165"/>
      <c r="F602" s="165"/>
      <c r="G602" s="165"/>
      <c r="H602" s="165"/>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row>
    <row r="603" spans="1:33" s="43" customFormat="1" ht="27" customHeight="1">
      <c r="A603" s="60"/>
      <c r="B603" s="60"/>
      <c r="C603" s="260"/>
      <c r="D603" s="66"/>
      <c r="E603" s="165"/>
      <c r="F603" s="165"/>
      <c r="G603" s="165"/>
      <c r="H603" s="165"/>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row>
    <row r="604" spans="1:33" s="43" customFormat="1" ht="18.75" customHeight="1">
      <c r="A604" s="60"/>
      <c r="B604" s="60"/>
      <c r="C604" s="260"/>
      <c r="D604" s="66"/>
      <c r="E604" s="165"/>
      <c r="F604" s="165"/>
      <c r="G604" s="165"/>
      <c r="H604" s="165"/>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row>
    <row r="605" spans="1:33" s="43" customFormat="1" ht="18.75" customHeight="1">
      <c r="A605" s="60"/>
      <c r="B605" s="60"/>
      <c r="C605" s="260"/>
      <c r="D605" s="66"/>
      <c r="E605" s="165"/>
      <c r="F605" s="165"/>
      <c r="G605" s="165"/>
      <c r="H605" s="165"/>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row>
    <row r="606" spans="1:33" s="43" customFormat="1" ht="18.75" customHeight="1">
      <c r="A606" s="60"/>
      <c r="B606" s="60"/>
      <c r="C606" s="260"/>
      <c r="D606" s="66"/>
      <c r="E606" s="165"/>
      <c r="F606" s="165"/>
      <c r="G606" s="165"/>
      <c r="H606" s="165"/>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row>
    <row r="607" spans="1:33" s="43" customFormat="1" ht="36.75" customHeight="1">
      <c r="A607" s="60"/>
      <c r="B607" s="60"/>
      <c r="C607" s="260"/>
      <c r="D607" s="66"/>
      <c r="E607" s="165"/>
      <c r="F607" s="165"/>
      <c r="G607" s="165"/>
      <c r="H607" s="165"/>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row>
    <row r="608" spans="1:33" s="43" customFormat="1" ht="37.5" customHeight="1">
      <c r="A608" s="60"/>
      <c r="B608" s="60"/>
      <c r="C608" s="260"/>
      <c r="D608" s="66"/>
      <c r="E608" s="165"/>
      <c r="F608" s="165"/>
      <c r="G608" s="165"/>
      <c r="H608" s="165"/>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row>
    <row r="609" spans="1:33" s="43" customFormat="1" ht="27.75" customHeight="1">
      <c r="A609" s="60"/>
      <c r="B609" s="60"/>
      <c r="C609" s="260"/>
      <c r="D609" s="66"/>
      <c r="E609" s="165"/>
      <c r="F609" s="165"/>
      <c r="G609" s="165"/>
      <c r="H609" s="165"/>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row>
    <row r="610" spans="1:33" s="43" customFormat="1" ht="63" customHeight="1">
      <c r="A610" s="60"/>
      <c r="B610" s="60"/>
      <c r="C610" s="260"/>
      <c r="D610" s="66"/>
      <c r="E610" s="165"/>
      <c r="F610" s="165"/>
      <c r="G610" s="165"/>
      <c r="H610" s="165"/>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row>
    <row r="611" spans="1:33" s="43" customFormat="1" ht="28.5" customHeight="1">
      <c r="A611" s="60"/>
      <c r="B611" s="60"/>
      <c r="C611" s="260"/>
      <c r="D611" s="66"/>
      <c r="E611" s="165"/>
      <c r="F611" s="165"/>
      <c r="G611" s="165"/>
      <c r="H611" s="165"/>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row>
    <row r="612" spans="1:33" s="43" customFormat="1" ht="24.75" customHeight="1">
      <c r="A612" s="60"/>
      <c r="B612" s="60"/>
      <c r="C612" s="260"/>
      <c r="D612" s="66"/>
      <c r="E612" s="165"/>
      <c r="F612" s="165"/>
      <c r="G612" s="165"/>
      <c r="H612" s="165"/>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row>
    <row r="613" spans="1:33" s="43" customFormat="1" ht="29.25" customHeight="1">
      <c r="A613" s="60"/>
      <c r="B613" s="60"/>
      <c r="C613" s="260"/>
      <c r="D613" s="66"/>
      <c r="E613" s="165"/>
      <c r="F613" s="165"/>
      <c r="G613" s="165"/>
      <c r="H613" s="165"/>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row>
    <row r="614" spans="1:33" s="43" customFormat="1" ht="18.75" customHeight="1">
      <c r="A614" s="60"/>
      <c r="B614" s="60"/>
      <c r="C614" s="260"/>
      <c r="D614" s="66"/>
      <c r="E614" s="165"/>
      <c r="F614" s="165"/>
      <c r="G614" s="165"/>
      <c r="H614" s="165"/>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row>
    <row r="615" spans="1:33" s="43" customFormat="1" ht="21.75" customHeight="1">
      <c r="A615" s="60"/>
      <c r="B615" s="60"/>
      <c r="C615" s="260"/>
      <c r="D615" s="66"/>
      <c r="E615" s="165"/>
      <c r="F615" s="165"/>
      <c r="G615" s="165"/>
      <c r="H615" s="165"/>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row>
    <row r="616" spans="1:33" s="43" customFormat="1" ht="41.25" customHeight="1">
      <c r="A616" s="60"/>
      <c r="B616" s="60"/>
      <c r="C616" s="260"/>
      <c r="D616" s="66"/>
      <c r="E616" s="165"/>
      <c r="F616" s="165"/>
      <c r="G616" s="165"/>
      <c r="H616" s="165"/>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row>
    <row r="617" spans="1:33" s="43" customFormat="1" ht="39.75" customHeight="1">
      <c r="A617" s="60"/>
      <c r="B617" s="60"/>
      <c r="C617" s="260"/>
      <c r="D617" s="66"/>
      <c r="E617" s="165"/>
      <c r="F617" s="165"/>
      <c r="G617" s="165"/>
      <c r="H617" s="165"/>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row>
    <row r="618" spans="1:33" s="43" customFormat="1" ht="28.5" customHeight="1">
      <c r="A618" s="60"/>
      <c r="B618" s="60"/>
      <c r="C618" s="260"/>
      <c r="D618" s="66"/>
      <c r="E618" s="165"/>
      <c r="F618" s="165"/>
      <c r="G618" s="165"/>
      <c r="H618" s="165"/>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row>
    <row r="619" spans="1:33" s="43" customFormat="1" ht="46.5" customHeight="1">
      <c r="A619" s="60"/>
      <c r="B619" s="60"/>
      <c r="C619" s="260"/>
      <c r="D619" s="66"/>
      <c r="E619" s="165"/>
      <c r="F619" s="165"/>
      <c r="G619" s="165"/>
      <c r="H619" s="165"/>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row>
    <row r="620" spans="1:33" s="43" customFormat="1" ht="22.5" customHeight="1">
      <c r="A620" s="60"/>
      <c r="B620" s="60"/>
      <c r="C620" s="260"/>
      <c r="D620" s="66"/>
      <c r="E620" s="165"/>
      <c r="F620" s="165"/>
      <c r="G620" s="165"/>
      <c r="H620" s="165"/>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row>
    <row r="621" spans="1:33" ht="15">
      <c r="B621" s="43"/>
    </row>
    <row r="622" spans="1:33" ht="15">
      <c r="B622" s="43"/>
    </row>
    <row r="623" spans="1:33" ht="15">
      <c r="B623" s="43"/>
    </row>
    <row r="624" spans="1:33" ht="20.25" customHeight="1"/>
    <row r="626" spans="3:8" ht="33" customHeight="1"/>
    <row r="631" spans="3:8" ht="18.75" customHeight="1"/>
    <row r="633" spans="3:8" ht="19.5" customHeight="1"/>
    <row r="638" spans="3:8" ht="15.75" customHeight="1"/>
    <row r="639" spans="3:8" ht="15">
      <c r="C639" s="27"/>
      <c r="D639" s="190"/>
      <c r="E639" s="183"/>
      <c r="F639" s="184"/>
      <c r="G639" s="184"/>
      <c r="H639" s="186"/>
    </row>
    <row r="640" spans="3:8">
      <c r="C640" s="262"/>
      <c r="D640" s="191"/>
      <c r="E640" s="185"/>
      <c r="F640" s="186"/>
      <c r="G640" s="186"/>
      <c r="H640" s="186"/>
    </row>
  </sheetData>
  <mergeCells count="55">
    <mergeCell ref="C581:D581"/>
    <mergeCell ref="B555:D555"/>
    <mergeCell ref="B556:D556"/>
    <mergeCell ref="C559:F559"/>
    <mergeCell ref="C574:D574"/>
    <mergeCell ref="C576:D576"/>
    <mergeCell ref="D579:E579"/>
    <mergeCell ref="B554:D554"/>
    <mergeCell ref="A375:H375"/>
    <mergeCell ref="C487:E487"/>
    <mergeCell ref="C488:E488"/>
    <mergeCell ref="C492:D492"/>
    <mergeCell ref="C495:D495"/>
    <mergeCell ref="E504:F504"/>
    <mergeCell ref="E505:F505"/>
    <mergeCell ref="C507:D507"/>
    <mergeCell ref="B532:G532"/>
    <mergeCell ref="B533:F533"/>
    <mergeCell ref="B553:D553"/>
    <mergeCell ref="C370:G370"/>
    <mergeCell ref="C98:F98"/>
    <mergeCell ref="G99:H99"/>
    <mergeCell ref="G100:H100"/>
    <mergeCell ref="G101:H101"/>
    <mergeCell ref="G102:H102"/>
    <mergeCell ref="G103:H103"/>
    <mergeCell ref="B104:H104"/>
    <mergeCell ref="B105:H105"/>
    <mergeCell ref="B106:H106"/>
    <mergeCell ref="B107:H107"/>
    <mergeCell ref="B367:H367"/>
    <mergeCell ref="C14:F14"/>
    <mergeCell ref="B43:H43"/>
    <mergeCell ref="C16:F16"/>
    <mergeCell ref="C18:F18"/>
    <mergeCell ref="B21:H21"/>
    <mergeCell ref="C38:G38"/>
    <mergeCell ref="G39:H39"/>
    <mergeCell ref="G40:H40"/>
    <mergeCell ref="G41:H41"/>
    <mergeCell ref="C9:G9"/>
    <mergeCell ref="C10:F10"/>
    <mergeCell ref="C11:F11"/>
    <mergeCell ref="C12:F12"/>
    <mergeCell ref="C13:F13"/>
    <mergeCell ref="C3:H3"/>
    <mergeCell ref="C4:H4"/>
    <mergeCell ref="C5:H5"/>
    <mergeCell ref="C6:H6"/>
    <mergeCell ref="C8:F8"/>
    <mergeCell ref="C93:F93"/>
    <mergeCell ref="G94:H94"/>
    <mergeCell ref="G95:H95"/>
    <mergeCell ref="G96:H96"/>
    <mergeCell ref="C15:F15"/>
  </mergeCells>
  <hyperlinks>
    <hyperlink ref="C259" r:id="rId1" display="https://santehnica.kz/p65942293-gibkaya-podvodka-dlya.html" xr:uid="{90AC93F4-743D-4DC6-B95B-CD6D15D0229E}"/>
    <hyperlink ref="C263" r:id="rId2" display="https://zubr-shop.kz/p4217773-zubr-multirez-255.html" xr:uid="{FFD73FE5-146B-4F2C-A298-D8310A423B13}"/>
    <hyperlink ref="C274" r:id="rId3" display="https://all-tools.kz/p48680301-cilikonovaya-smazka-sprej.html" xr:uid="{7D95544A-07DA-4ECB-8C79-5D467D6A0735}"/>
    <hyperlink ref="C284" r:id="rId4" display="https://prolock.kz/p90329387-suvaldnyj-vreznoj-zamok.html" xr:uid="{53FF31EB-E6FE-4B39-802F-A3CF405F6820}"/>
    <hyperlink ref="D199" r:id="rId5" display="https://amc.kz/p91375876-nabor-bit-ph2.html" xr:uid="{B9A5B5FB-EC88-42E5-81DC-713046BFF467}"/>
    <hyperlink ref="D212" r:id="rId6" display="https://zubr-shop.kz/p91050994-grinda-latuni-vneshnej.html" xr:uid="{8EC8F7A7-3511-45DF-9633-84A6DE2DFFAD}"/>
    <hyperlink ref="D241" r:id="rId7" display="https://zubr-shop.kz/p4217787-zamok-navesnoj-zubr.html" xr:uid="{56E2D40B-E30C-44B1-9C00-BA6698B8F333}"/>
    <hyperlink ref="D244" r:id="rId8" display="https://zubr-shop.kz/p4214304-zubr-lezviya-segmentirovannye.html" xr:uid="{92E8EA02-E298-4755-94F7-136D144863CE}"/>
    <hyperlink ref="D263" r:id="rId9" display="https://zubr-shop.kz/p4217773-zubr-multirez-255.html" xr:uid="{31D9A0CD-3102-4AB4-9603-46883A8B7AEB}"/>
    <hyperlink ref="D274" r:id="rId10" display="https://all-tools.kz/p48680301-cilikonovaya-smazka-sprej.html" xr:uid="{1193E9EB-2F03-4000-B2B3-D326A0D83532}"/>
    <hyperlink ref="D286" r:id="rId11" display="https://zubr-shop.kz/p43580980-zamok-navesnoj-diskovyj.html" xr:uid="{3A896496-0CB2-49EA-AFE6-52221FED3420}"/>
    <hyperlink ref="D287" r:id="rId12" display="https://zubr-shop.kz/p4217787-zamok-navesnoj-zubr.html" xr:uid="{45EFB618-113D-415B-AA55-690394F3E93B}"/>
    <hyperlink ref="D290" r:id="rId13" display="https://kdm.kz/p19989283-zaklepki-vytyazhnye-4810.html" xr:uid="{F1C8CAE4-6017-4C99-813B-4D966D1C82DC}"/>
    <hyperlink ref="D291" r:id="rId14" display="https://kdm.kz/p19989283-zaklepki-vytyazhnye-4810.html" xr:uid="{7F67671F-6081-454D-A7EF-2BF449045F66}"/>
  </hyperlinks>
  <pageMargins left="0.78740157480314965" right="0.19685039370078741" top="0.39370078740157483" bottom="0.19685039370078741" header="0.31496062992125984" footer="0.31496062992125984"/>
  <pageSetup paperSize="9" scale="70" fitToHeight="0" orientation="portrait"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5F35A-A370-490D-AC2B-09A2196BBC01}">
  <dimension ref="A1:AI1307"/>
  <sheetViews>
    <sheetView topLeftCell="A13" zoomScale="70" zoomScaleNormal="70" workbookViewId="0">
      <pane xSplit="2" ySplit="6" topLeftCell="C174" activePane="bottomRight" state="frozen"/>
      <selection activeCell="D175" sqref="D175"/>
      <selection pane="topRight" activeCell="D175" sqref="D175"/>
      <selection pane="bottomLeft" activeCell="D175" sqref="D175"/>
      <selection pane="bottomRight" activeCell="D175" sqref="D175"/>
    </sheetView>
  </sheetViews>
  <sheetFormatPr defaultColWidth="9.140625" defaultRowHeight="15.75"/>
  <cols>
    <col min="1" max="1" width="6" style="1175" customWidth="1"/>
    <col min="2" max="2" width="35.5703125" style="1295" customWidth="1"/>
    <col min="3" max="3" width="35.28515625" style="1295" customWidth="1"/>
    <col min="4" max="4" width="8.140625" style="1118" customWidth="1"/>
    <col min="5" max="5" width="10.7109375" style="1264" customWidth="1"/>
    <col min="6" max="6" width="10.5703125" style="1118" hidden="1" customWidth="1"/>
    <col min="7" max="7" width="13.42578125" style="1118" customWidth="1"/>
    <col min="8" max="8" width="10.28515625" style="1118" customWidth="1"/>
    <col min="9" max="9" width="15.140625" style="1118" customWidth="1"/>
    <col min="10" max="10" width="15.5703125" style="1118" customWidth="1"/>
    <col min="11" max="11" width="19.140625" style="1118" customWidth="1"/>
    <col min="12" max="12" width="26.7109375" style="1118" customWidth="1"/>
    <col min="13" max="13" width="26.28515625" style="1118" customWidth="1"/>
    <col min="14" max="14" width="29.42578125" style="1118" customWidth="1"/>
    <col min="15" max="15" width="25.140625" style="1118" customWidth="1"/>
    <col min="16" max="16" width="28.7109375" style="1118" customWidth="1"/>
    <col min="17" max="17" width="24.42578125" style="1111" customWidth="1"/>
    <col min="18" max="18" width="25.28515625" style="1111" customWidth="1"/>
    <col min="19" max="19" width="18.28515625" style="1111" bestFit="1" customWidth="1"/>
    <col min="20" max="20" width="17.7109375" style="1111" customWidth="1"/>
    <col min="21" max="23" width="14.42578125" style="1111" bestFit="1" customWidth="1"/>
    <col min="24" max="24" width="16.7109375" style="1111" bestFit="1" customWidth="1"/>
    <col min="25" max="25" width="16.5703125" style="1111" customWidth="1"/>
    <col min="26" max="26" width="17.28515625" style="1111" customWidth="1"/>
    <col min="27" max="27" width="16.5703125" style="1111" customWidth="1"/>
    <col min="28" max="28" width="15.7109375" style="1111" bestFit="1" customWidth="1"/>
    <col min="29" max="29" width="16" style="1111" customWidth="1"/>
    <col min="30" max="30" width="15.42578125" style="1111" customWidth="1"/>
    <col min="31" max="31" width="15.7109375" style="1111" bestFit="1" customWidth="1"/>
    <col min="32" max="32" width="18.85546875" style="1111" customWidth="1"/>
    <col min="33" max="33" width="11.85546875" style="1111" customWidth="1"/>
    <col min="34" max="34" width="16.85546875" style="1111" bestFit="1" customWidth="1"/>
    <col min="35" max="35" width="15.7109375" style="1111" bestFit="1" customWidth="1"/>
    <col min="36" max="16384" width="9.140625" style="1111"/>
  </cols>
  <sheetData>
    <row r="1" spans="1:33" ht="15.75" customHeight="1">
      <c r="A1" s="1109"/>
      <c r="B1" s="1109"/>
      <c r="C1" s="1109"/>
      <c r="D1" s="1109"/>
      <c r="E1" s="1109"/>
      <c r="F1" s="1109"/>
      <c r="G1" s="1109"/>
      <c r="H1" s="1110"/>
      <c r="I1" s="1110"/>
      <c r="J1" s="1110"/>
      <c r="K1" s="1111"/>
      <c r="L1" s="1111"/>
      <c r="M1" s="1111"/>
      <c r="N1" s="1109"/>
      <c r="O1" s="1109"/>
      <c r="P1" s="1109"/>
      <c r="Q1" s="1109"/>
      <c r="R1" s="1109"/>
      <c r="S1" s="1109"/>
      <c r="T1" s="1109"/>
      <c r="U1" s="1109"/>
      <c r="V1" s="1109"/>
      <c r="W1" s="1109"/>
      <c r="X1" s="1109"/>
      <c r="Y1" s="1109"/>
      <c r="Z1" s="1109"/>
      <c r="AA1" s="1109"/>
      <c r="AB1" s="1109"/>
      <c r="AC1" s="1109"/>
      <c r="AD1" s="1109"/>
      <c r="AE1" s="1109"/>
      <c r="AF1" s="1109"/>
      <c r="AG1" s="1109"/>
    </row>
    <row r="2" spans="1:33" ht="15.75" customHeight="1">
      <c r="A2" s="1109"/>
      <c r="B2" s="1109"/>
      <c r="C2" s="1109"/>
      <c r="D2" s="1109"/>
      <c r="E2" s="1109"/>
      <c r="F2" s="1109"/>
      <c r="G2" s="1109"/>
      <c r="H2" s="1110"/>
      <c r="I2" s="1110"/>
      <c r="J2" s="1110"/>
      <c r="K2" s="1111"/>
      <c r="L2" s="1111"/>
      <c r="M2" s="1111"/>
      <c r="N2" s="1109"/>
      <c r="O2" s="1109"/>
      <c r="P2" s="1109"/>
      <c r="Q2" s="1109"/>
      <c r="R2" s="1109"/>
      <c r="S2" s="1109"/>
      <c r="T2" s="1109"/>
      <c r="U2" s="1109"/>
      <c r="V2" s="1109"/>
      <c r="W2" s="1109"/>
      <c r="X2" s="1109"/>
      <c r="Y2" s="1109"/>
      <c r="Z2" s="1109"/>
      <c r="AA2" s="1109"/>
      <c r="AB2" s="1109"/>
      <c r="AC2" s="1109"/>
      <c r="AD2" s="1109"/>
      <c r="AE2" s="1109"/>
      <c r="AF2" s="1109"/>
      <c r="AG2" s="1109"/>
    </row>
    <row r="3" spans="1:33" ht="15.75" customHeight="1">
      <c r="A3" s="1109"/>
      <c r="B3" s="1109"/>
      <c r="C3" s="1109"/>
      <c r="D3" s="1109"/>
      <c r="E3" s="1109"/>
      <c r="F3" s="1109"/>
      <c r="G3" s="1109"/>
      <c r="H3" s="1110"/>
      <c r="I3" s="1110"/>
      <c r="J3" s="1110"/>
      <c r="K3" s="1111"/>
      <c r="L3" s="1111"/>
      <c r="M3" s="1111"/>
      <c r="N3" s="1109"/>
      <c r="O3" s="1109"/>
      <c r="P3" s="1109"/>
      <c r="Q3" s="1109"/>
      <c r="R3" s="1109"/>
      <c r="S3" s="1109"/>
      <c r="T3" s="1109"/>
      <c r="U3" s="1109"/>
      <c r="V3" s="1109"/>
      <c r="W3" s="1109"/>
      <c r="X3" s="1109"/>
      <c r="Y3" s="1109"/>
      <c r="Z3" s="1109"/>
      <c r="AA3" s="1109"/>
      <c r="AB3" s="1109"/>
      <c r="AC3" s="1109"/>
      <c r="AD3" s="1109"/>
      <c r="AE3" s="1109"/>
      <c r="AF3" s="1109"/>
      <c r="AG3" s="1109"/>
    </row>
    <row r="4" spans="1:33" ht="15.75" customHeight="1">
      <c r="A4" s="1109"/>
      <c r="B4" s="1109"/>
      <c r="C4" s="1109"/>
      <c r="D4" s="1109"/>
      <c r="E4" s="1109"/>
      <c r="F4" s="1109"/>
      <c r="G4" s="1109"/>
      <c r="H4" s="1110"/>
      <c r="I4" s="1110"/>
      <c r="J4" s="1110"/>
      <c r="K4" s="1111"/>
      <c r="L4" s="1111"/>
      <c r="M4" s="1111"/>
      <c r="N4" s="1109"/>
      <c r="O4" s="1109"/>
      <c r="P4" s="1109"/>
      <c r="Q4" s="1109"/>
      <c r="R4" s="1109"/>
      <c r="S4" s="1109"/>
      <c r="T4" s="1109"/>
      <c r="U4" s="1109"/>
      <c r="V4" s="1109"/>
      <c r="W4" s="1109"/>
      <c r="X4" s="1109"/>
      <c r="Y4" s="1109"/>
      <c r="Z4" s="1109"/>
      <c r="AA4" s="1109"/>
      <c r="AB4" s="1109"/>
      <c r="AC4" s="1109"/>
      <c r="AD4" s="1109"/>
      <c r="AE4" s="1109"/>
      <c r="AF4" s="1109"/>
      <c r="AG4" s="1109"/>
    </row>
    <row r="5" spans="1:33" ht="27" customHeight="1">
      <c r="A5" s="1109"/>
      <c r="B5" s="1109"/>
      <c r="C5" s="1109"/>
      <c r="D5" s="1109"/>
      <c r="E5" s="1109"/>
      <c r="F5" s="1109"/>
      <c r="G5" s="1109"/>
      <c r="H5" s="1110"/>
      <c r="I5" s="1458" t="s">
        <v>889</v>
      </c>
      <c r="J5" s="1458"/>
      <c r="K5" s="1458"/>
      <c r="L5" s="1458"/>
      <c r="M5" s="1458"/>
      <c r="N5" s="1458"/>
      <c r="O5" s="1458"/>
      <c r="P5" s="1458"/>
      <c r="Q5" s="323"/>
      <c r="R5" s="323"/>
      <c r="S5" s="323"/>
      <c r="T5" s="323"/>
      <c r="U5" s="323"/>
      <c r="V5" s="323"/>
      <c r="W5" s="323"/>
      <c r="X5" s="323"/>
      <c r="Y5" s="323"/>
      <c r="Z5" s="323"/>
      <c r="AA5" s="323"/>
      <c r="AB5" s="323"/>
      <c r="AC5" s="1109"/>
      <c r="AD5" s="1109"/>
      <c r="AE5" s="1109"/>
      <c r="AF5" s="1109"/>
      <c r="AG5" s="1109"/>
    </row>
    <row r="6" spans="1:33" ht="29.25" customHeight="1">
      <c r="A6" s="1109"/>
      <c r="B6" s="1109"/>
      <c r="C6" s="1109"/>
      <c r="D6" s="1109"/>
      <c r="E6" s="1109"/>
      <c r="F6" s="1109"/>
      <c r="G6" s="1109"/>
      <c r="H6" s="1110"/>
      <c r="I6" s="1459" t="s">
        <v>890</v>
      </c>
      <c r="J6" s="1459"/>
      <c r="K6" s="1459"/>
      <c r="L6" s="1459"/>
      <c r="M6" s="1459"/>
      <c r="N6" s="1459"/>
      <c r="O6" s="1459"/>
      <c r="P6" s="1459"/>
      <c r="Q6" s="323"/>
      <c r="R6" s="323"/>
      <c r="S6" s="323"/>
      <c r="T6" s="323"/>
      <c r="U6" s="323"/>
      <c r="V6" s="323"/>
      <c r="W6" s="323"/>
      <c r="X6" s="323"/>
      <c r="Y6" s="323"/>
      <c r="Z6" s="323"/>
      <c r="AA6" s="323"/>
      <c r="AB6" s="323"/>
      <c r="AC6" s="1109"/>
      <c r="AD6" s="1109"/>
      <c r="AE6" s="1109"/>
      <c r="AF6" s="1109"/>
      <c r="AG6" s="1109"/>
    </row>
    <row r="7" spans="1:33" ht="28.5" customHeight="1">
      <c r="A7" s="1112"/>
      <c r="B7" s="1113"/>
      <c r="C7" s="1114"/>
      <c r="D7" s="1115"/>
      <c r="E7" s="1116"/>
      <c r="F7" s="1116"/>
      <c r="G7" s="1116"/>
      <c r="H7" s="1116"/>
      <c r="I7" s="1459" t="s">
        <v>891</v>
      </c>
      <c r="J7" s="1459"/>
      <c r="K7" s="1459"/>
      <c r="L7" s="1459"/>
      <c r="M7" s="1459"/>
      <c r="N7" s="1459"/>
      <c r="O7" s="1459"/>
      <c r="P7" s="1459"/>
      <c r="Q7" s="323"/>
      <c r="R7" s="323"/>
      <c r="S7" s="323"/>
      <c r="T7" s="323"/>
      <c r="U7" s="323"/>
      <c r="V7" s="323"/>
      <c r="W7" s="323"/>
      <c r="X7" s="323"/>
      <c r="Y7" s="323"/>
      <c r="Z7" s="323"/>
      <c r="AA7" s="323"/>
      <c r="AB7" s="323"/>
      <c r="AD7" s="1117"/>
      <c r="AE7" s="1117"/>
      <c r="AG7" s="1117"/>
    </row>
    <row r="8" spans="1:33" ht="28.5" customHeight="1">
      <c r="A8" s="1112"/>
      <c r="B8" s="1113"/>
      <c r="C8" s="1114"/>
      <c r="D8" s="1115"/>
      <c r="E8" s="1116"/>
      <c r="F8" s="1116"/>
      <c r="G8" s="1116"/>
      <c r="H8" s="1116"/>
      <c r="I8" s="1105"/>
      <c r="J8" s="1105"/>
      <c r="K8" s="1105"/>
      <c r="L8" s="1105"/>
      <c r="M8" s="1105"/>
      <c r="N8" s="1105"/>
      <c r="O8" s="1105"/>
      <c r="P8" s="1105"/>
      <c r="Q8" s="323"/>
      <c r="R8" s="323"/>
      <c r="S8" s="323"/>
      <c r="T8" s="323"/>
      <c r="U8" s="323"/>
      <c r="V8" s="323"/>
      <c r="W8" s="323"/>
      <c r="X8" s="323"/>
      <c r="Y8" s="323"/>
      <c r="Z8" s="323"/>
      <c r="AA8" s="323"/>
      <c r="AB8" s="323"/>
      <c r="AD8" s="1117"/>
      <c r="AE8" s="1117"/>
      <c r="AG8" s="1117"/>
    </row>
    <row r="9" spans="1:33" ht="21" customHeight="1">
      <c r="A9" s="1112"/>
      <c r="B9" s="1113"/>
      <c r="C9" s="1114"/>
      <c r="D9" s="1115"/>
      <c r="E9" s="1116"/>
      <c r="F9" s="1116"/>
      <c r="G9" s="1116"/>
      <c r="H9" s="1116"/>
      <c r="I9" s="1116"/>
      <c r="J9" s="1116"/>
      <c r="K9" s="1116"/>
      <c r="L9" s="1116"/>
      <c r="M9" s="1116"/>
      <c r="O9" s="324"/>
      <c r="P9" s="323"/>
      <c r="Q9" s="323"/>
      <c r="R9" s="323"/>
      <c r="S9" s="323"/>
      <c r="T9" s="323"/>
      <c r="U9" s="323"/>
      <c r="V9" s="323"/>
      <c r="W9" s="323"/>
      <c r="X9" s="323"/>
      <c r="Y9" s="323"/>
      <c r="Z9" s="323"/>
      <c r="AA9" s="323"/>
      <c r="AB9" s="323"/>
      <c r="AG9" s="1117"/>
    </row>
    <row r="10" spans="1:33" ht="20.25">
      <c r="A10" s="1457" t="s">
        <v>159</v>
      </c>
      <c r="B10" s="1457"/>
      <c r="C10" s="1457"/>
      <c r="D10" s="1457"/>
      <c r="E10" s="1457"/>
      <c r="F10" s="1457"/>
      <c r="G10" s="1457"/>
      <c r="H10" s="1457"/>
      <c r="I10" s="1457"/>
      <c r="J10" s="1457"/>
      <c r="K10" s="1457"/>
      <c r="L10" s="1457"/>
      <c r="M10" s="1457"/>
      <c r="N10" s="1457"/>
      <c r="O10" s="1457"/>
      <c r="P10" s="1457"/>
      <c r="Q10" s="1119"/>
      <c r="R10" s="1119"/>
      <c r="S10" s="1119"/>
      <c r="T10" s="1119"/>
      <c r="U10" s="1119"/>
      <c r="V10" s="1119"/>
      <c r="W10" s="1119"/>
      <c r="X10" s="1119"/>
      <c r="Y10" s="1119"/>
      <c r="Z10" s="1119"/>
      <c r="AA10" s="1119"/>
      <c r="AB10" s="1119"/>
      <c r="AC10" s="1119"/>
      <c r="AD10" s="1119"/>
      <c r="AE10" s="1119"/>
      <c r="AF10" s="1119"/>
      <c r="AG10" s="1119"/>
    </row>
    <row r="11" spans="1:33" ht="20.25">
      <c r="A11" s="1457" t="s">
        <v>886</v>
      </c>
      <c r="B11" s="1457"/>
      <c r="C11" s="1457"/>
      <c r="D11" s="1457"/>
      <c r="E11" s="1457"/>
      <c r="F11" s="1457"/>
      <c r="G11" s="1457"/>
      <c r="H11" s="1457"/>
      <c r="I11" s="1457"/>
      <c r="J11" s="1457"/>
      <c r="K11" s="1457"/>
      <c r="L11" s="1457"/>
      <c r="M11" s="1457"/>
      <c r="N11" s="1457"/>
      <c r="O11" s="1457"/>
      <c r="P11" s="1457"/>
      <c r="Q11" s="1119"/>
      <c r="R11" s="1119"/>
      <c r="S11" s="1119"/>
      <c r="T11" s="1119"/>
      <c r="U11" s="1119"/>
      <c r="V11" s="1119"/>
      <c r="W11" s="1119"/>
      <c r="X11" s="1119"/>
      <c r="Y11" s="1119"/>
      <c r="Z11" s="1119"/>
      <c r="AA11" s="1119"/>
      <c r="AB11" s="1119"/>
      <c r="AC11" s="1119"/>
      <c r="AD11" s="1119"/>
      <c r="AE11" s="1119"/>
      <c r="AF11" s="1119"/>
      <c r="AG11" s="1119"/>
    </row>
    <row r="12" spans="1:33" ht="20.25">
      <c r="A12" s="1457" t="s">
        <v>803</v>
      </c>
      <c r="B12" s="1457"/>
      <c r="C12" s="1457"/>
      <c r="D12" s="1457"/>
      <c r="E12" s="1457"/>
      <c r="F12" s="1457"/>
      <c r="G12" s="1457"/>
      <c r="H12" s="1457"/>
      <c r="I12" s="1457"/>
      <c r="J12" s="1457"/>
      <c r="K12" s="1457"/>
      <c r="L12" s="1457"/>
      <c r="M12" s="1457"/>
      <c r="N12" s="1457"/>
      <c r="O12" s="1457"/>
      <c r="P12" s="1457"/>
      <c r="Q12" s="1119"/>
      <c r="R12" s="1119"/>
      <c r="S12" s="1119"/>
      <c r="T12" s="1119"/>
      <c r="U12" s="1119"/>
      <c r="V12" s="1119"/>
      <c r="W12" s="1119"/>
      <c r="X12" s="1119"/>
      <c r="Y12" s="1119"/>
      <c r="Z12" s="1119"/>
      <c r="AA12" s="1119"/>
      <c r="AB12" s="1119"/>
      <c r="AC12" s="1119"/>
      <c r="AD12" s="1119"/>
      <c r="AE12" s="1119"/>
      <c r="AF12" s="1119"/>
      <c r="AG12" s="1119"/>
    </row>
    <row r="13" spans="1:33" ht="27.75" customHeight="1">
      <c r="A13" s="1461"/>
      <c r="B13" s="1461"/>
      <c r="C13" s="1461"/>
      <c r="D13" s="1461"/>
      <c r="E13" s="1461"/>
      <c r="F13" s="1461"/>
      <c r="G13" s="1461"/>
      <c r="H13" s="1461"/>
      <c r="I13" s="1461"/>
      <c r="J13" s="1461"/>
      <c r="K13" s="1461"/>
      <c r="L13" s="1461"/>
      <c r="M13" s="1461"/>
      <c r="N13" s="1461"/>
      <c r="O13" s="1461"/>
      <c r="P13" s="1461"/>
    </row>
    <row r="14" spans="1:33" ht="27.75" customHeight="1">
      <c r="A14" s="1120"/>
      <c r="B14" s="1120"/>
      <c r="C14" s="1120"/>
      <c r="D14" s="1120"/>
      <c r="E14" s="1120"/>
      <c r="F14" s="1121"/>
      <c r="G14" s="1122"/>
      <c r="H14" s="1122"/>
      <c r="I14" s="1122"/>
      <c r="J14" s="1122"/>
      <c r="K14" s="1122"/>
      <c r="L14" s="1122"/>
      <c r="M14" s="1122"/>
      <c r="N14" s="1122"/>
      <c r="O14" s="1122"/>
      <c r="P14" s="1122"/>
      <c r="R14" s="1123"/>
      <c r="S14" s="1123"/>
      <c r="T14" s="1123"/>
      <c r="U14" s="1123"/>
      <c r="V14" s="1123"/>
      <c r="W14" s="1123"/>
      <c r="X14" s="1123"/>
      <c r="Y14" s="1123"/>
      <c r="Z14" s="1123"/>
      <c r="AA14" s="1123"/>
      <c r="AB14" s="1123"/>
      <c r="AC14" s="1123"/>
      <c r="AD14" s="1123"/>
      <c r="AE14" s="1123"/>
      <c r="AF14" s="1123"/>
      <c r="AG14" s="1123"/>
    </row>
    <row r="15" spans="1:33" ht="52.5" customHeight="1">
      <c r="A15" s="1462" t="s">
        <v>804</v>
      </c>
      <c r="B15" s="1462"/>
      <c r="C15" s="1462"/>
      <c r="D15" s="1462"/>
      <c r="E15" s="1462"/>
      <c r="F15" s="1462"/>
      <c r="G15" s="1462"/>
      <c r="H15" s="1462"/>
      <c r="I15" s="1462"/>
      <c r="J15" s="1462"/>
      <c r="K15" s="1462"/>
      <c r="L15" s="1462"/>
      <c r="M15" s="1462"/>
      <c r="N15" s="1462"/>
      <c r="O15" s="1462"/>
      <c r="P15" s="1462"/>
      <c r="Q15" s="1124"/>
      <c r="R15" s="1124"/>
      <c r="S15" s="1124"/>
      <c r="T15" s="1124"/>
      <c r="U15" s="1124"/>
      <c r="V15" s="1124"/>
      <c r="W15" s="1124"/>
      <c r="X15" s="1124"/>
      <c r="Y15" s="1124"/>
      <c r="Z15" s="1124"/>
      <c r="AA15" s="1124"/>
      <c r="AB15" s="1124"/>
      <c r="AC15" s="1124"/>
      <c r="AD15" s="1124"/>
      <c r="AE15" s="1124"/>
      <c r="AF15" s="1124"/>
      <c r="AG15" s="1125"/>
    </row>
    <row r="16" spans="1:33" ht="15.75" customHeight="1">
      <c r="A16" s="1460" t="s">
        <v>7</v>
      </c>
      <c r="B16" s="1463" t="s">
        <v>9</v>
      </c>
      <c r="C16" s="1460" t="s">
        <v>111</v>
      </c>
      <c r="D16" s="1460" t="s">
        <v>805</v>
      </c>
      <c r="E16" s="1460" t="s">
        <v>806</v>
      </c>
      <c r="F16" s="1460" t="s">
        <v>807</v>
      </c>
      <c r="G16" s="1460" t="s">
        <v>808</v>
      </c>
      <c r="H16" s="1464" t="s">
        <v>809</v>
      </c>
      <c r="I16" s="1466" t="s">
        <v>810</v>
      </c>
      <c r="J16" s="1466" t="s">
        <v>811</v>
      </c>
      <c r="K16" s="1464" t="s">
        <v>812</v>
      </c>
      <c r="L16" s="1464" t="s">
        <v>813</v>
      </c>
      <c r="M16" s="1460" t="s">
        <v>814</v>
      </c>
      <c r="N16" s="1460" t="s">
        <v>815</v>
      </c>
      <c r="O16" s="1460" t="s">
        <v>816</v>
      </c>
      <c r="P16" s="1460" t="s">
        <v>817</v>
      </c>
      <c r="Q16" s="1460" t="s">
        <v>818</v>
      </c>
      <c r="R16" s="1460" t="s">
        <v>819</v>
      </c>
      <c r="S16" s="1466" t="s">
        <v>192</v>
      </c>
      <c r="T16" s="1466" t="s">
        <v>11</v>
      </c>
      <c r="U16" s="1466" t="s">
        <v>426</v>
      </c>
      <c r="V16" s="1466" t="s">
        <v>4</v>
      </c>
      <c r="W16" s="1466" t="s">
        <v>820</v>
      </c>
      <c r="X16" s="1466" t="s">
        <v>427</v>
      </c>
      <c r="Y16" s="1466" t="s">
        <v>248</v>
      </c>
      <c r="Z16" s="1466" t="s">
        <v>193</v>
      </c>
      <c r="AA16" s="1466" t="s">
        <v>186</v>
      </c>
      <c r="AB16" s="1466" t="s">
        <v>1395</v>
      </c>
      <c r="AC16" s="1466" t="s">
        <v>187</v>
      </c>
      <c r="AD16" s="1466" t="s">
        <v>857</v>
      </c>
      <c r="AE16" s="1466" t="s">
        <v>821</v>
      </c>
      <c r="AF16" s="1466" t="s">
        <v>822</v>
      </c>
      <c r="AG16" s="1469" t="s">
        <v>823</v>
      </c>
    </row>
    <row r="17" spans="1:33" ht="243.75" customHeight="1">
      <c r="A17" s="1460"/>
      <c r="B17" s="1463"/>
      <c r="C17" s="1460"/>
      <c r="D17" s="1460"/>
      <c r="E17" s="1460"/>
      <c r="F17" s="1460"/>
      <c r="G17" s="1460"/>
      <c r="H17" s="1465"/>
      <c r="I17" s="1467"/>
      <c r="J17" s="1467"/>
      <c r="K17" s="1465"/>
      <c r="L17" s="1465"/>
      <c r="M17" s="1460"/>
      <c r="N17" s="1460"/>
      <c r="O17" s="1460"/>
      <c r="P17" s="1460"/>
      <c r="Q17" s="1460"/>
      <c r="R17" s="1460"/>
      <c r="S17" s="1467"/>
      <c r="T17" s="1467"/>
      <c r="U17" s="1467"/>
      <c r="V17" s="1467"/>
      <c r="W17" s="1467"/>
      <c r="X17" s="1467"/>
      <c r="Y17" s="1467"/>
      <c r="Z17" s="1467"/>
      <c r="AA17" s="1467"/>
      <c r="AB17" s="1467"/>
      <c r="AC17" s="1467"/>
      <c r="AD17" s="1467"/>
      <c r="AE17" s="1467"/>
      <c r="AF17" s="1467"/>
      <c r="AG17" s="1469"/>
    </row>
    <row r="18" spans="1:33" ht="22.5" customHeight="1">
      <c r="A18" s="1470" t="s">
        <v>824</v>
      </c>
      <c r="B18" s="1471"/>
      <c r="C18" s="1471"/>
      <c r="D18" s="1471"/>
      <c r="E18" s="1471"/>
      <c r="F18" s="1471"/>
      <c r="G18" s="1471"/>
      <c r="H18" s="1471"/>
      <c r="I18" s="1471"/>
      <c r="J18" s="1471"/>
      <c r="K18" s="1471"/>
      <c r="L18" s="1471"/>
      <c r="M18" s="1471"/>
      <c r="N18" s="1471"/>
      <c r="O18" s="1471"/>
      <c r="P18" s="1471"/>
      <c r="Q18" s="1471"/>
      <c r="R18" s="1471"/>
      <c r="S18" s="1471"/>
      <c r="T18" s="1471"/>
      <c r="U18" s="1471"/>
      <c r="V18" s="1471"/>
      <c r="W18" s="1471"/>
      <c r="X18" s="1471"/>
      <c r="Y18" s="1471"/>
      <c r="Z18" s="1471"/>
      <c r="AA18" s="1471"/>
      <c r="AB18" s="1471"/>
      <c r="AC18" s="1471"/>
      <c r="AD18" s="1471"/>
      <c r="AE18" s="1471"/>
      <c r="AF18" s="1471"/>
      <c r="AG18" s="1471"/>
    </row>
    <row r="19" spans="1:33" ht="21.75" customHeight="1">
      <c r="A19" s="1126">
        <v>1</v>
      </c>
      <c r="B19" s="1127" t="s">
        <v>12</v>
      </c>
      <c r="C19" s="1128" t="s">
        <v>428</v>
      </c>
      <c r="D19" s="1126">
        <v>1</v>
      </c>
      <c r="E19" s="1126">
        <v>1</v>
      </c>
      <c r="F19" s="1126"/>
      <c r="G19" s="1129">
        <v>45146</v>
      </c>
      <c r="H19" s="1130">
        <v>80</v>
      </c>
      <c r="I19" s="1131">
        <f t="shared" ref="I19:I38" si="0">H19*17697</f>
        <v>1415760</v>
      </c>
      <c r="J19" s="1131">
        <f t="shared" ref="J19:J38" si="1">I19*10%</f>
        <v>141576</v>
      </c>
      <c r="K19" s="1131"/>
      <c r="L19" s="1131"/>
      <c r="M19" s="1131"/>
      <c r="N19" s="1131"/>
      <c r="O19" s="1131"/>
      <c r="P19" s="1131"/>
      <c r="Q19" s="1132"/>
      <c r="R19" s="1132"/>
      <c r="S19" s="1133">
        <f t="shared" ref="S19:S25" si="2">SUM(J19:R19)</f>
        <v>141576</v>
      </c>
      <c r="T19" s="1133">
        <f t="shared" ref="T19:T25" si="3">I19+S19</f>
        <v>1557336</v>
      </c>
      <c r="U19" s="1133">
        <f t="shared" ref="U19:U25" si="4">T19*10%</f>
        <v>155733.6</v>
      </c>
      <c r="V19" s="1133">
        <f t="shared" ref="V19:V25" si="5">((T19-U19-W19)-(14*4325))*10%</f>
        <v>130990.568</v>
      </c>
      <c r="W19" s="1133">
        <f t="shared" ref="W19:W25" si="6">T19*2%</f>
        <v>31146.720000000001</v>
      </c>
      <c r="X19" s="1133">
        <f t="shared" ref="X19:X25" si="7">T19-U19-V19-W19</f>
        <v>1239465.112</v>
      </c>
      <c r="Y19" s="1133">
        <f t="shared" ref="Y19:Y25" si="8">T19*12</f>
        <v>18688032</v>
      </c>
      <c r="Z19" s="1133">
        <f t="shared" ref="Z19:Z25" si="9">I19*2</f>
        <v>2831520</v>
      </c>
      <c r="AA19" s="1133">
        <f t="shared" ref="AA19:AA25" si="10">Y19+Z19</f>
        <v>21519552</v>
      </c>
      <c r="AB19" s="1133">
        <f t="shared" ref="AB19:AB25" si="11">AA19*3.5%</f>
        <v>753184.32000000007</v>
      </c>
      <c r="AC19" s="1133">
        <f>(AA19*0.9-(W19*12))*11%-AD19</f>
        <v>1120942.1376</v>
      </c>
      <c r="AD19" s="1133">
        <f>AA19*0.9*5%</f>
        <v>968379.84000000008</v>
      </c>
      <c r="AE19" s="1133">
        <f>AA19*3%</f>
        <v>645586.55999999994</v>
      </c>
      <c r="AF19" s="1133">
        <f>AA19+AC19+AD19+AE19+AB19</f>
        <v>25007644.8576</v>
      </c>
      <c r="AG19" s="1133" t="s">
        <v>3</v>
      </c>
    </row>
    <row r="20" spans="1:33" ht="31.5">
      <c r="A20" s="1126">
        <f>A19+1</f>
        <v>2</v>
      </c>
      <c r="B20" s="1134" t="s">
        <v>56</v>
      </c>
      <c r="C20" s="1135" t="s">
        <v>188</v>
      </c>
      <c r="D20" s="1472">
        <v>2</v>
      </c>
      <c r="E20" s="1126">
        <v>1</v>
      </c>
      <c r="F20" s="1126"/>
      <c r="G20" s="1129">
        <v>43395</v>
      </c>
      <c r="H20" s="1136">
        <v>32</v>
      </c>
      <c r="I20" s="1131">
        <f t="shared" si="0"/>
        <v>566304</v>
      </c>
      <c r="J20" s="1131">
        <f t="shared" si="1"/>
        <v>56630.400000000001</v>
      </c>
      <c r="K20" s="1131"/>
      <c r="L20" s="1131">
        <f>I20*50%</f>
        <v>283152</v>
      </c>
      <c r="M20" s="1131"/>
      <c r="N20" s="1131"/>
      <c r="O20" s="1131"/>
      <c r="P20" s="1131"/>
      <c r="Q20" s="1132"/>
      <c r="R20" s="1132"/>
      <c r="S20" s="1133">
        <f t="shared" si="2"/>
        <v>339782.40000000002</v>
      </c>
      <c r="T20" s="1133">
        <f t="shared" si="3"/>
        <v>906086.40000000002</v>
      </c>
      <c r="U20" s="1133">
        <f t="shared" si="4"/>
        <v>90608.640000000014</v>
      </c>
      <c r="V20" s="1133">
        <f t="shared" si="5"/>
        <v>73680.603199999998</v>
      </c>
      <c r="W20" s="1133">
        <f t="shared" si="6"/>
        <v>18121.727999999999</v>
      </c>
      <c r="X20" s="1133">
        <f t="shared" si="7"/>
        <v>723675.42879999999</v>
      </c>
      <c r="Y20" s="1133">
        <f t="shared" si="8"/>
        <v>10873036.800000001</v>
      </c>
      <c r="Z20" s="1133">
        <f t="shared" si="9"/>
        <v>1132608</v>
      </c>
      <c r="AA20" s="1133">
        <f t="shared" si="10"/>
        <v>12005644.800000001</v>
      </c>
      <c r="AB20" s="1133">
        <f t="shared" si="11"/>
        <v>420197.56800000009</v>
      </c>
      <c r="AC20" s="1133">
        <f t="shared" ref="AC20:AC25" si="12">(AA20*0.9-(W20*12))*11%-AD20</f>
        <v>624384.13824</v>
      </c>
      <c r="AD20" s="1133">
        <f t="shared" ref="AD20:AD25" si="13">AA20*0.9*5%</f>
        <v>540254.01600000006</v>
      </c>
      <c r="AE20" s="1133">
        <f t="shared" ref="AE20:AE25" si="14">AA20*3%</f>
        <v>360169.34399999998</v>
      </c>
      <c r="AF20" s="1133">
        <f t="shared" ref="AF20:AF25" si="15">AA20+AC20+AD20+AE20+AB20</f>
        <v>13950649.866240002</v>
      </c>
      <c r="AG20" s="1133" t="s">
        <v>3</v>
      </c>
    </row>
    <row r="21" spans="1:33" ht="31.5">
      <c r="A21" s="1126">
        <f t="shared" ref="A21:A38" si="16">A20+1</f>
        <v>3</v>
      </c>
      <c r="B21" s="1137" t="s">
        <v>56</v>
      </c>
      <c r="C21" s="1138" t="s">
        <v>225</v>
      </c>
      <c r="D21" s="1473"/>
      <c r="E21" s="1126">
        <v>1</v>
      </c>
      <c r="F21" s="1126"/>
      <c r="G21" s="1129">
        <v>44907</v>
      </c>
      <c r="H21" s="1139">
        <v>30</v>
      </c>
      <c r="I21" s="1131">
        <f t="shared" si="0"/>
        <v>530910</v>
      </c>
      <c r="J21" s="1131">
        <f t="shared" si="1"/>
        <v>53091</v>
      </c>
      <c r="K21" s="1131"/>
      <c r="L21" s="1131">
        <f>I21*30%</f>
        <v>159273</v>
      </c>
      <c r="M21" s="1131"/>
      <c r="N21" s="1131"/>
      <c r="O21" s="1131"/>
      <c r="P21" s="1131"/>
      <c r="Q21" s="1132"/>
      <c r="R21" s="1132"/>
      <c r="S21" s="1133">
        <f t="shared" si="2"/>
        <v>212364</v>
      </c>
      <c r="T21" s="1133">
        <f t="shared" si="3"/>
        <v>743274</v>
      </c>
      <c r="U21" s="1133">
        <f t="shared" si="4"/>
        <v>74327.400000000009</v>
      </c>
      <c r="V21" s="1133">
        <f t="shared" si="5"/>
        <v>59353.112000000001</v>
      </c>
      <c r="W21" s="1133">
        <f t="shared" si="6"/>
        <v>14865.48</v>
      </c>
      <c r="X21" s="1133">
        <f t="shared" si="7"/>
        <v>594728.00800000003</v>
      </c>
      <c r="Y21" s="1133">
        <f t="shared" si="8"/>
        <v>8919288</v>
      </c>
      <c r="Z21" s="1133">
        <f t="shared" si="9"/>
        <v>1061820</v>
      </c>
      <c r="AA21" s="1133">
        <f t="shared" si="10"/>
        <v>9981108</v>
      </c>
      <c r="AB21" s="1133">
        <f t="shared" si="11"/>
        <v>349338.78</v>
      </c>
      <c r="AC21" s="1133">
        <f t="shared" si="12"/>
        <v>519357.39840000006</v>
      </c>
      <c r="AD21" s="1133">
        <f t="shared" si="13"/>
        <v>449149.8600000001</v>
      </c>
      <c r="AE21" s="1133">
        <f t="shared" si="14"/>
        <v>299433.24</v>
      </c>
      <c r="AF21" s="1133">
        <f t="shared" si="15"/>
        <v>11598387.278399998</v>
      </c>
      <c r="AG21" s="1133" t="s">
        <v>3</v>
      </c>
    </row>
    <row r="22" spans="1:33" ht="31.5">
      <c r="A22" s="1126">
        <f t="shared" si="16"/>
        <v>4</v>
      </c>
      <c r="B22" s="1134" t="s">
        <v>13</v>
      </c>
      <c r="C22" s="1140" t="s">
        <v>429</v>
      </c>
      <c r="D22" s="1472">
        <v>2</v>
      </c>
      <c r="E22" s="1126">
        <v>1</v>
      </c>
      <c r="F22" s="1126"/>
      <c r="G22" s="1129">
        <v>44844</v>
      </c>
      <c r="H22" s="1136">
        <v>30</v>
      </c>
      <c r="I22" s="1131">
        <f t="shared" si="0"/>
        <v>530910</v>
      </c>
      <c r="J22" s="1131">
        <f t="shared" si="1"/>
        <v>53091</v>
      </c>
      <c r="K22" s="1131"/>
      <c r="L22" s="1131">
        <f>I22*30%</f>
        <v>159273</v>
      </c>
      <c r="M22" s="1131"/>
      <c r="N22" s="1131"/>
      <c r="O22" s="1131"/>
      <c r="P22" s="1131"/>
      <c r="Q22" s="1132"/>
      <c r="R22" s="1132"/>
      <c r="S22" s="1133">
        <f t="shared" si="2"/>
        <v>212364</v>
      </c>
      <c r="T22" s="1133">
        <f t="shared" si="3"/>
        <v>743274</v>
      </c>
      <c r="U22" s="1133">
        <f t="shared" si="4"/>
        <v>74327.400000000009</v>
      </c>
      <c r="V22" s="1133">
        <f t="shared" si="5"/>
        <v>59353.112000000001</v>
      </c>
      <c r="W22" s="1133">
        <f t="shared" si="6"/>
        <v>14865.48</v>
      </c>
      <c r="X22" s="1133">
        <f t="shared" si="7"/>
        <v>594728.00800000003</v>
      </c>
      <c r="Y22" s="1133">
        <f t="shared" si="8"/>
        <v>8919288</v>
      </c>
      <c r="Z22" s="1133">
        <f t="shared" si="9"/>
        <v>1061820</v>
      </c>
      <c r="AA22" s="1133">
        <f t="shared" si="10"/>
        <v>9981108</v>
      </c>
      <c r="AB22" s="1133">
        <f t="shared" si="11"/>
        <v>349338.78</v>
      </c>
      <c r="AC22" s="1133">
        <f t="shared" si="12"/>
        <v>519357.39840000006</v>
      </c>
      <c r="AD22" s="1133">
        <f t="shared" si="13"/>
        <v>449149.8600000001</v>
      </c>
      <c r="AE22" s="1133">
        <f t="shared" si="14"/>
        <v>299433.24</v>
      </c>
      <c r="AF22" s="1133">
        <f t="shared" si="15"/>
        <v>11598387.278399998</v>
      </c>
      <c r="AG22" s="1133" t="s">
        <v>3</v>
      </c>
    </row>
    <row r="23" spans="1:33" ht="31.5">
      <c r="A23" s="1126">
        <f t="shared" si="16"/>
        <v>5</v>
      </c>
      <c r="B23" s="1134" t="s">
        <v>13</v>
      </c>
      <c r="C23" s="1140" t="s">
        <v>430</v>
      </c>
      <c r="D23" s="1473"/>
      <c r="E23" s="1126">
        <v>1</v>
      </c>
      <c r="F23" s="1126"/>
      <c r="G23" s="1129">
        <v>44805</v>
      </c>
      <c r="H23" s="1136">
        <v>30</v>
      </c>
      <c r="I23" s="1131">
        <f t="shared" si="0"/>
        <v>530910</v>
      </c>
      <c r="J23" s="1131">
        <f t="shared" si="1"/>
        <v>53091</v>
      </c>
      <c r="K23" s="1131"/>
      <c r="L23" s="1131"/>
      <c r="M23" s="1131"/>
      <c r="N23" s="1131"/>
      <c r="O23" s="1131"/>
      <c r="P23" s="1131"/>
      <c r="Q23" s="1132"/>
      <c r="R23" s="1132"/>
      <c r="S23" s="1133">
        <f t="shared" si="2"/>
        <v>53091</v>
      </c>
      <c r="T23" s="1133">
        <f t="shared" si="3"/>
        <v>584001</v>
      </c>
      <c r="U23" s="1133">
        <f t="shared" si="4"/>
        <v>58400.100000000006</v>
      </c>
      <c r="V23" s="1133">
        <f t="shared" si="5"/>
        <v>45337.088000000003</v>
      </c>
      <c r="W23" s="1133">
        <f t="shared" si="6"/>
        <v>11680.02</v>
      </c>
      <c r="X23" s="1133">
        <f t="shared" si="7"/>
        <v>468583.79200000002</v>
      </c>
      <c r="Y23" s="1133">
        <f t="shared" si="8"/>
        <v>7008012</v>
      </c>
      <c r="Z23" s="1133">
        <f t="shared" si="9"/>
        <v>1061820</v>
      </c>
      <c r="AA23" s="1133">
        <f t="shared" si="10"/>
        <v>8069832</v>
      </c>
      <c r="AB23" s="1133">
        <f t="shared" si="11"/>
        <v>282444.12000000005</v>
      </c>
      <c r="AC23" s="1133">
        <f t="shared" si="12"/>
        <v>420353.30159999995</v>
      </c>
      <c r="AD23" s="1133">
        <f t="shared" si="13"/>
        <v>363142.44</v>
      </c>
      <c r="AE23" s="1133">
        <f t="shared" si="14"/>
        <v>242094.96</v>
      </c>
      <c r="AF23" s="1133">
        <f t="shared" si="15"/>
        <v>9377866.8215999994</v>
      </c>
      <c r="AG23" s="1133" t="s">
        <v>3</v>
      </c>
    </row>
    <row r="24" spans="1:33" ht="47.25">
      <c r="A24" s="1126">
        <f t="shared" si="16"/>
        <v>6</v>
      </c>
      <c r="B24" s="1137" t="s">
        <v>431</v>
      </c>
      <c r="C24" s="325" t="s">
        <v>206</v>
      </c>
      <c r="D24" s="1126">
        <v>1</v>
      </c>
      <c r="E24" s="1126">
        <v>1</v>
      </c>
      <c r="F24" s="1126"/>
      <c r="G24" s="1129">
        <v>45216</v>
      </c>
      <c r="H24" s="1139">
        <v>30</v>
      </c>
      <c r="I24" s="1131">
        <f t="shared" si="0"/>
        <v>530910</v>
      </c>
      <c r="J24" s="1131">
        <f t="shared" si="1"/>
        <v>53091</v>
      </c>
      <c r="K24" s="1131"/>
      <c r="L24" s="1131">
        <f>I24*30%</f>
        <v>159273</v>
      </c>
      <c r="M24" s="1131"/>
      <c r="N24" s="1131"/>
      <c r="O24" s="1131"/>
      <c r="P24" s="1131"/>
      <c r="Q24" s="1132"/>
      <c r="R24" s="1132"/>
      <c r="S24" s="1133">
        <f t="shared" si="2"/>
        <v>212364</v>
      </c>
      <c r="T24" s="1133">
        <f t="shared" si="3"/>
        <v>743274</v>
      </c>
      <c r="U24" s="1133">
        <f t="shared" si="4"/>
        <v>74327.400000000009</v>
      </c>
      <c r="V24" s="1133">
        <f t="shared" si="5"/>
        <v>59353.112000000001</v>
      </c>
      <c r="W24" s="1133">
        <f t="shared" si="6"/>
        <v>14865.48</v>
      </c>
      <c r="X24" s="1133">
        <f t="shared" si="7"/>
        <v>594728.00800000003</v>
      </c>
      <c r="Y24" s="1133">
        <f t="shared" si="8"/>
        <v>8919288</v>
      </c>
      <c r="Z24" s="1133">
        <f t="shared" si="9"/>
        <v>1061820</v>
      </c>
      <c r="AA24" s="1133">
        <f t="shared" si="10"/>
        <v>9981108</v>
      </c>
      <c r="AB24" s="1133">
        <f t="shared" si="11"/>
        <v>349338.78</v>
      </c>
      <c r="AC24" s="1133">
        <f t="shared" si="12"/>
        <v>519357.39840000006</v>
      </c>
      <c r="AD24" s="1133">
        <f t="shared" si="13"/>
        <v>449149.8600000001</v>
      </c>
      <c r="AE24" s="1133">
        <f t="shared" si="14"/>
        <v>299433.24</v>
      </c>
      <c r="AF24" s="1133">
        <f t="shared" si="15"/>
        <v>11598387.278399998</v>
      </c>
      <c r="AG24" s="1133" t="s">
        <v>3</v>
      </c>
    </row>
    <row r="25" spans="1:33" ht="31.5">
      <c r="A25" s="1126">
        <f t="shared" si="16"/>
        <v>7</v>
      </c>
      <c r="B25" s="1134" t="s">
        <v>50</v>
      </c>
      <c r="C25" s="1140" t="s">
        <v>116</v>
      </c>
      <c r="D25" s="1126">
        <v>1</v>
      </c>
      <c r="E25" s="1126">
        <v>1</v>
      </c>
      <c r="F25" s="1126"/>
      <c r="G25" s="1129">
        <v>43355</v>
      </c>
      <c r="H25" s="1136">
        <v>32</v>
      </c>
      <c r="I25" s="1131">
        <f t="shared" si="0"/>
        <v>566304</v>
      </c>
      <c r="J25" s="1131">
        <f t="shared" si="1"/>
        <v>56630.400000000001</v>
      </c>
      <c r="K25" s="1131"/>
      <c r="L25" s="1131">
        <f>I25*100%</f>
        <v>566304</v>
      </c>
      <c r="M25" s="1131"/>
      <c r="N25" s="1131"/>
      <c r="O25" s="1131"/>
      <c r="P25" s="1131"/>
      <c r="Q25" s="1132"/>
      <c r="R25" s="1132"/>
      <c r="S25" s="1133">
        <f t="shared" si="2"/>
        <v>622934.4</v>
      </c>
      <c r="T25" s="1133">
        <f t="shared" si="3"/>
        <v>1189238.3999999999</v>
      </c>
      <c r="U25" s="1133">
        <f t="shared" si="4"/>
        <v>118923.84</v>
      </c>
      <c r="V25" s="1133">
        <f t="shared" si="5"/>
        <v>98597.979199999987</v>
      </c>
      <c r="W25" s="1133">
        <f t="shared" si="6"/>
        <v>23784.768</v>
      </c>
      <c r="X25" s="1133">
        <f t="shared" si="7"/>
        <v>947931.81279999984</v>
      </c>
      <c r="Y25" s="1133">
        <f t="shared" si="8"/>
        <v>14270860.799999999</v>
      </c>
      <c r="Z25" s="1133">
        <f t="shared" si="9"/>
        <v>1132608</v>
      </c>
      <c r="AA25" s="1133">
        <f t="shared" si="10"/>
        <v>15403468.799999999</v>
      </c>
      <c r="AB25" s="1133">
        <f t="shared" si="11"/>
        <v>539121.40800000005</v>
      </c>
      <c r="AC25" s="1133">
        <f t="shared" si="12"/>
        <v>800391.42144000006</v>
      </c>
      <c r="AD25" s="1133">
        <f t="shared" si="13"/>
        <v>693156.09600000002</v>
      </c>
      <c r="AE25" s="1133">
        <f t="shared" si="14"/>
        <v>462104.06399999995</v>
      </c>
      <c r="AF25" s="1133">
        <f t="shared" si="15"/>
        <v>17898241.789439999</v>
      </c>
      <c r="AG25" s="1133" t="s">
        <v>3</v>
      </c>
    </row>
    <row r="26" spans="1:33" ht="18" customHeight="1">
      <c r="A26" s="1141"/>
      <c r="B26" s="1142" t="s">
        <v>2455</v>
      </c>
      <c r="C26" s="1143"/>
      <c r="D26" s="1144">
        <f>SUM(D19:D25)</f>
        <v>7</v>
      </c>
      <c r="E26" s="1145">
        <f t="shared" ref="E26:AF26" si="17">SUM(E19:E25)</f>
        <v>7</v>
      </c>
      <c r="F26" s="1146">
        <f t="shared" si="17"/>
        <v>0</v>
      </c>
      <c r="G26" s="1146"/>
      <c r="H26" s="1146"/>
      <c r="I26" s="1147">
        <f t="shared" si="17"/>
        <v>4672008</v>
      </c>
      <c r="J26" s="1147">
        <f t="shared" si="17"/>
        <v>467200.80000000005</v>
      </c>
      <c r="K26" s="1147">
        <f t="shared" si="17"/>
        <v>0</v>
      </c>
      <c r="L26" s="1147">
        <f t="shared" si="17"/>
        <v>1327275</v>
      </c>
      <c r="M26" s="1147">
        <f t="shared" si="17"/>
        <v>0</v>
      </c>
      <c r="N26" s="1147">
        <f t="shared" si="17"/>
        <v>0</v>
      </c>
      <c r="O26" s="1147">
        <f t="shared" si="17"/>
        <v>0</v>
      </c>
      <c r="P26" s="1147">
        <f t="shared" si="17"/>
        <v>0</v>
      </c>
      <c r="Q26" s="1147">
        <f t="shared" si="17"/>
        <v>0</v>
      </c>
      <c r="R26" s="1147">
        <f t="shared" si="17"/>
        <v>0</v>
      </c>
      <c r="S26" s="1147">
        <f t="shared" si="17"/>
        <v>1794475.7999999998</v>
      </c>
      <c r="T26" s="1147">
        <f t="shared" si="17"/>
        <v>6466483.8000000007</v>
      </c>
      <c r="U26" s="1147">
        <f t="shared" si="17"/>
        <v>646648.38</v>
      </c>
      <c r="V26" s="1147">
        <f t="shared" si="17"/>
        <v>526665.57440000004</v>
      </c>
      <c r="W26" s="1147">
        <f t="shared" si="17"/>
        <v>129329.67599999999</v>
      </c>
      <c r="X26" s="1147">
        <f t="shared" si="17"/>
        <v>5163840.1695999997</v>
      </c>
      <c r="Y26" s="1147">
        <f t="shared" si="17"/>
        <v>77597805.599999994</v>
      </c>
      <c r="Z26" s="1147">
        <f t="shared" si="17"/>
        <v>9344016</v>
      </c>
      <c r="AA26" s="1147">
        <f t="shared" si="17"/>
        <v>86941821.599999994</v>
      </c>
      <c r="AB26" s="1147">
        <f t="shared" si="17"/>
        <v>3042963.7560000001</v>
      </c>
      <c r="AC26" s="1147">
        <f t="shared" si="17"/>
        <v>4524143.1940799998</v>
      </c>
      <c r="AD26" s="1147">
        <f t="shared" si="17"/>
        <v>3912381.9720000001</v>
      </c>
      <c r="AE26" s="1147">
        <f t="shared" si="17"/>
        <v>2608254.6479999996</v>
      </c>
      <c r="AF26" s="1147">
        <f t="shared" si="17"/>
        <v>101029565.17008001</v>
      </c>
      <c r="AG26" s="1146"/>
    </row>
    <row r="27" spans="1:33" ht="49.5" customHeight="1">
      <c r="A27" s="1126">
        <f>A25+1</f>
        <v>8</v>
      </c>
      <c r="B27" s="1134" t="s">
        <v>892</v>
      </c>
      <c r="C27" s="1140" t="s">
        <v>432</v>
      </c>
      <c r="D27" s="1472">
        <v>2</v>
      </c>
      <c r="E27" s="1126">
        <v>1</v>
      </c>
      <c r="F27" s="1126"/>
      <c r="G27" s="1129">
        <v>42263</v>
      </c>
      <c r="H27" s="1139">
        <v>35</v>
      </c>
      <c r="I27" s="1131">
        <f t="shared" si="0"/>
        <v>619395</v>
      </c>
      <c r="J27" s="1131">
        <f t="shared" si="1"/>
        <v>61939.5</v>
      </c>
      <c r="K27" s="1131"/>
      <c r="L27" s="1131"/>
      <c r="M27" s="1131"/>
      <c r="N27" s="1131"/>
      <c r="O27" s="1131"/>
      <c r="P27" s="1131"/>
      <c r="Q27" s="1132"/>
      <c r="R27" s="1132"/>
      <c r="S27" s="1133">
        <f t="shared" ref="S27:S38" si="18">SUM(J27:R27)</f>
        <v>61939.5</v>
      </c>
      <c r="T27" s="1133">
        <f t="shared" ref="T27:T38" si="19">I27+S27</f>
        <v>681334.5</v>
      </c>
      <c r="U27" s="1133">
        <f t="shared" ref="U27:U38" si="20">T27*10%</f>
        <v>68133.45</v>
      </c>
      <c r="V27" s="1133">
        <f t="shared" ref="V27:V38" si="21">((T27-U27-W27)-(14*4325))*10%</f>
        <v>53902.436000000016</v>
      </c>
      <c r="W27" s="1133">
        <f t="shared" ref="W27:W38" si="22">T27*2%</f>
        <v>13626.69</v>
      </c>
      <c r="X27" s="1133">
        <f t="shared" ref="X27:X38" si="23">T27-U27-V27-W27</f>
        <v>545671.92400000012</v>
      </c>
      <c r="Y27" s="1133">
        <f t="shared" ref="Y27:Y38" si="24">T27*12</f>
        <v>8176014</v>
      </c>
      <c r="Z27" s="1133">
        <f t="shared" ref="Z27:Z38" si="25">I27*2</f>
        <v>1238790</v>
      </c>
      <c r="AA27" s="1133">
        <f t="shared" ref="AA27:AA38" si="26">Y27+Z27</f>
        <v>9414804</v>
      </c>
      <c r="AB27" s="1133">
        <f t="shared" ref="AB27:AB38" si="27">AA27*3.5%</f>
        <v>329518.14</v>
      </c>
      <c r="AC27" s="1133">
        <f t="shared" ref="AC27:AC38" si="28">(AA27*0.9-(W27*12))*11%-AD27</f>
        <v>490412.18519999989</v>
      </c>
      <c r="AD27" s="1133">
        <f t="shared" ref="AD27:AD38" si="29">AA27*0.9*5%</f>
        <v>423666.18</v>
      </c>
      <c r="AE27" s="1133">
        <f t="shared" ref="AE27:AE38" si="30">AA27*3%</f>
        <v>282444.12</v>
      </c>
      <c r="AF27" s="1133">
        <f t="shared" ref="AF27:AF38" si="31">AA27+AC27+AD27+AE27+AB27</f>
        <v>10940844.6252</v>
      </c>
      <c r="AG27" s="1133" t="s">
        <v>3</v>
      </c>
    </row>
    <row r="28" spans="1:33" ht="37.5" customHeight="1">
      <c r="A28" s="1126">
        <f t="shared" si="16"/>
        <v>9</v>
      </c>
      <c r="B28" s="1134" t="s">
        <v>825</v>
      </c>
      <c r="C28" s="1140" t="s">
        <v>433</v>
      </c>
      <c r="D28" s="1473"/>
      <c r="E28" s="1126">
        <v>1</v>
      </c>
      <c r="F28" s="1126"/>
      <c r="G28" s="1129">
        <v>44106</v>
      </c>
      <c r="H28" s="1136">
        <v>24</v>
      </c>
      <c r="I28" s="1131">
        <f t="shared" si="0"/>
        <v>424728</v>
      </c>
      <c r="J28" s="1131">
        <f t="shared" si="1"/>
        <v>42472.800000000003</v>
      </c>
      <c r="K28" s="1131"/>
      <c r="L28" s="1131"/>
      <c r="M28" s="1131"/>
      <c r="N28" s="1131"/>
      <c r="O28" s="1131"/>
      <c r="P28" s="1131"/>
      <c r="Q28" s="1132"/>
      <c r="R28" s="1132"/>
      <c r="S28" s="1133">
        <f t="shared" si="18"/>
        <v>42472.800000000003</v>
      </c>
      <c r="T28" s="1133">
        <f t="shared" si="19"/>
        <v>467200.8</v>
      </c>
      <c r="U28" s="1133">
        <f t="shared" si="20"/>
        <v>46720.08</v>
      </c>
      <c r="V28" s="1133">
        <f t="shared" si="21"/>
        <v>35058.670399999995</v>
      </c>
      <c r="W28" s="1133">
        <f t="shared" si="22"/>
        <v>9344.0159999999996</v>
      </c>
      <c r="X28" s="1133">
        <f t="shared" si="23"/>
        <v>376078.03359999997</v>
      </c>
      <c r="Y28" s="1133">
        <f t="shared" si="24"/>
        <v>5606409.5999999996</v>
      </c>
      <c r="Z28" s="1133">
        <f t="shared" si="25"/>
        <v>849456</v>
      </c>
      <c r="AA28" s="1133">
        <f t="shared" si="26"/>
        <v>6455865.5999999996</v>
      </c>
      <c r="AB28" s="1133">
        <f t="shared" si="27"/>
        <v>225955.296</v>
      </c>
      <c r="AC28" s="1133">
        <f t="shared" si="28"/>
        <v>336282.64128000004</v>
      </c>
      <c r="AD28" s="1133">
        <f t="shared" si="29"/>
        <v>290513.95199999999</v>
      </c>
      <c r="AE28" s="1133">
        <f t="shared" si="30"/>
        <v>193675.96799999999</v>
      </c>
      <c r="AF28" s="1133">
        <f t="shared" si="31"/>
        <v>7502293.4572799997</v>
      </c>
      <c r="AG28" s="1133" t="s">
        <v>3</v>
      </c>
    </row>
    <row r="29" spans="1:33">
      <c r="A29" s="1126">
        <f t="shared" si="16"/>
        <v>10</v>
      </c>
      <c r="B29" s="1134" t="s">
        <v>52</v>
      </c>
      <c r="C29" s="1134" t="s">
        <v>434</v>
      </c>
      <c r="D29" s="1126">
        <v>1</v>
      </c>
      <c r="E29" s="1126">
        <v>1</v>
      </c>
      <c r="F29" s="1126"/>
      <c r="G29" s="1148">
        <v>44853</v>
      </c>
      <c r="H29" s="1136">
        <v>30</v>
      </c>
      <c r="I29" s="1131">
        <f t="shared" si="0"/>
        <v>530910</v>
      </c>
      <c r="J29" s="1131">
        <f t="shared" si="1"/>
        <v>53091</v>
      </c>
      <c r="K29" s="1131"/>
      <c r="L29" s="1131"/>
      <c r="M29" s="1131"/>
      <c r="N29" s="1131"/>
      <c r="O29" s="1131"/>
      <c r="P29" s="1131"/>
      <c r="Q29" s="1132"/>
      <c r="R29" s="1132"/>
      <c r="S29" s="1133">
        <f t="shared" si="18"/>
        <v>53091</v>
      </c>
      <c r="T29" s="1133">
        <f t="shared" si="19"/>
        <v>584001</v>
      </c>
      <c r="U29" s="1133">
        <f t="shared" si="20"/>
        <v>58400.100000000006</v>
      </c>
      <c r="V29" s="1133">
        <f t="shared" si="21"/>
        <v>45337.088000000003</v>
      </c>
      <c r="W29" s="1133">
        <f t="shared" si="22"/>
        <v>11680.02</v>
      </c>
      <c r="X29" s="1133">
        <f t="shared" si="23"/>
        <v>468583.79200000002</v>
      </c>
      <c r="Y29" s="1133">
        <f t="shared" si="24"/>
        <v>7008012</v>
      </c>
      <c r="Z29" s="1133">
        <f t="shared" si="25"/>
        <v>1061820</v>
      </c>
      <c r="AA29" s="1133">
        <f t="shared" si="26"/>
        <v>8069832</v>
      </c>
      <c r="AB29" s="1133">
        <f t="shared" si="27"/>
        <v>282444.12000000005</v>
      </c>
      <c r="AC29" s="1133">
        <f t="shared" si="28"/>
        <v>420353.30159999995</v>
      </c>
      <c r="AD29" s="1133">
        <f t="shared" si="29"/>
        <v>363142.44</v>
      </c>
      <c r="AE29" s="1133">
        <f t="shared" si="30"/>
        <v>242094.96</v>
      </c>
      <c r="AF29" s="1133">
        <f t="shared" si="31"/>
        <v>9377866.8215999994</v>
      </c>
      <c r="AG29" s="1133" t="s">
        <v>3</v>
      </c>
    </row>
    <row r="30" spans="1:33">
      <c r="A30" s="1126">
        <f t="shared" si="16"/>
        <v>11</v>
      </c>
      <c r="B30" s="1134" t="s">
        <v>435</v>
      </c>
      <c r="C30" s="1134" t="s">
        <v>436</v>
      </c>
      <c r="D30" s="1126">
        <v>1</v>
      </c>
      <c r="E30" s="1126">
        <v>1</v>
      </c>
      <c r="F30" s="1126"/>
      <c r="G30" s="1129">
        <v>43710</v>
      </c>
      <c r="H30" s="1136">
        <v>35</v>
      </c>
      <c r="I30" s="1131">
        <f t="shared" si="0"/>
        <v>619395</v>
      </c>
      <c r="J30" s="1131">
        <f t="shared" si="1"/>
        <v>61939.5</v>
      </c>
      <c r="K30" s="1131"/>
      <c r="L30" s="1131"/>
      <c r="M30" s="1131"/>
      <c r="N30" s="1131"/>
      <c r="O30" s="1131"/>
      <c r="P30" s="1131"/>
      <c r="Q30" s="1132"/>
      <c r="R30" s="1132"/>
      <c r="S30" s="1133">
        <f t="shared" si="18"/>
        <v>61939.5</v>
      </c>
      <c r="T30" s="1133">
        <f t="shared" si="19"/>
        <v>681334.5</v>
      </c>
      <c r="U30" s="1133">
        <f t="shared" si="20"/>
        <v>68133.45</v>
      </c>
      <c r="V30" s="1133">
        <f t="shared" si="21"/>
        <v>53902.436000000016</v>
      </c>
      <c r="W30" s="1133">
        <f t="shared" si="22"/>
        <v>13626.69</v>
      </c>
      <c r="X30" s="1133">
        <f t="shared" si="23"/>
        <v>545671.92400000012</v>
      </c>
      <c r="Y30" s="1133">
        <f t="shared" si="24"/>
        <v>8176014</v>
      </c>
      <c r="Z30" s="1133">
        <f t="shared" si="25"/>
        <v>1238790</v>
      </c>
      <c r="AA30" s="1133">
        <f t="shared" si="26"/>
        <v>9414804</v>
      </c>
      <c r="AB30" s="1133">
        <f t="shared" si="27"/>
        <v>329518.14</v>
      </c>
      <c r="AC30" s="1133">
        <f t="shared" si="28"/>
        <v>490412.18519999989</v>
      </c>
      <c r="AD30" s="1133">
        <f t="shared" si="29"/>
        <v>423666.18</v>
      </c>
      <c r="AE30" s="1133">
        <f t="shared" si="30"/>
        <v>282444.12</v>
      </c>
      <c r="AF30" s="1133">
        <f t="shared" si="31"/>
        <v>10940844.6252</v>
      </c>
      <c r="AG30" s="1133" t="s">
        <v>3</v>
      </c>
    </row>
    <row r="31" spans="1:33" ht="31.5">
      <c r="A31" s="1126">
        <f t="shared" si="16"/>
        <v>12</v>
      </c>
      <c r="B31" s="1149" t="s">
        <v>437</v>
      </c>
      <c r="C31" s="1150" t="s">
        <v>438</v>
      </c>
      <c r="D31" s="1151">
        <v>1</v>
      </c>
      <c r="E31" s="1151">
        <v>1</v>
      </c>
      <c r="F31" s="1151"/>
      <c r="G31" s="1129">
        <v>44105</v>
      </c>
      <c r="H31" s="1152">
        <v>30</v>
      </c>
      <c r="I31" s="1153">
        <f t="shared" si="0"/>
        <v>530910</v>
      </c>
      <c r="J31" s="1153">
        <f t="shared" si="1"/>
        <v>53091</v>
      </c>
      <c r="K31" s="1153"/>
      <c r="L31" s="1153"/>
      <c r="M31" s="1153"/>
      <c r="N31" s="1153"/>
      <c r="O31" s="1153"/>
      <c r="P31" s="1153"/>
      <c r="Q31" s="1154"/>
      <c r="R31" s="1154"/>
      <c r="S31" s="1133">
        <f t="shared" si="18"/>
        <v>53091</v>
      </c>
      <c r="T31" s="1133">
        <f t="shared" si="19"/>
        <v>584001</v>
      </c>
      <c r="U31" s="1133">
        <f t="shared" si="20"/>
        <v>58400.100000000006</v>
      </c>
      <c r="V31" s="1133">
        <f t="shared" si="21"/>
        <v>45337.088000000003</v>
      </c>
      <c r="W31" s="1133">
        <f t="shared" si="22"/>
        <v>11680.02</v>
      </c>
      <c r="X31" s="1133">
        <f t="shared" si="23"/>
        <v>468583.79200000002</v>
      </c>
      <c r="Y31" s="1133">
        <f t="shared" si="24"/>
        <v>7008012</v>
      </c>
      <c r="Z31" s="1133">
        <f t="shared" si="25"/>
        <v>1061820</v>
      </c>
      <c r="AA31" s="1133">
        <f t="shared" si="26"/>
        <v>8069832</v>
      </c>
      <c r="AB31" s="1133">
        <f t="shared" si="27"/>
        <v>282444.12000000005</v>
      </c>
      <c r="AC31" s="1133">
        <f t="shared" si="28"/>
        <v>420353.30159999995</v>
      </c>
      <c r="AD31" s="1133">
        <f t="shared" si="29"/>
        <v>363142.44</v>
      </c>
      <c r="AE31" s="1133">
        <f t="shared" si="30"/>
        <v>242094.96</v>
      </c>
      <c r="AF31" s="1133">
        <f t="shared" si="31"/>
        <v>9377866.8215999994</v>
      </c>
      <c r="AG31" s="1133" t="s">
        <v>3</v>
      </c>
    </row>
    <row r="32" spans="1:33">
      <c r="A32" s="1126">
        <f t="shared" si="16"/>
        <v>13</v>
      </c>
      <c r="B32" s="1137" t="s">
        <v>46</v>
      </c>
      <c r="C32" s="1137" t="s">
        <v>893</v>
      </c>
      <c r="D32" s="1474">
        <v>2</v>
      </c>
      <c r="E32" s="1126">
        <v>1</v>
      </c>
      <c r="F32" s="1126"/>
      <c r="G32" s="1155">
        <v>44939</v>
      </c>
      <c r="H32" s="1139">
        <v>23</v>
      </c>
      <c r="I32" s="1131">
        <f>H32*17697</f>
        <v>407031</v>
      </c>
      <c r="J32" s="1131">
        <f t="shared" si="1"/>
        <v>40703.100000000006</v>
      </c>
      <c r="K32" s="1131"/>
      <c r="L32" s="1131"/>
      <c r="M32" s="1131"/>
      <c r="N32" s="1131"/>
      <c r="O32" s="1131"/>
      <c r="P32" s="1131"/>
      <c r="Q32" s="1132"/>
      <c r="R32" s="1132"/>
      <c r="S32" s="1133">
        <f t="shared" si="18"/>
        <v>40703.100000000006</v>
      </c>
      <c r="T32" s="1133">
        <f t="shared" si="19"/>
        <v>447734.1</v>
      </c>
      <c r="U32" s="1133">
        <f t="shared" si="20"/>
        <v>44773.41</v>
      </c>
      <c r="V32" s="1133">
        <f t="shared" si="21"/>
        <v>33345.6008</v>
      </c>
      <c r="W32" s="1133">
        <f t="shared" si="22"/>
        <v>8954.6819999999989</v>
      </c>
      <c r="X32" s="1133">
        <f t="shared" si="23"/>
        <v>360660.40719999996</v>
      </c>
      <c r="Y32" s="1133">
        <f t="shared" si="24"/>
        <v>5372809.1999999993</v>
      </c>
      <c r="Z32" s="1133">
        <f t="shared" si="25"/>
        <v>814062</v>
      </c>
      <c r="AA32" s="1133">
        <f t="shared" si="26"/>
        <v>6186871.1999999993</v>
      </c>
      <c r="AB32" s="1133">
        <f t="shared" si="27"/>
        <v>216540.492</v>
      </c>
      <c r="AC32" s="1133">
        <f t="shared" si="28"/>
        <v>322270.86455999996</v>
      </c>
      <c r="AD32" s="1133">
        <f t="shared" si="29"/>
        <v>278409.20399999997</v>
      </c>
      <c r="AE32" s="1133">
        <f t="shared" si="30"/>
        <v>185606.13599999997</v>
      </c>
      <c r="AF32" s="1133">
        <f t="shared" si="31"/>
        <v>7189697.8965599984</v>
      </c>
      <c r="AG32" s="1133" t="s">
        <v>3</v>
      </c>
    </row>
    <row r="33" spans="1:33">
      <c r="A33" s="1126">
        <f t="shared" si="16"/>
        <v>14</v>
      </c>
      <c r="B33" s="1156" t="s">
        <v>46</v>
      </c>
      <c r="C33" s="1137" t="s">
        <v>894</v>
      </c>
      <c r="D33" s="1474"/>
      <c r="E33" s="1126">
        <v>1</v>
      </c>
      <c r="F33" s="1126"/>
      <c r="G33" s="1129">
        <v>41860</v>
      </c>
      <c r="H33" s="1139">
        <v>23</v>
      </c>
      <c r="I33" s="1131">
        <f t="shared" si="0"/>
        <v>407031</v>
      </c>
      <c r="J33" s="1131">
        <f t="shared" si="1"/>
        <v>40703.100000000006</v>
      </c>
      <c r="K33" s="1131"/>
      <c r="L33" s="1131"/>
      <c r="M33" s="1131"/>
      <c r="N33" s="1131"/>
      <c r="O33" s="1131"/>
      <c r="P33" s="1131"/>
      <c r="Q33" s="1132"/>
      <c r="R33" s="1132"/>
      <c r="S33" s="1133">
        <f t="shared" si="18"/>
        <v>40703.100000000006</v>
      </c>
      <c r="T33" s="1133">
        <f t="shared" si="19"/>
        <v>447734.1</v>
      </c>
      <c r="U33" s="1133">
        <f t="shared" si="20"/>
        <v>44773.41</v>
      </c>
      <c r="V33" s="1133">
        <f t="shared" si="21"/>
        <v>33345.6008</v>
      </c>
      <c r="W33" s="1133">
        <f t="shared" si="22"/>
        <v>8954.6819999999989</v>
      </c>
      <c r="X33" s="1133">
        <f t="shared" si="23"/>
        <v>360660.40719999996</v>
      </c>
      <c r="Y33" s="1133">
        <f t="shared" si="24"/>
        <v>5372809.1999999993</v>
      </c>
      <c r="Z33" s="1133">
        <f t="shared" si="25"/>
        <v>814062</v>
      </c>
      <c r="AA33" s="1133">
        <f t="shared" si="26"/>
        <v>6186871.1999999993</v>
      </c>
      <c r="AB33" s="1133">
        <f t="shared" si="27"/>
        <v>216540.492</v>
      </c>
      <c r="AC33" s="1133">
        <f t="shared" si="28"/>
        <v>322270.86455999996</v>
      </c>
      <c r="AD33" s="1133">
        <f t="shared" si="29"/>
        <v>278409.20399999997</v>
      </c>
      <c r="AE33" s="1133">
        <f t="shared" si="30"/>
        <v>185606.13599999997</v>
      </c>
      <c r="AF33" s="1133">
        <f t="shared" si="31"/>
        <v>7189697.8965599984</v>
      </c>
      <c r="AG33" s="1133" t="s">
        <v>3</v>
      </c>
    </row>
    <row r="34" spans="1:33">
      <c r="A34" s="1126">
        <f t="shared" si="16"/>
        <v>15</v>
      </c>
      <c r="B34" s="1156" t="s">
        <v>439</v>
      </c>
      <c r="C34" s="1157" t="s">
        <v>440</v>
      </c>
      <c r="D34" s="1126">
        <v>1</v>
      </c>
      <c r="E34" s="1126">
        <v>1</v>
      </c>
      <c r="F34" s="1126"/>
      <c r="G34" s="1148">
        <v>45019</v>
      </c>
      <c r="H34" s="1139">
        <v>28</v>
      </c>
      <c r="I34" s="1131">
        <f t="shared" si="0"/>
        <v>495516</v>
      </c>
      <c r="J34" s="1131">
        <f t="shared" si="1"/>
        <v>49551.600000000006</v>
      </c>
      <c r="K34" s="1131"/>
      <c r="L34" s="1131"/>
      <c r="M34" s="1131"/>
      <c r="N34" s="1131"/>
      <c r="O34" s="1131"/>
      <c r="P34" s="1131"/>
      <c r="Q34" s="1132"/>
      <c r="R34" s="1132"/>
      <c r="S34" s="1133">
        <f t="shared" si="18"/>
        <v>49551.600000000006</v>
      </c>
      <c r="T34" s="1133">
        <f t="shared" si="19"/>
        <v>545067.6</v>
      </c>
      <c r="U34" s="1133">
        <f t="shared" si="20"/>
        <v>54506.76</v>
      </c>
      <c r="V34" s="1133">
        <f t="shared" si="21"/>
        <v>41910.948799999998</v>
      </c>
      <c r="W34" s="1133">
        <f t="shared" si="22"/>
        <v>10901.351999999999</v>
      </c>
      <c r="X34" s="1133">
        <f t="shared" si="23"/>
        <v>437748.53919999994</v>
      </c>
      <c r="Y34" s="1133">
        <f t="shared" si="24"/>
        <v>6540811.1999999993</v>
      </c>
      <c r="Z34" s="1133">
        <f t="shared" si="25"/>
        <v>991032</v>
      </c>
      <c r="AA34" s="1133">
        <f t="shared" si="26"/>
        <v>7531843.1999999993</v>
      </c>
      <c r="AB34" s="1133">
        <f t="shared" si="27"/>
        <v>263614.51199999999</v>
      </c>
      <c r="AC34" s="1133">
        <f t="shared" si="28"/>
        <v>392329.74815999996</v>
      </c>
      <c r="AD34" s="1133">
        <f t="shared" si="29"/>
        <v>338932.94400000002</v>
      </c>
      <c r="AE34" s="1133">
        <f t="shared" si="30"/>
        <v>225955.29599999997</v>
      </c>
      <c r="AF34" s="1133">
        <f t="shared" si="31"/>
        <v>8752675.7001599986</v>
      </c>
      <c r="AG34" s="1133" t="s">
        <v>3</v>
      </c>
    </row>
    <row r="35" spans="1:33" ht="31.5">
      <c r="A35" s="1126">
        <f t="shared" si="16"/>
        <v>16</v>
      </c>
      <c r="B35" s="1137" t="s">
        <v>441</v>
      </c>
      <c r="C35" s="1158" t="s">
        <v>826</v>
      </c>
      <c r="D35" s="1126">
        <v>1</v>
      </c>
      <c r="E35" s="1126">
        <v>1</v>
      </c>
      <c r="F35" s="1126"/>
      <c r="G35" s="1148">
        <v>45232</v>
      </c>
      <c r="H35" s="1139">
        <v>28</v>
      </c>
      <c r="I35" s="1131">
        <f t="shared" si="0"/>
        <v>495516</v>
      </c>
      <c r="J35" s="1131">
        <f t="shared" si="1"/>
        <v>49551.600000000006</v>
      </c>
      <c r="K35" s="1131"/>
      <c r="L35" s="1131"/>
      <c r="M35" s="1131"/>
      <c r="N35" s="1131"/>
      <c r="O35" s="1131"/>
      <c r="P35" s="1131"/>
      <c r="Q35" s="1132"/>
      <c r="R35" s="1132"/>
      <c r="S35" s="1133">
        <f t="shared" si="18"/>
        <v>49551.600000000006</v>
      </c>
      <c r="T35" s="1133">
        <f t="shared" si="19"/>
        <v>545067.6</v>
      </c>
      <c r="U35" s="1133">
        <f t="shared" si="20"/>
        <v>54506.76</v>
      </c>
      <c r="V35" s="1133">
        <f t="shared" si="21"/>
        <v>41910.948799999998</v>
      </c>
      <c r="W35" s="1133">
        <f t="shared" si="22"/>
        <v>10901.351999999999</v>
      </c>
      <c r="X35" s="1133">
        <f t="shared" si="23"/>
        <v>437748.53919999994</v>
      </c>
      <c r="Y35" s="1133">
        <f t="shared" si="24"/>
        <v>6540811.1999999993</v>
      </c>
      <c r="Z35" s="1133">
        <f t="shared" si="25"/>
        <v>991032</v>
      </c>
      <c r="AA35" s="1133">
        <f t="shared" si="26"/>
        <v>7531843.1999999993</v>
      </c>
      <c r="AB35" s="1133">
        <f t="shared" si="27"/>
        <v>263614.51199999999</v>
      </c>
      <c r="AC35" s="1133">
        <f t="shared" si="28"/>
        <v>392329.74815999996</v>
      </c>
      <c r="AD35" s="1133">
        <f t="shared" si="29"/>
        <v>338932.94400000002</v>
      </c>
      <c r="AE35" s="1133">
        <f t="shared" si="30"/>
        <v>225955.29599999997</v>
      </c>
      <c r="AF35" s="1133">
        <f t="shared" si="31"/>
        <v>8752675.7001599986</v>
      </c>
      <c r="AG35" s="1133" t="s">
        <v>3</v>
      </c>
    </row>
    <row r="36" spans="1:33" ht="31.5">
      <c r="A36" s="1126">
        <f t="shared" si="16"/>
        <v>17</v>
      </c>
      <c r="B36" s="1134" t="s">
        <v>442</v>
      </c>
      <c r="C36" s="1134" t="s">
        <v>190</v>
      </c>
      <c r="D36" s="1126">
        <v>1</v>
      </c>
      <c r="E36" s="1126">
        <v>1</v>
      </c>
      <c r="F36" s="1126"/>
      <c r="G36" s="1129">
        <v>42980</v>
      </c>
      <c r="H36" s="1136">
        <v>25</v>
      </c>
      <c r="I36" s="1131">
        <f t="shared" si="0"/>
        <v>442425</v>
      </c>
      <c r="J36" s="1131">
        <f t="shared" si="1"/>
        <v>44242.5</v>
      </c>
      <c r="K36" s="1131"/>
      <c r="L36" s="1131"/>
      <c r="M36" s="1131"/>
      <c r="N36" s="1131"/>
      <c r="O36" s="1131"/>
      <c r="P36" s="1131"/>
      <c r="Q36" s="1132"/>
      <c r="R36" s="1132"/>
      <c r="S36" s="1133">
        <f t="shared" si="18"/>
        <v>44242.5</v>
      </c>
      <c r="T36" s="1133">
        <f t="shared" si="19"/>
        <v>486667.5</v>
      </c>
      <c r="U36" s="1133">
        <f t="shared" si="20"/>
        <v>48666.75</v>
      </c>
      <c r="V36" s="1133">
        <f t="shared" si="21"/>
        <v>36771.740000000005</v>
      </c>
      <c r="W36" s="1133">
        <f t="shared" si="22"/>
        <v>9733.35</v>
      </c>
      <c r="X36" s="1133">
        <f t="shared" si="23"/>
        <v>391495.66000000003</v>
      </c>
      <c r="Y36" s="1133">
        <f t="shared" si="24"/>
        <v>5840010</v>
      </c>
      <c r="Z36" s="1133">
        <f t="shared" si="25"/>
        <v>884850</v>
      </c>
      <c r="AA36" s="1133">
        <f t="shared" si="26"/>
        <v>6724860</v>
      </c>
      <c r="AB36" s="1133">
        <f t="shared" si="27"/>
        <v>235370.10000000003</v>
      </c>
      <c r="AC36" s="1133">
        <f t="shared" si="28"/>
        <v>350294.41800000001</v>
      </c>
      <c r="AD36" s="1133">
        <f t="shared" si="29"/>
        <v>302618.7</v>
      </c>
      <c r="AE36" s="1133">
        <f t="shared" si="30"/>
        <v>201745.8</v>
      </c>
      <c r="AF36" s="1133">
        <f t="shared" si="31"/>
        <v>7814889.0179999992</v>
      </c>
      <c r="AG36" s="1133" t="s">
        <v>3</v>
      </c>
    </row>
    <row r="37" spans="1:33">
      <c r="A37" s="1126">
        <f t="shared" si="16"/>
        <v>18</v>
      </c>
      <c r="B37" s="1137" t="s">
        <v>47</v>
      </c>
      <c r="C37" s="1159" t="s">
        <v>895</v>
      </c>
      <c r="D37" s="1160">
        <v>1</v>
      </c>
      <c r="E37" s="1126">
        <v>1</v>
      </c>
      <c r="F37" s="1126"/>
      <c r="G37" s="1129">
        <v>44305</v>
      </c>
      <c r="H37" s="1139">
        <v>22</v>
      </c>
      <c r="I37" s="1131">
        <f t="shared" si="0"/>
        <v>389334</v>
      </c>
      <c r="J37" s="1131">
        <f t="shared" si="1"/>
        <v>38933.4</v>
      </c>
      <c r="K37" s="1131"/>
      <c r="L37" s="1131"/>
      <c r="M37" s="1131"/>
      <c r="N37" s="1131"/>
      <c r="O37" s="1131"/>
      <c r="P37" s="1131"/>
      <c r="Q37" s="1132"/>
      <c r="R37" s="1132"/>
      <c r="S37" s="1133">
        <f t="shared" si="18"/>
        <v>38933.4</v>
      </c>
      <c r="T37" s="1133">
        <f t="shared" si="19"/>
        <v>428267.4</v>
      </c>
      <c r="U37" s="1133">
        <f t="shared" si="20"/>
        <v>42826.740000000005</v>
      </c>
      <c r="V37" s="1133">
        <f t="shared" si="21"/>
        <v>31632.531200000005</v>
      </c>
      <c r="W37" s="1133">
        <f t="shared" si="22"/>
        <v>8565.348</v>
      </c>
      <c r="X37" s="1133">
        <f t="shared" si="23"/>
        <v>345242.78080000001</v>
      </c>
      <c r="Y37" s="1133">
        <f t="shared" si="24"/>
        <v>5139208.8000000007</v>
      </c>
      <c r="Z37" s="1133">
        <f t="shared" si="25"/>
        <v>778668</v>
      </c>
      <c r="AA37" s="1133">
        <f t="shared" si="26"/>
        <v>5917876.8000000007</v>
      </c>
      <c r="AB37" s="1133">
        <f t="shared" si="27"/>
        <v>207125.68800000005</v>
      </c>
      <c r="AC37" s="1133">
        <f t="shared" si="28"/>
        <v>308259.08784000011</v>
      </c>
      <c r="AD37" s="1133">
        <f t="shared" si="29"/>
        <v>266304.45600000006</v>
      </c>
      <c r="AE37" s="1133">
        <f t="shared" si="30"/>
        <v>177536.304</v>
      </c>
      <c r="AF37" s="1133">
        <f t="shared" si="31"/>
        <v>6877102.3358400008</v>
      </c>
      <c r="AG37" s="1133" t="s">
        <v>3</v>
      </c>
    </row>
    <row r="38" spans="1:33" ht="31.5">
      <c r="A38" s="1126">
        <f t="shared" si="16"/>
        <v>19</v>
      </c>
      <c r="B38" s="1134" t="s">
        <v>443</v>
      </c>
      <c r="C38" s="1134" t="s">
        <v>444</v>
      </c>
      <c r="D38" s="1126">
        <v>1</v>
      </c>
      <c r="E38" s="1126">
        <v>1</v>
      </c>
      <c r="F38" s="1126"/>
      <c r="G38" s="1161">
        <v>42888</v>
      </c>
      <c r="H38" s="1136">
        <v>13</v>
      </c>
      <c r="I38" s="1131">
        <f t="shared" si="0"/>
        <v>230061</v>
      </c>
      <c r="J38" s="1131">
        <f t="shared" si="1"/>
        <v>23006.100000000002</v>
      </c>
      <c r="K38" s="1131"/>
      <c r="L38" s="1131"/>
      <c r="M38" s="1131"/>
      <c r="N38" s="1131"/>
      <c r="O38" s="1131"/>
      <c r="P38" s="1131"/>
      <c r="Q38" s="1132"/>
      <c r="R38" s="1132"/>
      <c r="S38" s="1133">
        <f t="shared" si="18"/>
        <v>23006.100000000002</v>
      </c>
      <c r="T38" s="1133">
        <f t="shared" si="19"/>
        <v>253067.1</v>
      </c>
      <c r="U38" s="1133">
        <f t="shared" si="20"/>
        <v>25306.710000000003</v>
      </c>
      <c r="V38" s="1133">
        <f t="shared" si="21"/>
        <v>16214.904800000002</v>
      </c>
      <c r="W38" s="1133">
        <f t="shared" si="22"/>
        <v>5061.3420000000006</v>
      </c>
      <c r="X38" s="1133">
        <f t="shared" si="23"/>
        <v>206484.14320000002</v>
      </c>
      <c r="Y38" s="1133">
        <f t="shared" si="24"/>
        <v>3036805.2</v>
      </c>
      <c r="Z38" s="1133">
        <f t="shared" si="25"/>
        <v>460122</v>
      </c>
      <c r="AA38" s="1133">
        <f t="shared" si="26"/>
        <v>3496927.2</v>
      </c>
      <c r="AB38" s="1133">
        <f t="shared" si="27"/>
        <v>122392.45200000002</v>
      </c>
      <c r="AC38" s="1133">
        <f t="shared" si="28"/>
        <v>182153.09736000001</v>
      </c>
      <c r="AD38" s="1133">
        <f t="shared" si="29"/>
        <v>157361.72400000005</v>
      </c>
      <c r="AE38" s="1133">
        <f t="shared" si="30"/>
        <v>104907.81600000001</v>
      </c>
      <c r="AF38" s="1133">
        <f t="shared" si="31"/>
        <v>4063742.2893600003</v>
      </c>
      <c r="AG38" s="1133" t="s">
        <v>3</v>
      </c>
    </row>
    <row r="39" spans="1:33" ht="21.75" customHeight="1">
      <c r="A39" s="1141"/>
      <c r="B39" s="1162" t="s">
        <v>2456</v>
      </c>
      <c r="C39" s="1163"/>
      <c r="D39" s="1164">
        <f>SUM(D27:D38)</f>
        <v>12</v>
      </c>
      <c r="E39" s="1164">
        <f>SUM(E27:E38)</f>
        <v>12</v>
      </c>
      <c r="F39" s="1165"/>
      <c r="G39" s="1165"/>
      <c r="H39" s="1165"/>
      <c r="I39" s="1166">
        <f t="shared" ref="I39:AF39" si="32">SUM(I27:I38)</f>
        <v>5592252</v>
      </c>
      <c r="J39" s="1166">
        <f t="shared" si="32"/>
        <v>559225.19999999995</v>
      </c>
      <c r="K39" s="1166">
        <f t="shared" si="32"/>
        <v>0</v>
      </c>
      <c r="L39" s="1166">
        <f t="shared" si="32"/>
        <v>0</v>
      </c>
      <c r="M39" s="1166">
        <f t="shared" si="32"/>
        <v>0</v>
      </c>
      <c r="N39" s="1166">
        <f t="shared" si="32"/>
        <v>0</v>
      </c>
      <c r="O39" s="1166">
        <f t="shared" si="32"/>
        <v>0</v>
      </c>
      <c r="P39" s="1166">
        <f t="shared" si="32"/>
        <v>0</v>
      </c>
      <c r="Q39" s="1166">
        <f t="shared" si="32"/>
        <v>0</v>
      </c>
      <c r="R39" s="1166">
        <f t="shared" si="32"/>
        <v>0</v>
      </c>
      <c r="S39" s="1166">
        <f t="shared" si="32"/>
        <v>559225.19999999995</v>
      </c>
      <c r="T39" s="1166">
        <f t="shared" si="32"/>
        <v>6151477.1999999993</v>
      </c>
      <c r="U39" s="1166">
        <f t="shared" si="32"/>
        <v>615147.72000000009</v>
      </c>
      <c r="V39" s="1166">
        <f t="shared" si="32"/>
        <v>468669.99360000016</v>
      </c>
      <c r="W39" s="1166">
        <f t="shared" si="32"/>
        <v>123029.54400000001</v>
      </c>
      <c r="X39" s="1166">
        <f t="shared" si="32"/>
        <v>4944629.9423999991</v>
      </c>
      <c r="Y39" s="1166">
        <f t="shared" si="32"/>
        <v>73817726.400000006</v>
      </c>
      <c r="Z39" s="1166">
        <f t="shared" si="32"/>
        <v>11184504</v>
      </c>
      <c r="AA39" s="1166">
        <f t="shared" si="32"/>
        <v>85002230.400000006</v>
      </c>
      <c r="AB39" s="1166">
        <f t="shared" si="32"/>
        <v>2975078.0640000007</v>
      </c>
      <c r="AC39" s="1166">
        <f t="shared" si="32"/>
        <v>4427721.4435200002</v>
      </c>
      <c r="AD39" s="1166">
        <f t="shared" si="32"/>
        <v>3825100.3680000002</v>
      </c>
      <c r="AE39" s="1166">
        <f t="shared" si="32"/>
        <v>2550066.912</v>
      </c>
      <c r="AF39" s="1166">
        <f t="shared" si="32"/>
        <v>98780197.187519997</v>
      </c>
      <c r="AG39" s="1167"/>
    </row>
    <row r="40" spans="1:33" ht="21" customHeight="1">
      <c r="A40" s="1168"/>
      <c r="B40" s="1169" t="s">
        <v>2457</v>
      </c>
      <c r="C40" s="1170"/>
      <c r="D40" s="1171">
        <f>D26+D39</f>
        <v>19</v>
      </c>
      <c r="E40" s="1171">
        <f>E26+E39</f>
        <v>19</v>
      </c>
      <c r="F40" s="1172"/>
      <c r="G40" s="1172"/>
      <c r="H40" s="1172"/>
      <c r="I40" s="1173">
        <f t="shared" ref="I40:AF40" si="33">I26+I39</f>
        <v>10264260</v>
      </c>
      <c r="J40" s="1173">
        <f t="shared" si="33"/>
        <v>1026426</v>
      </c>
      <c r="K40" s="1173">
        <f t="shared" si="33"/>
        <v>0</v>
      </c>
      <c r="L40" s="1173">
        <f t="shared" si="33"/>
        <v>1327275</v>
      </c>
      <c r="M40" s="1173">
        <f t="shared" si="33"/>
        <v>0</v>
      </c>
      <c r="N40" s="1173">
        <f t="shared" si="33"/>
        <v>0</v>
      </c>
      <c r="O40" s="1173">
        <f t="shared" si="33"/>
        <v>0</v>
      </c>
      <c r="P40" s="1173">
        <f t="shared" si="33"/>
        <v>0</v>
      </c>
      <c r="Q40" s="1173">
        <f t="shared" si="33"/>
        <v>0</v>
      </c>
      <c r="R40" s="1173">
        <f t="shared" si="33"/>
        <v>0</v>
      </c>
      <c r="S40" s="1173">
        <f t="shared" si="33"/>
        <v>2353701</v>
      </c>
      <c r="T40" s="1173">
        <f t="shared" si="33"/>
        <v>12617961</v>
      </c>
      <c r="U40" s="1173">
        <f t="shared" si="33"/>
        <v>1261796.1000000001</v>
      </c>
      <c r="V40" s="1173">
        <f t="shared" si="33"/>
        <v>995335.5680000002</v>
      </c>
      <c r="W40" s="1173">
        <f t="shared" si="33"/>
        <v>252359.22</v>
      </c>
      <c r="X40" s="1173">
        <f t="shared" si="33"/>
        <v>10108470.112</v>
      </c>
      <c r="Y40" s="1173">
        <f t="shared" si="33"/>
        <v>151415532</v>
      </c>
      <c r="Z40" s="1173">
        <f t="shared" si="33"/>
        <v>20528520</v>
      </c>
      <c r="AA40" s="1173">
        <f t="shared" si="33"/>
        <v>171944052</v>
      </c>
      <c r="AB40" s="1173">
        <f t="shared" si="33"/>
        <v>6018041.8200000003</v>
      </c>
      <c r="AC40" s="1173">
        <f t="shared" si="33"/>
        <v>8951864.6376000009</v>
      </c>
      <c r="AD40" s="1173">
        <f t="shared" si="33"/>
        <v>7737482.3399999999</v>
      </c>
      <c r="AE40" s="1173">
        <f t="shared" si="33"/>
        <v>5158321.5599999996</v>
      </c>
      <c r="AF40" s="1173">
        <f t="shared" si="33"/>
        <v>199809762.3576</v>
      </c>
      <c r="AG40" s="1174"/>
    </row>
    <row r="41" spans="1:33">
      <c r="A41" s="1475" t="s">
        <v>445</v>
      </c>
      <c r="B41" s="1475"/>
      <c r="C41" s="1475"/>
      <c r="D41" s="1475"/>
      <c r="E41" s="1475"/>
      <c r="F41" s="1475"/>
      <c r="G41" s="1475"/>
      <c r="H41" s="1475"/>
      <c r="I41" s="1475"/>
      <c r="J41" s="1475"/>
      <c r="K41" s="1475"/>
      <c r="L41" s="1475"/>
      <c r="M41" s="1475"/>
      <c r="N41" s="1475"/>
      <c r="O41" s="1475"/>
      <c r="P41" s="1475"/>
      <c r="Q41" s="1475"/>
      <c r="R41" s="1475"/>
      <c r="S41" s="1475"/>
      <c r="T41" s="1475"/>
      <c r="U41" s="1475"/>
      <c r="V41" s="1475"/>
      <c r="W41" s="1475"/>
      <c r="X41" s="1475"/>
      <c r="Y41" s="1475"/>
      <c r="Z41" s="1475"/>
      <c r="AA41" s="1475"/>
      <c r="AB41" s="1475"/>
      <c r="AC41" s="1475"/>
      <c r="AD41" s="1475"/>
      <c r="AE41" s="1475"/>
      <c r="AF41" s="1475"/>
      <c r="AG41" s="1476"/>
    </row>
    <row r="42" spans="1:33" ht="34.5" customHeight="1">
      <c r="A42" s="1175">
        <f>A38+1</f>
        <v>20</v>
      </c>
      <c r="B42" s="1137" t="s">
        <v>446</v>
      </c>
      <c r="C42" s="325" t="s">
        <v>896</v>
      </c>
      <c r="D42" s="1477">
        <v>4</v>
      </c>
      <c r="E42" s="1175">
        <v>1</v>
      </c>
      <c r="F42" s="1176">
        <v>17697</v>
      </c>
      <c r="G42" s="1129">
        <v>45902</v>
      </c>
      <c r="H42" s="1139">
        <v>32</v>
      </c>
      <c r="I42" s="1133">
        <f>E42*17697*H42</f>
        <v>566304</v>
      </c>
      <c r="J42" s="1133">
        <f t="shared" ref="J42:J103" si="34">I42*10%</f>
        <v>56630.400000000001</v>
      </c>
      <c r="K42" s="1128"/>
      <c r="L42" s="1128"/>
      <c r="M42" s="1128"/>
      <c r="N42" s="1128"/>
      <c r="O42" s="1128"/>
      <c r="P42" s="1128"/>
      <c r="Q42" s="1177"/>
      <c r="R42" s="1177"/>
      <c r="S42" s="1133">
        <f t="shared" ref="S42:S103" si="35">SUM(J42:R42)</f>
        <v>56630.400000000001</v>
      </c>
      <c r="T42" s="1133">
        <f t="shared" ref="T42:T103" si="36">I42+S42</f>
        <v>622934.4</v>
      </c>
      <c r="U42" s="1133">
        <f t="shared" ref="U42:U103" si="37">T42*10%</f>
        <v>62293.440000000002</v>
      </c>
      <c r="V42" s="1133">
        <f t="shared" ref="V42:V103" si="38">((T42-U42-W42)-(14*4325))*10%</f>
        <v>48763.227200000001</v>
      </c>
      <c r="W42" s="1133">
        <f t="shared" ref="W42:W103" si="39">T42*2%</f>
        <v>12458.688</v>
      </c>
      <c r="X42" s="1133">
        <f t="shared" ref="X42:X103" si="40">T42-U42-V42-W42</f>
        <v>499419.04479999992</v>
      </c>
      <c r="Y42" s="1133">
        <f t="shared" ref="Y42:Y103" si="41">T42*12</f>
        <v>7475212.8000000007</v>
      </c>
      <c r="Z42" s="1133">
        <f t="shared" ref="Z42:Z103" si="42">I42*2</f>
        <v>1132608</v>
      </c>
      <c r="AA42" s="1133">
        <f t="shared" ref="AA42:AA103" si="43">Y42+Z42</f>
        <v>8607820.8000000007</v>
      </c>
      <c r="AB42" s="1133">
        <f t="shared" ref="AB42:AB102" si="44">AA42*3.5%</f>
        <v>301273.72800000006</v>
      </c>
      <c r="AC42" s="1133">
        <f t="shared" ref="AC42:AC102" si="45">(AA42*0.9-(W42*12))*11%-AD42</f>
        <v>448376.85503999999</v>
      </c>
      <c r="AD42" s="1133">
        <f t="shared" ref="AD42:AD103" si="46">AA42*0.9*5%</f>
        <v>387351.93600000005</v>
      </c>
      <c r="AE42" s="1133">
        <f t="shared" ref="AE42:AE103" si="47">AA42*3%</f>
        <v>258234.62400000001</v>
      </c>
      <c r="AF42" s="1133">
        <f t="shared" ref="AF42:AF103" si="48">AA42+AC42+AD42+AE42+AB42</f>
        <v>10003057.943040002</v>
      </c>
      <c r="AG42" s="1178" t="s">
        <v>3</v>
      </c>
    </row>
    <row r="43" spans="1:33" s="1189" customFormat="1" ht="34.5" customHeight="1">
      <c r="A43" s="1179">
        <f>A42+1</f>
        <v>21</v>
      </c>
      <c r="B43" s="1180" t="s">
        <v>446</v>
      </c>
      <c r="C43" s="1181" t="s">
        <v>931</v>
      </c>
      <c r="D43" s="1478"/>
      <c r="E43" s="1179"/>
      <c r="F43" s="1182">
        <v>17697</v>
      </c>
      <c r="G43" s="1183">
        <v>45300</v>
      </c>
      <c r="H43" s="1184">
        <v>70</v>
      </c>
      <c r="I43" s="1185">
        <f>17697*H43</f>
        <v>1238790</v>
      </c>
      <c r="J43" s="1185">
        <f t="shared" si="34"/>
        <v>123879</v>
      </c>
      <c r="K43" s="1186"/>
      <c r="L43" s="1186"/>
      <c r="M43" s="1186"/>
      <c r="N43" s="1186"/>
      <c r="O43" s="1186"/>
      <c r="P43" s="1186"/>
      <c r="Q43" s="1187"/>
      <c r="R43" s="1187"/>
      <c r="S43" s="1185">
        <f t="shared" si="35"/>
        <v>123879</v>
      </c>
      <c r="T43" s="1185">
        <f t="shared" si="36"/>
        <v>1362669</v>
      </c>
      <c r="U43" s="1185">
        <f t="shared" si="37"/>
        <v>136266.9</v>
      </c>
      <c r="V43" s="1185">
        <f t="shared" si="38"/>
        <v>113859.87200000003</v>
      </c>
      <c r="W43" s="1185">
        <f t="shared" si="39"/>
        <v>27253.38</v>
      </c>
      <c r="X43" s="1185">
        <f t="shared" si="40"/>
        <v>1085288.8480000002</v>
      </c>
      <c r="Y43" s="1185">
        <f t="shared" si="41"/>
        <v>16352028</v>
      </c>
      <c r="Z43" s="1185">
        <f t="shared" si="42"/>
        <v>2477580</v>
      </c>
      <c r="AA43" s="1185">
        <f t="shared" si="43"/>
        <v>18829608</v>
      </c>
      <c r="AB43" s="1185">
        <f t="shared" si="44"/>
        <v>659036.28</v>
      </c>
      <c r="AC43" s="1185">
        <f t="shared" si="45"/>
        <v>980824.37039999978</v>
      </c>
      <c r="AD43" s="1185">
        <f t="shared" si="46"/>
        <v>847332.36</v>
      </c>
      <c r="AE43" s="1185">
        <f t="shared" si="47"/>
        <v>564888.24</v>
      </c>
      <c r="AF43" s="1185">
        <f t="shared" si="48"/>
        <v>21881689.250399999</v>
      </c>
      <c r="AG43" s="1188" t="s">
        <v>3</v>
      </c>
    </row>
    <row r="44" spans="1:33" s="1190" customFormat="1" ht="31.5">
      <c r="A44" s="1175">
        <f t="shared" ref="A44:A103" si="49">A43+1</f>
        <v>22</v>
      </c>
      <c r="B44" s="1137" t="s">
        <v>446</v>
      </c>
      <c r="C44" s="326" t="s">
        <v>897</v>
      </c>
      <c r="D44" s="1478"/>
      <c r="E44" s="1175">
        <v>1</v>
      </c>
      <c r="F44" s="1176">
        <v>17697</v>
      </c>
      <c r="G44" s="1129">
        <v>45902</v>
      </c>
      <c r="H44" s="1139">
        <v>32</v>
      </c>
      <c r="I44" s="1133">
        <f>17697*H44</f>
        <v>566304</v>
      </c>
      <c r="J44" s="1133">
        <f t="shared" si="34"/>
        <v>56630.400000000001</v>
      </c>
      <c r="K44" s="1128"/>
      <c r="L44" s="1128"/>
      <c r="M44" s="1128"/>
      <c r="N44" s="1128"/>
      <c r="O44" s="1128"/>
      <c r="P44" s="1128"/>
      <c r="Q44" s="1177"/>
      <c r="R44" s="1177"/>
      <c r="S44" s="1133">
        <f t="shared" si="35"/>
        <v>56630.400000000001</v>
      </c>
      <c r="T44" s="1133">
        <f t="shared" si="36"/>
        <v>622934.4</v>
      </c>
      <c r="U44" s="1133">
        <f t="shared" si="37"/>
        <v>62293.440000000002</v>
      </c>
      <c r="V44" s="1133">
        <f t="shared" si="38"/>
        <v>48763.227200000001</v>
      </c>
      <c r="W44" s="1133">
        <f t="shared" si="39"/>
        <v>12458.688</v>
      </c>
      <c r="X44" s="1133">
        <f t="shared" si="40"/>
        <v>499419.04479999992</v>
      </c>
      <c r="Y44" s="1133">
        <f t="shared" si="41"/>
        <v>7475212.8000000007</v>
      </c>
      <c r="Z44" s="1133">
        <f t="shared" si="42"/>
        <v>1132608</v>
      </c>
      <c r="AA44" s="1133">
        <f t="shared" si="43"/>
        <v>8607820.8000000007</v>
      </c>
      <c r="AB44" s="1133">
        <f t="shared" si="44"/>
        <v>301273.72800000006</v>
      </c>
      <c r="AC44" s="1133">
        <f t="shared" si="45"/>
        <v>448376.85503999999</v>
      </c>
      <c r="AD44" s="1133">
        <f t="shared" si="46"/>
        <v>387351.93600000005</v>
      </c>
      <c r="AE44" s="1133">
        <f t="shared" si="47"/>
        <v>258234.62400000001</v>
      </c>
      <c r="AF44" s="1133">
        <f t="shared" si="48"/>
        <v>10003057.943040002</v>
      </c>
      <c r="AG44" s="1178" t="s">
        <v>3</v>
      </c>
    </row>
    <row r="45" spans="1:33" ht="31.5">
      <c r="A45" s="1175">
        <f t="shared" si="49"/>
        <v>23</v>
      </c>
      <c r="B45" s="1191" t="s">
        <v>446</v>
      </c>
      <c r="C45" s="327" t="s">
        <v>898</v>
      </c>
      <c r="D45" s="1479"/>
      <c r="E45" s="1175">
        <v>1</v>
      </c>
      <c r="F45" s="1176">
        <v>17697</v>
      </c>
      <c r="G45" s="1129">
        <v>45902</v>
      </c>
      <c r="H45" s="1139">
        <v>27</v>
      </c>
      <c r="I45" s="1192">
        <f>17697*H45</f>
        <v>477819</v>
      </c>
      <c r="J45" s="1192">
        <f t="shared" si="34"/>
        <v>47781.9</v>
      </c>
      <c r="K45" s="1193"/>
      <c r="L45" s="1193"/>
      <c r="M45" s="1193"/>
      <c r="N45" s="1193"/>
      <c r="O45" s="1193"/>
      <c r="P45" s="1193"/>
      <c r="Q45" s="1194"/>
      <c r="R45" s="1194"/>
      <c r="S45" s="1133">
        <f t="shared" si="35"/>
        <v>47781.9</v>
      </c>
      <c r="T45" s="1133">
        <f t="shared" si="36"/>
        <v>525600.9</v>
      </c>
      <c r="U45" s="1133">
        <f t="shared" si="37"/>
        <v>52560.090000000004</v>
      </c>
      <c r="V45" s="1133">
        <f t="shared" si="38"/>
        <v>40197.879200000003</v>
      </c>
      <c r="W45" s="1133">
        <f t="shared" si="39"/>
        <v>10512.018</v>
      </c>
      <c r="X45" s="1133">
        <f t="shared" si="40"/>
        <v>422330.91279999999</v>
      </c>
      <c r="Y45" s="1133">
        <f t="shared" si="41"/>
        <v>6307210.8000000007</v>
      </c>
      <c r="Z45" s="1133">
        <f t="shared" si="42"/>
        <v>955638</v>
      </c>
      <c r="AA45" s="1133">
        <f t="shared" si="43"/>
        <v>7262848.8000000007</v>
      </c>
      <c r="AB45" s="1133">
        <f t="shared" si="44"/>
        <v>254199.70800000004</v>
      </c>
      <c r="AC45" s="1133">
        <f t="shared" si="45"/>
        <v>378317.97144000005</v>
      </c>
      <c r="AD45" s="1133">
        <f t="shared" si="46"/>
        <v>326828.19600000005</v>
      </c>
      <c r="AE45" s="1133">
        <f t="shared" si="47"/>
        <v>217885.46400000001</v>
      </c>
      <c r="AF45" s="1133">
        <f t="shared" si="48"/>
        <v>8440080.1394400019</v>
      </c>
      <c r="AG45" s="1178" t="s">
        <v>3</v>
      </c>
    </row>
    <row r="46" spans="1:33">
      <c r="A46" s="1175">
        <f t="shared" si="49"/>
        <v>24</v>
      </c>
      <c r="B46" s="1134" t="s">
        <v>899</v>
      </c>
      <c r="C46" s="1195" t="s">
        <v>447</v>
      </c>
      <c r="D46" s="1480">
        <v>6</v>
      </c>
      <c r="E46" s="1196">
        <v>1</v>
      </c>
      <c r="F46" s="1176">
        <v>17697</v>
      </c>
      <c r="G46" s="1197">
        <v>43078</v>
      </c>
      <c r="H46" s="1196">
        <v>22</v>
      </c>
      <c r="I46" s="1192">
        <f t="shared" ref="I46:I102" si="50">E46*17697*H46</f>
        <v>389334</v>
      </c>
      <c r="J46" s="1192">
        <f t="shared" si="34"/>
        <v>38933.4</v>
      </c>
      <c r="K46" s="1193"/>
      <c r="L46" s="1193"/>
      <c r="M46" s="1193"/>
      <c r="N46" s="1193"/>
      <c r="O46" s="1193"/>
      <c r="P46" s="1193"/>
      <c r="Q46" s="1194"/>
      <c r="R46" s="1194"/>
      <c r="S46" s="1133">
        <f t="shared" si="35"/>
        <v>38933.4</v>
      </c>
      <c r="T46" s="1133">
        <f t="shared" si="36"/>
        <v>428267.4</v>
      </c>
      <c r="U46" s="1133">
        <f t="shared" si="37"/>
        <v>42826.740000000005</v>
      </c>
      <c r="V46" s="1133">
        <f t="shared" si="38"/>
        <v>31632.531200000005</v>
      </c>
      <c r="W46" s="1133">
        <f t="shared" si="39"/>
        <v>8565.348</v>
      </c>
      <c r="X46" s="1133">
        <f t="shared" si="40"/>
        <v>345242.78080000001</v>
      </c>
      <c r="Y46" s="1133">
        <f t="shared" si="41"/>
        <v>5139208.8000000007</v>
      </c>
      <c r="Z46" s="1133">
        <f t="shared" si="42"/>
        <v>778668</v>
      </c>
      <c r="AA46" s="1133">
        <f t="shared" si="43"/>
        <v>5917876.8000000007</v>
      </c>
      <c r="AB46" s="1133">
        <f t="shared" si="44"/>
        <v>207125.68800000005</v>
      </c>
      <c r="AC46" s="1133">
        <f t="shared" si="45"/>
        <v>308259.08784000011</v>
      </c>
      <c r="AD46" s="1133">
        <f t="shared" si="46"/>
        <v>266304.45600000006</v>
      </c>
      <c r="AE46" s="1133">
        <f t="shared" si="47"/>
        <v>177536.304</v>
      </c>
      <c r="AF46" s="1133">
        <f t="shared" si="48"/>
        <v>6877102.3358400008</v>
      </c>
      <c r="AG46" s="1178" t="s">
        <v>3</v>
      </c>
    </row>
    <row r="47" spans="1:33" ht="31.5">
      <c r="A47" s="1175">
        <f t="shared" si="49"/>
        <v>25</v>
      </c>
      <c r="B47" s="1134" t="s">
        <v>899</v>
      </c>
      <c r="C47" s="328" t="s">
        <v>900</v>
      </c>
      <c r="D47" s="1480"/>
      <c r="E47" s="1196">
        <v>1</v>
      </c>
      <c r="F47" s="1176">
        <v>17697</v>
      </c>
      <c r="G47" s="1198">
        <v>45891</v>
      </c>
      <c r="H47" s="1196">
        <v>17</v>
      </c>
      <c r="I47" s="1192">
        <f t="shared" si="50"/>
        <v>300849</v>
      </c>
      <c r="J47" s="1192">
        <f t="shared" si="34"/>
        <v>30084.9</v>
      </c>
      <c r="K47" s="1193"/>
      <c r="L47" s="1193"/>
      <c r="M47" s="1193"/>
      <c r="N47" s="1193"/>
      <c r="O47" s="1193"/>
      <c r="P47" s="1193"/>
      <c r="Q47" s="1194"/>
      <c r="R47" s="1194"/>
      <c r="S47" s="1133">
        <f t="shared" si="35"/>
        <v>30084.9</v>
      </c>
      <c r="T47" s="1133">
        <f t="shared" si="36"/>
        <v>330933.90000000002</v>
      </c>
      <c r="U47" s="1133">
        <f t="shared" si="37"/>
        <v>33093.390000000007</v>
      </c>
      <c r="V47" s="1133">
        <f t="shared" si="38"/>
        <v>23067.183199999999</v>
      </c>
      <c r="W47" s="1133">
        <f t="shared" si="39"/>
        <v>6618.6780000000008</v>
      </c>
      <c r="X47" s="1133">
        <f t="shared" si="40"/>
        <v>268154.64880000002</v>
      </c>
      <c r="Y47" s="1133">
        <f t="shared" si="41"/>
        <v>3971206.8000000003</v>
      </c>
      <c r="Z47" s="1133">
        <f t="shared" si="42"/>
        <v>601698</v>
      </c>
      <c r="AA47" s="1133">
        <f t="shared" si="43"/>
        <v>4572904.8000000007</v>
      </c>
      <c r="AB47" s="1133">
        <f t="shared" si="44"/>
        <v>160051.66800000003</v>
      </c>
      <c r="AC47" s="1133">
        <f t="shared" si="45"/>
        <v>238200.20424000002</v>
      </c>
      <c r="AD47" s="1133">
        <f t="shared" si="46"/>
        <v>205780.71600000004</v>
      </c>
      <c r="AE47" s="1133">
        <f t="shared" si="47"/>
        <v>137187.14400000003</v>
      </c>
      <c r="AF47" s="1133">
        <f t="shared" si="48"/>
        <v>5314124.5322400006</v>
      </c>
      <c r="AG47" s="1178" t="s">
        <v>3</v>
      </c>
    </row>
    <row r="48" spans="1:33">
      <c r="A48" s="1175">
        <f t="shared" si="49"/>
        <v>26</v>
      </c>
      <c r="B48" s="1134" t="s">
        <v>899</v>
      </c>
      <c r="C48" s="1191" t="s">
        <v>901</v>
      </c>
      <c r="D48" s="1480"/>
      <c r="E48" s="1196">
        <v>1</v>
      </c>
      <c r="F48" s="1176">
        <v>17697</v>
      </c>
      <c r="G48" s="1198">
        <v>45904</v>
      </c>
      <c r="H48" s="1196">
        <v>17</v>
      </c>
      <c r="I48" s="1192">
        <f t="shared" si="50"/>
        <v>300849</v>
      </c>
      <c r="J48" s="1192">
        <f t="shared" si="34"/>
        <v>30084.9</v>
      </c>
      <c r="K48" s="1193"/>
      <c r="L48" s="1193"/>
      <c r="M48" s="1193"/>
      <c r="N48" s="1193"/>
      <c r="O48" s="1193"/>
      <c r="P48" s="1193"/>
      <c r="Q48" s="1194"/>
      <c r="R48" s="1194"/>
      <c r="S48" s="1133">
        <f t="shared" si="35"/>
        <v>30084.9</v>
      </c>
      <c r="T48" s="1133">
        <f t="shared" si="36"/>
        <v>330933.90000000002</v>
      </c>
      <c r="U48" s="1133">
        <f t="shared" si="37"/>
        <v>33093.390000000007</v>
      </c>
      <c r="V48" s="1133">
        <f t="shared" si="38"/>
        <v>23067.183199999999</v>
      </c>
      <c r="W48" s="1133">
        <f t="shared" si="39"/>
        <v>6618.6780000000008</v>
      </c>
      <c r="X48" s="1133">
        <f t="shared" si="40"/>
        <v>268154.64880000002</v>
      </c>
      <c r="Y48" s="1133">
        <f t="shared" si="41"/>
        <v>3971206.8000000003</v>
      </c>
      <c r="Z48" s="1133">
        <f t="shared" si="42"/>
        <v>601698</v>
      </c>
      <c r="AA48" s="1133">
        <f t="shared" si="43"/>
        <v>4572904.8000000007</v>
      </c>
      <c r="AB48" s="1133">
        <f t="shared" si="44"/>
        <v>160051.66800000003</v>
      </c>
      <c r="AC48" s="1133">
        <f t="shared" si="45"/>
        <v>238200.20424000002</v>
      </c>
      <c r="AD48" s="1133">
        <f t="shared" si="46"/>
        <v>205780.71600000004</v>
      </c>
      <c r="AE48" s="1133">
        <f t="shared" si="47"/>
        <v>137187.14400000003</v>
      </c>
      <c r="AF48" s="1133">
        <f t="shared" si="48"/>
        <v>5314124.5322400006</v>
      </c>
      <c r="AG48" s="1178" t="s">
        <v>3</v>
      </c>
    </row>
    <row r="49" spans="1:33" s="1189" customFormat="1">
      <c r="A49" s="1179">
        <f t="shared" si="49"/>
        <v>27</v>
      </c>
      <c r="B49" s="1199" t="s">
        <v>899</v>
      </c>
      <c r="C49" s="1200" t="s">
        <v>902</v>
      </c>
      <c r="D49" s="1480"/>
      <c r="E49" s="1179"/>
      <c r="F49" s="1182">
        <v>17697</v>
      </c>
      <c r="G49" s="1201"/>
      <c r="H49" s="1202">
        <v>35</v>
      </c>
      <c r="I49" s="1203">
        <f>2*17697*H49</f>
        <v>1238790</v>
      </c>
      <c r="J49" s="1203">
        <f t="shared" si="34"/>
        <v>123879</v>
      </c>
      <c r="K49" s="1185"/>
      <c r="L49" s="1204"/>
      <c r="M49" s="1204"/>
      <c r="N49" s="1204"/>
      <c r="O49" s="1204"/>
      <c r="P49" s="1204"/>
      <c r="Q49" s="1205"/>
      <c r="R49" s="1205"/>
      <c r="S49" s="1185">
        <f t="shared" si="35"/>
        <v>123879</v>
      </c>
      <c r="T49" s="1185">
        <f t="shared" si="36"/>
        <v>1362669</v>
      </c>
      <c r="U49" s="1185">
        <f t="shared" si="37"/>
        <v>136266.9</v>
      </c>
      <c r="V49" s="1185">
        <f t="shared" si="38"/>
        <v>113859.87200000003</v>
      </c>
      <c r="W49" s="1185">
        <f t="shared" si="39"/>
        <v>27253.38</v>
      </c>
      <c r="X49" s="1185">
        <f t="shared" si="40"/>
        <v>1085288.8480000002</v>
      </c>
      <c r="Y49" s="1185">
        <f t="shared" si="41"/>
        <v>16352028</v>
      </c>
      <c r="Z49" s="1185">
        <f t="shared" si="42"/>
        <v>2477580</v>
      </c>
      <c r="AA49" s="1185">
        <f t="shared" si="43"/>
        <v>18829608</v>
      </c>
      <c r="AB49" s="1185">
        <f t="shared" si="44"/>
        <v>659036.28</v>
      </c>
      <c r="AC49" s="1185">
        <f>(AA49*0.9-(W49*12))*11%-AD49+5000000</f>
        <v>5980824.3703999994</v>
      </c>
      <c r="AD49" s="1185">
        <f t="shared" si="46"/>
        <v>847332.36</v>
      </c>
      <c r="AE49" s="1185">
        <f t="shared" si="47"/>
        <v>564888.24</v>
      </c>
      <c r="AF49" s="1185">
        <f t="shared" si="48"/>
        <v>26881689.250399999</v>
      </c>
      <c r="AG49" s="1188" t="s">
        <v>3</v>
      </c>
    </row>
    <row r="50" spans="1:33" s="1189" customFormat="1">
      <c r="A50" s="1179">
        <f t="shared" si="49"/>
        <v>28</v>
      </c>
      <c r="B50" s="1180" t="s">
        <v>903</v>
      </c>
      <c r="C50" s="1200" t="s">
        <v>931</v>
      </c>
      <c r="D50" s="1480"/>
      <c r="E50" s="1179"/>
      <c r="F50" s="1182">
        <v>17697</v>
      </c>
      <c r="G50" s="1201"/>
      <c r="H50" s="1202">
        <v>35</v>
      </c>
      <c r="I50" s="1203">
        <f>17697*H50</f>
        <v>619395</v>
      </c>
      <c r="J50" s="1203">
        <f t="shared" si="34"/>
        <v>61939.5</v>
      </c>
      <c r="K50" s="1185"/>
      <c r="L50" s="1204"/>
      <c r="M50" s="1204"/>
      <c r="N50" s="1204"/>
      <c r="O50" s="1204"/>
      <c r="P50" s="1204"/>
      <c r="Q50" s="1205"/>
      <c r="R50" s="1205"/>
      <c r="S50" s="1185">
        <f t="shared" si="35"/>
        <v>61939.5</v>
      </c>
      <c r="T50" s="1185">
        <f t="shared" si="36"/>
        <v>681334.5</v>
      </c>
      <c r="U50" s="1185">
        <f t="shared" si="37"/>
        <v>68133.45</v>
      </c>
      <c r="V50" s="1185">
        <f t="shared" si="38"/>
        <v>53902.436000000016</v>
      </c>
      <c r="W50" s="1185">
        <f t="shared" si="39"/>
        <v>13626.69</v>
      </c>
      <c r="X50" s="1185">
        <f t="shared" si="40"/>
        <v>545671.92400000012</v>
      </c>
      <c r="Y50" s="1185">
        <f t="shared" si="41"/>
        <v>8176014</v>
      </c>
      <c r="Z50" s="1185">
        <f t="shared" si="42"/>
        <v>1238790</v>
      </c>
      <c r="AA50" s="1185">
        <f t="shared" si="43"/>
        <v>9414804</v>
      </c>
      <c r="AB50" s="1185">
        <f t="shared" si="44"/>
        <v>329518.14</v>
      </c>
      <c r="AC50" s="1185">
        <f>(AA50*0.9-(W50*12))*11%-AD50+5000000</f>
        <v>5490412.1852000002</v>
      </c>
      <c r="AD50" s="1185">
        <f t="shared" si="46"/>
        <v>423666.18</v>
      </c>
      <c r="AE50" s="1185">
        <f t="shared" si="47"/>
        <v>282444.12</v>
      </c>
      <c r="AF50" s="1185">
        <f t="shared" si="48"/>
        <v>15940844.6252</v>
      </c>
      <c r="AG50" s="1188" t="s">
        <v>3</v>
      </c>
    </row>
    <row r="51" spans="1:33">
      <c r="A51" s="1175">
        <f t="shared" si="49"/>
        <v>29</v>
      </c>
      <c r="B51" s="1191" t="s">
        <v>449</v>
      </c>
      <c r="C51" s="1206" t="s">
        <v>906</v>
      </c>
      <c r="D51" s="1481">
        <v>9</v>
      </c>
      <c r="E51" s="1196">
        <v>1</v>
      </c>
      <c r="F51" s="1176">
        <v>17697</v>
      </c>
      <c r="G51" s="1198">
        <v>45519</v>
      </c>
      <c r="H51" s="1196">
        <v>20</v>
      </c>
      <c r="I51" s="1192">
        <f t="shared" si="50"/>
        <v>353940</v>
      </c>
      <c r="J51" s="1192">
        <f t="shared" si="34"/>
        <v>35394</v>
      </c>
      <c r="K51" s="1193"/>
      <c r="L51" s="1193"/>
      <c r="M51" s="1193"/>
      <c r="N51" s="1193"/>
      <c r="O51" s="1193"/>
      <c r="P51" s="1193"/>
      <c r="Q51" s="1194"/>
      <c r="R51" s="1194"/>
      <c r="S51" s="1133">
        <f t="shared" si="35"/>
        <v>35394</v>
      </c>
      <c r="T51" s="1133">
        <f t="shared" si="36"/>
        <v>389334</v>
      </c>
      <c r="U51" s="1133">
        <f t="shared" si="37"/>
        <v>38933.4</v>
      </c>
      <c r="V51" s="1133">
        <f t="shared" si="38"/>
        <v>28206.392</v>
      </c>
      <c r="W51" s="1133">
        <f t="shared" si="39"/>
        <v>7786.68</v>
      </c>
      <c r="X51" s="1133">
        <f t="shared" si="40"/>
        <v>314407.52799999999</v>
      </c>
      <c r="Y51" s="1133">
        <f t="shared" si="41"/>
        <v>4672008</v>
      </c>
      <c r="Z51" s="1133">
        <f t="shared" si="42"/>
        <v>707880</v>
      </c>
      <c r="AA51" s="1133">
        <f t="shared" si="43"/>
        <v>5379888</v>
      </c>
      <c r="AB51" s="1133">
        <f t="shared" si="44"/>
        <v>188296.08000000002</v>
      </c>
      <c r="AC51" s="1133">
        <f t="shared" si="45"/>
        <v>280235.5344</v>
      </c>
      <c r="AD51" s="1133">
        <f t="shared" si="46"/>
        <v>242094.96000000002</v>
      </c>
      <c r="AE51" s="1133">
        <f t="shared" si="47"/>
        <v>161396.63999999998</v>
      </c>
      <c r="AF51" s="1133">
        <f t="shared" si="48"/>
        <v>6251911.2143999999</v>
      </c>
      <c r="AG51" s="1178" t="s">
        <v>3</v>
      </c>
    </row>
    <row r="52" spans="1:33" ht="22.5" customHeight="1">
      <c r="A52" s="1175">
        <f t="shared" si="49"/>
        <v>30</v>
      </c>
      <c r="B52" s="1191" t="s">
        <v>449</v>
      </c>
      <c r="C52" s="1191" t="s">
        <v>450</v>
      </c>
      <c r="D52" s="1482"/>
      <c r="E52" s="1196">
        <v>1</v>
      </c>
      <c r="F52" s="1176">
        <v>17697</v>
      </c>
      <c r="G52" s="1198">
        <v>45170</v>
      </c>
      <c r="H52" s="1196">
        <v>20</v>
      </c>
      <c r="I52" s="1192">
        <f t="shared" si="50"/>
        <v>353940</v>
      </c>
      <c r="J52" s="1192">
        <f t="shared" si="34"/>
        <v>35394</v>
      </c>
      <c r="K52" s="1193"/>
      <c r="L52" s="1193"/>
      <c r="M52" s="1193"/>
      <c r="N52" s="1193"/>
      <c r="O52" s="1193"/>
      <c r="P52" s="1193"/>
      <c r="Q52" s="1194"/>
      <c r="R52" s="1194"/>
      <c r="S52" s="1133">
        <f t="shared" si="35"/>
        <v>35394</v>
      </c>
      <c r="T52" s="1133">
        <f t="shared" si="36"/>
        <v>389334</v>
      </c>
      <c r="U52" s="1133">
        <f t="shared" si="37"/>
        <v>38933.4</v>
      </c>
      <c r="V52" s="1133">
        <f t="shared" si="38"/>
        <v>28206.392</v>
      </c>
      <c r="W52" s="1133">
        <f t="shared" si="39"/>
        <v>7786.68</v>
      </c>
      <c r="X52" s="1133">
        <f t="shared" si="40"/>
        <v>314407.52799999999</v>
      </c>
      <c r="Y52" s="1133">
        <f t="shared" si="41"/>
        <v>4672008</v>
      </c>
      <c r="Z52" s="1133">
        <f t="shared" si="42"/>
        <v>707880</v>
      </c>
      <c r="AA52" s="1133">
        <f t="shared" si="43"/>
        <v>5379888</v>
      </c>
      <c r="AB52" s="1133">
        <f t="shared" si="44"/>
        <v>188296.08000000002</v>
      </c>
      <c r="AC52" s="1133">
        <f t="shared" si="45"/>
        <v>280235.5344</v>
      </c>
      <c r="AD52" s="1133">
        <f t="shared" si="46"/>
        <v>242094.96000000002</v>
      </c>
      <c r="AE52" s="1133">
        <f t="shared" si="47"/>
        <v>161396.63999999998</v>
      </c>
      <c r="AF52" s="1133">
        <f t="shared" si="48"/>
        <v>6251911.2143999999</v>
      </c>
      <c r="AG52" s="1178" t="s">
        <v>3</v>
      </c>
    </row>
    <row r="53" spans="1:33" ht="19.5" customHeight="1">
      <c r="A53" s="1175">
        <f t="shared" si="49"/>
        <v>31</v>
      </c>
      <c r="B53" s="1134" t="s">
        <v>449</v>
      </c>
      <c r="C53" s="1207" t="s">
        <v>829</v>
      </c>
      <c r="D53" s="1482"/>
      <c r="E53" s="1196">
        <v>1</v>
      </c>
      <c r="F53" s="1176">
        <v>17697</v>
      </c>
      <c r="G53" s="1198">
        <v>45237</v>
      </c>
      <c r="H53" s="1196">
        <v>20</v>
      </c>
      <c r="I53" s="1192">
        <f t="shared" si="50"/>
        <v>353940</v>
      </c>
      <c r="J53" s="1192">
        <f t="shared" si="34"/>
        <v>35394</v>
      </c>
      <c r="K53" s="1192"/>
      <c r="L53" s="1193"/>
      <c r="M53" s="1193"/>
      <c r="N53" s="1193"/>
      <c r="O53" s="1193"/>
      <c r="P53" s="1193"/>
      <c r="Q53" s="1194"/>
      <c r="R53" s="1194"/>
      <c r="S53" s="1133">
        <f t="shared" si="35"/>
        <v>35394</v>
      </c>
      <c r="T53" s="1133">
        <f t="shared" si="36"/>
        <v>389334</v>
      </c>
      <c r="U53" s="1133">
        <f t="shared" si="37"/>
        <v>38933.4</v>
      </c>
      <c r="V53" s="1133">
        <f t="shared" si="38"/>
        <v>28206.392</v>
      </c>
      <c r="W53" s="1133">
        <f t="shared" si="39"/>
        <v>7786.68</v>
      </c>
      <c r="X53" s="1133">
        <f t="shared" si="40"/>
        <v>314407.52799999999</v>
      </c>
      <c r="Y53" s="1133">
        <f t="shared" si="41"/>
        <v>4672008</v>
      </c>
      <c r="Z53" s="1133">
        <f t="shared" si="42"/>
        <v>707880</v>
      </c>
      <c r="AA53" s="1133">
        <f t="shared" si="43"/>
        <v>5379888</v>
      </c>
      <c r="AB53" s="1133">
        <f t="shared" si="44"/>
        <v>188296.08000000002</v>
      </c>
      <c r="AC53" s="1133">
        <f t="shared" si="45"/>
        <v>280235.5344</v>
      </c>
      <c r="AD53" s="1133">
        <f t="shared" si="46"/>
        <v>242094.96000000002</v>
      </c>
      <c r="AE53" s="1133">
        <f t="shared" si="47"/>
        <v>161396.63999999998</v>
      </c>
      <c r="AF53" s="1133">
        <f t="shared" si="48"/>
        <v>6251911.2143999999</v>
      </c>
      <c r="AG53" s="1178" t="s">
        <v>3</v>
      </c>
    </row>
    <row r="54" spans="1:33" ht="21.75" customHeight="1">
      <c r="A54" s="1175">
        <f t="shared" si="49"/>
        <v>32</v>
      </c>
      <c r="B54" s="1134" t="s">
        <v>449</v>
      </c>
      <c r="C54" s="1134" t="s">
        <v>451</v>
      </c>
      <c r="D54" s="1482"/>
      <c r="E54" s="1196">
        <v>1</v>
      </c>
      <c r="F54" s="1176">
        <v>17697</v>
      </c>
      <c r="G54" s="1198">
        <v>42264</v>
      </c>
      <c r="H54" s="1196">
        <v>22</v>
      </c>
      <c r="I54" s="1192">
        <f t="shared" si="50"/>
        <v>389334</v>
      </c>
      <c r="J54" s="1192">
        <f t="shared" si="34"/>
        <v>38933.4</v>
      </c>
      <c r="K54" s="1192"/>
      <c r="L54" s="1193"/>
      <c r="M54" s="1193"/>
      <c r="N54" s="1193"/>
      <c r="O54" s="1193"/>
      <c r="P54" s="1193"/>
      <c r="Q54" s="1194"/>
      <c r="R54" s="1194"/>
      <c r="S54" s="1133">
        <f t="shared" si="35"/>
        <v>38933.4</v>
      </c>
      <c r="T54" s="1133">
        <f t="shared" si="36"/>
        <v>428267.4</v>
      </c>
      <c r="U54" s="1133">
        <f t="shared" si="37"/>
        <v>42826.740000000005</v>
      </c>
      <c r="V54" s="1133">
        <f t="shared" si="38"/>
        <v>31632.531200000005</v>
      </c>
      <c r="W54" s="1133">
        <f t="shared" si="39"/>
        <v>8565.348</v>
      </c>
      <c r="X54" s="1133">
        <f t="shared" si="40"/>
        <v>345242.78080000001</v>
      </c>
      <c r="Y54" s="1133">
        <f t="shared" si="41"/>
        <v>5139208.8000000007</v>
      </c>
      <c r="Z54" s="1133">
        <f t="shared" si="42"/>
        <v>778668</v>
      </c>
      <c r="AA54" s="1133">
        <f t="shared" si="43"/>
        <v>5917876.8000000007</v>
      </c>
      <c r="AB54" s="1133">
        <f t="shared" si="44"/>
        <v>207125.68800000005</v>
      </c>
      <c r="AC54" s="1133">
        <f t="shared" si="45"/>
        <v>308259.08784000011</v>
      </c>
      <c r="AD54" s="1133">
        <f t="shared" si="46"/>
        <v>266304.45600000006</v>
      </c>
      <c r="AE54" s="1133">
        <f t="shared" si="47"/>
        <v>177536.304</v>
      </c>
      <c r="AF54" s="1133">
        <f t="shared" si="48"/>
        <v>6877102.3358400008</v>
      </c>
      <c r="AG54" s="1178" t="s">
        <v>3</v>
      </c>
    </row>
    <row r="55" spans="1:33" ht="31.5">
      <c r="A55" s="1175">
        <f t="shared" si="49"/>
        <v>33</v>
      </c>
      <c r="B55" s="1134" t="s">
        <v>449</v>
      </c>
      <c r="C55" s="1134" t="s">
        <v>907</v>
      </c>
      <c r="D55" s="1482"/>
      <c r="E55" s="1196">
        <v>1</v>
      </c>
      <c r="F55" s="1176">
        <v>17697</v>
      </c>
      <c r="G55" s="1198">
        <v>45540</v>
      </c>
      <c r="H55" s="1196">
        <v>20</v>
      </c>
      <c r="I55" s="1192">
        <f t="shared" si="50"/>
        <v>353940</v>
      </c>
      <c r="J55" s="1192">
        <f t="shared" si="34"/>
        <v>35394</v>
      </c>
      <c r="K55" s="1193"/>
      <c r="L55" s="1193"/>
      <c r="M55" s="1193"/>
      <c r="N55" s="1193"/>
      <c r="O55" s="1193"/>
      <c r="P55" s="1193"/>
      <c r="Q55" s="1194"/>
      <c r="R55" s="1194"/>
      <c r="S55" s="1133">
        <f t="shared" si="35"/>
        <v>35394</v>
      </c>
      <c r="T55" s="1133">
        <f t="shared" si="36"/>
        <v>389334</v>
      </c>
      <c r="U55" s="1133">
        <f t="shared" si="37"/>
        <v>38933.4</v>
      </c>
      <c r="V55" s="1133">
        <f t="shared" si="38"/>
        <v>28206.392</v>
      </c>
      <c r="W55" s="1133">
        <f t="shared" si="39"/>
        <v>7786.68</v>
      </c>
      <c r="X55" s="1133">
        <f t="shared" si="40"/>
        <v>314407.52799999999</v>
      </c>
      <c r="Y55" s="1133">
        <f t="shared" si="41"/>
        <v>4672008</v>
      </c>
      <c r="Z55" s="1133">
        <f t="shared" si="42"/>
        <v>707880</v>
      </c>
      <c r="AA55" s="1133">
        <f t="shared" si="43"/>
        <v>5379888</v>
      </c>
      <c r="AB55" s="1133">
        <f t="shared" si="44"/>
        <v>188296.08000000002</v>
      </c>
      <c r="AC55" s="1133">
        <f t="shared" si="45"/>
        <v>280235.5344</v>
      </c>
      <c r="AD55" s="1133">
        <f t="shared" si="46"/>
        <v>242094.96000000002</v>
      </c>
      <c r="AE55" s="1133">
        <f t="shared" si="47"/>
        <v>161396.63999999998</v>
      </c>
      <c r="AF55" s="1133">
        <f t="shared" si="48"/>
        <v>6251911.2143999999</v>
      </c>
      <c r="AG55" s="1178" t="s">
        <v>3</v>
      </c>
    </row>
    <row r="56" spans="1:33">
      <c r="A56" s="1175">
        <f t="shared" si="49"/>
        <v>34</v>
      </c>
      <c r="B56" s="1134" t="s">
        <v>449</v>
      </c>
      <c r="C56" s="1134" t="s">
        <v>908</v>
      </c>
      <c r="D56" s="1482"/>
      <c r="E56" s="1196">
        <v>1</v>
      </c>
      <c r="F56" s="1176">
        <v>17697</v>
      </c>
      <c r="G56" s="1198">
        <v>45537</v>
      </c>
      <c r="H56" s="1196">
        <v>20</v>
      </c>
      <c r="I56" s="1192">
        <f t="shared" si="50"/>
        <v>353940</v>
      </c>
      <c r="J56" s="1192">
        <f t="shared" si="34"/>
        <v>35394</v>
      </c>
      <c r="K56" s="1193"/>
      <c r="L56" s="1193"/>
      <c r="M56" s="1193"/>
      <c r="N56" s="1193"/>
      <c r="O56" s="1193"/>
      <c r="P56" s="1193"/>
      <c r="Q56" s="1194"/>
      <c r="R56" s="1194"/>
      <c r="S56" s="1133">
        <f t="shared" si="35"/>
        <v>35394</v>
      </c>
      <c r="T56" s="1133">
        <f t="shared" si="36"/>
        <v>389334</v>
      </c>
      <c r="U56" s="1133">
        <f t="shared" si="37"/>
        <v>38933.4</v>
      </c>
      <c r="V56" s="1133">
        <f t="shared" si="38"/>
        <v>28206.392</v>
      </c>
      <c r="W56" s="1133">
        <f t="shared" si="39"/>
        <v>7786.68</v>
      </c>
      <c r="X56" s="1133">
        <f t="shared" si="40"/>
        <v>314407.52799999999</v>
      </c>
      <c r="Y56" s="1133">
        <f t="shared" si="41"/>
        <v>4672008</v>
      </c>
      <c r="Z56" s="1133">
        <f t="shared" si="42"/>
        <v>707880</v>
      </c>
      <c r="AA56" s="1133">
        <f t="shared" si="43"/>
        <v>5379888</v>
      </c>
      <c r="AB56" s="1133">
        <f t="shared" si="44"/>
        <v>188296.08000000002</v>
      </c>
      <c r="AC56" s="1133">
        <f t="shared" si="45"/>
        <v>280235.5344</v>
      </c>
      <c r="AD56" s="1133">
        <f t="shared" si="46"/>
        <v>242094.96000000002</v>
      </c>
      <c r="AE56" s="1133">
        <f t="shared" si="47"/>
        <v>161396.63999999998</v>
      </c>
      <c r="AF56" s="1133">
        <f t="shared" si="48"/>
        <v>6251911.2143999999</v>
      </c>
      <c r="AG56" s="1178" t="s">
        <v>3</v>
      </c>
    </row>
    <row r="57" spans="1:33">
      <c r="A57" s="1175">
        <f t="shared" si="49"/>
        <v>35</v>
      </c>
      <c r="B57" s="1134" t="s">
        <v>449</v>
      </c>
      <c r="C57" s="1134" t="s">
        <v>452</v>
      </c>
      <c r="D57" s="1482"/>
      <c r="E57" s="1196">
        <v>1</v>
      </c>
      <c r="F57" s="1176">
        <v>17697</v>
      </c>
      <c r="G57" s="1198">
        <v>40788</v>
      </c>
      <c r="H57" s="1196">
        <v>22</v>
      </c>
      <c r="I57" s="1192">
        <f t="shared" si="50"/>
        <v>389334</v>
      </c>
      <c r="J57" s="1192">
        <f t="shared" si="34"/>
        <v>38933.4</v>
      </c>
      <c r="K57" s="1193"/>
      <c r="L57" s="1193"/>
      <c r="M57" s="1193"/>
      <c r="N57" s="1193"/>
      <c r="O57" s="1193"/>
      <c r="P57" s="1193"/>
      <c r="Q57" s="1194"/>
      <c r="R57" s="1194"/>
      <c r="S57" s="1133">
        <f t="shared" si="35"/>
        <v>38933.4</v>
      </c>
      <c r="T57" s="1133">
        <f t="shared" si="36"/>
        <v>428267.4</v>
      </c>
      <c r="U57" s="1133">
        <f t="shared" si="37"/>
        <v>42826.740000000005</v>
      </c>
      <c r="V57" s="1133">
        <f t="shared" si="38"/>
        <v>31632.531200000005</v>
      </c>
      <c r="W57" s="1133">
        <f t="shared" si="39"/>
        <v>8565.348</v>
      </c>
      <c r="X57" s="1133">
        <f t="shared" si="40"/>
        <v>345242.78080000001</v>
      </c>
      <c r="Y57" s="1133">
        <f t="shared" si="41"/>
        <v>5139208.8000000007</v>
      </c>
      <c r="Z57" s="1133">
        <f t="shared" si="42"/>
        <v>778668</v>
      </c>
      <c r="AA57" s="1133">
        <f t="shared" si="43"/>
        <v>5917876.8000000007</v>
      </c>
      <c r="AB57" s="1133">
        <f t="shared" si="44"/>
        <v>207125.68800000005</v>
      </c>
      <c r="AC57" s="1133">
        <f t="shared" si="45"/>
        <v>308259.08784000011</v>
      </c>
      <c r="AD57" s="1133">
        <f t="shared" si="46"/>
        <v>266304.45600000006</v>
      </c>
      <c r="AE57" s="1133">
        <f t="shared" si="47"/>
        <v>177536.304</v>
      </c>
      <c r="AF57" s="1133">
        <f t="shared" si="48"/>
        <v>6877102.3358400008</v>
      </c>
      <c r="AG57" s="1178" t="s">
        <v>3</v>
      </c>
    </row>
    <row r="58" spans="1:33" s="1189" customFormat="1">
      <c r="A58" s="1179">
        <f t="shared" si="49"/>
        <v>36</v>
      </c>
      <c r="B58" s="1199" t="s">
        <v>449</v>
      </c>
      <c r="C58" s="1208" t="s">
        <v>909</v>
      </c>
      <c r="D58" s="1483"/>
      <c r="E58" s="1209">
        <v>2</v>
      </c>
      <c r="F58" s="1182">
        <v>17697</v>
      </c>
      <c r="G58" s="1209"/>
      <c r="H58" s="1210">
        <v>35</v>
      </c>
      <c r="I58" s="1211">
        <f>2*17697*H58</f>
        <v>1238790</v>
      </c>
      <c r="J58" s="1211">
        <f t="shared" si="34"/>
        <v>123879</v>
      </c>
      <c r="K58" s="1185"/>
      <c r="L58" s="1212"/>
      <c r="M58" s="1212"/>
      <c r="N58" s="1212"/>
      <c r="O58" s="1212"/>
      <c r="P58" s="1212"/>
      <c r="Q58" s="1213"/>
      <c r="R58" s="1213"/>
      <c r="S58" s="1185">
        <f t="shared" si="35"/>
        <v>123879</v>
      </c>
      <c r="T58" s="1185">
        <f t="shared" si="36"/>
        <v>1362669</v>
      </c>
      <c r="U58" s="1185">
        <f t="shared" si="37"/>
        <v>136266.9</v>
      </c>
      <c r="V58" s="1185">
        <f t="shared" si="38"/>
        <v>113859.87200000003</v>
      </c>
      <c r="W58" s="1185">
        <f t="shared" si="39"/>
        <v>27253.38</v>
      </c>
      <c r="X58" s="1185">
        <f t="shared" si="40"/>
        <v>1085288.8480000002</v>
      </c>
      <c r="Y58" s="1185">
        <f t="shared" si="41"/>
        <v>16352028</v>
      </c>
      <c r="Z58" s="1185">
        <f t="shared" si="42"/>
        <v>2477580</v>
      </c>
      <c r="AA58" s="1185">
        <f t="shared" si="43"/>
        <v>18829608</v>
      </c>
      <c r="AB58" s="1185">
        <f t="shared" si="44"/>
        <v>659036.28</v>
      </c>
      <c r="AC58" s="1185">
        <f>(AA58*0.9-(W58*12))*11%-AD58+8552148.25</f>
        <v>9532972.6204000004</v>
      </c>
      <c r="AD58" s="1185">
        <f t="shared" si="46"/>
        <v>847332.36</v>
      </c>
      <c r="AE58" s="1185">
        <f t="shared" si="47"/>
        <v>564888.24</v>
      </c>
      <c r="AF58" s="1185">
        <f t="shared" si="48"/>
        <v>30433837.500399999</v>
      </c>
      <c r="AG58" s="1188" t="s">
        <v>3</v>
      </c>
    </row>
    <row r="59" spans="1:33" ht="31.5">
      <c r="A59" s="1175">
        <f t="shared" si="49"/>
        <v>37</v>
      </c>
      <c r="B59" s="1134" t="s">
        <v>453</v>
      </c>
      <c r="C59" s="1134" t="s">
        <v>217</v>
      </c>
      <c r="D59" s="1482">
        <v>11</v>
      </c>
      <c r="E59" s="1196">
        <v>0.25</v>
      </c>
      <c r="F59" s="1176">
        <v>17697</v>
      </c>
      <c r="G59" s="1198">
        <v>45901</v>
      </c>
      <c r="H59" s="1136">
        <v>40</v>
      </c>
      <c r="I59" s="1192">
        <f t="shared" si="50"/>
        <v>176970</v>
      </c>
      <c r="J59" s="1192">
        <f t="shared" si="34"/>
        <v>17697</v>
      </c>
      <c r="K59" s="1193"/>
      <c r="L59" s="1193"/>
      <c r="M59" s="1193"/>
      <c r="N59" s="1193"/>
      <c r="O59" s="1193"/>
      <c r="P59" s="1193"/>
      <c r="Q59" s="1194"/>
      <c r="R59" s="1194"/>
      <c r="S59" s="1133">
        <f t="shared" si="35"/>
        <v>17697</v>
      </c>
      <c r="T59" s="1133">
        <f t="shared" si="36"/>
        <v>194667</v>
      </c>
      <c r="U59" s="1133">
        <f t="shared" si="37"/>
        <v>19466.7</v>
      </c>
      <c r="V59" s="1133">
        <f t="shared" si="38"/>
        <v>11075.696</v>
      </c>
      <c r="W59" s="1133">
        <f t="shared" si="39"/>
        <v>3893.34</v>
      </c>
      <c r="X59" s="1133">
        <f t="shared" si="40"/>
        <v>160231.264</v>
      </c>
      <c r="Y59" s="1133">
        <f t="shared" si="41"/>
        <v>2336004</v>
      </c>
      <c r="Z59" s="1133">
        <f t="shared" si="42"/>
        <v>353940</v>
      </c>
      <c r="AA59" s="1133">
        <f t="shared" si="43"/>
        <v>2689944</v>
      </c>
      <c r="AB59" s="1133">
        <f t="shared" si="44"/>
        <v>94148.040000000008</v>
      </c>
      <c r="AC59" s="1133">
        <f t="shared" si="45"/>
        <v>140117.7672</v>
      </c>
      <c r="AD59" s="1133">
        <f t="shared" si="46"/>
        <v>121047.48000000001</v>
      </c>
      <c r="AE59" s="1133">
        <f t="shared" si="47"/>
        <v>80698.319999999992</v>
      </c>
      <c r="AF59" s="1133">
        <f t="shared" si="48"/>
        <v>3125955.6072</v>
      </c>
      <c r="AG59" s="1178" t="s">
        <v>3</v>
      </c>
    </row>
    <row r="60" spans="1:33" ht="31.5">
      <c r="A60" s="1175">
        <f t="shared" si="49"/>
        <v>38</v>
      </c>
      <c r="B60" s="1134" t="s">
        <v>453</v>
      </c>
      <c r="C60" s="1134" t="s">
        <v>910</v>
      </c>
      <c r="D60" s="1482"/>
      <c r="E60" s="1196">
        <v>0.25</v>
      </c>
      <c r="F60" s="1176">
        <v>17697</v>
      </c>
      <c r="G60" s="1198">
        <v>45902</v>
      </c>
      <c r="H60" s="1196">
        <v>40</v>
      </c>
      <c r="I60" s="1192">
        <f t="shared" si="50"/>
        <v>176970</v>
      </c>
      <c r="J60" s="1192">
        <f t="shared" si="34"/>
        <v>17697</v>
      </c>
      <c r="K60" s="1193"/>
      <c r="L60" s="1193"/>
      <c r="M60" s="1193"/>
      <c r="N60" s="1193"/>
      <c r="O60" s="1193"/>
      <c r="P60" s="1193"/>
      <c r="Q60" s="1194"/>
      <c r="R60" s="1194"/>
      <c r="S60" s="1133">
        <f t="shared" si="35"/>
        <v>17697</v>
      </c>
      <c r="T60" s="1133">
        <f t="shared" si="36"/>
        <v>194667</v>
      </c>
      <c r="U60" s="1133">
        <f t="shared" si="37"/>
        <v>19466.7</v>
      </c>
      <c r="V60" s="1133">
        <f t="shared" si="38"/>
        <v>11075.696</v>
      </c>
      <c r="W60" s="1133">
        <f t="shared" si="39"/>
        <v>3893.34</v>
      </c>
      <c r="X60" s="1133">
        <f t="shared" si="40"/>
        <v>160231.264</v>
      </c>
      <c r="Y60" s="1133">
        <f t="shared" si="41"/>
        <v>2336004</v>
      </c>
      <c r="Z60" s="1133">
        <f t="shared" si="42"/>
        <v>353940</v>
      </c>
      <c r="AA60" s="1133">
        <f t="shared" si="43"/>
        <v>2689944</v>
      </c>
      <c r="AB60" s="1133">
        <f t="shared" si="44"/>
        <v>94148.040000000008</v>
      </c>
      <c r="AC60" s="1133">
        <f t="shared" si="45"/>
        <v>140117.7672</v>
      </c>
      <c r="AD60" s="1133">
        <f t="shared" si="46"/>
        <v>121047.48000000001</v>
      </c>
      <c r="AE60" s="1133">
        <f t="shared" si="47"/>
        <v>80698.319999999992</v>
      </c>
      <c r="AF60" s="1133">
        <f t="shared" si="48"/>
        <v>3125955.6072</v>
      </c>
      <c r="AG60" s="1178" t="s">
        <v>3</v>
      </c>
    </row>
    <row r="61" spans="1:33" ht="31.5">
      <c r="A61" s="1175">
        <f t="shared" si="49"/>
        <v>39</v>
      </c>
      <c r="B61" s="1134" t="s">
        <v>453</v>
      </c>
      <c r="C61" s="1214" t="s">
        <v>911</v>
      </c>
      <c r="D61" s="1482"/>
      <c r="E61" s="1196">
        <v>0.5</v>
      </c>
      <c r="F61" s="1176">
        <v>17697</v>
      </c>
      <c r="G61" s="1198">
        <v>45901</v>
      </c>
      <c r="H61" s="1196">
        <v>40</v>
      </c>
      <c r="I61" s="1192">
        <f t="shared" si="50"/>
        <v>353940</v>
      </c>
      <c r="J61" s="1192">
        <f t="shared" si="34"/>
        <v>35394</v>
      </c>
      <c r="K61" s="1193"/>
      <c r="L61" s="1193"/>
      <c r="M61" s="1193"/>
      <c r="N61" s="1193"/>
      <c r="O61" s="1193"/>
      <c r="P61" s="1193"/>
      <c r="Q61" s="1194"/>
      <c r="R61" s="1194"/>
      <c r="S61" s="1133">
        <f t="shared" si="35"/>
        <v>35394</v>
      </c>
      <c r="T61" s="1133">
        <f t="shared" si="36"/>
        <v>389334</v>
      </c>
      <c r="U61" s="1133">
        <f t="shared" si="37"/>
        <v>38933.4</v>
      </c>
      <c r="V61" s="1133">
        <f t="shared" si="38"/>
        <v>28206.392</v>
      </c>
      <c r="W61" s="1133">
        <f t="shared" si="39"/>
        <v>7786.68</v>
      </c>
      <c r="X61" s="1133">
        <f t="shared" si="40"/>
        <v>314407.52799999999</v>
      </c>
      <c r="Y61" s="1133">
        <f t="shared" si="41"/>
        <v>4672008</v>
      </c>
      <c r="Z61" s="1133">
        <f t="shared" si="42"/>
        <v>707880</v>
      </c>
      <c r="AA61" s="1133">
        <f t="shared" si="43"/>
        <v>5379888</v>
      </c>
      <c r="AB61" s="1133">
        <f t="shared" si="44"/>
        <v>188296.08000000002</v>
      </c>
      <c r="AC61" s="1133">
        <f t="shared" si="45"/>
        <v>280235.5344</v>
      </c>
      <c r="AD61" s="1133">
        <f t="shared" si="46"/>
        <v>242094.96000000002</v>
      </c>
      <c r="AE61" s="1133">
        <f t="shared" si="47"/>
        <v>161396.63999999998</v>
      </c>
      <c r="AF61" s="1133">
        <f t="shared" si="48"/>
        <v>6251911.2143999999</v>
      </c>
      <c r="AG61" s="1178" t="s">
        <v>3</v>
      </c>
    </row>
    <row r="62" spans="1:33" ht="31.5">
      <c r="A62" s="1175">
        <f t="shared" si="49"/>
        <v>40</v>
      </c>
      <c r="B62" s="1134" t="s">
        <v>453</v>
      </c>
      <c r="C62" s="1214" t="s">
        <v>206</v>
      </c>
      <c r="D62" s="1482"/>
      <c r="E62" s="1196">
        <v>0.25</v>
      </c>
      <c r="F62" s="1176">
        <v>17697</v>
      </c>
      <c r="G62" s="1198">
        <v>45901</v>
      </c>
      <c r="H62" s="1196">
        <v>40</v>
      </c>
      <c r="I62" s="1192">
        <f t="shared" si="50"/>
        <v>176970</v>
      </c>
      <c r="J62" s="1192">
        <f t="shared" si="34"/>
        <v>17697</v>
      </c>
      <c r="K62" s="1193"/>
      <c r="L62" s="1193"/>
      <c r="M62" s="1193"/>
      <c r="N62" s="1193"/>
      <c r="O62" s="1193"/>
      <c r="P62" s="1193"/>
      <c r="Q62" s="1194"/>
      <c r="R62" s="1194"/>
      <c r="S62" s="1133">
        <f t="shared" si="35"/>
        <v>17697</v>
      </c>
      <c r="T62" s="1133">
        <f t="shared" si="36"/>
        <v>194667</v>
      </c>
      <c r="U62" s="1133">
        <f t="shared" si="37"/>
        <v>19466.7</v>
      </c>
      <c r="V62" s="1133">
        <f t="shared" si="38"/>
        <v>11075.696</v>
      </c>
      <c r="W62" s="1133">
        <f t="shared" si="39"/>
        <v>3893.34</v>
      </c>
      <c r="X62" s="1133">
        <f t="shared" si="40"/>
        <v>160231.264</v>
      </c>
      <c r="Y62" s="1133">
        <f t="shared" si="41"/>
        <v>2336004</v>
      </c>
      <c r="Z62" s="1133">
        <f t="shared" si="42"/>
        <v>353940</v>
      </c>
      <c r="AA62" s="1133">
        <f t="shared" si="43"/>
        <v>2689944</v>
      </c>
      <c r="AB62" s="1133">
        <f t="shared" si="44"/>
        <v>94148.040000000008</v>
      </c>
      <c r="AC62" s="1133">
        <f t="shared" si="45"/>
        <v>140117.7672</v>
      </c>
      <c r="AD62" s="1133">
        <f t="shared" si="46"/>
        <v>121047.48000000001</v>
      </c>
      <c r="AE62" s="1133">
        <f t="shared" si="47"/>
        <v>80698.319999999992</v>
      </c>
      <c r="AF62" s="1133">
        <f t="shared" si="48"/>
        <v>3125955.6072</v>
      </c>
      <c r="AG62" s="1178" t="s">
        <v>3</v>
      </c>
    </row>
    <row r="63" spans="1:33" ht="31.5">
      <c r="A63" s="1175">
        <f t="shared" si="49"/>
        <v>41</v>
      </c>
      <c r="B63" s="1134" t="s">
        <v>453</v>
      </c>
      <c r="C63" s="1214" t="s">
        <v>912</v>
      </c>
      <c r="D63" s="1482"/>
      <c r="E63" s="1215">
        <v>0.25</v>
      </c>
      <c r="F63" s="1176">
        <v>17697</v>
      </c>
      <c r="G63" s="1198">
        <v>45902</v>
      </c>
      <c r="H63" s="1196">
        <v>40</v>
      </c>
      <c r="I63" s="1192">
        <f t="shared" si="50"/>
        <v>176970</v>
      </c>
      <c r="J63" s="1192">
        <f t="shared" si="34"/>
        <v>17697</v>
      </c>
      <c r="K63" s="1193"/>
      <c r="L63" s="1193"/>
      <c r="M63" s="1193"/>
      <c r="N63" s="1193"/>
      <c r="O63" s="1193"/>
      <c r="P63" s="1193"/>
      <c r="Q63" s="1194"/>
      <c r="R63" s="1194"/>
      <c r="S63" s="1133">
        <f t="shared" si="35"/>
        <v>17697</v>
      </c>
      <c r="T63" s="1133">
        <f t="shared" si="36"/>
        <v>194667</v>
      </c>
      <c r="U63" s="1133">
        <f t="shared" si="37"/>
        <v>19466.7</v>
      </c>
      <c r="V63" s="1133">
        <f t="shared" si="38"/>
        <v>11075.696</v>
      </c>
      <c r="W63" s="1133">
        <f t="shared" si="39"/>
        <v>3893.34</v>
      </c>
      <c r="X63" s="1133">
        <f t="shared" si="40"/>
        <v>160231.264</v>
      </c>
      <c r="Y63" s="1133">
        <f t="shared" si="41"/>
        <v>2336004</v>
      </c>
      <c r="Z63" s="1133">
        <f t="shared" si="42"/>
        <v>353940</v>
      </c>
      <c r="AA63" s="1133">
        <f t="shared" si="43"/>
        <v>2689944</v>
      </c>
      <c r="AB63" s="1133">
        <f t="shared" si="44"/>
        <v>94148.040000000008</v>
      </c>
      <c r="AC63" s="1133">
        <f t="shared" si="45"/>
        <v>140117.7672</v>
      </c>
      <c r="AD63" s="1133">
        <f t="shared" si="46"/>
        <v>121047.48000000001</v>
      </c>
      <c r="AE63" s="1133">
        <f t="shared" si="47"/>
        <v>80698.319999999992</v>
      </c>
      <c r="AF63" s="1133">
        <f t="shared" si="48"/>
        <v>3125955.6072</v>
      </c>
      <c r="AG63" s="1178" t="s">
        <v>3</v>
      </c>
    </row>
    <row r="64" spans="1:33" ht="31.5">
      <c r="A64" s="1175">
        <f t="shared" si="49"/>
        <v>42</v>
      </c>
      <c r="B64" s="1134" t="s">
        <v>453</v>
      </c>
      <c r="C64" s="1214" t="s">
        <v>913</v>
      </c>
      <c r="D64" s="1482"/>
      <c r="E64" s="1215">
        <v>0.25</v>
      </c>
      <c r="F64" s="1176">
        <v>17697</v>
      </c>
      <c r="G64" s="1198">
        <v>45901</v>
      </c>
      <c r="H64" s="1196">
        <v>40</v>
      </c>
      <c r="I64" s="1192">
        <f t="shared" si="50"/>
        <v>176970</v>
      </c>
      <c r="J64" s="1192">
        <f t="shared" si="34"/>
        <v>17697</v>
      </c>
      <c r="K64" s="1192"/>
      <c r="L64" s="1193"/>
      <c r="M64" s="1193"/>
      <c r="N64" s="1193"/>
      <c r="O64" s="1193"/>
      <c r="P64" s="1193"/>
      <c r="Q64" s="1194"/>
      <c r="R64" s="1194"/>
      <c r="S64" s="1133">
        <f t="shared" si="35"/>
        <v>17697</v>
      </c>
      <c r="T64" s="1133">
        <f t="shared" si="36"/>
        <v>194667</v>
      </c>
      <c r="U64" s="1133">
        <f t="shared" si="37"/>
        <v>19466.7</v>
      </c>
      <c r="V64" s="1133">
        <f t="shared" si="38"/>
        <v>11075.696</v>
      </c>
      <c r="W64" s="1133">
        <f t="shared" si="39"/>
        <v>3893.34</v>
      </c>
      <c r="X64" s="1133">
        <f t="shared" si="40"/>
        <v>160231.264</v>
      </c>
      <c r="Y64" s="1133">
        <f t="shared" si="41"/>
        <v>2336004</v>
      </c>
      <c r="Z64" s="1133">
        <f t="shared" si="42"/>
        <v>353940</v>
      </c>
      <c r="AA64" s="1133">
        <f t="shared" si="43"/>
        <v>2689944</v>
      </c>
      <c r="AB64" s="1133">
        <f t="shared" si="44"/>
        <v>94148.040000000008</v>
      </c>
      <c r="AC64" s="1133">
        <f t="shared" si="45"/>
        <v>140117.7672</v>
      </c>
      <c r="AD64" s="1133">
        <f t="shared" si="46"/>
        <v>121047.48000000001</v>
      </c>
      <c r="AE64" s="1133">
        <f t="shared" si="47"/>
        <v>80698.319999999992</v>
      </c>
      <c r="AF64" s="1133">
        <f t="shared" si="48"/>
        <v>3125955.6072</v>
      </c>
      <c r="AG64" s="1178" t="s">
        <v>3</v>
      </c>
    </row>
    <row r="65" spans="1:33" ht="31.5">
      <c r="A65" s="1175">
        <f t="shared" si="49"/>
        <v>43</v>
      </c>
      <c r="B65" s="1134" t="s">
        <v>453</v>
      </c>
      <c r="C65" s="1134" t="s">
        <v>914</v>
      </c>
      <c r="D65" s="1482"/>
      <c r="E65" s="1196">
        <v>0.5</v>
      </c>
      <c r="F65" s="1176">
        <v>17697</v>
      </c>
      <c r="G65" s="1198">
        <v>45901</v>
      </c>
      <c r="H65" s="1196">
        <v>40</v>
      </c>
      <c r="I65" s="1192">
        <f t="shared" si="50"/>
        <v>353940</v>
      </c>
      <c r="J65" s="1192">
        <f t="shared" si="34"/>
        <v>35394</v>
      </c>
      <c r="K65" s="1193"/>
      <c r="L65" s="1193"/>
      <c r="M65" s="1193"/>
      <c r="N65" s="1193"/>
      <c r="O65" s="1193"/>
      <c r="P65" s="1193"/>
      <c r="Q65" s="1194"/>
      <c r="R65" s="1194"/>
      <c r="S65" s="1133">
        <f t="shared" si="35"/>
        <v>35394</v>
      </c>
      <c r="T65" s="1133">
        <f t="shared" si="36"/>
        <v>389334</v>
      </c>
      <c r="U65" s="1133">
        <f t="shared" si="37"/>
        <v>38933.4</v>
      </c>
      <c r="V65" s="1133">
        <f t="shared" si="38"/>
        <v>28206.392</v>
      </c>
      <c r="W65" s="1133">
        <f t="shared" si="39"/>
        <v>7786.68</v>
      </c>
      <c r="X65" s="1133">
        <f t="shared" si="40"/>
        <v>314407.52799999999</v>
      </c>
      <c r="Y65" s="1133">
        <f t="shared" si="41"/>
        <v>4672008</v>
      </c>
      <c r="Z65" s="1133">
        <f t="shared" si="42"/>
        <v>707880</v>
      </c>
      <c r="AA65" s="1133">
        <f t="shared" si="43"/>
        <v>5379888</v>
      </c>
      <c r="AB65" s="1133">
        <f t="shared" si="44"/>
        <v>188296.08000000002</v>
      </c>
      <c r="AC65" s="1133">
        <f t="shared" si="45"/>
        <v>280235.5344</v>
      </c>
      <c r="AD65" s="1133">
        <f t="shared" si="46"/>
        <v>242094.96000000002</v>
      </c>
      <c r="AE65" s="1133">
        <f t="shared" si="47"/>
        <v>161396.63999999998</v>
      </c>
      <c r="AF65" s="1133">
        <f t="shared" si="48"/>
        <v>6251911.2143999999</v>
      </c>
      <c r="AG65" s="1178" t="s">
        <v>3</v>
      </c>
    </row>
    <row r="66" spans="1:33" ht="31.5">
      <c r="A66" s="1175">
        <f t="shared" si="49"/>
        <v>44</v>
      </c>
      <c r="B66" s="1216" t="s">
        <v>453</v>
      </c>
      <c r="C66" s="1134" t="s">
        <v>897</v>
      </c>
      <c r="D66" s="1482"/>
      <c r="E66" s="1196">
        <v>0.25</v>
      </c>
      <c r="F66" s="1176">
        <v>17697</v>
      </c>
      <c r="G66" s="1198">
        <v>45901</v>
      </c>
      <c r="H66" s="1196">
        <v>40</v>
      </c>
      <c r="I66" s="1192">
        <f t="shared" si="50"/>
        <v>176970</v>
      </c>
      <c r="J66" s="1192">
        <f t="shared" si="34"/>
        <v>17697</v>
      </c>
      <c r="K66" s="1193"/>
      <c r="L66" s="1193"/>
      <c r="M66" s="1193"/>
      <c r="N66" s="1193"/>
      <c r="O66" s="1193"/>
      <c r="P66" s="1193"/>
      <c r="Q66" s="1194"/>
      <c r="R66" s="1194"/>
      <c r="S66" s="1133">
        <f t="shared" si="35"/>
        <v>17697</v>
      </c>
      <c r="T66" s="1133">
        <f t="shared" si="36"/>
        <v>194667</v>
      </c>
      <c r="U66" s="1133">
        <f t="shared" si="37"/>
        <v>19466.7</v>
      </c>
      <c r="V66" s="1133">
        <f t="shared" si="38"/>
        <v>11075.696</v>
      </c>
      <c r="W66" s="1133">
        <f t="shared" si="39"/>
        <v>3893.34</v>
      </c>
      <c r="X66" s="1133">
        <f t="shared" si="40"/>
        <v>160231.264</v>
      </c>
      <c r="Y66" s="1133">
        <f t="shared" si="41"/>
        <v>2336004</v>
      </c>
      <c r="Z66" s="1133">
        <f t="shared" si="42"/>
        <v>353940</v>
      </c>
      <c r="AA66" s="1133">
        <f t="shared" si="43"/>
        <v>2689944</v>
      </c>
      <c r="AB66" s="1133">
        <f t="shared" si="44"/>
        <v>94148.040000000008</v>
      </c>
      <c r="AC66" s="1133">
        <f t="shared" si="45"/>
        <v>140117.7672</v>
      </c>
      <c r="AD66" s="1133">
        <f t="shared" si="46"/>
        <v>121047.48000000001</v>
      </c>
      <c r="AE66" s="1133">
        <f t="shared" si="47"/>
        <v>80698.319999999992</v>
      </c>
      <c r="AF66" s="1133">
        <f t="shared" si="48"/>
        <v>3125955.6072</v>
      </c>
      <c r="AG66" s="1178" t="s">
        <v>3</v>
      </c>
    </row>
    <row r="67" spans="1:33" ht="31.5">
      <c r="A67" s="1175">
        <f t="shared" si="49"/>
        <v>45</v>
      </c>
      <c r="B67" s="1216" t="s">
        <v>453</v>
      </c>
      <c r="C67" s="1214" t="s">
        <v>455</v>
      </c>
      <c r="D67" s="1482"/>
      <c r="E67" s="1196">
        <v>0.25</v>
      </c>
      <c r="F67" s="1176">
        <v>17697</v>
      </c>
      <c r="G67" s="1197">
        <v>45917</v>
      </c>
      <c r="H67" s="1196">
        <v>18</v>
      </c>
      <c r="I67" s="1192">
        <f t="shared" si="50"/>
        <v>79636.5</v>
      </c>
      <c r="J67" s="1192">
        <f t="shared" si="34"/>
        <v>7963.6500000000005</v>
      </c>
      <c r="K67" s="1193"/>
      <c r="L67" s="1193"/>
      <c r="M67" s="1193"/>
      <c r="N67" s="1193"/>
      <c r="O67" s="1193"/>
      <c r="P67" s="1193"/>
      <c r="Q67" s="1194"/>
      <c r="R67" s="1194"/>
      <c r="S67" s="1133">
        <f t="shared" si="35"/>
        <v>7963.6500000000005</v>
      </c>
      <c r="T67" s="1133">
        <f t="shared" si="36"/>
        <v>87600.15</v>
      </c>
      <c r="U67" s="1133">
        <f t="shared" si="37"/>
        <v>8760.0149999999994</v>
      </c>
      <c r="V67" s="1133">
        <f t="shared" si="38"/>
        <v>1653.8131999999998</v>
      </c>
      <c r="W67" s="1133">
        <f t="shared" si="39"/>
        <v>1752.0029999999999</v>
      </c>
      <c r="X67" s="1133">
        <f t="shared" si="40"/>
        <v>75434.318799999994</v>
      </c>
      <c r="Y67" s="1133">
        <f t="shared" si="41"/>
        <v>1051201.7999999998</v>
      </c>
      <c r="Z67" s="1133">
        <f t="shared" si="42"/>
        <v>159273</v>
      </c>
      <c r="AA67" s="1133">
        <f t="shared" si="43"/>
        <v>1210474.7999999998</v>
      </c>
      <c r="AB67" s="1133">
        <f t="shared" si="44"/>
        <v>42366.617999999995</v>
      </c>
      <c r="AC67" s="1133">
        <f t="shared" si="45"/>
        <v>63052.995239999975</v>
      </c>
      <c r="AD67" s="1133">
        <f t="shared" si="46"/>
        <v>54471.365999999995</v>
      </c>
      <c r="AE67" s="1133">
        <f t="shared" si="47"/>
        <v>36314.243999999992</v>
      </c>
      <c r="AF67" s="1133">
        <f t="shared" si="48"/>
        <v>1406680.0232399998</v>
      </c>
      <c r="AG67" s="1178" t="s">
        <v>3</v>
      </c>
    </row>
    <row r="68" spans="1:33" ht="31.5">
      <c r="A68" s="1175">
        <f t="shared" si="49"/>
        <v>46</v>
      </c>
      <c r="B68" s="1216" t="s">
        <v>453</v>
      </c>
      <c r="C68" s="1214" t="s">
        <v>898</v>
      </c>
      <c r="D68" s="1482"/>
      <c r="E68" s="1196">
        <v>0.25</v>
      </c>
      <c r="F68" s="1176">
        <v>17697</v>
      </c>
      <c r="G68" s="1197">
        <v>45917</v>
      </c>
      <c r="H68" s="1196">
        <v>18</v>
      </c>
      <c r="I68" s="1192">
        <f t="shared" si="50"/>
        <v>79636.5</v>
      </c>
      <c r="J68" s="1192">
        <f t="shared" si="34"/>
        <v>7963.6500000000005</v>
      </c>
      <c r="K68" s="1193"/>
      <c r="L68" s="1193"/>
      <c r="M68" s="1193"/>
      <c r="N68" s="1193"/>
      <c r="O68" s="1193"/>
      <c r="P68" s="1193"/>
      <c r="Q68" s="1194"/>
      <c r="R68" s="1194"/>
      <c r="S68" s="1133">
        <f t="shared" si="35"/>
        <v>7963.6500000000005</v>
      </c>
      <c r="T68" s="1133">
        <f t="shared" si="36"/>
        <v>87600.15</v>
      </c>
      <c r="U68" s="1133">
        <f t="shared" si="37"/>
        <v>8760.0149999999994</v>
      </c>
      <c r="V68" s="1133">
        <f t="shared" si="38"/>
        <v>1653.8131999999998</v>
      </c>
      <c r="W68" s="1133">
        <f t="shared" si="39"/>
        <v>1752.0029999999999</v>
      </c>
      <c r="X68" s="1133">
        <f t="shared" si="40"/>
        <v>75434.318799999994</v>
      </c>
      <c r="Y68" s="1133">
        <f t="shared" si="41"/>
        <v>1051201.7999999998</v>
      </c>
      <c r="Z68" s="1133">
        <f t="shared" si="42"/>
        <v>159273</v>
      </c>
      <c r="AA68" s="1133">
        <f t="shared" si="43"/>
        <v>1210474.7999999998</v>
      </c>
      <c r="AB68" s="1133">
        <f t="shared" si="44"/>
        <v>42366.617999999995</v>
      </c>
      <c r="AC68" s="1133">
        <f t="shared" si="45"/>
        <v>63052.995239999975</v>
      </c>
      <c r="AD68" s="1133">
        <f t="shared" si="46"/>
        <v>54471.365999999995</v>
      </c>
      <c r="AE68" s="1133">
        <f t="shared" si="47"/>
        <v>36314.243999999992</v>
      </c>
      <c r="AF68" s="1133">
        <f t="shared" si="48"/>
        <v>1406680.0232399998</v>
      </c>
      <c r="AG68" s="1178" t="s">
        <v>3</v>
      </c>
    </row>
    <row r="69" spans="1:33" ht="31.5">
      <c r="A69" s="1175">
        <f t="shared" si="49"/>
        <v>47</v>
      </c>
      <c r="B69" s="1134" t="s">
        <v>453</v>
      </c>
      <c r="C69" s="1214" t="s">
        <v>915</v>
      </c>
      <c r="D69" s="1482"/>
      <c r="E69" s="1196">
        <v>0.25</v>
      </c>
      <c r="F69" s="1176">
        <v>17697</v>
      </c>
      <c r="G69" s="1197">
        <v>45917</v>
      </c>
      <c r="H69" s="1196">
        <v>18</v>
      </c>
      <c r="I69" s="1192">
        <f t="shared" si="50"/>
        <v>79636.5</v>
      </c>
      <c r="J69" s="1192">
        <f t="shared" si="34"/>
        <v>7963.6500000000005</v>
      </c>
      <c r="K69" s="1193"/>
      <c r="L69" s="1193"/>
      <c r="M69" s="1193"/>
      <c r="N69" s="1193"/>
      <c r="O69" s="1193"/>
      <c r="P69" s="1193"/>
      <c r="Q69" s="1194"/>
      <c r="R69" s="1194"/>
      <c r="S69" s="1133">
        <f t="shared" si="35"/>
        <v>7963.6500000000005</v>
      </c>
      <c r="T69" s="1133">
        <f t="shared" si="36"/>
        <v>87600.15</v>
      </c>
      <c r="U69" s="1133">
        <f t="shared" si="37"/>
        <v>8760.0149999999994</v>
      </c>
      <c r="V69" s="1133">
        <f t="shared" si="38"/>
        <v>1653.8131999999998</v>
      </c>
      <c r="W69" s="1133">
        <f t="shared" si="39"/>
        <v>1752.0029999999999</v>
      </c>
      <c r="X69" s="1133">
        <f t="shared" si="40"/>
        <v>75434.318799999994</v>
      </c>
      <c r="Y69" s="1133">
        <f t="shared" si="41"/>
        <v>1051201.7999999998</v>
      </c>
      <c r="Z69" s="1133">
        <f t="shared" si="42"/>
        <v>159273</v>
      </c>
      <c r="AA69" s="1133">
        <f t="shared" si="43"/>
        <v>1210474.7999999998</v>
      </c>
      <c r="AB69" s="1133">
        <f t="shared" si="44"/>
        <v>42366.617999999995</v>
      </c>
      <c r="AC69" s="1133">
        <f t="shared" si="45"/>
        <v>63052.995239999975</v>
      </c>
      <c r="AD69" s="1133">
        <f t="shared" si="46"/>
        <v>54471.365999999995</v>
      </c>
      <c r="AE69" s="1133">
        <f t="shared" si="47"/>
        <v>36314.243999999992</v>
      </c>
      <c r="AF69" s="1133">
        <f t="shared" si="48"/>
        <v>1406680.0232399998</v>
      </c>
      <c r="AG69" s="1178" t="s">
        <v>3</v>
      </c>
    </row>
    <row r="70" spans="1:33" ht="31.5">
      <c r="A70" s="1175">
        <f t="shared" si="49"/>
        <v>48</v>
      </c>
      <c r="B70" s="1134" t="s">
        <v>453</v>
      </c>
      <c r="C70" s="1214" t="s">
        <v>548</v>
      </c>
      <c r="D70" s="1482"/>
      <c r="E70" s="1196">
        <v>0.5</v>
      </c>
      <c r="F70" s="1176">
        <v>17697</v>
      </c>
      <c r="G70" s="1198">
        <v>45901</v>
      </c>
      <c r="H70" s="1196">
        <v>40</v>
      </c>
      <c r="I70" s="1192">
        <f t="shared" si="50"/>
        <v>353940</v>
      </c>
      <c r="J70" s="1192">
        <f t="shared" si="34"/>
        <v>35394</v>
      </c>
      <c r="K70" s="1193"/>
      <c r="L70" s="1193"/>
      <c r="M70" s="1193"/>
      <c r="N70" s="1193"/>
      <c r="O70" s="1193"/>
      <c r="P70" s="1193"/>
      <c r="Q70" s="1194"/>
      <c r="R70" s="1194"/>
      <c r="S70" s="1133">
        <f t="shared" si="35"/>
        <v>35394</v>
      </c>
      <c r="T70" s="1133">
        <f t="shared" si="36"/>
        <v>389334</v>
      </c>
      <c r="U70" s="1133">
        <f t="shared" si="37"/>
        <v>38933.4</v>
      </c>
      <c r="V70" s="1133">
        <f t="shared" si="38"/>
        <v>28206.392</v>
      </c>
      <c r="W70" s="1133">
        <f t="shared" si="39"/>
        <v>7786.68</v>
      </c>
      <c r="X70" s="1133">
        <f t="shared" si="40"/>
        <v>314407.52799999999</v>
      </c>
      <c r="Y70" s="1133">
        <f t="shared" si="41"/>
        <v>4672008</v>
      </c>
      <c r="Z70" s="1133">
        <f t="shared" si="42"/>
        <v>707880</v>
      </c>
      <c r="AA70" s="1133">
        <f t="shared" si="43"/>
        <v>5379888</v>
      </c>
      <c r="AB70" s="1133">
        <f t="shared" si="44"/>
        <v>188296.08000000002</v>
      </c>
      <c r="AC70" s="1133">
        <f t="shared" si="45"/>
        <v>280235.5344</v>
      </c>
      <c r="AD70" s="1133">
        <f t="shared" si="46"/>
        <v>242094.96000000002</v>
      </c>
      <c r="AE70" s="1133">
        <f t="shared" si="47"/>
        <v>161396.63999999998</v>
      </c>
      <c r="AF70" s="1133">
        <f t="shared" si="48"/>
        <v>6251911.2143999999</v>
      </c>
      <c r="AG70" s="1178" t="s">
        <v>3</v>
      </c>
    </row>
    <row r="71" spans="1:33" ht="31.5">
      <c r="A71" s="1175">
        <f t="shared" si="49"/>
        <v>49</v>
      </c>
      <c r="B71" s="1134" t="s">
        <v>453</v>
      </c>
      <c r="C71" s="1214" t="s">
        <v>916</v>
      </c>
      <c r="D71" s="1482"/>
      <c r="E71" s="1196">
        <v>0.5</v>
      </c>
      <c r="F71" s="1176">
        <v>17697</v>
      </c>
      <c r="G71" s="1198">
        <v>45931</v>
      </c>
      <c r="H71" s="1196">
        <v>40</v>
      </c>
      <c r="I71" s="1192">
        <f t="shared" si="50"/>
        <v>353940</v>
      </c>
      <c r="J71" s="1192">
        <f t="shared" si="34"/>
        <v>35394</v>
      </c>
      <c r="K71" s="1193"/>
      <c r="L71" s="1193"/>
      <c r="M71" s="1193"/>
      <c r="N71" s="1193"/>
      <c r="O71" s="1193"/>
      <c r="P71" s="1193"/>
      <c r="Q71" s="1194"/>
      <c r="R71" s="1194"/>
      <c r="S71" s="1133">
        <f t="shared" si="35"/>
        <v>35394</v>
      </c>
      <c r="T71" s="1133">
        <f t="shared" si="36"/>
        <v>389334</v>
      </c>
      <c r="U71" s="1133">
        <f t="shared" si="37"/>
        <v>38933.4</v>
      </c>
      <c r="V71" s="1133">
        <f t="shared" si="38"/>
        <v>28206.392</v>
      </c>
      <c r="W71" s="1133">
        <f t="shared" si="39"/>
        <v>7786.68</v>
      </c>
      <c r="X71" s="1133">
        <f t="shared" si="40"/>
        <v>314407.52799999999</v>
      </c>
      <c r="Y71" s="1133">
        <f t="shared" si="41"/>
        <v>4672008</v>
      </c>
      <c r="Z71" s="1133">
        <f t="shared" si="42"/>
        <v>707880</v>
      </c>
      <c r="AA71" s="1133">
        <f t="shared" si="43"/>
        <v>5379888</v>
      </c>
      <c r="AB71" s="1133">
        <f t="shared" si="44"/>
        <v>188296.08000000002</v>
      </c>
      <c r="AC71" s="1133">
        <f t="shared" si="45"/>
        <v>280235.5344</v>
      </c>
      <c r="AD71" s="1133">
        <f t="shared" si="46"/>
        <v>242094.96000000002</v>
      </c>
      <c r="AE71" s="1133">
        <f t="shared" si="47"/>
        <v>161396.63999999998</v>
      </c>
      <c r="AF71" s="1133">
        <f t="shared" si="48"/>
        <v>6251911.2143999999</v>
      </c>
      <c r="AG71" s="1178" t="s">
        <v>3</v>
      </c>
    </row>
    <row r="72" spans="1:33" ht="31.5">
      <c r="A72" s="1175">
        <f t="shared" si="49"/>
        <v>50</v>
      </c>
      <c r="B72" s="1134" t="s">
        <v>453</v>
      </c>
      <c r="C72" s="1214" t="s">
        <v>917</v>
      </c>
      <c r="D72" s="1482"/>
      <c r="E72" s="1196">
        <v>0.25</v>
      </c>
      <c r="F72" s="1176">
        <v>17697</v>
      </c>
      <c r="G72" s="1197">
        <v>45917</v>
      </c>
      <c r="H72" s="1196">
        <v>18</v>
      </c>
      <c r="I72" s="1192">
        <f t="shared" si="50"/>
        <v>79636.5</v>
      </c>
      <c r="J72" s="1192">
        <f t="shared" si="34"/>
        <v>7963.6500000000005</v>
      </c>
      <c r="K72" s="1193"/>
      <c r="L72" s="1193"/>
      <c r="M72" s="1193"/>
      <c r="N72" s="1193"/>
      <c r="O72" s="1193"/>
      <c r="P72" s="1193"/>
      <c r="Q72" s="1194"/>
      <c r="R72" s="1194"/>
      <c r="S72" s="1133">
        <f t="shared" si="35"/>
        <v>7963.6500000000005</v>
      </c>
      <c r="T72" s="1133">
        <f t="shared" si="36"/>
        <v>87600.15</v>
      </c>
      <c r="U72" s="1133">
        <f t="shared" si="37"/>
        <v>8760.0149999999994</v>
      </c>
      <c r="V72" s="1133">
        <f t="shared" si="38"/>
        <v>1653.8131999999998</v>
      </c>
      <c r="W72" s="1133">
        <f t="shared" si="39"/>
        <v>1752.0029999999999</v>
      </c>
      <c r="X72" s="1133">
        <f t="shared" si="40"/>
        <v>75434.318799999994</v>
      </c>
      <c r="Y72" s="1133">
        <f t="shared" si="41"/>
        <v>1051201.7999999998</v>
      </c>
      <c r="Z72" s="1133">
        <f t="shared" si="42"/>
        <v>159273</v>
      </c>
      <c r="AA72" s="1133">
        <f t="shared" si="43"/>
        <v>1210474.7999999998</v>
      </c>
      <c r="AB72" s="1133">
        <f t="shared" si="44"/>
        <v>42366.617999999995</v>
      </c>
      <c r="AC72" s="1133">
        <f t="shared" si="45"/>
        <v>63052.995239999975</v>
      </c>
      <c r="AD72" s="1133">
        <f t="shared" si="46"/>
        <v>54471.365999999995</v>
      </c>
      <c r="AE72" s="1133">
        <f t="shared" si="47"/>
        <v>36314.243999999992</v>
      </c>
      <c r="AF72" s="1133">
        <f t="shared" si="48"/>
        <v>1406680.0232399998</v>
      </c>
      <c r="AG72" s="1178" t="s">
        <v>3</v>
      </c>
    </row>
    <row r="73" spans="1:33" ht="31.5">
      <c r="A73" s="1175">
        <f t="shared" si="49"/>
        <v>51</v>
      </c>
      <c r="B73" s="1134" t="s">
        <v>453</v>
      </c>
      <c r="C73" s="1214" t="s">
        <v>918</v>
      </c>
      <c r="D73" s="1482"/>
      <c r="E73" s="1196">
        <v>0.25</v>
      </c>
      <c r="F73" s="1176">
        <v>17697</v>
      </c>
      <c r="G73" s="1197">
        <v>45917</v>
      </c>
      <c r="H73" s="1196">
        <v>18</v>
      </c>
      <c r="I73" s="1192">
        <f t="shared" si="50"/>
        <v>79636.5</v>
      </c>
      <c r="J73" s="1192">
        <f t="shared" si="34"/>
        <v>7963.6500000000005</v>
      </c>
      <c r="K73" s="1193"/>
      <c r="L73" s="1193"/>
      <c r="M73" s="1193"/>
      <c r="N73" s="1193"/>
      <c r="O73" s="1193"/>
      <c r="P73" s="1193"/>
      <c r="Q73" s="1194"/>
      <c r="R73" s="1194"/>
      <c r="S73" s="1133">
        <f t="shared" si="35"/>
        <v>7963.6500000000005</v>
      </c>
      <c r="T73" s="1133">
        <f t="shared" si="36"/>
        <v>87600.15</v>
      </c>
      <c r="U73" s="1133">
        <f t="shared" si="37"/>
        <v>8760.0149999999994</v>
      </c>
      <c r="V73" s="1133">
        <f t="shared" si="38"/>
        <v>1653.8131999999998</v>
      </c>
      <c r="W73" s="1133">
        <f t="shared" si="39"/>
        <v>1752.0029999999999</v>
      </c>
      <c r="X73" s="1133">
        <f t="shared" si="40"/>
        <v>75434.318799999994</v>
      </c>
      <c r="Y73" s="1133">
        <f t="shared" si="41"/>
        <v>1051201.7999999998</v>
      </c>
      <c r="Z73" s="1133">
        <f t="shared" si="42"/>
        <v>159273</v>
      </c>
      <c r="AA73" s="1133">
        <f t="shared" si="43"/>
        <v>1210474.7999999998</v>
      </c>
      <c r="AB73" s="1133">
        <f t="shared" si="44"/>
        <v>42366.617999999995</v>
      </c>
      <c r="AC73" s="1133">
        <f t="shared" si="45"/>
        <v>63052.995239999975</v>
      </c>
      <c r="AD73" s="1133">
        <f t="shared" si="46"/>
        <v>54471.365999999995</v>
      </c>
      <c r="AE73" s="1133">
        <f t="shared" si="47"/>
        <v>36314.243999999992</v>
      </c>
      <c r="AF73" s="1133">
        <f t="shared" si="48"/>
        <v>1406680.0232399998</v>
      </c>
      <c r="AG73" s="1178" t="s">
        <v>3</v>
      </c>
    </row>
    <row r="74" spans="1:33" ht="31.5">
      <c r="A74" s="1175">
        <f t="shared" si="49"/>
        <v>52</v>
      </c>
      <c r="B74" s="1134" t="s">
        <v>453</v>
      </c>
      <c r="C74" s="1214" t="s">
        <v>919</v>
      </c>
      <c r="D74" s="1482"/>
      <c r="E74" s="1196">
        <v>0.25</v>
      </c>
      <c r="F74" s="1176">
        <v>17697</v>
      </c>
      <c r="G74" s="1198">
        <v>45901</v>
      </c>
      <c r="H74" s="1196">
        <v>40</v>
      </c>
      <c r="I74" s="1192">
        <f t="shared" si="50"/>
        <v>176970</v>
      </c>
      <c r="J74" s="1192">
        <f t="shared" si="34"/>
        <v>17697</v>
      </c>
      <c r="K74" s="1193"/>
      <c r="L74" s="1193"/>
      <c r="M74" s="1193"/>
      <c r="N74" s="1193"/>
      <c r="O74" s="1193"/>
      <c r="P74" s="1193"/>
      <c r="Q74" s="1194"/>
      <c r="R74" s="1194"/>
      <c r="S74" s="1133">
        <f t="shared" si="35"/>
        <v>17697</v>
      </c>
      <c r="T74" s="1133">
        <f t="shared" si="36"/>
        <v>194667</v>
      </c>
      <c r="U74" s="1133">
        <f t="shared" si="37"/>
        <v>19466.7</v>
      </c>
      <c r="V74" s="1133">
        <f t="shared" si="38"/>
        <v>11075.696</v>
      </c>
      <c r="W74" s="1133">
        <f t="shared" si="39"/>
        <v>3893.34</v>
      </c>
      <c r="X74" s="1133">
        <f t="shared" si="40"/>
        <v>160231.264</v>
      </c>
      <c r="Y74" s="1133">
        <f t="shared" si="41"/>
        <v>2336004</v>
      </c>
      <c r="Z74" s="1133">
        <f t="shared" si="42"/>
        <v>353940</v>
      </c>
      <c r="AA74" s="1133">
        <f t="shared" si="43"/>
        <v>2689944</v>
      </c>
      <c r="AB74" s="1133">
        <f t="shared" si="44"/>
        <v>94148.040000000008</v>
      </c>
      <c r="AC74" s="1133">
        <f t="shared" si="45"/>
        <v>140117.7672</v>
      </c>
      <c r="AD74" s="1133">
        <f t="shared" si="46"/>
        <v>121047.48000000001</v>
      </c>
      <c r="AE74" s="1133">
        <f t="shared" si="47"/>
        <v>80698.319999999992</v>
      </c>
      <c r="AF74" s="1133">
        <f t="shared" si="48"/>
        <v>3125955.6072</v>
      </c>
      <c r="AG74" s="1178" t="s">
        <v>3</v>
      </c>
    </row>
    <row r="75" spans="1:33" s="1189" customFormat="1" ht="31.5">
      <c r="A75" s="1179">
        <f t="shared" si="49"/>
        <v>53</v>
      </c>
      <c r="B75" s="1199" t="s">
        <v>453</v>
      </c>
      <c r="C75" s="1217" t="s">
        <v>920</v>
      </c>
      <c r="D75" s="1482"/>
      <c r="E75" s="1179"/>
      <c r="F75" s="1182">
        <v>17697</v>
      </c>
      <c r="G75" s="1183"/>
      <c r="H75" s="1202">
        <v>40</v>
      </c>
      <c r="I75" s="1203">
        <f>3*17697*H75</f>
        <v>2123640</v>
      </c>
      <c r="J75" s="1203">
        <f t="shared" si="34"/>
        <v>212364</v>
      </c>
      <c r="K75" s="1185"/>
      <c r="L75" s="1204"/>
      <c r="M75" s="1204"/>
      <c r="N75" s="1204"/>
      <c r="O75" s="1204"/>
      <c r="P75" s="1204"/>
      <c r="Q75" s="1205"/>
      <c r="R75" s="1205"/>
      <c r="S75" s="1185">
        <f t="shared" si="35"/>
        <v>212364</v>
      </c>
      <c r="T75" s="1185">
        <f t="shared" si="36"/>
        <v>2336004</v>
      </c>
      <c r="U75" s="1185">
        <f t="shared" si="37"/>
        <v>233600.40000000002</v>
      </c>
      <c r="V75" s="1185">
        <f t="shared" si="38"/>
        <v>199513.35200000001</v>
      </c>
      <c r="W75" s="1185">
        <f t="shared" si="39"/>
        <v>46720.08</v>
      </c>
      <c r="X75" s="1185">
        <f t="shared" si="40"/>
        <v>1856170.1680000001</v>
      </c>
      <c r="Y75" s="1185">
        <f t="shared" si="41"/>
        <v>28032048</v>
      </c>
      <c r="Z75" s="1185">
        <f t="shared" si="42"/>
        <v>4247280</v>
      </c>
      <c r="AA75" s="1185">
        <f t="shared" si="43"/>
        <v>32279328</v>
      </c>
      <c r="AB75" s="1185">
        <f t="shared" si="44"/>
        <v>1129776.4800000002</v>
      </c>
      <c r="AC75" s="1185">
        <f t="shared" si="45"/>
        <v>1681413.2063999998</v>
      </c>
      <c r="AD75" s="1185">
        <f t="shared" si="46"/>
        <v>1452569.76</v>
      </c>
      <c r="AE75" s="1185">
        <f t="shared" si="47"/>
        <v>968379.84</v>
      </c>
      <c r="AF75" s="1185">
        <f t="shared" si="48"/>
        <v>37511467.286399998</v>
      </c>
      <c r="AG75" s="1188" t="s">
        <v>3</v>
      </c>
    </row>
    <row r="76" spans="1:33" ht="31.5">
      <c r="A76" s="1175">
        <f t="shared" si="49"/>
        <v>54</v>
      </c>
      <c r="B76" s="1216" t="s">
        <v>453</v>
      </c>
      <c r="C76" s="1214" t="s">
        <v>921</v>
      </c>
      <c r="D76" s="1482"/>
      <c r="E76" s="1196">
        <v>0.5</v>
      </c>
      <c r="F76" s="1176">
        <v>17697</v>
      </c>
      <c r="G76" s="1197">
        <v>44819</v>
      </c>
      <c r="H76" s="1196">
        <v>16</v>
      </c>
      <c r="I76" s="1192">
        <f t="shared" si="50"/>
        <v>141576</v>
      </c>
      <c r="J76" s="1192">
        <f t="shared" si="34"/>
        <v>14157.6</v>
      </c>
      <c r="K76" s="1193"/>
      <c r="L76" s="1193"/>
      <c r="M76" s="1193"/>
      <c r="N76" s="1193"/>
      <c r="O76" s="1193"/>
      <c r="P76" s="1193"/>
      <c r="Q76" s="1194"/>
      <c r="R76" s="1194"/>
      <c r="S76" s="1133">
        <f t="shared" si="35"/>
        <v>14157.6</v>
      </c>
      <c r="T76" s="1133">
        <f t="shared" si="36"/>
        <v>155733.6</v>
      </c>
      <c r="U76" s="1133">
        <f t="shared" si="37"/>
        <v>15573.36</v>
      </c>
      <c r="V76" s="1133">
        <f t="shared" si="38"/>
        <v>7649.5568000000003</v>
      </c>
      <c r="W76" s="1133">
        <f t="shared" si="39"/>
        <v>3114.672</v>
      </c>
      <c r="X76" s="1133">
        <f t="shared" si="40"/>
        <v>129396.01119999999</v>
      </c>
      <c r="Y76" s="1133">
        <f t="shared" si="41"/>
        <v>1868803.2000000002</v>
      </c>
      <c r="Z76" s="1133">
        <f t="shared" si="42"/>
        <v>283152</v>
      </c>
      <c r="AA76" s="1133">
        <f t="shared" si="43"/>
        <v>2151955.2000000002</v>
      </c>
      <c r="AB76" s="1133">
        <f t="shared" si="44"/>
        <v>75318.432000000015</v>
      </c>
      <c r="AC76" s="1133">
        <f t="shared" si="45"/>
        <v>112094.21376</v>
      </c>
      <c r="AD76" s="1133">
        <f t="shared" si="46"/>
        <v>96837.984000000011</v>
      </c>
      <c r="AE76" s="1133">
        <f t="shared" si="47"/>
        <v>64558.656000000003</v>
      </c>
      <c r="AF76" s="1133">
        <f t="shared" si="48"/>
        <v>2500764.4857600005</v>
      </c>
      <c r="AG76" s="1178" t="s">
        <v>3</v>
      </c>
    </row>
    <row r="77" spans="1:33" ht="31.5">
      <c r="A77" s="1175">
        <f t="shared" si="49"/>
        <v>55</v>
      </c>
      <c r="B77" s="1216" t="s">
        <v>453</v>
      </c>
      <c r="C77" s="1214" t="s">
        <v>454</v>
      </c>
      <c r="D77" s="1482"/>
      <c r="E77" s="1196">
        <v>1</v>
      </c>
      <c r="F77" s="1176">
        <v>17697</v>
      </c>
      <c r="G77" s="1198">
        <v>42860</v>
      </c>
      <c r="H77" s="1196">
        <v>24</v>
      </c>
      <c r="I77" s="1192">
        <f t="shared" si="50"/>
        <v>424728</v>
      </c>
      <c r="J77" s="1192">
        <f t="shared" si="34"/>
        <v>42472.800000000003</v>
      </c>
      <c r="K77" s="1193"/>
      <c r="L77" s="1193"/>
      <c r="M77" s="1193"/>
      <c r="N77" s="1193"/>
      <c r="O77" s="1193"/>
      <c r="P77" s="1193"/>
      <c r="Q77" s="1194"/>
      <c r="R77" s="1194"/>
      <c r="S77" s="1133">
        <f t="shared" si="35"/>
        <v>42472.800000000003</v>
      </c>
      <c r="T77" s="1133">
        <f t="shared" si="36"/>
        <v>467200.8</v>
      </c>
      <c r="U77" s="1133">
        <f t="shared" si="37"/>
        <v>46720.08</v>
      </c>
      <c r="V77" s="1133">
        <f t="shared" si="38"/>
        <v>35058.670399999995</v>
      </c>
      <c r="W77" s="1133">
        <f t="shared" si="39"/>
        <v>9344.0159999999996</v>
      </c>
      <c r="X77" s="1133">
        <f t="shared" si="40"/>
        <v>376078.03359999997</v>
      </c>
      <c r="Y77" s="1133">
        <f t="shared" si="41"/>
        <v>5606409.5999999996</v>
      </c>
      <c r="Z77" s="1133">
        <f t="shared" si="42"/>
        <v>849456</v>
      </c>
      <c r="AA77" s="1133">
        <f t="shared" si="43"/>
        <v>6455865.5999999996</v>
      </c>
      <c r="AB77" s="1133">
        <f t="shared" si="44"/>
        <v>225955.296</v>
      </c>
      <c r="AC77" s="1133">
        <f t="shared" si="45"/>
        <v>336282.64128000004</v>
      </c>
      <c r="AD77" s="1133">
        <f t="shared" si="46"/>
        <v>290513.95199999999</v>
      </c>
      <c r="AE77" s="1133">
        <f t="shared" si="47"/>
        <v>193675.96799999999</v>
      </c>
      <c r="AF77" s="1133">
        <f t="shared" si="48"/>
        <v>7502293.4572799997</v>
      </c>
      <c r="AG77" s="1178" t="s">
        <v>3</v>
      </c>
    </row>
    <row r="78" spans="1:33" ht="31.5">
      <c r="A78" s="1175">
        <f t="shared" si="49"/>
        <v>56</v>
      </c>
      <c r="B78" s="1216" t="s">
        <v>453</v>
      </c>
      <c r="C78" s="1214" t="s">
        <v>553</v>
      </c>
      <c r="D78" s="1482"/>
      <c r="E78" s="1196">
        <v>1</v>
      </c>
      <c r="F78" s="1176">
        <v>17697</v>
      </c>
      <c r="G78" s="1197">
        <v>45183</v>
      </c>
      <c r="H78" s="1196">
        <v>17</v>
      </c>
      <c r="I78" s="1192">
        <f t="shared" si="50"/>
        <v>300849</v>
      </c>
      <c r="J78" s="1192">
        <f t="shared" si="34"/>
        <v>30084.9</v>
      </c>
      <c r="K78" s="1193"/>
      <c r="L78" s="1193"/>
      <c r="M78" s="1193"/>
      <c r="N78" s="1193"/>
      <c r="O78" s="1193"/>
      <c r="P78" s="1193"/>
      <c r="Q78" s="1194"/>
      <c r="R78" s="1194"/>
      <c r="S78" s="1133">
        <f t="shared" si="35"/>
        <v>30084.9</v>
      </c>
      <c r="T78" s="1133">
        <f t="shared" si="36"/>
        <v>330933.90000000002</v>
      </c>
      <c r="U78" s="1133">
        <f t="shared" si="37"/>
        <v>33093.390000000007</v>
      </c>
      <c r="V78" s="1133">
        <f t="shared" si="38"/>
        <v>23067.183199999999</v>
      </c>
      <c r="W78" s="1133">
        <f t="shared" si="39"/>
        <v>6618.6780000000008</v>
      </c>
      <c r="X78" s="1133">
        <f t="shared" si="40"/>
        <v>268154.64880000002</v>
      </c>
      <c r="Y78" s="1133">
        <f t="shared" si="41"/>
        <v>3971206.8000000003</v>
      </c>
      <c r="Z78" s="1133">
        <f t="shared" si="42"/>
        <v>601698</v>
      </c>
      <c r="AA78" s="1133">
        <f t="shared" si="43"/>
        <v>4572904.8000000007</v>
      </c>
      <c r="AB78" s="1133">
        <f t="shared" si="44"/>
        <v>160051.66800000003</v>
      </c>
      <c r="AC78" s="1133">
        <f t="shared" si="45"/>
        <v>238200.20424000002</v>
      </c>
      <c r="AD78" s="1133">
        <f t="shared" si="46"/>
        <v>205780.71600000004</v>
      </c>
      <c r="AE78" s="1133">
        <f t="shared" si="47"/>
        <v>137187.14400000003</v>
      </c>
      <c r="AF78" s="1133">
        <f t="shared" si="48"/>
        <v>5314124.5322400006</v>
      </c>
      <c r="AG78" s="1178" t="s">
        <v>3</v>
      </c>
    </row>
    <row r="79" spans="1:33" ht="39.75" customHeight="1">
      <c r="A79" s="1175">
        <f t="shared" si="49"/>
        <v>57</v>
      </c>
      <c r="B79" s="1216" t="s">
        <v>453</v>
      </c>
      <c r="C79" s="1214" t="s">
        <v>922</v>
      </c>
      <c r="D79" s="1482"/>
      <c r="E79" s="1196">
        <v>0.5</v>
      </c>
      <c r="F79" s="1176">
        <v>17697</v>
      </c>
      <c r="G79" s="1197">
        <v>44774</v>
      </c>
      <c r="H79" s="1196">
        <v>20</v>
      </c>
      <c r="I79" s="1192">
        <f t="shared" si="50"/>
        <v>176970</v>
      </c>
      <c r="J79" s="1192">
        <f t="shared" si="34"/>
        <v>17697</v>
      </c>
      <c r="K79" s="1193"/>
      <c r="L79" s="1193"/>
      <c r="M79" s="1193"/>
      <c r="N79" s="1193"/>
      <c r="O79" s="1193"/>
      <c r="P79" s="1193"/>
      <c r="Q79" s="1194"/>
      <c r="R79" s="1194"/>
      <c r="S79" s="1133">
        <f t="shared" si="35"/>
        <v>17697</v>
      </c>
      <c r="T79" s="1133">
        <f t="shared" si="36"/>
        <v>194667</v>
      </c>
      <c r="U79" s="1133">
        <f t="shared" si="37"/>
        <v>19466.7</v>
      </c>
      <c r="V79" s="1133">
        <f t="shared" si="38"/>
        <v>11075.696</v>
      </c>
      <c r="W79" s="1133">
        <f t="shared" si="39"/>
        <v>3893.34</v>
      </c>
      <c r="X79" s="1133">
        <f t="shared" si="40"/>
        <v>160231.264</v>
      </c>
      <c r="Y79" s="1133">
        <f t="shared" si="41"/>
        <v>2336004</v>
      </c>
      <c r="Z79" s="1133">
        <f t="shared" si="42"/>
        <v>353940</v>
      </c>
      <c r="AA79" s="1133">
        <f t="shared" si="43"/>
        <v>2689944</v>
      </c>
      <c r="AB79" s="1133">
        <f t="shared" si="44"/>
        <v>94148.040000000008</v>
      </c>
      <c r="AC79" s="1133">
        <f t="shared" si="45"/>
        <v>140117.7672</v>
      </c>
      <c r="AD79" s="1133">
        <f t="shared" si="46"/>
        <v>121047.48000000001</v>
      </c>
      <c r="AE79" s="1133">
        <f t="shared" si="47"/>
        <v>80698.319999999992</v>
      </c>
      <c r="AF79" s="1133">
        <f t="shared" si="48"/>
        <v>3125955.6072</v>
      </c>
      <c r="AG79" s="1178" t="s">
        <v>3</v>
      </c>
    </row>
    <row r="80" spans="1:33" ht="31.5">
      <c r="A80" s="1175">
        <f t="shared" si="49"/>
        <v>58</v>
      </c>
      <c r="B80" s="1134" t="s">
        <v>456</v>
      </c>
      <c r="C80" s="1134" t="s">
        <v>457</v>
      </c>
      <c r="D80" s="1218">
        <v>1</v>
      </c>
      <c r="E80" s="1175">
        <v>1</v>
      </c>
      <c r="F80" s="1176">
        <v>17697</v>
      </c>
      <c r="G80" s="1148">
        <v>44287</v>
      </c>
      <c r="H80" s="1175">
        <v>14</v>
      </c>
      <c r="I80" s="1133">
        <f t="shared" si="50"/>
        <v>247758</v>
      </c>
      <c r="J80" s="1133">
        <f t="shared" si="34"/>
        <v>24775.800000000003</v>
      </c>
      <c r="K80" s="1128"/>
      <c r="L80" s="1128"/>
      <c r="M80" s="1128"/>
      <c r="N80" s="1128"/>
      <c r="O80" s="1128"/>
      <c r="P80" s="1128"/>
      <c r="Q80" s="1177"/>
      <c r="R80" s="1177"/>
      <c r="S80" s="1133">
        <f t="shared" si="35"/>
        <v>24775.800000000003</v>
      </c>
      <c r="T80" s="1133">
        <f t="shared" si="36"/>
        <v>272533.8</v>
      </c>
      <c r="U80" s="1133">
        <f t="shared" si="37"/>
        <v>27253.38</v>
      </c>
      <c r="V80" s="1133">
        <f t="shared" si="38"/>
        <v>17927.974399999999</v>
      </c>
      <c r="W80" s="1133">
        <f t="shared" si="39"/>
        <v>5450.6759999999995</v>
      </c>
      <c r="X80" s="1133">
        <f t="shared" si="40"/>
        <v>221901.76959999997</v>
      </c>
      <c r="Y80" s="1133">
        <f t="shared" si="41"/>
        <v>3270405.5999999996</v>
      </c>
      <c r="Z80" s="1133">
        <f t="shared" si="42"/>
        <v>495516</v>
      </c>
      <c r="AA80" s="1133">
        <f t="shared" si="43"/>
        <v>3765921.5999999996</v>
      </c>
      <c r="AB80" s="1133">
        <f t="shared" si="44"/>
        <v>131807.25599999999</v>
      </c>
      <c r="AC80" s="1133">
        <f t="shared" si="45"/>
        <v>196164.87407999998</v>
      </c>
      <c r="AD80" s="1133">
        <f t="shared" si="46"/>
        <v>169466.47200000001</v>
      </c>
      <c r="AE80" s="1133">
        <f t="shared" si="47"/>
        <v>112977.64799999999</v>
      </c>
      <c r="AF80" s="1133">
        <f t="shared" si="48"/>
        <v>4376337.8500799993</v>
      </c>
      <c r="AG80" s="1178" t="s">
        <v>3</v>
      </c>
    </row>
    <row r="81" spans="1:33" ht="31.5">
      <c r="A81" s="1175">
        <f t="shared" si="49"/>
        <v>59</v>
      </c>
      <c r="B81" s="1137" t="s">
        <v>16</v>
      </c>
      <c r="C81" s="1137" t="s">
        <v>460</v>
      </c>
      <c r="D81" s="1468">
        <v>4</v>
      </c>
      <c r="E81" s="1175">
        <v>1</v>
      </c>
      <c r="F81" s="1176">
        <v>17697</v>
      </c>
      <c r="G81" s="1129">
        <v>42293</v>
      </c>
      <c r="H81" s="1175">
        <v>25</v>
      </c>
      <c r="I81" s="1133">
        <f t="shared" si="50"/>
        <v>442425</v>
      </c>
      <c r="J81" s="1133">
        <f t="shared" si="34"/>
        <v>44242.5</v>
      </c>
      <c r="K81" s="1128"/>
      <c r="L81" s="1128"/>
      <c r="M81" s="1133"/>
      <c r="N81" s="1128"/>
      <c r="O81" s="1128"/>
      <c r="P81" s="1128"/>
      <c r="Q81" s="1177"/>
      <c r="R81" s="1177"/>
      <c r="S81" s="1133">
        <f t="shared" si="35"/>
        <v>44242.5</v>
      </c>
      <c r="T81" s="1133">
        <f t="shared" si="36"/>
        <v>486667.5</v>
      </c>
      <c r="U81" s="1133">
        <f t="shared" si="37"/>
        <v>48666.75</v>
      </c>
      <c r="V81" s="1133">
        <f t="shared" si="38"/>
        <v>36771.740000000005</v>
      </c>
      <c r="W81" s="1133">
        <f t="shared" si="39"/>
        <v>9733.35</v>
      </c>
      <c r="X81" s="1133">
        <f t="shared" si="40"/>
        <v>391495.66000000003</v>
      </c>
      <c r="Y81" s="1133">
        <f t="shared" si="41"/>
        <v>5840010</v>
      </c>
      <c r="Z81" s="1133">
        <f t="shared" si="42"/>
        <v>884850</v>
      </c>
      <c r="AA81" s="1133">
        <f t="shared" si="43"/>
        <v>6724860</v>
      </c>
      <c r="AB81" s="1133">
        <f t="shared" si="44"/>
        <v>235370.10000000003</v>
      </c>
      <c r="AC81" s="1133">
        <f t="shared" si="45"/>
        <v>350294.41800000001</v>
      </c>
      <c r="AD81" s="1133">
        <f t="shared" si="46"/>
        <v>302618.7</v>
      </c>
      <c r="AE81" s="1133">
        <f t="shared" si="47"/>
        <v>201745.8</v>
      </c>
      <c r="AF81" s="1133">
        <f t="shared" si="48"/>
        <v>7814889.0179999992</v>
      </c>
      <c r="AG81" s="1178" t="s">
        <v>3</v>
      </c>
    </row>
    <row r="82" spans="1:33">
      <c r="A82" s="1175">
        <f t="shared" si="49"/>
        <v>60</v>
      </c>
      <c r="B82" s="1134" t="s">
        <v>459</v>
      </c>
      <c r="C82" s="1219" t="s">
        <v>461</v>
      </c>
      <c r="D82" s="1468"/>
      <c r="E82" s="1175">
        <v>1</v>
      </c>
      <c r="F82" s="1176">
        <v>17697</v>
      </c>
      <c r="G82" s="1129">
        <v>44908</v>
      </c>
      <c r="H82" s="1175">
        <v>20</v>
      </c>
      <c r="I82" s="1133">
        <f t="shared" si="50"/>
        <v>353940</v>
      </c>
      <c r="J82" s="1133">
        <f t="shared" si="34"/>
        <v>35394</v>
      </c>
      <c r="K82" s="1128"/>
      <c r="L82" s="1128"/>
      <c r="M82" s="1133">
        <f>I82*30%</f>
        <v>106182</v>
      </c>
      <c r="N82" s="1128"/>
      <c r="O82" s="1128"/>
      <c r="P82" s="1128"/>
      <c r="Q82" s="1177"/>
      <c r="R82" s="1177"/>
      <c r="S82" s="1133">
        <f t="shared" si="35"/>
        <v>141576</v>
      </c>
      <c r="T82" s="1133">
        <f t="shared" si="36"/>
        <v>495516</v>
      </c>
      <c r="U82" s="1133">
        <f t="shared" si="37"/>
        <v>49551.600000000006</v>
      </c>
      <c r="V82" s="1133">
        <f t="shared" si="38"/>
        <v>37550.408000000003</v>
      </c>
      <c r="W82" s="1133">
        <f t="shared" si="39"/>
        <v>9910.32</v>
      </c>
      <c r="X82" s="1133">
        <f t="shared" si="40"/>
        <v>398503.67200000002</v>
      </c>
      <c r="Y82" s="1133">
        <f t="shared" si="41"/>
        <v>5946192</v>
      </c>
      <c r="Z82" s="1133">
        <f t="shared" si="42"/>
        <v>707880</v>
      </c>
      <c r="AA82" s="1133">
        <f t="shared" si="43"/>
        <v>6654072</v>
      </c>
      <c r="AB82" s="1133">
        <f t="shared" si="44"/>
        <v>232892.52000000002</v>
      </c>
      <c r="AC82" s="1133">
        <f t="shared" si="45"/>
        <v>346238.26560000004</v>
      </c>
      <c r="AD82" s="1133">
        <f t="shared" si="46"/>
        <v>299433.24</v>
      </c>
      <c r="AE82" s="1133">
        <f t="shared" si="47"/>
        <v>199622.16</v>
      </c>
      <c r="AF82" s="1133">
        <f t="shared" si="48"/>
        <v>7732258.1855999995</v>
      </c>
      <c r="AG82" s="1178" t="s">
        <v>3</v>
      </c>
    </row>
    <row r="83" spans="1:33" ht="34.5" customHeight="1">
      <c r="A83" s="1175">
        <f t="shared" si="49"/>
        <v>61</v>
      </c>
      <c r="B83" s="1134" t="s">
        <v>459</v>
      </c>
      <c r="C83" s="1219" t="s">
        <v>458</v>
      </c>
      <c r="D83" s="1468"/>
      <c r="E83" s="1175">
        <v>1</v>
      </c>
      <c r="F83" s="1176">
        <v>17697</v>
      </c>
      <c r="G83" s="1129">
        <v>45160</v>
      </c>
      <c r="H83" s="1175">
        <v>19</v>
      </c>
      <c r="I83" s="1133">
        <f t="shared" si="50"/>
        <v>336243</v>
      </c>
      <c r="J83" s="1133">
        <f t="shared" si="34"/>
        <v>33624.300000000003</v>
      </c>
      <c r="K83" s="1133">
        <f>10*4325</f>
        <v>43250</v>
      </c>
      <c r="L83" s="1128"/>
      <c r="M83" s="1133"/>
      <c r="N83" s="1128"/>
      <c r="O83" s="1128"/>
      <c r="P83" s="1128"/>
      <c r="Q83" s="1177"/>
      <c r="R83" s="1177"/>
      <c r="S83" s="1133">
        <f t="shared" si="35"/>
        <v>76874.3</v>
      </c>
      <c r="T83" s="1133">
        <f t="shared" si="36"/>
        <v>413117.3</v>
      </c>
      <c r="U83" s="1133">
        <f t="shared" si="37"/>
        <v>41311.730000000003</v>
      </c>
      <c r="V83" s="1133">
        <f t="shared" si="38"/>
        <v>30299.322400000001</v>
      </c>
      <c r="W83" s="1133">
        <f t="shared" si="39"/>
        <v>8262.3459999999995</v>
      </c>
      <c r="X83" s="1133">
        <f t="shared" si="40"/>
        <v>333243.90159999998</v>
      </c>
      <c r="Y83" s="1133">
        <f t="shared" si="41"/>
        <v>4957407.5999999996</v>
      </c>
      <c r="Z83" s="1133">
        <f t="shared" si="42"/>
        <v>672486</v>
      </c>
      <c r="AA83" s="1133">
        <f t="shared" si="43"/>
        <v>5629893.5999999996</v>
      </c>
      <c r="AB83" s="1133">
        <f t="shared" si="44"/>
        <v>197046.27600000001</v>
      </c>
      <c r="AC83" s="1133">
        <f t="shared" si="45"/>
        <v>293107.95767999999</v>
      </c>
      <c r="AD83" s="1133">
        <f t="shared" si="46"/>
        <v>253345.21200000003</v>
      </c>
      <c r="AE83" s="1133">
        <f t="shared" si="47"/>
        <v>168896.80799999999</v>
      </c>
      <c r="AF83" s="1133">
        <f t="shared" si="48"/>
        <v>6542289.8536799997</v>
      </c>
      <c r="AG83" s="1178" t="s">
        <v>3</v>
      </c>
    </row>
    <row r="84" spans="1:33" ht="31.5">
      <c r="A84" s="1175">
        <f t="shared" si="49"/>
        <v>62</v>
      </c>
      <c r="B84" s="1137" t="s">
        <v>459</v>
      </c>
      <c r="C84" s="1156" t="s">
        <v>462</v>
      </c>
      <c r="D84" s="1468"/>
      <c r="E84" s="1175">
        <v>1</v>
      </c>
      <c r="F84" s="1176">
        <v>17697</v>
      </c>
      <c r="G84" s="1129">
        <v>43773</v>
      </c>
      <c r="H84" s="1175">
        <v>25</v>
      </c>
      <c r="I84" s="1133">
        <f t="shared" si="50"/>
        <v>442425</v>
      </c>
      <c r="J84" s="1133">
        <f t="shared" si="34"/>
        <v>44242.5</v>
      </c>
      <c r="K84" s="1128"/>
      <c r="L84" s="1128"/>
      <c r="M84" s="1133">
        <f>I84*30%</f>
        <v>132727.5</v>
      </c>
      <c r="N84" s="1128"/>
      <c r="O84" s="1128"/>
      <c r="P84" s="1128"/>
      <c r="Q84" s="1177"/>
      <c r="R84" s="1177"/>
      <c r="S84" s="1133">
        <f t="shared" si="35"/>
        <v>176970</v>
      </c>
      <c r="T84" s="1133">
        <f t="shared" si="36"/>
        <v>619395</v>
      </c>
      <c r="U84" s="1133">
        <f t="shared" si="37"/>
        <v>61939.5</v>
      </c>
      <c r="V84" s="1133">
        <f t="shared" si="38"/>
        <v>48451.76</v>
      </c>
      <c r="W84" s="1133">
        <f t="shared" si="39"/>
        <v>12387.9</v>
      </c>
      <c r="X84" s="1133">
        <f t="shared" si="40"/>
        <v>496615.83999999997</v>
      </c>
      <c r="Y84" s="1133">
        <f t="shared" si="41"/>
        <v>7432740</v>
      </c>
      <c r="Z84" s="1133">
        <f t="shared" si="42"/>
        <v>884850</v>
      </c>
      <c r="AA84" s="1133">
        <f t="shared" si="43"/>
        <v>8317590</v>
      </c>
      <c r="AB84" s="1133">
        <f t="shared" si="44"/>
        <v>291115.65000000002</v>
      </c>
      <c r="AC84" s="1133">
        <f t="shared" si="45"/>
        <v>432797.83199999994</v>
      </c>
      <c r="AD84" s="1133">
        <f t="shared" si="46"/>
        <v>374291.55000000005</v>
      </c>
      <c r="AE84" s="1133">
        <f t="shared" si="47"/>
        <v>249527.69999999998</v>
      </c>
      <c r="AF84" s="1133">
        <f t="shared" si="48"/>
        <v>9665322.7320000008</v>
      </c>
      <c r="AG84" s="1178" t="s">
        <v>3</v>
      </c>
    </row>
    <row r="85" spans="1:33">
      <c r="A85" s="1175">
        <f t="shared" si="49"/>
        <v>63</v>
      </c>
      <c r="B85" s="1134" t="s">
        <v>463</v>
      </c>
      <c r="C85" s="1220" t="s">
        <v>464</v>
      </c>
      <c r="D85" s="1175">
        <v>1</v>
      </c>
      <c r="E85" s="1175">
        <v>1</v>
      </c>
      <c r="F85" s="1176">
        <v>17697</v>
      </c>
      <c r="G85" s="1129">
        <v>43064</v>
      </c>
      <c r="H85" s="1175">
        <v>22</v>
      </c>
      <c r="I85" s="1133">
        <f t="shared" si="50"/>
        <v>389334</v>
      </c>
      <c r="J85" s="1133">
        <f t="shared" si="34"/>
        <v>38933.4</v>
      </c>
      <c r="K85" s="1133">
        <f>10*4325</f>
        <v>43250</v>
      </c>
      <c r="L85" s="1128"/>
      <c r="M85" s="1133">
        <f>I85*30%</f>
        <v>116800.2</v>
      </c>
      <c r="N85" s="1128"/>
      <c r="O85" s="1128"/>
      <c r="P85" s="1128"/>
      <c r="Q85" s="1177"/>
      <c r="R85" s="1177"/>
      <c r="S85" s="1133">
        <f t="shared" si="35"/>
        <v>198983.59999999998</v>
      </c>
      <c r="T85" s="1133">
        <f t="shared" si="36"/>
        <v>588317.6</v>
      </c>
      <c r="U85" s="1133">
        <f t="shared" si="37"/>
        <v>58831.76</v>
      </c>
      <c r="V85" s="1133">
        <f t="shared" si="38"/>
        <v>45716.948799999998</v>
      </c>
      <c r="W85" s="1133">
        <f t="shared" si="39"/>
        <v>11766.351999999999</v>
      </c>
      <c r="X85" s="1133">
        <f t="shared" si="40"/>
        <v>472002.53919999994</v>
      </c>
      <c r="Y85" s="1133">
        <f t="shared" si="41"/>
        <v>7059811.1999999993</v>
      </c>
      <c r="Z85" s="1133">
        <f t="shared" si="42"/>
        <v>778668</v>
      </c>
      <c r="AA85" s="1133">
        <f t="shared" si="43"/>
        <v>7838479.1999999993</v>
      </c>
      <c r="AB85" s="1133">
        <f t="shared" si="44"/>
        <v>274346.772</v>
      </c>
      <c r="AC85" s="1133">
        <f t="shared" si="45"/>
        <v>407746.29215999984</v>
      </c>
      <c r="AD85" s="1133">
        <f t="shared" si="46"/>
        <v>352731.56400000001</v>
      </c>
      <c r="AE85" s="1133">
        <f t="shared" si="47"/>
        <v>235154.37599999996</v>
      </c>
      <c r="AF85" s="1133">
        <f t="shared" si="48"/>
        <v>9108458.2041599993</v>
      </c>
      <c r="AG85" s="1178" t="s">
        <v>3</v>
      </c>
    </row>
    <row r="86" spans="1:33" ht="31.5">
      <c r="A86" s="1175">
        <f t="shared" si="49"/>
        <v>64</v>
      </c>
      <c r="B86" s="1134" t="s">
        <v>49</v>
      </c>
      <c r="C86" s="1134" t="s">
        <v>465</v>
      </c>
      <c r="D86" s="1175">
        <v>1</v>
      </c>
      <c r="E86" s="1175">
        <v>1</v>
      </c>
      <c r="F86" s="1176">
        <v>17697</v>
      </c>
      <c r="G86" s="1129">
        <v>42661</v>
      </c>
      <c r="H86" s="1136">
        <v>20</v>
      </c>
      <c r="I86" s="1133">
        <f t="shared" si="50"/>
        <v>353940</v>
      </c>
      <c r="J86" s="1133">
        <f t="shared" si="34"/>
        <v>35394</v>
      </c>
      <c r="K86" s="1128"/>
      <c r="L86" s="1128"/>
      <c r="M86" s="1128"/>
      <c r="N86" s="1128"/>
      <c r="O86" s="1128"/>
      <c r="P86" s="1133">
        <f>17697*30%</f>
        <v>5309.0999999999995</v>
      </c>
      <c r="Q86" s="1177"/>
      <c r="R86" s="1177"/>
      <c r="S86" s="1133">
        <f t="shared" si="35"/>
        <v>40703.1</v>
      </c>
      <c r="T86" s="1133">
        <f t="shared" si="36"/>
        <v>394643.1</v>
      </c>
      <c r="U86" s="1133">
        <f t="shared" si="37"/>
        <v>39464.31</v>
      </c>
      <c r="V86" s="1133">
        <f t="shared" si="38"/>
        <v>28673.592799999999</v>
      </c>
      <c r="W86" s="1133">
        <f t="shared" si="39"/>
        <v>7892.8620000000001</v>
      </c>
      <c r="X86" s="1133">
        <f t="shared" si="40"/>
        <v>318612.33519999997</v>
      </c>
      <c r="Y86" s="1133">
        <f t="shared" si="41"/>
        <v>4735717.1999999993</v>
      </c>
      <c r="Z86" s="1133">
        <f t="shared" si="42"/>
        <v>707880</v>
      </c>
      <c r="AA86" s="1133">
        <f t="shared" si="43"/>
        <v>5443597.1999999993</v>
      </c>
      <c r="AB86" s="1133">
        <f t="shared" si="44"/>
        <v>190525.902</v>
      </c>
      <c r="AC86" s="1133">
        <f t="shared" si="45"/>
        <v>283535.67096000002</v>
      </c>
      <c r="AD86" s="1133">
        <f t="shared" si="46"/>
        <v>244961.87399999998</v>
      </c>
      <c r="AE86" s="1133">
        <f t="shared" si="47"/>
        <v>163307.91599999997</v>
      </c>
      <c r="AF86" s="1133">
        <f t="shared" si="48"/>
        <v>6325928.5629599988</v>
      </c>
      <c r="AG86" s="1178" t="s">
        <v>3</v>
      </c>
    </row>
    <row r="87" spans="1:33">
      <c r="A87" s="1175">
        <f t="shared" si="49"/>
        <v>65</v>
      </c>
      <c r="B87" s="1134" t="s">
        <v>17</v>
      </c>
      <c r="C87" s="1221" t="s">
        <v>466</v>
      </c>
      <c r="D87" s="1468">
        <v>2</v>
      </c>
      <c r="E87" s="1175">
        <v>1</v>
      </c>
      <c r="F87" s="1176">
        <v>17697</v>
      </c>
      <c r="G87" s="1129">
        <v>34736</v>
      </c>
      <c r="H87" s="1136">
        <v>16</v>
      </c>
      <c r="I87" s="1133">
        <f t="shared" si="50"/>
        <v>283152</v>
      </c>
      <c r="J87" s="1133">
        <f t="shared" si="34"/>
        <v>28315.200000000001</v>
      </c>
      <c r="K87" s="1128"/>
      <c r="L87" s="1128"/>
      <c r="M87" s="1128"/>
      <c r="N87" s="1128"/>
      <c r="O87" s="1128"/>
      <c r="P87" s="1133">
        <f>17697*30%</f>
        <v>5309.0999999999995</v>
      </c>
      <c r="Q87" s="1177"/>
      <c r="R87" s="1177"/>
      <c r="S87" s="1133">
        <f t="shared" si="35"/>
        <v>33624.300000000003</v>
      </c>
      <c r="T87" s="1133">
        <f t="shared" si="36"/>
        <v>316776.3</v>
      </c>
      <c r="U87" s="1133">
        <f t="shared" si="37"/>
        <v>31677.63</v>
      </c>
      <c r="V87" s="1133">
        <f t="shared" si="38"/>
        <v>21821.314399999999</v>
      </c>
      <c r="W87" s="1133">
        <f t="shared" si="39"/>
        <v>6335.5259999999998</v>
      </c>
      <c r="X87" s="1133">
        <f t="shared" si="40"/>
        <v>256941.8296</v>
      </c>
      <c r="Y87" s="1133">
        <f t="shared" si="41"/>
        <v>3801315.5999999996</v>
      </c>
      <c r="Z87" s="1133">
        <f t="shared" si="42"/>
        <v>566304</v>
      </c>
      <c r="AA87" s="1133">
        <f t="shared" si="43"/>
        <v>4367619.5999999996</v>
      </c>
      <c r="AB87" s="1133">
        <f t="shared" si="44"/>
        <v>152866.68599999999</v>
      </c>
      <c r="AC87" s="1133">
        <f t="shared" si="45"/>
        <v>227488.56407999998</v>
      </c>
      <c r="AD87" s="1133">
        <f t="shared" si="46"/>
        <v>196542.88199999998</v>
      </c>
      <c r="AE87" s="1133">
        <f t="shared" si="47"/>
        <v>131028.58799999999</v>
      </c>
      <c r="AF87" s="1133">
        <f t="shared" si="48"/>
        <v>5075546.32008</v>
      </c>
      <c r="AG87" s="1178" t="s">
        <v>3</v>
      </c>
    </row>
    <row r="88" spans="1:33">
      <c r="A88" s="1175">
        <f t="shared" si="49"/>
        <v>66</v>
      </c>
      <c r="B88" s="1134" t="s">
        <v>17</v>
      </c>
      <c r="C88" s="1221" t="s">
        <v>467</v>
      </c>
      <c r="D88" s="1468"/>
      <c r="E88" s="1175">
        <v>1</v>
      </c>
      <c r="F88" s="1176">
        <v>17697</v>
      </c>
      <c r="G88" s="1129">
        <v>44536</v>
      </c>
      <c r="H88" s="1136">
        <v>16</v>
      </c>
      <c r="I88" s="1133">
        <f t="shared" si="50"/>
        <v>283152</v>
      </c>
      <c r="J88" s="1133">
        <f t="shared" si="34"/>
        <v>28315.200000000001</v>
      </c>
      <c r="K88" s="1128"/>
      <c r="L88" s="1128"/>
      <c r="M88" s="1128"/>
      <c r="N88" s="1128"/>
      <c r="O88" s="1128"/>
      <c r="P88" s="1133">
        <f>17697*30%</f>
        <v>5309.0999999999995</v>
      </c>
      <c r="Q88" s="1177"/>
      <c r="R88" s="1177"/>
      <c r="S88" s="1133">
        <f t="shared" si="35"/>
        <v>33624.300000000003</v>
      </c>
      <c r="T88" s="1133">
        <f t="shared" si="36"/>
        <v>316776.3</v>
      </c>
      <c r="U88" s="1133">
        <f t="shared" si="37"/>
        <v>31677.63</v>
      </c>
      <c r="V88" s="1133">
        <f t="shared" si="38"/>
        <v>21821.314399999999</v>
      </c>
      <c r="W88" s="1133">
        <f t="shared" si="39"/>
        <v>6335.5259999999998</v>
      </c>
      <c r="X88" s="1133">
        <f t="shared" si="40"/>
        <v>256941.8296</v>
      </c>
      <c r="Y88" s="1133">
        <f t="shared" si="41"/>
        <v>3801315.5999999996</v>
      </c>
      <c r="Z88" s="1133">
        <f t="shared" si="42"/>
        <v>566304</v>
      </c>
      <c r="AA88" s="1133">
        <f t="shared" si="43"/>
        <v>4367619.5999999996</v>
      </c>
      <c r="AB88" s="1133">
        <f t="shared" si="44"/>
        <v>152866.68599999999</v>
      </c>
      <c r="AC88" s="1133">
        <f t="shared" si="45"/>
        <v>227488.56407999998</v>
      </c>
      <c r="AD88" s="1133">
        <f t="shared" si="46"/>
        <v>196542.88199999998</v>
      </c>
      <c r="AE88" s="1133">
        <f t="shared" si="47"/>
        <v>131028.58799999999</v>
      </c>
      <c r="AF88" s="1133">
        <f t="shared" si="48"/>
        <v>5075546.32008</v>
      </c>
      <c r="AG88" s="1178" t="s">
        <v>3</v>
      </c>
    </row>
    <row r="89" spans="1:33">
      <c r="A89" s="1175">
        <f t="shared" si="49"/>
        <v>67</v>
      </c>
      <c r="B89" s="1191" t="s">
        <v>51</v>
      </c>
      <c r="C89" s="1221" t="s">
        <v>923</v>
      </c>
      <c r="D89" s="1481">
        <v>1</v>
      </c>
      <c r="E89" s="1196">
        <v>0.5</v>
      </c>
      <c r="F89" s="1176">
        <v>17697</v>
      </c>
      <c r="G89" s="1198">
        <v>45903</v>
      </c>
      <c r="H89" s="1136">
        <v>11</v>
      </c>
      <c r="I89" s="1192">
        <f t="shared" si="50"/>
        <v>97333.5</v>
      </c>
      <c r="J89" s="1192">
        <f t="shared" si="34"/>
        <v>9733.35</v>
      </c>
      <c r="K89" s="1193"/>
      <c r="L89" s="1193"/>
      <c r="M89" s="1193"/>
      <c r="N89" s="1193"/>
      <c r="O89" s="1193"/>
      <c r="P89" s="1192"/>
      <c r="Q89" s="1194"/>
      <c r="R89" s="1194"/>
      <c r="S89" s="1133">
        <f t="shared" si="35"/>
        <v>9733.35</v>
      </c>
      <c r="T89" s="1133">
        <f t="shared" si="36"/>
        <v>107066.85</v>
      </c>
      <c r="U89" s="1133">
        <f t="shared" si="37"/>
        <v>10706.685000000001</v>
      </c>
      <c r="V89" s="1133">
        <f t="shared" si="38"/>
        <v>3366.8828000000012</v>
      </c>
      <c r="W89" s="1133">
        <f t="shared" si="39"/>
        <v>2141.337</v>
      </c>
      <c r="X89" s="1133">
        <f t="shared" si="40"/>
        <v>90851.945200000002</v>
      </c>
      <c r="Y89" s="1133">
        <f t="shared" si="41"/>
        <v>1284802.2000000002</v>
      </c>
      <c r="Z89" s="1133">
        <f t="shared" si="42"/>
        <v>194667</v>
      </c>
      <c r="AA89" s="1133">
        <f t="shared" si="43"/>
        <v>1479469.2000000002</v>
      </c>
      <c r="AB89" s="1133">
        <f t="shared" si="44"/>
        <v>51781.422000000013</v>
      </c>
      <c r="AC89" s="1133">
        <f t="shared" si="45"/>
        <v>77064.771960000027</v>
      </c>
      <c r="AD89" s="1133">
        <f t="shared" si="46"/>
        <v>66576.114000000016</v>
      </c>
      <c r="AE89" s="1133">
        <f t="shared" si="47"/>
        <v>44384.076000000001</v>
      </c>
      <c r="AF89" s="1133">
        <f t="shared" si="48"/>
        <v>1719275.5839600002</v>
      </c>
      <c r="AG89" s="1178" t="s">
        <v>3</v>
      </c>
    </row>
    <row r="90" spans="1:33" s="1189" customFormat="1">
      <c r="A90" s="1179">
        <f t="shared" si="49"/>
        <v>68</v>
      </c>
      <c r="B90" s="1199" t="s">
        <v>51</v>
      </c>
      <c r="C90" s="1222" t="s">
        <v>905</v>
      </c>
      <c r="D90" s="1483"/>
      <c r="E90" s="1179"/>
      <c r="F90" s="1182">
        <v>17697</v>
      </c>
      <c r="G90" s="1201"/>
      <c r="H90" s="1202">
        <v>25</v>
      </c>
      <c r="I90" s="1203">
        <f>0.5*17697*H90</f>
        <v>221212.5</v>
      </c>
      <c r="J90" s="1203">
        <f t="shared" si="34"/>
        <v>22121.25</v>
      </c>
      <c r="K90" s="1185">
        <f>10*4325</f>
        <v>43250</v>
      </c>
      <c r="L90" s="1204"/>
      <c r="M90" s="1204"/>
      <c r="N90" s="1204"/>
      <c r="O90" s="1204"/>
      <c r="P90" s="1204"/>
      <c r="Q90" s="1205"/>
      <c r="R90" s="1205"/>
      <c r="S90" s="1185">
        <f t="shared" si="35"/>
        <v>65371.25</v>
      </c>
      <c r="T90" s="1185">
        <f t="shared" si="36"/>
        <v>286583.75</v>
      </c>
      <c r="U90" s="1185">
        <f t="shared" si="37"/>
        <v>28658.375</v>
      </c>
      <c r="V90" s="1185">
        <f t="shared" si="38"/>
        <v>19164.370000000003</v>
      </c>
      <c r="W90" s="1185">
        <f t="shared" si="39"/>
        <v>5731.6750000000002</v>
      </c>
      <c r="X90" s="1185">
        <f t="shared" si="40"/>
        <v>233029.33000000002</v>
      </c>
      <c r="Y90" s="1185">
        <f t="shared" si="41"/>
        <v>3439005</v>
      </c>
      <c r="Z90" s="1185">
        <f t="shared" si="42"/>
        <v>442425</v>
      </c>
      <c r="AA90" s="1185">
        <f t="shared" si="43"/>
        <v>3881430</v>
      </c>
      <c r="AB90" s="1185">
        <f t="shared" si="44"/>
        <v>135850.05000000002</v>
      </c>
      <c r="AC90" s="1185">
        <f t="shared" si="45"/>
        <v>202031.40900000001</v>
      </c>
      <c r="AD90" s="1185">
        <f t="shared" si="46"/>
        <v>174664.35</v>
      </c>
      <c r="AE90" s="1185">
        <f t="shared" si="47"/>
        <v>116442.9</v>
      </c>
      <c r="AF90" s="1185">
        <f t="shared" si="48"/>
        <v>4510418.7089999998</v>
      </c>
      <c r="AG90" s="1188" t="s">
        <v>3</v>
      </c>
    </row>
    <row r="91" spans="1:33">
      <c r="A91" s="1175">
        <f t="shared" si="49"/>
        <v>69</v>
      </c>
      <c r="B91" s="1134" t="s">
        <v>18</v>
      </c>
      <c r="C91" s="1221" t="s">
        <v>468</v>
      </c>
      <c r="D91" s="1196">
        <v>1</v>
      </c>
      <c r="E91" s="1196">
        <v>1</v>
      </c>
      <c r="F91" s="1176">
        <v>17697</v>
      </c>
      <c r="G91" s="1198">
        <v>40702</v>
      </c>
      <c r="H91" s="1196">
        <v>24</v>
      </c>
      <c r="I91" s="1192">
        <f t="shared" si="50"/>
        <v>424728</v>
      </c>
      <c r="J91" s="1192">
        <f t="shared" si="34"/>
        <v>42472.800000000003</v>
      </c>
      <c r="K91" s="1193"/>
      <c r="L91" s="1193"/>
      <c r="M91" s="1193"/>
      <c r="N91" s="1193"/>
      <c r="O91" s="1193"/>
      <c r="P91" s="1193"/>
      <c r="Q91" s="1194"/>
      <c r="R91" s="1194"/>
      <c r="S91" s="1133">
        <f t="shared" si="35"/>
        <v>42472.800000000003</v>
      </c>
      <c r="T91" s="1133">
        <f t="shared" si="36"/>
        <v>467200.8</v>
      </c>
      <c r="U91" s="1133">
        <f t="shared" si="37"/>
        <v>46720.08</v>
      </c>
      <c r="V91" s="1133">
        <f t="shared" si="38"/>
        <v>35058.670399999995</v>
      </c>
      <c r="W91" s="1133">
        <f t="shared" si="39"/>
        <v>9344.0159999999996</v>
      </c>
      <c r="X91" s="1133">
        <f t="shared" si="40"/>
        <v>376078.03359999997</v>
      </c>
      <c r="Y91" s="1133">
        <f t="shared" si="41"/>
        <v>5606409.5999999996</v>
      </c>
      <c r="Z91" s="1133">
        <f t="shared" si="42"/>
        <v>849456</v>
      </c>
      <c r="AA91" s="1133">
        <f t="shared" si="43"/>
        <v>6455865.5999999996</v>
      </c>
      <c r="AB91" s="1133">
        <f t="shared" si="44"/>
        <v>225955.296</v>
      </c>
      <c r="AC91" s="1133">
        <f t="shared" si="45"/>
        <v>336282.64128000004</v>
      </c>
      <c r="AD91" s="1133">
        <f t="shared" si="46"/>
        <v>290513.95199999999</v>
      </c>
      <c r="AE91" s="1133">
        <f t="shared" si="47"/>
        <v>193675.96799999999</v>
      </c>
      <c r="AF91" s="1133">
        <f t="shared" si="48"/>
        <v>7502293.4572799997</v>
      </c>
      <c r="AG91" s="1178" t="s">
        <v>3</v>
      </c>
    </row>
    <row r="92" spans="1:33" ht="31.5">
      <c r="A92" s="1175">
        <f t="shared" si="49"/>
        <v>70</v>
      </c>
      <c r="B92" s="1191" t="s">
        <v>469</v>
      </c>
      <c r="C92" s="1223" t="s">
        <v>470</v>
      </c>
      <c r="D92" s="1196">
        <v>1</v>
      </c>
      <c r="E92" s="1196">
        <v>1</v>
      </c>
      <c r="F92" s="1176">
        <v>17697</v>
      </c>
      <c r="G92" s="1198">
        <v>44998</v>
      </c>
      <c r="H92" s="1224">
        <v>18</v>
      </c>
      <c r="I92" s="1192">
        <f t="shared" si="50"/>
        <v>318546</v>
      </c>
      <c r="J92" s="1192">
        <f t="shared" si="34"/>
        <v>31854.600000000002</v>
      </c>
      <c r="K92" s="1193"/>
      <c r="L92" s="1193"/>
      <c r="M92" s="1193"/>
      <c r="N92" s="1193"/>
      <c r="O92" s="1193"/>
      <c r="P92" s="1193"/>
      <c r="Q92" s="1194"/>
      <c r="R92" s="1194"/>
      <c r="S92" s="1133">
        <f t="shared" si="35"/>
        <v>31854.600000000002</v>
      </c>
      <c r="T92" s="1133">
        <f t="shared" si="36"/>
        <v>350400.6</v>
      </c>
      <c r="U92" s="1133">
        <f t="shared" si="37"/>
        <v>35040.06</v>
      </c>
      <c r="V92" s="1133">
        <f t="shared" si="38"/>
        <v>24780.252800000002</v>
      </c>
      <c r="W92" s="1133">
        <f t="shared" si="39"/>
        <v>7008.0119999999997</v>
      </c>
      <c r="X92" s="1133">
        <f t="shared" si="40"/>
        <v>283572.27519999997</v>
      </c>
      <c r="Y92" s="1133">
        <f t="shared" si="41"/>
        <v>4204807.1999999993</v>
      </c>
      <c r="Z92" s="1133">
        <f t="shared" si="42"/>
        <v>637092</v>
      </c>
      <c r="AA92" s="1133">
        <f t="shared" si="43"/>
        <v>4841899.1999999993</v>
      </c>
      <c r="AB92" s="1133">
        <f t="shared" si="44"/>
        <v>169466.47199999998</v>
      </c>
      <c r="AC92" s="1133">
        <f t="shared" si="45"/>
        <v>252211.9809599999</v>
      </c>
      <c r="AD92" s="1133">
        <f t="shared" si="46"/>
        <v>217885.46399999998</v>
      </c>
      <c r="AE92" s="1133">
        <f t="shared" si="47"/>
        <v>145256.97599999997</v>
      </c>
      <c r="AF92" s="1133">
        <f t="shared" si="48"/>
        <v>5626720.0929599991</v>
      </c>
      <c r="AG92" s="1178" t="s">
        <v>3</v>
      </c>
    </row>
    <row r="93" spans="1:33" ht="31.5">
      <c r="A93" s="1175">
        <f t="shared" si="49"/>
        <v>71</v>
      </c>
      <c r="B93" s="1134" t="s">
        <v>471</v>
      </c>
      <c r="C93" s="1134" t="s">
        <v>472</v>
      </c>
      <c r="D93" s="1480">
        <v>2</v>
      </c>
      <c r="E93" s="1196">
        <v>1</v>
      </c>
      <c r="F93" s="1176">
        <v>17697</v>
      </c>
      <c r="G93" s="1198">
        <v>43077</v>
      </c>
      <c r="H93" s="1136">
        <v>24</v>
      </c>
      <c r="I93" s="1192">
        <f t="shared" si="50"/>
        <v>424728</v>
      </c>
      <c r="J93" s="1192">
        <f t="shared" si="34"/>
        <v>42472.800000000003</v>
      </c>
      <c r="K93" s="1193"/>
      <c r="L93" s="1193"/>
      <c r="M93" s="1193"/>
      <c r="N93" s="1193"/>
      <c r="O93" s="1193"/>
      <c r="P93" s="1193"/>
      <c r="Q93" s="1194"/>
      <c r="R93" s="1194"/>
      <c r="S93" s="1133">
        <f t="shared" si="35"/>
        <v>42472.800000000003</v>
      </c>
      <c r="T93" s="1133">
        <f t="shared" si="36"/>
        <v>467200.8</v>
      </c>
      <c r="U93" s="1133">
        <f t="shared" si="37"/>
        <v>46720.08</v>
      </c>
      <c r="V93" s="1133">
        <f t="shared" si="38"/>
        <v>35058.670399999995</v>
      </c>
      <c r="W93" s="1133">
        <f t="shared" si="39"/>
        <v>9344.0159999999996</v>
      </c>
      <c r="X93" s="1133">
        <f t="shared" si="40"/>
        <v>376078.03359999997</v>
      </c>
      <c r="Y93" s="1133">
        <f t="shared" si="41"/>
        <v>5606409.5999999996</v>
      </c>
      <c r="Z93" s="1133">
        <f t="shared" si="42"/>
        <v>849456</v>
      </c>
      <c r="AA93" s="1133">
        <f t="shared" si="43"/>
        <v>6455865.5999999996</v>
      </c>
      <c r="AB93" s="1133">
        <f t="shared" si="44"/>
        <v>225955.296</v>
      </c>
      <c r="AC93" s="1133">
        <f t="shared" si="45"/>
        <v>336282.64128000004</v>
      </c>
      <c r="AD93" s="1133">
        <f t="shared" si="46"/>
        <v>290513.95199999999</v>
      </c>
      <c r="AE93" s="1133">
        <f t="shared" si="47"/>
        <v>193675.96799999999</v>
      </c>
      <c r="AF93" s="1133">
        <f t="shared" si="48"/>
        <v>7502293.4572799997</v>
      </c>
      <c r="AG93" s="1178" t="s">
        <v>3</v>
      </c>
    </row>
    <row r="94" spans="1:33" s="1189" customFormat="1" ht="31.5">
      <c r="A94" s="1179">
        <f t="shared" si="49"/>
        <v>72</v>
      </c>
      <c r="B94" s="1199" t="s">
        <v>471</v>
      </c>
      <c r="C94" s="1222" t="s">
        <v>931</v>
      </c>
      <c r="D94" s="1480"/>
      <c r="E94" s="1179"/>
      <c r="F94" s="1182">
        <v>17697</v>
      </c>
      <c r="G94" s="1201"/>
      <c r="H94" s="1225">
        <v>25</v>
      </c>
      <c r="I94" s="1203">
        <f>17697*H94</f>
        <v>442425</v>
      </c>
      <c r="J94" s="1203">
        <f t="shared" si="34"/>
        <v>44242.5</v>
      </c>
      <c r="K94" s="1185"/>
      <c r="L94" s="1204"/>
      <c r="M94" s="1204"/>
      <c r="N94" s="1204"/>
      <c r="O94" s="1204"/>
      <c r="P94" s="1204"/>
      <c r="Q94" s="1205"/>
      <c r="R94" s="1205"/>
      <c r="S94" s="1185">
        <f t="shared" si="35"/>
        <v>44242.5</v>
      </c>
      <c r="T94" s="1185">
        <f t="shared" si="36"/>
        <v>486667.5</v>
      </c>
      <c r="U94" s="1185">
        <f t="shared" si="37"/>
        <v>48666.75</v>
      </c>
      <c r="V94" s="1185">
        <f t="shared" si="38"/>
        <v>36771.740000000005</v>
      </c>
      <c r="W94" s="1185">
        <f t="shared" si="39"/>
        <v>9733.35</v>
      </c>
      <c r="X94" s="1185">
        <f t="shared" si="40"/>
        <v>391495.66000000003</v>
      </c>
      <c r="Y94" s="1185">
        <f t="shared" si="41"/>
        <v>5840010</v>
      </c>
      <c r="Z94" s="1185">
        <f t="shared" si="42"/>
        <v>884850</v>
      </c>
      <c r="AA94" s="1185">
        <f t="shared" si="43"/>
        <v>6724860</v>
      </c>
      <c r="AB94" s="1185">
        <f>AA94*3.5%+2000000</f>
        <v>2235370.1</v>
      </c>
      <c r="AC94" s="1185">
        <f>(AA94*0.9-(W94*12))*11%-AD94+5000000</f>
        <v>5350294.4179999996</v>
      </c>
      <c r="AD94" s="1185">
        <f t="shared" si="46"/>
        <v>302618.7</v>
      </c>
      <c r="AE94" s="1185">
        <f t="shared" si="47"/>
        <v>201745.8</v>
      </c>
      <c r="AF94" s="1185">
        <f t="shared" si="48"/>
        <v>14814889.017999999</v>
      </c>
      <c r="AG94" s="1188" t="s">
        <v>3</v>
      </c>
    </row>
    <row r="95" spans="1:33">
      <c r="A95" s="1175">
        <f t="shared" si="49"/>
        <v>73</v>
      </c>
      <c r="B95" s="1134" t="s">
        <v>473</v>
      </c>
      <c r="C95" s="1214" t="s">
        <v>552</v>
      </c>
      <c r="D95" s="1482">
        <v>8</v>
      </c>
      <c r="E95" s="1226">
        <v>1</v>
      </c>
      <c r="F95" s="1176">
        <v>17697</v>
      </c>
      <c r="G95" s="1198">
        <v>45183</v>
      </c>
      <c r="H95" s="1224">
        <v>15</v>
      </c>
      <c r="I95" s="1192">
        <f t="shared" si="50"/>
        <v>265455</v>
      </c>
      <c r="J95" s="1192">
        <f t="shared" si="34"/>
        <v>26545.5</v>
      </c>
      <c r="K95" s="1193"/>
      <c r="L95" s="1193"/>
      <c r="M95" s="1193"/>
      <c r="N95" s="1193"/>
      <c r="O95" s="1193"/>
      <c r="P95" s="1193"/>
      <c r="Q95" s="1194"/>
      <c r="R95" s="1194"/>
      <c r="S95" s="1133">
        <f t="shared" si="35"/>
        <v>26545.5</v>
      </c>
      <c r="T95" s="1133">
        <f t="shared" si="36"/>
        <v>292000.5</v>
      </c>
      <c r="U95" s="1133">
        <f t="shared" si="37"/>
        <v>29200.050000000003</v>
      </c>
      <c r="V95" s="1133">
        <f t="shared" si="38"/>
        <v>19641.044000000002</v>
      </c>
      <c r="W95" s="1133">
        <f t="shared" si="39"/>
        <v>5840.01</v>
      </c>
      <c r="X95" s="1133">
        <f t="shared" si="40"/>
        <v>237319.39600000001</v>
      </c>
      <c r="Y95" s="1133">
        <f t="shared" si="41"/>
        <v>3504006</v>
      </c>
      <c r="Z95" s="1133">
        <f t="shared" si="42"/>
        <v>530910</v>
      </c>
      <c r="AA95" s="1133">
        <f t="shared" si="43"/>
        <v>4034916</v>
      </c>
      <c r="AB95" s="1133">
        <f t="shared" si="44"/>
        <v>141222.06000000003</v>
      </c>
      <c r="AC95" s="1133">
        <f t="shared" si="45"/>
        <v>210176.65079999997</v>
      </c>
      <c r="AD95" s="1133">
        <f t="shared" si="46"/>
        <v>181571.22</v>
      </c>
      <c r="AE95" s="1133">
        <f t="shared" si="47"/>
        <v>121047.48</v>
      </c>
      <c r="AF95" s="1133">
        <f t="shared" si="48"/>
        <v>4688933.4107999997</v>
      </c>
      <c r="AG95" s="1178" t="s">
        <v>3</v>
      </c>
    </row>
    <row r="96" spans="1:33">
      <c r="A96" s="1175">
        <f t="shared" si="49"/>
        <v>74</v>
      </c>
      <c r="B96" s="1134" t="s">
        <v>473</v>
      </c>
      <c r="C96" s="1134" t="s">
        <v>924</v>
      </c>
      <c r="D96" s="1482"/>
      <c r="E96" s="1227">
        <v>0.75</v>
      </c>
      <c r="F96" s="1176">
        <v>17697</v>
      </c>
      <c r="G96" s="1198">
        <v>44890</v>
      </c>
      <c r="H96" s="1136">
        <v>24</v>
      </c>
      <c r="I96" s="1192">
        <f t="shared" si="50"/>
        <v>318546</v>
      </c>
      <c r="J96" s="1192">
        <f t="shared" si="34"/>
        <v>31854.600000000002</v>
      </c>
      <c r="K96" s="1193"/>
      <c r="L96" s="1193"/>
      <c r="M96" s="1193"/>
      <c r="N96" s="1193"/>
      <c r="O96" s="1193"/>
      <c r="P96" s="1193"/>
      <c r="Q96" s="1194"/>
      <c r="R96" s="1194"/>
      <c r="S96" s="1133">
        <f t="shared" si="35"/>
        <v>31854.600000000002</v>
      </c>
      <c r="T96" s="1133">
        <f t="shared" si="36"/>
        <v>350400.6</v>
      </c>
      <c r="U96" s="1133">
        <f t="shared" si="37"/>
        <v>35040.06</v>
      </c>
      <c r="V96" s="1133">
        <f t="shared" si="38"/>
        <v>24780.252800000002</v>
      </c>
      <c r="W96" s="1133">
        <f t="shared" si="39"/>
        <v>7008.0119999999997</v>
      </c>
      <c r="X96" s="1133">
        <f t="shared" si="40"/>
        <v>283572.27519999997</v>
      </c>
      <c r="Y96" s="1133">
        <f t="shared" si="41"/>
        <v>4204807.1999999993</v>
      </c>
      <c r="Z96" s="1133">
        <f t="shared" si="42"/>
        <v>637092</v>
      </c>
      <c r="AA96" s="1133">
        <f t="shared" si="43"/>
        <v>4841899.1999999993</v>
      </c>
      <c r="AB96" s="1133">
        <f t="shared" si="44"/>
        <v>169466.47199999998</v>
      </c>
      <c r="AC96" s="1133">
        <f t="shared" si="45"/>
        <v>252211.9809599999</v>
      </c>
      <c r="AD96" s="1133">
        <f t="shared" si="46"/>
        <v>217885.46399999998</v>
      </c>
      <c r="AE96" s="1133">
        <f t="shared" si="47"/>
        <v>145256.97599999997</v>
      </c>
      <c r="AF96" s="1133">
        <f t="shared" si="48"/>
        <v>5626720.0929599991</v>
      </c>
      <c r="AG96" s="1178" t="s">
        <v>3</v>
      </c>
    </row>
    <row r="97" spans="1:33">
      <c r="A97" s="1175">
        <f t="shared" si="49"/>
        <v>75</v>
      </c>
      <c r="B97" s="1134" t="s">
        <v>473</v>
      </c>
      <c r="C97" s="1134" t="s">
        <v>925</v>
      </c>
      <c r="D97" s="1482"/>
      <c r="E97" s="1228">
        <v>0.5</v>
      </c>
      <c r="F97" s="1176">
        <v>17697</v>
      </c>
      <c r="G97" s="1198">
        <v>45562</v>
      </c>
      <c r="H97" s="1136">
        <v>12</v>
      </c>
      <c r="I97" s="1192">
        <f t="shared" si="50"/>
        <v>106182</v>
      </c>
      <c r="J97" s="1192">
        <f t="shared" si="34"/>
        <v>10618.2</v>
      </c>
      <c r="K97" s="1193"/>
      <c r="L97" s="1193"/>
      <c r="M97" s="1193"/>
      <c r="N97" s="1193"/>
      <c r="O97" s="1193"/>
      <c r="P97" s="1193"/>
      <c r="Q97" s="1194"/>
      <c r="R97" s="1194"/>
      <c r="S97" s="1133">
        <f t="shared" si="35"/>
        <v>10618.2</v>
      </c>
      <c r="T97" s="1133">
        <f t="shared" si="36"/>
        <v>116800.2</v>
      </c>
      <c r="U97" s="1133">
        <f t="shared" si="37"/>
        <v>11680.02</v>
      </c>
      <c r="V97" s="1133">
        <f t="shared" si="38"/>
        <v>4223.4175999999998</v>
      </c>
      <c r="W97" s="1133">
        <f t="shared" si="39"/>
        <v>2336.0039999999999</v>
      </c>
      <c r="X97" s="1133">
        <f t="shared" si="40"/>
        <v>98560.758399999992</v>
      </c>
      <c r="Y97" s="1133">
        <f t="shared" si="41"/>
        <v>1401602.4</v>
      </c>
      <c r="Z97" s="1133">
        <f t="shared" si="42"/>
        <v>212364</v>
      </c>
      <c r="AA97" s="1133">
        <f t="shared" si="43"/>
        <v>1613966.4</v>
      </c>
      <c r="AB97" s="1133">
        <f t="shared" si="44"/>
        <v>56488.824000000001</v>
      </c>
      <c r="AC97" s="1133">
        <f t="shared" si="45"/>
        <v>84070.66032000001</v>
      </c>
      <c r="AD97" s="1133">
        <f t="shared" si="46"/>
        <v>72628.487999999998</v>
      </c>
      <c r="AE97" s="1133">
        <f t="shared" si="47"/>
        <v>48418.991999999998</v>
      </c>
      <c r="AF97" s="1133">
        <f t="shared" si="48"/>
        <v>1875573.3643199999</v>
      </c>
      <c r="AG97" s="1178" t="s">
        <v>3</v>
      </c>
    </row>
    <row r="98" spans="1:33" ht="20.25" customHeight="1">
      <c r="A98" s="1175">
        <f t="shared" si="49"/>
        <v>76</v>
      </c>
      <c r="B98" s="1134" t="s">
        <v>473</v>
      </c>
      <c r="C98" s="1229" t="s">
        <v>926</v>
      </c>
      <c r="D98" s="1482"/>
      <c r="E98" s="1226">
        <v>1</v>
      </c>
      <c r="F98" s="1176">
        <v>17697</v>
      </c>
      <c r="G98" s="1198">
        <v>45537</v>
      </c>
      <c r="H98" s="1136">
        <v>15</v>
      </c>
      <c r="I98" s="1192">
        <f t="shared" si="50"/>
        <v>265455</v>
      </c>
      <c r="J98" s="1192">
        <f t="shared" si="34"/>
        <v>26545.5</v>
      </c>
      <c r="K98" s="1193"/>
      <c r="L98" s="1193"/>
      <c r="M98" s="1193"/>
      <c r="N98" s="1193"/>
      <c r="O98" s="1193"/>
      <c r="P98" s="1193"/>
      <c r="Q98" s="1194"/>
      <c r="R98" s="1194"/>
      <c r="S98" s="1133">
        <f t="shared" si="35"/>
        <v>26545.5</v>
      </c>
      <c r="T98" s="1133">
        <f t="shared" si="36"/>
        <v>292000.5</v>
      </c>
      <c r="U98" s="1133">
        <f t="shared" si="37"/>
        <v>29200.050000000003</v>
      </c>
      <c r="V98" s="1133">
        <f t="shared" si="38"/>
        <v>19641.044000000002</v>
      </c>
      <c r="W98" s="1133">
        <f t="shared" si="39"/>
        <v>5840.01</v>
      </c>
      <c r="X98" s="1133">
        <f t="shared" si="40"/>
        <v>237319.39600000001</v>
      </c>
      <c r="Y98" s="1133">
        <f t="shared" si="41"/>
        <v>3504006</v>
      </c>
      <c r="Z98" s="1133">
        <f t="shared" si="42"/>
        <v>530910</v>
      </c>
      <c r="AA98" s="1133">
        <f t="shared" si="43"/>
        <v>4034916</v>
      </c>
      <c r="AB98" s="1133">
        <f t="shared" si="44"/>
        <v>141222.06000000003</v>
      </c>
      <c r="AC98" s="1133">
        <f t="shared" si="45"/>
        <v>210176.65079999997</v>
      </c>
      <c r="AD98" s="1133">
        <f t="shared" si="46"/>
        <v>181571.22</v>
      </c>
      <c r="AE98" s="1133">
        <f t="shared" si="47"/>
        <v>121047.48</v>
      </c>
      <c r="AF98" s="1133">
        <f t="shared" si="48"/>
        <v>4688933.4107999997</v>
      </c>
      <c r="AG98" s="1178" t="s">
        <v>3</v>
      </c>
    </row>
    <row r="99" spans="1:33" ht="33" customHeight="1">
      <c r="A99" s="1175">
        <f t="shared" si="49"/>
        <v>77</v>
      </c>
      <c r="B99" s="1134" t="s">
        <v>473</v>
      </c>
      <c r="C99" s="1229" t="s">
        <v>927</v>
      </c>
      <c r="D99" s="1482"/>
      <c r="E99" s="1227">
        <v>0.75</v>
      </c>
      <c r="F99" s="1176">
        <v>17697</v>
      </c>
      <c r="G99" s="1198">
        <v>45902</v>
      </c>
      <c r="H99" s="1136">
        <v>20</v>
      </c>
      <c r="I99" s="1192">
        <f t="shared" si="50"/>
        <v>265455</v>
      </c>
      <c r="J99" s="1192">
        <f t="shared" si="34"/>
        <v>26545.5</v>
      </c>
      <c r="K99" s="1193"/>
      <c r="L99" s="1193"/>
      <c r="M99" s="1193"/>
      <c r="N99" s="1193"/>
      <c r="O99" s="1193"/>
      <c r="P99" s="1193"/>
      <c r="Q99" s="1194"/>
      <c r="R99" s="1194"/>
      <c r="S99" s="1133">
        <f t="shared" si="35"/>
        <v>26545.5</v>
      </c>
      <c r="T99" s="1133">
        <f t="shared" si="36"/>
        <v>292000.5</v>
      </c>
      <c r="U99" s="1133">
        <f t="shared" si="37"/>
        <v>29200.050000000003</v>
      </c>
      <c r="V99" s="1133">
        <f t="shared" si="38"/>
        <v>19641.044000000002</v>
      </c>
      <c r="W99" s="1133">
        <f t="shared" si="39"/>
        <v>5840.01</v>
      </c>
      <c r="X99" s="1133">
        <f t="shared" si="40"/>
        <v>237319.39600000001</v>
      </c>
      <c r="Y99" s="1133">
        <f t="shared" si="41"/>
        <v>3504006</v>
      </c>
      <c r="Z99" s="1133">
        <f t="shared" si="42"/>
        <v>530910</v>
      </c>
      <c r="AA99" s="1133">
        <f t="shared" si="43"/>
        <v>4034916</v>
      </c>
      <c r="AB99" s="1133">
        <f t="shared" si="44"/>
        <v>141222.06000000003</v>
      </c>
      <c r="AC99" s="1133">
        <f t="shared" si="45"/>
        <v>210176.65079999997</v>
      </c>
      <c r="AD99" s="1133">
        <f t="shared" si="46"/>
        <v>181571.22</v>
      </c>
      <c r="AE99" s="1133">
        <f t="shared" si="47"/>
        <v>121047.48</v>
      </c>
      <c r="AF99" s="1133">
        <f t="shared" si="48"/>
        <v>4688933.4107999997</v>
      </c>
      <c r="AG99" s="1178" t="s">
        <v>3</v>
      </c>
    </row>
    <row r="100" spans="1:33" ht="31.5">
      <c r="A100" s="1175">
        <f t="shared" si="49"/>
        <v>78</v>
      </c>
      <c r="B100" s="1134" t="s">
        <v>473</v>
      </c>
      <c r="C100" s="1230" t="s">
        <v>928</v>
      </c>
      <c r="D100" s="1482"/>
      <c r="E100" s="1227">
        <v>0.75</v>
      </c>
      <c r="F100" s="1176">
        <v>17697</v>
      </c>
      <c r="G100" s="1231">
        <v>45902</v>
      </c>
      <c r="H100" s="1136">
        <v>24</v>
      </c>
      <c r="I100" s="1192">
        <f t="shared" si="50"/>
        <v>318546</v>
      </c>
      <c r="J100" s="1192">
        <f t="shared" si="34"/>
        <v>31854.600000000002</v>
      </c>
      <c r="K100" s="1193"/>
      <c r="L100" s="1193"/>
      <c r="M100" s="1193"/>
      <c r="N100" s="1193"/>
      <c r="O100" s="1193"/>
      <c r="P100" s="1193"/>
      <c r="Q100" s="1194"/>
      <c r="R100" s="1194"/>
      <c r="S100" s="1133">
        <f t="shared" si="35"/>
        <v>31854.600000000002</v>
      </c>
      <c r="T100" s="1133">
        <f t="shared" si="36"/>
        <v>350400.6</v>
      </c>
      <c r="U100" s="1133">
        <f t="shared" si="37"/>
        <v>35040.06</v>
      </c>
      <c r="V100" s="1133">
        <f t="shared" si="38"/>
        <v>24780.252800000002</v>
      </c>
      <c r="W100" s="1133">
        <f t="shared" si="39"/>
        <v>7008.0119999999997</v>
      </c>
      <c r="X100" s="1133">
        <f t="shared" si="40"/>
        <v>283572.27519999997</v>
      </c>
      <c r="Y100" s="1133">
        <f t="shared" si="41"/>
        <v>4204807.1999999993</v>
      </c>
      <c r="Z100" s="1133">
        <f t="shared" si="42"/>
        <v>637092</v>
      </c>
      <c r="AA100" s="1133">
        <f t="shared" si="43"/>
        <v>4841899.1999999993</v>
      </c>
      <c r="AB100" s="1133">
        <f t="shared" si="44"/>
        <v>169466.47199999998</v>
      </c>
      <c r="AC100" s="1133">
        <f t="shared" si="45"/>
        <v>252211.9809599999</v>
      </c>
      <c r="AD100" s="1133">
        <f t="shared" si="46"/>
        <v>217885.46399999998</v>
      </c>
      <c r="AE100" s="1133">
        <f t="shared" si="47"/>
        <v>145256.97599999997</v>
      </c>
      <c r="AF100" s="1133">
        <f t="shared" si="48"/>
        <v>5626720.0929599991</v>
      </c>
      <c r="AG100" s="1178" t="s">
        <v>3</v>
      </c>
    </row>
    <row r="101" spans="1:33">
      <c r="A101" s="1175">
        <f t="shared" si="49"/>
        <v>79</v>
      </c>
      <c r="B101" s="1134" t="s">
        <v>473</v>
      </c>
      <c r="C101" s="1229" t="s">
        <v>551</v>
      </c>
      <c r="D101" s="1482"/>
      <c r="E101" s="1232">
        <v>1</v>
      </c>
      <c r="F101" s="1176">
        <v>17697</v>
      </c>
      <c r="G101" s="1231">
        <v>45902</v>
      </c>
      <c r="H101" s="1136">
        <v>21</v>
      </c>
      <c r="I101" s="1192">
        <f t="shared" si="50"/>
        <v>371637</v>
      </c>
      <c r="J101" s="1192">
        <f t="shared" si="34"/>
        <v>37163.700000000004</v>
      </c>
      <c r="K101" s="1193"/>
      <c r="L101" s="1193"/>
      <c r="M101" s="1193"/>
      <c r="N101" s="1193"/>
      <c r="O101" s="1193"/>
      <c r="P101" s="1193"/>
      <c r="Q101" s="1194"/>
      <c r="R101" s="1194"/>
      <c r="S101" s="1133">
        <f t="shared" si="35"/>
        <v>37163.700000000004</v>
      </c>
      <c r="T101" s="1133">
        <f t="shared" si="36"/>
        <v>408800.7</v>
      </c>
      <c r="U101" s="1133">
        <f t="shared" si="37"/>
        <v>40880.070000000007</v>
      </c>
      <c r="V101" s="1133">
        <f t="shared" si="38"/>
        <v>29919.461599999999</v>
      </c>
      <c r="W101" s="1133">
        <f t="shared" si="39"/>
        <v>8176.0140000000001</v>
      </c>
      <c r="X101" s="1133">
        <f t="shared" si="40"/>
        <v>329825.1544</v>
      </c>
      <c r="Y101" s="1133">
        <f t="shared" si="41"/>
        <v>4905608.4000000004</v>
      </c>
      <c r="Z101" s="1133">
        <f t="shared" si="42"/>
        <v>743274</v>
      </c>
      <c r="AA101" s="1133">
        <f t="shared" si="43"/>
        <v>5648882.4000000004</v>
      </c>
      <c r="AB101" s="1133">
        <f t="shared" si="44"/>
        <v>197710.88400000002</v>
      </c>
      <c r="AC101" s="1133">
        <f t="shared" si="45"/>
        <v>294247.31112000009</v>
      </c>
      <c r="AD101" s="1133">
        <f t="shared" si="46"/>
        <v>254199.70800000001</v>
      </c>
      <c r="AE101" s="1133">
        <f t="shared" si="47"/>
        <v>169466.47200000001</v>
      </c>
      <c r="AF101" s="1133">
        <f t="shared" si="48"/>
        <v>6564506.7751199994</v>
      </c>
      <c r="AG101" s="1178" t="s">
        <v>3</v>
      </c>
    </row>
    <row r="102" spans="1:33" ht="31.5">
      <c r="A102" s="1175">
        <f t="shared" si="49"/>
        <v>80</v>
      </c>
      <c r="B102" s="1134" t="s">
        <v>473</v>
      </c>
      <c r="C102" s="1134" t="s">
        <v>929</v>
      </c>
      <c r="D102" s="1482"/>
      <c r="E102" s="1233">
        <v>0.5</v>
      </c>
      <c r="F102" s="1176">
        <v>17697</v>
      </c>
      <c r="G102" s="1231">
        <v>45901</v>
      </c>
      <c r="H102" s="1136">
        <v>20</v>
      </c>
      <c r="I102" s="1192">
        <f t="shared" si="50"/>
        <v>176970</v>
      </c>
      <c r="J102" s="1192">
        <f t="shared" si="34"/>
        <v>17697</v>
      </c>
      <c r="K102" s="1193"/>
      <c r="L102" s="1193"/>
      <c r="M102" s="1193"/>
      <c r="N102" s="1193"/>
      <c r="O102" s="1193"/>
      <c r="P102" s="1193"/>
      <c r="Q102" s="1194"/>
      <c r="R102" s="1194"/>
      <c r="S102" s="1133">
        <f t="shared" si="35"/>
        <v>17697</v>
      </c>
      <c r="T102" s="1133">
        <f t="shared" si="36"/>
        <v>194667</v>
      </c>
      <c r="U102" s="1133">
        <f t="shared" si="37"/>
        <v>19466.7</v>
      </c>
      <c r="V102" s="1133">
        <f t="shared" si="38"/>
        <v>11075.696</v>
      </c>
      <c r="W102" s="1133">
        <f t="shared" si="39"/>
        <v>3893.34</v>
      </c>
      <c r="X102" s="1133">
        <f t="shared" si="40"/>
        <v>160231.264</v>
      </c>
      <c r="Y102" s="1133">
        <f t="shared" si="41"/>
        <v>2336004</v>
      </c>
      <c r="Z102" s="1133">
        <f t="shared" si="42"/>
        <v>353940</v>
      </c>
      <c r="AA102" s="1133">
        <f t="shared" si="43"/>
        <v>2689944</v>
      </c>
      <c r="AB102" s="1133">
        <f t="shared" si="44"/>
        <v>94148.040000000008</v>
      </c>
      <c r="AC102" s="1133">
        <f t="shared" si="45"/>
        <v>140117.7672</v>
      </c>
      <c r="AD102" s="1133">
        <f t="shared" si="46"/>
        <v>121047.48000000001</v>
      </c>
      <c r="AE102" s="1133">
        <f t="shared" si="47"/>
        <v>80698.319999999992</v>
      </c>
      <c r="AF102" s="1133">
        <f t="shared" si="48"/>
        <v>3125955.6072</v>
      </c>
      <c r="AG102" s="1178" t="s">
        <v>3</v>
      </c>
    </row>
    <row r="103" spans="1:33" s="1189" customFormat="1" ht="24" customHeight="1">
      <c r="A103" s="1179">
        <f t="shared" si="49"/>
        <v>81</v>
      </c>
      <c r="B103" s="1234" t="s">
        <v>473</v>
      </c>
      <c r="C103" s="1235" t="s">
        <v>2458</v>
      </c>
      <c r="D103" s="1483"/>
      <c r="E103" s="1209"/>
      <c r="F103" s="1182">
        <v>17697</v>
      </c>
      <c r="G103" s="1236"/>
      <c r="H103" s="1210">
        <v>25</v>
      </c>
      <c r="I103" s="1211">
        <f>1.75*17697*H103</f>
        <v>774243.75</v>
      </c>
      <c r="J103" s="1211">
        <f t="shared" si="34"/>
        <v>77424.375</v>
      </c>
      <c r="K103" s="1212"/>
      <c r="L103" s="1212"/>
      <c r="M103" s="1212"/>
      <c r="N103" s="1212"/>
      <c r="O103" s="1212"/>
      <c r="P103" s="1212"/>
      <c r="Q103" s="1213"/>
      <c r="R103" s="1213"/>
      <c r="S103" s="1185">
        <f t="shared" si="35"/>
        <v>77424.375</v>
      </c>
      <c r="T103" s="1185">
        <f t="shared" si="36"/>
        <v>851668.125</v>
      </c>
      <c r="U103" s="1185">
        <f t="shared" si="37"/>
        <v>85166.8125</v>
      </c>
      <c r="V103" s="1185">
        <f t="shared" si="38"/>
        <v>68891.794999999998</v>
      </c>
      <c r="W103" s="1185">
        <f t="shared" si="39"/>
        <v>17033.362499999999</v>
      </c>
      <c r="X103" s="1185">
        <f t="shared" si="40"/>
        <v>680576.15499999991</v>
      </c>
      <c r="Y103" s="1185">
        <f t="shared" si="41"/>
        <v>10220017.5</v>
      </c>
      <c r="Z103" s="1185">
        <f t="shared" si="42"/>
        <v>1548487.5</v>
      </c>
      <c r="AA103" s="1185">
        <f t="shared" si="43"/>
        <v>11768505</v>
      </c>
      <c r="AB103" s="1185">
        <f>AA103*3.5%+2000000</f>
        <v>2411897.6749999998</v>
      </c>
      <c r="AC103" s="1185">
        <f>(AA103*0.9-(W103*12))*11%-AD103+5000000</f>
        <v>5613015.2314999998</v>
      </c>
      <c r="AD103" s="1185">
        <f t="shared" si="46"/>
        <v>529582.72499999998</v>
      </c>
      <c r="AE103" s="1185">
        <f t="shared" si="47"/>
        <v>353055.14999999997</v>
      </c>
      <c r="AF103" s="1185">
        <f t="shared" si="48"/>
        <v>20676055.781500001</v>
      </c>
      <c r="AG103" s="1188" t="s">
        <v>3</v>
      </c>
    </row>
    <row r="104" spans="1:33" ht="20.25" customHeight="1">
      <c r="A104" s="1168"/>
      <c r="B104" s="1169" t="s">
        <v>2459</v>
      </c>
      <c r="C104" s="1170"/>
      <c r="D104" s="1171">
        <f>SUM(D42:D103)</f>
        <v>52</v>
      </c>
      <c r="E104" s="1171">
        <f>SUM(E42:E103)</f>
        <v>41.75</v>
      </c>
      <c r="F104" s="1237"/>
      <c r="G104" s="1237"/>
      <c r="H104" s="1237"/>
      <c r="I104" s="1173">
        <f t="shared" ref="I104:AF104" si="51">SUM(I42:I103)</f>
        <v>23629919.25</v>
      </c>
      <c r="J104" s="1173">
        <f t="shared" si="51"/>
        <v>2362991.9250000007</v>
      </c>
      <c r="K104" s="1173">
        <f t="shared" si="51"/>
        <v>129750</v>
      </c>
      <c r="L104" s="1173">
        <f t="shared" si="51"/>
        <v>0</v>
      </c>
      <c r="M104" s="1173">
        <f t="shared" si="51"/>
        <v>355709.7</v>
      </c>
      <c r="N104" s="1173">
        <f t="shared" si="51"/>
        <v>0</v>
      </c>
      <c r="O104" s="1173">
        <f t="shared" si="51"/>
        <v>0</v>
      </c>
      <c r="P104" s="1173">
        <f t="shared" si="51"/>
        <v>15927.3</v>
      </c>
      <c r="Q104" s="1173">
        <f t="shared" si="51"/>
        <v>0</v>
      </c>
      <c r="R104" s="1173">
        <f t="shared" si="51"/>
        <v>0</v>
      </c>
      <c r="S104" s="1173">
        <f t="shared" si="51"/>
        <v>2864378.9249999998</v>
      </c>
      <c r="T104" s="1173">
        <f t="shared" si="51"/>
        <v>26494298.175000016</v>
      </c>
      <c r="U104" s="1173">
        <f t="shared" si="51"/>
        <v>2649429.8174999985</v>
      </c>
      <c r="V104" s="1173">
        <f t="shared" si="51"/>
        <v>1956088.2393999994</v>
      </c>
      <c r="W104" s="1173">
        <f t="shared" si="51"/>
        <v>529885.96350000019</v>
      </c>
      <c r="X104" s="1173">
        <f t="shared" si="51"/>
        <v>21358894.154600002</v>
      </c>
      <c r="Y104" s="1173">
        <f t="shared" si="51"/>
        <v>317931578.0999999</v>
      </c>
      <c r="Z104" s="1173">
        <f t="shared" si="51"/>
        <v>47259838.5</v>
      </c>
      <c r="AA104" s="1173">
        <f t="shared" si="51"/>
        <v>365191416.60000002</v>
      </c>
      <c r="AB104" s="1173">
        <f t="shared" si="51"/>
        <v>16781699.581</v>
      </c>
      <c r="AC104" s="1173">
        <f t="shared" si="51"/>
        <v>47573035.274579987</v>
      </c>
      <c r="AD104" s="1173">
        <f t="shared" si="51"/>
        <v>16433613.747000001</v>
      </c>
      <c r="AE104" s="1173">
        <f t="shared" si="51"/>
        <v>10955742.498000003</v>
      </c>
      <c r="AF104" s="1173">
        <f t="shared" si="51"/>
        <v>456935507.70057976</v>
      </c>
      <c r="AG104" s="1173"/>
    </row>
    <row r="105" spans="1:33" ht="20.25" customHeight="1">
      <c r="A105" s="1476" t="s">
        <v>474</v>
      </c>
      <c r="B105" s="1485"/>
      <c r="C105" s="1485"/>
      <c r="D105" s="1485"/>
      <c r="E105" s="1485"/>
      <c r="F105" s="1485"/>
      <c r="G105" s="1485"/>
      <c r="H105" s="1485"/>
      <c r="I105" s="1485"/>
      <c r="J105" s="1485"/>
      <c r="K105" s="1485"/>
      <c r="L105" s="1485"/>
      <c r="M105" s="1485"/>
      <c r="N105" s="1485"/>
      <c r="O105" s="1485"/>
      <c r="P105" s="1485"/>
      <c r="Q105" s="1485"/>
      <c r="R105" s="1485"/>
      <c r="S105" s="1485"/>
      <c r="T105" s="1485"/>
      <c r="U105" s="1485"/>
      <c r="V105" s="1485"/>
      <c r="W105" s="1485"/>
      <c r="X105" s="1485"/>
      <c r="Y105" s="1485"/>
      <c r="Z105" s="1485"/>
      <c r="AA105" s="1485"/>
      <c r="AB105" s="1485"/>
      <c r="AC105" s="1485"/>
      <c r="AD105" s="1485"/>
      <c r="AE105" s="1485"/>
      <c r="AF105" s="1485"/>
      <c r="AG105" s="1485"/>
    </row>
    <row r="106" spans="1:33">
      <c r="A106" s="1175">
        <f>A103+1</f>
        <v>82</v>
      </c>
      <c r="B106" s="1238" t="s">
        <v>475</v>
      </c>
      <c r="C106" s="1239" t="s">
        <v>476</v>
      </c>
      <c r="D106" s="1175">
        <v>1</v>
      </c>
      <c r="E106" s="1175">
        <v>1</v>
      </c>
      <c r="F106" s="1128"/>
      <c r="G106" s="1129">
        <v>44797</v>
      </c>
      <c r="H106" s="1175">
        <v>21</v>
      </c>
      <c r="I106" s="1133">
        <f>E106*17697*H106</f>
        <v>371637</v>
      </c>
      <c r="J106" s="1133">
        <f>I106*10%</f>
        <v>37163.700000000004</v>
      </c>
      <c r="K106" s="1128"/>
      <c r="L106" s="1128"/>
      <c r="M106" s="1128"/>
      <c r="N106" s="1128"/>
      <c r="O106" s="1128"/>
      <c r="P106" s="1128"/>
      <c r="Q106" s="1177"/>
      <c r="R106" s="1177"/>
      <c r="S106" s="1133">
        <f t="shared" ref="S106:S108" si="52">SUM(J106:R106)</f>
        <v>37163.700000000004</v>
      </c>
      <c r="T106" s="1133">
        <f t="shared" ref="T106:T108" si="53">I106+S106</f>
        <v>408800.7</v>
      </c>
      <c r="U106" s="1133">
        <f t="shared" ref="U106:U108" si="54">T106*10%</f>
        <v>40880.070000000007</v>
      </c>
      <c r="V106" s="1133">
        <f t="shared" ref="V106:V108" si="55">((T106-U106-W106)-(14*4325))*10%</f>
        <v>29919.461599999999</v>
      </c>
      <c r="W106" s="1133">
        <f t="shared" ref="W106:W108" si="56">T106*2%</f>
        <v>8176.0140000000001</v>
      </c>
      <c r="X106" s="1133">
        <f t="shared" ref="X106:X108" si="57">T106-U106-V106-W106</f>
        <v>329825.1544</v>
      </c>
      <c r="Y106" s="1133">
        <f t="shared" ref="Y106:Y108" si="58">T106*12</f>
        <v>4905608.4000000004</v>
      </c>
      <c r="Z106" s="1133">
        <f t="shared" ref="Z106:Z108" si="59">I106*2</f>
        <v>743274</v>
      </c>
      <c r="AA106" s="1133">
        <f t="shared" ref="AA106:AA108" si="60">Y106+Z106</f>
        <v>5648882.4000000004</v>
      </c>
      <c r="AB106" s="1133">
        <f t="shared" ref="AB106:AB108" si="61">AA106*3.5%</f>
        <v>197710.88400000002</v>
      </c>
      <c r="AC106" s="1133">
        <f t="shared" ref="AC106" si="62">(AA106*0.9-(W106*12))*11%-AD106</f>
        <v>294247.31112000009</v>
      </c>
      <c r="AD106" s="1133">
        <f t="shared" ref="AD106:AD108" si="63">AA106*0.9*5%</f>
        <v>254199.70800000001</v>
      </c>
      <c r="AE106" s="1133">
        <f t="shared" ref="AE106:AE108" si="64">AA106*3%</f>
        <v>169466.47200000001</v>
      </c>
      <c r="AF106" s="1133">
        <f t="shared" ref="AF106:AF108" si="65">AA106+AC106+AD106+AE106+AB106</f>
        <v>6564506.7751199994</v>
      </c>
      <c r="AG106" s="1133" t="s">
        <v>3</v>
      </c>
    </row>
    <row r="107" spans="1:33" s="1189" customFormat="1" ht="15.75" customHeight="1">
      <c r="A107" s="1179">
        <f>A106+1</f>
        <v>83</v>
      </c>
      <c r="B107" s="1240" t="s">
        <v>19</v>
      </c>
      <c r="C107" s="1235" t="s">
        <v>931</v>
      </c>
      <c r="D107" s="1179">
        <v>1</v>
      </c>
      <c r="E107" s="1179"/>
      <c r="F107" s="1186"/>
      <c r="G107" s="1201">
        <v>45699</v>
      </c>
      <c r="H107" s="1202">
        <v>25</v>
      </c>
      <c r="I107" s="1185">
        <f>17697*H107</f>
        <v>442425</v>
      </c>
      <c r="J107" s="1185">
        <f>I107*10%</f>
        <v>44242.5</v>
      </c>
      <c r="K107" s="1186"/>
      <c r="L107" s="1186"/>
      <c r="M107" s="1186"/>
      <c r="N107" s="1186"/>
      <c r="O107" s="1186"/>
      <c r="P107" s="1186"/>
      <c r="Q107" s="1187"/>
      <c r="R107" s="1187"/>
      <c r="S107" s="1185">
        <f t="shared" si="52"/>
        <v>44242.5</v>
      </c>
      <c r="T107" s="1185">
        <f t="shared" si="53"/>
        <v>486667.5</v>
      </c>
      <c r="U107" s="1185">
        <f t="shared" si="54"/>
        <v>48666.75</v>
      </c>
      <c r="V107" s="1185">
        <f t="shared" si="55"/>
        <v>36771.740000000005</v>
      </c>
      <c r="W107" s="1185">
        <f t="shared" si="56"/>
        <v>9733.35</v>
      </c>
      <c r="X107" s="1185">
        <f t="shared" si="57"/>
        <v>391495.66000000003</v>
      </c>
      <c r="Y107" s="1185">
        <f t="shared" si="58"/>
        <v>5840010</v>
      </c>
      <c r="Z107" s="1185">
        <f t="shared" si="59"/>
        <v>884850</v>
      </c>
      <c r="AA107" s="1185">
        <f t="shared" si="60"/>
        <v>6724860</v>
      </c>
      <c r="AB107" s="1185">
        <f t="shared" si="61"/>
        <v>235370.10000000003</v>
      </c>
      <c r="AC107" s="1185">
        <f>(AA107*0.9-(W107*12))*11%-AD107+6667589.35</f>
        <v>7017883.7679999992</v>
      </c>
      <c r="AD107" s="1185">
        <f t="shared" si="63"/>
        <v>302618.7</v>
      </c>
      <c r="AE107" s="1185">
        <f t="shared" si="64"/>
        <v>201745.8</v>
      </c>
      <c r="AF107" s="1185">
        <f t="shared" si="65"/>
        <v>14482478.367999999</v>
      </c>
      <c r="AG107" s="1185" t="s">
        <v>3</v>
      </c>
    </row>
    <row r="108" spans="1:33">
      <c r="A108" s="1175">
        <f>A107+1</f>
        <v>84</v>
      </c>
      <c r="B108" s="1241" t="s">
        <v>478</v>
      </c>
      <c r="C108" s="1242" t="s">
        <v>479</v>
      </c>
      <c r="D108" s="1175">
        <v>1</v>
      </c>
      <c r="E108" s="1175">
        <v>1</v>
      </c>
      <c r="F108" s="1128"/>
      <c r="G108" s="1129">
        <v>44151</v>
      </c>
      <c r="H108" s="1175">
        <v>16</v>
      </c>
      <c r="I108" s="1133">
        <f>E108*17697*H108</f>
        <v>283152</v>
      </c>
      <c r="J108" s="1133">
        <f>I108*10%</f>
        <v>28315.200000000001</v>
      </c>
      <c r="K108" s="1128"/>
      <c r="L108" s="1128"/>
      <c r="M108" s="1128"/>
      <c r="N108" s="1128"/>
      <c r="O108" s="1128"/>
      <c r="P108" s="1128"/>
      <c r="Q108" s="1177"/>
      <c r="R108" s="1177"/>
      <c r="S108" s="1133">
        <f t="shared" si="52"/>
        <v>28315.200000000001</v>
      </c>
      <c r="T108" s="1133">
        <f t="shared" si="53"/>
        <v>311467.2</v>
      </c>
      <c r="U108" s="1133">
        <f t="shared" si="54"/>
        <v>31146.720000000001</v>
      </c>
      <c r="V108" s="1133">
        <f t="shared" si="55"/>
        <v>21354.113600000001</v>
      </c>
      <c r="W108" s="1133">
        <f t="shared" si="56"/>
        <v>6229.3440000000001</v>
      </c>
      <c r="X108" s="1133">
        <f t="shared" si="57"/>
        <v>252737.02239999996</v>
      </c>
      <c r="Y108" s="1133">
        <f t="shared" si="58"/>
        <v>3737606.4000000004</v>
      </c>
      <c r="Z108" s="1133">
        <f t="shared" si="59"/>
        <v>566304</v>
      </c>
      <c r="AA108" s="1133">
        <f t="shared" si="60"/>
        <v>4303910.4000000004</v>
      </c>
      <c r="AB108" s="1133">
        <f t="shared" si="61"/>
        <v>150636.86400000003</v>
      </c>
      <c r="AC108" s="1133">
        <f t="shared" ref="AC108" si="66">(AA108*0.9-(W108*12))*11%-AD108</f>
        <v>224188.42752</v>
      </c>
      <c r="AD108" s="1133">
        <f t="shared" si="63"/>
        <v>193675.96800000002</v>
      </c>
      <c r="AE108" s="1133">
        <f t="shared" si="64"/>
        <v>129117.31200000001</v>
      </c>
      <c r="AF108" s="1133">
        <f t="shared" si="65"/>
        <v>5001528.9715200011</v>
      </c>
      <c r="AG108" s="1133" t="s">
        <v>3</v>
      </c>
    </row>
    <row r="109" spans="1:33" ht="24" customHeight="1">
      <c r="A109" s="1168"/>
      <c r="B109" s="1169" t="s">
        <v>831</v>
      </c>
      <c r="C109" s="1243"/>
      <c r="D109" s="1171">
        <f>SUM(D106:D108)</f>
        <v>3</v>
      </c>
      <c r="E109" s="1171">
        <f>SUM(E106:E108)</f>
        <v>2</v>
      </c>
      <c r="F109" s="1168"/>
      <c r="G109" s="1168"/>
      <c r="H109" s="1168"/>
      <c r="I109" s="1173">
        <f>SUM(I106:I108)</f>
        <v>1097214</v>
      </c>
      <c r="J109" s="1173">
        <f>SUM(J106:J108)</f>
        <v>109721.40000000001</v>
      </c>
      <c r="K109" s="1173">
        <f>SUM(K106:K108)</f>
        <v>0</v>
      </c>
      <c r="L109" s="1173">
        <f t="shared" ref="L109:AF109" si="67">SUM(L106:L108)</f>
        <v>0</v>
      </c>
      <c r="M109" s="1173">
        <f t="shared" si="67"/>
        <v>0</v>
      </c>
      <c r="N109" s="1173">
        <f t="shared" si="67"/>
        <v>0</v>
      </c>
      <c r="O109" s="1173">
        <f t="shared" si="67"/>
        <v>0</v>
      </c>
      <c r="P109" s="1173">
        <f t="shared" si="67"/>
        <v>0</v>
      </c>
      <c r="Q109" s="1173">
        <f t="shared" si="67"/>
        <v>0</v>
      </c>
      <c r="R109" s="1173">
        <f t="shared" si="67"/>
        <v>0</v>
      </c>
      <c r="S109" s="1173">
        <f t="shared" si="67"/>
        <v>109721.40000000001</v>
      </c>
      <c r="T109" s="1173">
        <f t="shared" si="67"/>
        <v>1206935.3999999999</v>
      </c>
      <c r="U109" s="1173">
        <f t="shared" si="67"/>
        <v>120693.54000000001</v>
      </c>
      <c r="V109" s="1173">
        <f t="shared" si="67"/>
        <v>88045.315199999997</v>
      </c>
      <c r="W109" s="1173">
        <f t="shared" si="67"/>
        <v>24138.708000000002</v>
      </c>
      <c r="X109" s="1173">
        <f t="shared" si="67"/>
        <v>974057.83679999993</v>
      </c>
      <c r="Y109" s="1173">
        <f t="shared" si="67"/>
        <v>14483224.800000001</v>
      </c>
      <c r="Z109" s="1173">
        <f t="shared" si="67"/>
        <v>2194428</v>
      </c>
      <c r="AA109" s="1173">
        <f t="shared" si="67"/>
        <v>16677652.800000001</v>
      </c>
      <c r="AB109" s="1173">
        <f t="shared" si="67"/>
        <v>583717.84800000011</v>
      </c>
      <c r="AC109" s="1173">
        <f t="shared" si="67"/>
        <v>7536319.5066399993</v>
      </c>
      <c r="AD109" s="1173">
        <f t="shared" si="67"/>
        <v>750494.37600000005</v>
      </c>
      <c r="AE109" s="1173">
        <f t="shared" si="67"/>
        <v>500329.58400000003</v>
      </c>
      <c r="AF109" s="1173">
        <f t="shared" si="67"/>
        <v>26048514.114639997</v>
      </c>
      <c r="AG109" s="1174"/>
    </row>
    <row r="110" spans="1:33" ht="21.75" customHeight="1">
      <c r="A110" s="1460" t="s">
        <v>480</v>
      </c>
      <c r="B110" s="1460"/>
      <c r="C110" s="1460"/>
      <c r="D110" s="1460"/>
      <c r="E110" s="1460"/>
      <c r="F110" s="1460"/>
      <c r="G110" s="1460"/>
      <c r="H110" s="1460"/>
      <c r="I110" s="1460"/>
      <c r="J110" s="1460"/>
      <c r="K110" s="1460"/>
      <c r="L110" s="1460"/>
      <c r="M110" s="1460"/>
      <c r="N110" s="1460"/>
      <c r="O110" s="1460"/>
      <c r="P110" s="1460"/>
      <c r="Q110" s="1460"/>
      <c r="R110" s="1460"/>
      <c r="S110" s="1460"/>
      <c r="T110" s="1460"/>
      <c r="U110" s="1460"/>
      <c r="V110" s="1460"/>
      <c r="W110" s="1460"/>
      <c r="X110" s="1460"/>
      <c r="Y110" s="1460"/>
      <c r="Z110" s="1460"/>
      <c r="AA110" s="1460"/>
      <c r="AB110" s="1460"/>
      <c r="AC110" s="1460"/>
      <c r="AD110" s="1460"/>
      <c r="AE110" s="1460"/>
      <c r="AF110" s="1460"/>
      <c r="AG110" s="1460"/>
    </row>
    <row r="111" spans="1:33" ht="31.5">
      <c r="A111" s="1175">
        <f>A108+1</f>
        <v>85</v>
      </c>
      <c r="B111" s="1137" t="s">
        <v>481</v>
      </c>
      <c r="C111" s="1244" t="s">
        <v>482</v>
      </c>
      <c r="D111" s="1175">
        <v>1</v>
      </c>
      <c r="E111" s="1139">
        <v>1</v>
      </c>
      <c r="F111" s="1128"/>
      <c r="G111" s="1129">
        <v>44872</v>
      </c>
      <c r="H111" s="1139">
        <v>30</v>
      </c>
      <c r="I111" s="1133">
        <f t="shared" ref="I111:I136" si="68">E111*17697*H111</f>
        <v>530910</v>
      </c>
      <c r="J111" s="1133">
        <f t="shared" ref="J111:J137" si="69">I111*10%</f>
        <v>53091</v>
      </c>
      <c r="K111" s="1128"/>
      <c r="L111" s="1128"/>
      <c r="M111" s="1128"/>
      <c r="N111" s="1128"/>
      <c r="O111" s="1128"/>
      <c r="P111" s="1128"/>
      <c r="Q111" s="1177"/>
      <c r="R111" s="1177"/>
      <c r="S111" s="1133">
        <f t="shared" ref="S111:S137" si="70">SUM(J111:R111)</f>
        <v>53091</v>
      </c>
      <c r="T111" s="1133">
        <f t="shared" ref="T111:T137" si="71">I111+S111</f>
        <v>584001</v>
      </c>
      <c r="U111" s="1133">
        <f t="shared" ref="U111:U137" si="72">T111*10%</f>
        <v>58400.100000000006</v>
      </c>
      <c r="V111" s="1133">
        <f t="shared" ref="V111:V137" si="73">((T111-U111-W111)-(14*4325))*10%</f>
        <v>45337.088000000003</v>
      </c>
      <c r="W111" s="1133">
        <f t="shared" ref="W111:W137" si="74">T111*2%</f>
        <v>11680.02</v>
      </c>
      <c r="X111" s="1133">
        <f t="shared" ref="X111:X137" si="75">T111-U111-V111-W111</f>
        <v>468583.79200000002</v>
      </c>
      <c r="Y111" s="1133">
        <f t="shared" ref="Y111:Y137" si="76">T111*12</f>
        <v>7008012</v>
      </c>
      <c r="Z111" s="1133">
        <f t="shared" ref="Z111:Z137" si="77">I111*2</f>
        <v>1061820</v>
      </c>
      <c r="AA111" s="1133">
        <f t="shared" ref="AA111:AA137" si="78">Y111+Z111</f>
        <v>8069832</v>
      </c>
      <c r="AB111" s="1133">
        <f t="shared" ref="AB111:AB137" si="79">AA111*3.5%</f>
        <v>282444.12000000005</v>
      </c>
      <c r="AC111" s="1133">
        <f t="shared" ref="AC111:AC137" si="80">(AA111*0.9-(W111*12))*11%-AD111</f>
        <v>420353.30159999995</v>
      </c>
      <c r="AD111" s="1133">
        <f t="shared" ref="AD111:AD137" si="81">AA111*0.9*5%</f>
        <v>363142.44</v>
      </c>
      <c r="AE111" s="1133">
        <f t="shared" ref="AE111:AE137" si="82">AA111*3%</f>
        <v>242094.96</v>
      </c>
      <c r="AF111" s="1133">
        <f t="shared" ref="AF111:AF137" si="83">AA111+AC111+AD111+AE111+AB111</f>
        <v>9377866.8215999994</v>
      </c>
      <c r="AG111" s="1133" t="s">
        <v>3</v>
      </c>
    </row>
    <row r="112" spans="1:33">
      <c r="A112" s="1175">
        <f>A111+1</f>
        <v>86</v>
      </c>
      <c r="B112" s="1245" t="s">
        <v>48</v>
      </c>
      <c r="C112" s="1235" t="s">
        <v>931</v>
      </c>
      <c r="D112" s="1179">
        <v>1</v>
      </c>
      <c r="E112" s="1246"/>
      <c r="F112" s="1186"/>
      <c r="G112" s="1201"/>
      <c r="H112" s="1246">
        <v>35</v>
      </c>
      <c r="I112" s="1185">
        <f>D112*17697*H112</f>
        <v>619395</v>
      </c>
      <c r="J112" s="1185">
        <f t="shared" si="69"/>
        <v>61939.5</v>
      </c>
      <c r="K112" s="1186"/>
      <c r="L112" s="1186"/>
      <c r="M112" s="1186"/>
      <c r="N112" s="1186"/>
      <c r="O112" s="1186"/>
      <c r="P112" s="1186"/>
      <c r="Q112" s="1187"/>
      <c r="R112" s="1187"/>
      <c r="S112" s="1133">
        <f t="shared" si="70"/>
        <v>61939.5</v>
      </c>
      <c r="T112" s="1133">
        <f t="shared" si="71"/>
        <v>681334.5</v>
      </c>
      <c r="U112" s="1133">
        <f t="shared" si="72"/>
        <v>68133.45</v>
      </c>
      <c r="V112" s="1133">
        <f t="shared" si="73"/>
        <v>53902.436000000016</v>
      </c>
      <c r="W112" s="1133">
        <f t="shared" si="74"/>
        <v>13626.69</v>
      </c>
      <c r="X112" s="1133">
        <f t="shared" si="75"/>
        <v>545671.92400000012</v>
      </c>
      <c r="Y112" s="1133">
        <f t="shared" si="76"/>
        <v>8176014</v>
      </c>
      <c r="Z112" s="1133">
        <f t="shared" si="77"/>
        <v>1238790</v>
      </c>
      <c r="AA112" s="1133">
        <f t="shared" si="78"/>
        <v>9414804</v>
      </c>
      <c r="AB112" s="1133">
        <f t="shared" si="79"/>
        <v>329518.14</v>
      </c>
      <c r="AC112" s="1133">
        <f t="shared" si="80"/>
        <v>490412.18519999989</v>
      </c>
      <c r="AD112" s="1133">
        <f t="shared" si="81"/>
        <v>423666.18</v>
      </c>
      <c r="AE112" s="1133">
        <f t="shared" si="82"/>
        <v>282444.12</v>
      </c>
      <c r="AF112" s="1133">
        <f t="shared" si="83"/>
        <v>10940844.6252</v>
      </c>
      <c r="AG112" s="1133" t="s">
        <v>3</v>
      </c>
    </row>
    <row r="113" spans="1:33" ht="31.5">
      <c r="A113" s="1175">
        <f t="shared" ref="A113:A137" si="84">A112+1</f>
        <v>87</v>
      </c>
      <c r="B113" s="1134" t="s">
        <v>483</v>
      </c>
      <c r="C113" s="1134" t="s">
        <v>484</v>
      </c>
      <c r="D113" s="1175">
        <v>1</v>
      </c>
      <c r="E113" s="1139">
        <v>1</v>
      </c>
      <c r="F113" s="1128"/>
      <c r="G113" s="1129">
        <v>44986</v>
      </c>
      <c r="H113" s="1139">
        <v>16</v>
      </c>
      <c r="I113" s="1133">
        <f t="shared" si="68"/>
        <v>283152</v>
      </c>
      <c r="J113" s="1133">
        <f t="shared" si="69"/>
        <v>28315.200000000001</v>
      </c>
      <c r="K113" s="1128"/>
      <c r="L113" s="1128"/>
      <c r="M113" s="1128"/>
      <c r="N113" s="1128"/>
      <c r="O113" s="1133"/>
      <c r="P113" s="1133"/>
      <c r="Q113" s="1247"/>
      <c r="R113" s="1133">
        <f>25%*17697</f>
        <v>4424.25</v>
      </c>
      <c r="S113" s="1133">
        <f t="shared" si="70"/>
        <v>32739.45</v>
      </c>
      <c r="T113" s="1133">
        <f t="shared" si="71"/>
        <v>315891.45</v>
      </c>
      <c r="U113" s="1133">
        <f t="shared" si="72"/>
        <v>31589.145000000004</v>
      </c>
      <c r="V113" s="1133">
        <f t="shared" si="73"/>
        <v>21743.4476</v>
      </c>
      <c r="W113" s="1133">
        <f t="shared" si="74"/>
        <v>6317.8290000000006</v>
      </c>
      <c r="X113" s="1133">
        <f t="shared" si="75"/>
        <v>256241.02839999998</v>
      </c>
      <c r="Y113" s="1133">
        <f t="shared" si="76"/>
        <v>3790697.4000000004</v>
      </c>
      <c r="Z113" s="1133">
        <f t="shared" si="77"/>
        <v>566304</v>
      </c>
      <c r="AA113" s="1133">
        <f t="shared" si="78"/>
        <v>4357001.4000000004</v>
      </c>
      <c r="AB113" s="1133">
        <f t="shared" si="79"/>
        <v>152495.04900000003</v>
      </c>
      <c r="AC113" s="1133">
        <f t="shared" si="80"/>
        <v>226938.54132000002</v>
      </c>
      <c r="AD113" s="1133">
        <f t="shared" si="81"/>
        <v>196065.06300000002</v>
      </c>
      <c r="AE113" s="1133">
        <f t="shared" si="82"/>
        <v>130710.042</v>
      </c>
      <c r="AF113" s="1133">
        <f t="shared" si="83"/>
        <v>5063210.0953200003</v>
      </c>
      <c r="AG113" s="1133" t="s">
        <v>3</v>
      </c>
    </row>
    <row r="114" spans="1:33">
      <c r="A114" s="1175">
        <f t="shared" si="84"/>
        <v>88</v>
      </c>
      <c r="B114" s="1134" t="s">
        <v>110</v>
      </c>
      <c r="C114" s="1230" t="s">
        <v>485</v>
      </c>
      <c r="D114" s="1175">
        <v>1</v>
      </c>
      <c r="E114" s="1136">
        <v>1</v>
      </c>
      <c r="F114" s="1128"/>
      <c r="G114" s="1129">
        <v>42324</v>
      </c>
      <c r="H114" s="1136">
        <v>14</v>
      </c>
      <c r="I114" s="1133">
        <f t="shared" si="68"/>
        <v>247758</v>
      </c>
      <c r="J114" s="1133">
        <f t="shared" si="69"/>
        <v>24775.800000000003</v>
      </c>
      <c r="K114" s="1128"/>
      <c r="L114" s="1128"/>
      <c r="M114" s="1128"/>
      <c r="N114" s="1128"/>
      <c r="O114" s="1133">
        <f>35%*17697</f>
        <v>6193.95</v>
      </c>
      <c r="P114" s="1133"/>
      <c r="Q114" s="1247"/>
      <c r="R114" s="1247"/>
      <c r="S114" s="1133">
        <f t="shared" si="70"/>
        <v>30969.750000000004</v>
      </c>
      <c r="T114" s="1133">
        <f t="shared" si="71"/>
        <v>278727.75</v>
      </c>
      <c r="U114" s="1133">
        <f t="shared" si="72"/>
        <v>27872.775000000001</v>
      </c>
      <c r="V114" s="1133">
        <f t="shared" si="73"/>
        <v>18473.042000000001</v>
      </c>
      <c r="W114" s="1133">
        <f t="shared" si="74"/>
        <v>5574.5550000000003</v>
      </c>
      <c r="X114" s="1133">
        <f t="shared" si="75"/>
        <v>226807.37800000003</v>
      </c>
      <c r="Y114" s="1133">
        <f t="shared" si="76"/>
        <v>3344733</v>
      </c>
      <c r="Z114" s="1133">
        <f t="shared" si="77"/>
        <v>495516</v>
      </c>
      <c r="AA114" s="1133">
        <f t="shared" si="78"/>
        <v>3840249</v>
      </c>
      <c r="AB114" s="1133">
        <f t="shared" si="79"/>
        <v>134408.71500000003</v>
      </c>
      <c r="AC114" s="1133">
        <f t="shared" si="80"/>
        <v>200015.03339999996</v>
      </c>
      <c r="AD114" s="1133">
        <f t="shared" si="81"/>
        <v>172811.20500000002</v>
      </c>
      <c r="AE114" s="1133">
        <f t="shared" si="82"/>
        <v>115207.47</v>
      </c>
      <c r="AF114" s="1133">
        <f t="shared" si="83"/>
        <v>4462691.4233999997</v>
      </c>
      <c r="AG114" s="1133" t="s">
        <v>3</v>
      </c>
    </row>
    <row r="115" spans="1:33">
      <c r="A115" s="1175">
        <f t="shared" si="84"/>
        <v>89</v>
      </c>
      <c r="B115" s="1230" t="s">
        <v>486</v>
      </c>
      <c r="C115" s="1229" t="s">
        <v>487</v>
      </c>
      <c r="D115" s="1175">
        <v>1</v>
      </c>
      <c r="E115" s="1136">
        <v>1</v>
      </c>
      <c r="F115" s="1128"/>
      <c r="G115" s="1148">
        <v>44075</v>
      </c>
      <c r="H115" s="1136">
        <v>18</v>
      </c>
      <c r="I115" s="1133">
        <f t="shared" si="68"/>
        <v>318546</v>
      </c>
      <c r="J115" s="1133">
        <f t="shared" si="69"/>
        <v>31854.600000000002</v>
      </c>
      <c r="K115" s="1128"/>
      <c r="L115" s="1128"/>
      <c r="M115" s="1128"/>
      <c r="N115" s="1128"/>
      <c r="O115" s="1133"/>
      <c r="P115" s="1133"/>
      <c r="Q115" s="1247"/>
      <c r="R115" s="1247"/>
      <c r="S115" s="1133">
        <f t="shared" si="70"/>
        <v>31854.600000000002</v>
      </c>
      <c r="T115" s="1133">
        <f t="shared" si="71"/>
        <v>350400.6</v>
      </c>
      <c r="U115" s="1133">
        <f t="shared" si="72"/>
        <v>35040.06</v>
      </c>
      <c r="V115" s="1133">
        <f t="shared" si="73"/>
        <v>24780.252800000002</v>
      </c>
      <c r="W115" s="1133">
        <f t="shared" si="74"/>
        <v>7008.0119999999997</v>
      </c>
      <c r="X115" s="1133">
        <f t="shared" si="75"/>
        <v>283572.27519999997</v>
      </c>
      <c r="Y115" s="1133">
        <f t="shared" si="76"/>
        <v>4204807.1999999993</v>
      </c>
      <c r="Z115" s="1133">
        <f t="shared" si="77"/>
        <v>637092</v>
      </c>
      <c r="AA115" s="1133">
        <f t="shared" si="78"/>
        <v>4841899.1999999993</v>
      </c>
      <c r="AB115" s="1133">
        <f t="shared" si="79"/>
        <v>169466.47199999998</v>
      </c>
      <c r="AC115" s="1133">
        <f t="shared" si="80"/>
        <v>252211.9809599999</v>
      </c>
      <c r="AD115" s="1133">
        <f t="shared" si="81"/>
        <v>217885.46399999998</v>
      </c>
      <c r="AE115" s="1133">
        <f t="shared" si="82"/>
        <v>145256.97599999997</v>
      </c>
      <c r="AF115" s="1133">
        <f t="shared" si="83"/>
        <v>5626720.0929599991</v>
      </c>
      <c r="AG115" s="1133" t="s">
        <v>3</v>
      </c>
    </row>
    <row r="116" spans="1:33">
      <c r="A116" s="1175">
        <f t="shared" si="84"/>
        <v>90</v>
      </c>
      <c r="B116" s="1248" t="s">
        <v>832</v>
      </c>
      <c r="C116" s="1249" t="s">
        <v>932</v>
      </c>
      <c r="D116" s="1477">
        <v>2</v>
      </c>
      <c r="E116" s="1250"/>
      <c r="F116" s="1128"/>
      <c r="G116" s="1251"/>
      <c r="H116" s="1252">
        <v>20</v>
      </c>
      <c r="I116" s="1253">
        <f>1.5*17697*H116</f>
        <v>530910</v>
      </c>
      <c r="J116" s="1253">
        <f t="shared" si="69"/>
        <v>53091</v>
      </c>
      <c r="K116" s="1251"/>
      <c r="L116" s="1251"/>
      <c r="M116" s="1251"/>
      <c r="N116" s="1251"/>
      <c r="O116" s="1253"/>
      <c r="P116" s="1253"/>
      <c r="Q116" s="1254"/>
      <c r="R116" s="1254"/>
      <c r="S116" s="1133">
        <f t="shared" si="70"/>
        <v>53091</v>
      </c>
      <c r="T116" s="1133">
        <f t="shared" si="71"/>
        <v>584001</v>
      </c>
      <c r="U116" s="1133">
        <f t="shared" si="72"/>
        <v>58400.100000000006</v>
      </c>
      <c r="V116" s="1133">
        <f t="shared" si="73"/>
        <v>45337.088000000003</v>
      </c>
      <c r="W116" s="1133">
        <f t="shared" si="74"/>
        <v>11680.02</v>
      </c>
      <c r="X116" s="1133">
        <f t="shared" si="75"/>
        <v>468583.79200000002</v>
      </c>
      <c r="Y116" s="1133">
        <f t="shared" si="76"/>
        <v>7008012</v>
      </c>
      <c r="Z116" s="1133">
        <f t="shared" si="77"/>
        <v>1061820</v>
      </c>
      <c r="AA116" s="1133">
        <f t="shared" si="78"/>
        <v>8069832</v>
      </c>
      <c r="AB116" s="1133">
        <f t="shared" si="79"/>
        <v>282444.12000000005</v>
      </c>
      <c r="AC116" s="1133">
        <f t="shared" si="80"/>
        <v>420353.30159999995</v>
      </c>
      <c r="AD116" s="1133">
        <f t="shared" si="81"/>
        <v>363142.44</v>
      </c>
      <c r="AE116" s="1133">
        <f t="shared" si="82"/>
        <v>242094.96</v>
      </c>
      <c r="AF116" s="1133">
        <f t="shared" si="83"/>
        <v>9377866.8215999994</v>
      </c>
      <c r="AG116" s="1133" t="s">
        <v>3</v>
      </c>
    </row>
    <row r="117" spans="1:33">
      <c r="A117" s="1175">
        <f t="shared" si="84"/>
        <v>91</v>
      </c>
      <c r="B117" s="1137" t="s">
        <v>832</v>
      </c>
      <c r="C117" s="1137" t="s">
        <v>839</v>
      </c>
      <c r="D117" s="1479"/>
      <c r="E117" s="1255">
        <v>0.5</v>
      </c>
      <c r="F117" s="1128"/>
      <c r="G117" s="1148">
        <v>45659</v>
      </c>
      <c r="H117" s="1139">
        <v>12</v>
      </c>
      <c r="I117" s="1133">
        <f>0.5*17697*H117</f>
        <v>106182</v>
      </c>
      <c r="J117" s="1133">
        <f t="shared" si="69"/>
        <v>10618.2</v>
      </c>
      <c r="K117" s="1128"/>
      <c r="L117" s="1128"/>
      <c r="M117" s="1128"/>
      <c r="N117" s="1128"/>
      <c r="O117" s="1133"/>
      <c r="P117" s="1133"/>
      <c r="Q117" s="1247"/>
      <c r="R117" s="1247"/>
      <c r="S117" s="1133">
        <f t="shared" si="70"/>
        <v>10618.2</v>
      </c>
      <c r="T117" s="1133">
        <f t="shared" si="71"/>
        <v>116800.2</v>
      </c>
      <c r="U117" s="1133">
        <f t="shared" si="72"/>
        <v>11680.02</v>
      </c>
      <c r="V117" s="1133">
        <f t="shared" si="73"/>
        <v>4223.4175999999998</v>
      </c>
      <c r="W117" s="1133">
        <f t="shared" si="74"/>
        <v>2336.0039999999999</v>
      </c>
      <c r="X117" s="1133">
        <f t="shared" si="75"/>
        <v>98560.758399999992</v>
      </c>
      <c r="Y117" s="1133">
        <f t="shared" si="76"/>
        <v>1401602.4</v>
      </c>
      <c r="Z117" s="1133">
        <f t="shared" si="77"/>
        <v>212364</v>
      </c>
      <c r="AA117" s="1133">
        <f t="shared" si="78"/>
        <v>1613966.4</v>
      </c>
      <c r="AB117" s="1133">
        <f t="shared" si="79"/>
        <v>56488.824000000001</v>
      </c>
      <c r="AC117" s="1133">
        <f t="shared" si="80"/>
        <v>84070.66032000001</v>
      </c>
      <c r="AD117" s="1133">
        <f t="shared" si="81"/>
        <v>72628.487999999998</v>
      </c>
      <c r="AE117" s="1133">
        <f t="shared" si="82"/>
        <v>48418.991999999998</v>
      </c>
      <c r="AF117" s="1133">
        <f t="shared" si="83"/>
        <v>1875573.3643199999</v>
      </c>
      <c r="AG117" s="1133"/>
    </row>
    <row r="118" spans="1:33" ht="31.5">
      <c r="A118" s="1175">
        <f t="shared" si="84"/>
        <v>92</v>
      </c>
      <c r="B118" s="1134" t="s">
        <v>488</v>
      </c>
      <c r="C118" s="1134" t="s">
        <v>489</v>
      </c>
      <c r="D118" s="1175">
        <v>1</v>
      </c>
      <c r="E118" s="1136">
        <v>1</v>
      </c>
      <c r="F118" s="1128"/>
      <c r="G118" s="1129">
        <v>42780</v>
      </c>
      <c r="H118" s="1136">
        <v>12</v>
      </c>
      <c r="I118" s="1133">
        <f t="shared" si="68"/>
        <v>212364</v>
      </c>
      <c r="J118" s="1133">
        <f t="shared" si="69"/>
        <v>21236.400000000001</v>
      </c>
      <c r="K118" s="1128"/>
      <c r="L118" s="1128"/>
      <c r="M118" s="1128"/>
      <c r="N118" s="1128"/>
      <c r="O118" s="1133"/>
      <c r="P118" s="1133"/>
      <c r="Q118" s="1247"/>
      <c r="R118" s="1247"/>
      <c r="S118" s="1133">
        <f t="shared" si="70"/>
        <v>21236.400000000001</v>
      </c>
      <c r="T118" s="1133">
        <f t="shared" si="71"/>
        <v>233600.4</v>
      </c>
      <c r="U118" s="1133">
        <f t="shared" si="72"/>
        <v>23360.04</v>
      </c>
      <c r="V118" s="1133">
        <f t="shared" si="73"/>
        <v>14501.8352</v>
      </c>
      <c r="W118" s="1133">
        <f t="shared" si="74"/>
        <v>4672.0079999999998</v>
      </c>
      <c r="X118" s="1133">
        <f t="shared" si="75"/>
        <v>191066.51679999998</v>
      </c>
      <c r="Y118" s="1133">
        <f t="shared" si="76"/>
        <v>2803204.8</v>
      </c>
      <c r="Z118" s="1133">
        <f t="shared" si="77"/>
        <v>424728</v>
      </c>
      <c r="AA118" s="1133">
        <f t="shared" si="78"/>
        <v>3227932.8</v>
      </c>
      <c r="AB118" s="1133">
        <f t="shared" si="79"/>
        <v>112977.648</v>
      </c>
      <c r="AC118" s="1133">
        <f t="shared" si="80"/>
        <v>168141.32064000002</v>
      </c>
      <c r="AD118" s="1133">
        <f t="shared" si="81"/>
        <v>145256.976</v>
      </c>
      <c r="AE118" s="1133">
        <f t="shared" si="82"/>
        <v>96837.983999999997</v>
      </c>
      <c r="AF118" s="1133">
        <f t="shared" si="83"/>
        <v>3751146.7286399999</v>
      </c>
      <c r="AG118" s="1133" t="s">
        <v>3</v>
      </c>
    </row>
    <row r="119" spans="1:33" s="1189" customFormat="1">
      <c r="A119" s="1175">
        <f t="shared" si="84"/>
        <v>93</v>
      </c>
      <c r="B119" s="1245" t="s">
        <v>490</v>
      </c>
      <c r="C119" s="1235" t="s">
        <v>931</v>
      </c>
      <c r="D119" s="1478">
        <v>2</v>
      </c>
      <c r="E119" s="1256"/>
      <c r="F119" s="1186"/>
      <c r="G119" s="1183">
        <v>45659</v>
      </c>
      <c r="H119" s="1184">
        <v>20</v>
      </c>
      <c r="I119" s="1185">
        <f>17697*H119</f>
        <v>353940</v>
      </c>
      <c r="J119" s="1185">
        <f t="shared" si="69"/>
        <v>35394</v>
      </c>
      <c r="K119" s="1186"/>
      <c r="L119" s="1186"/>
      <c r="M119" s="1186"/>
      <c r="N119" s="1186"/>
      <c r="O119" s="1185"/>
      <c r="P119" s="1185"/>
      <c r="Q119" s="1257"/>
      <c r="R119" s="1257"/>
      <c r="S119" s="1185">
        <f t="shared" si="70"/>
        <v>35394</v>
      </c>
      <c r="T119" s="1185">
        <f t="shared" si="71"/>
        <v>389334</v>
      </c>
      <c r="U119" s="1185">
        <f t="shared" si="72"/>
        <v>38933.4</v>
      </c>
      <c r="V119" s="1185">
        <f t="shared" si="73"/>
        <v>28206.392</v>
      </c>
      <c r="W119" s="1185">
        <f t="shared" si="74"/>
        <v>7786.68</v>
      </c>
      <c r="X119" s="1185">
        <f t="shared" si="75"/>
        <v>314407.52799999999</v>
      </c>
      <c r="Y119" s="1185">
        <f t="shared" si="76"/>
        <v>4672008</v>
      </c>
      <c r="Z119" s="1185">
        <f t="shared" si="77"/>
        <v>707880</v>
      </c>
      <c r="AA119" s="1185">
        <f t="shared" si="78"/>
        <v>5379888</v>
      </c>
      <c r="AB119" s="1185">
        <f t="shared" si="79"/>
        <v>188296.08000000002</v>
      </c>
      <c r="AC119" s="1185">
        <f>(AA119*0.9-(W119*12))*11%-AD119+3000000</f>
        <v>3280235.5344000002</v>
      </c>
      <c r="AD119" s="1185">
        <f t="shared" si="81"/>
        <v>242094.96000000002</v>
      </c>
      <c r="AE119" s="1185">
        <f t="shared" si="82"/>
        <v>161396.63999999998</v>
      </c>
      <c r="AF119" s="1185">
        <f t="shared" si="83"/>
        <v>9251911.2144000027</v>
      </c>
      <c r="AG119" s="1185" t="s">
        <v>3</v>
      </c>
    </row>
    <row r="120" spans="1:33" ht="19.5" customHeight="1">
      <c r="A120" s="1175">
        <f t="shared" si="84"/>
        <v>94</v>
      </c>
      <c r="B120" s="1156" t="s">
        <v>490</v>
      </c>
      <c r="C120" s="1134" t="s">
        <v>491</v>
      </c>
      <c r="D120" s="1479"/>
      <c r="E120" s="1136">
        <v>1</v>
      </c>
      <c r="F120" s="1128"/>
      <c r="G120" s="1129">
        <v>43654</v>
      </c>
      <c r="H120" s="1136">
        <v>12</v>
      </c>
      <c r="I120" s="1133">
        <f t="shared" si="68"/>
        <v>212364</v>
      </c>
      <c r="J120" s="1133">
        <f t="shared" si="69"/>
        <v>21236.400000000001</v>
      </c>
      <c r="K120" s="1128"/>
      <c r="L120" s="1128"/>
      <c r="M120" s="1128"/>
      <c r="N120" s="1128"/>
      <c r="O120" s="1133"/>
      <c r="P120" s="1133"/>
      <c r="Q120" s="1247"/>
      <c r="R120" s="1247"/>
      <c r="S120" s="1133">
        <f t="shared" si="70"/>
        <v>21236.400000000001</v>
      </c>
      <c r="T120" s="1133">
        <f t="shared" si="71"/>
        <v>233600.4</v>
      </c>
      <c r="U120" s="1133">
        <f t="shared" si="72"/>
        <v>23360.04</v>
      </c>
      <c r="V120" s="1133">
        <f t="shared" si="73"/>
        <v>14501.8352</v>
      </c>
      <c r="W120" s="1133">
        <f t="shared" si="74"/>
        <v>4672.0079999999998</v>
      </c>
      <c r="X120" s="1133">
        <f t="shared" si="75"/>
        <v>191066.51679999998</v>
      </c>
      <c r="Y120" s="1133">
        <f t="shared" si="76"/>
        <v>2803204.8</v>
      </c>
      <c r="Z120" s="1133">
        <f t="shared" si="77"/>
        <v>424728</v>
      </c>
      <c r="AA120" s="1133">
        <f t="shared" si="78"/>
        <v>3227932.8</v>
      </c>
      <c r="AB120" s="1133">
        <f t="shared" si="79"/>
        <v>112977.648</v>
      </c>
      <c r="AC120" s="1133">
        <f t="shared" si="80"/>
        <v>168141.32064000002</v>
      </c>
      <c r="AD120" s="1133">
        <f t="shared" si="81"/>
        <v>145256.976</v>
      </c>
      <c r="AE120" s="1133">
        <f t="shared" si="82"/>
        <v>96837.983999999997</v>
      </c>
      <c r="AF120" s="1133">
        <f t="shared" si="83"/>
        <v>3751146.7286399999</v>
      </c>
      <c r="AG120" s="1133" t="s">
        <v>3</v>
      </c>
    </row>
    <row r="121" spans="1:33">
      <c r="A121" s="1175">
        <f t="shared" si="84"/>
        <v>95</v>
      </c>
      <c r="B121" s="1134" t="s">
        <v>492</v>
      </c>
      <c r="C121" s="1221" t="s">
        <v>493</v>
      </c>
      <c r="D121" s="1175">
        <v>1</v>
      </c>
      <c r="E121" s="1136">
        <v>1</v>
      </c>
      <c r="F121" s="1128"/>
      <c r="G121" s="1129">
        <v>44508</v>
      </c>
      <c r="H121" s="1136">
        <v>11</v>
      </c>
      <c r="I121" s="1133">
        <f t="shared" si="68"/>
        <v>194667</v>
      </c>
      <c r="J121" s="1133">
        <f t="shared" si="69"/>
        <v>19466.7</v>
      </c>
      <c r="K121" s="1128"/>
      <c r="L121" s="1128"/>
      <c r="M121" s="1128"/>
      <c r="N121" s="1128"/>
      <c r="O121" s="1133"/>
      <c r="P121" s="1133"/>
      <c r="Q121" s="1247"/>
      <c r="R121" s="1247"/>
      <c r="S121" s="1133">
        <f t="shared" si="70"/>
        <v>19466.7</v>
      </c>
      <c r="T121" s="1133">
        <f t="shared" si="71"/>
        <v>214133.7</v>
      </c>
      <c r="U121" s="1133">
        <f t="shared" si="72"/>
        <v>21413.370000000003</v>
      </c>
      <c r="V121" s="1133">
        <f t="shared" si="73"/>
        <v>12788.765600000002</v>
      </c>
      <c r="W121" s="1133">
        <f t="shared" si="74"/>
        <v>4282.674</v>
      </c>
      <c r="X121" s="1133">
        <f t="shared" si="75"/>
        <v>175648.8904</v>
      </c>
      <c r="Y121" s="1133">
        <f t="shared" si="76"/>
        <v>2569604.4000000004</v>
      </c>
      <c r="Z121" s="1133">
        <f t="shared" si="77"/>
        <v>389334</v>
      </c>
      <c r="AA121" s="1133">
        <f t="shared" si="78"/>
        <v>2958938.4000000004</v>
      </c>
      <c r="AB121" s="1133">
        <f t="shared" si="79"/>
        <v>103562.84400000003</v>
      </c>
      <c r="AC121" s="1133">
        <f t="shared" si="80"/>
        <v>154129.54392000005</v>
      </c>
      <c r="AD121" s="1133">
        <f t="shared" si="81"/>
        <v>133152.22800000003</v>
      </c>
      <c r="AE121" s="1133">
        <f t="shared" si="82"/>
        <v>88768.152000000002</v>
      </c>
      <c r="AF121" s="1133">
        <f t="shared" si="83"/>
        <v>3438551.1679200004</v>
      </c>
      <c r="AG121" s="1133" t="s">
        <v>3</v>
      </c>
    </row>
    <row r="122" spans="1:33">
      <c r="A122" s="1175">
        <f t="shared" si="84"/>
        <v>96</v>
      </c>
      <c r="B122" s="1134" t="s">
        <v>53</v>
      </c>
      <c r="C122" s="1258" t="s">
        <v>833</v>
      </c>
      <c r="D122" s="1477">
        <v>2</v>
      </c>
      <c r="E122" s="1136">
        <v>1</v>
      </c>
      <c r="F122" s="1128"/>
      <c r="G122" s="1129">
        <v>45246</v>
      </c>
      <c r="H122" s="1136">
        <v>12</v>
      </c>
      <c r="I122" s="1133">
        <f t="shared" si="68"/>
        <v>212364</v>
      </c>
      <c r="J122" s="1133">
        <f t="shared" si="69"/>
        <v>21236.400000000001</v>
      </c>
      <c r="K122" s="1128"/>
      <c r="L122" s="1128"/>
      <c r="M122" s="1128"/>
      <c r="N122" s="1128"/>
      <c r="O122" s="1133"/>
      <c r="P122" s="1133"/>
      <c r="Q122" s="1247"/>
      <c r="R122" s="1247"/>
      <c r="S122" s="1133">
        <f t="shared" si="70"/>
        <v>21236.400000000001</v>
      </c>
      <c r="T122" s="1133">
        <f t="shared" si="71"/>
        <v>233600.4</v>
      </c>
      <c r="U122" s="1133">
        <f t="shared" si="72"/>
        <v>23360.04</v>
      </c>
      <c r="V122" s="1133">
        <f t="shared" si="73"/>
        <v>14501.8352</v>
      </c>
      <c r="W122" s="1133">
        <f t="shared" si="74"/>
        <v>4672.0079999999998</v>
      </c>
      <c r="X122" s="1133">
        <f t="shared" si="75"/>
        <v>191066.51679999998</v>
      </c>
      <c r="Y122" s="1133">
        <f t="shared" si="76"/>
        <v>2803204.8</v>
      </c>
      <c r="Z122" s="1133">
        <f t="shared" si="77"/>
        <v>424728</v>
      </c>
      <c r="AA122" s="1133">
        <f t="shared" si="78"/>
        <v>3227932.8</v>
      </c>
      <c r="AB122" s="1133">
        <f t="shared" si="79"/>
        <v>112977.648</v>
      </c>
      <c r="AC122" s="1133">
        <f t="shared" si="80"/>
        <v>168141.32064000002</v>
      </c>
      <c r="AD122" s="1133">
        <f t="shared" si="81"/>
        <v>145256.976</v>
      </c>
      <c r="AE122" s="1133">
        <f t="shared" si="82"/>
        <v>96837.983999999997</v>
      </c>
      <c r="AF122" s="1133">
        <f t="shared" si="83"/>
        <v>3751146.7286399999</v>
      </c>
      <c r="AG122" s="1133" t="s">
        <v>3</v>
      </c>
    </row>
    <row r="123" spans="1:33">
      <c r="A123" s="1175">
        <f t="shared" si="84"/>
        <v>97</v>
      </c>
      <c r="B123" s="1137" t="s">
        <v>53</v>
      </c>
      <c r="C123" s="1137" t="s">
        <v>494</v>
      </c>
      <c r="D123" s="1479"/>
      <c r="E123" s="1139">
        <v>1</v>
      </c>
      <c r="F123" s="1128"/>
      <c r="G123" s="1129">
        <v>44219</v>
      </c>
      <c r="H123" s="1139">
        <v>12</v>
      </c>
      <c r="I123" s="1133">
        <f t="shared" si="68"/>
        <v>212364</v>
      </c>
      <c r="J123" s="1133">
        <f t="shared" si="69"/>
        <v>21236.400000000001</v>
      </c>
      <c r="K123" s="1128"/>
      <c r="L123" s="1128"/>
      <c r="M123" s="1128"/>
      <c r="N123" s="1128"/>
      <c r="O123" s="1133"/>
      <c r="P123" s="1133"/>
      <c r="Q123" s="1247"/>
      <c r="R123" s="1247"/>
      <c r="S123" s="1133">
        <f t="shared" si="70"/>
        <v>21236.400000000001</v>
      </c>
      <c r="T123" s="1133">
        <f t="shared" si="71"/>
        <v>233600.4</v>
      </c>
      <c r="U123" s="1133">
        <f t="shared" si="72"/>
        <v>23360.04</v>
      </c>
      <c r="V123" s="1133">
        <f t="shared" si="73"/>
        <v>14501.8352</v>
      </c>
      <c r="W123" s="1133">
        <f t="shared" si="74"/>
        <v>4672.0079999999998</v>
      </c>
      <c r="X123" s="1133">
        <f t="shared" si="75"/>
        <v>191066.51679999998</v>
      </c>
      <c r="Y123" s="1133">
        <f t="shared" si="76"/>
        <v>2803204.8</v>
      </c>
      <c r="Z123" s="1133">
        <f t="shared" si="77"/>
        <v>424728</v>
      </c>
      <c r="AA123" s="1133">
        <f t="shared" si="78"/>
        <v>3227932.8</v>
      </c>
      <c r="AB123" s="1133">
        <f t="shared" si="79"/>
        <v>112977.648</v>
      </c>
      <c r="AC123" s="1133">
        <f t="shared" si="80"/>
        <v>168141.32064000002</v>
      </c>
      <c r="AD123" s="1133">
        <f t="shared" si="81"/>
        <v>145256.976</v>
      </c>
      <c r="AE123" s="1133">
        <f t="shared" si="82"/>
        <v>96837.983999999997</v>
      </c>
      <c r="AF123" s="1133">
        <f t="shared" si="83"/>
        <v>3751146.7286399999</v>
      </c>
      <c r="AG123" s="1133" t="s">
        <v>3</v>
      </c>
    </row>
    <row r="124" spans="1:33" ht="47.25">
      <c r="A124" s="1175">
        <f t="shared" si="84"/>
        <v>98</v>
      </c>
      <c r="B124" s="1134" t="s">
        <v>834</v>
      </c>
      <c r="C124" s="1134" t="s">
        <v>495</v>
      </c>
      <c r="D124" s="1477">
        <v>2</v>
      </c>
      <c r="E124" s="1136">
        <v>1</v>
      </c>
      <c r="F124" s="1128"/>
      <c r="G124" s="1129">
        <v>44201</v>
      </c>
      <c r="H124" s="1136">
        <v>13</v>
      </c>
      <c r="I124" s="1133">
        <f t="shared" si="68"/>
        <v>230061</v>
      </c>
      <c r="J124" s="1133">
        <f t="shared" si="69"/>
        <v>23006.100000000002</v>
      </c>
      <c r="K124" s="1128"/>
      <c r="L124" s="1128"/>
      <c r="M124" s="1128"/>
      <c r="N124" s="1128"/>
      <c r="O124" s="1133"/>
      <c r="P124" s="1133"/>
      <c r="Q124" s="1247"/>
      <c r="R124" s="1133">
        <f>25%*17697</f>
        <v>4424.25</v>
      </c>
      <c r="S124" s="1133">
        <f t="shared" si="70"/>
        <v>27430.350000000002</v>
      </c>
      <c r="T124" s="1133">
        <f t="shared" si="71"/>
        <v>257491.35</v>
      </c>
      <c r="U124" s="1133">
        <f t="shared" si="72"/>
        <v>25749.135000000002</v>
      </c>
      <c r="V124" s="1133">
        <f t="shared" si="73"/>
        <v>16604.238800000003</v>
      </c>
      <c r="W124" s="1133">
        <f t="shared" si="74"/>
        <v>5149.8270000000002</v>
      </c>
      <c r="X124" s="1133">
        <f t="shared" si="75"/>
        <v>209988.14920000001</v>
      </c>
      <c r="Y124" s="1133">
        <f t="shared" si="76"/>
        <v>3089896.2</v>
      </c>
      <c r="Z124" s="1133">
        <f t="shared" si="77"/>
        <v>460122</v>
      </c>
      <c r="AA124" s="1133">
        <f t="shared" si="78"/>
        <v>3550018.2</v>
      </c>
      <c r="AB124" s="1133">
        <f t="shared" si="79"/>
        <v>124250.63700000002</v>
      </c>
      <c r="AC124" s="1133">
        <f t="shared" si="80"/>
        <v>184903.21116000001</v>
      </c>
      <c r="AD124" s="1133">
        <f t="shared" si="81"/>
        <v>159750.81900000002</v>
      </c>
      <c r="AE124" s="1133">
        <f t="shared" si="82"/>
        <v>106500.546</v>
      </c>
      <c r="AF124" s="1133">
        <f t="shared" si="83"/>
        <v>4125423.4131600005</v>
      </c>
      <c r="AG124" s="1133" t="s">
        <v>3</v>
      </c>
    </row>
    <row r="125" spans="1:33" ht="47.25">
      <c r="A125" s="1175">
        <f t="shared" si="84"/>
        <v>99</v>
      </c>
      <c r="B125" s="1134" t="s">
        <v>834</v>
      </c>
      <c r="C125" s="1134" t="s">
        <v>496</v>
      </c>
      <c r="D125" s="1479"/>
      <c r="E125" s="1136">
        <v>1</v>
      </c>
      <c r="F125" s="1128"/>
      <c r="G125" s="1129">
        <v>44593</v>
      </c>
      <c r="H125" s="1136">
        <v>11</v>
      </c>
      <c r="I125" s="1133">
        <f t="shared" si="68"/>
        <v>194667</v>
      </c>
      <c r="J125" s="1133">
        <f t="shared" si="69"/>
        <v>19466.7</v>
      </c>
      <c r="K125" s="1128"/>
      <c r="L125" s="1128"/>
      <c r="M125" s="1128"/>
      <c r="N125" s="1128"/>
      <c r="O125" s="1133"/>
      <c r="P125" s="1133"/>
      <c r="Q125" s="1247"/>
      <c r="R125" s="1133">
        <f>25%*17697</f>
        <v>4424.25</v>
      </c>
      <c r="S125" s="1133">
        <f t="shared" si="70"/>
        <v>23890.95</v>
      </c>
      <c r="T125" s="1133">
        <f t="shared" si="71"/>
        <v>218557.95</v>
      </c>
      <c r="U125" s="1133">
        <f t="shared" si="72"/>
        <v>21855.795000000002</v>
      </c>
      <c r="V125" s="1133">
        <f t="shared" si="73"/>
        <v>13178.0996</v>
      </c>
      <c r="W125" s="1133">
        <f t="shared" si="74"/>
        <v>4371.1590000000006</v>
      </c>
      <c r="X125" s="1133">
        <f t="shared" si="75"/>
        <v>179152.8964</v>
      </c>
      <c r="Y125" s="1133">
        <f t="shared" si="76"/>
        <v>2622695.4000000004</v>
      </c>
      <c r="Z125" s="1133">
        <f t="shared" si="77"/>
        <v>389334</v>
      </c>
      <c r="AA125" s="1133">
        <f t="shared" si="78"/>
        <v>3012029.4000000004</v>
      </c>
      <c r="AB125" s="1133">
        <f t="shared" si="79"/>
        <v>105421.02900000002</v>
      </c>
      <c r="AC125" s="1133">
        <f t="shared" si="80"/>
        <v>156879.65772000002</v>
      </c>
      <c r="AD125" s="1133">
        <f t="shared" si="81"/>
        <v>135541.32300000003</v>
      </c>
      <c r="AE125" s="1133">
        <f t="shared" si="82"/>
        <v>90360.882000000012</v>
      </c>
      <c r="AF125" s="1133">
        <f t="shared" si="83"/>
        <v>3500232.2917200006</v>
      </c>
      <c r="AG125" s="1133" t="s">
        <v>3</v>
      </c>
    </row>
    <row r="126" spans="1:33">
      <c r="A126" s="1175">
        <f t="shared" si="84"/>
        <v>100</v>
      </c>
      <c r="B126" s="1134" t="s">
        <v>14</v>
      </c>
      <c r="C126" s="1137" t="s">
        <v>497</v>
      </c>
      <c r="D126" s="1478">
        <v>25</v>
      </c>
      <c r="E126" s="1136">
        <v>1</v>
      </c>
      <c r="F126" s="1128"/>
      <c r="G126" s="1129">
        <v>44294</v>
      </c>
      <c r="H126" s="1136">
        <v>10</v>
      </c>
      <c r="I126" s="1133">
        <f t="shared" si="68"/>
        <v>176970</v>
      </c>
      <c r="J126" s="1133">
        <f t="shared" si="69"/>
        <v>17697</v>
      </c>
      <c r="K126" s="1128"/>
      <c r="L126" s="1128"/>
      <c r="M126" s="1128"/>
      <c r="N126" s="1128"/>
      <c r="O126" s="1128"/>
      <c r="P126" s="1215"/>
      <c r="Q126" s="1215">
        <f>17697*20%</f>
        <v>3539.4</v>
      </c>
      <c r="R126" s="1177"/>
      <c r="S126" s="1133">
        <f t="shared" si="70"/>
        <v>21236.400000000001</v>
      </c>
      <c r="T126" s="1133">
        <f t="shared" si="71"/>
        <v>198206.4</v>
      </c>
      <c r="U126" s="1133">
        <f t="shared" si="72"/>
        <v>19820.64</v>
      </c>
      <c r="V126" s="1133">
        <f t="shared" si="73"/>
        <v>11387.163200000003</v>
      </c>
      <c r="W126" s="1133">
        <f t="shared" si="74"/>
        <v>3964.1280000000002</v>
      </c>
      <c r="X126" s="1133">
        <f t="shared" si="75"/>
        <v>163034.4688</v>
      </c>
      <c r="Y126" s="1133">
        <f t="shared" si="76"/>
        <v>2378476.7999999998</v>
      </c>
      <c r="Z126" s="1133">
        <f t="shared" si="77"/>
        <v>353940</v>
      </c>
      <c r="AA126" s="1133">
        <f t="shared" si="78"/>
        <v>2732416.8</v>
      </c>
      <c r="AB126" s="1133">
        <f t="shared" si="79"/>
        <v>95634.588000000003</v>
      </c>
      <c r="AC126" s="1133">
        <f t="shared" si="80"/>
        <v>142317.85824000003</v>
      </c>
      <c r="AD126" s="1133">
        <f t="shared" si="81"/>
        <v>122958.75600000001</v>
      </c>
      <c r="AE126" s="1133">
        <f t="shared" si="82"/>
        <v>81972.503999999986</v>
      </c>
      <c r="AF126" s="1133">
        <f t="shared" si="83"/>
        <v>3175300.50624</v>
      </c>
      <c r="AG126" s="1133" t="s">
        <v>3</v>
      </c>
    </row>
    <row r="127" spans="1:33">
      <c r="A127" s="1175">
        <f t="shared" si="84"/>
        <v>101</v>
      </c>
      <c r="B127" s="1134" t="s">
        <v>14</v>
      </c>
      <c r="C127" s="1134" t="s">
        <v>498</v>
      </c>
      <c r="D127" s="1478"/>
      <c r="E127" s="1136">
        <v>1</v>
      </c>
      <c r="F127" s="1128"/>
      <c r="G127" s="1129">
        <v>42342</v>
      </c>
      <c r="H127" s="1136">
        <v>10</v>
      </c>
      <c r="I127" s="1133">
        <f t="shared" si="68"/>
        <v>176970</v>
      </c>
      <c r="J127" s="1133">
        <f t="shared" si="69"/>
        <v>17697</v>
      </c>
      <c r="K127" s="1128"/>
      <c r="L127" s="1128"/>
      <c r="M127" s="1128"/>
      <c r="N127" s="1128"/>
      <c r="O127" s="1128"/>
      <c r="P127" s="1215">
        <f t="shared" ref="P127:P136" si="85">17697*30%</f>
        <v>5309.0999999999995</v>
      </c>
      <c r="Q127" s="1215"/>
      <c r="R127" s="1177"/>
      <c r="S127" s="1133">
        <f t="shared" si="70"/>
        <v>23006.1</v>
      </c>
      <c r="T127" s="1133">
        <f t="shared" si="71"/>
        <v>199976.1</v>
      </c>
      <c r="U127" s="1133">
        <f t="shared" si="72"/>
        <v>19997.61</v>
      </c>
      <c r="V127" s="1133">
        <f t="shared" si="73"/>
        <v>11542.8968</v>
      </c>
      <c r="W127" s="1133">
        <f t="shared" si="74"/>
        <v>3999.5220000000004</v>
      </c>
      <c r="X127" s="1133">
        <f t="shared" si="75"/>
        <v>164436.07120000001</v>
      </c>
      <c r="Y127" s="1133">
        <f t="shared" si="76"/>
        <v>2399713.2000000002</v>
      </c>
      <c r="Z127" s="1133">
        <f t="shared" si="77"/>
        <v>353940</v>
      </c>
      <c r="AA127" s="1133">
        <f t="shared" si="78"/>
        <v>2753653.2</v>
      </c>
      <c r="AB127" s="1133">
        <f t="shared" si="79"/>
        <v>96377.862000000023</v>
      </c>
      <c r="AC127" s="1133">
        <f t="shared" si="80"/>
        <v>143417.90376000002</v>
      </c>
      <c r="AD127" s="1133">
        <f t="shared" si="81"/>
        <v>123914.39400000003</v>
      </c>
      <c r="AE127" s="1133">
        <f t="shared" si="82"/>
        <v>82609.596000000005</v>
      </c>
      <c r="AF127" s="1133">
        <f t="shared" si="83"/>
        <v>3199972.9557600003</v>
      </c>
      <c r="AG127" s="1133" t="s">
        <v>3</v>
      </c>
    </row>
    <row r="128" spans="1:33">
      <c r="A128" s="1175">
        <f t="shared" si="84"/>
        <v>102</v>
      </c>
      <c r="B128" s="1134" t="s">
        <v>14</v>
      </c>
      <c r="C128" s="1134" t="s">
        <v>499</v>
      </c>
      <c r="D128" s="1478"/>
      <c r="E128" s="1136">
        <v>1</v>
      </c>
      <c r="F128" s="1128"/>
      <c r="G128" s="1129">
        <v>44455</v>
      </c>
      <c r="H128" s="1136">
        <v>10</v>
      </c>
      <c r="I128" s="1133">
        <f t="shared" si="68"/>
        <v>176970</v>
      </c>
      <c r="J128" s="1133">
        <f t="shared" si="69"/>
        <v>17697</v>
      </c>
      <c r="K128" s="1128"/>
      <c r="L128" s="1128"/>
      <c r="M128" s="1128"/>
      <c r="N128" s="1128"/>
      <c r="O128" s="1128"/>
      <c r="P128" s="1215">
        <f t="shared" si="85"/>
        <v>5309.0999999999995</v>
      </c>
      <c r="Q128" s="1215"/>
      <c r="R128" s="1177"/>
      <c r="S128" s="1133">
        <f t="shared" si="70"/>
        <v>23006.1</v>
      </c>
      <c r="T128" s="1133">
        <f t="shared" si="71"/>
        <v>199976.1</v>
      </c>
      <c r="U128" s="1133">
        <f t="shared" si="72"/>
        <v>19997.61</v>
      </c>
      <c r="V128" s="1133">
        <f t="shared" si="73"/>
        <v>11542.8968</v>
      </c>
      <c r="W128" s="1133">
        <f t="shared" si="74"/>
        <v>3999.5220000000004</v>
      </c>
      <c r="X128" s="1133">
        <f t="shared" si="75"/>
        <v>164436.07120000001</v>
      </c>
      <c r="Y128" s="1133">
        <f t="shared" si="76"/>
        <v>2399713.2000000002</v>
      </c>
      <c r="Z128" s="1133">
        <f t="shared" si="77"/>
        <v>353940</v>
      </c>
      <c r="AA128" s="1133">
        <f t="shared" si="78"/>
        <v>2753653.2</v>
      </c>
      <c r="AB128" s="1133">
        <f t="shared" si="79"/>
        <v>96377.862000000023</v>
      </c>
      <c r="AC128" s="1133">
        <f t="shared" si="80"/>
        <v>143417.90376000002</v>
      </c>
      <c r="AD128" s="1133">
        <f t="shared" si="81"/>
        <v>123914.39400000003</v>
      </c>
      <c r="AE128" s="1133">
        <f t="shared" si="82"/>
        <v>82609.596000000005</v>
      </c>
      <c r="AF128" s="1133">
        <f t="shared" si="83"/>
        <v>3199972.9557600003</v>
      </c>
      <c r="AG128" s="1133" t="s">
        <v>3</v>
      </c>
    </row>
    <row r="129" spans="1:33">
      <c r="A129" s="1175">
        <f t="shared" si="84"/>
        <v>103</v>
      </c>
      <c r="B129" s="1134" t="s">
        <v>14</v>
      </c>
      <c r="C129" s="1134" t="s">
        <v>500</v>
      </c>
      <c r="D129" s="1478"/>
      <c r="E129" s="1136">
        <v>1</v>
      </c>
      <c r="F129" s="1128"/>
      <c r="G129" s="1129">
        <v>42440</v>
      </c>
      <c r="H129" s="1136">
        <v>10</v>
      </c>
      <c r="I129" s="1133">
        <f t="shared" si="68"/>
        <v>176970</v>
      </c>
      <c r="J129" s="1133">
        <f t="shared" si="69"/>
        <v>17697</v>
      </c>
      <c r="K129" s="1128"/>
      <c r="L129" s="1128"/>
      <c r="M129" s="1128"/>
      <c r="N129" s="1128"/>
      <c r="O129" s="1128"/>
      <c r="P129" s="1215"/>
      <c r="Q129" s="1215">
        <f>17697*20%</f>
        <v>3539.4</v>
      </c>
      <c r="R129" s="1177"/>
      <c r="S129" s="1133">
        <f t="shared" si="70"/>
        <v>21236.400000000001</v>
      </c>
      <c r="T129" s="1133">
        <f t="shared" si="71"/>
        <v>198206.4</v>
      </c>
      <c r="U129" s="1133">
        <f t="shared" si="72"/>
        <v>19820.64</v>
      </c>
      <c r="V129" s="1133">
        <f t="shared" si="73"/>
        <v>11387.163200000003</v>
      </c>
      <c r="W129" s="1133">
        <f t="shared" si="74"/>
        <v>3964.1280000000002</v>
      </c>
      <c r="X129" s="1133">
        <f t="shared" si="75"/>
        <v>163034.4688</v>
      </c>
      <c r="Y129" s="1133">
        <f t="shared" si="76"/>
        <v>2378476.7999999998</v>
      </c>
      <c r="Z129" s="1133">
        <f t="shared" si="77"/>
        <v>353940</v>
      </c>
      <c r="AA129" s="1133">
        <f t="shared" si="78"/>
        <v>2732416.8</v>
      </c>
      <c r="AB129" s="1133">
        <f t="shared" si="79"/>
        <v>95634.588000000003</v>
      </c>
      <c r="AC129" s="1133">
        <f t="shared" si="80"/>
        <v>142317.85824000003</v>
      </c>
      <c r="AD129" s="1133">
        <f t="shared" si="81"/>
        <v>122958.75600000001</v>
      </c>
      <c r="AE129" s="1133">
        <f t="shared" si="82"/>
        <v>81972.503999999986</v>
      </c>
      <c r="AF129" s="1133">
        <f t="shared" si="83"/>
        <v>3175300.50624</v>
      </c>
      <c r="AG129" s="1133" t="s">
        <v>3</v>
      </c>
    </row>
    <row r="130" spans="1:33">
      <c r="A130" s="1175">
        <f t="shared" si="84"/>
        <v>104</v>
      </c>
      <c r="B130" s="1134" t="s">
        <v>14</v>
      </c>
      <c r="C130" s="1134" t="s">
        <v>502</v>
      </c>
      <c r="D130" s="1478"/>
      <c r="E130" s="1136">
        <v>1</v>
      </c>
      <c r="F130" s="1128"/>
      <c r="G130" s="1129">
        <v>44204</v>
      </c>
      <c r="H130" s="1136">
        <v>10</v>
      </c>
      <c r="I130" s="1133">
        <f t="shared" si="68"/>
        <v>176970</v>
      </c>
      <c r="J130" s="1133">
        <f t="shared" si="69"/>
        <v>17697</v>
      </c>
      <c r="K130" s="1128"/>
      <c r="L130" s="1128"/>
      <c r="M130" s="1128"/>
      <c r="N130" s="1128"/>
      <c r="O130" s="1128"/>
      <c r="P130" s="1215">
        <f t="shared" si="85"/>
        <v>5309.0999999999995</v>
      </c>
      <c r="Q130" s="1215"/>
      <c r="R130" s="1177"/>
      <c r="S130" s="1133">
        <f t="shared" si="70"/>
        <v>23006.1</v>
      </c>
      <c r="T130" s="1133">
        <f t="shared" si="71"/>
        <v>199976.1</v>
      </c>
      <c r="U130" s="1133">
        <f t="shared" si="72"/>
        <v>19997.61</v>
      </c>
      <c r="V130" s="1133">
        <f t="shared" si="73"/>
        <v>11542.8968</v>
      </c>
      <c r="W130" s="1133">
        <f t="shared" si="74"/>
        <v>3999.5220000000004</v>
      </c>
      <c r="X130" s="1133">
        <f t="shared" si="75"/>
        <v>164436.07120000001</v>
      </c>
      <c r="Y130" s="1133">
        <f t="shared" si="76"/>
        <v>2399713.2000000002</v>
      </c>
      <c r="Z130" s="1133">
        <f t="shared" si="77"/>
        <v>353940</v>
      </c>
      <c r="AA130" s="1133">
        <f t="shared" si="78"/>
        <v>2753653.2</v>
      </c>
      <c r="AB130" s="1133">
        <f t="shared" si="79"/>
        <v>96377.862000000023</v>
      </c>
      <c r="AC130" s="1133">
        <f t="shared" si="80"/>
        <v>143417.90376000002</v>
      </c>
      <c r="AD130" s="1133">
        <f t="shared" si="81"/>
        <v>123914.39400000003</v>
      </c>
      <c r="AE130" s="1133">
        <f t="shared" si="82"/>
        <v>82609.596000000005</v>
      </c>
      <c r="AF130" s="1133">
        <f t="shared" si="83"/>
        <v>3199972.9557600003</v>
      </c>
      <c r="AG130" s="1133" t="s">
        <v>3</v>
      </c>
    </row>
    <row r="131" spans="1:33" ht="21.75" customHeight="1">
      <c r="A131" s="1175">
        <f t="shared" si="84"/>
        <v>105</v>
      </c>
      <c r="B131" s="1134" t="s">
        <v>14</v>
      </c>
      <c r="C131" s="1134" t="s">
        <v>503</v>
      </c>
      <c r="D131" s="1478"/>
      <c r="E131" s="1136">
        <v>1</v>
      </c>
      <c r="F131" s="1128"/>
      <c r="G131" s="1129">
        <v>44204</v>
      </c>
      <c r="H131" s="1136">
        <v>10</v>
      </c>
      <c r="I131" s="1133">
        <f t="shared" si="68"/>
        <v>176970</v>
      </c>
      <c r="J131" s="1133">
        <f t="shared" si="69"/>
        <v>17697</v>
      </c>
      <c r="K131" s="1128"/>
      <c r="L131" s="1128"/>
      <c r="M131" s="1128"/>
      <c r="N131" s="1128"/>
      <c r="O131" s="1128"/>
      <c r="P131" s="1215">
        <f t="shared" si="85"/>
        <v>5309.0999999999995</v>
      </c>
      <c r="Q131" s="1215"/>
      <c r="R131" s="1177"/>
      <c r="S131" s="1133">
        <f t="shared" si="70"/>
        <v>23006.1</v>
      </c>
      <c r="T131" s="1133">
        <f t="shared" si="71"/>
        <v>199976.1</v>
      </c>
      <c r="U131" s="1133">
        <f t="shared" si="72"/>
        <v>19997.61</v>
      </c>
      <c r="V131" s="1133">
        <f t="shared" si="73"/>
        <v>11542.8968</v>
      </c>
      <c r="W131" s="1133">
        <f t="shared" si="74"/>
        <v>3999.5220000000004</v>
      </c>
      <c r="X131" s="1133">
        <f t="shared" si="75"/>
        <v>164436.07120000001</v>
      </c>
      <c r="Y131" s="1133">
        <f t="shared" si="76"/>
        <v>2399713.2000000002</v>
      </c>
      <c r="Z131" s="1133">
        <f t="shared" si="77"/>
        <v>353940</v>
      </c>
      <c r="AA131" s="1133">
        <f t="shared" si="78"/>
        <v>2753653.2</v>
      </c>
      <c r="AB131" s="1133">
        <f t="shared" si="79"/>
        <v>96377.862000000023</v>
      </c>
      <c r="AC131" s="1133">
        <f t="shared" si="80"/>
        <v>143417.90376000002</v>
      </c>
      <c r="AD131" s="1133">
        <f t="shared" si="81"/>
        <v>123914.39400000003</v>
      </c>
      <c r="AE131" s="1133">
        <f t="shared" si="82"/>
        <v>82609.596000000005</v>
      </c>
      <c r="AF131" s="1133">
        <f t="shared" si="83"/>
        <v>3199972.9557600003</v>
      </c>
      <c r="AG131" s="1133" t="s">
        <v>3</v>
      </c>
    </row>
    <row r="132" spans="1:33" ht="31.5">
      <c r="A132" s="1175">
        <f t="shared" si="84"/>
        <v>106</v>
      </c>
      <c r="B132" s="1134" t="s">
        <v>14</v>
      </c>
      <c r="C132" s="1134" t="s">
        <v>504</v>
      </c>
      <c r="D132" s="1478"/>
      <c r="E132" s="1136">
        <v>1</v>
      </c>
      <c r="F132" s="1128"/>
      <c r="G132" s="1129">
        <v>44453</v>
      </c>
      <c r="H132" s="1136">
        <v>10</v>
      </c>
      <c r="I132" s="1133">
        <f t="shared" si="68"/>
        <v>176970</v>
      </c>
      <c r="J132" s="1133">
        <f t="shared" si="69"/>
        <v>17697</v>
      </c>
      <c r="K132" s="1128"/>
      <c r="L132" s="1128"/>
      <c r="M132" s="1128"/>
      <c r="N132" s="1128"/>
      <c r="O132" s="1128"/>
      <c r="P132" s="1215">
        <f t="shared" si="85"/>
        <v>5309.0999999999995</v>
      </c>
      <c r="Q132" s="1215"/>
      <c r="R132" s="1177"/>
      <c r="S132" s="1133">
        <f t="shared" si="70"/>
        <v>23006.1</v>
      </c>
      <c r="T132" s="1133">
        <f t="shared" si="71"/>
        <v>199976.1</v>
      </c>
      <c r="U132" s="1133">
        <f t="shared" si="72"/>
        <v>19997.61</v>
      </c>
      <c r="V132" s="1133">
        <f t="shared" si="73"/>
        <v>11542.8968</v>
      </c>
      <c r="W132" s="1133">
        <f t="shared" si="74"/>
        <v>3999.5220000000004</v>
      </c>
      <c r="X132" s="1133">
        <f t="shared" si="75"/>
        <v>164436.07120000001</v>
      </c>
      <c r="Y132" s="1133">
        <f t="shared" si="76"/>
        <v>2399713.2000000002</v>
      </c>
      <c r="Z132" s="1133">
        <f t="shared" si="77"/>
        <v>353940</v>
      </c>
      <c r="AA132" s="1133">
        <f t="shared" si="78"/>
        <v>2753653.2</v>
      </c>
      <c r="AB132" s="1133">
        <f t="shared" si="79"/>
        <v>96377.862000000023</v>
      </c>
      <c r="AC132" s="1133">
        <f t="shared" si="80"/>
        <v>143417.90376000002</v>
      </c>
      <c r="AD132" s="1133">
        <f t="shared" si="81"/>
        <v>123914.39400000003</v>
      </c>
      <c r="AE132" s="1133">
        <f t="shared" si="82"/>
        <v>82609.596000000005</v>
      </c>
      <c r="AF132" s="1133">
        <f t="shared" si="83"/>
        <v>3199972.9557600003</v>
      </c>
      <c r="AG132" s="1133" t="s">
        <v>3</v>
      </c>
    </row>
    <row r="133" spans="1:33">
      <c r="A133" s="1175">
        <f t="shared" si="84"/>
        <v>107</v>
      </c>
      <c r="B133" s="1134" t="s">
        <v>14</v>
      </c>
      <c r="C133" s="1134" t="s">
        <v>505</v>
      </c>
      <c r="D133" s="1478"/>
      <c r="E133" s="1136">
        <v>1</v>
      </c>
      <c r="F133" s="1128"/>
      <c r="G133" s="1129">
        <v>44797</v>
      </c>
      <c r="H133" s="1136">
        <v>10</v>
      </c>
      <c r="I133" s="1133">
        <f t="shared" si="68"/>
        <v>176970</v>
      </c>
      <c r="J133" s="1133">
        <f t="shared" si="69"/>
        <v>17697</v>
      </c>
      <c r="K133" s="1128"/>
      <c r="L133" s="1128"/>
      <c r="M133" s="1128"/>
      <c r="N133" s="1128"/>
      <c r="O133" s="1128"/>
      <c r="P133" s="1215">
        <f t="shared" si="85"/>
        <v>5309.0999999999995</v>
      </c>
      <c r="Q133" s="1215"/>
      <c r="R133" s="1177"/>
      <c r="S133" s="1133">
        <f t="shared" si="70"/>
        <v>23006.1</v>
      </c>
      <c r="T133" s="1133">
        <f t="shared" si="71"/>
        <v>199976.1</v>
      </c>
      <c r="U133" s="1133">
        <f t="shared" si="72"/>
        <v>19997.61</v>
      </c>
      <c r="V133" s="1133">
        <f t="shared" si="73"/>
        <v>11542.8968</v>
      </c>
      <c r="W133" s="1133">
        <f t="shared" si="74"/>
        <v>3999.5220000000004</v>
      </c>
      <c r="X133" s="1133">
        <f t="shared" si="75"/>
        <v>164436.07120000001</v>
      </c>
      <c r="Y133" s="1133">
        <f t="shared" si="76"/>
        <v>2399713.2000000002</v>
      </c>
      <c r="Z133" s="1133">
        <f t="shared" si="77"/>
        <v>353940</v>
      </c>
      <c r="AA133" s="1133">
        <f t="shared" si="78"/>
        <v>2753653.2</v>
      </c>
      <c r="AB133" s="1133">
        <f t="shared" si="79"/>
        <v>96377.862000000023</v>
      </c>
      <c r="AC133" s="1133">
        <f t="shared" si="80"/>
        <v>143417.90376000002</v>
      </c>
      <c r="AD133" s="1133">
        <f t="shared" si="81"/>
        <v>123914.39400000003</v>
      </c>
      <c r="AE133" s="1133">
        <f t="shared" si="82"/>
        <v>82609.596000000005</v>
      </c>
      <c r="AF133" s="1133">
        <f t="shared" si="83"/>
        <v>3199972.9557600003</v>
      </c>
      <c r="AG133" s="1133" t="s">
        <v>3</v>
      </c>
    </row>
    <row r="134" spans="1:33">
      <c r="A134" s="1175">
        <f t="shared" si="84"/>
        <v>108</v>
      </c>
      <c r="B134" s="1134" t="s">
        <v>14</v>
      </c>
      <c r="C134" s="1134" t="s">
        <v>506</v>
      </c>
      <c r="D134" s="1478"/>
      <c r="E134" s="1136">
        <v>1</v>
      </c>
      <c r="F134" s="1128"/>
      <c r="G134" s="1129">
        <v>44204</v>
      </c>
      <c r="H134" s="1136">
        <v>10</v>
      </c>
      <c r="I134" s="1133">
        <f t="shared" si="68"/>
        <v>176970</v>
      </c>
      <c r="J134" s="1133">
        <f t="shared" si="69"/>
        <v>17697</v>
      </c>
      <c r="K134" s="1128"/>
      <c r="L134" s="1128"/>
      <c r="M134" s="1128"/>
      <c r="N134" s="1128"/>
      <c r="O134" s="1128"/>
      <c r="P134" s="1215"/>
      <c r="Q134" s="1215">
        <f>17697*20%</f>
        <v>3539.4</v>
      </c>
      <c r="R134" s="1177"/>
      <c r="S134" s="1133">
        <f t="shared" si="70"/>
        <v>21236.400000000001</v>
      </c>
      <c r="T134" s="1133">
        <f t="shared" si="71"/>
        <v>198206.4</v>
      </c>
      <c r="U134" s="1133">
        <f t="shared" si="72"/>
        <v>19820.64</v>
      </c>
      <c r="V134" s="1133">
        <f t="shared" si="73"/>
        <v>11387.163200000003</v>
      </c>
      <c r="W134" s="1133">
        <f t="shared" si="74"/>
        <v>3964.1280000000002</v>
      </c>
      <c r="X134" s="1133">
        <f t="shared" si="75"/>
        <v>163034.4688</v>
      </c>
      <c r="Y134" s="1133">
        <f t="shared" si="76"/>
        <v>2378476.7999999998</v>
      </c>
      <c r="Z134" s="1133">
        <f t="shared" si="77"/>
        <v>353940</v>
      </c>
      <c r="AA134" s="1133">
        <f t="shared" si="78"/>
        <v>2732416.8</v>
      </c>
      <c r="AB134" s="1133">
        <f t="shared" si="79"/>
        <v>95634.588000000003</v>
      </c>
      <c r="AC134" s="1133">
        <f t="shared" si="80"/>
        <v>142317.85824000003</v>
      </c>
      <c r="AD134" s="1133">
        <f t="shared" si="81"/>
        <v>122958.75600000001</v>
      </c>
      <c r="AE134" s="1133">
        <f t="shared" si="82"/>
        <v>81972.503999999986</v>
      </c>
      <c r="AF134" s="1133">
        <f t="shared" si="83"/>
        <v>3175300.50624</v>
      </c>
      <c r="AG134" s="1133" t="s">
        <v>3</v>
      </c>
    </row>
    <row r="135" spans="1:33">
      <c r="A135" s="1175">
        <f t="shared" si="84"/>
        <v>109</v>
      </c>
      <c r="B135" s="1134" t="s">
        <v>14</v>
      </c>
      <c r="C135" s="1134" t="s">
        <v>507</v>
      </c>
      <c r="D135" s="1478"/>
      <c r="E135" s="1136">
        <v>1</v>
      </c>
      <c r="F135" s="1128"/>
      <c r="G135" s="1129">
        <v>39314</v>
      </c>
      <c r="H135" s="1136">
        <v>10</v>
      </c>
      <c r="I135" s="1133">
        <f t="shared" si="68"/>
        <v>176970</v>
      </c>
      <c r="J135" s="1133">
        <f t="shared" si="69"/>
        <v>17697</v>
      </c>
      <c r="K135" s="1128"/>
      <c r="L135" s="1128"/>
      <c r="M135" s="1128"/>
      <c r="N135" s="1128"/>
      <c r="O135" s="1128"/>
      <c r="P135" s="1215"/>
      <c r="Q135" s="1215">
        <f>17697*20%</f>
        <v>3539.4</v>
      </c>
      <c r="R135" s="1177"/>
      <c r="S135" s="1133">
        <f t="shared" si="70"/>
        <v>21236.400000000001</v>
      </c>
      <c r="T135" s="1133">
        <f t="shared" si="71"/>
        <v>198206.4</v>
      </c>
      <c r="U135" s="1133">
        <f t="shared" si="72"/>
        <v>19820.64</v>
      </c>
      <c r="V135" s="1133">
        <f t="shared" si="73"/>
        <v>11387.163200000003</v>
      </c>
      <c r="W135" s="1133">
        <f t="shared" si="74"/>
        <v>3964.1280000000002</v>
      </c>
      <c r="X135" s="1133">
        <f t="shared" si="75"/>
        <v>163034.4688</v>
      </c>
      <c r="Y135" s="1133">
        <f t="shared" si="76"/>
        <v>2378476.7999999998</v>
      </c>
      <c r="Z135" s="1133">
        <f t="shared" si="77"/>
        <v>353940</v>
      </c>
      <c r="AA135" s="1133">
        <f t="shared" si="78"/>
        <v>2732416.8</v>
      </c>
      <c r="AB135" s="1133">
        <f t="shared" si="79"/>
        <v>95634.588000000003</v>
      </c>
      <c r="AC135" s="1133">
        <f t="shared" si="80"/>
        <v>142317.85824000003</v>
      </c>
      <c r="AD135" s="1133">
        <f t="shared" si="81"/>
        <v>122958.75600000001</v>
      </c>
      <c r="AE135" s="1133">
        <f t="shared" si="82"/>
        <v>81972.503999999986</v>
      </c>
      <c r="AF135" s="1133">
        <f t="shared" si="83"/>
        <v>3175300.50624</v>
      </c>
      <c r="AG135" s="1133" t="s">
        <v>3</v>
      </c>
    </row>
    <row r="136" spans="1:33">
      <c r="A136" s="1175">
        <f t="shared" si="84"/>
        <v>110</v>
      </c>
      <c r="B136" s="1134" t="s">
        <v>14</v>
      </c>
      <c r="C136" s="1134" t="s">
        <v>508</v>
      </c>
      <c r="D136" s="1478"/>
      <c r="E136" s="1136">
        <v>1</v>
      </c>
      <c r="F136" s="1128"/>
      <c r="G136" s="1129">
        <v>44204</v>
      </c>
      <c r="H136" s="1136">
        <v>10</v>
      </c>
      <c r="I136" s="1133">
        <f t="shared" si="68"/>
        <v>176970</v>
      </c>
      <c r="J136" s="1133">
        <f t="shared" si="69"/>
        <v>17697</v>
      </c>
      <c r="K136" s="1128"/>
      <c r="L136" s="1128"/>
      <c r="M136" s="1128"/>
      <c r="N136" s="1128"/>
      <c r="O136" s="1128"/>
      <c r="P136" s="1215">
        <f t="shared" si="85"/>
        <v>5309.0999999999995</v>
      </c>
      <c r="Q136" s="1177"/>
      <c r="R136" s="1177"/>
      <c r="S136" s="1133">
        <f t="shared" si="70"/>
        <v>23006.1</v>
      </c>
      <c r="T136" s="1133">
        <f t="shared" si="71"/>
        <v>199976.1</v>
      </c>
      <c r="U136" s="1133">
        <f t="shared" si="72"/>
        <v>19997.61</v>
      </c>
      <c r="V136" s="1133">
        <f t="shared" si="73"/>
        <v>11542.8968</v>
      </c>
      <c r="W136" s="1133">
        <f t="shared" si="74"/>
        <v>3999.5220000000004</v>
      </c>
      <c r="X136" s="1133">
        <f t="shared" si="75"/>
        <v>164436.07120000001</v>
      </c>
      <c r="Y136" s="1133">
        <f t="shared" si="76"/>
        <v>2399713.2000000002</v>
      </c>
      <c r="Z136" s="1133">
        <f t="shared" si="77"/>
        <v>353940</v>
      </c>
      <c r="AA136" s="1133">
        <f t="shared" si="78"/>
        <v>2753653.2</v>
      </c>
      <c r="AB136" s="1133">
        <f t="shared" si="79"/>
        <v>96377.862000000023</v>
      </c>
      <c r="AC136" s="1133">
        <f t="shared" si="80"/>
        <v>143417.90376000002</v>
      </c>
      <c r="AD136" s="1133">
        <f t="shared" si="81"/>
        <v>123914.39400000003</v>
      </c>
      <c r="AE136" s="1133">
        <f t="shared" si="82"/>
        <v>82609.596000000005</v>
      </c>
      <c r="AF136" s="1133">
        <f t="shared" si="83"/>
        <v>3199972.9557600003</v>
      </c>
      <c r="AG136" s="1133" t="s">
        <v>3</v>
      </c>
    </row>
    <row r="137" spans="1:33">
      <c r="A137" s="1175">
        <f t="shared" si="84"/>
        <v>111</v>
      </c>
      <c r="B137" s="1259" t="s">
        <v>14</v>
      </c>
      <c r="C137" s="1260" t="s">
        <v>2460</v>
      </c>
      <c r="D137" s="1479"/>
      <c r="E137" s="1261"/>
      <c r="F137" s="1128"/>
      <c r="G137" s="1251"/>
      <c r="H137" s="1262">
        <v>20</v>
      </c>
      <c r="I137" s="1253">
        <f>14*17697*H137</f>
        <v>4955160</v>
      </c>
      <c r="J137" s="1253">
        <f t="shared" si="69"/>
        <v>495516</v>
      </c>
      <c r="K137" s="1251"/>
      <c r="L137" s="1251"/>
      <c r="M137" s="1251"/>
      <c r="N137" s="1251"/>
      <c r="O137" s="1251"/>
      <c r="P137" s="1215">
        <f>17697*30%*14</f>
        <v>74327.399999999994</v>
      </c>
      <c r="Q137" s="1263"/>
      <c r="R137" s="1263"/>
      <c r="S137" s="1133">
        <f t="shared" si="70"/>
        <v>569843.4</v>
      </c>
      <c r="T137" s="1133">
        <f t="shared" si="71"/>
        <v>5525003.4000000004</v>
      </c>
      <c r="U137" s="1133">
        <f t="shared" si="72"/>
        <v>552500.34000000008</v>
      </c>
      <c r="V137" s="1133">
        <f t="shared" si="73"/>
        <v>480145.29920000007</v>
      </c>
      <c r="W137" s="1133">
        <f t="shared" si="74"/>
        <v>110500.06800000001</v>
      </c>
      <c r="X137" s="1133">
        <f t="shared" si="75"/>
        <v>4381857.6928000003</v>
      </c>
      <c r="Y137" s="1133">
        <f t="shared" si="76"/>
        <v>66300040.800000004</v>
      </c>
      <c r="Z137" s="1133">
        <f t="shared" si="77"/>
        <v>9910320</v>
      </c>
      <c r="AA137" s="1133">
        <f t="shared" si="78"/>
        <v>76210360.800000012</v>
      </c>
      <c r="AB137" s="1133">
        <f t="shared" si="79"/>
        <v>2667362.6280000005</v>
      </c>
      <c r="AC137" s="1133">
        <f t="shared" si="80"/>
        <v>3969499.3934400002</v>
      </c>
      <c r="AD137" s="1133">
        <f t="shared" si="81"/>
        <v>3429466.236000001</v>
      </c>
      <c r="AE137" s="1133">
        <f t="shared" si="82"/>
        <v>2286310.8240000005</v>
      </c>
      <c r="AF137" s="1133">
        <f t="shared" si="83"/>
        <v>88562999.881440014</v>
      </c>
      <c r="AG137" s="1133" t="s">
        <v>3</v>
      </c>
    </row>
    <row r="138" spans="1:33" ht="18.75" customHeight="1">
      <c r="A138" s="1168"/>
      <c r="B138" s="1169" t="s">
        <v>835</v>
      </c>
      <c r="C138" s="1170"/>
      <c r="D138" s="1171">
        <f>SUM(D111:D137)</f>
        <v>40</v>
      </c>
      <c r="E138" s="1171">
        <f>SUM(E111:E137)</f>
        <v>22.5</v>
      </c>
      <c r="F138" s="1168"/>
      <c r="G138" s="1168"/>
      <c r="H138" s="1168"/>
      <c r="I138" s="1173">
        <f t="shared" ref="I138:AF138" si="86">SUM(I111:I137)</f>
        <v>11361474</v>
      </c>
      <c r="J138" s="1173">
        <f t="shared" si="86"/>
        <v>1136147.4000000001</v>
      </c>
      <c r="K138" s="1173">
        <f t="shared" si="86"/>
        <v>0</v>
      </c>
      <c r="L138" s="1173">
        <f t="shared" si="86"/>
        <v>0</v>
      </c>
      <c r="M138" s="1173">
        <f t="shared" si="86"/>
        <v>0</v>
      </c>
      <c r="N138" s="1173">
        <f t="shared" si="86"/>
        <v>0</v>
      </c>
      <c r="O138" s="1173">
        <f t="shared" si="86"/>
        <v>6193.95</v>
      </c>
      <c r="P138" s="1173">
        <f t="shared" si="86"/>
        <v>111491.09999999999</v>
      </c>
      <c r="Q138" s="1173">
        <f t="shared" si="86"/>
        <v>14157.6</v>
      </c>
      <c r="R138" s="1173">
        <f t="shared" si="86"/>
        <v>13272.75</v>
      </c>
      <c r="S138" s="1173">
        <f t="shared" si="86"/>
        <v>1281262.8000000003</v>
      </c>
      <c r="T138" s="1173">
        <f t="shared" si="86"/>
        <v>12642736.800000001</v>
      </c>
      <c r="U138" s="1173">
        <f t="shared" si="86"/>
        <v>1264273.6800000002</v>
      </c>
      <c r="V138" s="1173">
        <f t="shared" si="86"/>
        <v>949075.83840000001</v>
      </c>
      <c r="W138" s="1173">
        <f t="shared" si="86"/>
        <v>252854.73599999998</v>
      </c>
      <c r="X138" s="1173">
        <f t="shared" si="86"/>
        <v>10176532.545600001</v>
      </c>
      <c r="Y138" s="1173">
        <f t="shared" si="86"/>
        <v>151712841.59999999</v>
      </c>
      <c r="Z138" s="1173">
        <f t="shared" si="86"/>
        <v>22722948</v>
      </c>
      <c r="AA138" s="1173">
        <f t="shared" si="86"/>
        <v>174435789.60000002</v>
      </c>
      <c r="AB138" s="1173">
        <f t="shared" si="86"/>
        <v>6105252.6360000018</v>
      </c>
      <c r="AC138" s="1173">
        <f t="shared" si="86"/>
        <v>12085764.386879999</v>
      </c>
      <c r="AD138" s="1173">
        <f t="shared" si="86"/>
        <v>7849610.5319999997</v>
      </c>
      <c r="AE138" s="1173">
        <f t="shared" si="86"/>
        <v>5233073.6880000001</v>
      </c>
      <c r="AF138" s="1173">
        <f t="shared" si="86"/>
        <v>205709490.84288001</v>
      </c>
      <c r="AG138" s="1174"/>
    </row>
    <row r="139" spans="1:33" ht="22.5" customHeight="1">
      <c r="A139" s="1484" t="s">
        <v>836</v>
      </c>
      <c r="B139" s="1484"/>
      <c r="C139" s="1484"/>
      <c r="D139" s="1484"/>
      <c r="E139" s="1484"/>
      <c r="F139" s="1484"/>
      <c r="G139" s="1484"/>
      <c r="H139" s="1484"/>
      <c r="I139" s="1484"/>
      <c r="J139" s="1484"/>
      <c r="K139" s="1484"/>
      <c r="L139" s="1484"/>
      <c r="M139" s="1484"/>
      <c r="N139" s="1484"/>
      <c r="O139" s="1484"/>
      <c r="P139" s="1484"/>
      <c r="Q139" s="1484"/>
      <c r="R139" s="1484"/>
      <c r="S139" s="1484"/>
      <c r="T139" s="1484"/>
      <c r="U139" s="1484"/>
      <c r="V139" s="1484"/>
      <c r="W139" s="1484"/>
      <c r="X139" s="1484"/>
      <c r="Y139" s="1484"/>
      <c r="Z139" s="1484"/>
      <c r="AA139" s="1484"/>
      <c r="AB139" s="1484"/>
      <c r="AC139" s="1484"/>
      <c r="AD139" s="1484"/>
      <c r="AE139" s="1484"/>
      <c r="AF139" s="1484"/>
      <c r="AG139" s="1484"/>
    </row>
    <row r="140" spans="1:33" ht="22.5" customHeight="1">
      <c r="A140" s="1475" t="s">
        <v>509</v>
      </c>
      <c r="B140" s="1475"/>
      <c r="C140" s="1475"/>
      <c r="D140" s="1475"/>
      <c r="E140" s="1475"/>
      <c r="F140" s="1475"/>
      <c r="G140" s="1475"/>
      <c r="H140" s="1475"/>
      <c r="I140" s="1475"/>
      <c r="J140" s="1475"/>
      <c r="K140" s="1475"/>
      <c r="L140" s="1475"/>
      <c r="M140" s="1475"/>
      <c r="N140" s="1475"/>
      <c r="O140" s="1475"/>
      <c r="P140" s="1475"/>
      <c r="Q140" s="1475"/>
      <c r="R140" s="1475"/>
      <c r="S140" s="1475"/>
      <c r="T140" s="1475"/>
      <c r="U140" s="1475"/>
      <c r="V140" s="1475"/>
      <c r="W140" s="1475"/>
      <c r="X140" s="1475"/>
      <c r="Y140" s="1475"/>
      <c r="Z140" s="1475"/>
      <c r="AA140" s="1475"/>
      <c r="AB140" s="1475"/>
      <c r="AC140" s="1475"/>
      <c r="AD140" s="1475"/>
      <c r="AE140" s="1475"/>
      <c r="AF140" s="1475"/>
      <c r="AG140" s="1475"/>
    </row>
    <row r="141" spans="1:33">
      <c r="A141" s="1264">
        <f>A137+1</f>
        <v>112</v>
      </c>
      <c r="B141" s="1134" t="s">
        <v>510</v>
      </c>
      <c r="C141" s="1135" t="s">
        <v>511</v>
      </c>
      <c r="D141" s="1175">
        <v>1</v>
      </c>
      <c r="E141" s="1175">
        <v>1</v>
      </c>
      <c r="F141" s="1175"/>
      <c r="G141" s="1129">
        <v>44629</v>
      </c>
      <c r="H141" s="1175">
        <v>31</v>
      </c>
      <c r="I141" s="1133">
        <f>E141*17697*H141</f>
        <v>548607</v>
      </c>
      <c r="J141" s="1133">
        <f>I141*10%</f>
        <v>54860.700000000004</v>
      </c>
      <c r="K141" s="1265"/>
      <c r="L141" s="1265"/>
      <c r="M141" s="1265"/>
      <c r="N141" s="1265"/>
      <c r="O141" s="1265"/>
      <c r="P141" s="1265"/>
      <c r="Q141" s="1265"/>
      <c r="R141" s="1265"/>
      <c r="S141" s="1133">
        <f t="shared" ref="S141" si="87">SUM(J141:R141)</f>
        <v>54860.700000000004</v>
      </c>
      <c r="T141" s="1133">
        <f t="shared" ref="T141" si="88">I141+S141</f>
        <v>603467.69999999995</v>
      </c>
      <c r="U141" s="1133">
        <f t="shared" ref="U141" si="89">T141*10%</f>
        <v>60346.77</v>
      </c>
      <c r="V141" s="1133">
        <f t="shared" ref="V141" si="90">((T141-U141-W141)-(14*4325))*10%</f>
        <v>47050.157599999991</v>
      </c>
      <c r="W141" s="1133">
        <f t="shared" ref="W141" si="91">T141*2%</f>
        <v>12069.353999999999</v>
      </c>
      <c r="X141" s="1133">
        <f t="shared" ref="X141" si="92">T141-U141-V141-W141</f>
        <v>484001.41839999997</v>
      </c>
      <c r="Y141" s="1133">
        <f t="shared" ref="Y141" si="93">T141*12</f>
        <v>7241612.3999999994</v>
      </c>
      <c r="Z141" s="1133">
        <f t="shared" ref="Z141" si="94">I141*2</f>
        <v>1097214</v>
      </c>
      <c r="AA141" s="1133">
        <f t="shared" ref="AA141" si="95">Y141+Z141</f>
        <v>8338826.3999999994</v>
      </c>
      <c r="AB141" s="1133">
        <f t="shared" ref="AB141" si="96">AA141*3.5%</f>
        <v>291858.924</v>
      </c>
      <c r="AC141" s="1133">
        <f t="shared" ref="AC141" si="97">(AA141*0.9-(W141*12))*11%-AD141</f>
        <v>434365.07832000003</v>
      </c>
      <c r="AD141" s="1133">
        <f t="shared" ref="AD141" si="98">AA141*0.9*5%</f>
        <v>375247.18800000002</v>
      </c>
      <c r="AE141" s="1133">
        <f t="shared" ref="AE141" si="99">AA141*3%</f>
        <v>250164.79199999999</v>
      </c>
      <c r="AF141" s="1133">
        <f t="shared" ref="AF141" si="100">AA141+AC141+AD141+AE141+AB141</f>
        <v>9690462.382319998</v>
      </c>
      <c r="AG141" s="1133" t="s">
        <v>3</v>
      </c>
    </row>
    <row r="142" spans="1:33" ht="22.5" customHeight="1">
      <c r="A142" s="1168"/>
      <c r="B142" s="1169" t="s">
        <v>827</v>
      </c>
      <c r="C142" s="1170"/>
      <c r="D142" s="1171">
        <f>SUM(D141)</f>
        <v>1</v>
      </c>
      <c r="E142" s="1171">
        <f t="shared" ref="E142:AF142" si="101">SUM(E141)</f>
        <v>1</v>
      </c>
      <c r="F142" s="1171">
        <f t="shared" si="101"/>
        <v>0</v>
      </c>
      <c r="G142" s="1171"/>
      <c r="H142" s="1171"/>
      <c r="I142" s="1173">
        <f t="shared" si="101"/>
        <v>548607</v>
      </c>
      <c r="J142" s="1173">
        <f t="shared" si="101"/>
        <v>54860.700000000004</v>
      </c>
      <c r="K142" s="1171">
        <f t="shared" si="101"/>
        <v>0</v>
      </c>
      <c r="L142" s="1171">
        <f t="shared" si="101"/>
        <v>0</v>
      </c>
      <c r="M142" s="1171">
        <f t="shared" si="101"/>
        <v>0</v>
      </c>
      <c r="N142" s="1171">
        <f t="shared" si="101"/>
        <v>0</v>
      </c>
      <c r="O142" s="1171">
        <f t="shared" si="101"/>
        <v>0</v>
      </c>
      <c r="P142" s="1171">
        <f t="shared" si="101"/>
        <v>0</v>
      </c>
      <c r="Q142" s="1171">
        <f t="shared" si="101"/>
        <v>0</v>
      </c>
      <c r="R142" s="1171">
        <f t="shared" si="101"/>
        <v>0</v>
      </c>
      <c r="S142" s="1173">
        <f t="shared" si="101"/>
        <v>54860.700000000004</v>
      </c>
      <c r="T142" s="1173">
        <f t="shared" si="101"/>
        <v>603467.69999999995</v>
      </c>
      <c r="U142" s="1173">
        <f t="shared" si="101"/>
        <v>60346.77</v>
      </c>
      <c r="V142" s="1173">
        <f t="shared" si="101"/>
        <v>47050.157599999991</v>
      </c>
      <c r="W142" s="1173">
        <f t="shared" si="101"/>
        <v>12069.353999999999</v>
      </c>
      <c r="X142" s="1173">
        <f t="shared" si="101"/>
        <v>484001.41839999997</v>
      </c>
      <c r="Y142" s="1173">
        <f t="shared" si="101"/>
        <v>7241612.3999999994</v>
      </c>
      <c r="Z142" s="1173">
        <f t="shared" si="101"/>
        <v>1097214</v>
      </c>
      <c r="AA142" s="1173">
        <f t="shared" si="101"/>
        <v>8338826.3999999994</v>
      </c>
      <c r="AB142" s="1173">
        <f>SUM(AB141)</f>
        <v>291858.924</v>
      </c>
      <c r="AC142" s="1173">
        <f t="shared" si="101"/>
        <v>434365.07832000003</v>
      </c>
      <c r="AD142" s="1173">
        <f t="shared" si="101"/>
        <v>375247.18800000002</v>
      </c>
      <c r="AE142" s="1173">
        <f t="shared" si="101"/>
        <v>250164.79199999999</v>
      </c>
      <c r="AF142" s="1173">
        <f t="shared" si="101"/>
        <v>9690462.382319998</v>
      </c>
      <c r="AG142" s="1174"/>
    </row>
    <row r="143" spans="1:33" ht="24.75" customHeight="1">
      <c r="A143" s="1460" t="s">
        <v>445</v>
      </c>
      <c r="B143" s="1460"/>
      <c r="C143" s="1460"/>
      <c r="D143" s="1460"/>
      <c r="E143" s="1460"/>
      <c r="F143" s="1460"/>
      <c r="G143" s="1460"/>
      <c r="H143" s="1460"/>
      <c r="I143" s="1460"/>
      <c r="J143" s="1460"/>
      <c r="K143" s="1460"/>
      <c r="L143" s="1460"/>
      <c r="M143" s="1460"/>
      <c r="N143" s="1460"/>
      <c r="O143" s="1460"/>
      <c r="P143" s="1460"/>
      <c r="Q143" s="1460"/>
      <c r="R143" s="1460"/>
      <c r="S143" s="1460"/>
      <c r="T143" s="1460"/>
      <c r="U143" s="1460"/>
      <c r="V143" s="1460"/>
      <c r="W143" s="1460"/>
      <c r="X143" s="1460"/>
      <c r="Y143" s="1460"/>
      <c r="Z143" s="1460"/>
      <c r="AA143" s="1460"/>
      <c r="AB143" s="1460"/>
      <c r="AC143" s="1460"/>
      <c r="AD143" s="1460"/>
      <c r="AE143" s="1460"/>
      <c r="AF143" s="1460"/>
      <c r="AG143" s="1460"/>
    </row>
    <row r="144" spans="1:33">
      <c r="A144" s="1175">
        <f>A141+1</f>
        <v>113</v>
      </c>
      <c r="B144" s="1134" t="s">
        <v>512</v>
      </c>
      <c r="C144" s="1157" t="s">
        <v>513</v>
      </c>
      <c r="D144" s="1477">
        <v>15</v>
      </c>
      <c r="E144" s="1175">
        <v>1</v>
      </c>
      <c r="F144" s="1175"/>
      <c r="G144" s="1129">
        <v>44826</v>
      </c>
      <c r="H144" s="1136">
        <v>17</v>
      </c>
      <c r="I144" s="1133">
        <f t="shared" ref="I144:I168" si="102">E144*17697*H144</f>
        <v>300849</v>
      </c>
      <c r="J144" s="1133">
        <f t="shared" ref="J144:J168" si="103">I144*10%</f>
        <v>30084.9</v>
      </c>
      <c r="K144" s="1133">
        <f>10*4325</f>
        <v>43250</v>
      </c>
      <c r="L144" s="1265"/>
      <c r="M144" s="1215">
        <f>I144*30%</f>
        <v>90254.7</v>
      </c>
      <c r="N144" s="1265"/>
      <c r="O144" s="1265"/>
      <c r="P144" s="1265"/>
      <c r="Q144" s="1265"/>
      <c r="R144" s="1265"/>
      <c r="S144" s="1133">
        <f t="shared" ref="S144:S168" si="104">SUM(J144:R144)</f>
        <v>163589.59999999998</v>
      </c>
      <c r="T144" s="1133">
        <f t="shared" ref="T144:T168" si="105">I144+S144</f>
        <v>464438.6</v>
      </c>
      <c r="U144" s="1133">
        <f t="shared" ref="U144:U168" si="106">T144*10%</f>
        <v>46443.86</v>
      </c>
      <c r="V144" s="1133">
        <f t="shared" ref="V144:V168" si="107">((T144-U144-W144)-(14*4325))*10%</f>
        <v>34815.596799999999</v>
      </c>
      <c r="W144" s="1133">
        <f t="shared" ref="W144:W168" si="108">T144*2%</f>
        <v>9288.771999999999</v>
      </c>
      <c r="X144" s="1133">
        <f t="shared" ref="X144:X168" si="109">T144-U144-V144-W144</f>
        <v>373890.37119999999</v>
      </c>
      <c r="Y144" s="1133">
        <f t="shared" ref="Y144:Y168" si="110">T144*12</f>
        <v>5573263.1999999993</v>
      </c>
      <c r="Z144" s="1133">
        <f t="shared" ref="Z144:Z168" si="111">I144*2</f>
        <v>601698</v>
      </c>
      <c r="AA144" s="1133">
        <f t="shared" ref="AA144:AA168" si="112">Y144+Z144</f>
        <v>6174961.1999999993</v>
      </c>
      <c r="AB144" s="1133">
        <f t="shared" ref="AB144:AB168" si="113">AA144*3.5%</f>
        <v>216123.64199999999</v>
      </c>
      <c r="AC144" s="1133">
        <f t="shared" ref="AC144:AC168" si="114">(AA144*0.9-(W144*12))*11%-AD144</f>
        <v>321186.72575999994</v>
      </c>
      <c r="AD144" s="1133">
        <f t="shared" ref="AD144:AD168" si="115">AA144*0.9*5%</f>
        <v>277873.25399999996</v>
      </c>
      <c r="AE144" s="1133">
        <f t="shared" ref="AE144:AE168" si="116">AA144*3%</f>
        <v>185248.83599999998</v>
      </c>
      <c r="AF144" s="1133">
        <f t="shared" ref="AF144:AF168" si="117">AA144+AC144+AD144+AE144+AB144</f>
        <v>7175393.6577599989</v>
      </c>
      <c r="AG144" s="1133" t="s">
        <v>3</v>
      </c>
    </row>
    <row r="145" spans="1:33" ht="31.5">
      <c r="A145" s="1175">
        <f>A144+1</f>
        <v>114</v>
      </c>
      <c r="B145" s="1134" t="s">
        <v>512</v>
      </c>
      <c r="C145" s="1266" t="s">
        <v>554</v>
      </c>
      <c r="D145" s="1478"/>
      <c r="E145" s="1175">
        <v>1</v>
      </c>
      <c r="F145" s="1175"/>
      <c r="G145" s="1129">
        <v>45180</v>
      </c>
      <c r="H145" s="1136">
        <v>17</v>
      </c>
      <c r="I145" s="1133">
        <f t="shared" si="102"/>
        <v>300849</v>
      </c>
      <c r="J145" s="1133">
        <f t="shared" si="103"/>
        <v>30084.9</v>
      </c>
      <c r="K145" s="1133"/>
      <c r="L145" s="1265"/>
      <c r="M145" s="1265"/>
      <c r="N145" s="1265"/>
      <c r="O145" s="1265"/>
      <c r="P145" s="1265"/>
      <c r="Q145" s="1265"/>
      <c r="R145" s="1265"/>
      <c r="S145" s="1133">
        <f t="shared" si="104"/>
        <v>30084.9</v>
      </c>
      <c r="T145" s="1133">
        <f t="shared" si="105"/>
        <v>330933.90000000002</v>
      </c>
      <c r="U145" s="1133">
        <f t="shared" si="106"/>
        <v>33093.390000000007</v>
      </c>
      <c r="V145" s="1133">
        <f t="shared" si="107"/>
        <v>23067.183199999999</v>
      </c>
      <c r="W145" s="1133">
        <f t="shared" si="108"/>
        <v>6618.6780000000008</v>
      </c>
      <c r="X145" s="1133">
        <f t="shared" si="109"/>
        <v>268154.64880000002</v>
      </c>
      <c r="Y145" s="1133">
        <f t="shared" si="110"/>
        <v>3971206.8000000003</v>
      </c>
      <c r="Z145" s="1133">
        <f t="shared" si="111"/>
        <v>601698</v>
      </c>
      <c r="AA145" s="1133">
        <f t="shared" si="112"/>
        <v>4572904.8000000007</v>
      </c>
      <c r="AB145" s="1133">
        <f t="shared" si="113"/>
        <v>160051.66800000003</v>
      </c>
      <c r="AC145" s="1133">
        <f t="shared" si="114"/>
        <v>238200.20424000002</v>
      </c>
      <c r="AD145" s="1133">
        <f t="shared" si="115"/>
        <v>205780.71600000004</v>
      </c>
      <c r="AE145" s="1133">
        <f t="shared" si="116"/>
        <v>137187.14400000003</v>
      </c>
      <c r="AF145" s="1133">
        <f t="shared" si="117"/>
        <v>5314124.5322400006</v>
      </c>
      <c r="AG145" s="1133" t="s">
        <v>3</v>
      </c>
    </row>
    <row r="146" spans="1:33">
      <c r="A146" s="1175">
        <f t="shared" ref="A146:A168" si="118">A145+1</f>
        <v>115</v>
      </c>
      <c r="B146" s="1134" t="s">
        <v>512</v>
      </c>
      <c r="C146" s="1134" t="s">
        <v>514</v>
      </c>
      <c r="D146" s="1478"/>
      <c r="E146" s="1175">
        <v>1</v>
      </c>
      <c r="F146" s="1175"/>
      <c r="G146" s="1129">
        <v>39675</v>
      </c>
      <c r="H146" s="1136">
        <v>21</v>
      </c>
      <c r="I146" s="1133">
        <f t="shared" si="102"/>
        <v>371637</v>
      </c>
      <c r="J146" s="1133">
        <f t="shared" si="103"/>
        <v>37163.700000000004</v>
      </c>
      <c r="K146" s="1133"/>
      <c r="L146" s="1265"/>
      <c r="M146" s="1215">
        <f>I146*30%</f>
        <v>111491.09999999999</v>
      </c>
      <c r="N146" s="1265"/>
      <c r="O146" s="1265"/>
      <c r="P146" s="1265"/>
      <c r="Q146" s="1265"/>
      <c r="R146" s="1265"/>
      <c r="S146" s="1133">
        <f t="shared" si="104"/>
        <v>148654.79999999999</v>
      </c>
      <c r="T146" s="1133">
        <f t="shared" si="105"/>
        <v>520291.8</v>
      </c>
      <c r="U146" s="1133">
        <f t="shared" si="106"/>
        <v>52029.18</v>
      </c>
      <c r="V146" s="1133">
        <f t="shared" si="107"/>
        <v>39730.678400000004</v>
      </c>
      <c r="W146" s="1133">
        <f t="shared" si="108"/>
        <v>10405.835999999999</v>
      </c>
      <c r="X146" s="1133">
        <f t="shared" si="109"/>
        <v>418126.10560000001</v>
      </c>
      <c r="Y146" s="1133">
        <f t="shared" si="110"/>
        <v>6243501.5999999996</v>
      </c>
      <c r="Z146" s="1133">
        <f t="shared" si="111"/>
        <v>743274</v>
      </c>
      <c r="AA146" s="1133">
        <f t="shared" si="112"/>
        <v>6986775.5999999996</v>
      </c>
      <c r="AB146" s="1133">
        <f t="shared" si="113"/>
        <v>244537.14600000001</v>
      </c>
      <c r="AC146" s="1133">
        <f t="shared" si="114"/>
        <v>363550.17888000002</v>
      </c>
      <c r="AD146" s="1133">
        <f t="shared" si="115"/>
        <v>314404.902</v>
      </c>
      <c r="AE146" s="1133">
        <f t="shared" si="116"/>
        <v>209603.26799999998</v>
      </c>
      <c r="AF146" s="1133">
        <f t="shared" si="117"/>
        <v>8118871.0948799998</v>
      </c>
      <c r="AG146" s="1133" t="s">
        <v>3</v>
      </c>
    </row>
    <row r="147" spans="1:33" ht="18.75" customHeight="1">
      <c r="A147" s="1175">
        <f t="shared" si="118"/>
        <v>116</v>
      </c>
      <c r="B147" s="1137" t="s">
        <v>512</v>
      </c>
      <c r="C147" s="1137" t="s">
        <v>448</v>
      </c>
      <c r="D147" s="1478"/>
      <c r="E147" s="1175">
        <v>1</v>
      </c>
      <c r="F147" s="1175"/>
      <c r="G147" s="1129">
        <v>45902</v>
      </c>
      <c r="H147" s="1139">
        <v>22</v>
      </c>
      <c r="I147" s="1133">
        <f>E147*17697*H147</f>
        <v>389334</v>
      </c>
      <c r="J147" s="1133">
        <f t="shared" si="103"/>
        <v>38933.4</v>
      </c>
      <c r="K147" s="1133"/>
      <c r="L147" s="1265"/>
      <c r="M147" s="1267"/>
      <c r="N147" s="1265"/>
      <c r="O147" s="1265"/>
      <c r="P147" s="1265"/>
      <c r="Q147" s="1265"/>
      <c r="R147" s="1265"/>
      <c r="S147" s="1133">
        <f t="shared" si="104"/>
        <v>38933.4</v>
      </c>
      <c r="T147" s="1133">
        <f t="shared" si="105"/>
        <v>428267.4</v>
      </c>
      <c r="U147" s="1133">
        <f t="shared" si="106"/>
        <v>42826.740000000005</v>
      </c>
      <c r="V147" s="1133">
        <f t="shared" si="107"/>
        <v>31632.531200000005</v>
      </c>
      <c r="W147" s="1133">
        <f t="shared" si="108"/>
        <v>8565.348</v>
      </c>
      <c r="X147" s="1133">
        <f t="shared" si="109"/>
        <v>345242.78080000001</v>
      </c>
      <c r="Y147" s="1133">
        <f t="shared" si="110"/>
        <v>5139208.8000000007</v>
      </c>
      <c r="Z147" s="1133">
        <f t="shared" si="111"/>
        <v>778668</v>
      </c>
      <c r="AA147" s="1133">
        <f t="shared" si="112"/>
        <v>5917876.8000000007</v>
      </c>
      <c r="AB147" s="1133">
        <f t="shared" si="113"/>
        <v>207125.68800000005</v>
      </c>
      <c r="AC147" s="1133">
        <f t="shared" si="114"/>
        <v>308259.08784000011</v>
      </c>
      <c r="AD147" s="1133">
        <f t="shared" si="115"/>
        <v>266304.45600000006</v>
      </c>
      <c r="AE147" s="1133">
        <f t="shared" si="116"/>
        <v>177536.304</v>
      </c>
      <c r="AF147" s="1133">
        <f t="shared" si="117"/>
        <v>6877102.3358400008</v>
      </c>
      <c r="AG147" s="1133" t="s">
        <v>3</v>
      </c>
    </row>
    <row r="148" spans="1:33">
      <c r="A148" s="1175">
        <f t="shared" si="118"/>
        <v>117</v>
      </c>
      <c r="B148" s="1134" t="s">
        <v>512</v>
      </c>
      <c r="C148" s="1134" t="s">
        <v>515</v>
      </c>
      <c r="D148" s="1478"/>
      <c r="E148" s="1175">
        <v>1</v>
      </c>
      <c r="F148" s="1175"/>
      <c r="G148" s="1129">
        <v>33486</v>
      </c>
      <c r="H148" s="1136">
        <v>24</v>
      </c>
      <c r="I148" s="1133">
        <f t="shared" si="102"/>
        <v>424728</v>
      </c>
      <c r="J148" s="1133">
        <f t="shared" si="103"/>
        <v>42472.800000000003</v>
      </c>
      <c r="K148" s="1133"/>
      <c r="L148" s="1265"/>
      <c r="M148" s="1267">
        <f>I148*30%</f>
        <v>127418.4</v>
      </c>
      <c r="N148" s="1215"/>
      <c r="O148" s="1265"/>
      <c r="P148" s="1265"/>
      <c r="Q148" s="1265"/>
      <c r="R148" s="1265"/>
      <c r="S148" s="1133">
        <f t="shared" si="104"/>
        <v>169891.20000000001</v>
      </c>
      <c r="T148" s="1133">
        <f t="shared" si="105"/>
        <v>594619.19999999995</v>
      </c>
      <c r="U148" s="1133">
        <f t="shared" si="106"/>
        <v>59461.919999999998</v>
      </c>
      <c r="V148" s="1133">
        <f t="shared" si="107"/>
        <v>46271.489599999994</v>
      </c>
      <c r="W148" s="1133">
        <f t="shared" si="108"/>
        <v>11892.384</v>
      </c>
      <c r="X148" s="1133">
        <f t="shared" si="109"/>
        <v>476993.40639999992</v>
      </c>
      <c r="Y148" s="1133">
        <f t="shared" si="110"/>
        <v>7135430.3999999994</v>
      </c>
      <c r="Z148" s="1133">
        <f t="shared" si="111"/>
        <v>849456</v>
      </c>
      <c r="AA148" s="1133">
        <f t="shared" si="112"/>
        <v>7984886.3999999994</v>
      </c>
      <c r="AB148" s="1133">
        <f t="shared" si="113"/>
        <v>279471.02400000003</v>
      </c>
      <c r="AC148" s="1133">
        <f t="shared" si="114"/>
        <v>415485.91871999996</v>
      </c>
      <c r="AD148" s="1133">
        <f t="shared" si="115"/>
        <v>359319.88800000004</v>
      </c>
      <c r="AE148" s="1133">
        <f t="shared" si="116"/>
        <v>239546.59199999998</v>
      </c>
      <c r="AF148" s="1133">
        <f t="shared" si="117"/>
        <v>9278709.8227200005</v>
      </c>
      <c r="AG148" s="1133" t="s">
        <v>3</v>
      </c>
    </row>
    <row r="149" spans="1:33" ht="31.5">
      <c r="A149" s="1175">
        <f t="shared" si="118"/>
        <v>118</v>
      </c>
      <c r="B149" s="1134" t="s">
        <v>512</v>
      </c>
      <c r="C149" s="1134" t="s">
        <v>516</v>
      </c>
      <c r="D149" s="1478"/>
      <c r="E149" s="1175">
        <v>1</v>
      </c>
      <c r="F149" s="1175"/>
      <c r="G149" s="1129">
        <v>45170</v>
      </c>
      <c r="H149" s="1136">
        <v>22</v>
      </c>
      <c r="I149" s="1133">
        <f t="shared" si="102"/>
        <v>389334</v>
      </c>
      <c r="J149" s="1133">
        <f t="shared" si="103"/>
        <v>38933.4</v>
      </c>
      <c r="K149" s="1133"/>
      <c r="L149" s="1265"/>
      <c r="M149" s="1267"/>
      <c r="N149" s="1215"/>
      <c r="O149" s="1265"/>
      <c r="P149" s="1265"/>
      <c r="Q149" s="1265"/>
      <c r="R149" s="1265"/>
      <c r="S149" s="1133">
        <f t="shared" si="104"/>
        <v>38933.4</v>
      </c>
      <c r="T149" s="1133">
        <f t="shared" si="105"/>
        <v>428267.4</v>
      </c>
      <c r="U149" s="1133">
        <f t="shared" si="106"/>
        <v>42826.740000000005</v>
      </c>
      <c r="V149" s="1133">
        <f t="shared" si="107"/>
        <v>31632.531200000005</v>
      </c>
      <c r="W149" s="1133">
        <f t="shared" si="108"/>
        <v>8565.348</v>
      </c>
      <c r="X149" s="1133">
        <f t="shared" si="109"/>
        <v>345242.78080000001</v>
      </c>
      <c r="Y149" s="1133">
        <f t="shared" si="110"/>
        <v>5139208.8000000007</v>
      </c>
      <c r="Z149" s="1133">
        <f t="shared" si="111"/>
        <v>778668</v>
      </c>
      <c r="AA149" s="1133">
        <f t="shared" si="112"/>
        <v>5917876.8000000007</v>
      </c>
      <c r="AB149" s="1133">
        <f t="shared" si="113"/>
        <v>207125.68800000005</v>
      </c>
      <c r="AC149" s="1133">
        <f t="shared" si="114"/>
        <v>308259.08784000011</v>
      </c>
      <c r="AD149" s="1133">
        <f t="shared" si="115"/>
        <v>266304.45600000006</v>
      </c>
      <c r="AE149" s="1133">
        <f t="shared" si="116"/>
        <v>177536.304</v>
      </c>
      <c r="AF149" s="1133">
        <f t="shared" si="117"/>
        <v>6877102.3358400008</v>
      </c>
      <c r="AG149" s="1133" t="s">
        <v>3</v>
      </c>
    </row>
    <row r="150" spans="1:33" ht="31.5">
      <c r="A150" s="1175">
        <f t="shared" si="118"/>
        <v>119</v>
      </c>
      <c r="B150" s="1134" t="s">
        <v>512</v>
      </c>
      <c r="C150" s="1134" t="s">
        <v>517</v>
      </c>
      <c r="D150" s="1478"/>
      <c r="E150" s="1175">
        <v>1</v>
      </c>
      <c r="F150" s="1175"/>
      <c r="G150" s="1129">
        <v>40045</v>
      </c>
      <c r="H150" s="1136">
        <v>24</v>
      </c>
      <c r="I150" s="1133">
        <f t="shared" si="102"/>
        <v>424728</v>
      </c>
      <c r="J150" s="1133">
        <f t="shared" si="103"/>
        <v>42472.800000000003</v>
      </c>
      <c r="K150" s="1133"/>
      <c r="L150" s="1265"/>
      <c r="M150" s="1267">
        <f t="shared" ref="M150:M156" si="119">I150*30%</f>
        <v>127418.4</v>
      </c>
      <c r="N150" s="1215"/>
      <c r="O150" s="1265"/>
      <c r="P150" s="1265"/>
      <c r="Q150" s="1265"/>
      <c r="R150" s="1265"/>
      <c r="S150" s="1133">
        <f t="shared" si="104"/>
        <v>169891.20000000001</v>
      </c>
      <c r="T150" s="1133">
        <f t="shared" si="105"/>
        <v>594619.19999999995</v>
      </c>
      <c r="U150" s="1133">
        <f t="shared" si="106"/>
        <v>59461.919999999998</v>
      </c>
      <c r="V150" s="1133">
        <f t="shared" si="107"/>
        <v>46271.489599999994</v>
      </c>
      <c r="W150" s="1133">
        <f t="shared" si="108"/>
        <v>11892.384</v>
      </c>
      <c r="X150" s="1133">
        <f t="shared" si="109"/>
        <v>476993.40639999992</v>
      </c>
      <c r="Y150" s="1133">
        <f t="shared" si="110"/>
        <v>7135430.3999999994</v>
      </c>
      <c r="Z150" s="1133">
        <f t="shared" si="111"/>
        <v>849456</v>
      </c>
      <c r="AA150" s="1133">
        <f t="shared" si="112"/>
        <v>7984886.3999999994</v>
      </c>
      <c r="AB150" s="1133">
        <f t="shared" si="113"/>
        <v>279471.02400000003</v>
      </c>
      <c r="AC150" s="1133">
        <f t="shared" si="114"/>
        <v>415485.91871999996</v>
      </c>
      <c r="AD150" s="1133">
        <f t="shared" si="115"/>
        <v>359319.88800000004</v>
      </c>
      <c r="AE150" s="1133">
        <f t="shared" si="116"/>
        <v>239546.59199999998</v>
      </c>
      <c r="AF150" s="1133">
        <f t="shared" si="117"/>
        <v>9278709.8227200005</v>
      </c>
      <c r="AG150" s="1133" t="s">
        <v>3</v>
      </c>
    </row>
    <row r="151" spans="1:33" ht="31.5">
      <c r="A151" s="1175">
        <f t="shared" si="118"/>
        <v>120</v>
      </c>
      <c r="B151" s="1134" t="s">
        <v>512</v>
      </c>
      <c r="C151" s="1134" t="s">
        <v>518</v>
      </c>
      <c r="D151" s="1478"/>
      <c r="E151" s="1175">
        <v>1</v>
      </c>
      <c r="F151" s="1175"/>
      <c r="G151" s="1129">
        <v>38155</v>
      </c>
      <c r="H151" s="1136">
        <v>22</v>
      </c>
      <c r="I151" s="1133">
        <f t="shared" si="102"/>
        <v>389334</v>
      </c>
      <c r="J151" s="1133">
        <f t="shared" si="103"/>
        <v>38933.4</v>
      </c>
      <c r="K151" s="1133"/>
      <c r="L151" s="1265"/>
      <c r="M151" s="1267">
        <f t="shared" si="119"/>
        <v>116800.2</v>
      </c>
      <c r="N151" s="1215"/>
      <c r="O151" s="1265"/>
      <c r="P151" s="1265"/>
      <c r="Q151" s="1265"/>
      <c r="R151" s="1265"/>
      <c r="S151" s="1133">
        <f t="shared" si="104"/>
        <v>155733.6</v>
      </c>
      <c r="T151" s="1133">
        <f t="shared" si="105"/>
        <v>545067.6</v>
      </c>
      <c r="U151" s="1133">
        <f t="shared" si="106"/>
        <v>54506.76</v>
      </c>
      <c r="V151" s="1133">
        <f t="shared" si="107"/>
        <v>41910.948799999998</v>
      </c>
      <c r="W151" s="1133">
        <f t="shared" si="108"/>
        <v>10901.351999999999</v>
      </c>
      <c r="X151" s="1133">
        <f t="shared" si="109"/>
        <v>437748.53919999994</v>
      </c>
      <c r="Y151" s="1133">
        <f t="shared" si="110"/>
        <v>6540811.1999999993</v>
      </c>
      <c r="Z151" s="1133">
        <f t="shared" si="111"/>
        <v>778668</v>
      </c>
      <c r="AA151" s="1133">
        <f t="shared" si="112"/>
        <v>7319479.1999999993</v>
      </c>
      <c r="AB151" s="1133">
        <f t="shared" si="113"/>
        <v>256181.772</v>
      </c>
      <c r="AC151" s="1133">
        <f t="shared" si="114"/>
        <v>380862.09215999988</v>
      </c>
      <c r="AD151" s="1133">
        <f t="shared" si="115"/>
        <v>329376.56400000001</v>
      </c>
      <c r="AE151" s="1133">
        <f t="shared" si="116"/>
        <v>219584.37599999996</v>
      </c>
      <c r="AF151" s="1133">
        <f t="shared" si="117"/>
        <v>8505484.00416</v>
      </c>
      <c r="AG151" s="1133" t="s">
        <v>3</v>
      </c>
    </row>
    <row r="152" spans="1:33">
      <c r="A152" s="1175">
        <f t="shared" si="118"/>
        <v>121</v>
      </c>
      <c r="B152" s="1134" t="s">
        <v>512</v>
      </c>
      <c r="C152" s="1134" t="s">
        <v>933</v>
      </c>
      <c r="D152" s="1478"/>
      <c r="E152" s="1175">
        <v>1</v>
      </c>
      <c r="F152" s="1175"/>
      <c r="G152" s="1129">
        <v>45923</v>
      </c>
      <c r="H152" s="1136">
        <v>17</v>
      </c>
      <c r="I152" s="1133">
        <f t="shared" si="102"/>
        <v>300849</v>
      </c>
      <c r="J152" s="1133">
        <f t="shared" si="103"/>
        <v>30084.9</v>
      </c>
      <c r="K152" s="1133"/>
      <c r="L152" s="1265"/>
      <c r="M152" s="1267"/>
      <c r="N152" s="1215"/>
      <c r="O152" s="1265"/>
      <c r="P152" s="1265"/>
      <c r="Q152" s="1265"/>
      <c r="R152" s="1265"/>
      <c r="S152" s="1133">
        <f t="shared" si="104"/>
        <v>30084.9</v>
      </c>
      <c r="T152" s="1133">
        <f t="shared" si="105"/>
        <v>330933.90000000002</v>
      </c>
      <c r="U152" s="1133">
        <f t="shared" si="106"/>
        <v>33093.390000000007</v>
      </c>
      <c r="V152" s="1133">
        <f t="shared" si="107"/>
        <v>23067.183199999999</v>
      </c>
      <c r="W152" s="1133">
        <f t="shared" si="108"/>
        <v>6618.6780000000008</v>
      </c>
      <c r="X152" s="1133">
        <f t="shared" si="109"/>
        <v>268154.64880000002</v>
      </c>
      <c r="Y152" s="1133">
        <f t="shared" si="110"/>
        <v>3971206.8000000003</v>
      </c>
      <c r="Z152" s="1133">
        <f t="shared" si="111"/>
        <v>601698</v>
      </c>
      <c r="AA152" s="1133">
        <f t="shared" si="112"/>
        <v>4572904.8000000007</v>
      </c>
      <c r="AB152" s="1133">
        <f t="shared" si="113"/>
        <v>160051.66800000003</v>
      </c>
      <c r="AC152" s="1133">
        <f t="shared" si="114"/>
        <v>238200.20424000002</v>
      </c>
      <c r="AD152" s="1133">
        <f t="shared" si="115"/>
        <v>205780.71600000004</v>
      </c>
      <c r="AE152" s="1133">
        <f t="shared" si="116"/>
        <v>137187.14400000003</v>
      </c>
      <c r="AF152" s="1133">
        <f t="shared" si="117"/>
        <v>5314124.5322400006</v>
      </c>
      <c r="AG152" s="1133" t="s">
        <v>3</v>
      </c>
    </row>
    <row r="153" spans="1:33">
      <c r="A153" s="1175">
        <f t="shared" si="118"/>
        <v>122</v>
      </c>
      <c r="B153" s="1134" t="s">
        <v>512</v>
      </c>
      <c r="C153" s="1221" t="s">
        <v>519</v>
      </c>
      <c r="D153" s="1478"/>
      <c r="E153" s="1175">
        <v>1</v>
      </c>
      <c r="F153" s="1175"/>
      <c r="G153" s="1129">
        <v>44644</v>
      </c>
      <c r="H153" s="1136">
        <v>17</v>
      </c>
      <c r="I153" s="1133">
        <f t="shared" si="102"/>
        <v>300849</v>
      </c>
      <c r="J153" s="1133">
        <f t="shared" si="103"/>
        <v>30084.9</v>
      </c>
      <c r="K153" s="1133"/>
      <c r="L153" s="1265"/>
      <c r="M153" s="1215"/>
      <c r="N153" s="1215"/>
      <c r="O153" s="1265"/>
      <c r="P153" s="1265"/>
      <c r="Q153" s="1265"/>
      <c r="R153" s="1265"/>
      <c r="S153" s="1133">
        <f t="shared" si="104"/>
        <v>30084.9</v>
      </c>
      <c r="T153" s="1133">
        <f t="shared" si="105"/>
        <v>330933.90000000002</v>
      </c>
      <c r="U153" s="1133">
        <f t="shared" si="106"/>
        <v>33093.390000000007</v>
      </c>
      <c r="V153" s="1133">
        <f t="shared" si="107"/>
        <v>23067.183199999999</v>
      </c>
      <c r="W153" s="1133">
        <f t="shared" si="108"/>
        <v>6618.6780000000008</v>
      </c>
      <c r="X153" s="1133">
        <f t="shared" si="109"/>
        <v>268154.64880000002</v>
      </c>
      <c r="Y153" s="1133">
        <f t="shared" si="110"/>
        <v>3971206.8000000003</v>
      </c>
      <c r="Z153" s="1133">
        <f t="shared" si="111"/>
        <v>601698</v>
      </c>
      <c r="AA153" s="1133">
        <f t="shared" si="112"/>
        <v>4572904.8000000007</v>
      </c>
      <c r="AB153" s="1133">
        <f t="shared" si="113"/>
        <v>160051.66800000003</v>
      </c>
      <c r="AC153" s="1133">
        <f t="shared" si="114"/>
        <v>238200.20424000002</v>
      </c>
      <c r="AD153" s="1133">
        <f t="shared" si="115"/>
        <v>205780.71600000004</v>
      </c>
      <c r="AE153" s="1133">
        <f t="shared" si="116"/>
        <v>137187.14400000003</v>
      </c>
      <c r="AF153" s="1133">
        <f t="shared" si="117"/>
        <v>5314124.5322400006</v>
      </c>
      <c r="AG153" s="1133" t="s">
        <v>3</v>
      </c>
    </row>
    <row r="154" spans="1:33">
      <c r="A154" s="1175">
        <f t="shared" si="118"/>
        <v>123</v>
      </c>
      <c r="B154" s="1134" t="s">
        <v>512</v>
      </c>
      <c r="C154" s="1134" t="s">
        <v>520</v>
      </c>
      <c r="D154" s="1478"/>
      <c r="E154" s="1175">
        <v>1</v>
      </c>
      <c r="F154" s="1175"/>
      <c r="G154" s="1129">
        <v>42251</v>
      </c>
      <c r="H154" s="1136">
        <v>22</v>
      </c>
      <c r="I154" s="1133">
        <f t="shared" si="102"/>
        <v>389334</v>
      </c>
      <c r="J154" s="1133">
        <f t="shared" si="103"/>
        <v>38933.4</v>
      </c>
      <c r="K154" s="1133"/>
      <c r="L154" s="1265"/>
      <c r="M154" s="1267"/>
      <c r="N154" s="1215"/>
      <c r="O154" s="1265"/>
      <c r="P154" s="1265"/>
      <c r="Q154" s="1265"/>
      <c r="R154" s="1265"/>
      <c r="S154" s="1133">
        <f t="shared" si="104"/>
        <v>38933.4</v>
      </c>
      <c r="T154" s="1133">
        <f t="shared" si="105"/>
        <v>428267.4</v>
      </c>
      <c r="U154" s="1133">
        <f t="shared" si="106"/>
        <v>42826.740000000005</v>
      </c>
      <c r="V154" s="1133">
        <f t="shared" si="107"/>
        <v>31632.531200000005</v>
      </c>
      <c r="W154" s="1133">
        <f t="shared" si="108"/>
        <v>8565.348</v>
      </c>
      <c r="X154" s="1133">
        <f t="shared" si="109"/>
        <v>345242.78080000001</v>
      </c>
      <c r="Y154" s="1133">
        <f t="shared" si="110"/>
        <v>5139208.8000000007</v>
      </c>
      <c r="Z154" s="1133">
        <f t="shared" si="111"/>
        <v>778668</v>
      </c>
      <c r="AA154" s="1133">
        <f t="shared" si="112"/>
        <v>5917876.8000000007</v>
      </c>
      <c r="AB154" s="1133">
        <f t="shared" si="113"/>
        <v>207125.68800000005</v>
      </c>
      <c r="AC154" s="1133">
        <f t="shared" si="114"/>
        <v>308259.08784000011</v>
      </c>
      <c r="AD154" s="1133">
        <f t="shared" si="115"/>
        <v>266304.45600000006</v>
      </c>
      <c r="AE154" s="1133">
        <f t="shared" si="116"/>
        <v>177536.304</v>
      </c>
      <c r="AF154" s="1133">
        <f t="shared" si="117"/>
        <v>6877102.3358400008</v>
      </c>
      <c r="AG154" s="1133" t="s">
        <v>3</v>
      </c>
    </row>
    <row r="155" spans="1:33">
      <c r="A155" s="1175">
        <f t="shared" si="118"/>
        <v>124</v>
      </c>
      <c r="B155" s="1134" t="s">
        <v>512</v>
      </c>
      <c r="C155" s="1134" t="s">
        <v>521</v>
      </c>
      <c r="D155" s="1478"/>
      <c r="E155" s="1175">
        <v>1</v>
      </c>
      <c r="F155" s="1175"/>
      <c r="G155" s="1129">
        <v>41517</v>
      </c>
      <c r="H155" s="1136">
        <v>22</v>
      </c>
      <c r="I155" s="1133">
        <f t="shared" si="102"/>
        <v>389334</v>
      </c>
      <c r="J155" s="1133">
        <f t="shared" si="103"/>
        <v>38933.4</v>
      </c>
      <c r="K155" s="1133"/>
      <c r="L155" s="1265"/>
      <c r="M155" s="1267">
        <f t="shared" si="119"/>
        <v>116800.2</v>
      </c>
      <c r="N155" s="1265"/>
      <c r="O155" s="1265"/>
      <c r="P155" s="1265"/>
      <c r="Q155" s="1265"/>
      <c r="R155" s="1265"/>
      <c r="S155" s="1133">
        <f t="shared" si="104"/>
        <v>155733.6</v>
      </c>
      <c r="T155" s="1133">
        <f t="shared" si="105"/>
        <v>545067.6</v>
      </c>
      <c r="U155" s="1133">
        <f t="shared" si="106"/>
        <v>54506.76</v>
      </c>
      <c r="V155" s="1133">
        <f t="shared" si="107"/>
        <v>41910.948799999998</v>
      </c>
      <c r="W155" s="1133">
        <f t="shared" si="108"/>
        <v>10901.351999999999</v>
      </c>
      <c r="X155" s="1133">
        <f t="shared" si="109"/>
        <v>437748.53919999994</v>
      </c>
      <c r="Y155" s="1133">
        <f t="shared" si="110"/>
        <v>6540811.1999999993</v>
      </c>
      <c r="Z155" s="1133">
        <f t="shared" si="111"/>
        <v>778668</v>
      </c>
      <c r="AA155" s="1133">
        <f t="shared" si="112"/>
        <v>7319479.1999999993</v>
      </c>
      <c r="AB155" s="1133">
        <f t="shared" si="113"/>
        <v>256181.772</v>
      </c>
      <c r="AC155" s="1133">
        <f t="shared" si="114"/>
        <v>380862.09215999988</v>
      </c>
      <c r="AD155" s="1133">
        <f t="shared" si="115"/>
        <v>329376.56400000001</v>
      </c>
      <c r="AE155" s="1133">
        <f t="shared" si="116"/>
        <v>219584.37599999996</v>
      </c>
      <c r="AF155" s="1133">
        <f t="shared" si="117"/>
        <v>8505484.00416</v>
      </c>
      <c r="AG155" s="1133" t="s">
        <v>3</v>
      </c>
    </row>
    <row r="156" spans="1:33">
      <c r="A156" s="1175">
        <f t="shared" si="118"/>
        <v>125</v>
      </c>
      <c r="B156" s="1134" t="s">
        <v>512</v>
      </c>
      <c r="C156" s="1134" t="s">
        <v>522</v>
      </c>
      <c r="D156" s="1478"/>
      <c r="E156" s="1175">
        <v>1</v>
      </c>
      <c r="F156" s="1175"/>
      <c r="G156" s="1129">
        <v>39685</v>
      </c>
      <c r="H156" s="1136">
        <v>22</v>
      </c>
      <c r="I156" s="1133">
        <f t="shared" si="102"/>
        <v>389334</v>
      </c>
      <c r="J156" s="1133">
        <f t="shared" si="103"/>
        <v>38933.4</v>
      </c>
      <c r="K156" s="1133"/>
      <c r="L156" s="1265"/>
      <c r="M156" s="1267">
        <f t="shared" si="119"/>
        <v>116800.2</v>
      </c>
      <c r="N156" s="1265"/>
      <c r="O156" s="1265"/>
      <c r="P156" s="1265"/>
      <c r="Q156" s="1265"/>
      <c r="R156" s="1265"/>
      <c r="S156" s="1133">
        <f t="shared" si="104"/>
        <v>155733.6</v>
      </c>
      <c r="T156" s="1133">
        <f t="shared" si="105"/>
        <v>545067.6</v>
      </c>
      <c r="U156" s="1133">
        <f t="shared" si="106"/>
        <v>54506.76</v>
      </c>
      <c r="V156" s="1133">
        <f t="shared" si="107"/>
        <v>41910.948799999998</v>
      </c>
      <c r="W156" s="1133">
        <f t="shared" si="108"/>
        <v>10901.351999999999</v>
      </c>
      <c r="X156" s="1133">
        <f t="shared" si="109"/>
        <v>437748.53919999994</v>
      </c>
      <c r="Y156" s="1133">
        <f t="shared" si="110"/>
        <v>6540811.1999999993</v>
      </c>
      <c r="Z156" s="1133">
        <f t="shared" si="111"/>
        <v>778668</v>
      </c>
      <c r="AA156" s="1133">
        <f t="shared" si="112"/>
        <v>7319479.1999999993</v>
      </c>
      <c r="AB156" s="1133">
        <f t="shared" si="113"/>
        <v>256181.772</v>
      </c>
      <c r="AC156" s="1133">
        <f t="shared" si="114"/>
        <v>380862.09215999988</v>
      </c>
      <c r="AD156" s="1133">
        <f t="shared" si="115"/>
        <v>329376.56400000001</v>
      </c>
      <c r="AE156" s="1133">
        <f t="shared" si="116"/>
        <v>219584.37599999996</v>
      </c>
      <c r="AF156" s="1133">
        <f t="shared" si="117"/>
        <v>8505484.00416</v>
      </c>
      <c r="AG156" s="1133" t="s">
        <v>3</v>
      </c>
    </row>
    <row r="157" spans="1:33">
      <c r="A157" s="1175">
        <f t="shared" si="118"/>
        <v>126</v>
      </c>
      <c r="B157" s="1134" t="s">
        <v>512</v>
      </c>
      <c r="C157" s="1134" t="s">
        <v>837</v>
      </c>
      <c r="D157" s="1478"/>
      <c r="E157" s="1175">
        <v>1</v>
      </c>
      <c r="F157" s="1175"/>
      <c r="G157" s="1129">
        <v>45231</v>
      </c>
      <c r="H157" s="1136">
        <v>17</v>
      </c>
      <c r="I157" s="1133">
        <f t="shared" si="102"/>
        <v>300849</v>
      </c>
      <c r="J157" s="1133">
        <f t="shared" si="103"/>
        <v>30084.9</v>
      </c>
      <c r="K157" s="1133"/>
      <c r="L157" s="1265"/>
      <c r="M157" s="1265"/>
      <c r="N157" s="1265"/>
      <c r="O157" s="1265"/>
      <c r="P157" s="1265"/>
      <c r="Q157" s="1265"/>
      <c r="R157" s="1265"/>
      <c r="S157" s="1133">
        <f t="shared" si="104"/>
        <v>30084.9</v>
      </c>
      <c r="T157" s="1133">
        <f t="shared" si="105"/>
        <v>330933.90000000002</v>
      </c>
      <c r="U157" s="1133">
        <f t="shared" si="106"/>
        <v>33093.390000000007</v>
      </c>
      <c r="V157" s="1133">
        <f t="shared" si="107"/>
        <v>23067.183199999999</v>
      </c>
      <c r="W157" s="1133">
        <f t="shared" si="108"/>
        <v>6618.6780000000008</v>
      </c>
      <c r="X157" s="1133">
        <f t="shared" si="109"/>
        <v>268154.64880000002</v>
      </c>
      <c r="Y157" s="1133">
        <f t="shared" si="110"/>
        <v>3971206.8000000003</v>
      </c>
      <c r="Z157" s="1133">
        <f t="shared" si="111"/>
        <v>601698</v>
      </c>
      <c r="AA157" s="1133">
        <f t="shared" si="112"/>
        <v>4572904.8000000007</v>
      </c>
      <c r="AB157" s="1133">
        <f t="shared" si="113"/>
        <v>160051.66800000003</v>
      </c>
      <c r="AC157" s="1133">
        <f t="shared" si="114"/>
        <v>238200.20424000002</v>
      </c>
      <c r="AD157" s="1133">
        <f t="shared" si="115"/>
        <v>205780.71600000004</v>
      </c>
      <c r="AE157" s="1133">
        <f t="shared" si="116"/>
        <v>137187.14400000003</v>
      </c>
      <c r="AF157" s="1133">
        <f t="shared" si="117"/>
        <v>5314124.5322400006</v>
      </c>
      <c r="AG157" s="1133" t="s">
        <v>3</v>
      </c>
    </row>
    <row r="158" spans="1:33" s="1189" customFormat="1">
      <c r="A158" s="1179">
        <f t="shared" si="118"/>
        <v>127</v>
      </c>
      <c r="B158" s="1199" t="s">
        <v>512</v>
      </c>
      <c r="C158" s="1200" t="s">
        <v>931</v>
      </c>
      <c r="D158" s="1479"/>
      <c r="E158" s="1179"/>
      <c r="F158" s="1179"/>
      <c r="G158" s="1201"/>
      <c r="H158" s="1246">
        <v>35</v>
      </c>
      <c r="I158" s="1185">
        <f>17697*H158</f>
        <v>619395</v>
      </c>
      <c r="J158" s="1185">
        <f t="shared" si="103"/>
        <v>61939.5</v>
      </c>
      <c r="K158" s="1185"/>
      <c r="L158" s="1203"/>
      <c r="M158" s="1203"/>
      <c r="N158" s="1203"/>
      <c r="O158" s="1203"/>
      <c r="P158" s="1203"/>
      <c r="Q158" s="1203"/>
      <c r="R158" s="1203"/>
      <c r="S158" s="1185">
        <f t="shared" si="104"/>
        <v>61939.5</v>
      </c>
      <c r="T158" s="1185">
        <f t="shared" si="105"/>
        <v>681334.5</v>
      </c>
      <c r="U158" s="1185">
        <f t="shared" si="106"/>
        <v>68133.45</v>
      </c>
      <c r="V158" s="1185">
        <f t="shared" si="107"/>
        <v>53902.436000000016</v>
      </c>
      <c r="W158" s="1185">
        <f t="shared" si="108"/>
        <v>13626.69</v>
      </c>
      <c r="X158" s="1185">
        <f t="shared" si="109"/>
        <v>545671.92400000012</v>
      </c>
      <c r="Y158" s="1185">
        <f t="shared" si="110"/>
        <v>8176014</v>
      </c>
      <c r="Z158" s="1185">
        <f t="shared" si="111"/>
        <v>1238790</v>
      </c>
      <c r="AA158" s="1185">
        <f t="shared" si="112"/>
        <v>9414804</v>
      </c>
      <c r="AB158" s="1185">
        <f t="shared" si="113"/>
        <v>329518.14</v>
      </c>
      <c r="AC158" s="1185">
        <f>(AA158*0.9-(W158*12))*11%-AD158+5000000</f>
        <v>5490412.1852000002</v>
      </c>
      <c r="AD158" s="1185">
        <f t="shared" si="115"/>
        <v>423666.18</v>
      </c>
      <c r="AE158" s="1185">
        <f t="shared" si="116"/>
        <v>282444.12</v>
      </c>
      <c r="AF158" s="1185">
        <f t="shared" si="117"/>
        <v>15940844.6252</v>
      </c>
      <c r="AG158" s="1185" t="s">
        <v>3</v>
      </c>
    </row>
    <row r="159" spans="1:33" ht="31.5">
      <c r="A159" s="1175">
        <f t="shared" si="118"/>
        <v>128</v>
      </c>
      <c r="B159" s="1134" t="s">
        <v>523</v>
      </c>
      <c r="C159" s="1134" t="s">
        <v>524</v>
      </c>
      <c r="D159" s="1477">
        <v>8</v>
      </c>
      <c r="E159" s="1175">
        <v>1</v>
      </c>
      <c r="F159" s="1175"/>
      <c r="G159" s="1129">
        <v>41512</v>
      </c>
      <c r="H159" s="1136">
        <v>17</v>
      </c>
      <c r="I159" s="1133">
        <f t="shared" si="102"/>
        <v>300849</v>
      </c>
      <c r="J159" s="1133">
        <f t="shared" si="103"/>
        <v>30084.9</v>
      </c>
      <c r="K159" s="1133"/>
      <c r="L159" s="1265"/>
      <c r="M159" s="1265"/>
      <c r="N159" s="1265"/>
      <c r="O159" s="1265"/>
      <c r="P159" s="1265"/>
      <c r="Q159" s="1265"/>
      <c r="R159" s="1265"/>
      <c r="S159" s="1133">
        <f t="shared" si="104"/>
        <v>30084.9</v>
      </c>
      <c r="T159" s="1133">
        <f t="shared" si="105"/>
        <v>330933.90000000002</v>
      </c>
      <c r="U159" s="1133">
        <f t="shared" si="106"/>
        <v>33093.390000000007</v>
      </c>
      <c r="V159" s="1133">
        <f t="shared" si="107"/>
        <v>23067.183199999999</v>
      </c>
      <c r="W159" s="1133">
        <f t="shared" si="108"/>
        <v>6618.6780000000008</v>
      </c>
      <c r="X159" s="1133">
        <f t="shared" si="109"/>
        <v>268154.64880000002</v>
      </c>
      <c r="Y159" s="1133">
        <f t="shared" si="110"/>
        <v>3971206.8000000003</v>
      </c>
      <c r="Z159" s="1133">
        <f t="shared" si="111"/>
        <v>601698</v>
      </c>
      <c r="AA159" s="1133">
        <f t="shared" si="112"/>
        <v>4572904.8000000007</v>
      </c>
      <c r="AB159" s="1133">
        <f t="shared" si="113"/>
        <v>160051.66800000003</v>
      </c>
      <c r="AC159" s="1133">
        <f t="shared" si="114"/>
        <v>238200.20424000002</v>
      </c>
      <c r="AD159" s="1133">
        <f t="shared" si="115"/>
        <v>205780.71600000004</v>
      </c>
      <c r="AE159" s="1133">
        <f t="shared" si="116"/>
        <v>137187.14400000003</v>
      </c>
      <c r="AF159" s="1133">
        <f t="shared" si="117"/>
        <v>5314124.5322400006</v>
      </c>
      <c r="AG159" s="1133" t="s">
        <v>3</v>
      </c>
    </row>
    <row r="160" spans="1:33" ht="31.5">
      <c r="A160" s="1175">
        <f t="shared" si="118"/>
        <v>129</v>
      </c>
      <c r="B160" s="1134" t="s">
        <v>523</v>
      </c>
      <c r="C160" s="1134" t="s">
        <v>525</v>
      </c>
      <c r="D160" s="1478"/>
      <c r="E160" s="1175">
        <v>1</v>
      </c>
      <c r="F160" s="1175"/>
      <c r="G160" s="1129">
        <v>42248</v>
      </c>
      <c r="H160" s="1136">
        <v>17</v>
      </c>
      <c r="I160" s="1133">
        <f t="shared" si="102"/>
        <v>300849</v>
      </c>
      <c r="J160" s="1133">
        <f t="shared" si="103"/>
        <v>30084.9</v>
      </c>
      <c r="K160" s="1133">
        <f>10*4325</f>
        <v>43250</v>
      </c>
      <c r="L160" s="1265"/>
      <c r="M160" s="1265"/>
      <c r="N160" s="1265"/>
      <c r="O160" s="1265"/>
      <c r="P160" s="1265"/>
      <c r="Q160" s="1265"/>
      <c r="R160" s="1265"/>
      <c r="S160" s="1133">
        <f t="shared" si="104"/>
        <v>73334.899999999994</v>
      </c>
      <c r="T160" s="1133">
        <f t="shared" si="105"/>
        <v>374183.9</v>
      </c>
      <c r="U160" s="1133">
        <f t="shared" si="106"/>
        <v>37418.390000000007</v>
      </c>
      <c r="V160" s="1133">
        <f t="shared" si="107"/>
        <v>26873.183199999999</v>
      </c>
      <c r="W160" s="1133">
        <f t="shared" si="108"/>
        <v>7483.6780000000008</v>
      </c>
      <c r="X160" s="1133">
        <f t="shared" si="109"/>
        <v>302408.64880000002</v>
      </c>
      <c r="Y160" s="1133">
        <f t="shared" si="110"/>
        <v>4490206.8000000007</v>
      </c>
      <c r="Z160" s="1133">
        <f t="shared" si="111"/>
        <v>601698</v>
      </c>
      <c r="AA160" s="1133">
        <f t="shared" si="112"/>
        <v>5091904.8000000007</v>
      </c>
      <c r="AB160" s="1133">
        <f t="shared" si="113"/>
        <v>178216.66800000003</v>
      </c>
      <c r="AC160" s="1133">
        <f t="shared" si="114"/>
        <v>265084.40424000006</v>
      </c>
      <c r="AD160" s="1133">
        <f t="shared" si="115"/>
        <v>229135.71600000007</v>
      </c>
      <c r="AE160" s="1133">
        <f t="shared" si="116"/>
        <v>152757.14400000003</v>
      </c>
      <c r="AF160" s="1133">
        <f t="shared" si="117"/>
        <v>5917098.7322400007</v>
      </c>
      <c r="AG160" s="1133" t="s">
        <v>3</v>
      </c>
    </row>
    <row r="161" spans="1:33">
      <c r="A161" s="1175">
        <f t="shared" si="118"/>
        <v>130</v>
      </c>
      <c r="B161" s="1134" t="s">
        <v>523</v>
      </c>
      <c r="C161" s="1221" t="s">
        <v>526</v>
      </c>
      <c r="D161" s="1478"/>
      <c r="E161" s="1175">
        <v>1</v>
      </c>
      <c r="F161" s="1175"/>
      <c r="G161" s="1129">
        <v>44593</v>
      </c>
      <c r="H161" s="1136">
        <v>17</v>
      </c>
      <c r="I161" s="1133">
        <f t="shared" si="102"/>
        <v>300849</v>
      </c>
      <c r="J161" s="1133">
        <f t="shared" si="103"/>
        <v>30084.9</v>
      </c>
      <c r="K161" s="1265"/>
      <c r="L161" s="1265"/>
      <c r="M161" s="1265"/>
      <c r="N161" s="1265"/>
      <c r="O161" s="1265"/>
      <c r="P161" s="1265"/>
      <c r="Q161" s="1265"/>
      <c r="R161" s="1265"/>
      <c r="S161" s="1133">
        <f t="shared" si="104"/>
        <v>30084.9</v>
      </c>
      <c r="T161" s="1133">
        <f t="shared" si="105"/>
        <v>330933.90000000002</v>
      </c>
      <c r="U161" s="1133">
        <f t="shared" si="106"/>
        <v>33093.390000000007</v>
      </c>
      <c r="V161" s="1133">
        <f t="shared" si="107"/>
        <v>23067.183199999999</v>
      </c>
      <c r="W161" s="1133">
        <f t="shared" si="108"/>
        <v>6618.6780000000008</v>
      </c>
      <c r="X161" s="1133">
        <f t="shared" si="109"/>
        <v>268154.64880000002</v>
      </c>
      <c r="Y161" s="1133">
        <f t="shared" si="110"/>
        <v>3971206.8000000003</v>
      </c>
      <c r="Z161" s="1133">
        <f t="shared" si="111"/>
        <v>601698</v>
      </c>
      <c r="AA161" s="1133">
        <f t="shared" si="112"/>
        <v>4572904.8000000007</v>
      </c>
      <c r="AB161" s="1133">
        <f t="shared" si="113"/>
        <v>160051.66800000003</v>
      </c>
      <c r="AC161" s="1133">
        <f t="shared" si="114"/>
        <v>238200.20424000002</v>
      </c>
      <c r="AD161" s="1133">
        <f t="shared" si="115"/>
        <v>205780.71600000004</v>
      </c>
      <c r="AE161" s="1133">
        <f t="shared" si="116"/>
        <v>137187.14400000003</v>
      </c>
      <c r="AF161" s="1133">
        <f t="shared" si="117"/>
        <v>5314124.5322400006</v>
      </c>
      <c r="AG161" s="1133" t="s">
        <v>3</v>
      </c>
    </row>
    <row r="162" spans="1:33">
      <c r="A162" s="1175">
        <f t="shared" si="118"/>
        <v>131</v>
      </c>
      <c r="B162" s="1134" t="s">
        <v>523</v>
      </c>
      <c r="C162" s="1221" t="s">
        <v>527</v>
      </c>
      <c r="D162" s="1478"/>
      <c r="E162" s="1175">
        <v>1</v>
      </c>
      <c r="F162" s="1175"/>
      <c r="G162" s="1129">
        <v>40716</v>
      </c>
      <c r="H162" s="1136">
        <v>17</v>
      </c>
      <c r="I162" s="1133">
        <f t="shared" si="102"/>
        <v>300849</v>
      </c>
      <c r="J162" s="1133">
        <f t="shared" si="103"/>
        <v>30084.9</v>
      </c>
      <c r="K162" s="1265"/>
      <c r="L162" s="1265"/>
      <c r="M162" s="1265"/>
      <c r="N162" s="1265"/>
      <c r="O162" s="1265"/>
      <c r="P162" s="1265"/>
      <c r="Q162" s="1265"/>
      <c r="R162" s="1265"/>
      <c r="S162" s="1133">
        <f t="shared" si="104"/>
        <v>30084.9</v>
      </c>
      <c r="T162" s="1133">
        <f t="shared" si="105"/>
        <v>330933.90000000002</v>
      </c>
      <c r="U162" s="1133">
        <f t="shared" si="106"/>
        <v>33093.390000000007</v>
      </c>
      <c r="V162" s="1133">
        <f t="shared" si="107"/>
        <v>23067.183199999999</v>
      </c>
      <c r="W162" s="1133">
        <f t="shared" si="108"/>
        <v>6618.6780000000008</v>
      </c>
      <c r="X162" s="1133">
        <f t="shared" si="109"/>
        <v>268154.64880000002</v>
      </c>
      <c r="Y162" s="1133">
        <f t="shared" si="110"/>
        <v>3971206.8000000003</v>
      </c>
      <c r="Z162" s="1133">
        <f t="shared" si="111"/>
        <v>601698</v>
      </c>
      <c r="AA162" s="1133">
        <f t="shared" si="112"/>
        <v>4572904.8000000007</v>
      </c>
      <c r="AB162" s="1133">
        <f t="shared" si="113"/>
        <v>160051.66800000003</v>
      </c>
      <c r="AC162" s="1133">
        <f t="shared" si="114"/>
        <v>238200.20424000002</v>
      </c>
      <c r="AD162" s="1133">
        <f t="shared" si="115"/>
        <v>205780.71600000004</v>
      </c>
      <c r="AE162" s="1133">
        <f t="shared" si="116"/>
        <v>137187.14400000003</v>
      </c>
      <c r="AF162" s="1133">
        <f t="shared" si="117"/>
        <v>5314124.5322400006</v>
      </c>
      <c r="AG162" s="1133" t="s">
        <v>3</v>
      </c>
    </row>
    <row r="163" spans="1:33">
      <c r="A163" s="1175">
        <f t="shared" si="118"/>
        <v>132</v>
      </c>
      <c r="B163" s="1134" t="s">
        <v>523</v>
      </c>
      <c r="C163" s="1134" t="s">
        <v>528</v>
      </c>
      <c r="D163" s="1478"/>
      <c r="E163" s="1175">
        <v>1</v>
      </c>
      <c r="F163" s="1175"/>
      <c r="G163" s="1129">
        <v>44818</v>
      </c>
      <c r="H163" s="1136">
        <v>16</v>
      </c>
      <c r="I163" s="1133">
        <f t="shared" si="102"/>
        <v>283152</v>
      </c>
      <c r="J163" s="1133">
        <f t="shared" si="103"/>
        <v>28315.200000000001</v>
      </c>
      <c r="K163" s="1265"/>
      <c r="L163" s="1265"/>
      <c r="M163" s="1265"/>
      <c r="N163" s="1265"/>
      <c r="O163" s="1265"/>
      <c r="P163" s="1265"/>
      <c r="Q163" s="1265"/>
      <c r="R163" s="1265"/>
      <c r="S163" s="1133">
        <f t="shared" si="104"/>
        <v>28315.200000000001</v>
      </c>
      <c r="T163" s="1133">
        <f t="shared" si="105"/>
        <v>311467.2</v>
      </c>
      <c r="U163" s="1133">
        <f t="shared" si="106"/>
        <v>31146.720000000001</v>
      </c>
      <c r="V163" s="1133">
        <f t="shared" si="107"/>
        <v>21354.113600000001</v>
      </c>
      <c r="W163" s="1133">
        <f t="shared" si="108"/>
        <v>6229.3440000000001</v>
      </c>
      <c r="X163" s="1133">
        <f t="shared" si="109"/>
        <v>252737.02239999996</v>
      </c>
      <c r="Y163" s="1133">
        <f t="shared" si="110"/>
        <v>3737606.4000000004</v>
      </c>
      <c r="Z163" s="1133">
        <f t="shared" si="111"/>
        <v>566304</v>
      </c>
      <c r="AA163" s="1133">
        <f t="shared" si="112"/>
        <v>4303910.4000000004</v>
      </c>
      <c r="AB163" s="1133">
        <f t="shared" si="113"/>
        <v>150636.86400000003</v>
      </c>
      <c r="AC163" s="1133">
        <f t="shared" si="114"/>
        <v>224188.42752</v>
      </c>
      <c r="AD163" s="1133">
        <f t="shared" si="115"/>
        <v>193675.96800000002</v>
      </c>
      <c r="AE163" s="1133">
        <f t="shared" si="116"/>
        <v>129117.31200000001</v>
      </c>
      <c r="AF163" s="1133">
        <f t="shared" si="117"/>
        <v>5001528.9715200011</v>
      </c>
      <c r="AG163" s="1133" t="s">
        <v>3</v>
      </c>
    </row>
    <row r="164" spans="1:33" ht="32.25" customHeight="1">
      <c r="A164" s="1175">
        <f t="shared" si="118"/>
        <v>133</v>
      </c>
      <c r="B164" s="1268" t="s">
        <v>523</v>
      </c>
      <c r="C164" s="1134" t="s">
        <v>529</v>
      </c>
      <c r="D164" s="1478"/>
      <c r="E164" s="1175">
        <v>1</v>
      </c>
      <c r="F164" s="1175"/>
      <c r="G164" s="1129">
        <v>42249</v>
      </c>
      <c r="H164" s="1136">
        <v>17</v>
      </c>
      <c r="I164" s="1133">
        <f t="shared" si="102"/>
        <v>300849</v>
      </c>
      <c r="J164" s="1133">
        <f t="shared" si="103"/>
        <v>30084.9</v>
      </c>
      <c r="K164" s="1265"/>
      <c r="L164" s="1265"/>
      <c r="M164" s="1265"/>
      <c r="N164" s="1265"/>
      <c r="O164" s="1265"/>
      <c r="P164" s="1265"/>
      <c r="Q164" s="1265"/>
      <c r="R164" s="1265"/>
      <c r="S164" s="1133">
        <f t="shared" si="104"/>
        <v>30084.9</v>
      </c>
      <c r="T164" s="1133">
        <f t="shared" si="105"/>
        <v>330933.90000000002</v>
      </c>
      <c r="U164" s="1133">
        <f t="shared" si="106"/>
        <v>33093.390000000007</v>
      </c>
      <c r="V164" s="1133">
        <f t="shared" si="107"/>
        <v>23067.183199999999</v>
      </c>
      <c r="W164" s="1133">
        <f t="shared" si="108"/>
        <v>6618.6780000000008</v>
      </c>
      <c r="X164" s="1133">
        <f t="shared" si="109"/>
        <v>268154.64880000002</v>
      </c>
      <c r="Y164" s="1133">
        <f t="shared" si="110"/>
        <v>3971206.8000000003</v>
      </c>
      <c r="Z164" s="1133">
        <f t="shared" si="111"/>
        <v>601698</v>
      </c>
      <c r="AA164" s="1133">
        <f t="shared" si="112"/>
        <v>4572904.8000000007</v>
      </c>
      <c r="AB164" s="1133">
        <f t="shared" si="113"/>
        <v>160051.66800000003</v>
      </c>
      <c r="AC164" s="1133">
        <f t="shared" si="114"/>
        <v>238200.20424000002</v>
      </c>
      <c r="AD164" s="1133">
        <f t="shared" si="115"/>
        <v>205780.71600000004</v>
      </c>
      <c r="AE164" s="1133">
        <f t="shared" si="116"/>
        <v>137187.14400000003</v>
      </c>
      <c r="AF164" s="1133">
        <f t="shared" si="117"/>
        <v>5314124.5322400006</v>
      </c>
      <c r="AG164" s="1133" t="s">
        <v>3</v>
      </c>
    </row>
    <row r="165" spans="1:33" ht="19.5" customHeight="1">
      <c r="A165" s="1175">
        <f t="shared" si="118"/>
        <v>134</v>
      </c>
      <c r="B165" s="1268" t="s">
        <v>523</v>
      </c>
      <c r="C165" s="1268" t="s">
        <v>530</v>
      </c>
      <c r="D165" s="1478"/>
      <c r="E165" s="1175">
        <v>1</v>
      </c>
      <c r="F165" s="1175"/>
      <c r="G165" s="1129">
        <v>44827</v>
      </c>
      <c r="H165" s="1136">
        <v>17</v>
      </c>
      <c r="I165" s="1133">
        <f t="shared" si="102"/>
        <v>300849</v>
      </c>
      <c r="J165" s="1133">
        <f t="shared" si="103"/>
        <v>30084.9</v>
      </c>
      <c r="K165" s="1265"/>
      <c r="L165" s="1265"/>
      <c r="M165" s="1265"/>
      <c r="N165" s="1265"/>
      <c r="O165" s="1265"/>
      <c r="P165" s="1265"/>
      <c r="Q165" s="1265"/>
      <c r="R165" s="1265"/>
      <c r="S165" s="1133">
        <f t="shared" si="104"/>
        <v>30084.9</v>
      </c>
      <c r="T165" s="1133">
        <f t="shared" si="105"/>
        <v>330933.90000000002</v>
      </c>
      <c r="U165" s="1133">
        <f t="shared" si="106"/>
        <v>33093.390000000007</v>
      </c>
      <c r="V165" s="1133">
        <f t="shared" si="107"/>
        <v>23067.183199999999</v>
      </c>
      <c r="W165" s="1133">
        <f t="shared" si="108"/>
        <v>6618.6780000000008</v>
      </c>
      <c r="X165" s="1133">
        <f t="shared" si="109"/>
        <v>268154.64880000002</v>
      </c>
      <c r="Y165" s="1133">
        <f t="shared" si="110"/>
        <v>3971206.8000000003</v>
      </c>
      <c r="Z165" s="1133">
        <f t="shared" si="111"/>
        <v>601698</v>
      </c>
      <c r="AA165" s="1133">
        <f t="shared" si="112"/>
        <v>4572904.8000000007</v>
      </c>
      <c r="AB165" s="1133">
        <f t="shared" si="113"/>
        <v>160051.66800000003</v>
      </c>
      <c r="AC165" s="1133">
        <f t="shared" si="114"/>
        <v>238200.20424000002</v>
      </c>
      <c r="AD165" s="1133">
        <f t="shared" si="115"/>
        <v>205780.71600000004</v>
      </c>
      <c r="AE165" s="1133">
        <f t="shared" si="116"/>
        <v>137187.14400000003</v>
      </c>
      <c r="AF165" s="1133">
        <f t="shared" si="117"/>
        <v>5314124.5322400006</v>
      </c>
      <c r="AG165" s="1133" t="s">
        <v>3</v>
      </c>
    </row>
    <row r="166" spans="1:33" ht="31.5">
      <c r="A166" s="1175">
        <f t="shared" si="118"/>
        <v>135</v>
      </c>
      <c r="B166" s="1268" t="s">
        <v>523</v>
      </c>
      <c r="C166" s="1268" t="s">
        <v>531</v>
      </c>
      <c r="D166" s="1479"/>
      <c r="E166" s="1175">
        <v>1</v>
      </c>
      <c r="F166" s="1175"/>
      <c r="G166" s="1129">
        <v>42614</v>
      </c>
      <c r="H166" s="1136">
        <v>17</v>
      </c>
      <c r="I166" s="1133">
        <f t="shared" si="102"/>
        <v>300849</v>
      </c>
      <c r="J166" s="1133">
        <f t="shared" si="103"/>
        <v>30084.9</v>
      </c>
      <c r="K166" s="1265"/>
      <c r="L166" s="1265"/>
      <c r="M166" s="1265"/>
      <c r="N166" s="1265"/>
      <c r="O166" s="1265"/>
      <c r="P166" s="1265"/>
      <c r="Q166" s="1265"/>
      <c r="R166" s="1265"/>
      <c r="S166" s="1133">
        <f t="shared" si="104"/>
        <v>30084.9</v>
      </c>
      <c r="T166" s="1133">
        <f t="shared" si="105"/>
        <v>330933.90000000002</v>
      </c>
      <c r="U166" s="1133">
        <f t="shared" si="106"/>
        <v>33093.390000000007</v>
      </c>
      <c r="V166" s="1133">
        <f t="shared" si="107"/>
        <v>23067.183199999999</v>
      </c>
      <c r="W166" s="1133">
        <f t="shared" si="108"/>
        <v>6618.6780000000008</v>
      </c>
      <c r="X166" s="1133">
        <f t="shared" si="109"/>
        <v>268154.64880000002</v>
      </c>
      <c r="Y166" s="1133">
        <f t="shared" si="110"/>
        <v>3971206.8000000003</v>
      </c>
      <c r="Z166" s="1133">
        <f t="shared" si="111"/>
        <v>601698</v>
      </c>
      <c r="AA166" s="1133">
        <f t="shared" si="112"/>
        <v>4572904.8000000007</v>
      </c>
      <c r="AB166" s="1133">
        <f t="shared" si="113"/>
        <v>160051.66800000003</v>
      </c>
      <c r="AC166" s="1133">
        <f t="shared" si="114"/>
        <v>238200.20424000002</v>
      </c>
      <c r="AD166" s="1133">
        <f t="shared" si="115"/>
        <v>205780.71600000004</v>
      </c>
      <c r="AE166" s="1133">
        <f t="shared" si="116"/>
        <v>137187.14400000003</v>
      </c>
      <c r="AF166" s="1133">
        <f t="shared" si="117"/>
        <v>5314124.5322400006</v>
      </c>
      <c r="AG166" s="1133" t="s">
        <v>3</v>
      </c>
    </row>
    <row r="167" spans="1:33" ht="31.5">
      <c r="A167" s="1175">
        <f t="shared" si="118"/>
        <v>136</v>
      </c>
      <c r="B167" s="1134" t="s">
        <v>532</v>
      </c>
      <c r="C167" s="1134" t="s">
        <v>533</v>
      </c>
      <c r="D167" s="1477">
        <v>2</v>
      </c>
      <c r="E167" s="1175">
        <v>1</v>
      </c>
      <c r="F167" s="1175"/>
      <c r="G167" s="1129">
        <v>44645</v>
      </c>
      <c r="H167" s="1136">
        <v>16</v>
      </c>
      <c r="I167" s="1133">
        <f t="shared" si="102"/>
        <v>283152</v>
      </c>
      <c r="J167" s="1133">
        <f t="shared" si="103"/>
        <v>28315.200000000001</v>
      </c>
      <c r="K167" s="1265"/>
      <c r="L167" s="1265"/>
      <c r="M167" s="1265"/>
      <c r="N167" s="1265"/>
      <c r="O167" s="1265"/>
      <c r="P167" s="1265"/>
      <c r="Q167" s="1265"/>
      <c r="R167" s="1265"/>
      <c r="S167" s="1133">
        <f t="shared" si="104"/>
        <v>28315.200000000001</v>
      </c>
      <c r="T167" s="1133">
        <f t="shared" si="105"/>
        <v>311467.2</v>
      </c>
      <c r="U167" s="1133">
        <f t="shared" si="106"/>
        <v>31146.720000000001</v>
      </c>
      <c r="V167" s="1133">
        <f t="shared" si="107"/>
        <v>21354.113600000001</v>
      </c>
      <c r="W167" s="1133">
        <f t="shared" si="108"/>
        <v>6229.3440000000001</v>
      </c>
      <c r="X167" s="1133">
        <f t="shared" si="109"/>
        <v>252737.02239999996</v>
      </c>
      <c r="Y167" s="1133">
        <f t="shared" si="110"/>
        <v>3737606.4000000004</v>
      </c>
      <c r="Z167" s="1133">
        <f t="shared" si="111"/>
        <v>566304</v>
      </c>
      <c r="AA167" s="1133">
        <f t="shared" si="112"/>
        <v>4303910.4000000004</v>
      </c>
      <c r="AB167" s="1133">
        <f t="shared" si="113"/>
        <v>150636.86400000003</v>
      </c>
      <c r="AC167" s="1133">
        <f t="shared" si="114"/>
        <v>224188.42752</v>
      </c>
      <c r="AD167" s="1133">
        <f t="shared" si="115"/>
        <v>193675.96800000002</v>
      </c>
      <c r="AE167" s="1133">
        <f t="shared" si="116"/>
        <v>129117.31200000001</v>
      </c>
      <c r="AF167" s="1133">
        <f t="shared" si="117"/>
        <v>5001528.9715200011</v>
      </c>
      <c r="AG167" s="1133" t="s">
        <v>3</v>
      </c>
    </row>
    <row r="168" spans="1:33">
      <c r="A168" s="1175">
        <f t="shared" si="118"/>
        <v>137</v>
      </c>
      <c r="B168" s="1134" t="s">
        <v>532</v>
      </c>
      <c r="C168" s="1157" t="s">
        <v>534</v>
      </c>
      <c r="D168" s="1479"/>
      <c r="E168" s="1175">
        <v>1</v>
      </c>
      <c r="F168" s="1175"/>
      <c r="G168" s="1129">
        <v>44874</v>
      </c>
      <c r="H168" s="1136">
        <v>16</v>
      </c>
      <c r="I168" s="1133">
        <f t="shared" si="102"/>
        <v>283152</v>
      </c>
      <c r="J168" s="1133">
        <f t="shared" si="103"/>
        <v>28315.200000000001</v>
      </c>
      <c r="K168" s="1265"/>
      <c r="L168" s="1265"/>
      <c r="M168" s="1265"/>
      <c r="N168" s="1265"/>
      <c r="O168" s="1265"/>
      <c r="P168" s="1265"/>
      <c r="Q168" s="1265"/>
      <c r="R168" s="1265"/>
      <c r="S168" s="1133">
        <f t="shared" si="104"/>
        <v>28315.200000000001</v>
      </c>
      <c r="T168" s="1133">
        <f t="shared" si="105"/>
        <v>311467.2</v>
      </c>
      <c r="U168" s="1133">
        <f t="shared" si="106"/>
        <v>31146.720000000001</v>
      </c>
      <c r="V168" s="1133">
        <f t="shared" si="107"/>
        <v>21354.113600000001</v>
      </c>
      <c r="W168" s="1133">
        <f t="shared" si="108"/>
        <v>6229.3440000000001</v>
      </c>
      <c r="X168" s="1133">
        <f t="shared" si="109"/>
        <v>252737.02239999996</v>
      </c>
      <c r="Y168" s="1133">
        <f t="shared" si="110"/>
        <v>3737606.4000000004</v>
      </c>
      <c r="Z168" s="1133">
        <f t="shared" si="111"/>
        <v>566304</v>
      </c>
      <c r="AA168" s="1133">
        <f t="shared" si="112"/>
        <v>4303910.4000000004</v>
      </c>
      <c r="AB168" s="1133">
        <f t="shared" si="113"/>
        <v>150636.86400000003</v>
      </c>
      <c r="AC168" s="1133">
        <f t="shared" si="114"/>
        <v>224188.42752</v>
      </c>
      <c r="AD168" s="1133">
        <f t="shared" si="115"/>
        <v>193675.96800000002</v>
      </c>
      <c r="AE168" s="1133">
        <f t="shared" si="116"/>
        <v>129117.31200000001</v>
      </c>
      <c r="AF168" s="1133">
        <f t="shared" si="117"/>
        <v>5001528.9715200011</v>
      </c>
      <c r="AG168" s="1133" t="s">
        <v>3</v>
      </c>
    </row>
    <row r="169" spans="1:33" ht="20.25" customHeight="1">
      <c r="A169" s="1168"/>
      <c r="B169" s="1169" t="s">
        <v>830</v>
      </c>
      <c r="C169" s="1170"/>
      <c r="D169" s="1171">
        <f>SUM(D144:D168)</f>
        <v>25</v>
      </c>
      <c r="E169" s="1171">
        <f>SUM(E144:E168)</f>
        <v>24</v>
      </c>
      <c r="F169" s="1171">
        <f>SUM(F144:F168)</f>
        <v>0</v>
      </c>
      <c r="G169" s="1171"/>
      <c r="H169" s="1171"/>
      <c r="I169" s="1173">
        <f t="shared" ref="I169:AF169" si="120">SUM(I144:I168)</f>
        <v>8636136</v>
      </c>
      <c r="J169" s="1173">
        <f t="shared" si="120"/>
        <v>863613.60000000021</v>
      </c>
      <c r="K169" s="1173">
        <f t="shared" si="120"/>
        <v>86500</v>
      </c>
      <c r="L169" s="1173">
        <f t="shared" si="120"/>
        <v>0</v>
      </c>
      <c r="M169" s="1173">
        <f t="shared" si="120"/>
        <v>806983.19999999984</v>
      </c>
      <c r="N169" s="1173">
        <f t="shared" si="120"/>
        <v>0</v>
      </c>
      <c r="O169" s="1173">
        <f t="shared" si="120"/>
        <v>0</v>
      </c>
      <c r="P169" s="1173">
        <f t="shared" si="120"/>
        <v>0</v>
      </c>
      <c r="Q169" s="1173">
        <f t="shared" si="120"/>
        <v>0</v>
      </c>
      <c r="R169" s="1173">
        <f t="shared" si="120"/>
        <v>0</v>
      </c>
      <c r="S169" s="1173">
        <f t="shared" si="120"/>
        <v>1757096.7999999993</v>
      </c>
      <c r="T169" s="1173">
        <f t="shared" si="120"/>
        <v>10393232.800000001</v>
      </c>
      <c r="U169" s="1173">
        <f t="shared" si="120"/>
        <v>1039323.2799999999</v>
      </c>
      <c r="V169" s="1173">
        <f t="shared" si="120"/>
        <v>763229.48639999994</v>
      </c>
      <c r="W169" s="1173">
        <f t="shared" si="120"/>
        <v>207864.65600000013</v>
      </c>
      <c r="X169" s="1173">
        <f t="shared" si="120"/>
        <v>8382815.3775999956</v>
      </c>
      <c r="Y169" s="1173">
        <f t="shared" si="120"/>
        <v>124718793.59999999</v>
      </c>
      <c r="Z169" s="1173">
        <f t="shared" si="120"/>
        <v>17272272</v>
      </c>
      <c r="AA169" s="1173">
        <f t="shared" si="120"/>
        <v>141991065.59999999</v>
      </c>
      <c r="AB169" s="1173">
        <f t="shared" si="120"/>
        <v>4969687.2960000001</v>
      </c>
      <c r="AC169" s="1173">
        <f t="shared" si="120"/>
        <v>12393136.196479997</v>
      </c>
      <c r="AD169" s="1173">
        <f t="shared" si="120"/>
        <v>6389597.9520000014</v>
      </c>
      <c r="AE169" s="1173">
        <f t="shared" si="120"/>
        <v>4259731.9679999994</v>
      </c>
      <c r="AF169" s="1173">
        <f t="shared" si="120"/>
        <v>170003219.01248005</v>
      </c>
      <c r="AG169" s="1173"/>
    </row>
    <row r="170" spans="1:33" ht="22.5" customHeight="1">
      <c r="A170" s="1460" t="s">
        <v>474</v>
      </c>
      <c r="B170" s="1460"/>
      <c r="C170" s="1460"/>
      <c r="D170" s="1460"/>
      <c r="E170" s="1460"/>
      <c r="F170" s="1460"/>
      <c r="G170" s="1460"/>
      <c r="H170" s="1460"/>
      <c r="I170" s="1460"/>
      <c r="J170" s="1460"/>
      <c r="K170" s="1460"/>
      <c r="L170" s="1460"/>
      <c r="M170" s="1460"/>
      <c r="N170" s="1460"/>
      <c r="O170" s="1460"/>
      <c r="P170" s="1460"/>
      <c r="Q170" s="1460"/>
      <c r="R170" s="1460"/>
      <c r="S170" s="1460"/>
      <c r="T170" s="1460"/>
      <c r="U170" s="1460"/>
      <c r="V170" s="1460"/>
      <c r="W170" s="1460"/>
      <c r="X170" s="1460"/>
      <c r="Y170" s="1460"/>
      <c r="Z170" s="1460"/>
      <c r="AA170" s="1460"/>
      <c r="AB170" s="1460"/>
      <c r="AC170" s="1460"/>
      <c r="AD170" s="1460"/>
      <c r="AE170" s="1460"/>
      <c r="AF170" s="1460"/>
      <c r="AG170" s="1460"/>
    </row>
    <row r="171" spans="1:33">
      <c r="A171" s="1264">
        <f>A168+1</f>
        <v>138</v>
      </c>
      <c r="B171" s="1137" t="s">
        <v>19</v>
      </c>
      <c r="C171" s="1269" t="s">
        <v>477</v>
      </c>
      <c r="D171" s="1175">
        <v>1</v>
      </c>
      <c r="E171" s="1175">
        <v>1</v>
      </c>
      <c r="F171" s="1175"/>
      <c r="G171" s="1129">
        <v>42248</v>
      </c>
      <c r="H171" s="1175">
        <v>16</v>
      </c>
      <c r="I171" s="1133">
        <f>17697*H171</f>
        <v>283152</v>
      </c>
      <c r="J171" s="1133">
        <f>I171*10%</f>
        <v>28315.200000000001</v>
      </c>
      <c r="K171" s="1265"/>
      <c r="L171" s="1265"/>
      <c r="M171" s="1265"/>
      <c r="N171" s="1265"/>
      <c r="O171" s="1265"/>
      <c r="P171" s="1265"/>
      <c r="Q171" s="1265"/>
      <c r="R171" s="1265"/>
      <c r="S171" s="1133">
        <f t="shared" ref="S171" si="121">SUM(J171:R171)</f>
        <v>28315.200000000001</v>
      </c>
      <c r="T171" s="1133">
        <f t="shared" ref="T171" si="122">I171+S171</f>
        <v>311467.2</v>
      </c>
      <c r="U171" s="1133">
        <f t="shared" ref="U171" si="123">T171*10%</f>
        <v>31146.720000000001</v>
      </c>
      <c r="V171" s="1133">
        <f t="shared" ref="V171" si="124">((T171-U171-W171)-(14*4325))*10%</f>
        <v>21354.113600000001</v>
      </c>
      <c r="W171" s="1133">
        <f t="shared" ref="W171" si="125">T171*2%</f>
        <v>6229.3440000000001</v>
      </c>
      <c r="X171" s="1133">
        <f t="shared" ref="X171" si="126">T171-U171-V171-W171</f>
        <v>252737.02239999996</v>
      </c>
      <c r="Y171" s="1133">
        <f t="shared" ref="Y171" si="127">T171*12</f>
        <v>3737606.4000000004</v>
      </c>
      <c r="Z171" s="1133">
        <f t="shared" ref="Z171" si="128">I171*2</f>
        <v>566304</v>
      </c>
      <c r="AA171" s="1133">
        <f t="shared" ref="AA171" si="129">Y171+Z171</f>
        <v>4303910.4000000004</v>
      </c>
      <c r="AB171" s="1133">
        <f t="shared" ref="AB171" si="130">AA171*3.5%</f>
        <v>150636.86400000003</v>
      </c>
      <c r="AC171" s="1133">
        <f t="shared" ref="AC171" si="131">(AA171*0.9-(W171*12))*11%-AD171</f>
        <v>224188.42752</v>
      </c>
      <c r="AD171" s="1133">
        <f t="shared" ref="AD171" si="132">AA171*0.9*5%</f>
        <v>193675.96800000002</v>
      </c>
      <c r="AE171" s="1133">
        <f t="shared" ref="AE171" si="133">AA171*3%</f>
        <v>129117.31200000001</v>
      </c>
      <c r="AF171" s="1133">
        <f t="shared" ref="AF171" si="134">AA171+AC171+AD171+AE171+AB171</f>
        <v>5001528.9715200011</v>
      </c>
      <c r="AG171" s="1133" t="s">
        <v>3</v>
      </c>
    </row>
    <row r="172" spans="1:33" ht="20.25" customHeight="1">
      <c r="A172" s="1168"/>
      <c r="B172" s="1169" t="s">
        <v>831</v>
      </c>
      <c r="C172" s="1170"/>
      <c r="D172" s="1171">
        <f>SUM(D171)</f>
        <v>1</v>
      </c>
      <c r="E172" s="1171">
        <v>1</v>
      </c>
      <c r="F172" s="1171">
        <f t="shared" ref="F172:AF172" si="135">SUM(F171)</f>
        <v>0</v>
      </c>
      <c r="G172" s="1171"/>
      <c r="H172" s="1171"/>
      <c r="I172" s="1173">
        <f t="shared" si="135"/>
        <v>283152</v>
      </c>
      <c r="J172" s="1173">
        <f t="shared" si="135"/>
        <v>28315.200000000001</v>
      </c>
      <c r="K172" s="1173">
        <f t="shared" si="135"/>
        <v>0</v>
      </c>
      <c r="L172" s="1173">
        <f t="shared" si="135"/>
        <v>0</v>
      </c>
      <c r="M172" s="1173">
        <f t="shared" si="135"/>
        <v>0</v>
      </c>
      <c r="N172" s="1173">
        <f t="shared" si="135"/>
        <v>0</v>
      </c>
      <c r="O172" s="1173">
        <f t="shared" si="135"/>
        <v>0</v>
      </c>
      <c r="P172" s="1173">
        <f t="shared" si="135"/>
        <v>0</v>
      </c>
      <c r="Q172" s="1173">
        <f t="shared" si="135"/>
        <v>0</v>
      </c>
      <c r="R172" s="1173">
        <f t="shared" si="135"/>
        <v>0</v>
      </c>
      <c r="S172" s="1173">
        <f t="shared" si="135"/>
        <v>28315.200000000001</v>
      </c>
      <c r="T172" s="1173">
        <f t="shared" si="135"/>
        <v>311467.2</v>
      </c>
      <c r="U172" s="1173">
        <f t="shared" si="135"/>
        <v>31146.720000000001</v>
      </c>
      <c r="V172" s="1173">
        <f t="shared" si="135"/>
        <v>21354.113600000001</v>
      </c>
      <c r="W172" s="1173">
        <f t="shared" si="135"/>
        <v>6229.3440000000001</v>
      </c>
      <c r="X172" s="1173">
        <f t="shared" si="135"/>
        <v>252737.02239999996</v>
      </c>
      <c r="Y172" s="1173">
        <f t="shared" si="135"/>
        <v>3737606.4000000004</v>
      </c>
      <c r="Z172" s="1173">
        <f t="shared" si="135"/>
        <v>566304</v>
      </c>
      <c r="AA172" s="1173">
        <f t="shared" si="135"/>
        <v>4303910.4000000004</v>
      </c>
      <c r="AB172" s="1173">
        <f>SUM(AB171)</f>
        <v>150636.86400000003</v>
      </c>
      <c r="AC172" s="1173">
        <f t="shared" si="135"/>
        <v>224188.42752</v>
      </c>
      <c r="AD172" s="1173">
        <f t="shared" si="135"/>
        <v>193675.96800000002</v>
      </c>
      <c r="AE172" s="1173">
        <f t="shared" si="135"/>
        <v>129117.31200000001</v>
      </c>
      <c r="AF172" s="1173">
        <f t="shared" si="135"/>
        <v>5001528.9715200011</v>
      </c>
      <c r="AG172" s="1171"/>
    </row>
    <row r="173" spans="1:33" ht="20.25" customHeight="1">
      <c r="A173" s="1460" t="s">
        <v>535</v>
      </c>
      <c r="B173" s="1460"/>
      <c r="C173" s="1460"/>
      <c r="D173" s="1460"/>
      <c r="E173" s="1460"/>
      <c r="F173" s="1460"/>
      <c r="G173" s="1460"/>
      <c r="H173" s="1460"/>
      <c r="I173" s="1460"/>
      <c r="J173" s="1460"/>
      <c r="K173" s="1460"/>
      <c r="L173" s="1460"/>
      <c r="M173" s="1460"/>
      <c r="N173" s="1460"/>
      <c r="O173" s="1460"/>
      <c r="P173" s="1460"/>
      <c r="Q173" s="1460"/>
      <c r="R173" s="1460"/>
      <c r="S173" s="1460"/>
      <c r="T173" s="1460"/>
      <c r="U173" s="1460"/>
      <c r="V173" s="1460"/>
      <c r="W173" s="1460"/>
      <c r="X173" s="1460"/>
      <c r="Y173" s="1460"/>
      <c r="Z173" s="1460"/>
      <c r="AA173" s="1460"/>
      <c r="AB173" s="1460"/>
      <c r="AC173" s="1460"/>
      <c r="AD173" s="1460"/>
      <c r="AE173" s="1460"/>
      <c r="AF173" s="1460"/>
      <c r="AG173" s="1460"/>
    </row>
    <row r="174" spans="1:33" ht="36.75" customHeight="1">
      <c r="A174" s="1126">
        <f>A171+1</f>
        <v>139</v>
      </c>
      <c r="B174" s="1134" t="s">
        <v>838</v>
      </c>
      <c r="C174" s="1134" t="s">
        <v>536</v>
      </c>
      <c r="D174" s="1126">
        <v>1</v>
      </c>
      <c r="E174" s="1136">
        <v>1</v>
      </c>
      <c r="F174" s="1270"/>
      <c r="G174" s="1129">
        <v>42719</v>
      </c>
      <c r="H174" s="1136">
        <v>23</v>
      </c>
      <c r="I174" s="1133">
        <f>E174*17697*H174</f>
        <v>407031</v>
      </c>
      <c r="J174" s="1133">
        <f t="shared" ref="J174:J185" si="136">I174*10%</f>
        <v>40703.100000000006</v>
      </c>
      <c r="K174" s="1270"/>
      <c r="L174" s="1270"/>
      <c r="M174" s="1270"/>
      <c r="N174" s="1270"/>
      <c r="O174" s="1270"/>
      <c r="P174" s="1270"/>
      <c r="Q174" s="1270"/>
      <c r="R174" s="1270"/>
      <c r="S174" s="1133">
        <f t="shared" ref="S174:S185" si="137">SUM(J174:R174)</f>
        <v>40703.100000000006</v>
      </c>
      <c r="T174" s="1133">
        <f t="shared" ref="T174:T185" si="138">I174+S174</f>
        <v>447734.1</v>
      </c>
      <c r="U174" s="1133">
        <f t="shared" ref="U174:U185" si="139">T174*10%</f>
        <v>44773.41</v>
      </c>
      <c r="V174" s="1133">
        <f t="shared" ref="V174:V185" si="140">((T174-U174-W174)-(14*4325))*10%</f>
        <v>33345.6008</v>
      </c>
      <c r="W174" s="1133">
        <f t="shared" ref="W174:W185" si="141">T174*2%</f>
        <v>8954.6819999999989</v>
      </c>
      <c r="X174" s="1133">
        <f t="shared" ref="X174:X185" si="142">T174-U174-V174-W174</f>
        <v>360660.40719999996</v>
      </c>
      <c r="Y174" s="1133">
        <f t="shared" ref="Y174:Y185" si="143">T174*12</f>
        <v>5372809.1999999993</v>
      </c>
      <c r="Z174" s="1133">
        <f t="shared" ref="Z174:Z185" si="144">I174*2</f>
        <v>814062</v>
      </c>
      <c r="AA174" s="1133">
        <f t="shared" ref="AA174:AA185" si="145">Y174+Z174</f>
        <v>6186871.1999999993</v>
      </c>
      <c r="AB174" s="1133">
        <f t="shared" ref="AB174:AB185" si="146">AA174*3.5%</f>
        <v>216540.492</v>
      </c>
      <c r="AC174" s="1133">
        <f t="shared" ref="AC174:AC185" si="147">(AA174*0.9-(W174*12))*11%-AD174</f>
        <v>322270.86455999996</v>
      </c>
      <c r="AD174" s="1133">
        <f t="shared" ref="AD174:AD185" si="148">AA174*0.9*5%</f>
        <v>278409.20399999997</v>
      </c>
      <c r="AE174" s="1133">
        <f t="shared" ref="AE174:AE185" si="149">AA174*3%</f>
        <v>185606.13599999997</v>
      </c>
      <c r="AF174" s="1133">
        <f t="shared" ref="AF174:AF185" si="150">AA174+AC174+AD174+AE174+AB174</f>
        <v>7189697.8965599984</v>
      </c>
      <c r="AG174" s="1133" t="s">
        <v>3</v>
      </c>
    </row>
    <row r="175" spans="1:33">
      <c r="A175" s="1126">
        <f>A174+1</f>
        <v>140</v>
      </c>
      <c r="B175" s="1248" t="s">
        <v>490</v>
      </c>
      <c r="C175" s="1249" t="s">
        <v>931</v>
      </c>
      <c r="D175" s="1271">
        <v>1</v>
      </c>
      <c r="E175" s="1252"/>
      <c r="F175" s="1272"/>
      <c r="G175" s="1272"/>
      <c r="H175" s="1252">
        <v>20</v>
      </c>
      <c r="I175" s="1253">
        <f>17697*H175</f>
        <v>353940</v>
      </c>
      <c r="J175" s="1253">
        <f t="shared" si="136"/>
        <v>35394</v>
      </c>
      <c r="K175" s="1272"/>
      <c r="L175" s="1272"/>
      <c r="M175" s="1272"/>
      <c r="N175" s="1272"/>
      <c r="O175" s="1272"/>
      <c r="P175" s="1272"/>
      <c r="Q175" s="1272"/>
      <c r="R175" s="1272"/>
      <c r="S175" s="1133">
        <f t="shared" si="137"/>
        <v>35394</v>
      </c>
      <c r="T175" s="1133">
        <f t="shared" si="138"/>
        <v>389334</v>
      </c>
      <c r="U175" s="1133">
        <f t="shared" si="139"/>
        <v>38933.4</v>
      </c>
      <c r="V175" s="1133">
        <f t="shared" si="140"/>
        <v>28206.392</v>
      </c>
      <c r="W175" s="1133">
        <f t="shared" si="141"/>
        <v>7786.68</v>
      </c>
      <c r="X175" s="1133">
        <f t="shared" si="142"/>
        <v>314407.52799999999</v>
      </c>
      <c r="Y175" s="1133">
        <f t="shared" si="143"/>
        <v>4672008</v>
      </c>
      <c r="Z175" s="1133">
        <f t="shared" si="144"/>
        <v>707880</v>
      </c>
      <c r="AA175" s="1133">
        <f t="shared" si="145"/>
        <v>5379888</v>
      </c>
      <c r="AB175" s="1133">
        <f t="shared" si="146"/>
        <v>188296.08000000002</v>
      </c>
      <c r="AC175" s="1133">
        <f t="shared" si="147"/>
        <v>280235.5344</v>
      </c>
      <c r="AD175" s="1133">
        <f t="shared" si="148"/>
        <v>242094.96000000002</v>
      </c>
      <c r="AE175" s="1133">
        <f t="shared" si="149"/>
        <v>161396.63999999998</v>
      </c>
      <c r="AF175" s="1133">
        <f t="shared" si="150"/>
        <v>6251911.2143999999</v>
      </c>
      <c r="AG175" s="1133" t="s">
        <v>3</v>
      </c>
    </row>
    <row r="176" spans="1:33" s="1189" customFormat="1">
      <c r="A176" s="1126">
        <f>A175+1</f>
        <v>141</v>
      </c>
      <c r="B176" s="1180" t="s">
        <v>537</v>
      </c>
      <c r="C176" s="1208" t="s">
        <v>931</v>
      </c>
      <c r="D176" s="1273">
        <v>1</v>
      </c>
      <c r="E176" s="1256"/>
      <c r="F176" s="1274"/>
      <c r="G176" s="1275"/>
      <c r="H176" s="1184">
        <v>20</v>
      </c>
      <c r="I176" s="1185">
        <f t="shared" ref="I176:I178" si="151">17697*H176</f>
        <v>353940</v>
      </c>
      <c r="J176" s="1185">
        <f t="shared" si="136"/>
        <v>35394</v>
      </c>
      <c r="K176" s="1274"/>
      <c r="L176" s="1274"/>
      <c r="M176" s="1274"/>
      <c r="N176" s="1274"/>
      <c r="O176" s="1274"/>
      <c r="P176" s="1274"/>
      <c r="Q176" s="1274"/>
      <c r="R176" s="1274"/>
      <c r="S176" s="1185">
        <f t="shared" si="137"/>
        <v>35394</v>
      </c>
      <c r="T176" s="1185">
        <f t="shared" si="138"/>
        <v>389334</v>
      </c>
      <c r="U176" s="1185">
        <f t="shared" si="139"/>
        <v>38933.4</v>
      </c>
      <c r="V176" s="1185">
        <f t="shared" si="140"/>
        <v>28206.392</v>
      </c>
      <c r="W176" s="1185">
        <f t="shared" si="141"/>
        <v>7786.68</v>
      </c>
      <c r="X176" s="1185">
        <f t="shared" si="142"/>
        <v>314407.52799999999</v>
      </c>
      <c r="Y176" s="1185">
        <f t="shared" si="143"/>
        <v>4672008</v>
      </c>
      <c r="Z176" s="1185">
        <f t="shared" si="144"/>
        <v>707880</v>
      </c>
      <c r="AA176" s="1185">
        <f t="shared" si="145"/>
        <v>5379888</v>
      </c>
      <c r="AB176" s="1185">
        <f t="shared" si="146"/>
        <v>188296.08000000002</v>
      </c>
      <c r="AC176" s="1185">
        <f>(AA176*0.9-(W176*12))*11%-AD176+3000000</f>
        <v>3280235.5344000002</v>
      </c>
      <c r="AD176" s="1185">
        <f t="shared" si="148"/>
        <v>242094.96000000002</v>
      </c>
      <c r="AE176" s="1185">
        <f t="shared" si="149"/>
        <v>161396.63999999998</v>
      </c>
      <c r="AF176" s="1185">
        <f t="shared" si="150"/>
        <v>9251911.2144000027</v>
      </c>
      <c r="AG176" s="1185" t="s">
        <v>3</v>
      </c>
    </row>
    <row r="177" spans="1:35">
      <c r="A177" s="1126">
        <f t="shared" ref="A177:A185" si="152">A176+1</f>
        <v>142</v>
      </c>
      <c r="B177" s="1137" t="s">
        <v>15</v>
      </c>
      <c r="C177" s="1276" t="s">
        <v>839</v>
      </c>
      <c r="D177" s="1126">
        <v>1</v>
      </c>
      <c r="E177" s="1139">
        <v>1</v>
      </c>
      <c r="F177" s="1270"/>
      <c r="G177" s="1148">
        <v>45231</v>
      </c>
      <c r="H177" s="1139">
        <v>12</v>
      </c>
      <c r="I177" s="1133">
        <f t="shared" si="151"/>
        <v>212364</v>
      </c>
      <c r="J177" s="1133">
        <f t="shared" si="136"/>
        <v>21236.400000000001</v>
      </c>
      <c r="K177" s="1270"/>
      <c r="L177" s="1270"/>
      <c r="M177" s="1270"/>
      <c r="N177" s="1270"/>
      <c r="O177" s="1270"/>
      <c r="P177" s="1270"/>
      <c r="Q177" s="1270"/>
      <c r="R177" s="1270"/>
      <c r="S177" s="1133">
        <f t="shared" si="137"/>
        <v>21236.400000000001</v>
      </c>
      <c r="T177" s="1133">
        <f t="shared" si="138"/>
        <v>233600.4</v>
      </c>
      <c r="U177" s="1133">
        <f t="shared" si="139"/>
        <v>23360.04</v>
      </c>
      <c r="V177" s="1133">
        <f t="shared" si="140"/>
        <v>14501.8352</v>
      </c>
      <c r="W177" s="1133">
        <f t="shared" si="141"/>
        <v>4672.0079999999998</v>
      </c>
      <c r="X177" s="1133">
        <f t="shared" si="142"/>
        <v>191066.51679999998</v>
      </c>
      <c r="Y177" s="1133">
        <f t="shared" si="143"/>
        <v>2803204.8</v>
      </c>
      <c r="Z177" s="1133">
        <f t="shared" si="144"/>
        <v>424728</v>
      </c>
      <c r="AA177" s="1133">
        <f t="shared" si="145"/>
        <v>3227932.8</v>
      </c>
      <c r="AB177" s="1133">
        <f t="shared" si="146"/>
        <v>112977.648</v>
      </c>
      <c r="AC177" s="1133">
        <f t="shared" si="147"/>
        <v>168141.32064000002</v>
      </c>
      <c r="AD177" s="1133">
        <f t="shared" si="148"/>
        <v>145256.976</v>
      </c>
      <c r="AE177" s="1133">
        <f t="shared" si="149"/>
        <v>96837.983999999997</v>
      </c>
      <c r="AF177" s="1133">
        <f t="shared" si="150"/>
        <v>3751146.7286399999</v>
      </c>
      <c r="AG177" s="1133" t="s">
        <v>3</v>
      </c>
    </row>
    <row r="178" spans="1:35" ht="31.5">
      <c r="A178" s="1126">
        <f t="shared" si="152"/>
        <v>143</v>
      </c>
      <c r="B178" s="1137" t="s">
        <v>53</v>
      </c>
      <c r="C178" s="1277" t="s">
        <v>538</v>
      </c>
      <c r="D178" s="1126">
        <v>1</v>
      </c>
      <c r="E178" s="1139">
        <v>1</v>
      </c>
      <c r="F178" s="1270"/>
      <c r="G178" s="1129">
        <v>44868</v>
      </c>
      <c r="H178" s="1139">
        <v>12</v>
      </c>
      <c r="I178" s="1133">
        <f t="shared" si="151"/>
        <v>212364</v>
      </c>
      <c r="J178" s="1133">
        <f t="shared" si="136"/>
        <v>21236.400000000001</v>
      </c>
      <c r="K178" s="1270"/>
      <c r="L178" s="1270"/>
      <c r="M178" s="1270"/>
      <c r="N178" s="1270"/>
      <c r="O178" s="1270"/>
      <c r="P178" s="1270"/>
      <c r="Q178" s="1270"/>
      <c r="R178" s="1270"/>
      <c r="S178" s="1133">
        <f t="shared" si="137"/>
        <v>21236.400000000001</v>
      </c>
      <c r="T178" s="1133">
        <f t="shared" si="138"/>
        <v>233600.4</v>
      </c>
      <c r="U178" s="1133">
        <f t="shared" si="139"/>
        <v>23360.04</v>
      </c>
      <c r="V178" s="1133">
        <f t="shared" si="140"/>
        <v>14501.8352</v>
      </c>
      <c r="W178" s="1133">
        <f t="shared" si="141"/>
        <v>4672.0079999999998</v>
      </c>
      <c r="X178" s="1133">
        <f t="shared" si="142"/>
        <v>191066.51679999998</v>
      </c>
      <c r="Y178" s="1133">
        <f t="shared" si="143"/>
        <v>2803204.8</v>
      </c>
      <c r="Z178" s="1133">
        <f t="shared" si="144"/>
        <v>424728</v>
      </c>
      <c r="AA178" s="1133">
        <f t="shared" si="145"/>
        <v>3227932.8</v>
      </c>
      <c r="AB178" s="1133">
        <f t="shared" si="146"/>
        <v>112977.648</v>
      </c>
      <c r="AC178" s="1133">
        <f t="shared" si="147"/>
        <v>168141.32064000002</v>
      </c>
      <c r="AD178" s="1133">
        <f t="shared" si="148"/>
        <v>145256.976</v>
      </c>
      <c r="AE178" s="1133">
        <f t="shared" si="149"/>
        <v>96837.983999999997</v>
      </c>
      <c r="AF178" s="1133">
        <f t="shared" si="150"/>
        <v>3751146.7286399999</v>
      </c>
      <c r="AG178" s="1133" t="s">
        <v>3</v>
      </c>
    </row>
    <row r="179" spans="1:35" ht="47.25">
      <c r="A179" s="1126">
        <f t="shared" si="152"/>
        <v>144</v>
      </c>
      <c r="B179" s="1248" t="s">
        <v>834</v>
      </c>
      <c r="C179" s="1249" t="s">
        <v>931</v>
      </c>
      <c r="D179" s="1160">
        <v>1</v>
      </c>
      <c r="E179" s="1252"/>
      <c r="F179" s="1270"/>
      <c r="G179" s="1272"/>
      <c r="H179" s="1252">
        <v>20</v>
      </c>
      <c r="I179" s="1253">
        <f>17697*H179</f>
        <v>353940</v>
      </c>
      <c r="J179" s="1253">
        <f t="shared" si="136"/>
        <v>35394</v>
      </c>
      <c r="K179" s="1272"/>
      <c r="L179" s="1272"/>
      <c r="M179" s="1272"/>
      <c r="N179" s="1272"/>
      <c r="O179" s="1272"/>
      <c r="P179" s="1272"/>
      <c r="Q179" s="1272"/>
      <c r="R179" s="1272"/>
      <c r="S179" s="1133">
        <f t="shared" si="137"/>
        <v>35394</v>
      </c>
      <c r="T179" s="1133">
        <f t="shared" si="138"/>
        <v>389334</v>
      </c>
      <c r="U179" s="1133">
        <f t="shared" si="139"/>
        <v>38933.4</v>
      </c>
      <c r="V179" s="1133">
        <f t="shared" si="140"/>
        <v>28206.392</v>
      </c>
      <c r="W179" s="1133">
        <f t="shared" si="141"/>
        <v>7786.68</v>
      </c>
      <c r="X179" s="1133">
        <f t="shared" si="142"/>
        <v>314407.52799999999</v>
      </c>
      <c r="Y179" s="1133">
        <f t="shared" si="143"/>
        <v>4672008</v>
      </c>
      <c r="Z179" s="1133">
        <f t="shared" si="144"/>
        <v>707880</v>
      </c>
      <c r="AA179" s="1133">
        <f t="shared" si="145"/>
        <v>5379888</v>
      </c>
      <c r="AB179" s="1133">
        <f t="shared" si="146"/>
        <v>188296.08000000002</v>
      </c>
      <c r="AC179" s="1133">
        <f t="shared" si="147"/>
        <v>280235.5344</v>
      </c>
      <c r="AD179" s="1133">
        <f t="shared" si="148"/>
        <v>242094.96000000002</v>
      </c>
      <c r="AE179" s="1133">
        <f t="shared" si="149"/>
        <v>161396.63999999998</v>
      </c>
      <c r="AF179" s="1133">
        <f t="shared" si="150"/>
        <v>6251911.2143999999</v>
      </c>
      <c r="AG179" s="1133" t="s">
        <v>3</v>
      </c>
    </row>
    <row r="180" spans="1:35">
      <c r="A180" s="1126">
        <f t="shared" si="152"/>
        <v>145</v>
      </c>
      <c r="B180" s="1134" t="s">
        <v>539</v>
      </c>
      <c r="C180" s="1157" t="s">
        <v>540</v>
      </c>
      <c r="D180" s="1126">
        <v>1</v>
      </c>
      <c r="E180" s="1136">
        <v>1</v>
      </c>
      <c r="F180" s="1270"/>
      <c r="G180" s="1129">
        <v>44986</v>
      </c>
      <c r="H180" s="1136">
        <v>13</v>
      </c>
      <c r="I180" s="1133">
        <f t="shared" ref="I180:I185" si="153">E180*17697*H180</f>
        <v>230061</v>
      </c>
      <c r="J180" s="1133">
        <f t="shared" si="136"/>
        <v>23006.100000000002</v>
      </c>
      <c r="K180" s="1270"/>
      <c r="L180" s="1270"/>
      <c r="M180" s="1270"/>
      <c r="N180" s="1270"/>
      <c r="O180" s="1270"/>
      <c r="P180" s="1270"/>
      <c r="Q180" s="1270"/>
      <c r="R180" s="1215">
        <f>17697*25%</f>
        <v>4424.25</v>
      </c>
      <c r="S180" s="1133">
        <f t="shared" si="137"/>
        <v>27430.350000000002</v>
      </c>
      <c r="T180" s="1133">
        <f t="shared" si="138"/>
        <v>257491.35</v>
      </c>
      <c r="U180" s="1133">
        <f t="shared" si="139"/>
        <v>25749.135000000002</v>
      </c>
      <c r="V180" s="1133">
        <f t="shared" si="140"/>
        <v>16604.238800000003</v>
      </c>
      <c r="W180" s="1133">
        <f t="shared" si="141"/>
        <v>5149.8270000000002</v>
      </c>
      <c r="X180" s="1133">
        <f t="shared" si="142"/>
        <v>209988.14920000001</v>
      </c>
      <c r="Y180" s="1133">
        <f t="shared" si="143"/>
        <v>3089896.2</v>
      </c>
      <c r="Z180" s="1133">
        <f t="shared" si="144"/>
        <v>460122</v>
      </c>
      <c r="AA180" s="1133">
        <f t="shared" si="145"/>
        <v>3550018.2</v>
      </c>
      <c r="AB180" s="1133">
        <f t="shared" si="146"/>
        <v>124250.63700000002</v>
      </c>
      <c r="AC180" s="1133">
        <f t="shared" si="147"/>
        <v>184903.21116000001</v>
      </c>
      <c r="AD180" s="1133">
        <f t="shared" si="148"/>
        <v>159750.81900000002</v>
      </c>
      <c r="AE180" s="1133">
        <f t="shared" si="149"/>
        <v>106500.546</v>
      </c>
      <c r="AF180" s="1133">
        <f t="shared" si="150"/>
        <v>4125423.4131600005</v>
      </c>
      <c r="AG180" s="1133" t="s">
        <v>3</v>
      </c>
    </row>
    <row r="181" spans="1:35">
      <c r="A181" s="1126">
        <f t="shared" si="152"/>
        <v>146</v>
      </c>
      <c r="B181" s="1137" t="s">
        <v>14</v>
      </c>
      <c r="C181" s="1244" t="s">
        <v>501</v>
      </c>
      <c r="D181" s="1472">
        <v>4</v>
      </c>
      <c r="E181" s="1136">
        <v>1</v>
      </c>
      <c r="F181" s="1270"/>
      <c r="G181" s="1129">
        <v>42284</v>
      </c>
      <c r="H181" s="1136">
        <v>10</v>
      </c>
      <c r="I181" s="1133">
        <f t="shared" si="153"/>
        <v>176970</v>
      </c>
      <c r="J181" s="1133">
        <f t="shared" si="136"/>
        <v>17697</v>
      </c>
      <c r="K181" s="1270"/>
      <c r="L181" s="1270"/>
      <c r="M181" s="1270"/>
      <c r="N181" s="1270"/>
      <c r="O181" s="1270"/>
      <c r="P181" s="1215">
        <f t="shared" ref="P181:P185" si="154">17697*30%</f>
        <v>5309.0999999999995</v>
      </c>
      <c r="Q181" s="1270"/>
      <c r="R181" s="1270"/>
      <c r="S181" s="1133">
        <f t="shared" si="137"/>
        <v>23006.1</v>
      </c>
      <c r="T181" s="1133">
        <f t="shared" si="138"/>
        <v>199976.1</v>
      </c>
      <c r="U181" s="1133">
        <f t="shared" si="139"/>
        <v>19997.61</v>
      </c>
      <c r="V181" s="1133">
        <f t="shared" si="140"/>
        <v>11542.8968</v>
      </c>
      <c r="W181" s="1133">
        <f t="shared" si="141"/>
        <v>3999.5220000000004</v>
      </c>
      <c r="X181" s="1133">
        <f t="shared" si="142"/>
        <v>164436.07120000001</v>
      </c>
      <c r="Y181" s="1133">
        <f t="shared" si="143"/>
        <v>2399713.2000000002</v>
      </c>
      <c r="Z181" s="1133">
        <f t="shared" si="144"/>
        <v>353940</v>
      </c>
      <c r="AA181" s="1133">
        <f t="shared" si="145"/>
        <v>2753653.2</v>
      </c>
      <c r="AB181" s="1133">
        <f t="shared" si="146"/>
        <v>96377.862000000023</v>
      </c>
      <c r="AC181" s="1133">
        <f t="shared" si="147"/>
        <v>143417.90376000002</v>
      </c>
      <c r="AD181" s="1133">
        <f t="shared" si="148"/>
        <v>123914.39400000003</v>
      </c>
      <c r="AE181" s="1133">
        <f t="shared" si="149"/>
        <v>82609.596000000005</v>
      </c>
      <c r="AF181" s="1133">
        <f t="shared" si="150"/>
        <v>3199972.9557600003</v>
      </c>
      <c r="AG181" s="1133" t="s">
        <v>3</v>
      </c>
    </row>
    <row r="182" spans="1:35" ht="31.5">
      <c r="A182" s="1126">
        <f t="shared" si="152"/>
        <v>147</v>
      </c>
      <c r="B182" s="1134" t="s">
        <v>14</v>
      </c>
      <c r="C182" s="1134" t="s">
        <v>541</v>
      </c>
      <c r="D182" s="1486"/>
      <c r="E182" s="1136">
        <v>1</v>
      </c>
      <c r="F182" s="1270"/>
      <c r="G182" s="1129">
        <v>43468</v>
      </c>
      <c r="H182" s="1136">
        <v>10</v>
      </c>
      <c r="I182" s="1133">
        <f t="shared" si="153"/>
        <v>176970</v>
      </c>
      <c r="J182" s="1133">
        <f t="shared" si="136"/>
        <v>17697</v>
      </c>
      <c r="K182" s="1270"/>
      <c r="L182" s="1270"/>
      <c r="M182" s="1270"/>
      <c r="N182" s="1270"/>
      <c r="O182" s="1270"/>
      <c r="P182" s="1215">
        <f t="shared" si="154"/>
        <v>5309.0999999999995</v>
      </c>
      <c r="Q182" s="1270"/>
      <c r="R182" s="1270"/>
      <c r="S182" s="1133">
        <f t="shared" si="137"/>
        <v>23006.1</v>
      </c>
      <c r="T182" s="1133">
        <f t="shared" si="138"/>
        <v>199976.1</v>
      </c>
      <c r="U182" s="1133">
        <f t="shared" si="139"/>
        <v>19997.61</v>
      </c>
      <c r="V182" s="1133">
        <f t="shared" si="140"/>
        <v>11542.8968</v>
      </c>
      <c r="W182" s="1133">
        <f t="shared" si="141"/>
        <v>3999.5220000000004</v>
      </c>
      <c r="X182" s="1133">
        <f t="shared" si="142"/>
        <v>164436.07120000001</v>
      </c>
      <c r="Y182" s="1133">
        <f t="shared" si="143"/>
        <v>2399713.2000000002</v>
      </c>
      <c r="Z182" s="1133">
        <f t="shared" si="144"/>
        <v>353940</v>
      </c>
      <c r="AA182" s="1133">
        <f t="shared" si="145"/>
        <v>2753653.2</v>
      </c>
      <c r="AB182" s="1133">
        <f t="shared" si="146"/>
        <v>96377.862000000023</v>
      </c>
      <c r="AC182" s="1133">
        <f t="shared" si="147"/>
        <v>143417.90376000002</v>
      </c>
      <c r="AD182" s="1133">
        <f t="shared" si="148"/>
        <v>123914.39400000003</v>
      </c>
      <c r="AE182" s="1133">
        <f t="shared" si="149"/>
        <v>82609.596000000005</v>
      </c>
      <c r="AF182" s="1133">
        <f t="shared" si="150"/>
        <v>3199972.9557600003</v>
      </c>
      <c r="AG182" s="1133" t="s">
        <v>3</v>
      </c>
    </row>
    <row r="183" spans="1:35">
      <c r="A183" s="1126">
        <f t="shared" si="152"/>
        <v>148</v>
      </c>
      <c r="B183" s="1134" t="s">
        <v>14</v>
      </c>
      <c r="C183" s="1134" t="s">
        <v>542</v>
      </c>
      <c r="D183" s="1486"/>
      <c r="E183" s="1136">
        <v>1</v>
      </c>
      <c r="F183" s="1175"/>
      <c r="G183" s="1129">
        <v>43332</v>
      </c>
      <c r="H183" s="1136">
        <v>10</v>
      </c>
      <c r="I183" s="1133">
        <f t="shared" si="153"/>
        <v>176970</v>
      </c>
      <c r="J183" s="1133">
        <f t="shared" si="136"/>
        <v>17697</v>
      </c>
      <c r="K183" s="1265"/>
      <c r="L183" s="1265"/>
      <c r="M183" s="1265"/>
      <c r="N183" s="1265"/>
      <c r="O183" s="1265"/>
      <c r="P183" s="1215">
        <f t="shared" si="154"/>
        <v>5309.0999999999995</v>
      </c>
      <c r="Q183" s="1265"/>
      <c r="R183" s="1265"/>
      <c r="S183" s="1133">
        <f t="shared" si="137"/>
        <v>23006.1</v>
      </c>
      <c r="T183" s="1133">
        <f t="shared" si="138"/>
        <v>199976.1</v>
      </c>
      <c r="U183" s="1133">
        <f t="shared" si="139"/>
        <v>19997.61</v>
      </c>
      <c r="V183" s="1133">
        <f t="shared" si="140"/>
        <v>11542.8968</v>
      </c>
      <c r="W183" s="1133">
        <f t="shared" si="141"/>
        <v>3999.5220000000004</v>
      </c>
      <c r="X183" s="1133">
        <f t="shared" si="142"/>
        <v>164436.07120000001</v>
      </c>
      <c r="Y183" s="1133">
        <f t="shared" si="143"/>
        <v>2399713.2000000002</v>
      </c>
      <c r="Z183" s="1133">
        <f t="shared" si="144"/>
        <v>353940</v>
      </c>
      <c r="AA183" s="1133">
        <f t="shared" si="145"/>
        <v>2753653.2</v>
      </c>
      <c r="AB183" s="1133">
        <f t="shared" si="146"/>
        <v>96377.862000000023</v>
      </c>
      <c r="AC183" s="1133">
        <f t="shared" si="147"/>
        <v>143417.90376000002</v>
      </c>
      <c r="AD183" s="1133">
        <f t="shared" si="148"/>
        <v>123914.39400000003</v>
      </c>
      <c r="AE183" s="1133">
        <f t="shared" si="149"/>
        <v>82609.596000000005</v>
      </c>
      <c r="AF183" s="1133">
        <f t="shared" si="150"/>
        <v>3199972.9557600003</v>
      </c>
      <c r="AG183" s="1133" t="s">
        <v>3</v>
      </c>
    </row>
    <row r="184" spans="1:35" s="1189" customFormat="1">
      <c r="A184" s="1278">
        <f t="shared" si="152"/>
        <v>149</v>
      </c>
      <c r="B184" s="1199" t="s">
        <v>14</v>
      </c>
      <c r="C184" s="1208" t="s">
        <v>931</v>
      </c>
      <c r="D184" s="1486"/>
      <c r="E184" s="1279"/>
      <c r="F184" s="1179"/>
      <c r="G184" s="1275">
        <v>45902</v>
      </c>
      <c r="H184" s="1246">
        <v>20</v>
      </c>
      <c r="I184" s="1185">
        <f>17697*H184</f>
        <v>353940</v>
      </c>
      <c r="J184" s="1185">
        <f t="shared" si="136"/>
        <v>35394</v>
      </c>
      <c r="K184" s="1203"/>
      <c r="L184" s="1203"/>
      <c r="M184" s="1203"/>
      <c r="N184" s="1203"/>
      <c r="O184" s="1203"/>
      <c r="P184" s="1280">
        <f t="shared" si="154"/>
        <v>5309.0999999999995</v>
      </c>
      <c r="Q184" s="1203"/>
      <c r="R184" s="1203"/>
      <c r="S184" s="1185">
        <f t="shared" si="137"/>
        <v>40703.1</v>
      </c>
      <c r="T184" s="1185">
        <f t="shared" si="138"/>
        <v>394643.1</v>
      </c>
      <c r="U184" s="1185">
        <f t="shared" si="139"/>
        <v>39464.31</v>
      </c>
      <c r="V184" s="1185">
        <f t="shared" si="140"/>
        <v>28673.592799999999</v>
      </c>
      <c r="W184" s="1185">
        <f t="shared" si="141"/>
        <v>7892.8620000000001</v>
      </c>
      <c r="X184" s="1185">
        <f t="shared" si="142"/>
        <v>318612.33519999997</v>
      </c>
      <c r="Y184" s="1185">
        <f t="shared" si="143"/>
        <v>4735717.1999999993</v>
      </c>
      <c r="Z184" s="1185">
        <f t="shared" si="144"/>
        <v>707880</v>
      </c>
      <c r="AA184" s="1185">
        <f t="shared" si="145"/>
        <v>5443597.1999999993</v>
      </c>
      <c r="AB184" s="1185">
        <f t="shared" si="146"/>
        <v>190525.902</v>
      </c>
      <c r="AC184" s="1185">
        <f t="shared" si="147"/>
        <v>283535.67096000002</v>
      </c>
      <c r="AD184" s="1185">
        <f t="shared" si="148"/>
        <v>244961.87399999998</v>
      </c>
      <c r="AE184" s="1185">
        <f t="shared" si="149"/>
        <v>163307.91599999997</v>
      </c>
      <c r="AF184" s="1185">
        <f t="shared" si="150"/>
        <v>6325928.5629599988</v>
      </c>
      <c r="AG184" s="1185" t="s">
        <v>3</v>
      </c>
    </row>
    <row r="185" spans="1:35" ht="19.5" customHeight="1">
      <c r="A185" s="1278">
        <f t="shared" si="152"/>
        <v>150</v>
      </c>
      <c r="B185" s="1137" t="s">
        <v>543</v>
      </c>
      <c r="C185" s="1137" t="s">
        <v>544</v>
      </c>
      <c r="D185" s="1175">
        <v>1</v>
      </c>
      <c r="E185" s="1139">
        <v>1</v>
      </c>
      <c r="F185" s="1128"/>
      <c r="G185" s="1129">
        <v>44987</v>
      </c>
      <c r="H185" s="1139">
        <v>12</v>
      </c>
      <c r="I185" s="1133">
        <f t="shared" si="153"/>
        <v>212364</v>
      </c>
      <c r="J185" s="1133">
        <f t="shared" si="136"/>
        <v>21236.400000000001</v>
      </c>
      <c r="K185" s="1128"/>
      <c r="L185" s="1128"/>
      <c r="M185" s="1128"/>
      <c r="N185" s="1128"/>
      <c r="O185" s="1128"/>
      <c r="P185" s="1215">
        <f t="shared" si="154"/>
        <v>5309.0999999999995</v>
      </c>
      <c r="Q185" s="1177"/>
      <c r="R185" s="1177"/>
      <c r="S185" s="1133">
        <f t="shared" si="137"/>
        <v>26545.5</v>
      </c>
      <c r="T185" s="1133">
        <f t="shared" si="138"/>
        <v>238909.5</v>
      </c>
      <c r="U185" s="1133">
        <f t="shared" si="139"/>
        <v>23890.95</v>
      </c>
      <c r="V185" s="1133">
        <f t="shared" si="140"/>
        <v>14969.036</v>
      </c>
      <c r="W185" s="1133">
        <f t="shared" si="141"/>
        <v>4778.1900000000005</v>
      </c>
      <c r="X185" s="1133">
        <f t="shared" si="142"/>
        <v>195271.32399999999</v>
      </c>
      <c r="Y185" s="1133">
        <f t="shared" si="143"/>
        <v>2866914</v>
      </c>
      <c r="Z185" s="1133">
        <f t="shared" si="144"/>
        <v>424728</v>
      </c>
      <c r="AA185" s="1133">
        <f t="shared" si="145"/>
        <v>3291642</v>
      </c>
      <c r="AB185" s="1133">
        <f t="shared" si="146"/>
        <v>115207.47000000002</v>
      </c>
      <c r="AC185" s="1133">
        <f t="shared" si="147"/>
        <v>171441.45720000006</v>
      </c>
      <c r="AD185" s="1133">
        <f t="shared" si="148"/>
        <v>148123.89000000001</v>
      </c>
      <c r="AE185" s="1133">
        <f t="shared" si="149"/>
        <v>98749.26</v>
      </c>
      <c r="AF185" s="1133">
        <f t="shared" si="150"/>
        <v>3825164.0772000002</v>
      </c>
      <c r="AG185" s="1133" t="s">
        <v>3</v>
      </c>
    </row>
    <row r="186" spans="1:35" ht="24" customHeight="1">
      <c r="A186" s="1168"/>
      <c r="B186" s="1169" t="s">
        <v>835</v>
      </c>
      <c r="C186" s="1170"/>
      <c r="D186" s="1171">
        <f>SUM(D174:D185)</f>
        <v>12</v>
      </c>
      <c r="E186" s="1171">
        <f>SUM(E174:E185)</f>
        <v>8</v>
      </c>
      <c r="F186" s="1171">
        <f>SUM(F174:F185)</f>
        <v>0</v>
      </c>
      <c r="G186" s="1171"/>
      <c r="H186" s="1171"/>
      <c r="I186" s="1173">
        <f t="shared" ref="I186:AF186" si="155">SUM(I174:I185)</f>
        <v>3220854</v>
      </c>
      <c r="J186" s="1173">
        <f t="shared" si="155"/>
        <v>322085.40000000002</v>
      </c>
      <c r="K186" s="1173">
        <f t="shared" si="155"/>
        <v>0</v>
      </c>
      <c r="L186" s="1173">
        <f t="shared" si="155"/>
        <v>0</v>
      </c>
      <c r="M186" s="1173">
        <f t="shared" si="155"/>
        <v>0</v>
      </c>
      <c r="N186" s="1173">
        <f t="shared" si="155"/>
        <v>0</v>
      </c>
      <c r="O186" s="1173">
        <f t="shared" si="155"/>
        <v>0</v>
      </c>
      <c r="P186" s="1173">
        <f t="shared" si="155"/>
        <v>26545.499999999996</v>
      </c>
      <c r="Q186" s="1173">
        <f t="shared" si="155"/>
        <v>0</v>
      </c>
      <c r="R186" s="1173">
        <f t="shared" si="155"/>
        <v>4424.25</v>
      </c>
      <c r="S186" s="1173">
        <f t="shared" si="155"/>
        <v>353055.14999999997</v>
      </c>
      <c r="T186" s="1173">
        <f t="shared" si="155"/>
        <v>3573909.1500000004</v>
      </c>
      <c r="U186" s="1173">
        <f t="shared" si="155"/>
        <v>357390.91499999998</v>
      </c>
      <c r="V186" s="1173">
        <f t="shared" si="155"/>
        <v>241844.00519999993</v>
      </c>
      <c r="W186" s="1173">
        <f t="shared" si="155"/>
        <v>71478.18299999999</v>
      </c>
      <c r="X186" s="1173">
        <f t="shared" si="155"/>
        <v>2903196.0468000001</v>
      </c>
      <c r="Y186" s="1173">
        <f t="shared" si="155"/>
        <v>42886909.799999997</v>
      </c>
      <c r="Z186" s="1173">
        <f t="shared" si="155"/>
        <v>6441708</v>
      </c>
      <c r="AA186" s="1173">
        <f t="shared" si="155"/>
        <v>49328617.800000012</v>
      </c>
      <c r="AB186" s="1173">
        <f t="shared" si="155"/>
        <v>1726501.6230000001</v>
      </c>
      <c r="AC186" s="1173">
        <f t="shared" si="155"/>
        <v>5569394.1596400011</v>
      </c>
      <c r="AD186" s="1173">
        <f t="shared" si="155"/>
        <v>2219787.8010000004</v>
      </c>
      <c r="AE186" s="1173">
        <f t="shared" si="155"/>
        <v>1479858.5339999995</v>
      </c>
      <c r="AF186" s="1173">
        <f t="shared" si="155"/>
        <v>60324159.917640015</v>
      </c>
      <c r="AG186" s="1171"/>
    </row>
    <row r="187" spans="1:35" ht="24" customHeight="1">
      <c r="A187" s="1281"/>
      <c r="B187" s="1282" t="s">
        <v>2461</v>
      </c>
      <c r="C187" s="1283"/>
      <c r="D187" s="1284">
        <f>D39+D109+D138+D172+D186</f>
        <v>68</v>
      </c>
      <c r="E187" s="1285">
        <f>E39+E109+E138+E172+E186</f>
        <v>45.5</v>
      </c>
      <c r="F187" s="1286">
        <f>F39+F109+F138+F172+F186</f>
        <v>0</v>
      </c>
      <c r="G187" s="1286"/>
      <c r="H187" s="1286"/>
      <c r="I187" s="1286">
        <f>I39+I109+I138+I172+I186</f>
        <v>21554946</v>
      </c>
      <c r="J187" s="1286">
        <f t="shared" ref="J187:AF187" si="156">J39+J109+J138+J172+J186</f>
        <v>2155494.6</v>
      </c>
      <c r="K187" s="1286">
        <f t="shared" si="156"/>
        <v>0</v>
      </c>
      <c r="L187" s="1286">
        <f t="shared" si="156"/>
        <v>0</v>
      </c>
      <c r="M187" s="1286">
        <f t="shared" si="156"/>
        <v>0</v>
      </c>
      <c r="N187" s="1286">
        <f t="shared" si="156"/>
        <v>0</v>
      </c>
      <c r="O187" s="1286">
        <f t="shared" si="156"/>
        <v>6193.95</v>
      </c>
      <c r="P187" s="1286">
        <f t="shared" si="156"/>
        <v>138036.59999999998</v>
      </c>
      <c r="Q187" s="1286">
        <f t="shared" si="156"/>
        <v>14157.6</v>
      </c>
      <c r="R187" s="1286">
        <f t="shared" si="156"/>
        <v>17697</v>
      </c>
      <c r="S187" s="1286">
        <f t="shared" si="156"/>
        <v>2331579.7500000005</v>
      </c>
      <c r="T187" s="1286">
        <f t="shared" si="156"/>
        <v>23886525.75</v>
      </c>
      <c r="U187" s="1286">
        <f t="shared" si="156"/>
        <v>2388652.5750000002</v>
      </c>
      <c r="V187" s="1286">
        <f t="shared" si="156"/>
        <v>1768989.2660000001</v>
      </c>
      <c r="W187" s="1286">
        <f t="shared" si="156"/>
        <v>477730.51500000001</v>
      </c>
      <c r="X187" s="1286">
        <f t="shared" si="156"/>
        <v>19251153.393999998</v>
      </c>
      <c r="Y187" s="1286">
        <f t="shared" si="156"/>
        <v>286638309</v>
      </c>
      <c r="Z187" s="1286">
        <f t="shared" si="156"/>
        <v>43109892</v>
      </c>
      <c r="AA187" s="1286">
        <f t="shared" si="156"/>
        <v>329748201</v>
      </c>
      <c r="AB187" s="1286">
        <f t="shared" si="156"/>
        <v>11541187.035000002</v>
      </c>
      <c r="AC187" s="1286">
        <f t="shared" si="156"/>
        <v>29843387.924199998</v>
      </c>
      <c r="AD187" s="1286">
        <f t="shared" si="156"/>
        <v>14838669.045000002</v>
      </c>
      <c r="AE187" s="1286">
        <f t="shared" si="156"/>
        <v>9892446.0300000012</v>
      </c>
      <c r="AF187" s="1286">
        <f t="shared" si="156"/>
        <v>395863891.03420007</v>
      </c>
      <c r="AG187" s="1287"/>
      <c r="AH187" s="1288">
        <v>395863891.02999997</v>
      </c>
      <c r="AI187" s="1288">
        <f>AH187-AF187</f>
        <v>-4.2001008987426758E-3</v>
      </c>
    </row>
    <row r="188" spans="1:35" ht="24" customHeight="1">
      <c r="A188" s="1281"/>
      <c r="B188" s="1282" t="s">
        <v>2462</v>
      </c>
      <c r="C188" s="1283"/>
      <c r="D188" s="1284">
        <f>D26+D104+D142+D169</f>
        <v>85</v>
      </c>
      <c r="E188" s="1289">
        <f>E26+E104+E142+E169</f>
        <v>73.75</v>
      </c>
      <c r="F188" s="1290">
        <f>F26+F104+F142+F169</f>
        <v>0</v>
      </c>
      <c r="G188" s="1290"/>
      <c r="H188" s="1290"/>
      <c r="I188" s="1286">
        <f>I26+I104+I142+I169</f>
        <v>37486670.25</v>
      </c>
      <c r="J188" s="1286">
        <f t="shared" ref="J188:AF188" si="157">J26+J104+J142+J169</f>
        <v>3748667.0250000008</v>
      </c>
      <c r="K188" s="1286">
        <f t="shared" si="157"/>
        <v>216250</v>
      </c>
      <c r="L188" s="1286">
        <f t="shared" si="157"/>
        <v>1327275</v>
      </c>
      <c r="M188" s="1286">
        <f t="shared" si="157"/>
        <v>1162692.8999999999</v>
      </c>
      <c r="N188" s="1286">
        <f t="shared" si="157"/>
        <v>0</v>
      </c>
      <c r="O188" s="1286">
        <f t="shared" si="157"/>
        <v>0</v>
      </c>
      <c r="P188" s="1286">
        <f t="shared" si="157"/>
        <v>15927.3</v>
      </c>
      <c r="Q188" s="1286">
        <f t="shared" si="157"/>
        <v>0</v>
      </c>
      <c r="R188" s="1286">
        <f t="shared" si="157"/>
        <v>0</v>
      </c>
      <c r="S188" s="1286">
        <f t="shared" si="157"/>
        <v>6470812.2249999996</v>
      </c>
      <c r="T188" s="1286">
        <f t="shared" si="157"/>
        <v>43957482.475000024</v>
      </c>
      <c r="U188" s="1286">
        <f t="shared" si="157"/>
        <v>4395748.2474999987</v>
      </c>
      <c r="V188" s="1286">
        <f t="shared" si="157"/>
        <v>3293033.4577999995</v>
      </c>
      <c r="W188" s="1286">
        <f t="shared" si="157"/>
        <v>879149.64950000029</v>
      </c>
      <c r="X188" s="1286">
        <f t="shared" si="157"/>
        <v>35389551.120199993</v>
      </c>
      <c r="Y188" s="1286">
        <f t="shared" si="157"/>
        <v>527489789.69999993</v>
      </c>
      <c r="Z188" s="1286">
        <f t="shared" si="157"/>
        <v>74973340.5</v>
      </c>
      <c r="AA188" s="1286">
        <f t="shared" si="157"/>
        <v>602463130.20000005</v>
      </c>
      <c r="AB188" s="1286">
        <f t="shared" si="157"/>
        <v>25086209.557</v>
      </c>
      <c r="AC188" s="1286">
        <f t="shared" si="157"/>
        <v>64924679.743459985</v>
      </c>
      <c r="AD188" s="1286">
        <f t="shared" si="157"/>
        <v>27110840.859000005</v>
      </c>
      <c r="AE188" s="1286">
        <f t="shared" si="157"/>
        <v>18073893.906000003</v>
      </c>
      <c r="AF188" s="1286">
        <f t="shared" si="157"/>
        <v>737658754.2654599</v>
      </c>
      <c r="AG188" s="1287"/>
      <c r="AH188" s="1288">
        <v>737658754.26999998</v>
      </c>
      <c r="AI188" s="1288">
        <f>AH188-AF188</f>
        <v>4.5400857925415039E-3</v>
      </c>
    </row>
    <row r="189" spans="1:35" ht="26.25" customHeight="1">
      <c r="A189" s="1281"/>
      <c r="B189" s="1282" t="s">
        <v>2463</v>
      </c>
      <c r="C189" s="1283"/>
      <c r="D189" s="1284">
        <f>D188+D187</f>
        <v>153</v>
      </c>
      <c r="E189" s="1285">
        <f>E188+E187</f>
        <v>119.25</v>
      </c>
      <c r="F189" s="1286">
        <f>F188+F187</f>
        <v>0</v>
      </c>
      <c r="G189" s="1286"/>
      <c r="H189" s="1286"/>
      <c r="I189" s="1286">
        <f t="shared" ref="I189:AF189" si="158">I188+I187</f>
        <v>59041616.25</v>
      </c>
      <c r="J189" s="1286">
        <f t="shared" si="158"/>
        <v>5904161.6250000009</v>
      </c>
      <c r="K189" s="1286">
        <f t="shared" si="158"/>
        <v>216250</v>
      </c>
      <c r="L189" s="1286">
        <f t="shared" si="158"/>
        <v>1327275</v>
      </c>
      <c r="M189" s="1286">
        <f t="shared" si="158"/>
        <v>1162692.8999999999</v>
      </c>
      <c r="N189" s="1286">
        <f t="shared" si="158"/>
        <v>0</v>
      </c>
      <c r="O189" s="1286">
        <f t="shared" si="158"/>
        <v>6193.95</v>
      </c>
      <c r="P189" s="1286">
        <f t="shared" si="158"/>
        <v>153963.89999999997</v>
      </c>
      <c r="Q189" s="1286">
        <f t="shared" si="158"/>
        <v>14157.6</v>
      </c>
      <c r="R189" s="1286">
        <f t="shared" si="158"/>
        <v>17697</v>
      </c>
      <c r="S189" s="1286">
        <f t="shared" si="158"/>
        <v>8802391.9749999996</v>
      </c>
      <c r="T189" s="1286">
        <f t="shared" si="158"/>
        <v>67844008.225000024</v>
      </c>
      <c r="U189" s="1286">
        <f t="shared" si="158"/>
        <v>6784400.8224999988</v>
      </c>
      <c r="V189" s="1286">
        <f t="shared" si="158"/>
        <v>5062022.7237999998</v>
      </c>
      <c r="W189" s="1286">
        <f t="shared" si="158"/>
        <v>1356880.1645000004</v>
      </c>
      <c r="X189" s="1286">
        <f t="shared" si="158"/>
        <v>54640704.514199987</v>
      </c>
      <c r="Y189" s="1286">
        <f t="shared" si="158"/>
        <v>814128098.69999993</v>
      </c>
      <c r="Z189" s="1286">
        <f t="shared" si="158"/>
        <v>118083232.5</v>
      </c>
      <c r="AA189" s="1286">
        <f t="shared" si="158"/>
        <v>932211331.20000005</v>
      </c>
      <c r="AB189" s="1286">
        <f t="shared" si="158"/>
        <v>36627396.592</v>
      </c>
      <c r="AC189" s="1286">
        <f t="shared" si="158"/>
        <v>94768067.667659983</v>
      </c>
      <c r="AD189" s="1286">
        <f t="shared" si="158"/>
        <v>41949509.904000007</v>
      </c>
      <c r="AE189" s="1286">
        <f t="shared" si="158"/>
        <v>27966339.936000004</v>
      </c>
      <c r="AF189" s="1286">
        <f t="shared" si="158"/>
        <v>1133522645.29966</v>
      </c>
      <c r="AG189" s="1287"/>
    </row>
    <row r="190" spans="1:35">
      <c r="A190" s="1112"/>
      <c r="B190" s="1291"/>
      <c r="C190" s="1113"/>
      <c r="D190" s="1121"/>
      <c r="E190" s="1121"/>
      <c r="F190" s="1121"/>
      <c r="G190" s="1121"/>
      <c r="H190" s="1121"/>
      <c r="I190" s="1292"/>
      <c r="J190" s="1292"/>
      <c r="K190" s="1292"/>
      <c r="L190" s="1292"/>
      <c r="M190" s="1292"/>
      <c r="N190" s="1292"/>
      <c r="O190" s="1292"/>
      <c r="P190" s="1292"/>
      <c r="Q190" s="1292"/>
      <c r="R190" s="1292"/>
      <c r="S190" s="1292"/>
      <c r="T190" s="1292"/>
      <c r="U190" s="1292"/>
      <c r="V190" s="1292"/>
      <c r="W190" s="1292"/>
      <c r="X190" s="1292"/>
      <c r="Y190" s="1292"/>
      <c r="Z190" s="1292"/>
      <c r="AA190" s="1292"/>
      <c r="AB190" s="1292"/>
      <c r="AC190" s="1292"/>
      <c r="AD190" s="1292"/>
      <c r="AE190" s="1292"/>
      <c r="AF190" s="1292"/>
      <c r="AG190" s="1121"/>
    </row>
    <row r="191" spans="1:35">
      <c r="A191" s="1112"/>
      <c r="B191" s="1113"/>
      <c r="C191" s="1113"/>
      <c r="D191" s="1293"/>
      <c r="E191" s="1293"/>
      <c r="F191" s="1293"/>
      <c r="G191" s="1293"/>
      <c r="H191" s="1293"/>
      <c r="I191" s="1293"/>
      <c r="J191" s="1293"/>
      <c r="K191" s="1293"/>
      <c r="L191" s="1293"/>
      <c r="M191" s="1293"/>
      <c r="N191" s="1293"/>
      <c r="O191" s="1293"/>
      <c r="P191" s="1293"/>
      <c r="Q191" s="1293"/>
      <c r="R191" s="1293"/>
      <c r="S191" s="1293"/>
      <c r="T191" s="1293"/>
      <c r="U191" s="1293"/>
      <c r="V191" s="1293"/>
      <c r="W191" s="1293"/>
      <c r="X191" s="1293"/>
      <c r="Y191" s="1293"/>
      <c r="Z191" s="1293"/>
      <c r="AA191" s="1293"/>
      <c r="AB191" s="1293"/>
      <c r="AC191" s="1293"/>
      <c r="AD191" s="1293"/>
      <c r="AE191" s="1293"/>
      <c r="AF191" s="1294">
        <v>1133522645.3</v>
      </c>
    </row>
    <row r="192" spans="1:35" s="1295" customFormat="1" ht="26.25" customHeight="1">
      <c r="A192" s="1264"/>
      <c r="B192" s="329" t="s">
        <v>934</v>
      </c>
      <c r="C192" s="329"/>
      <c r="D192" s="329" t="s">
        <v>841</v>
      </c>
      <c r="E192" s="1264"/>
      <c r="F192" s="1118"/>
      <c r="G192" s="1118"/>
      <c r="H192" s="1118"/>
      <c r="I192" s="1118"/>
      <c r="J192" s="1118"/>
      <c r="K192" s="1118"/>
      <c r="L192" s="1118"/>
      <c r="M192" s="1118"/>
      <c r="N192" s="1118"/>
      <c r="O192" s="1118"/>
      <c r="P192" s="1118"/>
      <c r="Q192" s="1111"/>
      <c r="R192" s="1111"/>
      <c r="S192" s="1288"/>
      <c r="T192" s="1288"/>
      <c r="U192" s="1288"/>
      <c r="V192" s="1288"/>
      <c r="W192" s="1288"/>
      <c r="X192" s="1288"/>
      <c r="Y192" s="1288"/>
      <c r="Z192" s="1288"/>
      <c r="AA192" s="1288"/>
      <c r="AB192" s="1288"/>
      <c r="AC192" s="1288"/>
      <c r="AD192" s="1288"/>
      <c r="AE192" s="1288"/>
      <c r="AF192" s="1288"/>
      <c r="AG192" s="1111"/>
    </row>
    <row r="193" spans="1:33" s="1295" customFormat="1" ht="21.75" customHeight="1">
      <c r="A193" s="1264"/>
      <c r="B193" s="1296"/>
      <c r="C193" s="1118"/>
      <c r="E193" s="1264"/>
      <c r="F193" s="1118"/>
      <c r="G193" s="1118"/>
      <c r="H193" s="1118"/>
      <c r="I193" s="1118"/>
      <c r="J193" s="1118"/>
      <c r="K193" s="1118"/>
      <c r="L193" s="1118"/>
      <c r="M193" s="1118"/>
      <c r="N193" s="1118"/>
      <c r="O193" s="1118"/>
      <c r="P193" s="1118"/>
      <c r="Q193" s="1111"/>
      <c r="R193" s="1111"/>
      <c r="S193" s="1111"/>
      <c r="T193" s="1111"/>
      <c r="U193" s="1111"/>
      <c r="V193" s="1111"/>
      <c r="W193" s="1111"/>
      <c r="X193" s="1111"/>
      <c r="Y193" s="1288"/>
      <c r="Z193" s="1111"/>
      <c r="AA193" s="1111"/>
      <c r="AB193" s="1111"/>
      <c r="AC193" s="1111"/>
      <c r="AD193" s="1111"/>
      <c r="AE193" s="1111"/>
      <c r="AF193" s="1297">
        <f>AF191-AF189</f>
        <v>3.3998489379882813E-4</v>
      </c>
      <c r="AG193" s="1111"/>
    </row>
    <row r="194" spans="1:33" s="1295" customFormat="1" ht="24" customHeight="1">
      <c r="A194" s="1264"/>
      <c r="B194" s="1296" t="s">
        <v>52</v>
      </c>
      <c r="C194" s="1118"/>
      <c r="D194" s="1296" t="s">
        <v>842</v>
      </c>
      <c r="E194" s="1264"/>
      <c r="F194" s="1118"/>
      <c r="G194" s="1118"/>
      <c r="H194" s="1118"/>
      <c r="I194" s="1118"/>
      <c r="J194" s="1118"/>
      <c r="K194" s="1118"/>
      <c r="L194" s="1118"/>
      <c r="M194" s="1118"/>
      <c r="N194" s="1118"/>
      <c r="O194" s="1118"/>
      <c r="P194" s="1118"/>
      <c r="Q194" s="1111"/>
      <c r="R194" s="1111"/>
      <c r="S194" s="1111"/>
      <c r="T194" s="1111"/>
      <c r="U194" s="1111"/>
      <c r="V194" s="1111"/>
      <c r="W194" s="1111"/>
      <c r="X194" s="1111"/>
      <c r="Y194" s="1111"/>
      <c r="Z194" s="1111"/>
      <c r="AA194" s="1111"/>
      <c r="AB194" s="1111"/>
      <c r="AC194" s="1111"/>
      <c r="AD194" s="1111"/>
      <c r="AE194" s="1111"/>
      <c r="AF194" s="1288"/>
      <c r="AG194" s="1111"/>
    </row>
    <row r="195" spans="1:33" s="1295" customFormat="1">
      <c r="A195" s="1264"/>
      <c r="B195" s="1296"/>
      <c r="C195" s="1118"/>
      <c r="E195" s="1264"/>
      <c r="F195" s="1118"/>
      <c r="G195" s="1118"/>
      <c r="H195" s="1118"/>
      <c r="I195" s="1118"/>
      <c r="J195" s="1118"/>
      <c r="K195" s="1118"/>
      <c r="L195" s="1118"/>
      <c r="M195" s="1118"/>
      <c r="N195" s="1118"/>
      <c r="O195" s="1118"/>
      <c r="P195" s="1118"/>
      <c r="Q195" s="1111"/>
      <c r="R195" s="1111"/>
      <c r="S195" s="1111"/>
      <c r="T195" s="1111"/>
      <c r="U195" s="1111"/>
      <c r="V195" s="1111"/>
      <c r="W195" s="1111"/>
      <c r="X195" s="1111"/>
      <c r="Y195" s="1111"/>
      <c r="Z195" s="1111"/>
      <c r="AA195" s="1111"/>
      <c r="AB195" s="1111"/>
      <c r="AC195" s="1111"/>
      <c r="AD195" s="1111"/>
      <c r="AE195" s="1111"/>
      <c r="AF195" s="1111"/>
      <c r="AG195" s="1111"/>
    </row>
    <row r="196" spans="1:33" s="1295" customFormat="1" ht="27.75" customHeight="1">
      <c r="A196" s="1264"/>
      <c r="B196" s="1296" t="s">
        <v>843</v>
      </c>
      <c r="C196" s="1118"/>
      <c r="D196" s="1296" t="s">
        <v>844</v>
      </c>
      <c r="E196" s="1264"/>
      <c r="F196" s="1118"/>
      <c r="G196" s="1118"/>
      <c r="H196" s="1118"/>
      <c r="I196" s="1118"/>
      <c r="J196" s="1118"/>
      <c r="K196" s="1118"/>
      <c r="L196" s="1118"/>
      <c r="M196" s="1118"/>
      <c r="N196" s="1118"/>
      <c r="O196" s="1118"/>
      <c r="P196" s="1118"/>
      <c r="Q196" s="1111"/>
      <c r="R196" s="1111"/>
      <c r="S196" s="1111"/>
      <c r="T196" s="1111"/>
      <c r="U196" s="1111"/>
      <c r="V196" s="1111"/>
      <c r="W196" s="1111"/>
      <c r="X196" s="1111"/>
      <c r="Y196" s="1111"/>
      <c r="Z196" s="1111"/>
      <c r="AA196" s="1111"/>
      <c r="AB196" s="1111"/>
      <c r="AC196" s="1111"/>
      <c r="AD196" s="1111"/>
      <c r="AE196" s="1111"/>
      <c r="AF196" s="1111"/>
      <c r="AG196" s="1111"/>
    </row>
    <row r="197" spans="1:33" s="1295" customFormat="1">
      <c r="A197" s="1264"/>
      <c r="D197" s="1118"/>
      <c r="E197" s="1264"/>
      <c r="F197" s="1118"/>
      <c r="G197" s="1118"/>
      <c r="H197" s="1118"/>
      <c r="I197" s="1118"/>
      <c r="J197" s="1118"/>
      <c r="K197" s="1118"/>
      <c r="L197" s="1118"/>
      <c r="M197" s="1118"/>
      <c r="N197" s="1118"/>
      <c r="O197" s="1118"/>
      <c r="P197" s="1118"/>
      <c r="Q197" s="1111"/>
      <c r="R197" s="1111"/>
      <c r="S197" s="1111"/>
      <c r="T197" s="1111"/>
      <c r="U197" s="1111"/>
      <c r="V197" s="1111"/>
      <c r="W197" s="1111"/>
      <c r="X197" s="1111"/>
      <c r="Y197" s="1111"/>
      <c r="Z197" s="1111"/>
      <c r="AA197" s="1111"/>
      <c r="AB197" s="1111"/>
      <c r="AC197" s="1111"/>
      <c r="AD197" s="1111"/>
      <c r="AE197" s="1111"/>
      <c r="AF197" s="1111"/>
      <c r="AG197" s="1111"/>
    </row>
    <row r="198" spans="1:33" s="1295" customFormat="1">
      <c r="A198" s="1264"/>
      <c r="D198" s="1118"/>
      <c r="E198" s="1264"/>
      <c r="F198" s="1118"/>
      <c r="G198" s="1118"/>
      <c r="H198" s="1118"/>
      <c r="I198" s="1118"/>
      <c r="J198" s="1118"/>
      <c r="K198" s="1118"/>
      <c r="L198" s="1118"/>
      <c r="M198" s="1118"/>
      <c r="N198" s="1118"/>
      <c r="O198" s="1118"/>
      <c r="P198" s="1118"/>
      <c r="Q198" s="1111"/>
      <c r="R198" s="1111"/>
      <c r="S198" s="1111"/>
      <c r="T198" s="1111"/>
      <c r="U198" s="1111"/>
      <c r="V198" s="1111"/>
      <c r="W198" s="1111"/>
      <c r="X198" s="1111"/>
      <c r="Y198" s="1111"/>
      <c r="Z198" s="1111"/>
      <c r="AA198" s="1111"/>
      <c r="AB198" s="1111"/>
      <c r="AC198" s="1111"/>
      <c r="AD198" s="1111"/>
      <c r="AE198" s="1111"/>
      <c r="AF198" s="1111"/>
      <c r="AG198" s="1111"/>
    </row>
    <row r="199" spans="1:33" s="1295" customFormat="1">
      <c r="A199" s="1264"/>
      <c r="D199" s="1118"/>
      <c r="E199" s="1264"/>
      <c r="F199" s="1118"/>
      <c r="G199" s="1118"/>
      <c r="H199" s="1118"/>
      <c r="I199" s="1118"/>
      <c r="J199" s="1118"/>
      <c r="K199" s="1118"/>
      <c r="L199" s="1118"/>
      <c r="M199" s="1118"/>
      <c r="N199" s="1118"/>
      <c r="O199" s="1118"/>
      <c r="P199" s="1118"/>
      <c r="Q199" s="1111"/>
      <c r="R199" s="1111"/>
      <c r="S199" s="1111"/>
      <c r="T199" s="1111"/>
      <c r="U199" s="1111"/>
      <c r="V199" s="1111"/>
      <c r="W199" s="1111"/>
      <c r="X199" s="1111"/>
      <c r="Y199" s="1111"/>
      <c r="Z199" s="1111"/>
      <c r="AA199" s="1111"/>
      <c r="AB199" s="1111"/>
      <c r="AC199" s="1111"/>
      <c r="AD199" s="1111"/>
      <c r="AE199" s="1111"/>
      <c r="AF199" s="1111"/>
      <c r="AG199" s="1111"/>
    </row>
    <row r="200" spans="1:33" s="1295" customFormat="1">
      <c r="A200" s="1264"/>
      <c r="D200" s="1118"/>
      <c r="E200" s="1264"/>
      <c r="F200" s="1118"/>
      <c r="G200" s="1118"/>
      <c r="H200" s="1118"/>
      <c r="I200" s="1118"/>
      <c r="J200" s="1118"/>
      <c r="K200" s="1118"/>
      <c r="L200" s="1118"/>
      <c r="M200" s="1118"/>
      <c r="N200" s="1118"/>
      <c r="O200" s="1118"/>
      <c r="P200" s="1118"/>
      <c r="Q200" s="1111"/>
      <c r="R200" s="1111"/>
      <c r="S200" s="1111"/>
      <c r="T200" s="1111"/>
      <c r="U200" s="1111"/>
      <c r="V200" s="1111"/>
      <c r="W200" s="1111"/>
      <c r="X200" s="1111"/>
      <c r="Y200" s="1111"/>
      <c r="Z200" s="1111"/>
      <c r="AA200" s="1111"/>
      <c r="AB200" s="1111"/>
      <c r="AC200" s="1111"/>
      <c r="AD200" s="1111"/>
      <c r="AE200" s="1111"/>
      <c r="AF200" s="1111"/>
      <c r="AG200" s="1111"/>
    </row>
    <row r="201" spans="1:33" s="1295" customFormat="1">
      <c r="A201" s="1264"/>
      <c r="D201" s="1118"/>
      <c r="E201" s="1264"/>
      <c r="F201" s="1118"/>
      <c r="G201" s="1118"/>
      <c r="H201" s="1118"/>
      <c r="I201" s="1118"/>
      <c r="J201" s="1118"/>
      <c r="K201" s="1118"/>
      <c r="L201" s="1118"/>
      <c r="M201" s="1118"/>
      <c r="N201" s="1118"/>
      <c r="O201" s="1118"/>
      <c r="P201" s="1118"/>
      <c r="Q201" s="1111"/>
      <c r="R201" s="1111"/>
      <c r="S201" s="1111"/>
      <c r="T201" s="1111"/>
      <c r="U201" s="1111"/>
      <c r="V201" s="1111"/>
      <c r="W201" s="1111"/>
      <c r="X201" s="1111"/>
      <c r="Y201" s="1111"/>
      <c r="Z201" s="1111"/>
      <c r="AA201" s="1111"/>
      <c r="AB201" s="1111"/>
      <c r="AC201" s="1111"/>
      <c r="AD201" s="1111"/>
      <c r="AE201" s="1111"/>
      <c r="AF201" s="1111"/>
      <c r="AG201" s="1111"/>
    </row>
    <row r="202" spans="1:33" s="1295" customFormat="1">
      <c r="A202" s="1264"/>
      <c r="D202" s="1118"/>
      <c r="E202" s="1264"/>
      <c r="F202" s="1118"/>
      <c r="G202" s="1118"/>
      <c r="H202" s="1118"/>
      <c r="I202" s="1118"/>
      <c r="J202" s="1118"/>
      <c r="K202" s="1118"/>
      <c r="L202" s="1118"/>
      <c r="M202" s="1118"/>
      <c r="N202" s="1118"/>
      <c r="O202" s="1118"/>
      <c r="P202" s="1118"/>
      <c r="Q202" s="1111"/>
      <c r="R202" s="1111"/>
      <c r="S202" s="1111"/>
      <c r="T202" s="1111"/>
      <c r="U202" s="1111"/>
      <c r="V202" s="1111"/>
      <c r="W202" s="1111"/>
      <c r="X202" s="1111"/>
      <c r="Y202" s="1111"/>
      <c r="Z202" s="1111"/>
      <c r="AA202" s="1111"/>
      <c r="AB202" s="1111"/>
      <c r="AC202" s="1111"/>
      <c r="AD202" s="1111"/>
      <c r="AE202" s="1111"/>
      <c r="AF202" s="1111"/>
      <c r="AG202" s="1111"/>
    </row>
    <row r="203" spans="1:33" s="1295" customFormat="1">
      <c r="A203" s="1264"/>
      <c r="D203" s="1118"/>
      <c r="E203" s="1264"/>
      <c r="F203" s="1118"/>
      <c r="G203" s="1118"/>
      <c r="H203" s="1118"/>
      <c r="I203" s="1118"/>
      <c r="J203" s="1118"/>
      <c r="K203" s="1118"/>
      <c r="L203" s="1118"/>
      <c r="M203" s="1118"/>
      <c r="N203" s="1118"/>
      <c r="O203" s="1118"/>
      <c r="P203" s="1118"/>
      <c r="Q203" s="1111"/>
      <c r="R203" s="1111"/>
      <c r="S203" s="1111"/>
      <c r="T203" s="1111"/>
      <c r="U203" s="1111"/>
      <c r="V203" s="1111"/>
      <c r="W203" s="1111"/>
      <c r="X203" s="1111"/>
      <c r="Y203" s="1111"/>
      <c r="Z203" s="1111"/>
      <c r="AA203" s="1111"/>
      <c r="AB203" s="1111"/>
      <c r="AC203" s="1111"/>
      <c r="AD203" s="1111"/>
      <c r="AE203" s="1111"/>
      <c r="AF203" s="1111"/>
      <c r="AG203" s="1111"/>
    </row>
    <row r="204" spans="1:33" s="1295" customFormat="1">
      <c r="A204" s="1264"/>
      <c r="D204" s="1118"/>
      <c r="E204" s="1264"/>
      <c r="F204" s="1118"/>
      <c r="G204" s="1118"/>
      <c r="H204" s="1118"/>
      <c r="I204" s="1118"/>
      <c r="J204" s="1118"/>
      <c r="K204" s="1118"/>
      <c r="L204" s="1118"/>
      <c r="M204" s="1118"/>
      <c r="N204" s="1118"/>
      <c r="O204" s="1118"/>
      <c r="P204" s="1118"/>
      <c r="Q204" s="1111"/>
      <c r="R204" s="1111"/>
      <c r="S204" s="1111"/>
      <c r="T204" s="1111"/>
      <c r="U204" s="1111"/>
      <c r="V204" s="1111"/>
      <c r="W204" s="1111"/>
      <c r="X204" s="1111"/>
      <c r="Y204" s="1111"/>
      <c r="Z204" s="1111"/>
      <c r="AA204" s="1111"/>
      <c r="AB204" s="1111"/>
      <c r="AC204" s="1111"/>
      <c r="AD204" s="1111"/>
      <c r="AE204" s="1111"/>
      <c r="AF204" s="1111"/>
      <c r="AG204" s="1111"/>
    </row>
    <row r="205" spans="1:33" s="1295" customFormat="1">
      <c r="A205" s="1264"/>
      <c r="D205" s="1118"/>
      <c r="E205" s="1264"/>
      <c r="F205" s="1118"/>
      <c r="G205" s="1118"/>
      <c r="H205" s="1118"/>
      <c r="I205" s="1118"/>
      <c r="J205" s="1118"/>
      <c r="K205" s="1118"/>
      <c r="L205" s="1118"/>
      <c r="M205" s="1118"/>
      <c r="N205" s="1118"/>
      <c r="O205" s="1118"/>
      <c r="P205" s="1118"/>
      <c r="Q205" s="1111"/>
      <c r="R205" s="1111"/>
      <c r="S205" s="1111"/>
      <c r="T205" s="1111"/>
      <c r="U205" s="1111"/>
      <c r="V205" s="1111"/>
      <c r="W205" s="1111"/>
      <c r="X205" s="1111"/>
      <c r="Y205" s="1111"/>
      <c r="Z205" s="1111"/>
      <c r="AA205" s="1111"/>
      <c r="AB205" s="1111"/>
      <c r="AC205" s="1111"/>
      <c r="AD205" s="1111"/>
      <c r="AE205" s="1111"/>
      <c r="AF205" s="1111"/>
      <c r="AG205" s="1111"/>
    </row>
    <row r="206" spans="1:33" s="1295" customFormat="1">
      <c r="A206" s="1264"/>
      <c r="D206" s="1118"/>
      <c r="E206" s="1264"/>
      <c r="F206" s="1118"/>
      <c r="G206" s="1118"/>
      <c r="H206" s="1118"/>
      <c r="I206" s="1118"/>
      <c r="J206" s="1118"/>
      <c r="K206" s="1118"/>
      <c r="L206" s="1118"/>
      <c r="M206" s="1118"/>
      <c r="N206" s="1118"/>
      <c r="O206" s="1118"/>
      <c r="P206" s="1118"/>
      <c r="Q206" s="1111"/>
      <c r="R206" s="1111"/>
      <c r="S206" s="1111"/>
      <c r="T206" s="1111"/>
      <c r="U206" s="1111"/>
      <c r="V206" s="1111"/>
      <c r="W206" s="1111"/>
      <c r="X206" s="1111"/>
      <c r="Y206" s="1111"/>
      <c r="Z206" s="1111"/>
      <c r="AA206" s="1111"/>
      <c r="AB206" s="1111"/>
      <c r="AC206" s="1111"/>
      <c r="AD206" s="1111"/>
      <c r="AE206" s="1111"/>
      <c r="AF206" s="1111"/>
      <c r="AG206" s="1111"/>
    </row>
    <row r="207" spans="1:33" s="1295" customFormat="1">
      <c r="A207" s="1264"/>
      <c r="D207" s="1118"/>
      <c r="E207" s="1264"/>
      <c r="F207" s="1118"/>
      <c r="G207" s="1118"/>
      <c r="H207" s="1118"/>
      <c r="I207" s="1118"/>
      <c r="J207" s="1118"/>
      <c r="K207" s="1118"/>
      <c r="L207" s="1118"/>
      <c r="M207" s="1118"/>
      <c r="N207" s="1118"/>
      <c r="O207" s="1118"/>
      <c r="P207" s="1118"/>
      <c r="Q207" s="1111"/>
      <c r="R207" s="1111"/>
      <c r="S207" s="1111"/>
      <c r="T207" s="1111"/>
      <c r="U207" s="1111"/>
      <c r="V207" s="1111"/>
      <c r="W207" s="1111"/>
      <c r="X207" s="1111"/>
      <c r="Y207" s="1111"/>
      <c r="Z207" s="1111"/>
      <c r="AA207" s="1111"/>
      <c r="AB207" s="1111"/>
      <c r="AC207" s="1111"/>
      <c r="AD207" s="1111"/>
      <c r="AE207" s="1111"/>
      <c r="AF207" s="1111"/>
      <c r="AG207" s="1111"/>
    </row>
    <row r="208" spans="1:33" s="1295" customFormat="1">
      <c r="A208" s="1264"/>
      <c r="D208" s="1118"/>
      <c r="E208" s="1264"/>
      <c r="F208" s="1118"/>
      <c r="G208" s="1118"/>
      <c r="H208" s="1118"/>
      <c r="I208" s="1118"/>
      <c r="J208" s="1118"/>
      <c r="K208" s="1118"/>
      <c r="L208" s="1118"/>
      <c r="M208" s="1118"/>
      <c r="N208" s="1118"/>
      <c r="O208" s="1118"/>
      <c r="P208" s="1118"/>
      <c r="Q208" s="1111"/>
      <c r="R208" s="1111"/>
      <c r="S208" s="1111"/>
      <c r="T208" s="1111"/>
      <c r="U208" s="1111"/>
      <c r="V208" s="1111"/>
      <c r="W208" s="1111"/>
      <c r="X208" s="1111"/>
      <c r="Y208" s="1111"/>
      <c r="Z208" s="1111"/>
      <c r="AA208" s="1111"/>
      <c r="AB208" s="1111"/>
      <c r="AC208" s="1111"/>
      <c r="AD208" s="1111"/>
      <c r="AE208" s="1111"/>
      <c r="AF208" s="1111"/>
      <c r="AG208" s="1111"/>
    </row>
    <row r="209" spans="1:33" s="1295" customFormat="1">
      <c r="A209" s="1264"/>
      <c r="D209" s="1118"/>
      <c r="E209" s="1264"/>
      <c r="F209" s="1118"/>
      <c r="G209" s="1118"/>
      <c r="H209" s="1118"/>
      <c r="I209" s="1118"/>
      <c r="J209" s="1118"/>
      <c r="K209" s="1118"/>
      <c r="L209" s="1118"/>
      <c r="M209" s="1118"/>
      <c r="N209" s="1118"/>
      <c r="O209" s="1118"/>
      <c r="P209" s="1118"/>
      <c r="Q209" s="1111"/>
      <c r="R209" s="1111"/>
      <c r="S209" s="1111"/>
      <c r="T209" s="1111"/>
      <c r="U209" s="1111"/>
      <c r="V209" s="1111"/>
      <c r="W209" s="1111"/>
      <c r="X209" s="1111"/>
      <c r="Y209" s="1111"/>
      <c r="Z209" s="1111"/>
      <c r="AA209" s="1111"/>
      <c r="AB209" s="1111"/>
      <c r="AC209" s="1111"/>
      <c r="AD209" s="1111"/>
      <c r="AE209" s="1111"/>
      <c r="AF209" s="1111"/>
      <c r="AG209" s="1111"/>
    </row>
    <row r="210" spans="1:33" s="1295" customFormat="1">
      <c r="A210" s="1264"/>
      <c r="D210" s="1118"/>
      <c r="E210" s="1264"/>
      <c r="F210" s="1118"/>
      <c r="G210" s="1118"/>
      <c r="H210" s="1118"/>
      <c r="I210" s="1118"/>
      <c r="J210" s="1118"/>
      <c r="K210" s="1118"/>
      <c r="L210" s="1118"/>
      <c r="M210" s="1118"/>
      <c r="N210" s="1118"/>
      <c r="O210" s="1118"/>
      <c r="P210" s="1118"/>
      <c r="Q210" s="1111"/>
      <c r="R210" s="1111"/>
      <c r="S210" s="1111"/>
      <c r="T210" s="1111"/>
      <c r="U210" s="1111"/>
      <c r="V210" s="1111"/>
      <c r="W210" s="1111"/>
      <c r="X210" s="1111"/>
      <c r="Y210" s="1111"/>
      <c r="Z210" s="1111"/>
      <c r="AA210" s="1111"/>
      <c r="AB210" s="1111"/>
      <c r="AC210" s="1111"/>
      <c r="AD210" s="1111"/>
      <c r="AE210" s="1111"/>
      <c r="AF210" s="1111"/>
      <c r="AG210" s="1111"/>
    </row>
    <row r="211" spans="1:33" s="1295" customFormat="1">
      <c r="A211" s="1264"/>
      <c r="D211" s="1118"/>
      <c r="E211" s="1264"/>
      <c r="F211" s="1118"/>
      <c r="G211" s="1118"/>
      <c r="H211" s="1118"/>
      <c r="I211" s="1118"/>
      <c r="J211" s="1118"/>
      <c r="K211" s="1118"/>
      <c r="L211" s="1118"/>
      <c r="M211" s="1118"/>
      <c r="N211" s="1118"/>
      <c r="O211" s="1118"/>
      <c r="P211" s="1118"/>
      <c r="Q211" s="1111"/>
      <c r="R211" s="1111"/>
      <c r="S211" s="1111"/>
      <c r="T211" s="1111"/>
      <c r="U211" s="1111"/>
      <c r="V211" s="1111"/>
      <c r="W211" s="1111"/>
      <c r="X211" s="1111"/>
      <c r="Y211" s="1111"/>
      <c r="Z211" s="1111"/>
      <c r="AA211" s="1111"/>
      <c r="AB211" s="1111"/>
      <c r="AC211" s="1111"/>
      <c r="AD211" s="1111"/>
      <c r="AE211" s="1111"/>
      <c r="AF211" s="1111"/>
      <c r="AG211" s="1111"/>
    </row>
    <row r="212" spans="1:33" s="1295" customFormat="1">
      <c r="A212" s="1264"/>
      <c r="D212" s="1118"/>
      <c r="E212" s="1264"/>
      <c r="F212" s="1118"/>
      <c r="G212" s="1118"/>
      <c r="H212" s="1118"/>
      <c r="I212" s="1118"/>
      <c r="J212" s="1118"/>
      <c r="K212" s="1118"/>
      <c r="L212" s="1118"/>
      <c r="M212" s="1118"/>
      <c r="N212" s="1118"/>
      <c r="O212" s="1118"/>
      <c r="P212" s="1118"/>
      <c r="Q212" s="1111"/>
      <c r="R212" s="1111"/>
      <c r="S212" s="1111"/>
      <c r="T212" s="1111"/>
      <c r="U212" s="1111"/>
      <c r="V212" s="1111"/>
      <c r="W212" s="1111"/>
      <c r="X212" s="1111"/>
      <c r="Y212" s="1111"/>
      <c r="Z212" s="1111"/>
      <c r="AA212" s="1111"/>
      <c r="AB212" s="1111"/>
      <c r="AC212" s="1111"/>
      <c r="AD212" s="1111"/>
      <c r="AE212" s="1111"/>
      <c r="AF212" s="1111"/>
      <c r="AG212" s="1111"/>
    </row>
    <row r="213" spans="1:33">
      <c r="A213" s="1264"/>
    </row>
    <row r="214" spans="1:33">
      <c r="A214" s="1264"/>
    </row>
    <row r="215" spans="1:33">
      <c r="A215" s="1264"/>
    </row>
    <row r="216" spans="1:33">
      <c r="A216" s="1264"/>
    </row>
    <row r="217" spans="1:33">
      <c r="A217" s="1264"/>
    </row>
    <row r="218" spans="1:33">
      <c r="A218" s="1264"/>
    </row>
    <row r="219" spans="1:33">
      <c r="A219" s="1264"/>
    </row>
    <row r="220" spans="1:33">
      <c r="A220" s="1264"/>
    </row>
    <row r="221" spans="1:33" s="1295" customFormat="1">
      <c r="A221" s="1264"/>
      <c r="D221" s="1118"/>
      <c r="E221" s="1264"/>
      <c r="F221" s="1118"/>
      <c r="G221" s="1118"/>
      <c r="H221" s="1118"/>
      <c r="I221" s="1118"/>
      <c r="J221" s="1118"/>
      <c r="K221" s="1118"/>
      <c r="L221" s="1118"/>
      <c r="M221" s="1118"/>
      <c r="N221" s="1118"/>
      <c r="O221" s="1118"/>
      <c r="P221" s="1118"/>
      <c r="Q221" s="1111"/>
      <c r="R221" s="1111"/>
      <c r="S221" s="1111"/>
      <c r="T221" s="1111"/>
      <c r="U221" s="1111"/>
      <c r="V221" s="1111"/>
      <c r="W221" s="1111"/>
      <c r="X221" s="1111"/>
      <c r="Y221" s="1111"/>
      <c r="Z221" s="1111"/>
      <c r="AA221" s="1111"/>
      <c r="AB221" s="1111"/>
      <c r="AC221" s="1111"/>
      <c r="AD221" s="1111"/>
      <c r="AE221" s="1111"/>
      <c r="AF221" s="1111"/>
      <c r="AG221" s="1111"/>
    </row>
    <row r="222" spans="1:33" s="1295" customFormat="1">
      <c r="A222" s="1264"/>
      <c r="D222" s="1118"/>
      <c r="E222" s="1264"/>
      <c r="F222" s="1118"/>
      <c r="G222" s="1118"/>
      <c r="H222" s="1118"/>
      <c r="I222" s="1118"/>
      <c r="J222" s="1118"/>
      <c r="K222" s="1118"/>
      <c r="L222" s="1118"/>
      <c r="M222" s="1118"/>
      <c r="N222" s="1118"/>
      <c r="O222" s="1118"/>
      <c r="P222" s="1118"/>
      <c r="Q222" s="1111"/>
      <c r="R222" s="1111"/>
      <c r="S222" s="1111"/>
      <c r="T222" s="1111"/>
      <c r="U222" s="1111"/>
      <c r="V222" s="1111"/>
      <c r="W222" s="1111"/>
      <c r="X222" s="1111"/>
      <c r="Y222" s="1111"/>
      <c r="Z222" s="1111"/>
      <c r="AA222" s="1111"/>
      <c r="AB222" s="1111"/>
      <c r="AC222" s="1111"/>
      <c r="AD222" s="1111"/>
      <c r="AE222" s="1111"/>
      <c r="AF222" s="1111"/>
      <c r="AG222" s="1111"/>
    </row>
    <row r="223" spans="1:33" s="1295" customFormat="1">
      <c r="A223" s="1264"/>
      <c r="D223" s="1118"/>
      <c r="E223" s="1264"/>
      <c r="F223" s="1118"/>
      <c r="G223" s="1118"/>
      <c r="H223" s="1118"/>
      <c r="I223" s="1118"/>
      <c r="J223" s="1118"/>
      <c r="K223" s="1118"/>
      <c r="L223" s="1118"/>
      <c r="M223" s="1118"/>
      <c r="N223" s="1118"/>
      <c r="O223" s="1118"/>
      <c r="P223" s="1118"/>
      <c r="Q223" s="1111"/>
      <c r="R223" s="1111"/>
      <c r="S223" s="1111"/>
      <c r="T223" s="1111"/>
      <c r="U223" s="1111"/>
      <c r="V223" s="1111"/>
      <c r="W223" s="1111"/>
      <c r="X223" s="1111"/>
      <c r="Y223" s="1111"/>
      <c r="Z223" s="1111"/>
      <c r="AA223" s="1111"/>
      <c r="AB223" s="1111"/>
      <c r="AC223" s="1111"/>
      <c r="AD223" s="1111"/>
      <c r="AE223" s="1111"/>
      <c r="AF223" s="1111"/>
      <c r="AG223" s="1111"/>
    </row>
    <row r="224" spans="1:33" s="1295" customFormat="1">
      <c r="A224" s="1264"/>
      <c r="D224" s="1118"/>
      <c r="E224" s="1264"/>
      <c r="F224" s="1118"/>
      <c r="G224" s="1118"/>
      <c r="H224" s="1118"/>
      <c r="I224" s="1118"/>
      <c r="J224" s="1118"/>
      <c r="K224" s="1118"/>
      <c r="L224" s="1118"/>
      <c r="M224" s="1118"/>
      <c r="N224" s="1118"/>
      <c r="O224" s="1118"/>
      <c r="P224" s="1118"/>
      <c r="Q224" s="1111"/>
      <c r="R224" s="1111"/>
      <c r="S224" s="1111"/>
      <c r="T224" s="1111"/>
      <c r="U224" s="1111"/>
      <c r="V224" s="1111"/>
      <c r="W224" s="1111"/>
      <c r="X224" s="1111"/>
      <c r="Y224" s="1111"/>
      <c r="Z224" s="1111"/>
      <c r="AA224" s="1111"/>
      <c r="AB224" s="1111"/>
      <c r="AC224" s="1111"/>
      <c r="AD224" s="1111"/>
      <c r="AE224" s="1111"/>
      <c r="AF224" s="1111"/>
      <c r="AG224" s="1111"/>
    </row>
    <row r="225" spans="1:33" s="1295" customFormat="1">
      <c r="A225" s="1264"/>
      <c r="D225" s="1118"/>
      <c r="E225" s="1264"/>
      <c r="F225" s="1118"/>
      <c r="G225" s="1118"/>
      <c r="H225" s="1118"/>
      <c r="I225" s="1118"/>
      <c r="J225" s="1118"/>
      <c r="K225" s="1118"/>
      <c r="L225" s="1118"/>
      <c r="M225" s="1118"/>
      <c r="N225" s="1118"/>
      <c r="O225" s="1118"/>
      <c r="P225" s="1118"/>
      <c r="Q225" s="1111"/>
      <c r="R225" s="1111"/>
      <c r="S225" s="1111"/>
      <c r="T225" s="1111"/>
      <c r="U225" s="1111"/>
      <c r="V225" s="1111"/>
      <c r="W225" s="1111"/>
      <c r="X225" s="1111"/>
      <c r="Y225" s="1111"/>
      <c r="Z225" s="1111"/>
      <c r="AA225" s="1111"/>
      <c r="AB225" s="1111"/>
      <c r="AC225" s="1111"/>
      <c r="AD225" s="1111"/>
      <c r="AE225" s="1111"/>
      <c r="AF225" s="1111"/>
      <c r="AG225" s="1111"/>
    </row>
    <row r="226" spans="1:33" s="1295" customFormat="1">
      <c r="A226" s="1264"/>
      <c r="D226" s="1118"/>
      <c r="E226" s="1264"/>
      <c r="F226" s="1118"/>
      <c r="G226" s="1118"/>
      <c r="H226" s="1118"/>
      <c r="I226" s="1118"/>
      <c r="J226" s="1118"/>
      <c r="K226" s="1118"/>
      <c r="L226" s="1118"/>
      <c r="M226" s="1118"/>
      <c r="N226" s="1118"/>
      <c r="O226" s="1118"/>
      <c r="P226" s="1118"/>
      <c r="Q226" s="1111"/>
      <c r="R226" s="1111"/>
      <c r="S226" s="1111"/>
      <c r="T226" s="1111"/>
      <c r="U226" s="1111"/>
      <c r="V226" s="1111"/>
      <c r="W226" s="1111"/>
      <c r="X226" s="1111"/>
      <c r="Y226" s="1111"/>
      <c r="Z226" s="1111"/>
      <c r="AA226" s="1111"/>
      <c r="AB226" s="1111"/>
      <c r="AC226" s="1111"/>
      <c r="AD226" s="1111"/>
      <c r="AE226" s="1111"/>
      <c r="AF226" s="1111"/>
      <c r="AG226" s="1111"/>
    </row>
    <row r="227" spans="1:33" s="1295" customFormat="1">
      <c r="A227" s="1264"/>
      <c r="D227" s="1118"/>
      <c r="E227" s="1264"/>
      <c r="F227" s="1118"/>
      <c r="G227" s="1118"/>
      <c r="H227" s="1118"/>
      <c r="I227" s="1118"/>
      <c r="J227" s="1118"/>
      <c r="K227" s="1118"/>
      <c r="L227" s="1118"/>
      <c r="M227" s="1118"/>
      <c r="N227" s="1118"/>
      <c r="O227" s="1118"/>
      <c r="P227" s="1118"/>
      <c r="Q227" s="1111"/>
      <c r="R227" s="1111"/>
      <c r="S227" s="1111"/>
      <c r="T227" s="1111"/>
      <c r="U227" s="1111"/>
      <c r="V227" s="1111"/>
      <c r="W227" s="1111"/>
      <c r="X227" s="1111"/>
      <c r="Y227" s="1111"/>
      <c r="Z227" s="1111"/>
      <c r="AA227" s="1111"/>
      <c r="AB227" s="1111"/>
      <c r="AC227" s="1111"/>
      <c r="AD227" s="1111"/>
      <c r="AE227" s="1111"/>
      <c r="AF227" s="1111"/>
      <c r="AG227" s="1111"/>
    </row>
    <row r="228" spans="1:33" s="1295" customFormat="1">
      <c r="A228" s="1264"/>
      <c r="D228" s="1118"/>
      <c r="E228" s="1264"/>
      <c r="F228" s="1118"/>
      <c r="G228" s="1118"/>
      <c r="H228" s="1118"/>
      <c r="I228" s="1118"/>
      <c r="J228" s="1118"/>
      <c r="K228" s="1118"/>
      <c r="L228" s="1118"/>
      <c r="M228" s="1118"/>
      <c r="N228" s="1118"/>
      <c r="O228" s="1118"/>
      <c r="P228" s="1118"/>
      <c r="Q228" s="1111"/>
      <c r="R228" s="1111"/>
      <c r="S228" s="1111"/>
      <c r="T228" s="1111"/>
      <c r="U228" s="1111"/>
      <c r="V228" s="1111"/>
      <c r="W228" s="1111"/>
      <c r="X228" s="1111"/>
      <c r="Y228" s="1111"/>
      <c r="Z228" s="1111"/>
      <c r="AA228" s="1111"/>
      <c r="AB228" s="1111"/>
      <c r="AC228" s="1111"/>
      <c r="AD228" s="1111"/>
      <c r="AE228" s="1111"/>
      <c r="AF228" s="1111"/>
      <c r="AG228" s="1111"/>
    </row>
    <row r="229" spans="1:33" s="1295" customFormat="1">
      <c r="A229" s="1264"/>
      <c r="D229" s="1118"/>
      <c r="E229" s="1264"/>
      <c r="F229" s="1118"/>
      <c r="G229" s="1118"/>
      <c r="H229" s="1118"/>
      <c r="I229" s="1118"/>
      <c r="J229" s="1118"/>
      <c r="K229" s="1118"/>
      <c r="L229" s="1118"/>
      <c r="M229" s="1118"/>
      <c r="N229" s="1118"/>
      <c r="O229" s="1118"/>
      <c r="P229" s="1118"/>
      <c r="Q229" s="1111"/>
      <c r="R229" s="1111"/>
      <c r="S229" s="1111"/>
      <c r="T229" s="1111"/>
      <c r="U229" s="1111"/>
      <c r="V229" s="1111"/>
      <c r="W229" s="1111"/>
      <c r="X229" s="1111"/>
      <c r="Y229" s="1111"/>
      <c r="Z229" s="1111"/>
      <c r="AA229" s="1111"/>
      <c r="AB229" s="1111"/>
      <c r="AC229" s="1111"/>
      <c r="AD229" s="1111"/>
      <c r="AE229" s="1111"/>
      <c r="AF229" s="1111"/>
      <c r="AG229" s="1111"/>
    </row>
    <row r="230" spans="1:33" s="1295" customFormat="1">
      <c r="A230" s="1264"/>
      <c r="D230" s="1118"/>
      <c r="E230" s="1264"/>
      <c r="F230" s="1118"/>
      <c r="G230" s="1118"/>
      <c r="H230" s="1118"/>
      <c r="I230" s="1118"/>
      <c r="J230" s="1118"/>
      <c r="K230" s="1118"/>
      <c r="L230" s="1118"/>
      <c r="M230" s="1118"/>
      <c r="N230" s="1118"/>
      <c r="O230" s="1118"/>
      <c r="P230" s="1118"/>
      <c r="Q230" s="1111"/>
      <c r="R230" s="1111"/>
      <c r="S230" s="1111"/>
      <c r="T230" s="1111"/>
      <c r="U230" s="1111"/>
      <c r="V230" s="1111"/>
      <c r="W230" s="1111"/>
      <c r="X230" s="1111"/>
      <c r="Y230" s="1111"/>
      <c r="Z230" s="1111"/>
      <c r="AA230" s="1111"/>
      <c r="AB230" s="1111"/>
      <c r="AC230" s="1111"/>
      <c r="AD230" s="1111"/>
      <c r="AE230" s="1111"/>
      <c r="AF230" s="1111"/>
      <c r="AG230" s="1111"/>
    </row>
    <row r="231" spans="1:33" s="1295" customFormat="1">
      <c r="A231" s="1264"/>
      <c r="D231" s="1118"/>
      <c r="E231" s="1264"/>
      <c r="F231" s="1118"/>
      <c r="G231" s="1118"/>
      <c r="H231" s="1118"/>
      <c r="I231" s="1118"/>
      <c r="J231" s="1118"/>
      <c r="K231" s="1118"/>
      <c r="L231" s="1118"/>
      <c r="M231" s="1118"/>
      <c r="N231" s="1118"/>
      <c r="O231" s="1118"/>
      <c r="P231" s="1118"/>
      <c r="Q231" s="1111"/>
      <c r="R231" s="1111"/>
      <c r="S231" s="1111"/>
      <c r="T231" s="1111"/>
      <c r="U231" s="1111"/>
      <c r="V231" s="1111"/>
      <c r="W231" s="1111"/>
      <c r="X231" s="1111"/>
      <c r="Y231" s="1111"/>
      <c r="Z231" s="1111"/>
      <c r="AA231" s="1111"/>
      <c r="AB231" s="1111"/>
      <c r="AC231" s="1111"/>
      <c r="AD231" s="1111"/>
      <c r="AE231" s="1111"/>
      <c r="AF231" s="1111"/>
      <c r="AG231" s="1111"/>
    </row>
    <row r="232" spans="1:33" s="1295" customFormat="1">
      <c r="A232" s="1264"/>
      <c r="D232" s="1118"/>
      <c r="E232" s="1264"/>
      <c r="F232" s="1118"/>
      <c r="G232" s="1118"/>
      <c r="H232" s="1118"/>
      <c r="I232" s="1118"/>
      <c r="J232" s="1118"/>
      <c r="K232" s="1118"/>
      <c r="L232" s="1118"/>
      <c r="M232" s="1118"/>
      <c r="N232" s="1118"/>
      <c r="O232" s="1118"/>
      <c r="P232" s="1118"/>
      <c r="Q232" s="1111"/>
      <c r="R232" s="1111"/>
      <c r="S232" s="1111"/>
      <c r="T232" s="1111"/>
      <c r="U232" s="1111"/>
      <c r="V232" s="1111"/>
      <c r="W232" s="1111"/>
      <c r="X232" s="1111"/>
      <c r="Y232" s="1111"/>
      <c r="Z232" s="1111"/>
      <c r="AA232" s="1111"/>
      <c r="AB232" s="1111"/>
      <c r="AC232" s="1111"/>
      <c r="AD232" s="1111"/>
      <c r="AE232" s="1111"/>
      <c r="AF232" s="1111"/>
      <c r="AG232" s="1111"/>
    </row>
    <row r="233" spans="1:33" s="1295" customFormat="1">
      <c r="A233" s="1264"/>
      <c r="D233" s="1118"/>
      <c r="E233" s="1264"/>
      <c r="F233" s="1118"/>
      <c r="G233" s="1118"/>
      <c r="H233" s="1118"/>
      <c r="I233" s="1118"/>
      <c r="J233" s="1118"/>
      <c r="K233" s="1118"/>
      <c r="L233" s="1118"/>
      <c r="M233" s="1118"/>
      <c r="N233" s="1118"/>
      <c r="O233" s="1118"/>
      <c r="P233" s="1118"/>
      <c r="Q233" s="1111"/>
      <c r="R233" s="1111"/>
      <c r="S233" s="1111"/>
      <c r="T233" s="1111"/>
      <c r="U233" s="1111"/>
      <c r="V233" s="1111"/>
      <c r="W233" s="1111"/>
      <c r="X233" s="1111"/>
      <c r="Y233" s="1111"/>
      <c r="Z233" s="1111"/>
      <c r="AA233" s="1111"/>
      <c r="AB233" s="1111"/>
      <c r="AC233" s="1111"/>
      <c r="AD233" s="1111"/>
      <c r="AE233" s="1111"/>
      <c r="AF233" s="1111"/>
      <c r="AG233" s="1111"/>
    </row>
    <row r="234" spans="1:33" s="1295" customFormat="1">
      <c r="A234" s="1264"/>
      <c r="D234" s="1118"/>
      <c r="E234" s="1264"/>
      <c r="F234" s="1118"/>
      <c r="G234" s="1118"/>
      <c r="H234" s="1118"/>
      <c r="I234" s="1118"/>
      <c r="J234" s="1118"/>
      <c r="K234" s="1118"/>
      <c r="L234" s="1118"/>
      <c r="M234" s="1118"/>
      <c r="N234" s="1118"/>
      <c r="O234" s="1118"/>
      <c r="P234" s="1118"/>
      <c r="Q234" s="1111"/>
      <c r="R234" s="1111"/>
      <c r="S234" s="1111"/>
      <c r="T234" s="1111"/>
      <c r="U234" s="1111"/>
      <c r="V234" s="1111"/>
      <c r="W234" s="1111"/>
      <c r="X234" s="1111"/>
      <c r="Y234" s="1111"/>
      <c r="Z234" s="1111"/>
      <c r="AA234" s="1111"/>
      <c r="AB234" s="1111"/>
      <c r="AC234" s="1111"/>
      <c r="AD234" s="1111"/>
      <c r="AE234" s="1111"/>
      <c r="AF234" s="1111"/>
      <c r="AG234" s="1111"/>
    </row>
    <row r="235" spans="1:33" s="1295" customFormat="1">
      <c r="A235" s="1264"/>
      <c r="D235" s="1118"/>
      <c r="E235" s="1264"/>
      <c r="F235" s="1118"/>
      <c r="G235" s="1118"/>
      <c r="H235" s="1118"/>
      <c r="I235" s="1118"/>
      <c r="J235" s="1118"/>
      <c r="K235" s="1118"/>
      <c r="L235" s="1118"/>
      <c r="M235" s="1118"/>
      <c r="N235" s="1118"/>
      <c r="O235" s="1118"/>
      <c r="P235" s="1118"/>
      <c r="Q235" s="1111"/>
      <c r="R235" s="1111"/>
      <c r="S235" s="1111"/>
      <c r="T235" s="1111"/>
      <c r="U235" s="1111"/>
      <c r="V235" s="1111"/>
      <c r="W235" s="1111"/>
      <c r="X235" s="1111"/>
      <c r="Y235" s="1111"/>
      <c r="Z235" s="1111"/>
      <c r="AA235" s="1111"/>
      <c r="AB235" s="1111"/>
      <c r="AC235" s="1111"/>
      <c r="AD235" s="1111"/>
      <c r="AE235" s="1111"/>
      <c r="AF235" s="1111"/>
      <c r="AG235" s="1111"/>
    </row>
    <row r="236" spans="1:33" s="1295" customFormat="1">
      <c r="A236" s="1264"/>
      <c r="D236" s="1118"/>
      <c r="E236" s="1264"/>
      <c r="F236" s="1118"/>
      <c r="G236" s="1118"/>
      <c r="H236" s="1118"/>
      <c r="I236" s="1118"/>
      <c r="J236" s="1118"/>
      <c r="K236" s="1118"/>
      <c r="L236" s="1118"/>
      <c r="M236" s="1118"/>
      <c r="N236" s="1118"/>
      <c r="O236" s="1118"/>
      <c r="P236" s="1118"/>
      <c r="Q236" s="1111"/>
      <c r="R236" s="1111"/>
      <c r="S236" s="1111"/>
      <c r="T236" s="1111"/>
      <c r="U236" s="1111"/>
      <c r="V236" s="1111"/>
      <c r="W236" s="1111"/>
      <c r="X236" s="1111"/>
      <c r="Y236" s="1111"/>
      <c r="Z236" s="1111"/>
      <c r="AA236" s="1111"/>
      <c r="AB236" s="1111"/>
      <c r="AC236" s="1111"/>
      <c r="AD236" s="1111"/>
      <c r="AE236" s="1111"/>
      <c r="AF236" s="1111"/>
      <c r="AG236" s="1111"/>
    </row>
    <row r="237" spans="1:33" s="1295" customFormat="1">
      <c r="A237" s="1264"/>
      <c r="D237" s="1118"/>
      <c r="E237" s="1264"/>
      <c r="F237" s="1118"/>
      <c r="G237" s="1118"/>
      <c r="H237" s="1118"/>
      <c r="I237" s="1118"/>
      <c r="J237" s="1118"/>
      <c r="K237" s="1118"/>
      <c r="L237" s="1118"/>
      <c r="M237" s="1118"/>
      <c r="N237" s="1118"/>
      <c r="O237" s="1118"/>
      <c r="P237" s="1118"/>
      <c r="Q237" s="1111"/>
      <c r="R237" s="1111"/>
      <c r="S237" s="1111"/>
      <c r="T237" s="1111"/>
      <c r="U237" s="1111"/>
      <c r="V237" s="1111"/>
      <c r="W237" s="1111"/>
      <c r="X237" s="1111"/>
      <c r="Y237" s="1111"/>
      <c r="Z237" s="1111"/>
      <c r="AA237" s="1111"/>
      <c r="AB237" s="1111"/>
      <c r="AC237" s="1111"/>
      <c r="AD237" s="1111"/>
      <c r="AE237" s="1111"/>
      <c r="AF237" s="1111"/>
      <c r="AG237" s="1111"/>
    </row>
    <row r="238" spans="1:33" s="1295" customFormat="1">
      <c r="A238" s="1264"/>
      <c r="D238" s="1118"/>
      <c r="E238" s="1264"/>
      <c r="F238" s="1118"/>
      <c r="G238" s="1118"/>
      <c r="H238" s="1118"/>
      <c r="I238" s="1118"/>
      <c r="J238" s="1118"/>
      <c r="K238" s="1118"/>
      <c r="L238" s="1118"/>
      <c r="M238" s="1118"/>
      <c r="N238" s="1118"/>
      <c r="O238" s="1118"/>
      <c r="P238" s="1118"/>
      <c r="Q238" s="1111"/>
      <c r="R238" s="1111"/>
      <c r="S238" s="1111"/>
      <c r="T238" s="1111"/>
      <c r="U238" s="1111"/>
      <c r="V238" s="1111"/>
      <c r="W238" s="1111"/>
      <c r="X238" s="1111"/>
      <c r="Y238" s="1111"/>
      <c r="Z238" s="1111"/>
      <c r="AA238" s="1111"/>
      <c r="AB238" s="1111"/>
      <c r="AC238" s="1111"/>
      <c r="AD238" s="1111"/>
      <c r="AE238" s="1111"/>
      <c r="AF238" s="1111"/>
      <c r="AG238" s="1111"/>
    </row>
    <row r="239" spans="1:33" s="1295" customFormat="1">
      <c r="A239" s="1264"/>
      <c r="D239" s="1118"/>
      <c r="E239" s="1264"/>
      <c r="F239" s="1118"/>
      <c r="G239" s="1118"/>
      <c r="H239" s="1118"/>
      <c r="I239" s="1118"/>
      <c r="J239" s="1118"/>
      <c r="K239" s="1118"/>
      <c r="L239" s="1118"/>
      <c r="M239" s="1118"/>
      <c r="N239" s="1118"/>
      <c r="O239" s="1118"/>
      <c r="P239" s="1118"/>
      <c r="Q239" s="1111"/>
      <c r="R239" s="1111"/>
      <c r="S239" s="1111"/>
      <c r="T239" s="1111"/>
      <c r="U239" s="1111"/>
      <c r="V239" s="1111"/>
      <c r="W239" s="1111"/>
      <c r="X239" s="1111"/>
      <c r="Y239" s="1111"/>
      <c r="Z239" s="1111"/>
      <c r="AA239" s="1111"/>
      <c r="AB239" s="1111"/>
      <c r="AC239" s="1111"/>
      <c r="AD239" s="1111"/>
      <c r="AE239" s="1111"/>
      <c r="AF239" s="1111"/>
      <c r="AG239" s="1111"/>
    </row>
    <row r="240" spans="1:33" s="1295" customFormat="1">
      <c r="A240" s="1264"/>
      <c r="D240" s="1118"/>
      <c r="E240" s="1264"/>
      <c r="F240" s="1118"/>
      <c r="G240" s="1118"/>
      <c r="H240" s="1118"/>
      <c r="I240" s="1118"/>
      <c r="J240" s="1118"/>
      <c r="K240" s="1118"/>
      <c r="L240" s="1118"/>
      <c r="M240" s="1118"/>
      <c r="N240" s="1118"/>
      <c r="O240" s="1118"/>
      <c r="P240" s="1118"/>
      <c r="Q240" s="1111"/>
      <c r="R240" s="1111"/>
      <c r="S240" s="1111"/>
      <c r="T240" s="1111"/>
      <c r="U240" s="1111"/>
      <c r="V240" s="1111"/>
      <c r="W240" s="1111"/>
      <c r="X240" s="1111"/>
      <c r="Y240" s="1111"/>
      <c r="Z240" s="1111"/>
      <c r="AA240" s="1111"/>
      <c r="AB240" s="1111"/>
      <c r="AC240" s="1111"/>
      <c r="AD240" s="1111"/>
      <c r="AE240" s="1111"/>
      <c r="AF240" s="1111"/>
      <c r="AG240" s="1111"/>
    </row>
    <row r="241" spans="1:33" s="1295" customFormat="1">
      <c r="A241" s="1264"/>
      <c r="D241" s="1118"/>
      <c r="E241" s="1264"/>
      <c r="F241" s="1118"/>
      <c r="G241" s="1118"/>
      <c r="H241" s="1118"/>
      <c r="I241" s="1118"/>
      <c r="J241" s="1118"/>
      <c r="K241" s="1118"/>
      <c r="L241" s="1118"/>
      <c r="M241" s="1118"/>
      <c r="N241" s="1118"/>
      <c r="O241" s="1118"/>
      <c r="P241" s="1118"/>
      <c r="Q241" s="1111"/>
      <c r="R241" s="1111"/>
      <c r="S241" s="1111"/>
      <c r="T241" s="1111"/>
      <c r="U241" s="1111"/>
      <c r="V241" s="1111"/>
      <c r="W241" s="1111"/>
      <c r="X241" s="1111"/>
      <c r="Y241" s="1111"/>
      <c r="Z241" s="1111"/>
      <c r="AA241" s="1111"/>
      <c r="AB241" s="1111"/>
      <c r="AC241" s="1111"/>
      <c r="AD241" s="1111"/>
      <c r="AE241" s="1111"/>
      <c r="AF241" s="1111"/>
      <c r="AG241" s="1111"/>
    </row>
    <row r="242" spans="1:33" s="1295" customFormat="1">
      <c r="A242" s="1264"/>
      <c r="D242" s="1118"/>
      <c r="E242" s="1264"/>
      <c r="F242" s="1118"/>
      <c r="G242" s="1118"/>
      <c r="H242" s="1118"/>
      <c r="I242" s="1118"/>
      <c r="J242" s="1118"/>
      <c r="K242" s="1118"/>
      <c r="L242" s="1118"/>
      <c r="M242" s="1118"/>
      <c r="N242" s="1118"/>
      <c r="O242" s="1118"/>
      <c r="P242" s="1118"/>
      <c r="Q242" s="1111"/>
      <c r="R242" s="1111"/>
      <c r="S242" s="1111"/>
      <c r="T242" s="1111"/>
      <c r="U242" s="1111"/>
      <c r="V242" s="1111"/>
      <c r="W242" s="1111"/>
      <c r="X242" s="1111"/>
      <c r="Y242" s="1111"/>
      <c r="Z242" s="1111"/>
      <c r="AA242" s="1111"/>
      <c r="AB242" s="1111"/>
      <c r="AC242" s="1111"/>
      <c r="AD242" s="1111"/>
      <c r="AE242" s="1111"/>
      <c r="AF242" s="1111"/>
      <c r="AG242" s="1111"/>
    </row>
    <row r="243" spans="1:33" s="1295" customFormat="1">
      <c r="A243" s="1264"/>
      <c r="D243" s="1118"/>
      <c r="E243" s="1264"/>
      <c r="F243" s="1118"/>
      <c r="G243" s="1118"/>
      <c r="H243" s="1118"/>
      <c r="I243" s="1118"/>
      <c r="J243" s="1118"/>
      <c r="K243" s="1118"/>
      <c r="L243" s="1118"/>
      <c r="M243" s="1118"/>
      <c r="N243" s="1118"/>
      <c r="O243" s="1118"/>
      <c r="P243" s="1118"/>
      <c r="Q243" s="1111"/>
      <c r="R243" s="1111"/>
      <c r="S243" s="1111"/>
      <c r="T243" s="1111"/>
      <c r="U243" s="1111"/>
      <c r="V243" s="1111"/>
      <c r="W243" s="1111"/>
      <c r="X243" s="1111"/>
      <c r="Y243" s="1111"/>
      <c r="Z243" s="1111"/>
      <c r="AA243" s="1111"/>
      <c r="AB243" s="1111"/>
      <c r="AC243" s="1111"/>
      <c r="AD243" s="1111"/>
      <c r="AE243" s="1111"/>
      <c r="AF243" s="1111"/>
      <c r="AG243" s="1111"/>
    </row>
    <row r="244" spans="1:33" s="1295" customFormat="1">
      <c r="A244" s="1264"/>
      <c r="D244" s="1118"/>
      <c r="E244" s="1264"/>
      <c r="F244" s="1118"/>
      <c r="G244" s="1118"/>
      <c r="H244" s="1118"/>
      <c r="I244" s="1118"/>
      <c r="J244" s="1118"/>
      <c r="K244" s="1118"/>
      <c r="L244" s="1118"/>
      <c r="M244" s="1118"/>
      <c r="N244" s="1118"/>
      <c r="O244" s="1118"/>
      <c r="P244" s="1118"/>
      <c r="Q244" s="1111"/>
      <c r="R244" s="1111"/>
      <c r="S244" s="1111"/>
      <c r="T244" s="1111"/>
      <c r="U244" s="1111"/>
      <c r="V244" s="1111"/>
      <c r="W244" s="1111"/>
      <c r="X244" s="1111"/>
      <c r="Y244" s="1111"/>
      <c r="Z244" s="1111"/>
      <c r="AA244" s="1111"/>
      <c r="AB244" s="1111"/>
      <c r="AC244" s="1111"/>
      <c r="AD244" s="1111"/>
      <c r="AE244" s="1111"/>
      <c r="AF244" s="1111"/>
      <c r="AG244" s="1111"/>
    </row>
    <row r="245" spans="1:33" s="1295" customFormat="1">
      <c r="A245" s="1264"/>
      <c r="D245" s="1118"/>
      <c r="E245" s="1264"/>
      <c r="F245" s="1118"/>
      <c r="G245" s="1118"/>
      <c r="H245" s="1118"/>
      <c r="I245" s="1118"/>
      <c r="J245" s="1118"/>
      <c r="K245" s="1118"/>
      <c r="L245" s="1118"/>
      <c r="M245" s="1118"/>
      <c r="N245" s="1118"/>
      <c r="O245" s="1118"/>
      <c r="P245" s="1118"/>
      <c r="Q245" s="1111"/>
      <c r="R245" s="1111"/>
      <c r="S245" s="1111"/>
      <c r="T245" s="1111"/>
      <c r="U245" s="1111"/>
      <c r="V245" s="1111"/>
      <c r="W245" s="1111"/>
      <c r="X245" s="1111"/>
      <c r="Y245" s="1111"/>
      <c r="Z245" s="1111"/>
      <c r="AA245" s="1111"/>
      <c r="AB245" s="1111"/>
      <c r="AC245" s="1111"/>
      <c r="AD245" s="1111"/>
      <c r="AE245" s="1111"/>
      <c r="AF245" s="1111"/>
      <c r="AG245" s="1111"/>
    </row>
    <row r="246" spans="1:33" s="1295" customFormat="1">
      <c r="A246" s="1264"/>
      <c r="D246" s="1118"/>
      <c r="E246" s="1264"/>
      <c r="F246" s="1118"/>
      <c r="G246" s="1118"/>
      <c r="H246" s="1118"/>
      <c r="I246" s="1118"/>
      <c r="J246" s="1118"/>
      <c r="K246" s="1118"/>
      <c r="L246" s="1118"/>
      <c r="M246" s="1118"/>
      <c r="N246" s="1118"/>
      <c r="O246" s="1118"/>
      <c r="P246" s="1118"/>
      <c r="Q246" s="1111"/>
      <c r="R246" s="1111"/>
      <c r="S246" s="1111"/>
      <c r="T246" s="1111"/>
      <c r="U246" s="1111"/>
      <c r="V246" s="1111"/>
      <c r="W246" s="1111"/>
      <c r="X246" s="1111"/>
      <c r="Y246" s="1111"/>
      <c r="Z246" s="1111"/>
      <c r="AA246" s="1111"/>
      <c r="AB246" s="1111"/>
      <c r="AC246" s="1111"/>
      <c r="AD246" s="1111"/>
      <c r="AE246" s="1111"/>
      <c r="AF246" s="1111"/>
      <c r="AG246" s="1111"/>
    </row>
    <row r="247" spans="1:33" s="1295" customFormat="1">
      <c r="A247" s="1264"/>
      <c r="D247" s="1118"/>
      <c r="E247" s="1264"/>
      <c r="F247" s="1118"/>
      <c r="G247" s="1118"/>
      <c r="H247" s="1118"/>
      <c r="I247" s="1118"/>
      <c r="J247" s="1118"/>
      <c r="K247" s="1118"/>
      <c r="L247" s="1118"/>
      <c r="M247" s="1118"/>
      <c r="N247" s="1118"/>
      <c r="O247" s="1118"/>
      <c r="P247" s="1118"/>
      <c r="Q247" s="1111"/>
      <c r="R247" s="1111"/>
      <c r="S247" s="1111"/>
      <c r="T247" s="1111"/>
      <c r="U247" s="1111"/>
      <c r="V247" s="1111"/>
      <c r="W247" s="1111"/>
      <c r="X247" s="1111"/>
      <c r="Y247" s="1111"/>
      <c r="Z247" s="1111"/>
      <c r="AA247" s="1111"/>
      <c r="AB247" s="1111"/>
      <c r="AC247" s="1111"/>
      <c r="AD247" s="1111"/>
      <c r="AE247" s="1111"/>
      <c r="AF247" s="1111"/>
      <c r="AG247" s="1111"/>
    </row>
    <row r="248" spans="1:33" s="1295" customFormat="1">
      <c r="A248" s="1264"/>
      <c r="D248" s="1118"/>
      <c r="E248" s="1264"/>
      <c r="F248" s="1118"/>
      <c r="G248" s="1118"/>
      <c r="H248" s="1118"/>
      <c r="I248" s="1118"/>
      <c r="J248" s="1118"/>
      <c r="K248" s="1118"/>
      <c r="L248" s="1118"/>
      <c r="M248" s="1118"/>
      <c r="N248" s="1118"/>
      <c r="O248" s="1118"/>
      <c r="P248" s="1118"/>
      <c r="Q248" s="1111"/>
      <c r="R248" s="1111"/>
      <c r="S248" s="1111"/>
      <c r="T248" s="1111"/>
      <c r="U248" s="1111"/>
      <c r="V248" s="1111"/>
      <c r="W248" s="1111"/>
      <c r="X248" s="1111"/>
      <c r="Y248" s="1111"/>
      <c r="Z248" s="1111"/>
      <c r="AA248" s="1111"/>
      <c r="AB248" s="1111"/>
      <c r="AC248" s="1111"/>
      <c r="AD248" s="1111"/>
      <c r="AE248" s="1111"/>
      <c r="AF248" s="1111"/>
      <c r="AG248" s="1111"/>
    </row>
    <row r="249" spans="1:33" s="1295" customFormat="1">
      <c r="A249" s="1264"/>
      <c r="D249" s="1118"/>
      <c r="E249" s="1264"/>
      <c r="F249" s="1118"/>
      <c r="G249" s="1118"/>
      <c r="H249" s="1118"/>
      <c r="I249" s="1118"/>
      <c r="J249" s="1118"/>
      <c r="K249" s="1118"/>
      <c r="L249" s="1118"/>
      <c r="M249" s="1118"/>
      <c r="N249" s="1118"/>
      <c r="O249" s="1118"/>
      <c r="P249" s="1118"/>
      <c r="Q249" s="1111"/>
      <c r="R249" s="1111"/>
      <c r="S249" s="1111"/>
      <c r="T249" s="1111"/>
      <c r="U249" s="1111"/>
      <c r="V249" s="1111"/>
      <c r="W249" s="1111"/>
      <c r="X249" s="1111"/>
      <c r="Y249" s="1111"/>
      <c r="Z249" s="1111"/>
      <c r="AA249" s="1111"/>
      <c r="AB249" s="1111"/>
      <c r="AC249" s="1111"/>
      <c r="AD249" s="1111"/>
      <c r="AE249" s="1111"/>
      <c r="AF249" s="1111"/>
      <c r="AG249" s="1111"/>
    </row>
    <row r="250" spans="1:33" s="1295" customFormat="1">
      <c r="A250" s="1264"/>
      <c r="D250" s="1118"/>
      <c r="E250" s="1264"/>
      <c r="F250" s="1118"/>
      <c r="G250" s="1118"/>
      <c r="H250" s="1118"/>
      <c r="I250" s="1118"/>
      <c r="J250" s="1118"/>
      <c r="K250" s="1118"/>
      <c r="L250" s="1118"/>
      <c r="M250" s="1118"/>
      <c r="N250" s="1118"/>
      <c r="O250" s="1118"/>
      <c r="P250" s="1118"/>
      <c r="Q250" s="1111"/>
      <c r="R250" s="1111"/>
      <c r="S250" s="1111"/>
      <c r="T250" s="1111"/>
      <c r="U250" s="1111"/>
      <c r="V250" s="1111"/>
      <c r="W250" s="1111"/>
      <c r="X250" s="1111"/>
      <c r="Y250" s="1111"/>
      <c r="Z250" s="1111"/>
      <c r="AA250" s="1111"/>
      <c r="AB250" s="1111"/>
      <c r="AC250" s="1111"/>
      <c r="AD250" s="1111"/>
      <c r="AE250" s="1111"/>
      <c r="AF250" s="1111"/>
      <c r="AG250" s="1111"/>
    </row>
    <row r="251" spans="1:33" s="1295" customFormat="1">
      <c r="A251" s="1264"/>
      <c r="D251" s="1118"/>
      <c r="E251" s="1264"/>
      <c r="F251" s="1118"/>
      <c r="G251" s="1118"/>
      <c r="H251" s="1118"/>
      <c r="I251" s="1118"/>
      <c r="J251" s="1118"/>
      <c r="K251" s="1118"/>
      <c r="L251" s="1118"/>
      <c r="M251" s="1118"/>
      <c r="N251" s="1118"/>
      <c r="O251" s="1118"/>
      <c r="P251" s="1118"/>
      <c r="Q251" s="1111"/>
      <c r="R251" s="1111"/>
      <c r="S251" s="1111"/>
      <c r="T251" s="1111"/>
      <c r="U251" s="1111"/>
      <c r="V251" s="1111"/>
      <c r="W251" s="1111"/>
      <c r="X251" s="1111"/>
      <c r="Y251" s="1111"/>
      <c r="Z251" s="1111"/>
      <c r="AA251" s="1111"/>
      <c r="AB251" s="1111"/>
      <c r="AC251" s="1111"/>
      <c r="AD251" s="1111"/>
      <c r="AE251" s="1111"/>
      <c r="AF251" s="1111"/>
      <c r="AG251" s="1111"/>
    </row>
    <row r="252" spans="1:33" s="1295" customFormat="1">
      <c r="A252" s="1264"/>
      <c r="D252" s="1118"/>
      <c r="E252" s="1264"/>
      <c r="F252" s="1118"/>
      <c r="G252" s="1118"/>
      <c r="H252" s="1118"/>
      <c r="I252" s="1118"/>
      <c r="J252" s="1118"/>
      <c r="K252" s="1118"/>
      <c r="L252" s="1118"/>
      <c r="M252" s="1118"/>
      <c r="N252" s="1118"/>
      <c r="O252" s="1118"/>
      <c r="P252" s="1118"/>
      <c r="Q252" s="1111"/>
      <c r="R252" s="1111"/>
      <c r="S252" s="1111"/>
      <c r="T252" s="1111"/>
      <c r="U252" s="1111"/>
      <c r="V252" s="1111"/>
      <c r="W252" s="1111"/>
      <c r="X252" s="1111"/>
      <c r="Y252" s="1111"/>
      <c r="Z252" s="1111"/>
      <c r="AA252" s="1111"/>
      <c r="AB252" s="1111"/>
      <c r="AC252" s="1111"/>
      <c r="AD252" s="1111"/>
      <c r="AE252" s="1111"/>
      <c r="AF252" s="1111"/>
      <c r="AG252" s="1111"/>
    </row>
    <row r="253" spans="1:33" s="1295" customFormat="1">
      <c r="A253" s="1264"/>
      <c r="D253" s="1118"/>
      <c r="E253" s="1264"/>
      <c r="F253" s="1118"/>
      <c r="G253" s="1118"/>
      <c r="H253" s="1118"/>
      <c r="I253" s="1118"/>
      <c r="J253" s="1118"/>
      <c r="K253" s="1118"/>
      <c r="L253" s="1118"/>
      <c r="M253" s="1118"/>
      <c r="N253" s="1118"/>
      <c r="O253" s="1118"/>
      <c r="P253" s="1118"/>
      <c r="Q253" s="1111"/>
      <c r="R253" s="1111"/>
      <c r="S253" s="1111"/>
      <c r="T253" s="1111"/>
      <c r="U253" s="1111"/>
      <c r="V253" s="1111"/>
      <c r="W253" s="1111"/>
      <c r="X253" s="1111"/>
      <c r="Y253" s="1111"/>
      <c r="Z253" s="1111"/>
      <c r="AA253" s="1111"/>
      <c r="AB253" s="1111"/>
      <c r="AC253" s="1111"/>
      <c r="AD253" s="1111"/>
      <c r="AE253" s="1111"/>
      <c r="AF253" s="1111"/>
      <c r="AG253" s="1111"/>
    </row>
    <row r="254" spans="1:33" s="1295" customFormat="1">
      <c r="A254" s="1264"/>
      <c r="D254" s="1118"/>
      <c r="E254" s="1264"/>
      <c r="F254" s="1118"/>
      <c r="G254" s="1118"/>
      <c r="H254" s="1118"/>
      <c r="I254" s="1118"/>
      <c r="J254" s="1118"/>
      <c r="K254" s="1118"/>
      <c r="L254" s="1118"/>
      <c r="M254" s="1118"/>
      <c r="N254" s="1118"/>
      <c r="O254" s="1118"/>
      <c r="P254" s="1118"/>
      <c r="Q254" s="1111"/>
      <c r="R254" s="1111"/>
      <c r="S254" s="1111"/>
      <c r="T254" s="1111"/>
      <c r="U254" s="1111"/>
      <c r="V254" s="1111"/>
      <c r="W254" s="1111"/>
      <c r="X254" s="1111"/>
      <c r="Y254" s="1111"/>
      <c r="Z254" s="1111"/>
      <c r="AA254" s="1111"/>
      <c r="AB254" s="1111"/>
      <c r="AC254" s="1111"/>
      <c r="AD254" s="1111"/>
      <c r="AE254" s="1111"/>
      <c r="AF254" s="1111"/>
      <c r="AG254" s="1111"/>
    </row>
    <row r="255" spans="1:33" s="1295" customFormat="1">
      <c r="A255" s="1264"/>
      <c r="D255" s="1118"/>
      <c r="E255" s="1264"/>
      <c r="F255" s="1118"/>
      <c r="G255" s="1118"/>
      <c r="H255" s="1118"/>
      <c r="I255" s="1118"/>
      <c r="J255" s="1118"/>
      <c r="K255" s="1118"/>
      <c r="L255" s="1118"/>
      <c r="M255" s="1118"/>
      <c r="N255" s="1118"/>
      <c r="O255" s="1118"/>
      <c r="P255" s="1118"/>
      <c r="Q255" s="1111"/>
      <c r="R255" s="1111"/>
      <c r="S255" s="1111"/>
      <c r="T255" s="1111"/>
      <c r="U255" s="1111"/>
      <c r="V255" s="1111"/>
      <c r="W255" s="1111"/>
      <c r="X255" s="1111"/>
      <c r="Y255" s="1111"/>
      <c r="Z255" s="1111"/>
      <c r="AA255" s="1111"/>
      <c r="AB255" s="1111"/>
      <c r="AC255" s="1111"/>
      <c r="AD255" s="1111"/>
      <c r="AE255" s="1111"/>
      <c r="AF255" s="1111"/>
      <c r="AG255" s="1111"/>
    </row>
    <row r="256" spans="1:33" s="1295" customFormat="1">
      <c r="A256" s="1264"/>
      <c r="D256" s="1118"/>
      <c r="E256" s="1264"/>
      <c r="F256" s="1118"/>
      <c r="G256" s="1118"/>
      <c r="H256" s="1118"/>
      <c r="I256" s="1118"/>
      <c r="J256" s="1118"/>
      <c r="K256" s="1118"/>
      <c r="L256" s="1118"/>
      <c r="M256" s="1118"/>
      <c r="N256" s="1118"/>
      <c r="O256" s="1118"/>
      <c r="P256" s="1118"/>
      <c r="Q256" s="1111"/>
      <c r="R256" s="1111"/>
      <c r="S256" s="1111"/>
      <c r="T256" s="1111"/>
      <c r="U256" s="1111"/>
      <c r="V256" s="1111"/>
      <c r="W256" s="1111"/>
      <c r="X256" s="1111"/>
      <c r="Y256" s="1111"/>
      <c r="Z256" s="1111"/>
      <c r="AA256" s="1111"/>
      <c r="AB256" s="1111"/>
      <c r="AC256" s="1111"/>
      <c r="AD256" s="1111"/>
      <c r="AE256" s="1111"/>
      <c r="AF256" s="1111"/>
      <c r="AG256" s="1111"/>
    </row>
    <row r="257" spans="1:33" s="1295" customFormat="1">
      <c r="A257" s="1264"/>
      <c r="D257" s="1118"/>
      <c r="E257" s="1264"/>
      <c r="F257" s="1118"/>
      <c r="G257" s="1118"/>
      <c r="H257" s="1118"/>
      <c r="I257" s="1118"/>
      <c r="J257" s="1118"/>
      <c r="K257" s="1118"/>
      <c r="L257" s="1118"/>
      <c r="M257" s="1118"/>
      <c r="N257" s="1118"/>
      <c r="O257" s="1118"/>
      <c r="P257" s="1118"/>
      <c r="Q257" s="1111"/>
      <c r="R257" s="1111"/>
      <c r="S257" s="1111"/>
      <c r="T257" s="1111"/>
      <c r="U257" s="1111"/>
      <c r="V257" s="1111"/>
      <c r="W257" s="1111"/>
      <c r="X257" s="1111"/>
      <c r="Y257" s="1111"/>
      <c r="Z257" s="1111"/>
      <c r="AA257" s="1111"/>
      <c r="AB257" s="1111"/>
      <c r="AC257" s="1111"/>
      <c r="AD257" s="1111"/>
      <c r="AE257" s="1111"/>
      <c r="AF257" s="1111"/>
      <c r="AG257" s="1111"/>
    </row>
    <row r="258" spans="1:33" s="1295" customFormat="1">
      <c r="A258" s="1264"/>
      <c r="D258" s="1118"/>
      <c r="E258" s="1264"/>
      <c r="F258" s="1118"/>
      <c r="G258" s="1118"/>
      <c r="H258" s="1118"/>
      <c r="I258" s="1118"/>
      <c r="J258" s="1118"/>
      <c r="K258" s="1118"/>
      <c r="L258" s="1118"/>
      <c r="M258" s="1118"/>
      <c r="N258" s="1118"/>
      <c r="O258" s="1118"/>
      <c r="P258" s="1118"/>
      <c r="Q258" s="1111"/>
      <c r="R258" s="1111"/>
      <c r="S258" s="1111"/>
      <c r="T258" s="1111"/>
      <c r="U258" s="1111"/>
      <c r="V258" s="1111"/>
      <c r="W258" s="1111"/>
      <c r="X258" s="1111"/>
      <c r="Y258" s="1111"/>
      <c r="Z258" s="1111"/>
      <c r="AA258" s="1111"/>
      <c r="AB258" s="1111"/>
      <c r="AC258" s="1111"/>
      <c r="AD258" s="1111"/>
      <c r="AE258" s="1111"/>
      <c r="AF258" s="1111"/>
      <c r="AG258" s="1111"/>
    </row>
    <row r="259" spans="1:33" s="1295" customFormat="1">
      <c r="A259" s="1264"/>
      <c r="D259" s="1118"/>
      <c r="E259" s="1264"/>
      <c r="F259" s="1118"/>
      <c r="G259" s="1118"/>
      <c r="H259" s="1118"/>
      <c r="I259" s="1118"/>
      <c r="J259" s="1118"/>
      <c r="K259" s="1118"/>
      <c r="L259" s="1118"/>
      <c r="M259" s="1118"/>
      <c r="N259" s="1118"/>
      <c r="O259" s="1118"/>
      <c r="P259" s="1118"/>
      <c r="Q259" s="1111"/>
      <c r="R259" s="1111"/>
      <c r="S259" s="1111"/>
      <c r="T259" s="1111"/>
      <c r="U259" s="1111"/>
      <c r="V259" s="1111"/>
      <c r="W259" s="1111"/>
      <c r="X259" s="1111"/>
      <c r="Y259" s="1111"/>
      <c r="Z259" s="1111"/>
      <c r="AA259" s="1111"/>
      <c r="AB259" s="1111"/>
      <c r="AC259" s="1111"/>
      <c r="AD259" s="1111"/>
      <c r="AE259" s="1111"/>
      <c r="AF259" s="1111"/>
      <c r="AG259" s="1111"/>
    </row>
    <row r="260" spans="1:33" s="1295" customFormat="1">
      <c r="A260" s="1264"/>
      <c r="D260" s="1118"/>
      <c r="E260" s="1264"/>
      <c r="F260" s="1118"/>
      <c r="G260" s="1118"/>
      <c r="H260" s="1118"/>
      <c r="I260" s="1118"/>
      <c r="J260" s="1118"/>
      <c r="K260" s="1118"/>
      <c r="L260" s="1118"/>
      <c r="M260" s="1118"/>
      <c r="N260" s="1118"/>
      <c r="O260" s="1118"/>
      <c r="P260" s="1118"/>
      <c r="Q260" s="1111"/>
      <c r="R260" s="1111"/>
      <c r="S260" s="1111"/>
      <c r="T260" s="1111"/>
      <c r="U260" s="1111"/>
      <c r="V260" s="1111"/>
      <c r="W260" s="1111"/>
      <c r="X260" s="1111"/>
      <c r="Y260" s="1111"/>
      <c r="Z260" s="1111"/>
      <c r="AA260" s="1111"/>
      <c r="AB260" s="1111"/>
      <c r="AC260" s="1111"/>
      <c r="AD260" s="1111"/>
      <c r="AE260" s="1111"/>
      <c r="AF260" s="1111"/>
      <c r="AG260" s="1111"/>
    </row>
    <row r="261" spans="1:33" s="1295" customFormat="1">
      <c r="A261" s="1264"/>
      <c r="D261" s="1118"/>
      <c r="E261" s="1264"/>
      <c r="F261" s="1118"/>
      <c r="G261" s="1118"/>
      <c r="H261" s="1118"/>
      <c r="I261" s="1118"/>
      <c r="J261" s="1118"/>
      <c r="K261" s="1118"/>
      <c r="L261" s="1118"/>
      <c r="M261" s="1118"/>
      <c r="N261" s="1118"/>
      <c r="O261" s="1118"/>
      <c r="P261" s="1118"/>
      <c r="Q261" s="1111"/>
      <c r="R261" s="1111"/>
      <c r="S261" s="1111"/>
      <c r="T261" s="1111"/>
      <c r="U261" s="1111"/>
      <c r="V261" s="1111"/>
      <c r="W261" s="1111"/>
      <c r="X261" s="1111"/>
      <c r="Y261" s="1111"/>
      <c r="Z261" s="1111"/>
      <c r="AA261" s="1111"/>
      <c r="AB261" s="1111"/>
      <c r="AC261" s="1111"/>
      <c r="AD261" s="1111"/>
      <c r="AE261" s="1111"/>
      <c r="AF261" s="1111"/>
      <c r="AG261" s="1111"/>
    </row>
    <row r="262" spans="1:33" s="1295" customFormat="1">
      <c r="A262" s="1264"/>
      <c r="D262" s="1118"/>
      <c r="E262" s="1264"/>
      <c r="F262" s="1118"/>
      <c r="G262" s="1118"/>
      <c r="H262" s="1118"/>
      <c r="I262" s="1118"/>
      <c r="J262" s="1118"/>
      <c r="K262" s="1118"/>
      <c r="L262" s="1118"/>
      <c r="M262" s="1118"/>
      <c r="N262" s="1118"/>
      <c r="O262" s="1118"/>
      <c r="P262" s="1118"/>
      <c r="Q262" s="1111"/>
      <c r="R262" s="1111"/>
      <c r="S262" s="1111"/>
      <c r="T262" s="1111"/>
      <c r="U262" s="1111"/>
      <c r="V262" s="1111"/>
      <c r="W262" s="1111"/>
      <c r="X262" s="1111"/>
      <c r="Y262" s="1111"/>
      <c r="Z262" s="1111"/>
      <c r="AA262" s="1111"/>
      <c r="AB262" s="1111"/>
      <c r="AC262" s="1111"/>
      <c r="AD262" s="1111"/>
      <c r="AE262" s="1111"/>
      <c r="AF262" s="1111"/>
      <c r="AG262" s="1111"/>
    </row>
    <row r="263" spans="1:33" s="1295" customFormat="1">
      <c r="A263" s="1264"/>
      <c r="D263" s="1118"/>
      <c r="E263" s="1264"/>
      <c r="F263" s="1118"/>
      <c r="G263" s="1118"/>
      <c r="H263" s="1118"/>
      <c r="I263" s="1118"/>
      <c r="J263" s="1118"/>
      <c r="K263" s="1118"/>
      <c r="L263" s="1118"/>
      <c r="M263" s="1118"/>
      <c r="N263" s="1118"/>
      <c r="O263" s="1118"/>
      <c r="P263" s="1118"/>
      <c r="Q263" s="1111"/>
      <c r="R263" s="1111"/>
      <c r="S263" s="1111"/>
      <c r="T263" s="1111"/>
      <c r="U263" s="1111"/>
      <c r="V263" s="1111"/>
      <c r="W263" s="1111"/>
      <c r="X263" s="1111"/>
      <c r="Y263" s="1111"/>
      <c r="Z263" s="1111"/>
      <c r="AA263" s="1111"/>
      <c r="AB263" s="1111"/>
      <c r="AC263" s="1111"/>
      <c r="AD263" s="1111"/>
      <c r="AE263" s="1111"/>
      <c r="AF263" s="1111"/>
      <c r="AG263" s="1111"/>
    </row>
    <row r="264" spans="1:33" s="1295" customFormat="1">
      <c r="A264" s="1264"/>
      <c r="D264" s="1118"/>
      <c r="E264" s="1264"/>
      <c r="F264" s="1118"/>
      <c r="G264" s="1118"/>
      <c r="H264" s="1118"/>
      <c r="I264" s="1118"/>
      <c r="J264" s="1118"/>
      <c r="K264" s="1118"/>
      <c r="L264" s="1118"/>
      <c r="M264" s="1118"/>
      <c r="N264" s="1118"/>
      <c r="O264" s="1118"/>
      <c r="P264" s="1118"/>
      <c r="Q264" s="1111"/>
      <c r="R264" s="1111"/>
      <c r="S264" s="1111"/>
      <c r="T264" s="1111"/>
      <c r="U264" s="1111"/>
      <c r="V264" s="1111"/>
      <c r="W264" s="1111"/>
      <c r="X264" s="1111"/>
      <c r="Y264" s="1111"/>
      <c r="Z264" s="1111"/>
      <c r="AA264" s="1111"/>
      <c r="AB264" s="1111"/>
      <c r="AC264" s="1111"/>
      <c r="AD264" s="1111"/>
      <c r="AE264" s="1111"/>
      <c r="AF264" s="1111"/>
      <c r="AG264" s="1111"/>
    </row>
    <row r="265" spans="1:33" s="1295" customFormat="1">
      <c r="A265" s="1264"/>
      <c r="D265" s="1118"/>
      <c r="E265" s="1264"/>
      <c r="F265" s="1118"/>
      <c r="G265" s="1118"/>
      <c r="H265" s="1118"/>
      <c r="I265" s="1118"/>
      <c r="J265" s="1118"/>
      <c r="K265" s="1118"/>
      <c r="L265" s="1118"/>
      <c r="M265" s="1118"/>
      <c r="N265" s="1118"/>
      <c r="O265" s="1118"/>
      <c r="P265" s="1118"/>
      <c r="Q265" s="1111"/>
      <c r="R265" s="1111"/>
      <c r="S265" s="1111"/>
      <c r="T265" s="1111"/>
      <c r="U265" s="1111"/>
      <c r="V265" s="1111"/>
      <c r="W265" s="1111"/>
      <c r="X265" s="1111"/>
      <c r="Y265" s="1111"/>
      <c r="Z265" s="1111"/>
      <c r="AA265" s="1111"/>
      <c r="AB265" s="1111"/>
      <c r="AC265" s="1111"/>
      <c r="AD265" s="1111"/>
      <c r="AE265" s="1111"/>
      <c r="AF265" s="1111"/>
      <c r="AG265" s="1111"/>
    </row>
    <row r="266" spans="1:33" s="1295" customFormat="1">
      <c r="A266" s="1264"/>
      <c r="D266" s="1118"/>
      <c r="E266" s="1264"/>
      <c r="F266" s="1118"/>
      <c r="G266" s="1118"/>
      <c r="H266" s="1118"/>
      <c r="I266" s="1118"/>
      <c r="J266" s="1118"/>
      <c r="K266" s="1118"/>
      <c r="L266" s="1118"/>
      <c r="M266" s="1118"/>
      <c r="N266" s="1118"/>
      <c r="O266" s="1118"/>
      <c r="P266" s="1118"/>
      <c r="Q266" s="1111"/>
      <c r="R266" s="1111"/>
      <c r="S266" s="1111"/>
      <c r="T266" s="1111"/>
      <c r="U266" s="1111"/>
      <c r="V266" s="1111"/>
      <c r="W266" s="1111"/>
      <c r="X266" s="1111"/>
      <c r="Y266" s="1111"/>
      <c r="Z266" s="1111"/>
      <c r="AA266" s="1111"/>
      <c r="AB266" s="1111"/>
      <c r="AC266" s="1111"/>
      <c r="AD266" s="1111"/>
      <c r="AE266" s="1111"/>
      <c r="AF266" s="1111"/>
      <c r="AG266" s="1111"/>
    </row>
    <row r="267" spans="1:33" s="1295" customFormat="1">
      <c r="A267" s="1264"/>
      <c r="D267" s="1118"/>
      <c r="E267" s="1264"/>
      <c r="F267" s="1118"/>
      <c r="G267" s="1118"/>
      <c r="H267" s="1118"/>
      <c r="I267" s="1118"/>
      <c r="J267" s="1118"/>
      <c r="K267" s="1118"/>
      <c r="L267" s="1118"/>
      <c r="M267" s="1118"/>
      <c r="N267" s="1118"/>
      <c r="O267" s="1118"/>
      <c r="P267" s="1118"/>
      <c r="Q267" s="1111"/>
      <c r="R267" s="1111"/>
      <c r="S267" s="1111"/>
      <c r="T267" s="1111"/>
      <c r="U267" s="1111"/>
      <c r="V267" s="1111"/>
      <c r="W267" s="1111"/>
      <c r="X267" s="1111"/>
      <c r="Y267" s="1111"/>
      <c r="Z267" s="1111"/>
      <c r="AA267" s="1111"/>
      <c r="AB267" s="1111"/>
      <c r="AC267" s="1111"/>
      <c r="AD267" s="1111"/>
      <c r="AE267" s="1111"/>
      <c r="AF267" s="1111"/>
      <c r="AG267" s="1111"/>
    </row>
    <row r="268" spans="1:33" s="1295" customFormat="1">
      <c r="A268" s="1264"/>
      <c r="D268" s="1118"/>
      <c r="E268" s="1264"/>
      <c r="F268" s="1118"/>
      <c r="G268" s="1118"/>
      <c r="H268" s="1118"/>
      <c r="I268" s="1118"/>
      <c r="J268" s="1118"/>
      <c r="K268" s="1118"/>
      <c r="L268" s="1118"/>
      <c r="M268" s="1118"/>
      <c r="N268" s="1118"/>
      <c r="O268" s="1118"/>
      <c r="P268" s="1118"/>
      <c r="Q268" s="1111"/>
      <c r="R268" s="1111"/>
      <c r="S268" s="1111"/>
      <c r="T268" s="1111"/>
      <c r="U268" s="1111"/>
      <c r="V268" s="1111"/>
      <c r="W268" s="1111"/>
      <c r="X268" s="1111"/>
      <c r="Y268" s="1111"/>
      <c r="Z268" s="1111"/>
      <c r="AA268" s="1111"/>
      <c r="AB268" s="1111"/>
      <c r="AC268" s="1111"/>
      <c r="AD268" s="1111"/>
      <c r="AE268" s="1111"/>
      <c r="AF268" s="1111"/>
      <c r="AG268" s="1111"/>
    </row>
    <row r="269" spans="1:33" s="1295" customFormat="1">
      <c r="A269" s="1264"/>
      <c r="D269" s="1118"/>
      <c r="E269" s="1264"/>
      <c r="F269" s="1118"/>
      <c r="G269" s="1118"/>
      <c r="H269" s="1118"/>
      <c r="I269" s="1118"/>
      <c r="J269" s="1118"/>
      <c r="K269" s="1118"/>
      <c r="L269" s="1118"/>
      <c r="M269" s="1118"/>
      <c r="N269" s="1118"/>
      <c r="O269" s="1118"/>
      <c r="P269" s="1118"/>
      <c r="Q269" s="1111"/>
      <c r="R269" s="1111"/>
      <c r="S269" s="1111"/>
      <c r="T269" s="1111"/>
      <c r="U269" s="1111"/>
      <c r="V269" s="1111"/>
      <c r="W269" s="1111"/>
      <c r="X269" s="1111"/>
      <c r="Y269" s="1111"/>
      <c r="Z269" s="1111"/>
      <c r="AA269" s="1111"/>
      <c r="AB269" s="1111"/>
      <c r="AC269" s="1111"/>
      <c r="AD269" s="1111"/>
      <c r="AE269" s="1111"/>
      <c r="AF269" s="1111"/>
      <c r="AG269" s="1111"/>
    </row>
    <row r="270" spans="1:33" s="1295" customFormat="1">
      <c r="A270" s="1264"/>
      <c r="D270" s="1118"/>
      <c r="E270" s="1264"/>
      <c r="F270" s="1118"/>
      <c r="G270" s="1118"/>
      <c r="H270" s="1118"/>
      <c r="I270" s="1118"/>
      <c r="J270" s="1118"/>
      <c r="K270" s="1118"/>
      <c r="L270" s="1118"/>
      <c r="M270" s="1118"/>
      <c r="N270" s="1118"/>
      <c r="O270" s="1118"/>
      <c r="P270" s="1118"/>
      <c r="Q270" s="1111"/>
      <c r="R270" s="1111"/>
      <c r="S270" s="1111"/>
      <c r="T270" s="1111"/>
      <c r="U270" s="1111"/>
      <c r="V270" s="1111"/>
      <c r="W270" s="1111"/>
      <c r="X270" s="1111"/>
      <c r="Y270" s="1111"/>
      <c r="Z270" s="1111"/>
      <c r="AA270" s="1111"/>
      <c r="AB270" s="1111"/>
      <c r="AC270" s="1111"/>
      <c r="AD270" s="1111"/>
      <c r="AE270" s="1111"/>
      <c r="AF270" s="1111"/>
      <c r="AG270" s="1111"/>
    </row>
    <row r="271" spans="1:33" s="1295" customFormat="1">
      <c r="A271" s="1264"/>
      <c r="D271" s="1118"/>
      <c r="E271" s="1264"/>
      <c r="F271" s="1118"/>
      <c r="G271" s="1118"/>
      <c r="H271" s="1118"/>
      <c r="I271" s="1118"/>
      <c r="J271" s="1118"/>
      <c r="K271" s="1118"/>
      <c r="L271" s="1118"/>
      <c r="M271" s="1118"/>
      <c r="N271" s="1118"/>
      <c r="O271" s="1118"/>
      <c r="P271" s="1118"/>
      <c r="Q271" s="1111"/>
      <c r="R271" s="1111"/>
      <c r="S271" s="1111"/>
      <c r="T271" s="1111"/>
      <c r="U271" s="1111"/>
      <c r="V271" s="1111"/>
      <c r="W271" s="1111"/>
      <c r="X271" s="1111"/>
      <c r="Y271" s="1111"/>
      <c r="Z271" s="1111"/>
      <c r="AA271" s="1111"/>
      <c r="AB271" s="1111"/>
      <c r="AC271" s="1111"/>
      <c r="AD271" s="1111"/>
      <c r="AE271" s="1111"/>
      <c r="AF271" s="1111"/>
      <c r="AG271" s="1111"/>
    </row>
    <row r="272" spans="1:33" s="1295" customFormat="1">
      <c r="A272" s="1264"/>
      <c r="D272" s="1118"/>
      <c r="E272" s="1264"/>
      <c r="F272" s="1118"/>
      <c r="G272" s="1118"/>
      <c r="H272" s="1118"/>
      <c r="I272" s="1118"/>
      <c r="J272" s="1118"/>
      <c r="K272" s="1118"/>
      <c r="L272" s="1118"/>
      <c r="M272" s="1118"/>
      <c r="N272" s="1118"/>
      <c r="O272" s="1118"/>
      <c r="P272" s="1118"/>
      <c r="Q272" s="1111"/>
      <c r="R272" s="1111"/>
      <c r="S272" s="1111"/>
      <c r="T272" s="1111"/>
      <c r="U272" s="1111"/>
      <c r="V272" s="1111"/>
      <c r="W272" s="1111"/>
      <c r="X272" s="1111"/>
      <c r="Y272" s="1111"/>
      <c r="Z272" s="1111"/>
      <c r="AA272" s="1111"/>
      <c r="AB272" s="1111"/>
      <c r="AC272" s="1111"/>
      <c r="AD272" s="1111"/>
      <c r="AE272" s="1111"/>
      <c r="AF272" s="1111"/>
      <c r="AG272" s="1111"/>
    </row>
    <row r="273" spans="1:33" s="1295" customFormat="1">
      <c r="A273" s="1264"/>
      <c r="D273" s="1118"/>
      <c r="E273" s="1264"/>
      <c r="F273" s="1118"/>
      <c r="G273" s="1118"/>
      <c r="H273" s="1118"/>
      <c r="I273" s="1118"/>
      <c r="J273" s="1118"/>
      <c r="K273" s="1118"/>
      <c r="L273" s="1118"/>
      <c r="M273" s="1118"/>
      <c r="N273" s="1118"/>
      <c r="O273" s="1118"/>
      <c r="P273" s="1118"/>
      <c r="Q273" s="1111"/>
      <c r="R273" s="1111"/>
      <c r="S273" s="1111"/>
      <c r="T273" s="1111"/>
      <c r="U273" s="1111"/>
      <c r="V273" s="1111"/>
      <c r="W273" s="1111"/>
      <c r="X273" s="1111"/>
      <c r="Y273" s="1111"/>
      <c r="Z273" s="1111"/>
      <c r="AA273" s="1111"/>
      <c r="AB273" s="1111"/>
      <c r="AC273" s="1111"/>
      <c r="AD273" s="1111"/>
      <c r="AE273" s="1111"/>
      <c r="AF273" s="1111"/>
      <c r="AG273" s="1111"/>
    </row>
    <row r="274" spans="1:33" s="1295" customFormat="1">
      <c r="A274" s="1264"/>
      <c r="D274" s="1118"/>
      <c r="E274" s="1264"/>
      <c r="F274" s="1118"/>
      <c r="G274" s="1118"/>
      <c r="H274" s="1118"/>
      <c r="I274" s="1118"/>
      <c r="J274" s="1118"/>
      <c r="K274" s="1118"/>
      <c r="L274" s="1118"/>
      <c r="M274" s="1118"/>
      <c r="N274" s="1118"/>
      <c r="O274" s="1118"/>
      <c r="P274" s="1118"/>
      <c r="Q274" s="1111"/>
      <c r="R274" s="1111"/>
      <c r="S274" s="1111"/>
      <c r="T274" s="1111"/>
      <c r="U274" s="1111"/>
      <c r="V274" s="1111"/>
      <c r="W274" s="1111"/>
      <c r="X274" s="1111"/>
      <c r="Y274" s="1111"/>
      <c r="Z274" s="1111"/>
      <c r="AA274" s="1111"/>
      <c r="AB274" s="1111"/>
      <c r="AC274" s="1111"/>
      <c r="AD274" s="1111"/>
      <c r="AE274" s="1111"/>
      <c r="AF274" s="1111"/>
      <c r="AG274" s="1111"/>
    </row>
    <row r="275" spans="1:33" s="1295" customFormat="1">
      <c r="A275" s="1264"/>
      <c r="D275" s="1118"/>
      <c r="E275" s="1264"/>
      <c r="F275" s="1118"/>
      <c r="G275" s="1118"/>
      <c r="H275" s="1118"/>
      <c r="I275" s="1118"/>
      <c r="J275" s="1118"/>
      <c r="K275" s="1118"/>
      <c r="L275" s="1118"/>
      <c r="M275" s="1118"/>
      <c r="N275" s="1118"/>
      <c r="O275" s="1118"/>
      <c r="P275" s="1118"/>
      <c r="Q275" s="1111"/>
      <c r="R275" s="1111"/>
      <c r="S275" s="1111"/>
      <c r="T275" s="1111"/>
      <c r="U275" s="1111"/>
      <c r="V275" s="1111"/>
      <c r="W275" s="1111"/>
      <c r="X275" s="1111"/>
      <c r="Y275" s="1111"/>
      <c r="Z275" s="1111"/>
      <c r="AA275" s="1111"/>
      <c r="AB275" s="1111"/>
      <c r="AC275" s="1111"/>
      <c r="AD275" s="1111"/>
      <c r="AE275" s="1111"/>
      <c r="AF275" s="1111"/>
      <c r="AG275" s="1111"/>
    </row>
    <row r="276" spans="1:33" s="1295" customFormat="1">
      <c r="A276" s="1264"/>
      <c r="D276" s="1118"/>
      <c r="E276" s="1264"/>
      <c r="F276" s="1118"/>
      <c r="G276" s="1118"/>
      <c r="H276" s="1118"/>
      <c r="I276" s="1118"/>
      <c r="J276" s="1118"/>
      <c r="K276" s="1118"/>
      <c r="L276" s="1118"/>
      <c r="M276" s="1118"/>
      <c r="N276" s="1118"/>
      <c r="O276" s="1118"/>
      <c r="P276" s="1118"/>
      <c r="Q276" s="1111"/>
      <c r="R276" s="1111"/>
      <c r="S276" s="1111"/>
      <c r="T276" s="1111"/>
      <c r="U276" s="1111"/>
      <c r="V276" s="1111"/>
      <c r="W276" s="1111"/>
      <c r="X276" s="1111"/>
      <c r="Y276" s="1111"/>
      <c r="Z276" s="1111"/>
      <c r="AA276" s="1111"/>
      <c r="AB276" s="1111"/>
      <c r="AC276" s="1111"/>
      <c r="AD276" s="1111"/>
      <c r="AE276" s="1111"/>
      <c r="AF276" s="1111"/>
      <c r="AG276" s="1111"/>
    </row>
    <row r="277" spans="1:33" s="1295" customFormat="1">
      <c r="A277" s="1264"/>
      <c r="D277" s="1118"/>
      <c r="E277" s="1264"/>
      <c r="F277" s="1118"/>
      <c r="G277" s="1118"/>
      <c r="H277" s="1118"/>
      <c r="I277" s="1118"/>
      <c r="J277" s="1118"/>
      <c r="K277" s="1118"/>
      <c r="L277" s="1118"/>
      <c r="M277" s="1118"/>
      <c r="N277" s="1118"/>
      <c r="O277" s="1118"/>
      <c r="P277" s="1118"/>
      <c r="Q277" s="1111"/>
      <c r="R277" s="1111"/>
      <c r="S277" s="1111"/>
      <c r="T277" s="1111"/>
      <c r="U277" s="1111"/>
      <c r="V277" s="1111"/>
      <c r="W277" s="1111"/>
      <c r="X277" s="1111"/>
      <c r="Y277" s="1111"/>
      <c r="Z277" s="1111"/>
      <c r="AA277" s="1111"/>
      <c r="AB277" s="1111"/>
      <c r="AC277" s="1111"/>
      <c r="AD277" s="1111"/>
      <c r="AE277" s="1111"/>
      <c r="AF277" s="1111"/>
      <c r="AG277" s="1111"/>
    </row>
    <row r="278" spans="1:33" s="1295" customFormat="1">
      <c r="A278" s="1264"/>
      <c r="D278" s="1118"/>
      <c r="E278" s="1264"/>
      <c r="F278" s="1118"/>
      <c r="G278" s="1118"/>
      <c r="H278" s="1118"/>
      <c r="I278" s="1118"/>
      <c r="J278" s="1118"/>
      <c r="K278" s="1118"/>
      <c r="L278" s="1118"/>
      <c r="M278" s="1118"/>
      <c r="N278" s="1118"/>
      <c r="O278" s="1118"/>
      <c r="P278" s="1118"/>
      <c r="Q278" s="1111"/>
      <c r="R278" s="1111"/>
      <c r="S278" s="1111"/>
      <c r="T278" s="1111"/>
      <c r="U278" s="1111"/>
      <c r="V278" s="1111"/>
      <c r="W278" s="1111"/>
      <c r="X278" s="1111"/>
      <c r="Y278" s="1111"/>
      <c r="Z278" s="1111"/>
      <c r="AA278" s="1111"/>
      <c r="AB278" s="1111"/>
      <c r="AC278" s="1111"/>
      <c r="AD278" s="1111"/>
      <c r="AE278" s="1111"/>
      <c r="AF278" s="1111"/>
      <c r="AG278" s="1111"/>
    </row>
    <row r="279" spans="1:33" s="1295" customFormat="1">
      <c r="A279" s="1264"/>
      <c r="D279" s="1118"/>
      <c r="E279" s="1264"/>
      <c r="F279" s="1118"/>
      <c r="G279" s="1118"/>
      <c r="H279" s="1118"/>
      <c r="I279" s="1118"/>
      <c r="J279" s="1118"/>
      <c r="K279" s="1118"/>
      <c r="L279" s="1118"/>
      <c r="M279" s="1118"/>
      <c r="N279" s="1118"/>
      <c r="O279" s="1118"/>
      <c r="P279" s="1118"/>
      <c r="Q279" s="1111"/>
      <c r="R279" s="1111"/>
      <c r="S279" s="1111"/>
      <c r="T279" s="1111"/>
      <c r="U279" s="1111"/>
      <c r="V279" s="1111"/>
      <c r="W279" s="1111"/>
      <c r="X279" s="1111"/>
      <c r="Y279" s="1111"/>
      <c r="Z279" s="1111"/>
      <c r="AA279" s="1111"/>
      <c r="AB279" s="1111"/>
      <c r="AC279" s="1111"/>
      <c r="AD279" s="1111"/>
      <c r="AE279" s="1111"/>
      <c r="AF279" s="1111"/>
      <c r="AG279" s="1111"/>
    </row>
    <row r="280" spans="1:33" s="1295" customFormat="1">
      <c r="A280" s="1264"/>
      <c r="D280" s="1118"/>
      <c r="E280" s="1264"/>
      <c r="F280" s="1118"/>
      <c r="G280" s="1118"/>
      <c r="H280" s="1118"/>
      <c r="I280" s="1118"/>
      <c r="J280" s="1118"/>
      <c r="K280" s="1118"/>
      <c r="L280" s="1118"/>
      <c r="M280" s="1118"/>
      <c r="N280" s="1118"/>
      <c r="O280" s="1118"/>
      <c r="P280" s="1118"/>
      <c r="Q280" s="1111"/>
      <c r="R280" s="1111"/>
      <c r="S280" s="1111"/>
      <c r="T280" s="1111"/>
      <c r="U280" s="1111"/>
      <c r="V280" s="1111"/>
      <c r="W280" s="1111"/>
      <c r="X280" s="1111"/>
      <c r="Y280" s="1111"/>
      <c r="Z280" s="1111"/>
      <c r="AA280" s="1111"/>
      <c r="AB280" s="1111"/>
      <c r="AC280" s="1111"/>
      <c r="AD280" s="1111"/>
      <c r="AE280" s="1111"/>
      <c r="AF280" s="1111"/>
      <c r="AG280" s="1111"/>
    </row>
    <row r="281" spans="1:33" s="1295" customFormat="1">
      <c r="A281" s="1264"/>
      <c r="D281" s="1118"/>
      <c r="E281" s="1264"/>
      <c r="F281" s="1118"/>
      <c r="G281" s="1118"/>
      <c r="H281" s="1118"/>
      <c r="I281" s="1118"/>
      <c r="J281" s="1118"/>
      <c r="K281" s="1118"/>
      <c r="L281" s="1118"/>
      <c r="M281" s="1118"/>
      <c r="N281" s="1118"/>
      <c r="O281" s="1118"/>
      <c r="P281" s="1118"/>
      <c r="Q281" s="1111"/>
      <c r="R281" s="1111"/>
      <c r="S281" s="1111"/>
      <c r="T281" s="1111"/>
      <c r="U281" s="1111"/>
      <c r="V281" s="1111"/>
      <c r="W281" s="1111"/>
      <c r="X281" s="1111"/>
      <c r="Y281" s="1111"/>
      <c r="Z281" s="1111"/>
      <c r="AA281" s="1111"/>
      <c r="AB281" s="1111"/>
      <c r="AC281" s="1111"/>
      <c r="AD281" s="1111"/>
      <c r="AE281" s="1111"/>
      <c r="AF281" s="1111"/>
      <c r="AG281" s="1111"/>
    </row>
    <row r="282" spans="1:33" s="1295" customFormat="1">
      <c r="A282" s="1264"/>
      <c r="D282" s="1118"/>
      <c r="E282" s="1264"/>
      <c r="F282" s="1118"/>
      <c r="G282" s="1118"/>
      <c r="H282" s="1118"/>
      <c r="I282" s="1118"/>
      <c r="J282" s="1118"/>
      <c r="K282" s="1118"/>
      <c r="L282" s="1118"/>
      <c r="M282" s="1118"/>
      <c r="N282" s="1118"/>
      <c r="O282" s="1118"/>
      <c r="P282" s="1118"/>
      <c r="Q282" s="1111"/>
      <c r="R282" s="1111"/>
      <c r="S282" s="1111"/>
      <c r="T282" s="1111"/>
      <c r="U282" s="1111"/>
      <c r="V282" s="1111"/>
      <c r="W282" s="1111"/>
      <c r="X282" s="1111"/>
      <c r="Y282" s="1111"/>
      <c r="Z282" s="1111"/>
      <c r="AA282" s="1111"/>
      <c r="AB282" s="1111"/>
      <c r="AC282" s="1111"/>
      <c r="AD282" s="1111"/>
      <c r="AE282" s="1111"/>
      <c r="AF282" s="1111"/>
      <c r="AG282" s="1111"/>
    </row>
    <row r="283" spans="1:33" s="1295" customFormat="1">
      <c r="A283" s="1264"/>
      <c r="D283" s="1118"/>
      <c r="E283" s="1264"/>
      <c r="F283" s="1118"/>
      <c r="G283" s="1118"/>
      <c r="H283" s="1118"/>
      <c r="I283" s="1118"/>
      <c r="J283" s="1118"/>
      <c r="K283" s="1118"/>
      <c r="L283" s="1118"/>
      <c r="M283" s="1118"/>
      <c r="N283" s="1118"/>
      <c r="O283" s="1118"/>
      <c r="P283" s="1118"/>
      <c r="Q283" s="1111"/>
      <c r="R283" s="1111"/>
      <c r="S283" s="1111"/>
      <c r="T283" s="1111"/>
      <c r="U283" s="1111"/>
      <c r="V283" s="1111"/>
      <c r="W283" s="1111"/>
      <c r="X283" s="1111"/>
      <c r="Y283" s="1111"/>
      <c r="Z283" s="1111"/>
      <c r="AA283" s="1111"/>
      <c r="AB283" s="1111"/>
      <c r="AC283" s="1111"/>
      <c r="AD283" s="1111"/>
      <c r="AE283" s="1111"/>
      <c r="AF283" s="1111"/>
      <c r="AG283" s="1111"/>
    </row>
    <row r="284" spans="1:33" s="1295" customFormat="1">
      <c r="A284" s="1264"/>
      <c r="D284" s="1118"/>
      <c r="E284" s="1264"/>
      <c r="F284" s="1118"/>
      <c r="G284" s="1118"/>
      <c r="H284" s="1118"/>
      <c r="I284" s="1118"/>
      <c r="J284" s="1118"/>
      <c r="K284" s="1118"/>
      <c r="L284" s="1118"/>
      <c r="M284" s="1118"/>
      <c r="N284" s="1118"/>
      <c r="O284" s="1118"/>
      <c r="P284" s="1118"/>
      <c r="Q284" s="1111"/>
      <c r="R284" s="1111"/>
      <c r="S284" s="1111"/>
      <c r="T284" s="1111"/>
      <c r="U284" s="1111"/>
      <c r="V284" s="1111"/>
      <c r="W284" s="1111"/>
      <c r="X284" s="1111"/>
      <c r="Y284" s="1111"/>
      <c r="Z284" s="1111"/>
      <c r="AA284" s="1111"/>
      <c r="AB284" s="1111"/>
      <c r="AC284" s="1111"/>
      <c r="AD284" s="1111"/>
      <c r="AE284" s="1111"/>
      <c r="AF284" s="1111"/>
      <c r="AG284" s="1111"/>
    </row>
    <row r="285" spans="1:33" s="1295" customFormat="1">
      <c r="A285" s="1264"/>
      <c r="D285" s="1118"/>
      <c r="E285" s="1264"/>
      <c r="F285" s="1118"/>
      <c r="G285" s="1118"/>
      <c r="H285" s="1118"/>
      <c r="I285" s="1118"/>
      <c r="J285" s="1118"/>
      <c r="K285" s="1118"/>
      <c r="L285" s="1118"/>
      <c r="M285" s="1118"/>
      <c r="N285" s="1118"/>
      <c r="O285" s="1118"/>
      <c r="P285" s="1118"/>
      <c r="Q285" s="1111"/>
      <c r="R285" s="1111"/>
      <c r="S285" s="1111"/>
      <c r="T285" s="1111"/>
      <c r="U285" s="1111"/>
      <c r="V285" s="1111"/>
      <c r="W285" s="1111"/>
      <c r="X285" s="1111"/>
      <c r="Y285" s="1111"/>
      <c r="Z285" s="1111"/>
      <c r="AA285" s="1111"/>
      <c r="AB285" s="1111"/>
      <c r="AC285" s="1111"/>
      <c r="AD285" s="1111"/>
      <c r="AE285" s="1111"/>
      <c r="AF285" s="1111"/>
      <c r="AG285" s="1111"/>
    </row>
    <row r="286" spans="1:33" s="1295" customFormat="1">
      <c r="A286" s="1264"/>
      <c r="D286" s="1118"/>
      <c r="E286" s="1264"/>
      <c r="F286" s="1118"/>
      <c r="G286" s="1118"/>
      <c r="H286" s="1118"/>
      <c r="I286" s="1118"/>
      <c r="J286" s="1118"/>
      <c r="K286" s="1118"/>
      <c r="L286" s="1118"/>
      <c r="M286" s="1118"/>
      <c r="N286" s="1118"/>
      <c r="O286" s="1118"/>
      <c r="P286" s="1118"/>
      <c r="Q286" s="1111"/>
      <c r="R286" s="1111"/>
      <c r="S286" s="1111"/>
      <c r="T286" s="1111"/>
      <c r="U286" s="1111"/>
      <c r="V286" s="1111"/>
      <c r="W286" s="1111"/>
      <c r="X286" s="1111"/>
      <c r="Y286" s="1111"/>
      <c r="Z286" s="1111"/>
      <c r="AA286" s="1111"/>
      <c r="AB286" s="1111"/>
      <c r="AC286" s="1111"/>
      <c r="AD286" s="1111"/>
      <c r="AE286" s="1111"/>
      <c r="AF286" s="1111"/>
      <c r="AG286" s="1111"/>
    </row>
    <row r="287" spans="1:33" s="1295" customFormat="1">
      <c r="A287" s="1264"/>
      <c r="D287" s="1118"/>
      <c r="E287" s="1264"/>
      <c r="F287" s="1118"/>
      <c r="G287" s="1118"/>
      <c r="H287" s="1118"/>
      <c r="I287" s="1118"/>
      <c r="J287" s="1118"/>
      <c r="K287" s="1118"/>
      <c r="L287" s="1118"/>
      <c r="M287" s="1118"/>
      <c r="N287" s="1118"/>
      <c r="O287" s="1118"/>
      <c r="P287" s="1118"/>
      <c r="Q287" s="1111"/>
      <c r="R287" s="1111"/>
      <c r="S287" s="1111"/>
      <c r="T287" s="1111"/>
      <c r="U287" s="1111"/>
      <c r="V287" s="1111"/>
      <c r="W287" s="1111"/>
      <c r="X287" s="1111"/>
      <c r="Y287" s="1111"/>
      <c r="Z287" s="1111"/>
      <c r="AA287" s="1111"/>
      <c r="AB287" s="1111"/>
      <c r="AC287" s="1111"/>
      <c r="AD287" s="1111"/>
      <c r="AE287" s="1111"/>
      <c r="AF287" s="1111"/>
      <c r="AG287" s="1111"/>
    </row>
    <row r="288" spans="1:33" s="1295" customFormat="1">
      <c r="A288" s="1264"/>
      <c r="D288" s="1118"/>
      <c r="E288" s="1264"/>
      <c r="F288" s="1118"/>
      <c r="G288" s="1118"/>
      <c r="H288" s="1118"/>
      <c r="I288" s="1118"/>
      <c r="J288" s="1118"/>
      <c r="K288" s="1118"/>
      <c r="L288" s="1118"/>
      <c r="M288" s="1118"/>
      <c r="N288" s="1118"/>
      <c r="O288" s="1118"/>
      <c r="P288" s="1118"/>
      <c r="Q288" s="1111"/>
      <c r="R288" s="1111"/>
      <c r="S288" s="1111"/>
      <c r="T288" s="1111"/>
      <c r="U288" s="1111"/>
      <c r="V288" s="1111"/>
      <c r="W288" s="1111"/>
      <c r="X288" s="1111"/>
      <c r="Y288" s="1111"/>
      <c r="Z288" s="1111"/>
      <c r="AA288" s="1111"/>
      <c r="AB288" s="1111"/>
      <c r="AC288" s="1111"/>
      <c r="AD288" s="1111"/>
      <c r="AE288" s="1111"/>
      <c r="AF288" s="1111"/>
      <c r="AG288" s="1111"/>
    </row>
    <row r="289" spans="1:33" s="1295" customFormat="1">
      <c r="A289" s="1264"/>
      <c r="D289" s="1118"/>
      <c r="E289" s="1264"/>
      <c r="F289" s="1118"/>
      <c r="G289" s="1118"/>
      <c r="H289" s="1118"/>
      <c r="I289" s="1118"/>
      <c r="J289" s="1118"/>
      <c r="K289" s="1118"/>
      <c r="L289" s="1118"/>
      <c r="M289" s="1118"/>
      <c r="N289" s="1118"/>
      <c r="O289" s="1118"/>
      <c r="P289" s="1118"/>
      <c r="Q289" s="1111"/>
      <c r="R289" s="1111"/>
      <c r="S289" s="1111"/>
      <c r="T289" s="1111"/>
      <c r="U289" s="1111"/>
      <c r="V289" s="1111"/>
      <c r="W289" s="1111"/>
      <c r="X289" s="1111"/>
      <c r="Y289" s="1111"/>
      <c r="Z289" s="1111"/>
      <c r="AA289" s="1111"/>
      <c r="AB289" s="1111"/>
      <c r="AC289" s="1111"/>
      <c r="AD289" s="1111"/>
      <c r="AE289" s="1111"/>
      <c r="AF289" s="1111"/>
      <c r="AG289" s="1111"/>
    </row>
    <row r="290" spans="1:33" s="1295" customFormat="1">
      <c r="A290" s="1264"/>
      <c r="D290" s="1118"/>
      <c r="E290" s="1264"/>
      <c r="F290" s="1118"/>
      <c r="G290" s="1118"/>
      <c r="H290" s="1118"/>
      <c r="I290" s="1118"/>
      <c r="J290" s="1118"/>
      <c r="K290" s="1118"/>
      <c r="L290" s="1118"/>
      <c r="M290" s="1118"/>
      <c r="N290" s="1118"/>
      <c r="O290" s="1118"/>
      <c r="P290" s="1118"/>
      <c r="Q290" s="1111"/>
      <c r="R290" s="1111"/>
      <c r="S290" s="1111"/>
      <c r="T290" s="1111"/>
      <c r="U290" s="1111"/>
      <c r="V290" s="1111"/>
      <c r="W290" s="1111"/>
      <c r="X290" s="1111"/>
      <c r="Y290" s="1111"/>
      <c r="Z290" s="1111"/>
      <c r="AA290" s="1111"/>
      <c r="AB290" s="1111"/>
      <c r="AC290" s="1111"/>
      <c r="AD290" s="1111"/>
      <c r="AE290" s="1111"/>
      <c r="AF290" s="1111"/>
      <c r="AG290" s="1111"/>
    </row>
    <row r="291" spans="1:33" s="1295" customFormat="1">
      <c r="A291" s="1264"/>
      <c r="D291" s="1118"/>
      <c r="E291" s="1264"/>
      <c r="F291" s="1118"/>
      <c r="G291" s="1118"/>
      <c r="H291" s="1118"/>
      <c r="I291" s="1118"/>
      <c r="J291" s="1118"/>
      <c r="K291" s="1118"/>
      <c r="L291" s="1118"/>
      <c r="M291" s="1118"/>
      <c r="N291" s="1118"/>
      <c r="O291" s="1118"/>
      <c r="P291" s="1118"/>
      <c r="Q291" s="1111"/>
      <c r="R291" s="1111"/>
      <c r="S291" s="1111"/>
      <c r="T291" s="1111"/>
      <c r="U291" s="1111"/>
      <c r="V291" s="1111"/>
      <c r="W291" s="1111"/>
      <c r="X291" s="1111"/>
      <c r="Y291" s="1111"/>
      <c r="Z291" s="1111"/>
      <c r="AA291" s="1111"/>
      <c r="AB291" s="1111"/>
      <c r="AC291" s="1111"/>
      <c r="AD291" s="1111"/>
      <c r="AE291" s="1111"/>
      <c r="AF291" s="1111"/>
      <c r="AG291" s="1111"/>
    </row>
    <row r="292" spans="1:33" s="1295" customFormat="1">
      <c r="A292" s="1264"/>
      <c r="D292" s="1118"/>
      <c r="E292" s="1264"/>
      <c r="F292" s="1118"/>
      <c r="G292" s="1118"/>
      <c r="H292" s="1118"/>
      <c r="I292" s="1118"/>
      <c r="J292" s="1118"/>
      <c r="K292" s="1118"/>
      <c r="L292" s="1118"/>
      <c r="M292" s="1118"/>
      <c r="N292" s="1118"/>
      <c r="O292" s="1118"/>
      <c r="P292" s="1118"/>
      <c r="Q292" s="1111"/>
      <c r="R292" s="1111"/>
      <c r="S292" s="1111"/>
      <c r="T292" s="1111"/>
      <c r="U292" s="1111"/>
      <c r="V292" s="1111"/>
      <c r="W292" s="1111"/>
      <c r="X292" s="1111"/>
      <c r="Y292" s="1111"/>
      <c r="Z292" s="1111"/>
      <c r="AA292" s="1111"/>
      <c r="AB292" s="1111"/>
      <c r="AC292" s="1111"/>
      <c r="AD292" s="1111"/>
      <c r="AE292" s="1111"/>
      <c r="AF292" s="1111"/>
      <c r="AG292" s="1111"/>
    </row>
    <row r="293" spans="1:33" s="1295" customFormat="1">
      <c r="A293" s="1264"/>
      <c r="D293" s="1118"/>
      <c r="E293" s="1264"/>
      <c r="F293" s="1118"/>
      <c r="G293" s="1118"/>
      <c r="H293" s="1118"/>
      <c r="I293" s="1118"/>
      <c r="J293" s="1118"/>
      <c r="K293" s="1118"/>
      <c r="L293" s="1118"/>
      <c r="M293" s="1118"/>
      <c r="N293" s="1118"/>
      <c r="O293" s="1118"/>
      <c r="P293" s="1118"/>
      <c r="Q293" s="1111"/>
      <c r="R293" s="1111"/>
      <c r="S293" s="1111"/>
      <c r="T293" s="1111"/>
      <c r="U293" s="1111"/>
      <c r="V293" s="1111"/>
      <c r="W293" s="1111"/>
      <c r="X293" s="1111"/>
      <c r="Y293" s="1111"/>
      <c r="Z293" s="1111"/>
      <c r="AA293" s="1111"/>
      <c r="AB293" s="1111"/>
      <c r="AC293" s="1111"/>
      <c r="AD293" s="1111"/>
      <c r="AE293" s="1111"/>
      <c r="AF293" s="1111"/>
      <c r="AG293" s="1111"/>
    </row>
    <row r="294" spans="1:33" s="1295" customFormat="1">
      <c r="A294" s="1264"/>
      <c r="D294" s="1118"/>
      <c r="E294" s="1264"/>
      <c r="F294" s="1118"/>
      <c r="G294" s="1118"/>
      <c r="H294" s="1118"/>
      <c r="I294" s="1118"/>
      <c r="J294" s="1118"/>
      <c r="K294" s="1118"/>
      <c r="L294" s="1118"/>
      <c r="M294" s="1118"/>
      <c r="N294" s="1118"/>
      <c r="O294" s="1118"/>
      <c r="P294" s="1118"/>
      <c r="Q294" s="1111"/>
      <c r="R294" s="1111"/>
      <c r="S294" s="1111"/>
      <c r="T294" s="1111"/>
      <c r="U294" s="1111"/>
      <c r="V294" s="1111"/>
      <c r="W294" s="1111"/>
      <c r="X294" s="1111"/>
      <c r="Y294" s="1111"/>
      <c r="Z294" s="1111"/>
      <c r="AA294" s="1111"/>
      <c r="AB294" s="1111"/>
      <c r="AC294" s="1111"/>
      <c r="AD294" s="1111"/>
      <c r="AE294" s="1111"/>
      <c r="AF294" s="1111"/>
      <c r="AG294" s="1111"/>
    </row>
    <row r="295" spans="1:33" s="1295" customFormat="1">
      <c r="A295" s="1264"/>
      <c r="D295" s="1118"/>
      <c r="E295" s="1264"/>
      <c r="F295" s="1118"/>
      <c r="G295" s="1118"/>
      <c r="H295" s="1118"/>
      <c r="I295" s="1118"/>
      <c r="J295" s="1118"/>
      <c r="K295" s="1118"/>
      <c r="L295" s="1118"/>
      <c r="M295" s="1118"/>
      <c r="N295" s="1118"/>
      <c r="O295" s="1118"/>
      <c r="P295" s="1118"/>
      <c r="Q295" s="1111"/>
      <c r="R295" s="1111"/>
      <c r="S295" s="1111"/>
      <c r="T295" s="1111"/>
      <c r="U295" s="1111"/>
      <c r="V295" s="1111"/>
      <c r="W295" s="1111"/>
      <c r="X295" s="1111"/>
      <c r="Y295" s="1111"/>
      <c r="Z295" s="1111"/>
      <c r="AA295" s="1111"/>
      <c r="AB295" s="1111"/>
      <c r="AC295" s="1111"/>
      <c r="AD295" s="1111"/>
      <c r="AE295" s="1111"/>
      <c r="AF295" s="1111"/>
      <c r="AG295" s="1111"/>
    </row>
    <row r="296" spans="1:33" s="1295" customFormat="1">
      <c r="A296" s="1264"/>
      <c r="D296" s="1118"/>
      <c r="E296" s="1264"/>
      <c r="F296" s="1118"/>
      <c r="G296" s="1118"/>
      <c r="H296" s="1118"/>
      <c r="I296" s="1118"/>
      <c r="J296" s="1118"/>
      <c r="K296" s="1118"/>
      <c r="L296" s="1118"/>
      <c r="M296" s="1118"/>
      <c r="N296" s="1118"/>
      <c r="O296" s="1118"/>
      <c r="P296" s="1118"/>
      <c r="Q296" s="1111"/>
      <c r="R296" s="1111"/>
      <c r="S296" s="1111"/>
      <c r="T296" s="1111"/>
      <c r="U296" s="1111"/>
      <c r="V296" s="1111"/>
      <c r="W296" s="1111"/>
      <c r="X296" s="1111"/>
      <c r="Y296" s="1111"/>
      <c r="Z296" s="1111"/>
      <c r="AA296" s="1111"/>
      <c r="AB296" s="1111"/>
      <c r="AC296" s="1111"/>
      <c r="AD296" s="1111"/>
      <c r="AE296" s="1111"/>
      <c r="AF296" s="1111"/>
      <c r="AG296" s="1111"/>
    </row>
    <row r="297" spans="1:33" s="1295" customFormat="1">
      <c r="A297" s="1264"/>
      <c r="D297" s="1118"/>
      <c r="E297" s="1264"/>
      <c r="F297" s="1118"/>
      <c r="G297" s="1118"/>
      <c r="H297" s="1118"/>
      <c r="I297" s="1118"/>
      <c r="J297" s="1118"/>
      <c r="K297" s="1118"/>
      <c r="L297" s="1118"/>
      <c r="M297" s="1118"/>
      <c r="N297" s="1118"/>
      <c r="O297" s="1118"/>
      <c r="P297" s="1118"/>
      <c r="Q297" s="1111"/>
      <c r="R297" s="1111"/>
      <c r="S297" s="1111"/>
      <c r="T297" s="1111"/>
      <c r="U297" s="1111"/>
      <c r="V297" s="1111"/>
      <c r="W297" s="1111"/>
      <c r="X297" s="1111"/>
      <c r="Y297" s="1111"/>
      <c r="Z297" s="1111"/>
      <c r="AA297" s="1111"/>
      <c r="AB297" s="1111"/>
      <c r="AC297" s="1111"/>
      <c r="AD297" s="1111"/>
      <c r="AE297" s="1111"/>
      <c r="AF297" s="1111"/>
      <c r="AG297" s="1111"/>
    </row>
    <row r="298" spans="1:33" s="1295" customFormat="1">
      <c r="A298" s="1264"/>
      <c r="D298" s="1118"/>
      <c r="E298" s="1264"/>
      <c r="F298" s="1118"/>
      <c r="G298" s="1118"/>
      <c r="H298" s="1118"/>
      <c r="I298" s="1118"/>
      <c r="J298" s="1118"/>
      <c r="K298" s="1118"/>
      <c r="L298" s="1118"/>
      <c r="M298" s="1118"/>
      <c r="N298" s="1118"/>
      <c r="O298" s="1118"/>
      <c r="P298" s="1118"/>
      <c r="Q298" s="1111"/>
      <c r="R298" s="1111"/>
      <c r="S298" s="1111"/>
      <c r="T298" s="1111"/>
      <c r="U298" s="1111"/>
      <c r="V298" s="1111"/>
      <c r="W298" s="1111"/>
      <c r="X298" s="1111"/>
      <c r="Y298" s="1111"/>
      <c r="Z298" s="1111"/>
      <c r="AA298" s="1111"/>
      <c r="AB298" s="1111"/>
      <c r="AC298" s="1111"/>
      <c r="AD298" s="1111"/>
      <c r="AE298" s="1111"/>
      <c r="AF298" s="1111"/>
      <c r="AG298" s="1111"/>
    </row>
    <row r="299" spans="1:33" s="1295" customFormat="1">
      <c r="A299" s="1264"/>
      <c r="D299" s="1118"/>
      <c r="E299" s="1264"/>
      <c r="F299" s="1118"/>
      <c r="G299" s="1118"/>
      <c r="H299" s="1118"/>
      <c r="I299" s="1118"/>
      <c r="J299" s="1118"/>
      <c r="K299" s="1118"/>
      <c r="L299" s="1118"/>
      <c r="M299" s="1118"/>
      <c r="N299" s="1118"/>
      <c r="O299" s="1118"/>
      <c r="P299" s="1118"/>
      <c r="Q299" s="1111"/>
      <c r="R299" s="1111"/>
      <c r="S299" s="1111"/>
      <c r="T299" s="1111"/>
      <c r="U299" s="1111"/>
      <c r="V299" s="1111"/>
      <c r="W299" s="1111"/>
      <c r="X299" s="1111"/>
      <c r="Y299" s="1111"/>
      <c r="Z299" s="1111"/>
      <c r="AA299" s="1111"/>
      <c r="AB299" s="1111"/>
      <c r="AC299" s="1111"/>
      <c r="AD299" s="1111"/>
      <c r="AE299" s="1111"/>
      <c r="AF299" s="1111"/>
      <c r="AG299" s="1111"/>
    </row>
    <row r="300" spans="1:33" s="1295" customFormat="1">
      <c r="A300" s="1264"/>
      <c r="D300" s="1118"/>
      <c r="E300" s="1264"/>
      <c r="F300" s="1118"/>
      <c r="G300" s="1118"/>
      <c r="H300" s="1118"/>
      <c r="I300" s="1118"/>
      <c r="J300" s="1118"/>
      <c r="K300" s="1118"/>
      <c r="L300" s="1118"/>
      <c r="M300" s="1118"/>
      <c r="N300" s="1118"/>
      <c r="O300" s="1118"/>
      <c r="P300" s="1118"/>
      <c r="Q300" s="1111"/>
      <c r="R300" s="1111"/>
      <c r="S300" s="1111"/>
      <c r="T300" s="1111"/>
      <c r="U300" s="1111"/>
      <c r="V300" s="1111"/>
      <c r="W300" s="1111"/>
      <c r="X300" s="1111"/>
      <c r="Y300" s="1111"/>
      <c r="Z300" s="1111"/>
      <c r="AA300" s="1111"/>
      <c r="AB300" s="1111"/>
      <c r="AC300" s="1111"/>
      <c r="AD300" s="1111"/>
      <c r="AE300" s="1111"/>
      <c r="AF300" s="1111"/>
      <c r="AG300" s="1111"/>
    </row>
    <row r="301" spans="1:33" s="1295" customFormat="1">
      <c r="A301" s="1264"/>
      <c r="D301" s="1118"/>
      <c r="E301" s="1264"/>
      <c r="F301" s="1118"/>
      <c r="G301" s="1118"/>
      <c r="H301" s="1118"/>
      <c r="I301" s="1118"/>
      <c r="J301" s="1118"/>
      <c r="K301" s="1118"/>
      <c r="L301" s="1118"/>
      <c r="M301" s="1118"/>
      <c r="N301" s="1118"/>
      <c r="O301" s="1118"/>
      <c r="P301" s="1118"/>
      <c r="Q301" s="1111"/>
      <c r="R301" s="1111"/>
      <c r="S301" s="1111"/>
      <c r="T301" s="1111"/>
      <c r="U301" s="1111"/>
      <c r="V301" s="1111"/>
      <c r="W301" s="1111"/>
      <c r="X301" s="1111"/>
      <c r="Y301" s="1111"/>
      <c r="Z301" s="1111"/>
      <c r="AA301" s="1111"/>
      <c r="AB301" s="1111"/>
      <c r="AC301" s="1111"/>
      <c r="AD301" s="1111"/>
      <c r="AE301" s="1111"/>
      <c r="AF301" s="1111"/>
      <c r="AG301" s="1111"/>
    </row>
    <row r="302" spans="1:33" s="1295" customFormat="1">
      <c r="A302" s="1264"/>
      <c r="D302" s="1118"/>
      <c r="E302" s="1264"/>
      <c r="F302" s="1118"/>
      <c r="G302" s="1118"/>
      <c r="H302" s="1118"/>
      <c r="I302" s="1118"/>
      <c r="J302" s="1118"/>
      <c r="K302" s="1118"/>
      <c r="L302" s="1118"/>
      <c r="M302" s="1118"/>
      <c r="N302" s="1118"/>
      <c r="O302" s="1118"/>
      <c r="P302" s="1118"/>
      <c r="Q302" s="1111"/>
      <c r="R302" s="1111"/>
      <c r="S302" s="1111"/>
      <c r="T302" s="1111"/>
      <c r="U302" s="1111"/>
      <c r="V302" s="1111"/>
      <c r="W302" s="1111"/>
      <c r="X302" s="1111"/>
      <c r="Y302" s="1111"/>
      <c r="Z302" s="1111"/>
      <c r="AA302" s="1111"/>
      <c r="AB302" s="1111"/>
      <c r="AC302" s="1111"/>
      <c r="AD302" s="1111"/>
      <c r="AE302" s="1111"/>
      <c r="AF302" s="1111"/>
      <c r="AG302" s="1111"/>
    </row>
    <row r="303" spans="1:33" s="1295" customFormat="1">
      <c r="A303" s="1264"/>
      <c r="D303" s="1118"/>
      <c r="E303" s="1264"/>
      <c r="F303" s="1118"/>
      <c r="G303" s="1118"/>
      <c r="H303" s="1118"/>
      <c r="I303" s="1118"/>
      <c r="J303" s="1118"/>
      <c r="K303" s="1118"/>
      <c r="L303" s="1118"/>
      <c r="M303" s="1118"/>
      <c r="N303" s="1118"/>
      <c r="O303" s="1118"/>
      <c r="P303" s="1118"/>
      <c r="Q303" s="1111"/>
      <c r="R303" s="1111"/>
      <c r="S303" s="1111"/>
      <c r="T303" s="1111"/>
      <c r="U303" s="1111"/>
      <c r="V303" s="1111"/>
      <c r="W303" s="1111"/>
      <c r="X303" s="1111"/>
      <c r="Y303" s="1111"/>
      <c r="Z303" s="1111"/>
      <c r="AA303" s="1111"/>
      <c r="AB303" s="1111"/>
      <c r="AC303" s="1111"/>
      <c r="AD303" s="1111"/>
      <c r="AE303" s="1111"/>
      <c r="AF303" s="1111"/>
      <c r="AG303" s="1111"/>
    </row>
    <row r="304" spans="1:33" s="1295" customFormat="1">
      <c r="A304" s="1264"/>
      <c r="D304" s="1118"/>
      <c r="E304" s="1264"/>
      <c r="F304" s="1118"/>
      <c r="G304" s="1118"/>
      <c r="H304" s="1118"/>
      <c r="I304" s="1118"/>
      <c r="J304" s="1118"/>
      <c r="K304" s="1118"/>
      <c r="L304" s="1118"/>
      <c r="M304" s="1118"/>
      <c r="N304" s="1118"/>
      <c r="O304" s="1118"/>
      <c r="P304" s="1118"/>
      <c r="Q304" s="1111"/>
      <c r="R304" s="1111"/>
      <c r="S304" s="1111"/>
      <c r="T304" s="1111"/>
      <c r="U304" s="1111"/>
      <c r="V304" s="1111"/>
      <c r="W304" s="1111"/>
      <c r="X304" s="1111"/>
      <c r="Y304" s="1111"/>
      <c r="Z304" s="1111"/>
      <c r="AA304" s="1111"/>
      <c r="AB304" s="1111"/>
      <c r="AC304" s="1111"/>
      <c r="AD304" s="1111"/>
      <c r="AE304" s="1111"/>
      <c r="AF304" s="1111"/>
      <c r="AG304" s="1111"/>
    </row>
    <row r="305" spans="1:33" s="1295" customFormat="1">
      <c r="A305" s="1264"/>
      <c r="D305" s="1118"/>
      <c r="E305" s="1264"/>
      <c r="F305" s="1118"/>
      <c r="G305" s="1118"/>
      <c r="H305" s="1118"/>
      <c r="I305" s="1118"/>
      <c r="J305" s="1118"/>
      <c r="K305" s="1118"/>
      <c r="L305" s="1118"/>
      <c r="M305" s="1118"/>
      <c r="N305" s="1118"/>
      <c r="O305" s="1118"/>
      <c r="P305" s="1118"/>
      <c r="Q305" s="1111"/>
      <c r="R305" s="1111"/>
      <c r="S305" s="1111"/>
      <c r="T305" s="1111"/>
      <c r="U305" s="1111"/>
      <c r="V305" s="1111"/>
      <c r="W305" s="1111"/>
      <c r="X305" s="1111"/>
      <c r="Y305" s="1111"/>
      <c r="Z305" s="1111"/>
      <c r="AA305" s="1111"/>
      <c r="AB305" s="1111"/>
      <c r="AC305" s="1111"/>
      <c r="AD305" s="1111"/>
      <c r="AE305" s="1111"/>
      <c r="AF305" s="1111"/>
      <c r="AG305" s="1111"/>
    </row>
    <row r="306" spans="1:33" s="1295" customFormat="1">
      <c r="A306" s="1264"/>
      <c r="D306" s="1118"/>
      <c r="E306" s="1264"/>
      <c r="F306" s="1118"/>
      <c r="G306" s="1118"/>
      <c r="H306" s="1118"/>
      <c r="I306" s="1118"/>
      <c r="J306" s="1118"/>
      <c r="K306" s="1118"/>
      <c r="L306" s="1118"/>
      <c r="M306" s="1118"/>
      <c r="N306" s="1118"/>
      <c r="O306" s="1118"/>
      <c r="P306" s="1118"/>
      <c r="Q306" s="1111"/>
      <c r="R306" s="1111"/>
      <c r="S306" s="1111"/>
      <c r="T306" s="1111"/>
      <c r="U306" s="1111"/>
      <c r="V306" s="1111"/>
      <c r="W306" s="1111"/>
      <c r="X306" s="1111"/>
      <c r="Y306" s="1111"/>
      <c r="Z306" s="1111"/>
      <c r="AA306" s="1111"/>
      <c r="AB306" s="1111"/>
      <c r="AC306" s="1111"/>
      <c r="AD306" s="1111"/>
      <c r="AE306" s="1111"/>
      <c r="AF306" s="1111"/>
      <c r="AG306" s="1111"/>
    </row>
    <row r="307" spans="1:33" s="1295" customFormat="1">
      <c r="A307" s="1264"/>
      <c r="D307" s="1118"/>
      <c r="E307" s="1264"/>
      <c r="F307" s="1118"/>
      <c r="G307" s="1118"/>
      <c r="H307" s="1118"/>
      <c r="I307" s="1118"/>
      <c r="J307" s="1118"/>
      <c r="K307" s="1118"/>
      <c r="L307" s="1118"/>
      <c r="M307" s="1118"/>
      <c r="N307" s="1118"/>
      <c r="O307" s="1118"/>
      <c r="P307" s="1118"/>
      <c r="Q307" s="1111"/>
      <c r="R307" s="1111"/>
      <c r="S307" s="1111"/>
      <c r="T307" s="1111"/>
      <c r="U307" s="1111"/>
      <c r="V307" s="1111"/>
      <c r="W307" s="1111"/>
      <c r="X307" s="1111"/>
      <c r="Y307" s="1111"/>
      <c r="Z307" s="1111"/>
      <c r="AA307" s="1111"/>
      <c r="AB307" s="1111"/>
      <c r="AC307" s="1111"/>
      <c r="AD307" s="1111"/>
      <c r="AE307" s="1111"/>
      <c r="AF307" s="1111"/>
      <c r="AG307" s="1111"/>
    </row>
    <row r="308" spans="1:33" s="1295" customFormat="1">
      <c r="A308" s="1264"/>
      <c r="D308" s="1118"/>
      <c r="E308" s="1264"/>
      <c r="F308" s="1118"/>
      <c r="G308" s="1118"/>
      <c r="H308" s="1118"/>
      <c r="I308" s="1118"/>
      <c r="J308" s="1118"/>
      <c r="K308" s="1118"/>
      <c r="L308" s="1118"/>
      <c r="M308" s="1118"/>
      <c r="N308" s="1118"/>
      <c r="O308" s="1118"/>
      <c r="P308" s="1118"/>
      <c r="Q308" s="1111"/>
      <c r="R308" s="1111"/>
      <c r="S308" s="1111"/>
      <c r="T308" s="1111"/>
      <c r="U308" s="1111"/>
      <c r="V308" s="1111"/>
      <c r="W308" s="1111"/>
      <c r="X308" s="1111"/>
      <c r="Y308" s="1111"/>
      <c r="Z308" s="1111"/>
      <c r="AA308" s="1111"/>
      <c r="AB308" s="1111"/>
      <c r="AC308" s="1111"/>
      <c r="AD308" s="1111"/>
      <c r="AE308" s="1111"/>
      <c r="AF308" s="1111"/>
      <c r="AG308" s="1111"/>
    </row>
    <row r="309" spans="1:33" s="1295" customFormat="1">
      <c r="A309" s="1264"/>
      <c r="D309" s="1118"/>
      <c r="E309" s="1264"/>
      <c r="F309" s="1118"/>
      <c r="G309" s="1118"/>
      <c r="H309" s="1118"/>
      <c r="I309" s="1118"/>
      <c r="J309" s="1118"/>
      <c r="K309" s="1118"/>
      <c r="L309" s="1118"/>
      <c r="M309" s="1118"/>
      <c r="N309" s="1118"/>
      <c r="O309" s="1118"/>
      <c r="P309" s="1118"/>
      <c r="Q309" s="1111"/>
      <c r="R309" s="1111"/>
      <c r="S309" s="1111"/>
      <c r="T309" s="1111"/>
      <c r="U309" s="1111"/>
      <c r="V309" s="1111"/>
      <c r="W309" s="1111"/>
      <c r="X309" s="1111"/>
      <c r="Y309" s="1111"/>
      <c r="Z309" s="1111"/>
      <c r="AA309" s="1111"/>
      <c r="AB309" s="1111"/>
      <c r="AC309" s="1111"/>
      <c r="AD309" s="1111"/>
      <c r="AE309" s="1111"/>
      <c r="AF309" s="1111"/>
      <c r="AG309" s="1111"/>
    </row>
    <row r="310" spans="1:33" s="1295" customFormat="1">
      <c r="A310" s="1264"/>
      <c r="D310" s="1118"/>
      <c r="E310" s="1264"/>
      <c r="F310" s="1118"/>
      <c r="G310" s="1118"/>
      <c r="H310" s="1118"/>
      <c r="I310" s="1118"/>
      <c r="J310" s="1118"/>
      <c r="K310" s="1118"/>
      <c r="L310" s="1118"/>
      <c r="M310" s="1118"/>
      <c r="N310" s="1118"/>
      <c r="O310" s="1118"/>
      <c r="P310" s="1118"/>
      <c r="Q310" s="1111"/>
      <c r="R310" s="1111"/>
      <c r="S310" s="1111"/>
      <c r="T310" s="1111"/>
      <c r="U310" s="1111"/>
      <c r="V310" s="1111"/>
      <c r="W310" s="1111"/>
      <c r="X310" s="1111"/>
      <c r="Y310" s="1111"/>
      <c r="Z310" s="1111"/>
      <c r="AA310" s="1111"/>
      <c r="AB310" s="1111"/>
      <c r="AC310" s="1111"/>
      <c r="AD310" s="1111"/>
      <c r="AE310" s="1111"/>
      <c r="AF310" s="1111"/>
      <c r="AG310" s="1111"/>
    </row>
    <row r="311" spans="1:33" s="1295" customFormat="1">
      <c r="A311" s="1264"/>
      <c r="D311" s="1118"/>
      <c r="E311" s="1264"/>
      <c r="F311" s="1118"/>
      <c r="G311" s="1118"/>
      <c r="H311" s="1118"/>
      <c r="I311" s="1118"/>
      <c r="J311" s="1118"/>
      <c r="K311" s="1118"/>
      <c r="L311" s="1118"/>
      <c r="M311" s="1118"/>
      <c r="N311" s="1118"/>
      <c r="O311" s="1118"/>
      <c r="P311" s="1118"/>
      <c r="Q311" s="1111"/>
      <c r="R311" s="1111"/>
      <c r="S311" s="1111"/>
      <c r="T311" s="1111"/>
      <c r="U311" s="1111"/>
      <c r="V311" s="1111"/>
      <c r="W311" s="1111"/>
      <c r="X311" s="1111"/>
      <c r="Y311" s="1111"/>
      <c r="Z311" s="1111"/>
      <c r="AA311" s="1111"/>
      <c r="AB311" s="1111"/>
      <c r="AC311" s="1111"/>
      <c r="AD311" s="1111"/>
      <c r="AE311" s="1111"/>
      <c r="AF311" s="1111"/>
      <c r="AG311" s="1111"/>
    </row>
    <row r="312" spans="1:33" s="1295" customFormat="1">
      <c r="A312" s="1264"/>
      <c r="D312" s="1118"/>
      <c r="E312" s="1264"/>
      <c r="F312" s="1118"/>
      <c r="G312" s="1118"/>
      <c r="H312" s="1118"/>
      <c r="I312" s="1118"/>
      <c r="J312" s="1118"/>
      <c r="K312" s="1118"/>
      <c r="L312" s="1118"/>
      <c r="M312" s="1118"/>
      <c r="N312" s="1118"/>
      <c r="O312" s="1118"/>
      <c r="P312" s="1118"/>
      <c r="Q312" s="1111"/>
      <c r="R312" s="1111"/>
      <c r="S312" s="1111"/>
      <c r="T312" s="1111"/>
      <c r="U312" s="1111"/>
      <c r="V312" s="1111"/>
      <c r="W312" s="1111"/>
      <c r="X312" s="1111"/>
      <c r="Y312" s="1111"/>
      <c r="Z312" s="1111"/>
      <c r="AA312" s="1111"/>
      <c r="AB312" s="1111"/>
      <c r="AC312" s="1111"/>
      <c r="AD312" s="1111"/>
      <c r="AE312" s="1111"/>
      <c r="AF312" s="1111"/>
      <c r="AG312" s="1111"/>
    </row>
    <row r="313" spans="1:33" s="1295" customFormat="1">
      <c r="A313" s="1264"/>
      <c r="D313" s="1118"/>
      <c r="E313" s="1264"/>
      <c r="F313" s="1118"/>
      <c r="G313" s="1118"/>
      <c r="H313" s="1118"/>
      <c r="I313" s="1118"/>
      <c r="J313" s="1118"/>
      <c r="K313" s="1118"/>
      <c r="L313" s="1118"/>
      <c r="M313" s="1118"/>
      <c r="N313" s="1118"/>
      <c r="O313" s="1118"/>
      <c r="P313" s="1118"/>
      <c r="Q313" s="1111"/>
      <c r="R313" s="1111"/>
      <c r="S313" s="1111"/>
      <c r="T313" s="1111"/>
      <c r="U313" s="1111"/>
      <c r="V313" s="1111"/>
      <c r="W313" s="1111"/>
      <c r="X313" s="1111"/>
      <c r="Y313" s="1111"/>
      <c r="Z313" s="1111"/>
      <c r="AA313" s="1111"/>
      <c r="AB313" s="1111"/>
      <c r="AC313" s="1111"/>
      <c r="AD313" s="1111"/>
      <c r="AE313" s="1111"/>
      <c r="AF313" s="1111"/>
      <c r="AG313" s="1111"/>
    </row>
    <row r="314" spans="1:33" s="1295" customFormat="1">
      <c r="A314" s="1264"/>
      <c r="D314" s="1118"/>
      <c r="E314" s="1264"/>
      <c r="F314" s="1118"/>
      <c r="G314" s="1118"/>
      <c r="H314" s="1118"/>
      <c r="I314" s="1118"/>
      <c r="J314" s="1118"/>
      <c r="K314" s="1118"/>
      <c r="L314" s="1118"/>
      <c r="M314" s="1118"/>
      <c r="N314" s="1118"/>
      <c r="O314" s="1118"/>
      <c r="P314" s="1118"/>
      <c r="Q314" s="1111"/>
      <c r="R314" s="1111"/>
      <c r="S314" s="1111"/>
      <c r="T314" s="1111"/>
      <c r="U314" s="1111"/>
      <c r="V314" s="1111"/>
      <c r="W314" s="1111"/>
      <c r="X314" s="1111"/>
      <c r="Y314" s="1111"/>
      <c r="Z314" s="1111"/>
      <c r="AA314" s="1111"/>
      <c r="AB314" s="1111"/>
      <c r="AC314" s="1111"/>
      <c r="AD314" s="1111"/>
      <c r="AE314" s="1111"/>
      <c r="AF314" s="1111"/>
      <c r="AG314" s="1111"/>
    </row>
    <row r="315" spans="1:33" s="1295" customFormat="1">
      <c r="A315" s="1264"/>
      <c r="D315" s="1118"/>
      <c r="E315" s="1264"/>
      <c r="F315" s="1118"/>
      <c r="G315" s="1118"/>
      <c r="H315" s="1118"/>
      <c r="I315" s="1118"/>
      <c r="J315" s="1118"/>
      <c r="K315" s="1118"/>
      <c r="L315" s="1118"/>
      <c r="M315" s="1118"/>
      <c r="N315" s="1118"/>
      <c r="O315" s="1118"/>
      <c r="P315" s="1118"/>
      <c r="Q315" s="1111"/>
      <c r="R315" s="1111"/>
      <c r="S315" s="1111"/>
      <c r="T315" s="1111"/>
      <c r="U315" s="1111"/>
      <c r="V315" s="1111"/>
      <c r="W315" s="1111"/>
      <c r="X315" s="1111"/>
      <c r="Y315" s="1111"/>
      <c r="Z315" s="1111"/>
      <c r="AA315" s="1111"/>
      <c r="AB315" s="1111"/>
      <c r="AC315" s="1111"/>
      <c r="AD315" s="1111"/>
      <c r="AE315" s="1111"/>
      <c r="AF315" s="1111"/>
      <c r="AG315" s="1111"/>
    </row>
    <row r="316" spans="1:33" s="1295" customFormat="1">
      <c r="A316" s="1264"/>
      <c r="D316" s="1118"/>
      <c r="E316" s="1264"/>
      <c r="F316" s="1118"/>
      <c r="G316" s="1118"/>
      <c r="H316" s="1118"/>
      <c r="I316" s="1118"/>
      <c r="J316" s="1118"/>
      <c r="K316" s="1118"/>
      <c r="L316" s="1118"/>
      <c r="M316" s="1118"/>
      <c r="N316" s="1118"/>
      <c r="O316" s="1118"/>
      <c r="P316" s="1118"/>
      <c r="Q316" s="1111"/>
      <c r="R316" s="1111"/>
      <c r="S316" s="1111"/>
      <c r="T316" s="1111"/>
      <c r="U316" s="1111"/>
      <c r="V316" s="1111"/>
      <c r="W316" s="1111"/>
      <c r="X316" s="1111"/>
      <c r="Y316" s="1111"/>
      <c r="Z316" s="1111"/>
      <c r="AA316" s="1111"/>
      <c r="AB316" s="1111"/>
      <c r="AC316" s="1111"/>
      <c r="AD316" s="1111"/>
      <c r="AE316" s="1111"/>
      <c r="AF316" s="1111"/>
      <c r="AG316" s="1111"/>
    </row>
    <row r="317" spans="1:33" s="1295" customFormat="1">
      <c r="A317" s="1264"/>
      <c r="D317" s="1118"/>
      <c r="E317" s="1264"/>
      <c r="F317" s="1118"/>
      <c r="G317" s="1118"/>
      <c r="H317" s="1118"/>
      <c r="I317" s="1118"/>
      <c r="J317" s="1118"/>
      <c r="K317" s="1118"/>
      <c r="L317" s="1118"/>
      <c r="M317" s="1118"/>
      <c r="N317" s="1118"/>
      <c r="O317" s="1118"/>
      <c r="P317" s="1118"/>
      <c r="Q317" s="1111"/>
      <c r="R317" s="1111"/>
      <c r="S317" s="1111"/>
      <c r="T317" s="1111"/>
      <c r="U317" s="1111"/>
      <c r="V317" s="1111"/>
      <c r="W317" s="1111"/>
      <c r="X317" s="1111"/>
      <c r="Y317" s="1111"/>
      <c r="Z317" s="1111"/>
      <c r="AA317" s="1111"/>
      <c r="AB317" s="1111"/>
      <c r="AC317" s="1111"/>
      <c r="AD317" s="1111"/>
      <c r="AE317" s="1111"/>
      <c r="AF317" s="1111"/>
      <c r="AG317" s="1111"/>
    </row>
    <row r="318" spans="1:33" s="1295" customFormat="1">
      <c r="A318" s="1264"/>
      <c r="D318" s="1118"/>
      <c r="E318" s="1264"/>
      <c r="F318" s="1118"/>
      <c r="G318" s="1118"/>
      <c r="H318" s="1118"/>
      <c r="I318" s="1118"/>
      <c r="J318" s="1118"/>
      <c r="K318" s="1118"/>
      <c r="L318" s="1118"/>
      <c r="M318" s="1118"/>
      <c r="N318" s="1118"/>
      <c r="O318" s="1118"/>
      <c r="P318" s="1118"/>
      <c r="Q318" s="1111"/>
      <c r="R318" s="1111"/>
      <c r="S318" s="1111"/>
      <c r="T318" s="1111"/>
      <c r="U318" s="1111"/>
      <c r="V318" s="1111"/>
      <c r="W318" s="1111"/>
      <c r="X318" s="1111"/>
      <c r="Y318" s="1111"/>
      <c r="Z318" s="1111"/>
      <c r="AA318" s="1111"/>
      <c r="AB318" s="1111"/>
      <c r="AC318" s="1111"/>
      <c r="AD318" s="1111"/>
      <c r="AE318" s="1111"/>
      <c r="AF318" s="1111"/>
      <c r="AG318" s="1111"/>
    </row>
    <row r="319" spans="1:33" s="1295" customFormat="1">
      <c r="A319" s="1264"/>
      <c r="D319" s="1118"/>
      <c r="E319" s="1264"/>
      <c r="F319" s="1118"/>
      <c r="G319" s="1118"/>
      <c r="H319" s="1118"/>
      <c r="I319" s="1118"/>
      <c r="J319" s="1118"/>
      <c r="K319" s="1118"/>
      <c r="L319" s="1118"/>
      <c r="M319" s="1118"/>
      <c r="N319" s="1118"/>
      <c r="O319" s="1118"/>
      <c r="P319" s="1118"/>
      <c r="Q319" s="1111"/>
      <c r="R319" s="1111"/>
      <c r="S319" s="1111"/>
      <c r="T319" s="1111"/>
      <c r="U319" s="1111"/>
      <c r="V319" s="1111"/>
      <c r="W319" s="1111"/>
      <c r="X319" s="1111"/>
      <c r="Y319" s="1111"/>
      <c r="Z319" s="1111"/>
      <c r="AA319" s="1111"/>
      <c r="AB319" s="1111"/>
      <c r="AC319" s="1111"/>
      <c r="AD319" s="1111"/>
      <c r="AE319" s="1111"/>
      <c r="AF319" s="1111"/>
      <c r="AG319" s="1111"/>
    </row>
    <row r="320" spans="1:33" s="1295" customFormat="1">
      <c r="A320" s="1264"/>
      <c r="D320" s="1118"/>
      <c r="E320" s="1264"/>
      <c r="F320" s="1118"/>
      <c r="G320" s="1118"/>
      <c r="H320" s="1118"/>
      <c r="I320" s="1118"/>
      <c r="J320" s="1118"/>
      <c r="K320" s="1118"/>
      <c r="L320" s="1118"/>
      <c r="M320" s="1118"/>
      <c r="N320" s="1118"/>
      <c r="O320" s="1118"/>
      <c r="P320" s="1118"/>
      <c r="Q320" s="1111"/>
      <c r="R320" s="1111"/>
      <c r="S320" s="1111"/>
      <c r="T320" s="1111"/>
      <c r="U320" s="1111"/>
      <c r="V320" s="1111"/>
      <c r="W320" s="1111"/>
      <c r="X320" s="1111"/>
      <c r="Y320" s="1111"/>
      <c r="Z320" s="1111"/>
      <c r="AA320" s="1111"/>
      <c r="AB320" s="1111"/>
      <c r="AC320" s="1111"/>
      <c r="AD320" s="1111"/>
      <c r="AE320" s="1111"/>
      <c r="AF320" s="1111"/>
      <c r="AG320" s="1111"/>
    </row>
    <row r="321" spans="1:33" s="1295" customFormat="1">
      <c r="A321" s="1264"/>
      <c r="D321" s="1118"/>
      <c r="E321" s="1264"/>
      <c r="F321" s="1118"/>
      <c r="G321" s="1118"/>
      <c r="H321" s="1118"/>
      <c r="I321" s="1118"/>
      <c r="J321" s="1118"/>
      <c r="K321" s="1118"/>
      <c r="L321" s="1118"/>
      <c r="M321" s="1118"/>
      <c r="N321" s="1118"/>
      <c r="O321" s="1118"/>
      <c r="P321" s="1118"/>
      <c r="Q321" s="1111"/>
      <c r="R321" s="1111"/>
      <c r="S321" s="1111"/>
      <c r="T321" s="1111"/>
      <c r="U321" s="1111"/>
      <c r="V321" s="1111"/>
      <c r="W321" s="1111"/>
      <c r="X321" s="1111"/>
      <c r="Y321" s="1111"/>
      <c r="Z321" s="1111"/>
      <c r="AA321" s="1111"/>
      <c r="AB321" s="1111"/>
      <c r="AC321" s="1111"/>
      <c r="AD321" s="1111"/>
      <c r="AE321" s="1111"/>
      <c r="AF321" s="1111"/>
      <c r="AG321" s="1111"/>
    </row>
    <row r="322" spans="1:33" s="1295" customFormat="1">
      <c r="A322" s="1264"/>
      <c r="D322" s="1118"/>
      <c r="E322" s="1264"/>
      <c r="F322" s="1118"/>
      <c r="G322" s="1118"/>
      <c r="H322" s="1118"/>
      <c r="I322" s="1118"/>
      <c r="J322" s="1118"/>
      <c r="K322" s="1118"/>
      <c r="L322" s="1118"/>
      <c r="M322" s="1118"/>
      <c r="N322" s="1118"/>
      <c r="O322" s="1118"/>
      <c r="P322" s="1118"/>
      <c r="Q322" s="1111"/>
      <c r="R322" s="1111"/>
      <c r="S322" s="1111"/>
      <c r="T322" s="1111"/>
      <c r="U322" s="1111"/>
      <c r="V322" s="1111"/>
      <c r="W322" s="1111"/>
      <c r="X322" s="1111"/>
      <c r="Y322" s="1111"/>
      <c r="Z322" s="1111"/>
      <c r="AA322" s="1111"/>
      <c r="AB322" s="1111"/>
      <c r="AC322" s="1111"/>
      <c r="AD322" s="1111"/>
      <c r="AE322" s="1111"/>
      <c r="AF322" s="1111"/>
      <c r="AG322" s="1111"/>
    </row>
    <row r="323" spans="1:33" s="1295" customFormat="1">
      <c r="A323" s="1264"/>
      <c r="D323" s="1118"/>
      <c r="E323" s="1264"/>
      <c r="F323" s="1118"/>
      <c r="G323" s="1118"/>
      <c r="H323" s="1118"/>
      <c r="I323" s="1118"/>
      <c r="J323" s="1118"/>
      <c r="K323" s="1118"/>
      <c r="L323" s="1118"/>
      <c r="M323" s="1118"/>
      <c r="N323" s="1118"/>
      <c r="O323" s="1118"/>
      <c r="P323" s="1118"/>
      <c r="Q323" s="1111"/>
      <c r="R323" s="1111"/>
      <c r="S323" s="1111"/>
      <c r="T323" s="1111"/>
      <c r="U323" s="1111"/>
      <c r="V323" s="1111"/>
      <c r="W323" s="1111"/>
      <c r="X323" s="1111"/>
      <c r="Y323" s="1111"/>
      <c r="Z323" s="1111"/>
      <c r="AA323" s="1111"/>
      <c r="AB323" s="1111"/>
      <c r="AC323" s="1111"/>
      <c r="AD323" s="1111"/>
      <c r="AE323" s="1111"/>
      <c r="AF323" s="1111"/>
      <c r="AG323" s="1111"/>
    </row>
    <row r="324" spans="1:33" s="1295" customFormat="1">
      <c r="A324" s="1264"/>
      <c r="D324" s="1118"/>
      <c r="E324" s="1264"/>
      <c r="F324" s="1118"/>
      <c r="G324" s="1118"/>
      <c r="H324" s="1118"/>
      <c r="I324" s="1118"/>
      <c r="J324" s="1118"/>
      <c r="K324" s="1118"/>
      <c r="L324" s="1118"/>
      <c r="M324" s="1118"/>
      <c r="N324" s="1118"/>
      <c r="O324" s="1118"/>
      <c r="P324" s="1118"/>
      <c r="Q324" s="1111"/>
      <c r="R324" s="1111"/>
      <c r="S324" s="1111"/>
      <c r="T324" s="1111"/>
      <c r="U324" s="1111"/>
      <c r="V324" s="1111"/>
      <c r="W324" s="1111"/>
      <c r="X324" s="1111"/>
      <c r="Y324" s="1111"/>
      <c r="Z324" s="1111"/>
      <c r="AA324" s="1111"/>
      <c r="AB324" s="1111"/>
      <c r="AC324" s="1111"/>
      <c r="AD324" s="1111"/>
      <c r="AE324" s="1111"/>
      <c r="AF324" s="1111"/>
      <c r="AG324" s="1111"/>
    </row>
    <row r="325" spans="1:33" s="1295" customFormat="1">
      <c r="A325" s="1264"/>
      <c r="D325" s="1118"/>
      <c r="E325" s="1264"/>
      <c r="F325" s="1118"/>
      <c r="G325" s="1118"/>
      <c r="H325" s="1118"/>
      <c r="I325" s="1118"/>
      <c r="J325" s="1118"/>
      <c r="K325" s="1118"/>
      <c r="L325" s="1118"/>
      <c r="M325" s="1118"/>
      <c r="N325" s="1118"/>
      <c r="O325" s="1118"/>
      <c r="P325" s="1118"/>
      <c r="Q325" s="1111"/>
      <c r="R325" s="1111"/>
      <c r="S325" s="1111"/>
      <c r="T325" s="1111"/>
      <c r="U325" s="1111"/>
      <c r="V325" s="1111"/>
      <c r="W325" s="1111"/>
      <c r="X325" s="1111"/>
      <c r="Y325" s="1111"/>
      <c r="Z325" s="1111"/>
      <c r="AA325" s="1111"/>
      <c r="AB325" s="1111"/>
      <c r="AC325" s="1111"/>
      <c r="AD325" s="1111"/>
      <c r="AE325" s="1111"/>
      <c r="AF325" s="1111"/>
      <c r="AG325" s="1111"/>
    </row>
    <row r="326" spans="1:33" s="1295" customFormat="1">
      <c r="A326" s="1264"/>
      <c r="D326" s="1118"/>
      <c r="E326" s="1264"/>
      <c r="F326" s="1118"/>
      <c r="G326" s="1118"/>
      <c r="H326" s="1118"/>
      <c r="I326" s="1118"/>
      <c r="J326" s="1118"/>
      <c r="K326" s="1118"/>
      <c r="L326" s="1118"/>
      <c r="M326" s="1118"/>
      <c r="N326" s="1118"/>
      <c r="O326" s="1118"/>
      <c r="P326" s="1118"/>
      <c r="Q326" s="1111"/>
      <c r="R326" s="1111"/>
      <c r="S326" s="1111"/>
      <c r="T326" s="1111"/>
      <c r="U326" s="1111"/>
      <c r="V326" s="1111"/>
      <c r="W326" s="1111"/>
      <c r="X326" s="1111"/>
      <c r="Y326" s="1111"/>
      <c r="Z326" s="1111"/>
      <c r="AA326" s="1111"/>
      <c r="AB326" s="1111"/>
      <c r="AC326" s="1111"/>
      <c r="AD326" s="1111"/>
      <c r="AE326" s="1111"/>
      <c r="AF326" s="1111"/>
      <c r="AG326" s="1111"/>
    </row>
    <row r="327" spans="1:33" s="1295" customFormat="1">
      <c r="A327" s="1264"/>
      <c r="D327" s="1118"/>
      <c r="E327" s="1264"/>
      <c r="F327" s="1118"/>
      <c r="G327" s="1118"/>
      <c r="H327" s="1118"/>
      <c r="I327" s="1118"/>
      <c r="J327" s="1118"/>
      <c r="K327" s="1118"/>
      <c r="L327" s="1118"/>
      <c r="M327" s="1118"/>
      <c r="N327" s="1118"/>
      <c r="O327" s="1118"/>
      <c r="P327" s="1118"/>
      <c r="Q327" s="1111"/>
      <c r="R327" s="1111"/>
      <c r="S327" s="1111"/>
      <c r="T327" s="1111"/>
      <c r="U327" s="1111"/>
      <c r="V327" s="1111"/>
      <c r="W327" s="1111"/>
      <c r="X327" s="1111"/>
      <c r="Y327" s="1111"/>
      <c r="Z327" s="1111"/>
      <c r="AA327" s="1111"/>
      <c r="AB327" s="1111"/>
      <c r="AC327" s="1111"/>
      <c r="AD327" s="1111"/>
      <c r="AE327" s="1111"/>
      <c r="AF327" s="1111"/>
      <c r="AG327" s="1111"/>
    </row>
    <row r="328" spans="1:33" s="1295" customFormat="1">
      <c r="A328" s="1264"/>
      <c r="D328" s="1118"/>
      <c r="E328" s="1264"/>
      <c r="F328" s="1118"/>
      <c r="G328" s="1118"/>
      <c r="H328" s="1118"/>
      <c r="I328" s="1118"/>
      <c r="J328" s="1118"/>
      <c r="K328" s="1118"/>
      <c r="L328" s="1118"/>
      <c r="M328" s="1118"/>
      <c r="N328" s="1118"/>
      <c r="O328" s="1118"/>
      <c r="P328" s="1118"/>
      <c r="Q328" s="1111"/>
      <c r="R328" s="1111"/>
      <c r="S328" s="1111"/>
      <c r="T328" s="1111"/>
      <c r="U328" s="1111"/>
      <c r="V328" s="1111"/>
      <c r="W328" s="1111"/>
      <c r="X328" s="1111"/>
      <c r="Y328" s="1111"/>
      <c r="Z328" s="1111"/>
      <c r="AA328" s="1111"/>
      <c r="AB328" s="1111"/>
      <c r="AC328" s="1111"/>
      <c r="AD328" s="1111"/>
      <c r="AE328" s="1111"/>
      <c r="AF328" s="1111"/>
      <c r="AG328" s="1111"/>
    </row>
    <row r="329" spans="1:33" s="1295" customFormat="1">
      <c r="A329" s="1264"/>
      <c r="D329" s="1118"/>
      <c r="E329" s="1264"/>
      <c r="F329" s="1118"/>
      <c r="G329" s="1118"/>
      <c r="H329" s="1118"/>
      <c r="I329" s="1118"/>
      <c r="J329" s="1118"/>
      <c r="K329" s="1118"/>
      <c r="L329" s="1118"/>
      <c r="M329" s="1118"/>
      <c r="N329" s="1118"/>
      <c r="O329" s="1118"/>
      <c r="P329" s="1118"/>
      <c r="Q329" s="1111"/>
      <c r="R329" s="1111"/>
      <c r="S329" s="1111"/>
      <c r="T329" s="1111"/>
      <c r="U329" s="1111"/>
      <c r="V329" s="1111"/>
      <c r="W329" s="1111"/>
      <c r="X329" s="1111"/>
      <c r="Y329" s="1111"/>
      <c r="Z329" s="1111"/>
      <c r="AA329" s="1111"/>
      <c r="AB329" s="1111"/>
      <c r="AC329" s="1111"/>
      <c r="AD329" s="1111"/>
      <c r="AE329" s="1111"/>
      <c r="AF329" s="1111"/>
      <c r="AG329" s="1111"/>
    </row>
    <row r="330" spans="1:33" s="1295" customFormat="1">
      <c r="A330" s="1264"/>
      <c r="D330" s="1118"/>
      <c r="E330" s="1264"/>
      <c r="F330" s="1118"/>
      <c r="G330" s="1118"/>
      <c r="H330" s="1118"/>
      <c r="I330" s="1118"/>
      <c r="J330" s="1118"/>
      <c r="K330" s="1118"/>
      <c r="L330" s="1118"/>
      <c r="M330" s="1118"/>
      <c r="N330" s="1118"/>
      <c r="O330" s="1118"/>
      <c r="P330" s="1118"/>
      <c r="Q330" s="1111"/>
      <c r="R330" s="1111"/>
      <c r="S330" s="1111"/>
      <c r="T330" s="1111"/>
      <c r="U330" s="1111"/>
      <c r="V330" s="1111"/>
      <c r="W330" s="1111"/>
      <c r="X330" s="1111"/>
      <c r="Y330" s="1111"/>
      <c r="Z330" s="1111"/>
      <c r="AA330" s="1111"/>
      <c r="AB330" s="1111"/>
      <c r="AC330" s="1111"/>
      <c r="AD330" s="1111"/>
      <c r="AE330" s="1111"/>
      <c r="AF330" s="1111"/>
      <c r="AG330" s="1111"/>
    </row>
    <row r="331" spans="1:33" s="1295" customFormat="1">
      <c r="A331" s="1264"/>
      <c r="D331" s="1118"/>
      <c r="E331" s="1264"/>
      <c r="F331" s="1118"/>
      <c r="G331" s="1118"/>
      <c r="H331" s="1118"/>
      <c r="I331" s="1118"/>
      <c r="J331" s="1118"/>
      <c r="K331" s="1118"/>
      <c r="L331" s="1118"/>
      <c r="M331" s="1118"/>
      <c r="N331" s="1118"/>
      <c r="O331" s="1118"/>
      <c r="P331" s="1118"/>
      <c r="Q331" s="1111"/>
      <c r="R331" s="1111"/>
      <c r="S331" s="1111"/>
      <c r="T331" s="1111"/>
      <c r="U331" s="1111"/>
      <c r="V331" s="1111"/>
      <c r="W331" s="1111"/>
      <c r="X331" s="1111"/>
      <c r="Y331" s="1111"/>
      <c r="Z331" s="1111"/>
      <c r="AA331" s="1111"/>
      <c r="AB331" s="1111"/>
      <c r="AC331" s="1111"/>
      <c r="AD331" s="1111"/>
      <c r="AE331" s="1111"/>
      <c r="AF331" s="1111"/>
      <c r="AG331" s="1111"/>
    </row>
    <row r="332" spans="1:33" s="1295" customFormat="1">
      <c r="A332" s="1264"/>
      <c r="D332" s="1118"/>
      <c r="E332" s="1264"/>
      <c r="F332" s="1118"/>
      <c r="G332" s="1118"/>
      <c r="H332" s="1118"/>
      <c r="I332" s="1118"/>
      <c r="J332" s="1118"/>
      <c r="K332" s="1118"/>
      <c r="L332" s="1118"/>
      <c r="M332" s="1118"/>
      <c r="N332" s="1118"/>
      <c r="O332" s="1118"/>
      <c r="P332" s="1118"/>
      <c r="Q332" s="1111"/>
      <c r="R332" s="1111"/>
      <c r="S332" s="1111"/>
      <c r="T332" s="1111"/>
      <c r="U332" s="1111"/>
      <c r="V332" s="1111"/>
      <c r="W332" s="1111"/>
      <c r="X332" s="1111"/>
      <c r="Y332" s="1111"/>
      <c r="Z332" s="1111"/>
      <c r="AA332" s="1111"/>
      <c r="AB332" s="1111"/>
      <c r="AC332" s="1111"/>
      <c r="AD332" s="1111"/>
      <c r="AE332" s="1111"/>
      <c r="AF332" s="1111"/>
      <c r="AG332" s="1111"/>
    </row>
    <row r="333" spans="1:33" s="1295" customFormat="1">
      <c r="A333" s="1264"/>
      <c r="D333" s="1118"/>
      <c r="E333" s="1264"/>
      <c r="F333" s="1118"/>
      <c r="G333" s="1118"/>
      <c r="H333" s="1118"/>
      <c r="I333" s="1118"/>
      <c r="J333" s="1118"/>
      <c r="K333" s="1118"/>
      <c r="L333" s="1118"/>
      <c r="M333" s="1118"/>
      <c r="N333" s="1118"/>
      <c r="O333" s="1118"/>
      <c r="P333" s="1118"/>
      <c r="Q333" s="1111"/>
      <c r="R333" s="1111"/>
      <c r="S333" s="1111"/>
      <c r="T333" s="1111"/>
      <c r="U333" s="1111"/>
      <c r="V333" s="1111"/>
      <c r="W333" s="1111"/>
      <c r="X333" s="1111"/>
      <c r="Y333" s="1111"/>
      <c r="Z333" s="1111"/>
      <c r="AA333" s="1111"/>
      <c r="AB333" s="1111"/>
      <c r="AC333" s="1111"/>
      <c r="AD333" s="1111"/>
      <c r="AE333" s="1111"/>
      <c r="AF333" s="1111"/>
      <c r="AG333" s="1111"/>
    </row>
    <row r="334" spans="1:33" s="1295" customFormat="1">
      <c r="A334" s="1264"/>
      <c r="D334" s="1118"/>
      <c r="E334" s="1264"/>
      <c r="F334" s="1118"/>
      <c r="G334" s="1118"/>
      <c r="H334" s="1118"/>
      <c r="I334" s="1118"/>
      <c r="J334" s="1118"/>
      <c r="K334" s="1118"/>
      <c r="L334" s="1118"/>
      <c r="M334" s="1118"/>
      <c r="N334" s="1118"/>
      <c r="O334" s="1118"/>
      <c r="P334" s="1118"/>
      <c r="Q334" s="1111"/>
      <c r="R334" s="1111"/>
      <c r="S334" s="1111"/>
      <c r="T334" s="1111"/>
      <c r="U334" s="1111"/>
      <c r="V334" s="1111"/>
      <c r="W334" s="1111"/>
      <c r="X334" s="1111"/>
      <c r="Y334" s="1111"/>
      <c r="Z334" s="1111"/>
      <c r="AA334" s="1111"/>
      <c r="AB334" s="1111"/>
      <c r="AC334" s="1111"/>
      <c r="AD334" s="1111"/>
      <c r="AE334" s="1111"/>
      <c r="AF334" s="1111"/>
      <c r="AG334" s="1111"/>
    </row>
    <row r="335" spans="1:33" s="1295" customFormat="1">
      <c r="A335" s="1264"/>
      <c r="D335" s="1118"/>
      <c r="E335" s="1264"/>
      <c r="F335" s="1118"/>
      <c r="G335" s="1118"/>
      <c r="H335" s="1118"/>
      <c r="I335" s="1118"/>
      <c r="J335" s="1118"/>
      <c r="K335" s="1118"/>
      <c r="L335" s="1118"/>
      <c r="M335" s="1118"/>
      <c r="N335" s="1118"/>
      <c r="O335" s="1118"/>
      <c r="P335" s="1118"/>
      <c r="Q335" s="1111"/>
      <c r="R335" s="1111"/>
      <c r="S335" s="1111"/>
      <c r="T335" s="1111"/>
      <c r="U335" s="1111"/>
      <c r="V335" s="1111"/>
      <c r="W335" s="1111"/>
      <c r="X335" s="1111"/>
      <c r="Y335" s="1111"/>
      <c r="Z335" s="1111"/>
      <c r="AA335" s="1111"/>
      <c r="AB335" s="1111"/>
      <c r="AC335" s="1111"/>
      <c r="AD335" s="1111"/>
      <c r="AE335" s="1111"/>
      <c r="AF335" s="1111"/>
      <c r="AG335" s="1111"/>
    </row>
    <row r="336" spans="1:33" s="1295" customFormat="1">
      <c r="A336" s="1264"/>
      <c r="D336" s="1118"/>
      <c r="E336" s="1264"/>
      <c r="F336" s="1118"/>
      <c r="G336" s="1118"/>
      <c r="H336" s="1118"/>
      <c r="I336" s="1118"/>
      <c r="J336" s="1118"/>
      <c r="K336" s="1118"/>
      <c r="L336" s="1118"/>
      <c r="M336" s="1118"/>
      <c r="N336" s="1118"/>
      <c r="O336" s="1118"/>
      <c r="P336" s="1118"/>
      <c r="Q336" s="1111"/>
      <c r="R336" s="1111"/>
      <c r="S336" s="1111"/>
      <c r="T336" s="1111"/>
      <c r="U336" s="1111"/>
      <c r="V336" s="1111"/>
      <c r="W336" s="1111"/>
      <c r="X336" s="1111"/>
      <c r="Y336" s="1111"/>
      <c r="Z336" s="1111"/>
      <c r="AA336" s="1111"/>
      <c r="AB336" s="1111"/>
      <c r="AC336" s="1111"/>
      <c r="AD336" s="1111"/>
      <c r="AE336" s="1111"/>
      <c r="AF336" s="1111"/>
      <c r="AG336" s="1111"/>
    </row>
    <row r="337" spans="1:33" s="1295" customFormat="1">
      <c r="A337" s="1264"/>
      <c r="D337" s="1118"/>
      <c r="E337" s="1264"/>
      <c r="F337" s="1118"/>
      <c r="G337" s="1118"/>
      <c r="H337" s="1118"/>
      <c r="I337" s="1118"/>
      <c r="J337" s="1118"/>
      <c r="K337" s="1118"/>
      <c r="L337" s="1118"/>
      <c r="M337" s="1118"/>
      <c r="N337" s="1118"/>
      <c r="O337" s="1118"/>
      <c r="P337" s="1118"/>
      <c r="Q337" s="1111"/>
      <c r="R337" s="1111"/>
      <c r="S337" s="1111"/>
      <c r="T337" s="1111"/>
      <c r="U337" s="1111"/>
      <c r="V337" s="1111"/>
      <c r="W337" s="1111"/>
      <c r="X337" s="1111"/>
      <c r="Y337" s="1111"/>
      <c r="Z337" s="1111"/>
      <c r="AA337" s="1111"/>
      <c r="AB337" s="1111"/>
      <c r="AC337" s="1111"/>
      <c r="AD337" s="1111"/>
      <c r="AE337" s="1111"/>
      <c r="AF337" s="1111"/>
      <c r="AG337" s="1111"/>
    </row>
    <row r="338" spans="1:33" s="1295" customFormat="1">
      <c r="A338" s="1264"/>
      <c r="D338" s="1118"/>
      <c r="E338" s="1264"/>
      <c r="F338" s="1118"/>
      <c r="G338" s="1118"/>
      <c r="H338" s="1118"/>
      <c r="I338" s="1118"/>
      <c r="J338" s="1118"/>
      <c r="K338" s="1118"/>
      <c r="L338" s="1118"/>
      <c r="M338" s="1118"/>
      <c r="N338" s="1118"/>
      <c r="O338" s="1118"/>
      <c r="P338" s="1118"/>
      <c r="Q338" s="1111"/>
      <c r="R338" s="1111"/>
      <c r="S338" s="1111"/>
      <c r="T338" s="1111"/>
      <c r="U338" s="1111"/>
      <c r="V338" s="1111"/>
      <c r="W338" s="1111"/>
      <c r="X338" s="1111"/>
      <c r="Y338" s="1111"/>
      <c r="Z338" s="1111"/>
      <c r="AA338" s="1111"/>
      <c r="AB338" s="1111"/>
      <c r="AC338" s="1111"/>
      <c r="AD338" s="1111"/>
      <c r="AE338" s="1111"/>
      <c r="AF338" s="1111"/>
      <c r="AG338" s="1111"/>
    </row>
    <row r="339" spans="1:33" s="1295" customFormat="1">
      <c r="A339" s="1264"/>
      <c r="D339" s="1118"/>
      <c r="E339" s="1264"/>
      <c r="F339" s="1118"/>
      <c r="G339" s="1118"/>
      <c r="H339" s="1118"/>
      <c r="I339" s="1118"/>
      <c r="J339" s="1118"/>
      <c r="K339" s="1118"/>
      <c r="L339" s="1118"/>
      <c r="M339" s="1118"/>
      <c r="N339" s="1118"/>
      <c r="O339" s="1118"/>
      <c r="P339" s="1118"/>
      <c r="Q339" s="1111"/>
      <c r="R339" s="1111"/>
      <c r="S339" s="1111"/>
      <c r="T339" s="1111"/>
      <c r="U339" s="1111"/>
      <c r="V339" s="1111"/>
      <c r="W339" s="1111"/>
      <c r="X339" s="1111"/>
      <c r="Y339" s="1111"/>
      <c r="Z339" s="1111"/>
      <c r="AA339" s="1111"/>
      <c r="AB339" s="1111"/>
      <c r="AC339" s="1111"/>
      <c r="AD339" s="1111"/>
      <c r="AE339" s="1111"/>
      <c r="AF339" s="1111"/>
      <c r="AG339" s="1111"/>
    </row>
    <row r="340" spans="1:33" s="1295" customFormat="1">
      <c r="A340" s="1264"/>
      <c r="D340" s="1118"/>
      <c r="E340" s="1264"/>
      <c r="F340" s="1118"/>
      <c r="G340" s="1118"/>
      <c r="H340" s="1118"/>
      <c r="I340" s="1118"/>
      <c r="J340" s="1118"/>
      <c r="K340" s="1118"/>
      <c r="L340" s="1118"/>
      <c r="M340" s="1118"/>
      <c r="N340" s="1118"/>
      <c r="O340" s="1118"/>
      <c r="P340" s="1118"/>
      <c r="Q340" s="1111"/>
      <c r="R340" s="1111"/>
      <c r="S340" s="1111"/>
      <c r="T340" s="1111"/>
      <c r="U340" s="1111"/>
      <c r="V340" s="1111"/>
      <c r="W340" s="1111"/>
      <c r="X340" s="1111"/>
      <c r="Y340" s="1111"/>
      <c r="Z340" s="1111"/>
      <c r="AA340" s="1111"/>
      <c r="AB340" s="1111"/>
      <c r="AC340" s="1111"/>
      <c r="AD340" s="1111"/>
      <c r="AE340" s="1111"/>
      <c r="AF340" s="1111"/>
      <c r="AG340" s="1111"/>
    </row>
    <row r="341" spans="1:33" s="1295" customFormat="1">
      <c r="A341" s="1264"/>
      <c r="D341" s="1118"/>
      <c r="E341" s="1264"/>
      <c r="F341" s="1118"/>
      <c r="G341" s="1118"/>
      <c r="H341" s="1118"/>
      <c r="I341" s="1118"/>
      <c r="J341" s="1118"/>
      <c r="K341" s="1118"/>
      <c r="L341" s="1118"/>
      <c r="M341" s="1118"/>
      <c r="N341" s="1118"/>
      <c r="O341" s="1118"/>
      <c r="P341" s="1118"/>
      <c r="Q341" s="1111"/>
      <c r="R341" s="1111"/>
      <c r="S341" s="1111"/>
      <c r="T341" s="1111"/>
      <c r="U341" s="1111"/>
      <c r="V341" s="1111"/>
      <c r="W341" s="1111"/>
      <c r="X341" s="1111"/>
      <c r="Y341" s="1111"/>
      <c r="Z341" s="1111"/>
      <c r="AA341" s="1111"/>
      <c r="AB341" s="1111"/>
      <c r="AC341" s="1111"/>
      <c r="AD341" s="1111"/>
      <c r="AE341" s="1111"/>
      <c r="AF341" s="1111"/>
      <c r="AG341" s="1111"/>
    </row>
    <row r="342" spans="1:33" s="1295" customFormat="1">
      <c r="A342" s="1264"/>
      <c r="D342" s="1118"/>
      <c r="E342" s="1264"/>
      <c r="F342" s="1118"/>
      <c r="G342" s="1118"/>
      <c r="H342" s="1118"/>
      <c r="I342" s="1118"/>
      <c r="J342" s="1118"/>
      <c r="K342" s="1118"/>
      <c r="L342" s="1118"/>
      <c r="M342" s="1118"/>
      <c r="N342" s="1118"/>
      <c r="O342" s="1118"/>
      <c r="P342" s="1118"/>
      <c r="Q342" s="1111"/>
      <c r="R342" s="1111"/>
      <c r="S342" s="1111"/>
      <c r="T342" s="1111"/>
      <c r="U342" s="1111"/>
      <c r="V342" s="1111"/>
      <c r="W342" s="1111"/>
      <c r="X342" s="1111"/>
      <c r="Y342" s="1111"/>
      <c r="Z342" s="1111"/>
      <c r="AA342" s="1111"/>
      <c r="AB342" s="1111"/>
      <c r="AC342" s="1111"/>
      <c r="AD342" s="1111"/>
      <c r="AE342" s="1111"/>
      <c r="AF342" s="1111"/>
      <c r="AG342" s="1111"/>
    </row>
    <row r="343" spans="1:33" s="1295" customFormat="1">
      <c r="A343" s="1264"/>
      <c r="D343" s="1118"/>
      <c r="E343" s="1264"/>
      <c r="F343" s="1118"/>
      <c r="G343" s="1118"/>
      <c r="H343" s="1118"/>
      <c r="I343" s="1118"/>
      <c r="J343" s="1118"/>
      <c r="K343" s="1118"/>
      <c r="L343" s="1118"/>
      <c r="M343" s="1118"/>
      <c r="N343" s="1118"/>
      <c r="O343" s="1118"/>
      <c r="P343" s="1118"/>
      <c r="Q343" s="1111"/>
      <c r="R343" s="1111"/>
      <c r="S343" s="1111"/>
      <c r="T343" s="1111"/>
      <c r="U343" s="1111"/>
      <c r="V343" s="1111"/>
      <c r="W343" s="1111"/>
      <c r="X343" s="1111"/>
      <c r="Y343" s="1111"/>
      <c r="Z343" s="1111"/>
      <c r="AA343" s="1111"/>
      <c r="AB343" s="1111"/>
      <c r="AC343" s="1111"/>
      <c r="AD343" s="1111"/>
      <c r="AE343" s="1111"/>
      <c r="AF343" s="1111"/>
      <c r="AG343" s="1111"/>
    </row>
    <row r="344" spans="1:33" s="1295" customFormat="1">
      <c r="A344" s="1264"/>
      <c r="D344" s="1118"/>
      <c r="E344" s="1264"/>
      <c r="F344" s="1118"/>
      <c r="G344" s="1118"/>
      <c r="H344" s="1118"/>
      <c r="I344" s="1118"/>
      <c r="J344" s="1118"/>
      <c r="K344" s="1118"/>
      <c r="L344" s="1118"/>
      <c r="M344" s="1118"/>
      <c r="N344" s="1118"/>
      <c r="O344" s="1118"/>
      <c r="P344" s="1118"/>
      <c r="Q344" s="1111"/>
      <c r="R344" s="1111"/>
      <c r="S344" s="1111"/>
      <c r="T344" s="1111"/>
      <c r="U344" s="1111"/>
      <c r="V344" s="1111"/>
      <c r="W344" s="1111"/>
      <c r="X344" s="1111"/>
      <c r="Y344" s="1111"/>
      <c r="Z344" s="1111"/>
      <c r="AA344" s="1111"/>
      <c r="AB344" s="1111"/>
      <c r="AC344" s="1111"/>
      <c r="AD344" s="1111"/>
      <c r="AE344" s="1111"/>
      <c r="AF344" s="1111"/>
      <c r="AG344" s="1111"/>
    </row>
    <row r="345" spans="1:33" s="1295" customFormat="1">
      <c r="A345" s="1264"/>
      <c r="D345" s="1118"/>
      <c r="E345" s="1264"/>
      <c r="F345" s="1118"/>
      <c r="G345" s="1118"/>
      <c r="H345" s="1118"/>
      <c r="I345" s="1118"/>
      <c r="J345" s="1118"/>
      <c r="K345" s="1118"/>
      <c r="L345" s="1118"/>
      <c r="M345" s="1118"/>
      <c r="N345" s="1118"/>
      <c r="O345" s="1118"/>
      <c r="P345" s="1118"/>
      <c r="Q345" s="1111"/>
      <c r="R345" s="1111"/>
      <c r="S345" s="1111"/>
      <c r="T345" s="1111"/>
      <c r="U345" s="1111"/>
      <c r="V345" s="1111"/>
      <c r="W345" s="1111"/>
      <c r="X345" s="1111"/>
      <c r="Y345" s="1111"/>
      <c r="Z345" s="1111"/>
      <c r="AA345" s="1111"/>
      <c r="AB345" s="1111"/>
      <c r="AC345" s="1111"/>
      <c r="AD345" s="1111"/>
      <c r="AE345" s="1111"/>
      <c r="AF345" s="1111"/>
      <c r="AG345" s="1111"/>
    </row>
    <row r="346" spans="1:33" s="1295" customFormat="1">
      <c r="A346" s="1264"/>
      <c r="D346" s="1118"/>
      <c r="E346" s="1264"/>
      <c r="F346" s="1118"/>
      <c r="G346" s="1118"/>
      <c r="H346" s="1118"/>
      <c r="I346" s="1118"/>
      <c r="J346" s="1118"/>
      <c r="K346" s="1118"/>
      <c r="L346" s="1118"/>
      <c r="M346" s="1118"/>
      <c r="N346" s="1118"/>
      <c r="O346" s="1118"/>
      <c r="P346" s="1118"/>
      <c r="Q346" s="1111"/>
      <c r="R346" s="1111"/>
      <c r="S346" s="1111"/>
      <c r="T346" s="1111"/>
      <c r="U346" s="1111"/>
      <c r="V346" s="1111"/>
      <c r="W346" s="1111"/>
      <c r="X346" s="1111"/>
      <c r="Y346" s="1111"/>
      <c r="Z346" s="1111"/>
      <c r="AA346" s="1111"/>
      <c r="AB346" s="1111"/>
      <c r="AC346" s="1111"/>
      <c r="AD346" s="1111"/>
      <c r="AE346" s="1111"/>
      <c r="AF346" s="1111"/>
      <c r="AG346" s="1111"/>
    </row>
    <row r="347" spans="1:33" s="1295" customFormat="1">
      <c r="A347" s="1264"/>
      <c r="D347" s="1118"/>
      <c r="E347" s="1264"/>
      <c r="F347" s="1118"/>
      <c r="G347" s="1118"/>
      <c r="H347" s="1118"/>
      <c r="I347" s="1118"/>
      <c r="J347" s="1118"/>
      <c r="K347" s="1118"/>
      <c r="L347" s="1118"/>
      <c r="M347" s="1118"/>
      <c r="N347" s="1118"/>
      <c r="O347" s="1118"/>
      <c r="P347" s="1118"/>
      <c r="Q347" s="1111"/>
      <c r="R347" s="1111"/>
      <c r="S347" s="1111"/>
      <c r="T347" s="1111"/>
      <c r="U347" s="1111"/>
      <c r="V347" s="1111"/>
      <c r="W347" s="1111"/>
      <c r="X347" s="1111"/>
      <c r="Y347" s="1111"/>
      <c r="Z347" s="1111"/>
      <c r="AA347" s="1111"/>
      <c r="AB347" s="1111"/>
      <c r="AC347" s="1111"/>
      <c r="AD347" s="1111"/>
      <c r="AE347" s="1111"/>
      <c r="AF347" s="1111"/>
      <c r="AG347" s="1111"/>
    </row>
    <row r="348" spans="1:33" s="1295" customFormat="1">
      <c r="A348" s="1264"/>
      <c r="D348" s="1118"/>
      <c r="E348" s="1264"/>
      <c r="F348" s="1118"/>
      <c r="G348" s="1118"/>
      <c r="H348" s="1118"/>
      <c r="I348" s="1118"/>
      <c r="J348" s="1118"/>
      <c r="K348" s="1118"/>
      <c r="L348" s="1118"/>
      <c r="M348" s="1118"/>
      <c r="N348" s="1118"/>
      <c r="O348" s="1118"/>
      <c r="P348" s="1118"/>
      <c r="Q348" s="1111"/>
      <c r="R348" s="1111"/>
      <c r="S348" s="1111"/>
      <c r="T348" s="1111"/>
      <c r="U348" s="1111"/>
      <c r="V348" s="1111"/>
      <c r="W348" s="1111"/>
      <c r="X348" s="1111"/>
      <c r="Y348" s="1111"/>
      <c r="Z348" s="1111"/>
      <c r="AA348" s="1111"/>
      <c r="AB348" s="1111"/>
      <c r="AC348" s="1111"/>
      <c r="AD348" s="1111"/>
      <c r="AE348" s="1111"/>
      <c r="AF348" s="1111"/>
      <c r="AG348" s="1111"/>
    </row>
    <row r="349" spans="1:33" s="1295" customFormat="1">
      <c r="A349" s="1264"/>
      <c r="D349" s="1118"/>
      <c r="E349" s="1264"/>
      <c r="F349" s="1118"/>
      <c r="G349" s="1118"/>
      <c r="H349" s="1118"/>
      <c r="I349" s="1118"/>
      <c r="J349" s="1118"/>
      <c r="K349" s="1118"/>
      <c r="L349" s="1118"/>
      <c r="M349" s="1118"/>
      <c r="N349" s="1118"/>
      <c r="O349" s="1118"/>
      <c r="P349" s="1118"/>
      <c r="Q349" s="1111"/>
      <c r="R349" s="1111"/>
      <c r="S349" s="1111"/>
      <c r="T349" s="1111"/>
      <c r="U349" s="1111"/>
      <c r="V349" s="1111"/>
      <c r="W349" s="1111"/>
      <c r="X349" s="1111"/>
      <c r="Y349" s="1111"/>
      <c r="Z349" s="1111"/>
      <c r="AA349" s="1111"/>
      <c r="AB349" s="1111"/>
      <c r="AC349" s="1111"/>
      <c r="AD349" s="1111"/>
      <c r="AE349" s="1111"/>
      <c r="AF349" s="1111"/>
      <c r="AG349" s="1111"/>
    </row>
    <row r="350" spans="1:33" s="1295" customFormat="1">
      <c r="A350" s="1264"/>
      <c r="D350" s="1118"/>
      <c r="E350" s="1264"/>
      <c r="F350" s="1118"/>
      <c r="G350" s="1118"/>
      <c r="H350" s="1118"/>
      <c r="I350" s="1118"/>
      <c r="J350" s="1118"/>
      <c r="K350" s="1118"/>
      <c r="L350" s="1118"/>
      <c r="M350" s="1118"/>
      <c r="N350" s="1118"/>
      <c r="O350" s="1118"/>
      <c r="P350" s="1118"/>
      <c r="Q350" s="1111"/>
      <c r="R350" s="1111"/>
      <c r="S350" s="1111"/>
      <c r="T350" s="1111"/>
      <c r="U350" s="1111"/>
      <c r="V350" s="1111"/>
      <c r="W350" s="1111"/>
      <c r="X350" s="1111"/>
      <c r="Y350" s="1111"/>
      <c r="Z350" s="1111"/>
      <c r="AA350" s="1111"/>
      <c r="AB350" s="1111"/>
      <c r="AC350" s="1111"/>
      <c r="AD350" s="1111"/>
      <c r="AE350" s="1111"/>
      <c r="AF350" s="1111"/>
      <c r="AG350" s="1111"/>
    </row>
    <row r="351" spans="1:33" s="1295" customFormat="1">
      <c r="A351" s="1264"/>
      <c r="D351" s="1118"/>
      <c r="E351" s="1264"/>
      <c r="F351" s="1118"/>
      <c r="G351" s="1118"/>
      <c r="H351" s="1118"/>
      <c r="I351" s="1118"/>
      <c r="J351" s="1118"/>
      <c r="K351" s="1118"/>
      <c r="L351" s="1118"/>
      <c r="M351" s="1118"/>
      <c r="N351" s="1118"/>
      <c r="O351" s="1118"/>
      <c r="P351" s="1118"/>
      <c r="Q351" s="1111"/>
      <c r="R351" s="1111"/>
      <c r="S351" s="1111"/>
      <c r="T351" s="1111"/>
      <c r="U351" s="1111"/>
      <c r="V351" s="1111"/>
      <c r="W351" s="1111"/>
      <c r="X351" s="1111"/>
      <c r="Y351" s="1111"/>
      <c r="Z351" s="1111"/>
      <c r="AA351" s="1111"/>
      <c r="AB351" s="1111"/>
      <c r="AC351" s="1111"/>
      <c r="AD351" s="1111"/>
      <c r="AE351" s="1111"/>
      <c r="AF351" s="1111"/>
      <c r="AG351" s="1111"/>
    </row>
    <row r="352" spans="1:33" s="1295" customFormat="1">
      <c r="A352" s="1264"/>
      <c r="D352" s="1118"/>
      <c r="E352" s="1264"/>
      <c r="F352" s="1118"/>
      <c r="G352" s="1118"/>
      <c r="H352" s="1118"/>
      <c r="I352" s="1118"/>
      <c r="J352" s="1118"/>
      <c r="K352" s="1118"/>
      <c r="L352" s="1118"/>
      <c r="M352" s="1118"/>
      <c r="N352" s="1118"/>
      <c r="O352" s="1118"/>
      <c r="P352" s="1118"/>
      <c r="Q352" s="1111"/>
      <c r="R352" s="1111"/>
      <c r="S352" s="1111"/>
      <c r="T352" s="1111"/>
      <c r="U352" s="1111"/>
      <c r="V352" s="1111"/>
      <c r="W352" s="1111"/>
      <c r="X352" s="1111"/>
      <c r="Y352" s="1111"/>
      <c r="Z352" s="1111"/>
      <c r="AA352" s="1111"/>
      <c r="AB352" s="1111"/>
      <c r="AC352" s="1111"/>
      <c r="AD352" s="1111"/>
      <c r="AE352" s="1111"/>
      <c r="AF352" s="1111"/>
      <c r="AG352" s="1111"/>
    </row>
    <row r="353" spans="1:33" s="1295" customFormat="1">
      <c r="A353" s="1264"/>
      <c r="D353" s="1118"/>
      <c r="E353" s="1264"/>
      <c r="F353" s="1118"/>
      <c r="G353" s="1118"/>
      <c r="H353" s="1118"/>
      <c r="I353" s="1118"/>
      <c r="J353" s="1118"/>
      <c r="K353" s="1118"/>
      <c r="L353" s="1118"/>
      <c r="M353" s="1118"/>
      <c r="N353" s="1118"/>
      <c r="O353" s="1118"/>
      <c r="P353" s="1118"/>
      <c r="Q353" s="1111"/>
      <c r="R353" s="1111"/>
      <c r="S353" s="1111"/>
      <c r="T353" s="1111"/>
      <c r="U353" s="1111"/>
      <c r="V353" s="1111"/>
      <c r="W353" s="1111"/>
      <c r="X353" s="1111"/>
      <c r="Y353" s="1111"/>
      <c r="Z353" s="1111"/>
      <c r="AA353" s="1111"/>
      <c r="AB353" s="1111"/>
      <c r="AC353" s="1111"/>
      <c r="AD353" s="1111"/>
      <c r="AE353" s="1111"/>
      <c r="AF353" s="1111"/>
      <c r="AG353" s="1111"/>
    </row>
    <row r="354" spans="1:33" s="1295" customFormat="1">
      <c r="A354" s="1264"/>
      <c r="D354" s="1118"/>
      <c r="E354" s="1264"/>
      <c r="F354" s="1118"/>
      <c r="G354" s="1118"/>
      <c r="H354" s="1118"/>
      <c r="I354" s="1118"/>
      <c r="J354" s="1118"/>
      <c r="K354" s="1118"/>
      <c r="L354" s="1118"/>
      <c r="M354" s="1118"/>
      <c r="N354" s="1118"/>
      <c r="O354" s="1118"/>
      <c r="P354" s="1118"/>
      <c r="Q354" s="1111"/>
      <c r="R354" s="1111"/>
      <c r="S354" s="1111"/>
      <c r="T354" s="1111"/>
      <c r="U354" s="1111"/>
      <c r="V354" s="1111"/>
      <c r="W354" s="1111"/>
      <c r="X354" s="1111"/>
      <c r="Y354" s="1111"/>
      <c r="Z354" s="1111"/>
      <c r="AA354" s="1111"/>
      <c r="AB354" s="1111"/>
      <c r="AC354" s="1111"/>
      <c r="AD354" s="1111"/>
      <c r="AE354" s="1111"/>
      <c r="AF354" s="1111"/>
      <c r="AG354" s="1111"/>
    </row>
    <row r="355" spans="1:33" s="1295" customFormat="1">
      <c r="A355" s="1264"/>
      <c r="D355" s="1118"/>
      <c r="E355" s="1264"/>
      <c r="F355" s="1118"/>
      <c r="G355" s="1118"/>
      <c r="H355" s="1118"/>
      <c r="I355" s="1118"/>
      <c r="J355" s="1118"/>
      <c r="K355" s="1118"/>
      <c r="L355" s="1118"/>
      <c r="M355" s="1118"/>
      <c r="N355" s="1118"/>
      <c r="O355" s="1118"/>
      <c r="P355" s="1118"/>
      <c r="Q355" s="1111"/>
      <c r="R355" s="1111"/>
      <c r="S355" s="1111"/>
      <c r="T355" s="1111"/>
      <c r="U355" s="1111"/>
      <c r="V355" s="1111"/>
      <c r="W355" s="1111"/>
      <c r="X355" s="1111"/>
      <c r="Y355" s="1111"/>
      <c r="Z355" s="1111"/>
      <c r="AA355" s="1111"/>
      <c r="AB355" s="1111"/>
      <c r="AC355" s="1111"/>
      <c r="AD355" s="1111"/>
      <c r="AE355" s="1111"/>
      <c r="AF355" s="1111"/>
      <c r="AG355" s="1111"/>
    </row>
    <row r="356" spans="1:33" s="1295" customFormat="1">
      <c r="A356" s="1264"/>
      <c r="D356" s="1118"/>
      <c r="E356" s="1264"/>
      <c r="F356" s="1118"/>
      <c r="G356" s="1118"/>
      <c r="H356" s="1118"/>
      <c r="I356" s="1118"/>
      <c r="J356" s="1118"/>
      <c r="K356" s="1118"/>
      <c r="L356" s="1118"/>
      <c r="M356" s="1118"/>
      <c r="N356" s="1118"/>
      <c r="O356" s="1118"/>
      <c r="P356" s="1118"/>
      <c r="Q356" s="1111"/>
      <c r="R356" s="1111"/>
      <c r="S356" s="1111"/>
      <c r="T356" s="1111"/>
      <c r="U356" s="1111"/>
      <c r="V356" s="1111"/>
      <c r="W356" s="1111"/>
      <c r="X356" s="1111"/>
      <c r="Y356" s="1111"/>
      <c r="Z356" s="1111"/>
      <c r="AA356" s="1111"/>
      <c r="AB356" s="1111"/>
      <c r="AC356" s="1111"/>
      <c r="AD356" s="1111"/>
      <c r="AE356" s="1111"/>
      <c r="AF356" s="1111"/>
      <c r="AG356" s="1111"/>
    </row>
    <row r="357" spans="1:33" s="1295" customFormat="1">
      <c r="A357" s="1264"/>
      <c r="D357" s="1118"/>
      <c r="E357" s="1264"/>
      <c r="F357" s="1118"/>
      <c r="G357" s="1118"/>
      <c r="H357" s="1118"/>
      <c r="I357" s="1118"/>
      <c r="J357" s="1118"/>
      <c r="K357" s="1118"/>
      <c r="L357" s="1118"/>
      <c r="M357" s="1118"/>
      <c r="N357" s="1118"/>
      <c r="O357" s="1118"/>
      <c r="P357" s="1118"/>
      <c r="Q357" s="1111"/>
      <c r="R357" s="1111"/>
      <c r="S357" s="1111"/>
      <c r="T357" s="1111"/>
      <c r="U357" s="1111"/>
      <c r="V357" s="1111"/>
      <c r="W357" s="1111"/>
      <c r="X357" s="1111"/>
      <c r="Y357" s="1111"/>
      <c r="Z357" s="1111"/>
      <c r="AA357" s="1111"/>
      <c r="AB357" s="1111"/>
      <c r="AC357" s="1111"/>
      <c r="AD357" s="1111"/>
      <c r="AE357" s="1111"/>
      <c r="AF357" s="1111"/>
      <c r="AG357" s="1111"/>
    </row>
    <row r="358" spans="1:33" s="1295" customFormat="1">
      <c r="A358" s="1264"/>
      <c r="D358" s="1118"/>
      <c r="E358" s="1264"/>
      <c r="F358" s="1118"/>
      <c r="G358" s="1118"/>
      <c r="H358" s="1118"/>
      <c r="I358" s="1118"/>
      <c r="J358" s="1118"/>
      <c r="K358" s="1118"/>
      <c r="L358" s="1118"/>
      <c r="M358" s="1118"/>
      <c r="N358" s="1118"/>
      <c r="O358" s="1118"/>
      <c r="P358" s="1118"/>
      <c r="Q358" s="1111"/>
      <c r="R358" s="1111"/>
      <c r="S358" s="1111"/>
      <c r="T358" s="1111"/>
      <c r="U358" s="1111"/>
      <c r="V358" s="1111"/>
      <c r="W358" s="1111"/>
      <c r="X358" s="1111"/>
      <c r="Y358" s="1111"/>
      <c r="Z358" s="1111"/>
      <c r="AA358" s="1111"/>
      <c r="AB358" s="1111"/>
      <c r="AC358" s="1111"/>
      <c r="AD358" s="1111"/>
      <c r="AE358" s="1111"/>
      <c r="AF358" s="1111"/>
      <c r="AG358" s="1111"/>
    </row>
    <row r="359" spans="1:33" s="1295" customFormat="1">
      <c r="A359" s="1264"/>
      <c r="D359" s="1118"/>
      <c r="E359" s="1264"/>
      <c r="F359" s="1118"/>
      <c r="G359" s="1118"/>
      <c r="H359" s="1118"/>
      <c r="I359" s="1118"/>
      <c r="J359" s="1118"/>
      <c r="K359" s="1118"/>
      <c r="L359" s="1118"/>
      <c r="M359" s="1118"/>
      <c r="N359" s="1118"/>
      <c r="O359" s="1118"/>
      <c r="P359" s="1118"/>
      <c r="Q359" s="1111"/>
      <c r="R359" s="1111"/>
      <c r="S359" s="1111"/>
      <c r="T359" s="1111"/>
      <c r="U359" s="1111"/>
      <c r="V359" s="1111"/>
      <c r="W359" s="1111"/>
      <c r="X359" s="1111"/>
      <c r="Y359" s="1111"/>
      <c r="Z359" s="1111"/>
      <c r="AA359" s="1111"/>
      <c r="AB359" s="1111"/>
      <c r="AC359" s="1111"/>
      <c r="AD359" s="1111"/>
      <c r="AE359" s="1111"/>
      <c r="AF359" s="1111"/>
      <c r="AG359" s="1111"/>
    </row>
    <row r="360" spans="1:33" s="1295" customFormat="1">
      <c r="A360" s="1264"/>
      <c r="D360" s="1118"/>
      <c r="E360" s="1264"/>
      <c r="F360" s="1118"/>
      <c r="G360" s="1118"/>
      <c r="H360" s="1118"/>
      <c r="I360" s="1118"/>
      <c r="J360" s="1118"/>
      <c r="K360" s="1118"/>
      <c r="L360" s="1118"/>
      <c r="M360" s="1118"/>
      <c r="N360" s="1118"/>
      <c r="O360" s="1118"/>
      <c r="P360" s="1118"/>
      <c r="Q360" s="1111"/>
      <c r="R360" s="1111"/>
      <c r="S360" s="1111"/>
      <c r="T360" s="1111"/>
      <c r="U360" s="1111"/>
      <c r="V360" s="1111"/>
      <c r="W360" s="1111"/>
      <c r="X360" s="1111"/>
      <c r="Y360" s="1111"/>
      <c r="Z360" s="1111"/>
      <c r="AA360" s="1111"/>
      <c r="AB360" s="1111"/>
      <c r="AC360" s="1111"/>
      <c r="AD360" s="1111"/>
      <c r="AE360" s="1111"/>
      <c r="AF360" s="1111"/>
      <c r="AG360" s="1111"/>
    </row>
    <row r="361" spans="1:33" s="1295" customFormat="1">
      <c r="A361" s="1264"/>
      <c r="D361" s="1118"/>
      <c r="E361" s="1264"/>
      <c r="F361" s="1118"/>
      <c r="G361" s="1118"/>
      <c r="H361" s="1118"/>
      <c r="I361" s="1118"/>
      <c r="J361" s="1118"/>
      <c r="K361" s="1118"/>
      <c r="L361" s="1118"/>
      <c r="M361" s="1118"/>
      <c r="N361" s="1118"/>
      <c r="O361" s="1118"/>
      <c r="P361" s="1118"/>
      <c r="Q361" s="1111"/>
      <c r="R361" s="1111"/>
      <c r="S361" s="1111"/>
      <c r="T361" s="1111"/>
      <c r="U361" s="1111"/>
      <c r="V361" s="1111"/>
      <c r="W361" s="1111"/>
      <c r="X361" s="1111"/>
      <c r="Y361" s="1111"/>
      <c r="Z361" s="1111"/>
      <c r="AA361" s="1111"/>
      <c r="AB361" s="1111"/>
      <c r="AC361" s="1111"/>
      <c r="AD361" s="1111"/>
      <c r="AE361" s="1111"/>
      <c r="AF361" s="1111"/>
      <c r="AG361" s="1111"/>
    </row>
    <row r="362" spans="1:33" s="1295" customFormat="1">
      <c r="A362" s="1264"/>
      <c r="D362" s="1118"/>
      <c r="E362" s="1264"/>
      <c r="F362" s="1118"/>
      <c r="G362" s="1118"/>
      <c r="H362" s="1118"/>
      <c r="I362" s="1118"/>
      <c r="J362" s="1118"/>
      <c r="K362" s="1118"/>
      <c r="L362" s="1118"/>
      <c r="M362" s="1118"/>
      <c r="N362" s="1118"/>
      <c r="O362" s="1118"/>
      <c r="P362" s="1118"/>
      <c r="Q362" s="1111"/>
      <c r="R362" s="1111"/>
      <c r="S362" s="1111"/>
      <c r="T362" s="1111"/>
      <c r="U362" s="1111"/>
      <c r="V362" s="1111"/>
      <c r="W362" s="1111"/>
      <c r="X362" s="1111"/>
      <c r="Y362" s="1111"/>
      <c r="Z362" s="1111"/>
      <c r="AA362" s="1111"/>
      <c r="AB362" s="1111"/>
      <c r="AC362" s="1111"/>
      <c r="AD362" s="1111"/>
      <c r="AE362" s="1111"/>
      <c r="AF362" s="1111"/>
      <c r="AG362" s="1111"/>
    </row>
    <row r="363" spans="1:33" s="1295" customFormat="1">
      <c r="A363" s="1264"/>
      <c r="D363" s="1118"/>
      <c r="E363" s="1264"/>
      <c r="F363" s="1118"/>
      <c r="G363" s="1118"/>
      <c r="H363" s="1118"/>
      <c r="I363" s="1118"/>
      <c r="J363" s="1118"/>
      <c r="K363" s="1118"/>
      <c r="L363" s="1118"/>
      <c r="M363" s="1118"/>
      <c r="N363" s="1118"/>
      <c r="O363" s="1118"/>
      <c r="P363" s="1118"/>
      <c r="Q363" s="1111"/>
      <c r="R363" s="1111"/>
      <c r="S363" s="1111"/>
      <c r="T363" s="1111"/>
      <c r="U363" s="1111"/>
      <c r="V363" s="1111"/>
      <c r="W363" s="1111"/>
      <c r="X363" s="1111"/>
      <c r="Y363" s="1111"/>
      <c r="Z363" s="1111"/>
      <c r="AA363" s="1111"/>
      <c r="AB363" s="1111"/>
      <c r="AC363" s="1111"/>
      <c r="AD363" s="1111"/>
      <c r="AE363" s="1111"/>
      <c r="AF363" s="1111"/>
      <c r="AG363" s="1111"/>
    </row>
    <row r="364" spans="1:33" s="1295" customFormat="1">
      <c r="A364" s="1264"/>
      <c r="D364" s="1118"/>
      <c r="E364" s="1264"/>
      <c r="F364" s="1118"/>
      <c r="G364" s="1118"/>
      <c r="H364" s="1118"/>
      <c r="I364" s="1118"/>
      <c r="J364" s="1118"/>
      <c r="K364" s="1118"/>
      <c r="L364" s="1118"/>
      <c r="M364" s="1118"/>
      <c r="N364" s="1118"/>
      <c r="O364" s="1118"/>
      <c r="P364" s="1118"/>
      <c r="Q364" s="1111"/>
      <c r="R364" s="1111"/>
      <c r="S364" s="1111"/>
      <c r="T364" s="1111"/>
      <c r="U364" s="1111"/>
      <c r="V364" s="1111"/>
      <c r="W364" s="1111"/>
      <c r="X364" s="1111"/>
      <c r="Y364" s="1111"/>
      <c r="Z364" s="1111"/>
      <c r="AA364" s="1111"/>
      <c r="AB364" s="1111"/>
      <c r="AC364" s="1111"/>
      <c r="AD364" s="1111"/>
      <c r="AE364" s="1111"/>
      <c r="AF364" s="1111"/>
      <c r="AG364" s="1111"/>
    </row>
    <row r="365" spans="1:33" s="1295" customFormat="1">
      <c r="A365" s="1264"/>
      <c r="D365" s="1118"/>
      <c r="E365" s="1264"/>
      <c r="F365" s="1118"/>
      <c r="G365" s="1118"/>
      <c r="H365" s="1118"/>
      <c r="I365" s="1118"/>
      <c r="J365" s="1118"/>
      <c r="K365" s="1118"/>
      <c r="L365" s="1118"/>
      <c r="M365" s="1118"/>
      <c r="N365" s="1118"/>
      <c r="O365" s="1118"/>
      <c r="P365" s="1118"/>
      <c r="Q365" s="1111"/>
      <c r="R365" s="1111"/>
      <c r="S365" s="1111"/>
      <c r="T365" s="1111"/>
      <c r="U365" s="1111"/>
      <c r="V365" s="1111"/>
      <c r="W365" s="1111"/>
      <c r="X365" s="1111"/>
      <c r="Y365" s="1111"/>
      <c r="Z365" s="1111"/>
      <c r="AA365" s="1111"/>
      <c r="AB365" s="1111"/>
      <c r="AC365" s="1111"/>
      <c r="AD365" s="1111"/>
      <c r="AE365" s="1111"/>
      <c r="AF365" s="1111"/>
      <c r="AG365" s="1111"/>
    </row>
    <row r="366" spans="1:33" s="1295" customFormat="1">
      <c r="A366" s="1264"/>
      <c r="D366" s="1118"/>
      <c r="E366" s="1264"/>
      <c r="F366" s="1118"/>
      <c r="G366" s="1118"/>
      <c r="H366" s="1118"/>
      <c r="I366" s="1118"/>
      <c r="J366" s="1118"/>
      <c r="K366" s="1118"/>
      <c r="L366" s="1118"/>
      <c r="M366" s="1118"/>
      <c r="N366" s="1118"/>
      <c r="O366" s="1118"/>
      <c r="P366" s="1118"/>
      <c r="Q366" s="1111"/>
      <c r="R366" s="1111"/>
      <c r="S366" s="1111"/>
      <c r="T366" s="1111"/>
      <c r="U366" s="1111"/>
      <c r="V366" s="1111"/>
      <c r="W366" s="1111"/>
      <c r="X366" s="1111"/>
      <c r="Y366" s="1111"/>
      <c r="Z366" s="1111"/>
      <c r="AA366" s="1111"/>
      <c r="AB366" s="1111"/>
      <c r="AC366" s="1111"/>
      <c r="AD366" s="1111"/>
      <c r="AE366" s="1111"/>
      <c r="AF366" s="1111"/>
      <c r="AG366" s="1111"/>
    </row>
    <row r="367" spans="1:33" s="1295" customFormat="1">
      <c r="A367" s="1264"/>
      <c r="D367" s="1118"/>
      <c r="E367" s="1264"/>
      <c r="F367" s="1118"/>
      <c r="G367" s="1118"/>
      <c r="H367" s="1118"/>
      <c r="I367" s="1118"/>
      <c r="J367" s="1118"/>
      <c r="K367" s="1118"/>
      <c r="L367" s="1118"/>
      <c r="M367" s="1118"/>
      <c r="N367" s="1118"/>
      <c r="O367" s="1118"/>
      <c r="P367" s="1118"/>
      <c r="Q367" s="1111"/>
      <c r="R367" s="1111"/>
      <c r="S367" s="1111"/>
      <c r="T367" s="1111"/>
      <c r="U367" s="1111"/>
      <c r="V367" s="1111"/>
      <c r="W367" s="1111"/>
      <c r="X367" s="1111"/>
      <c r="Y367" s="1111"/>
      <c r="Z367" s="1111"/>
      <c r="AA367" s="1111"/>
      <c r="AB367" s="1111"/>
      <c r="AC367" s="1111"/>
      <c r="AD367" s="1111"/>
      <c r="AE367" s="1111"/>
      <c r="AF367" s="1111"/>
      <c r="AG367" s="1111"/>
    </row>
    <row r="368" spans="1:33" s="1295" customFormat="1">
      <c r="A368" s="1264"/>
      <c r="D368" s="1118"/>
      <c r="E368" s="1264"/>
      <c r="F368" s="1118"/>
      <c r="G368" s="1118"/>
      <c r="H368" s="1118"/>
      <c r="I368" s="1118"/>
      <c r="J368" s="1118"/>
      <c r="K368" s="1118"/>
      <c r="L368" s="1118"/>
      <c r="M368" s="1118"/>
      <c r="N368" s="1118"/>
      <c r="O368" s="1118"/>
      <c r="P368" s="1118"/>
      <c r="Q368" s="1111"/>
      <c r="R368" s="1111"/>
      <c r="S368" s="1111"/>
      <c r="T368" s="1111"/>
      <c r="U368" s="1111"/>
      <c r="V368" s="1111"/>
      <c r="W368" s="1111"/>
      <c r="X368" s="1111"/>
      <c r="Y368" s="1111"/>
      <c r="Z368" s="1111"/>
      <c r="AA368" s="1111"/>
      <c r="AB368" s="1111"/>
      <c r="AC368" s="1111"/>
      <c r="AD368" s="1111"/>
      <c r="AE368" s="1111"/>
      <c r="AF368" s="1111"/>
      <c r="AG368" s="1111"/>
    </row>
    <row r="369" spans="1:33" s="1295" customFormat="1">
      <c r="A369" s="1264"/>
      <c r="D369" s="1118"/>
      <c r="E369" s="1264"/>
      <c r="F369" s="1118"/>
      <c r="G369" s="1118"/>
      <c r="H369" s="1118"/>
      <c r="I369" s="1118"/>
      <c r="J369" s="1118"/>
      <c r="K369" s="1118"/>
      <c r="L369" s="1118"/>
      <c r="M369" s="1118"/>
      <c r="N369" s="1118"/>
      <c r="O369" s="1118"/>
      <c r="P369" s="1118"/>
      <c r="Q369" s="1111"/>
      <c r="R369" s="1111"/>
      <c r="S369" s="1111"/>
      <c r="T369" s="1111"/>
      <c r="U369" s="1111"/>
      <c r="V369" s="1111"/>
      <c r="W369" s="1111"/>
      <c r="X369" s="1111"/>
      <c r="Y369" s="1111"/>
      <c r="Z369" s="1111"/>
      <c r="AA369" s="1111"/>
      <c r="AB369" s="1111"/>
      <c r="AC369" s="1111"/>
      <c r="AD369" s="1111"/>
      <c r="AE369" s="1111"/>
      <c r="AF369" s="1111"/>
      <c r="AG369" s="1111"/>
    </row>
    <row r="370" spans="1:33" s="1295" customFormat="1">
      <c r="A370" s="1264"/>
      <c r="D370" s="1118"/>
      <c r="E370" s="1264"/>
      <c r="F370" s="1118"/>
      <c r="G370" s="1118"/>
      <c r="H370" s="1118"/>
      <c r="I370" s="1118"/>
      <c r="J370" s="1118"/>
      <c r="K370" s="1118"/>
      <c r="L370" s="1118"/>
      <c r="M370" s="1118"/>
      <c r="N370" s="1118"/>
      <c r="O370" s="1118"/>
      <c r="P370" s="1118"/>
      <c r="Q370" s="1111"/>
      <c r="R370" s="1111"/>
      <c r="S370" s="1111"/>
      <c r="T370" s="1111"/>
      <c r="U370" s="1111"/>
      <c r="V370" s="1111"/>
      <c r="W370" s="1111"/>
      <c r="X370" s="1111"/>
      <c r="Y370" s="1111"/>
      <c r="Z370" s="1111"/>
      <c r="AA370" s="1111"/>
      <c r="AB370" s="1111"/>
      <c r="AC370" s="1111"/>
      <c r="AD370" s="1111"/>
      <c r="AE370" s="1111"/>
      <c r="AF370" s="1111"/>
      <c r="AG370" s="1111"/>
    </row>
    <row r="371" spans="1:33" s="1295" customFormat="1">
      <c r="A371" s="1264"/>
      <c r="D371" s="1118"/>
      <c r="E371" s="1264"/>
      <c r="F371" s="1118"/>
      <c r="G371" s="1118"/>
      <c r="H371" s="1118"/>
      <c r="I371" s="1118"/>
      <c r="J371" s="1118"/>
      <c r="K371" s="1118"/>
      <c r="L371" s="1118"/>
      <c r="M371" s="1118"/>
      <c r="N371" s="1118"/>
      <c r="O371" s="1118"/>
      <c r="P371" s="1118"/>
      <c r="Q371" s="1111"/>
      <c r="R371" s="1111"/>
      <c r="S371" s="1111"/>
      <c r="T371" s="1111"/>
      <c r="U371" s="1111"/>
      <c r="V371" s="1111"/>
      <c r="W371" s="1111"/>
      <c r="X371" s="1111"/>
      <c r="Y371" s="1111"/>
      <c r="Z371" s="1111"/>
      <c r="AA371" s="1111"/>
      <c r="AB371" s="1111"/>
      <c r="AC371" s="1111"/>
      <c r="AD371" s="1111"/>
      <c r="AE371" s="1111"/>
      <c r="AF371" s="1111"/>
      <c r="AG371" s="1111"/>
    </row>
    <row r="372" spans="1:33" s="1295" customFormat="1">
      <c r="A372" s="1264"/>
      <c r="D372" s="1118"/>
      <c r="E372" s="1264"/>
      <c r="F372" s="1118"/>
      <c r="G372" s="1118"/>
      <c r="H372" s="1118"/>
      <c r="I372" s="1118"/>
      <c r="J372" s="1118"/>
      <c r="K372" s="1118"/>
      <c r="L372" s="1118"/>
      <c r="M372" s="1118"/>
      <c r="N372" s="1118"/>
      <c r="O372" s="1118"/>
      <c r="P372" s="1118"/>
      <c r="Q372" s="1111"/>
      <c r="R372" s="1111"/>
      <c r="S372" s="1111"/>
      <c r="T372" s="1111"/>
      <c r="U372" s="1111"/>
      <c r="V372" s="1111"/>
      <c r="W372" s="1111"/>
      <c r="X372" s="1111"/>
      <c r="Y372" s="1111"/>
      <c r="Z372" s="1111"/>
      <c r="AA372" s="1111"/>
      <c r="AB372" s="1111"/>
      <c r="AC372" s="1111"/>
      <c r="AD372" s="1111"/>
      <c r="AE372" s="1111"/>
      <c r="AF372" s="1111"/>
      <c r="AG372" s="1111"/>
    </row>
    <row r="373" spans="1:33" s="1295" customFormat="1">
      <c r="A373" s="1264"/>
      <c r="D373" s="1118"/>
      <c r="E373" s="1264"/>
      <c r="F373" s="1118"/>
      <c r="G373" s="1118"/>
      <c r="H373" s="1118"/>
      <c r="I373" s="1118"/>
      <c r="J373" s="1118"/>
      <c r="K373" s="1118"/>
      <c r="L373" s="1118"/>
      <c r="M373" s="1118"/>
      <c r="N373" s="1118"/>
      <c r="O373" s="1118"/>
      <c r="P373" s="1118"/>
      <c r="Q373" s="1111"/>
      <c r="R373" s="1111"/>
      <c r="S373" s="1111"/>
      <c r="T373" s="1111"/>
      <c r="U373" s="1111"/>
      <c r="V373" s="1111"/>
      <c r="W373" s="1111"/>
      <c r="X373" s="1111"/>
      <c r="Y373" s="1111"/>
      <c r="Z373" s="1111"/>
      <c r="AA373" s="1111"/>
      <c r="AB373" s="1111"/>
      <c r="AC373" s="1111"/>
      <c r="AD373" s="1111"/>
      <c r="AE373" s="1111"/>
      <c r="AF373" s="1111"/>
      <c r="AG373" s="1111"/>
    </row>
    <row r="374" spans="1:33" s="1295" customFormat="1">
      <c r="A374" s="1264"/>
      <c r="D374" s="1118"/>
      <c r="E374" s="1264"/>
      <c r="F374" s="1118"/>
      <c r="G374" s="1118"/>
      <c r="H374" s="1118"/>
      <c r="I374" s="1118"/>
      <c r="J374" s="1118"/>
      <c r="K374" s="1118"/>
      <c r="L374" s="1118"/>
      <c r="M374" s="1118"/>
      <c r="N374" s="1118"/>
      <c r="O374" s="1118"/>
      <c r="P374" s="1118"/>
      <c r="Q374" s="1111"/>
      <c r="R374" s="1111"/>
      <c r="S374" s="1111"/>
      <c r="T374" s="1111"/>
      <c r="U374" s="1111"/>
      <c r="V374" s="1111"/>
      <c r="W374" s="1111"/>
      <c r="X374" s="1111"/>
      <c r="Y374" s="1111"/>
      <c r="Z374" s="1111"/>
      <c r="AA374" s="1111"/>
      <c r="AB374" s="1111"/>
      <c r="AC374" s="1111"/>
      <c r="AD374" s="1111"/>
      <c r="AE374" s="1111"/>
      <c r="AF374" s="1111"/>
      <c r="AG374" s="1111"/>
    </row>
    <row r="375" spans="1:33" s="1295" customFormat="1">
      <c r="A375" s="1264"/>
      <c r="D375" s="1118"/>
      <c r="E375" s="1264"/>
      <c r="F375" s="1118"/>
      <c r="G375" s="1118"/>
      <c r="H375" s="1118"/>
      <c r="I375" s="1118"/>
      <c r="J375" s="1118"/>
      <c r="K375" s="1118"/>
      <c r="L375" s="1118"/>
      <c r="M375" s="1118"/>
      <c r="N375" s="1118"/>
      <c r="O375" s="1118"/>
      <c r="P375" s="1118"/>
      <c r="Q375" s="1111"/>
      <c r="R375" s="1111"/>
      <c r="S375" s="1111"/>
      <c r="T375" s="1111"/>
      <c r="U375" s="1111"/>
      <c r="V375" s="1111"/>
      <c r="W375" s="1111"/>
      <c r="X375" s="1111"/>
      <c r="Y375" s="1111"/>
      <c r="Z375" s="1111"/>
      <c r="AA375" s="1111"/>
      <c r="AB375" s="1111"/>
      <c r="AC375" s="1111"/>
      <c r="AD375" s="1111"/>
      <c r="AE375" s="1111"/>
      <c r="AF375" s="1111"/>
      <c r="AG375" s="1111"/>
    </row>
    <row r="376" spans="1:33" s="1295" customFormat="1">
      <c r="A376" s="1264"/>
      <c r="D376" s="1118"/>
      <c r="E376" s="1264"/>
      <c r="F376" s="1118"/>
      <c r="G376" s="1118"/>
      <c r="H376" s="1118"/>
      <c r="I376" s="1118"/>
      <c r="J376" s="1118"/>
      <c r="K376" s="1118"/>
      <c r="L376" s="1118"/>
      <c r="M376" s="1118"/>
      <c r="N376" s="1118"/>
      <c r="O376" s="1118"/>
      <c r="P376" s="1118"/>
      <c r="Q376" s="1111"/>
      <c r="R376" s="1111"/>
      <c r="S376" s="1111"/>
      <c r="T376" s="1111"/>
      <c r="U376" s="1111"/>
      <c r="V376" s="1111"/>
      <c r="W376" s="1111"/>
      <c r="X376" s="1111"/>
      <c r="Y376" s="1111"/>
      <c r="Z376" s="1111"/>
      <c r="AA376" s="1111"/>
      <c r="AB376" s="1111"/>
      <c r="AC376" s="1111"/>
      <c r="AD376" s="1111"/>
      <c r="AE376" s="1111"/>
      <c r="AF376" s="1111"/>
      <c r="AG376" s="1111"/>
    </row>
    <row r="377" spans="1:33" s="1295" customFormat="1">
      <c r="A377" s="1264"/>
      <c r="D377" s="1118"/>
      <c r="E377" s="1264"/>
      <c r="F377" s="1118"/>
      <c r="G377" s="1118"/>
      <c r="H377" s="1118"/>
      <c r="I377" s="1118"/>
      <c r="J377" s="1118"/>
      <c r="K377" s="1118"/>
      <c r="L377" s="1118"/>
      <c r="M377" s="1118"/>
      <c r="N377" s="1118"/>
      <c r="O377" s="1118"/>
      <c r="P377" s="1118"/>
      <c r="Q377" s="1111"/>
      <c r="R377" s="1111"/>
      <c r="S377" s="1111"/>
      <c r="T377" s="1111"/>
      <c r="U377" s="1111"/>
      <c r="V377" s="1111"/>
      <c r="W377" s="1111"/>
      <c r="X377" s="1111"/>
      <c r="Y377" s="1111"/>
      <c r="Z377" s="1111"/>
      <c r="AA377" s="1111"/>
      <c r="AB377" s="1111"/>
      <c r="AC377" s="1111"/>
      <c r="AD377" s="1111"/>
      <c r="AE377" s="1111"/>
      <c r="AF377" s="1111"/>
      <c r="AG377" s="1111"/>
    </row>
    <row r="378" spans="1:33" s="1295" customFormat="1">
      <c r="A378" s="1264"/>
      <c r="D378" s="1118"/>
      <c r="E378" s="1264"/>
      <c r="F378" s="1118"/>
      <c r="G378" s="1118"/>
      <c r="H378" s="1118"/>
      <c r="I378" s="1118"/>
      <c r="J378" s="1118"/>
      <c r="K378" s="1118"/>
      <c r="L378" s="1118"/>
      <c r="M378" s="1118"/>
      <c r="N378" s="1118"/>
      <c r="O378" s="1118"/>
      <c r="P378" s="1118"/>
      <c r="Q378" s="1111"/>
      <c r="R378" s="1111"/>
      <c r="S378" s="1111"/>
      <c r="T378" s="1111"/>
      <c r="U378" s="1111"/>
      <c r="V378" s="1111"/>
      <c r="W378" s="1111"/>
      <c r="X378" s="1111"/>
      <c r="Y378" s="1111"/>
      <c r="Z378" s="1111"/>
      <c r="AA378" s="1111"/>
      <c r="AB378" s="1111"/>
      <c r="AC378" s="1111"/>
      <c r="AD378" s="1111"/>
      <c r="AE378" s="1111"/>
      <c r="AF378" s="1111"/>
      <c r="AG378" s="1111"/>
    </row>
    <row r="379" spans="1:33" s="1295" customFormat="1">
      <c r="A379" s="1264"/>
      <c r="D379" s="1118"/>
      <c r="E379" s="1264"/>
      <c r="F379" s="1118"/>
      <c r="G379" s="1118"/>
      <c r="H379" s="1118"/>
      <c r="I379" s="1118"/>
      <c r="J379" s="1118"/>
      <c r="K379" s="1118"/>
      <c r="L379" s="1118"/>
      <c r="M379" s="1118"/>
      <c r="N379" s="1118"/>
      <c r="O379" s="1118"/>
      <c r="P379" s="1118"/>
      <c r="Q379" s="1111"/>
      <c r="R379" s="1111"/>
      <c r="S379" s="1111"/>
      <c r="T379" s="1111"/>
      <c r="U379" s="1111"/>
      <c r="V379" s="1111"/>
      <c r="W379" s="1111"/>
      <c r="X379" s="1111"/>
      <c r="Y379" s="1111"/>
      <c r="Z379" s="1111"/>
      <c r="AA379" s="1111"/>
      <c r="AB379" s="1111"/>
      <c r="AC379" s="1111"/>
      <c r="AD379" s="1111"/>
      <c r="AE379" s="1111"/>
      <c r="AF379" s="1111"/>
      <c r="AG379" s="1111"/>
    </row>
    <row r="380" spans="1:33" s="1295" customFormat="1">
      <c r="A380" s="1264"/>
      <c r="D380" s="1118"/>
      <c r="E380" s="1264"/>
      <c r="F380" s="1118"/>
      <c r="G380" s="1118"/>
      <c r="H380" s="1118"/>
      <c r="I380" s="1118"/>
      <c r="J380" s="1118"/>
      <c r="K380" s="1118"/>
      <c r="L380" s="1118"/>
      <c r="M380" s="1118"/>
      <c r="N380" s="1118"/>
      <c r="O380" s="1118"/>
      <c r="P380" s="1118"/>
      <c r="Q380" s="1111"/>
      <c r="R380" s="1111"/>
      <c r="S380" s="1111"/>
      <c r="T380" s="1111"/>
      <c r="U380" s="1111"/>
      <c r="V380" s="1111"/>
      <c r="W380" s="1111"/>
      <c r="X380" s="1111"/>
      <c r="Y380" s="1111"/>
      <c r="Z380" s="1111"/>
      <c r="AA380" s="1111"/>
      <c r="AB380" s="1111"/>
      <c r="AC380" s="1111"/>
      <c r="AD380" s="1111"/>
      <c r="AE380" s="1111"/>
      <c r="AF380" s="1111"/>
      <c r="AG380" s="1111"/>
    </row>
    <row r="381" spans="1:33" s="1295" customFormat="1">
      <c r="A381" s="1264"/>
      <c r="D381" s="1118"/>
      <c r="E381" s="1264"/>
      <c r="F381" s="1118"/>
      <c r="G381" s="1118"/>
      <c r="H381" s="1118"/>
      <c r="I381" s="1118"/>
      <c r="J381" s="1118"/>
      <c r="K381" s="1118"/>
      <c r="L381" s="1118"/>
      <c r="M381" s="1118"/>
      <c r="N381" s="1118"/>
      <c r="O381" s="1118"/>
      <c r="P381" s="1118"/>
      <c r="Q381" s="1111"/>
      <c r="R381" s="1111"/>
      <c r="S381" s="1111"/>
      <c r="T381" s="1111"/>
      <c r="U381" s="1111"/>
      <c r="V381" s="1111"/>
      <c r="W381" s="1111"/>
      <c r="X381" s="1111"/>
      <c r="Y381" s="1111"/>
      <c r="Z381" s="1111"/>
      <c r="AA381" s="1111"/>
      <c r="AB381" s="1111"/>
      <c r="AC381" s="1111"/>
      <c r="AD381" s="1111"/>
      <c r="AE381" s="1111"/>
      <c r="AF381" s="1111"/>
      <c r="AG381" s="1111"/>
    </row>
    <row r="382" spans="1:33" s="1295" customFormat="1">
      <c r="A382" s="1264"/>
      <c r="D382" s="1118"/>
      <c r="E382" s="1264"/>
      <c r="F382" s="1118"/>
      <c r="G382" s="1118"/>
      <c r="H382" s="1118"/>
      <c r="I382" s="1118"/>
      <c r="J382" s="1118"/>
      <c r="K382" s="1118"/>
      <c r="L382" s="1118"/>
      <c r="M382" s="1118"/>
      <c r="N382" s="1118"/>
      <c r="O382" s="1118"/>
      <c r="P382" s="1118"/>
      <c r="Q382" s="1111"/>
      <c r="R382" s="1111"/>
      <c r="S382" s="1111"/>
      <c r="T382" s="1111"/>
      <c r="U382" s="1111"/>
      <c r="V382" s="1111"/>
      <c r="W382" s="1111"/>
      <c r="X382" s="1111"/>
      <c r="Y382" s="1111"/>
      <c r="Z382" s="1111"/>
      <c r="AA382" s="1111"/>
      <c r="AB382" s="1111"/>
      <c r="AC382" s="1111"/>
      <c r="AD382" s="1111"/>
      <c r="AE382" s="1111"/>
      <c r="AF382" s="1111"/>
      <c r="AG382" s="1111"/>
    </row>
    <row r="383" spans="1:33" s="1295" customFormat="1">
      <c r="A383" s="1264"/>
      <c r="D383" s="1118"/>
      <c r="E383" s="1264"/>
      <c r="F383" s="1118"/>
      <c r="G383" s="1118"/>
      <c r="H383" s="1118"/>
      <c r="I383" s="1118"/>
      <c r="J383" s="1118"/>
      <c r="K383" s="1118"/>
      <c r="L383" s="1118"/>
      <c r="M383" s="1118"/>
      <c r="N383" s="1118"/>
      <c r="O383" s="1118"/>
      <c r="P383" s="1118"/>
      <c r="Q383" s="1111"/>
      <c r="R383" s="1111"/>
      <c r="S383" s="1111"/>
      <c r="T383" s="1111"/>
      <c r="U383" s="1111"/>
      <c r="V383" s="1111"/>
      <c r="W383" s="1111"/>
      <c r="X383" s="1111"/>
      <c r="Y383" s="1111"/>
      <c r="Z383" s="1111"/>
      <c r="AA383" s="1111"/>
      <c r="AB383" s="1111"/>
      <c r="AC383" s="1111"/>
      <c r="AD383" s="1111"/>
      <c r="AE383" s="1111"/>
      <c r="AF383" s="1111"/>
      <c r="AG383" s="1111"/>
    </row>
    <row r="384" spans="1:33" s="1295" customFormat="1">
      <c r="A384" s="1264"/>
      <c r="D384" s="1118"/>
      <c r="E384" s="1264"/>
      <c r="F384" s="1118"/>
      <c r="G384" s="1118"/>
      <c r="H384" s="1118"/>
      <c r="I384" s="1118"/>
      <c r="J384" s="1118"/>
      <c r="K384" s="1118"/>
      <c r="L384" s="1118"/>
      <c r="M384" s="1118"/>
      <c r="N384" s="1118"/>
      <c r="O384" s="1118"/>
      <c r="P384" s="1118"/>
      <c r="Q384" s="1111"/>
      <c r="R384" s="1111"/>
      <c r="S384" s="1111"/>
      <c r="T384" s="1111"/>
      <c r="U384" s="1111"/>
      <c r="V384" s="1111"/>
      <c r="W384" s="1111"/>
      <c r="X384" s="1111"/>
      <c r="Y384" s="1111"/>
      <c r="Z384" s="1111"/>
      <c r="AA384" s="1111"/>
      <c r="AB384" s="1111"/>
      <c r="AC384" s="1111"/>
      <c r="AD384" s="1111"/>
      <c r="AE384" s="1111"/>
      <c r="AF384" s="1111"/>
      <c r="AG384" s="1111"/>
    </row>
    <row r="385" spans="1:33" s="1295" customFormat="1">
      <c r="A385" s="1264"/>
      <c r="D385" s="1118"/>
      <c r="E385" s="1264"/>
      <c r="F385" s="1118"/>
      <c r="G385" s="1118"/>
      <c r="H385" s="1118"/>
      <c r="I385" s="1118"/>
      <c r="J385" s="1118"/>
      <c r="K385" s="1118"/>
      <c r="L385" s="1118"/>
      <c r="M385" s="1118"/>
      <c r="N385" s="1118"/>
      <c r="O385" s="1118"/>
      <c r="P385" s="1118"/>
      <c r="Q385" s="1111"/>
      <c r="R385" s="1111"/>
      <c r="S385" s="1111"/>
      <c r="T385" s="1111"/>
      <c r="U385" s="1111"/>
      <c r="V385" s="1111"/>
      <c r="W385" s="1111"/>
      <c r="X385" s="1111"/>
      <c r="Y385" s="1111"/>
      <c r="Z385" s="1111"/>
      <c r="AA385" s="1111"/>
      <c r="AB385" s="1111"/>
      <c r="AC385" s="1111"/>
      <c r="AD385" s="1111"/>
      <c r="AE385" s="1111"/>
      <c r="AF385" s="1111"/>
      <c r="AG385" s="1111"/>
    </row>
    <row r="386" spans="1:33" s="1295" customFormat="1">
      <c r="A386" s="1264"/>
      <c r="D386" s="1118"/>
      <c r="E386" s="1264"/>
      <c r="F386" s="1118"/>
      <c r="G386" s="1118"/>
      <c r="H386" s="1118"/>
      <c r="I386" s="1118"/>
      <c r="J386" s="1118"/>
      <c r="K386" s="1118"/>
      <c r="L386" s="1118"/>
      <c r="M386" s="1118"/>
      <c r="N386" s="1118"/>
      <c r="O386" s="1118"/>
      <c r="P386" s="1118"/>
      <c r="Q386" s="1111"/>
      <c r="R386" s="1111"/>
      <c r="S386" s="1111"/>
      <c r="T386" s="1111"/>
      <c r="U386" s="1111"/>
      <c r="V386" s="1111"/>
      <c r="W386" s="1111"/>
      <c r="X386" s="1111"/>
      <c r="Y386" s="1111"/>
      <c r="Z386" s="1111"/>
      <c r="AA386" s="1111"/>
      <c r="AB386" s="1111"/>
      <c r="AC386" s="1111"/>
      <c r="AD386" s="1111"/>
      <c r="AE386" s="1111"/>
      <c r="AF386" s="1111"/>
      <c r="AG386" s="1111"/>
    </row>
    <row r="387" spans="1:33" s="1295" customFormat="1">
      <c r="A387" s="1264"/>
      <c r="D387" s="1118"/>
      <c r="E387" s="1264"/>
      <c r="F387" s="1118"/>
      <c r="G387" s="1118"/>
      <c r="H387" s="1118"/>
      <c r="I387" s="1118"/>
      <c r="J387" s="1118"/>
      <c r="K387" s="1118"/>
      <c r="L387" s="1118"/>
      <c r="M387" s="1118"/>
      <c r="N387" s="1118"/>
      <c r="O387" s="1118"/>
      <c r="P387" s="1118"/>
      <c r="Q387" s="1111"/>
      <c r="R387" s="1111"/>
      <c r="S387" s="1111"/>
      <c r="T387" s="1111"/>
      <c r="U387" s="1111"/>
      <c r="V387" s="1111"/>
      <c r="W387" s="1111"/>
      <c r="X387" s="1111"/>
      <c r="Y387" s="1111"/>
      <c r="Z387" s="1111"/>
      <c r="AA387" s="1111"/>
      <c r="AB387" s="1111"/>
      <c r="AC387" s="1111"/>
      <c r="AD387" s="1111"/>
      <c r="AE387" s="1111"/>
      <c r="AF387" s="1111"/>
      <c r="AG387" s="1111"/>
    </row>
    <row r="388" spans="1:33" s="1295" customFormat="1">
      <c r="A388" s="1264"/>
      <c r="D388" s="1118"/>
      <c r="E388" s="1264"/>
      <c r="F388" s="1118"/>
      <c r="G388" s="1118"/>
      <c r="H388" s="1118"/>
      <c r="I388" s="1118"/>
      <c r="J388" s="1118"/>
      <c r="K388" s="1118"/>
      <c r="L388" s="1118"/>
      <c r="M388" s="1118"/>
      <c r="N388" s="1118"/>
      <c r="O388" s="1118"/>
      <c r="P388" s="1118"/>
      <c r="Q388" s="1111"/>
      <c r="R388" s="1111"/>
      <c r="S388" s="1111"/>
      <c r="T388" s="1111"/>
      <c r="U388" s="1111"/>
      <c r="V388" s="1111"/>
      <c r="W388" s="1111"/>
      <c r="X388" s="1111"/>
      <c r="Y388" s="1111"/>
      <c r="Z388" s="1111"/>
      <c r="AA388" s="1111"/>
      <c r="AB388" s="1111"/>
      <c r="AC388" s="1111"/>
      <c r="AD388" s="1111"/>
      <c r="AE388" s="1111"/>
      <c r="AF388" s="1111"/>
      <c r="AG388" s="1111"/>
    </row>
    <row r="389" spans="1:33" s="1295" customFormat="1">
      <c r="A389" s="1264"/>
      <c r="D389" s="1118"/>
      <c r="E389" s="1264"/>
      <c r="F389" s="1118"/>
      <c r="G389" s="1118"/>
      <c r="H389" s="1118"/>
      <c r="I389" s="1118"/>
      <c r="J389" s="1118"/>
      <c r="K389" s="1118"/>
      <c r="L389" s="1118"/>
      <c r="M389" s="1118"/>
      <c r="N389" s="1118"/>
      <c r="O389" s="1118"/>
      <c r="P389" s="1118"/>
      <c r="Q389" s="1111"/>
      <c r="R389" s="1111"/>
      <c r="S389" s="1111"/>
      <c r="T389" s="1111"/>
      <c r="U389" s="1111"/>
      <c r="V389" s="1111"/>
      <c r="W389" s="1111"/>
      <c r="X389" s="1111"/>
      <c r="Y389" s="1111"/>
      <c r="Z389" s="1111"/>
      <c r="AA389" s="1111"/>
      <c r="AB389" s="1111"/>
      <c r="AC389" s="1111"/>
      <c r="AD389" s="1111"/>
      <c r="AE389" s="1111"/>
      <c r="AF389" s="1111"/>
      <c r="AG389" s="1111"/>
    </row>
    <row r="390" spans="1:33" s="1295" customFormat="1">
      <c r="A390" s="1264"/>
      <c r="D390" s="1118"/>
      <c r="E390" s="1264"/>
      <c r="F390" s="1118"/>
      <c r="G390" s="1118"/>
      <c r="H390" s="1118"/>
      <c r="I390" s="1118"/>
      <c r="J390" s="1118"/>
      <c r="K390" s="1118"/>
      <c r="L390" s="1118"/>
      <c r="M390" s="1118"/>
      <c r="N390" s="1118"/>
      <c r="O390" s="1118"/>
      <c r="P390" s="1118"/>
      <c r="Q390" s="1111"/>
      <c r="R390" s="1111"/>
      <c r="S390" s="1111"/>
      <c r="T390" s="1111"/>
      <c r="U390" s="1111"/>
      <c r="V390" s="1111"/>
      <c r="W390" s="1111"/>
      <c r="X390" s="1111"/>
      <c r="Y390" s="1111"/>
      <c r="Z390" s="1111"/>
      <c r="AA390" s="1111"/>
      <c r="AB390" s="1111"/>
      <c r="AC390" s="1111"/>
      <c r="AD390" s="1111"/>
      <c r="AE390" s="1111"/>
      <c r="AF390" s="1111"/>
      <c r="AG390" s="1111"/>
    </row>
    <row r="391" spans="1:33" s="1295" customFormat="1">
      <c r="A391" s="1264"/>
      <c r="D391" s="1118"/>
      <c r="E391" s="1264"/>
      <c r="F391" s="1118"/>
      <c r="G391" s="1118"/>
      <c r="H391" s="1118"/>
      <c r="I391" s="1118"/>
      <c r="J391" s="1118"/>
      <c r="K391" s="1118"/>
      <c r="L391" s="1118"/>
      <c r="M391" s="1118"/>
      <c r="N391" s="1118"/>
      <c r="O391" s="1118"/>
      <c r="P391" s="1118"/>
      <c r="Q391" s="1111"/>
      <c r="R391" s="1111"/>
      <c r="S391" s="1111"/>
      <c r="T391" s="1111"/>
      <c r="U391" s="1111"/>
      <c r="V391" s="1111"/>
      <c r="W391" s="1111"/>
      <c r="X391" s="1111"/>
      <c r="Y391" s="1111"/>
      <c r="Z391" s="1111"/>
      <c r="AA391" s="1111"/>
      <c r="AB391" s="1111"/>
      <c r="AC391" s="1111"/>
      <c r="AD391" s="1111"/>
      <c r="AE391" s="1111"/>
      <c r="AF391" s="1111"/>
      <c r="AG391" s="1111"/>
    </row>
    <row r="392" spans="1:33" s="1295" customFormat="1">
      <c r="A392" s="1264"/>
      <c r="D392" s="1118"/>
      <c r="E392" s="1264"/>
      <c r="F392" s="1118"/>
      <c r="G392" s="1118"/>
      <c r="H392" s="1118"/>
      <c r="I392" s="1118"/>
      <c r="J392" s="1118"/>
      <c r="K392" s="1118"/>
      <c r="L392" s="1118"/>
      <c r="M392" s="1118"/>
      <c r="N392" s="1118"/>
      <c r="O392" s="1118"/>
      <c r="P392" s="1118"/>
      <c r="Q392" s="1111"/>
      <c r="R392" s="1111"/>
      <c r="S392" s="1111"/>
      <c r="T392" s="1111"/>
      <c r="U392" s="1111"/>
      <c r="V392" s="1111"/>
      <c r="W392" s="1111"/>
      <c r="X392" s="1111"/>
      <c r="Y392" s="1111"/>
      <c r="Z392" s="1111"/>
      <c r="AA392" s="1111"/>
      <c r="AB392" s="1111"/>
      <c r="AC392" s="1111"/>
      <c r="AD392" s="1111"/>
      <c r="AE392" s="1111"/>
      <c r="AF392" s="1111"/>
      <c r="AG392" s="1111"/>
    </row>
    <row r="393" spans="1:33" s="1295" customFormat="1">
      <c r="A393" s="1264"/>
      <c r="D393" s="1118"/>
      <c r="E393" s="1264"/>
      <c r="F393" s="1118"/>
      <c r="G393" s="1118"/>
      <c r="H393" s="1118"/>
      <c r="I393" s="1118"/>
      <c r="J393" s="1118"/>
      <c r="K393" s="1118"/>
      <c r="L393" s="1118"/>
      <c r="M393" s="1118"/>
      <c r="N393" s="1118"/>
      <c r="O393" s="1118"/>
      <c r="P393" s="1118"/>
      <c r="Q393" s="1111"/>
      <c r="R393" s="1111"/>
      <c r="S393" s="1111"/>
      <c r="T393" s="1111"/>
      <c r="U393" s="1111"/>
      <c r="V393" s="1111"/>
      <c r="W393" s="1111"/>
      <c r="X393" s="1111"/>
      <c r="Y393" s="1111"/>
      <c r="Z393" s="1111"/>
      <c r="AA393" s="1111"/>
      <c r="AB393" s="1111"/>
      <c r="AC393" s="1111"/>
      <c r="AD393" s="1111"/>
      <c r="AE393" s="1111"/>
      <c r="AF393" s="1111"/>
      <c r="AG393" s="1111"/>
    </row>
    <row r="394" spans="1:33" s="1295" customFormat="1">
      <c r="A394" s="1264"/>
      <c r="D394" s="1118"/>
      <c r="E394" s="1264"/>
      <c r="F394" s="1118"/>
      <c r="G394" s="1118"/>
      <c r="H394" s="1118"/>
      <c r="I394" s="1118"/>
      <c r="J394" s="1118"/>
      <c r="K394" s="1118"/>
      <c r="L394" s="1118"/>
      <c r="M394" s="1118"/>
      <c r="N394" s="1118"/>
      <c r="O394" s="1118"/>
      <c r="P394" s="1118"/>
      <c r="Q394" s="1111"/>
      <c r="R394" s="1111"/>
      <c r="S394" s="1111"/>
      <c r="T394" s="1111"/>
      <c r="U394" s="1111"/>
      <c r="V394" s="1111"/>
      <c r="W394" s="1111"/>
      <c r="X394" s="1111"/>
      <c r="Y394" s="1111"/>
      <c r="Z394" s="1111"/>
      <c r="AA394" s="1111"/>
      <c r="AB394" s="1111"/>
      <c r="AC394" s="1111"/>
      <c r="AD394" s="1111"/>
      <c r="AE394" s="1111"/>
      <c r="AF394" s="1111"/>
      <c r="AG394" s="1111"/>
    </row>
    <row r="395" spans="1:33" s="1295" customFormat="1">
      <c r="A395" s="1264"/>
      <c r="D395" s="1118"/>
      <c r="E395" s="1264"/>
      <c r="F395" s="1118"/>
      <c r="G395" s="1118"/>
      <c r="H395" s="1118"/>
      <c r="I395" s="1118"/>
      <c r="J395" s="1118"/>
      <c r="K395" s="1118"/>
      <c r="L395" s="1118"/>
      <c r="M395" s="1118"/>
      <c r="N395" s="1118"/>
      <c r="O395" s="1118"/>
      <c r="P395" s="1118"/>
      <c r="Q395" s="1111"/>
      <c r="R395" s="1111"/>
      <c r="S395" s="1111"/>
      <c r="T395" s="1111"/>
      <c r="U395" s="1111"/>
      <c r="V395" s="1111"/>
      <c r="W395" s="1111"/>
      <c r="X395" s="1111"/>
      <c r="Y395" s="1111"/>
      <c r="Z395" s="1111"/>
      <c r="AA395" s="1111"/>
      <c r="AB395" s="1111"/>
      <c r="AC395" s="1111"/>
      <c r="AD395" s="1111"/>
      <c r="AE395" s="1111"/>
      <c r="AF395" s="1111"/>
      <c r="AG395" s="1111"/>
    </row>
    <row r="396" spans="1:33" s="1295" customFormat="1">
      <c r="A396" s="1264"/>
      <c r="D396" s="1118"/>
      <c r="E396" s="1264"/>
      <c r="F396" s="1118"/>
      <c r="G396" s="1118"/>
      <c r="H396" s="1118"/>
      <c r="I396" s="1118"/>
      <c r="J396" s="1118"/>
      <c r="K396" s="1118"/>
      <c r="L396" s="1118"/>
      <c r="M396" s="1118"/>
      <c r="N396" s="1118"/>
      <c r="O396" s="1118"/>
      <c r="P396" s="1118"/>
      <c r="Q396" s="1111"/>
      <c r="R396" s="1111"/>
      <c r="S396" s="1111"/>
      <c r="T396" s="1111"/>
      <c r="U396" s="1111"/>
      <c r="V396" s="1111"/>
      <c r="W396" s="1111"/>
      <c r="X396" s="1111"/>
      <c r="Y396" s="1111"/>
      <c r="Z396" s="1111"/>
      <c r="AA396" s="1111"/>
      <c r="AB396" s="1111"/>
      <c r="AC396" s="1111"/>
      <c r="AD396" s="1111"/>
      <c r="AE396" s="1111"/>
      <c r="AF396" s="1111"/>
      <c r="AG396" s="1111"/>
    </row>
    <row r="397" spans="1:33" s="1295" customFormat="1">
      <c r="A397" s="1264"/>
      <c r="D397" s="1118"/>
      <c r="E397" s="1264"/>
      <c r="F397" s="1118"/>
      <c r="G397" s="1118"/>
      <c r="H397" s="1118"/>
      <c r="I397" s="1118"/>
      <c r="J397" s="1118"/>
      <c r="K397" s="1118"/>
      <c r="L397" s="1118"/>
      <c r="M397" s="1118"/>
      <c r="N397" s="1118"/>
      <c r="O397" s="1118"/>
      <c r="P397" s="1118"/>
      <c r="Q397" s="1111"/>
      <c r="R397" s="1111"/>
      <c r="S397" s="1111"/>
      <c r="T397" s="1111"/>
      <c r="U397" s="1111"/>
      <c r="V397" s="1111"/>
      <c r="W397" s="1111"/>
      <c r="X397" s="1111"/>
      <c r="Y397" s="1111"/>
      <c r="Z397" s="1111"/>
      <c r="AA397" s="1111"/>
      <c r="AB397" s="1111"/>
      <c r="AC397" s="1111"/>
      <c r="AD397" s="1111"/>
      <c r="AE397" s="1111"/>
      <c r="AF397" s="1111"/>
      <c r="AG397" s="1111"/>
    </row>
    <row r="398" spans="1:33" s="1295" customFormat="1">
      <c r="A398" s="1264"/>
      <c r="D398" s="1118"/>
      <c r="E398" s="1264"/>
      <c r="F398" s="1118"/>
      <c r="G398" s="1118"/>
      <c r="H398" s="1118"/>
      <c r="I398" s="1118"/>
      <c r="J398" s="1118"/>
      <c r="K398" s="1118"/>
      <c r="L398" s="1118"/>
      <c r="M398" s="1118"/>
      <c r="N398" s="1118"/>
      <c r="O398" s="1118"/>
      <c r="P398" s="1118"/>
      <c r="Q398" s="1111"/>
      <c r="R398" s="1111"/>
      <c r="S398" s="1111"/>
      <c r="T398" s="1111"/>
      <c r="U398" s="1111"/>
      <c r="V398" s="1111"/>
      <c r="W398" s="1111"/>
      <c r="X398" s="1111"/>
      <c r="Y398" s="1111"/>
      <c r="Z398" s="1111"/>
      <c r="AA398" s="1111"/>
      <c r="AB398" s="1111"/>
      <c r="AC398" s="1111"/>
      <c r="AD398" s="1111"/>
      <c r="AE398" s="1111"/>
      <c r="AF398" s="1111"/>
      <c r="AG398" s="1111"/>
    </row>
    <row r="399" spans="1:33" s="1295" customFormat="1">
      <c r="A399" s="1264"/>
      <c r="D399" s="1118"/>
      <c r="E399" s="1264"/>
      <c r="F399" s="1118"/>
      <c r="G399" s="1118"/>
      <c r="H399" s="1118"/>
      <c r="I399" s="1118"/>
      <c r="J399" s="1118"/>
      <c r="K399" s="1118"/>
      <c r="L399" s="1118"/>
      <c r="M399" s="1118"/>
      <c r="N399" s="1118"/>
      <c r="O399" s="1118"/>
      <c r="P399" s="1118"/>
      <c r="Q399" s="1111"/>
      <c r="R399" s="1111"/>
      <c r="S399" s="1111"/>
      <c r="T399" s="1111"/>
      <c r="U399" s="1111"/>
      <c r="V399" s="1111"/>
      <c r="W399" s="1111"/>
      <c r="X399" s="1111"/>
      <c r="Y399" s="1111"/>
      <c r="Z399" s="1111"/>
      <c r="AA399" s="1111"/>
      <c r="AB399" s="1111"/>
      <c r="AC399" s="1111"/>
      <c r="AD399" s="1111"/>
      <c r="AE399" s="1111"/>
      <c r="AF399" s="1111"/>
      <c r="AG399" s="1111"/>
    </row>
    <row r="400" spans="1:33" s="1295" customFormat="1">
      <c r="A400" s="1264"/>
      <c r="D400" s="1118"/>
      <c r="E400" s="1264"/>
      <c r="F400" s="1118"/>
      <c r="G400" s="1118"/>
      <c r="H400" s="1118"/>
      <c r="I400" s="1118"/>
      <c r="J400" s="1118"/>
      <c r="K400" s="1118"/>
      <c r="L400" s="1118"/>
      <c r="M400" s="1118"/>
      <c r="N400" s="1118"/>
      <c r="O400" s="1118"/>
      <c r="P400" s="1118"/>
      <c r="Q400" s="1111"/>
      <c r="R400" s="1111"/>
      <c r="S400" s="1111"/>
      <c r="T400" s="1111"/>
      <c r="U400" s="1111"/>
      <c r="V400" s="1111"/>
      <c r="W400" s="1111"/>
      <c r="X400" s="1111"/>
      <c r="Y400" s="1111"/>
      <c r="Z400" s="1111"/>
      <c r="AA400" s="1111"/>
      <c r="AB400" s="1111"/>
      <c r="AC400" s="1111"/>
      <c r="AD400" s="1111"/>
      <c r="AE400" s="1111"/>
      <c r="AF400" s="1111"/>
      <c r="AG400" s="1111"/>
    </row>
    <row r="401" spans="1:33" s="1295" customFormat="1">
      <c r="A401" s="1264"/>
      <c r="D401" s="1118"/>
      <c r="E401" s="1264"/>
      <c r="F401" s="1118"/>
      <c r="G401" s="1118"/>
      <c r="H401" s="1118"/>
      <c r="I401" s="1118"/>
      <c r="J401" s="1118"/>
      <c r="K401" s="1118"/>
      <c r="L401" s="1118"/>
      <c r="M401" s="1118"/>
      <c r="N401" s="1118"/>
      <c r="O401" s="1118"/>
      <c r="P401" s="1118"/>
      <c r="Q401" s="1111"/>
      <c r="R401" s="1111"/>
      <c r="S401" s="1111"/>
      <c r="T401" s="1111"/>
      <c r="U401" s="1111"/>
      <c r="V401" s="1111"/>
      <c r="W401" s="1111"/>
      <c r="X401" s="1111"/>
      <c r="Y401" s="1111"/>
      <c r="Z401" s="1111"/>
      <c r="AA401" s="1111"/>
      <c r="AB401" s="1111"/>
      <c r="AC401" s="1111"/>
      <c r="AD401" s="1111"/>
      <c r="AE401" s="1111"/>
      <c r="AF401" s="1111"/>
      <c r="AG401" s="1111"/>
    </row>
    <row r="402" spans="1:33" s="1295" customFormat="1">
      <c r="A402" s="1264"/>
      <c r="D402" s="1118"/>
      <c r="E402" s="1264"/>
      <c r="F402" s="1118"/>
      <c r="G402" s="1118"/>
      <c r="H402" s="1118"/>
      <c r="I402" s="1118"/>
      <c r="J402" s="1118"/>
      <c r="K402" s="1118"/>
      <c r="L402" s="1118"/>
      <c r="M402" s="1118"/>
      <c r="N402" s="1118"/>
      <c r="O402" s="1118"/>
      <c r="P402" s="1118"/>
      <c r="Q402" s="1111"/>
      <c r="R402" s="1111"/>
      <c r="S402" s="1111"/>
      <c r="T402" s="1111"/>
      <c r="U402" s="1111"/>
      <c r="V402" s="1111"/>
      <c r="W402" s="1111"/>
      <c r="X402" s="1111"/>
      <c r="Y402" s="1111"/>
      <c r="Z402" s="1111"/>
      <c r="AA402" s="1111"/>
      <c r="AB402" s="1111"/>
      <c r="AC402" s="1111"/>
      <c r="AD402" s="1111"/>
      <c r="AE402" s="1111"/>
      <c r="AF402" s="1111"/>
      <c r="AG402" s="1111"/>
    </row>
    <row r="403" spans="1:33" s="1295" customFormat="1">
      <c r="A403" s="1264"/>
      <c r="D403" s="1118"/>
      <c r="E403" s="1264"/>
      <c r="F403" s="1118"/>
      <c r="G403" s="1118"/>
      <c r="H403" s="1118"/>
      <c r="I403" s="1118"/>
      <c r="J403" s="1118"/>
      <c r="K403" s="1118"/>
      <c r="L403" s="1118"/>
      <c r="M403" s="1118"/>
      <c r="N403" s="1118"/>
      <c r="O403" s="1118"/>
      <c r="P403" s="1118"/>
      <c r="Q403" s="1111"/>
      <c r="R403" s="1111"/>
      <c r="S403" s="1111"/>
      <c r="T403" s="1111"/>
      <c r="U403" s="1111"/>
      <c r="V403" s="1111"/>
      <c r="W403" s="1111"/>
      <c r="X403" s="1111"/>
      <c r="Y403" s="1111"/>
      <c r="Z403" s="1111"/>
      <c r="AA403" s="1111"/>
      <c r="AB403" s="1111"/>
      <c r="AC403" s="1111"/>
      <c r="AD403" s="1111"/>
      <c r="AE403" s="1111"/>
      <c r="AF403" s="1111"/>
      <c r="AG403" s="1111"/>
    </row>
    <row r="404" spans="1:33" s="1295" customFormat="1">
      <c r="A404" s="1264"/>
      <c r="D404" s="1118"/>
      <c r="E404" s="1264"/>
      <c r="F404" s="1118"/>
      <c r="G404" s="1118"/>
      <c r="H404" s="1118"/>
      <c r="I404" s="1118"/>
      <c r="J404" s="1118"/>
      <c r="K404" s="1118"/>
      <c r="L404" s="1118"/>
      <c r="M404" s="1118"/>
      <c r="N404" s="1118"/>
      <c r="O404" s="1118"/>
      <c r="P404" s="1118"/>
      <c r="Q404" s="1111"/>
      <c r="R404" s="1111"/>
      <c r="S404" s="1111"/>
      <c r="T404" s="1111"/>
      <c r="U404" s="1111"/>
      <c r="V404" s="1111"/>
      <c r="W404" s="1111"/>
      <c r="X404" s="1111"/>
      <c r="Y404" s="1111"/>
      <c r="Z404" s="1111"/>
      <c r="AA404" s="1111"/>
      <c r="AB404" s="1111"/>
      <c r="AC404" s="1111"/>
      <c r="AD404" s="1111"/>
      <c r="AE404" s="1111"/>
      <c r="AF404" s="1111"/>
      <c r="AG404" s="1111"/>
    </row>
    <row r="405" spans="1:33" s="1295" customFormat="1">
      <c r="A405" s="1264"/>
      <c r="D405" s="1118"/>
      <c r="E405" s="1264"/>
      <c r="F405" s="1118"/>
      <c r="G405" s="1118"/>
      <c r="H405" s="1118"/>
      <c r="I405" s="1118"/>
      <c r="J405" s="1118"/>
      <c r="K405" s="1118"/>
      <c r="L405" s="1118"/>
      <c r="M405" s="1118"/>
      <c r="N405" s="1118"/>
      <c r="O405" s="1118"/>
      <c r="P405" s="1118"/>
      <c r="Q405" s="1111"/>
      <c r="R405" s="1111"/>
      <c r="S405" s="1111"/>
      <c r="T405" s="1111"/>
      <c r="U405" s="1111"/>
      <c r="V405" s="1111"/>
      <c r="W405" s="1111"/>
      <c r="X405" s="1111"/>
      <c r="Y405" s="1111"/>
      <c r="Z405" s="1111"/>
      <c r="AA405" s="1111"/>
      <c r="AB405" s="1111"/>
      <c r="AC405" s="1111"/>
      <c r="AD405" s="1111"/>
      <c r="AE405" s="1111"/>
      <c r="AF405" s="1111"/>
      <c r="AG405" s="1111"/>
    </row>
    <row r="406" spans="1:33" s="1295" customFormat="1">
      <c r="A406" s="1264"/>
      <c r="D406" s="1118"/>
      <c r="E406" s="1264"/>
      <c r="F406" s="1118"/>
      <c r="G406" s="1118"/>
      <c r="H406" s="1118"/>
      <c r="I406" s="1118"/>
      <c r="J406" s="1118"/>
      <c r="K406" s="1118"/>
      <c r="L406" s="1118"/>
      <c r="M406" s="1118"/>
      <c r="N406" s="1118"/>
      <c r="O406" s="1118"/>
      <c r="P406" s="1118"/>
      <c r="Q406" s="1111"/>
      <c r="R406" s="1111"/>
      <c r="S406" s="1111"/>
      <c r="T406" s="1111"/>
      <c r="U406" s="1111"/>
      <c r="V406" s="1111"/>
      <c r="W406" s="1111"/>
      <c r="X406" s="1111"/>
      <c r="Y406" s="1111"/>
      <c r="Z406" s="1111"/>
      <c r="AA406" s="1111"/>
      <c r="AB406" s="1111"/>
      <c r="AC406" s="1111"/>
      <c r="AD406" s="1111"/>
      <c r="AE406" s="1111"/>
      <c r="AF406" s="1111"/>
      <c r="AG406" s="1111"/>
    </row>
    <row r="407" spans="1:33" s="1295" customFormat="1">
      <c r="A407" s="1264"/>
      <c r="D407" s="1118"/>
      <c r="E407" s="1264"/>
      <c r="F407" s="1118"/>
      <c r="G407" s="1118"/>
      <c r="H407" s="1118"/>
      <c r="I407" s="1118"/>
      <c r="J407" s="1118"/>
      <c r="K407" s="1118"/>
      <c r="L407" s="1118"/>
      <c r="M407" s="1118"/>
      <c r="N407" s="1118"/>
      <c r="O407" s="1118"/>
      <c r="P407" s="1118"/>
      <c r="Q407" s="1111"/>
      <c r="R407" s="1111"/>
      <c r="S407" s="1111"/>
      <c r="T407" s="1111"/>
      <c r="U407" s="1111"/>
      <c r="V407" s="1111"/>
      <c r="W407" s="1111"/>
      <c r="X407" s="1111"/>
      <c r="Y407" s="1111"/>
      <c r="Z407" s="1111"/>
      <c r="AA407" s="1111"/>
      <c r="AB407" s="1111"/>
      <c r="AC407" s="1111"/>
      <c r="AD407" s="1111"/>
      <c r="AE407" s="1111"/>
      <c r="AF407" s="1111"/>
      <c r="AG407" s="1111"/>
    </row>
    <row r="408" spans="1:33" s="1295" customFormat="1">
      <c r="A408" s="1264"/>
      <c r="D408" s="1118"/>
      <c r="E408" s="1264"/>
      <c r="F408" s="1118"/>
      <c r="G408" s="1118"/>
      <c r="H408" s="1118"/>
      <c r="I408" s="1118"/>
      <c r="J408" s="1118"/>
      <c r="K408" s="1118"/>
      <c r="L408" s="1118"/>
      <c r="M408" s="1118"/>
      <c r="N408" s="1118"/>
      <c r="O408" s="1118"/>
      <c r="P408" s="1118"/>
      <c r="Q408" s="1111"/>
      <c r="R408" s="1111"/>
      <c r="S408" s="1111"/>
      <c r="T408" s="1111"/>
      <c r="U408" s="1111"/>
      <c r="V408" s="1111"/>
      <c r="W408" s="1111"/>
      <c r="X408" s="1111"/>
      <c r="Y408" s="1111"/>
      <c r="Z408" s="1111"/>
      <c r="AA408" s="1111"/>
      <c r="AB408" s="1111"/>
      <c r="AC408" s="1111"/>
      <c r="AD408" s="1111"/>
      <c r="AE408" s="1111"/>
      <c r="AF408" s="1111"/>
      <c r="AG408" s="1111"/>
    </row>
    <row r="409" spans="1:33" s="1295" customFormat="1">
      <c r="A409" s="1264"/>
      <c r="D409" s="1118"/>
      <c r="E409" s="1264"/>
      <c r="F409" s="1118"/>
      <c r="G409" s="1118"/>
      <c r="H409" s="1118"/>
      <c r="I409" s="1118"/>
      <c r="J409" s="1118"/>
      <c r="K409" s="1118"/>
      <c r="L409" s="1118"/>
      <c r="M409" s="1118"/>
      <c r="N409" s="1118"/>
      <c r="O409" s="1118"/>
      <c r="P409" s="1118"/>
      <c r="Q409" s="1111"/>
      <c r="R409" s="1111"/>
      <c r="S409" s="1111"/>
      <c r="T409" s="1111"/>
      <c r="U409" s="1111"/>
      <c r="V409" s="1111"/>
      <c r="W409" s="1111"/>
      <c r="X409" s="1111"/>
      <c r="Y409" s="1111"/>
      <c r="Z409" s="1111"/>
      <c r="AA409" s="1111"/>
      <c r="AB409" s="1111"/>
      <c r="AC409" s="1111"/>
      <c r="AD409" s="1111"/>
      <c r="AE409" s="1111"/>
      <c r="AF409" s="1111"/>
      <c r="AG409" s="1111"/>
    </row>
    <row r="410" spans="1:33" s="1295" customFormat="1">
      <c r="A410" s="1264"/>
      <c r="D410" s="1118"/>
      <c r="E410" s="1264"/>
      <c r="F410" s="1118"/>
      <c r="G410" s="1118"/>
      <c r="H410" s="1118"/>
      <c r="I410" s="1118"/>
      <c r="J410" s="1118"/>
      <c r="K410" s="1118"/>
      <c r="L410" s="1118"/>
      <c r="M410" s="1118"/>
      <c r="N410" s="1118"/>
      <c r="O410" s="1118"/>
      <c r="P410" s="1118"/>
      <c r="Q410" s="1111"/>
      <c r="R410" s="1111"/>
      <c r="S410" s="1111"/>
      <c r="T410" s="1111"/>
      <c r="U410" s="1111"/>
      <c r="V410" s="1111"/>
      <c r="W410" s="1111"/>
      <c r="X410" s="1111"/>
      <c r="Y410" s="1111"/>
      <c r="Z410" s="1111"/>
      <c r="AA410" s="1111"/>
      <c r="AB410" s="1111"/>
      <c r="AC410" s="1111"/>
      <c r="AD410" s="1111"/>
      <c r="AE410" s="1111"/>
      <c r="AF410" s="1111"/>
      <c r="AG410" s="1111"/>
    </row>
    <row r="411" spans="1:33" s="1295" customFormat="1">
      <c r="A411" s="1264"/>
      <c r="D411" s="1118"/>
      <c r="E411" s="1264"/>
      <c r="F411" s="1118"/>
      <c r="G411" s="1118"/>
      <c r="H411" s="1118"/>
      <c r="I411" s="1118"/>
      <c r="J411" s="1118"/>
      <c r="K411" s="1118"/>
      <c r="L411" s="1118"/>
      <c r="M411" s="1118"/>
      <c r="N411" s="1118"/>
      <c r="O411" s="1118"/>
      <c r="P411" s="1118"/>
      <c r="Q411" s="1111"/>
      <c r="R411" s="1111"/>
      <c r="S411" s="1111"/>
      <c r="T411" s="1111"/>
      <c r="U411" s="1111"/>
      <c r="V411" s="1111"/>
      <c r="W411" s="1111"/>
      <c r="X411" s="1111"/>
      <c r="Y411" s="1111"/>
      <c r="Z411" s="1111"/>
      <c r="AA411" s="1111"/>
      <c r="AB411" s="1111"/>
      <c r="AC411" s="1111"/>
      <c r="AD411" s="1111"/>
      <c r="AE411" s="1111"/>
      <c r="AF411" s="1111"/>
      <c r="AG411" s="1111"/>
    </row>
    <row r="412" spans="1:33" s="1295" customFormat="1">
      <c r="A412" s="1264"/>
      <c r="D412" s="1118"/>
      <c r="E412" s="1264"/>
      <c r="F412" s="1118"/>
      <c r="G412" s="1118"/>
      <c r="H412" s="1118"/>
      <c r="I412" s="1118"/>
      <c r="J412" s="1118"/>
      <c r="K412" s="1118"/>
      <c r="L412" s="1118"/>
      <c r="M412" s="1118"/>
      <c r="N412" s="1118"/>
      <c r="O412" s="1118"/>
      <c r="P412" s="1118"/>
      <c r="Q412" s="1111"/>
      <c r="R412" s="1111"/>
      <c r="S412" s="1111"/>
      <c r="T412" s="1111"/>
      <c r="U412" s="1111"/>
      <c r="V412" s="1111"/>
      <c r="W412" s="1111"/>
      <c r="X412" s="1111"/>
      <c r="Y412" s="1111"/>
      <c r="Z412" s="1111"/>
      <c r="AA412" s="1111"/>
      <c r="AB412" s="1111"/>
      <c r="AC412" s="1111"/>
      <c r="AD412" s="1111"/>
      <c r="AE412" s="1111"/>
      <c r="AF412" s="1111"/>
      <c r="AG412" s="1111"/>
    </row>
    <row r="413" spans="1:33" s="1295" customFormat="1">
      <c r="A413" s="1264"/>
      <c r="D413" s="1118"/>
      <c r="E413" s="1264"/>
      <c r="F413" s="1118"/>
      <c r="G413" s="1118"/>
      <c r="H413" s="1118"/>
      <c r="I413" s="1118"/>
      <c r="J413" s="1118"/>
      <c r="K413" s="1118"/>
      <c r="L413" s="1118"/>
      <c r="M413" s="1118"/>
      <c r="N413" s="1118"/>
      <c r="O413" s="1118"/>
      <c r="P413" s="1118"/>
      <c r="Q413" s="1111"/>
      <c r="R413" s="1111"/>
      <c r="S413" s="1111"/>
      <c r="T413" s="1111"/>
      <c r="U413" s="1111"/>
      <c r="V413" s="1111"/>
      <c r="W413" s="1111"/>
      <c r="X413" s="1111"/>
      <c r="Y413" s="1111"/>
      <c r="Z413" s="1111"/>
      <c r="AA413" s="1111"/>
      <c r="AB413" s="1111"/>
      <c r="AC413" s="1111"/>
      <c r="AD413" s="1111"/>
      <c r="AE413" s="1111"/>
      <c r="AF413" s="1111"/>
      <c r="AG413" s="1111"/>
    </row>
    <row r="414" spans="1:33" s="1295" customFormat="1">
      <c r="A414" s="1264"/>
      <c r="D414" s="1118"/>
      <c r="E414" s="1264"/>
      <c r="F414" s="1118"/>
      <c r="G414" s="1118"/>
      <c r="H414" s="1118"/>
      <c r="I414" s="1118"/>
      <c r="J414" s="1118"/>
      <c r="K414" s="1118"/>
      <c r="L414" s="1118"/>
      <c r="M414" s="1118"/>
      <c r="N414" s="1118"/>
      <c r="O414" s="1118"/>
      <c r="P414" s="1118"/>
      <c r="Q414" s="1111"/>
      <c r="R414" s="1111"/>
      <c r="S414" s="1111"/>
      <c r="T414" s="1111"/>
      <c r="U414" s="1111"/>
      <c r="V414" s="1111"/>
      <c r="W414" s="1111"/>
      <c r="X414" s="1111"/>
      <c r="Y414" s="1111"/>
      <c r="Z414" s="1111"/>
      <c r="AA414" s="1111"/>
      <c r="AB414" s="1111"/>
      <c r="AC414" s="1111"/>
      <c r="AD414" s="1111"/>
      <c r="AE414" s="1111"/>
      <c r="AF414" s="1111"/>
      <c r="AG414" s="1111"/>
    </row>
    <row r="415" spans="1:33" s="1295" customFormat="1">
      <c r="A415" s="1264"/>
      <c r="D415" s="1118"/>
      <c r="E415" s="1264"/>
      <c r="F415" s="1118"/>
      <c r="G415" s="1118"/>
      <c r="H415" s="1118"/>
      <c r="I415" s="1118"/>
      <c r="J415" s="1118"/>
      <c r="K415" s="1118"/>
      <c r="L415" s="1118"/>
      <c r="M415" s="1118"/>
      <c r="N415" s="1118"/>
      <c r="O415" s="1118"/>
      <c r="P415" s="1118"/>
      <c r="Q415" s="1111"/>
      <c r="R415" s="1111"/>
      <c r="S415" s="1111"/>
      <c r="T415" s="1111"/>
      <c r="U415" s="1111"/>
      <c r="V415" s="1111"/>
      <c r="W415" s="1111"/>
      <c r="X415" s="1111"/>
      <c r="Y415" s="1111"/>
      <c r="Z415" s="1111"/>
      <c r="AA415" s="1111"/>
      <c r="AB415" s="1111"/>
      <c r="AC415" s="1111"/>
      <c r="AD415" s="1111"/>
      <c r="AE415" s="1111"/>
      <c r="AF415" s="1111"/>
      <c r="AG415" s="1111"/>
    </row>
    <row r="416" spans="1:33" s="1295" customFormat="1">
      <c r="A416" s="1264"/>
      <c r="D416" s="1118"/>
      <c r="E416" s="1264"/>
      <c r="F416" s="1118"/>
      <c r="G416" s="1118"/>
      <c r="H416" s="1118"/>
      <c r="I416" s="1118"/>
      <c r="J416" s="1118"/>
      <c r="K416" s="1118"/>
      <c r="L416" s="1118"/>
      <c r="M416" s="1118"/>
      <c r="N416" s="1118"/>
      <c r="O416" s="1118"/>
      <c r="P416" s="1118"/>
      <c r="Q416" s="1111"/>
      <c r="R416" s="1111"/>
      <c r="S416" s="1111"/>
      <c r="T416" s="1111"/>
      <c r="U416" s="1111"/>
      <c r="V416" s="1111"/>
      <c r="W416" s="1111"/>
      <c r="X416" s="1111"/>
      <c r="Y416" s="1111"/>
      <c r="Z416" s="1111"/>
      <c r="AA416" s="1111"/>
      <c r="AB416" s="1111"/>
      <c r="AC416" s="1111"/>
      <c r="AD416" s="1111"/>
      <c r="AE416" s="1111"/>
      <c r="AF416" s="1111"/>
      <c r="AG416" s="1111"/>
    </row>
    <row r="417" spans="1:33" s="1295" customFormat="1">
      <c r="A417" s="1264"/>
      <c r="D417" s="1118"/>
      <c r="E417" s="1264"/>
      <c r="F417" s="1118"/>
      <c r="G417" s="1118"/>
      <c r="H417" s="1118"/>
      <c r="I417" s="1118"/>
      <c r="J417" s="1118"/>
      <c r="K417" s="1118"/>
      <c r="L417" s="1118"/>
      <c r="M417" s="1118"/>
      <c r="N417" s="1118"/>
      <c r="O417" s="1118"/>
      <c r="P417" s="1118"/>
      <c r="Q417" s="1111"/>
      <c r="R417" s="1111"/>
      <c r="S417" s="1111"/>
      <c r="T417" s="1111"/>
      <c r="U417" s="1111"/>
      <c r="V417" s="1111"/>
      <c r="W417" s="1111"/>
      <c r="X417" s="1111"/>
      <c r="Y417" s="1111"/>
      <c r="Z417" s="1111"/>
      <c r="AA417" s="1111"/>
      <c r="AB417" s="1111"/>
      <c r="AC417" s="1111"/>
      <c r="AD417" s="1111"/>
      <c r="AE417" s="1111"/>
      <c r="AF417" s="1111"/>
      <c r="AG417" s="1111"/>
    </row>
    <row r="418" spans="1:33" s="1295" customFormat="1">
      <c r="A418" s="1264"/>
      <c r="D418" s="1118"/>
      <c r="E418" s="1264"/>
      <c r="F418" s="1118"/>
      <c r="G418" s="1118"/>
      <c r="H418" s="1118"/>
      <c r="I418" s="1118"/>
      <c r="J418" s="1118"/>
      <c r="K418" s="1118"/>
      <c r="L418" s="1118"/>
      <c r="M418" s="1118"/>
      <c r="N418" s="1118"/>
      <c r="O418" s="1118"/>
      <c r="P418" s="1118"/>
      <c r="Q418" s="1111"/>
      <c r="R418" s="1111"/>
      <c r="S418" s="1111"/>
      <c r="T418" s="1111"/>
      <c r="U418" s="1111"/>
      <c r="V418" s="1111"/>
      <c r="W418" s="1111"/>
      <c r="X418" s="1111"/>
      <c r="Y418" s="1111"/>
      <c r="Z418" s="1111"/>
      <c r="AA418" s="1111"/>
      <c r="AB418" s="1111"/>
      <c r="AC418" s="1111"/>
      <c r="AD418" s="1111"/>
      <c r="AE418" s="1111"/>
      <c r="AF418" s="1111"/>
      <c r="AG418" s="1111"/>
    </row>
    <row r="419" spans="1:33" s="1295" customFormat="1">
      <c r="A419" s="1264"/>
      <c r="D419" s="1118"/>
      <c r="E419" s="1264"/>
      <c r="F419" s="1118"/>
      <c r="G419" s="1118"/>
      <c r="H419" s="1118"/>
      <c r="I419" s="1118"/>
      <c r="J419" s="1118"/>
      <c r="K419" s="1118"/>
      <c r="L419" s="1118"/>
      <c r="M419" s="1118"/>
      <c r="N419" s="1118"/>
      <c r="O419" s="1118"/>
      <c r="P419" s="1118"/>
      <c r="Q419" s="1111"/>
      <c r="R419" s="1111"/>
      <c r="S419" s="1111"/>
      <c r="T419" s="1111"/>
      <c r="U419" s="1111"/>
      <c r="V419" s="1111"/>
      <c r="W419" s="1111"/>
      <c r="X419" s="1111"/>
      <c r="Y419" s="1111"/>
      <c r="Z419" s="1111"/>
      <c r="AA419" s="1111"/>
      <c r="AB419" s="1111"/>
      <c r="AC419" s="1111"/>
      <c r="AD419" s="1111"/>
      <c r="AE419" s="1111"/>
      <c r="AF419" s="1111"/>
      <c r="AG419" s="1111"/>
    </row>
    <row r="420" spans="1:33" s="1295" customFormat="1">
      <c r="A420" s="1264"/>
      <c r="D420" s="1118"/>
      <c r="E420" s="1264"/>
      <c r="F420" s="1118"/>
      <c r="G420" s="1118"/>
      <c r="H420" s="1118"/>
      <c r="I420" s="1118"/>
      <c r="J420" s="1118"/>
      <c r="K420" s="1118"/>
      <c r="L420" s="1118"/>
      <c r="M420" s="1118"/>
      <c r="N420" s="1118"/>
      <c r="O420" s="1118"/>
      <c r="P420" s="1118"/>
      <c r="Q420" s="1111"/>
      <c r="R420" s="1111"/>
      <c r="S420" s="1111"/>
      <c r="T420" s="1111"/>
      <c r="U420" s="1111"/>
      <c r="V420" s="1111"/>
      <c r="W420" s="1111"/>
      <c r="X420" s="1111"/>
      <c r="Y420" s="1111"/>
      <c r="Z420" s="1111"/>
      <c r="AA420" s="1111"/>
      <c r="AB420" s="1111"/>
      <c r="AC420" s="1111"/>
      <c r="AD420" s="1111"/>
      <c r="AE420" s="1111"/>
      <c r="AF420" s="1111"/>
      <c r="AG420" s="1111"/>
    </row>
    <row r="421" spans="1:33" s="1295" customFormat="1">
      <c r="A421" s="1264"/>
      <c r="D421" s="1118"/>
      <c r="E421" s="1264"/>
      <c r="F421" s="1118"/>
      <c r="G421" s="1118"/>
      <c r="H421" s="1118"/>
      <c r="I421" s="1118"/>
      <c r="J421" s="1118"/>
      <c r="K421" s="1118"/>
      <c r="L421" s="1118"/>
      <c r="M421" s="1118"/>
      <c r="N421" s="1118"/>
      <c r="O421" s="1118"/>
      <c r="P421" s="1118"/>
      <c r="Q421" s="1111"/>
      <c r="R421" s="1111"/>
      <c r="S421" s="1111"/>
      <c r="T421" s="1111"/>
      <c r="U421" s="1111"/>
      <c r="V421" s="1111"/>
      <c r="W421" s="1111"/>
      <c r="X421" s="1111"/>
      <c r="Y421" s="1111"/>
      <c r="Z421" s="1111"/>
      <c r="AA421" s="1111"/>
      <c r="AB421" s="1111"/>
      <c r="AC421" s="1111"/>
      <c r="AD421" s="1111"/>
      <c r="AE421" s="1111"/>
      <c r="AF421" s="1111"/>
      <c r="AG421" s="1111"/>
    </row>
    <row r="422" spans="1:33" s="1295" customFormat="1">
      <c r="A422" s="1264"/>
      <c r="D422" s="1118"/>
      <c r="E422" s="1264"/>
      <c r="F422" s="1118"/>
      <c r="G422" s="1118"/>
      <c r="H422" s="1118"/>
      <c r="I422" s="1118"/>
      <c r="J422" s="1118"/>
      <c r="K422" s="1118"/>
      <c r="L422" s="1118"/>
      <c r="M422" s="1118"/>
      <c r="N422" s="1118"/>
      <c r="O422" s="1118"/>
      <c r="P422" s="1118"/>
      <c r="Q422" s="1111"/>
      <c r="R422" s="1111"/>
      <c r="S422" s="1111"/>
      <c r="T422" s="1111"/>
      <c r="U422" s="1111"/>
      <c r="V422" s="1111"/>
      <c r="W422" s="1111"/>
      <c r="X422" s="1111"/>
      <c r="Y422" s="1111"/>
      <c r="Z422" s="1111"/>
      <c r="AA422" s="1111"/>
      <c r="AB422" s="1111"/>
      <c r="AC422" s="1111"/>
      <c r="AD422" s="1111"/>
      <c r="AE422" s="1111"/>
      <c r="AF422" s="1111"/>
      <c r="AG422" s="1111"/>
    </row>
    <row r="423" spans="1:33" s="1295" customFormat="1">
      <c r="A423" s="1264"/>
      <c r="D423" s="1118"/>
      <c r="E423" s="1264"/>
      <c r="F423" s="1118"/>
      <c r="G423" s="1118"/>
      <c r="H423" s="1118"/>
      <c r="I423" s="1118"/>
      <c r="J423" s="1118"/>
      <c r="K423" s="1118"/>
      <c r="L423" s="1118"/>
      <c r="M423" s="1118"/>
      <c r="N423" s="1118"/>
      <c r="O423" s="1118"/>
      <c r="P423" s="1118"/>
      <c r="Q423" s="1111"/>
      <c r="R423" s="1111"/>
      <c r="S423" s="1111"/>
      <c r="T423" s="1111"/>
      <c r="U423" s="1111"/>
      <c r="V423" s="1111"/>
      <c r="W423" s="1111"/>
      <c r="X423" s="1111"/>
      <c r="Y423" s="1111"/>
      <c r="Z423" s="1111"/>
      <c r="AA423" s="1111"/>
      <c r="AB423" s="1111"/>
      <c r="AC423" s="1111"/>
      <c r="AD423" s="1111"/>
      <c r="AE423" s="1111"/>
      <c r="AF423" s="1111"/>
      <c r="AG423" s="1111"/>
    </row>
    <row r="424" spans="1:33" s="1295" customFormat="1">
      <c r="A424" s="1264"/>
      <c r="D424" s="1118"/>
      <c r="E424" s="1264"/>
      <c r="F424" s="1118"/>
      <c r="G424" s="1118"/>
      <c r="H424" s="1118"/>
      <c r="I424" s="1118"/>
      <c r="J424" s="1118"/>
      <c r="K424" s="1118"/>
      <c r="L424" s="1118"/>
      <c r="M424" s="1118"/>
      <c r="N424" s="1118"/>
      <c r="O424" s="1118"/>
      <c r="P424" s="1118"/>
      <c r="Q424" s="1111"/>
      <c r="R424" s="1111"/>
      <c r="S424" s="1111"/>
      <c r="T424" s="1111"/>
      <c r="U424" s="1111"/>
      <c r="V424" s="1111"/>
      <c r="W424" s="1111"/>
      <c r="X424" s="1111"/>
      <c r="Y424" s="1111"/>
      <c r="Z424" s="1111"/>
      <c r="AA424" s="1111"/>
      <c r="AB424" s="1111"/>
      <c r="AC424" s="1111"/>
      <c r="AD424" s="1111"/>
      <c r="AE424" s="1111"/>
      <c r="AF424" s="1111"/>
      <c r="AG424" s="1111"/>
    </row>
    <row r="425" spans="1:33" s="1295" customFormat="1">
      <c r="A425" s="1264"/>
      <c r="D425" s="1118"/>
      <c r="E425" s="1264"/>
      <c r="F425" s="1118"/>
      <c r="G425" s="1118"/>
      <c r="H425" s="1118"/>
      <c r="I425" s="1118"/>
      <c r="J425" s="1118"/>
      <c r="K425" s="1118"/>
      <c r="L425" s="1118"/>
      <c r="M425" s="1118"/>
      <c r="N425" s="1118"/>
      <c r="O425" s="1118"/>
      <c r="P425" s="1118"/>
      <c r="Q425" s="1111"/>
      <c r="R425" s="1111"/>
      <c r="S425" s="1111"/>
      <c r="T425" s="1111"/>
      <c r="U425" s="1111"/>
      <c r="V425" s="1111"/>
      <c r="W425" s="1111"/>
      <c r="X425" s="1111"/>
      <c r="Y425" s="1111"/>
      <c r="Z425" s="1111"/>
      <c r="AA425" s="1111"/>
      <c r="AB425" s="1111"/>
      <c r="AC425" s="1111"/>
      <c r="AD425" s="1111"/>
      <c r="AE425" s="1111"/>
      <c r="AF425" s="1111"/>
      <c r="AG425" s="1111"/>
    </row>
    <row r="426" spans="1:33" s="1295" customFormat="1">
      <c r="A426" s="1264"/>
      <c r="D426" s="1118"/>
      <c r="E426" s="1264"/>
      <c r="F426" s="1118"/>
      <c r="G426" s="1118"/>
      <c r="H426" s="1118"/>
      <c r="I426" s="1118"/>
      <c r="J426" s="1118"/>
      <c r="K426" s="1118"/>
      <c r="L426" s="1118"/>
      <c r="M426" s="1118"/>
      <c r="N426" s="1118"/>
      <c r="O426" s="1118"/>
      <c r="P426" s="1118"/>
      <c r="Q426" s="1111"/>
      <c r="R426" s="1111"/>
      <c r="S426" s="1111"/>
      <c r="T426" s="1111"/>
      <c r="U426" s="1111"/>
      <c r="V426" s="1111"/>
      <c r="W426" s="1111"/>
      <c r="X426" s="1111"/>
      <c r="Y426" s="1111"/>
      <c r="Z426" s="1111"/>
      <c r="AA426" s="1111"/>
      <c r="AB426" s="1111"/>
      <c r="AC426" s="1111"/>
      <c r="AD426" s="1111"/>
      <c r="AE426" s="1111"/>
      <c r="AF426" s="1111"/>
      <c r="AG426" s="1111"/>
    </row>
    <row r="427" spans="1:33" s="1295" customFormat="1">
      <c r="A427" s="1264"/>
      <c r="D427" s="1118"/>
      <c r="E427" s="1264"/>
      <c r="F427" s="1118"/>
      <c r="G427" s="1118"/>
      <c r="H427" s="1118"/>
      <c r="I427" s="1118"/>
      <c r="J427" s="1118"/>
      <c r="K427" s="1118"/>
      <c r="L427" s="1118"/>
      <c r="M427" s="1118"/>
      <c r="N427" s="1118"/>
      <c r="O427" s="1118"/>
      <c r="P427" s="1118"/>
      <c r="Q427" s="1111"/>
      <c r="R427" s="1111"/>
      <c r="S427" s="1111"/>
      <c r="T427" s="1111"/>
      <c r="U427" s="1111"/>
      <c r="V427" s="1111"/>
      <c r="W427" s="1111"/>
      <c r="X427" s="1111"/>
      <c r="Y427" s="1111"/>
      <c r="Z427" s="1111"/>
      <c r="AA427" s="1111"/>
      <c r="AB427" s="1111"/>
      <c r="AC427" s="1111"/>
      <c r="AD427" s="1111"/>
      <c r="AE427" s="1111"/>
      <c r="AF427" s="1111"/>
      <c r="AG427" s="1111"/>
    </row>
    <row r="428" spans="1:33" s="1295" customFormat="1">
      <c r="A428" s="1264"/>
      <c r="D428" s="1118"/>
      <c r="E428" s="1264"/>
      <c r="F428" s="1118"/>
      <c r="G428" s="1118"/>
      <c r="H428" s="1118"/>
      <c r="I428" s="1118"/>
      <c r="J428" s="1118"/>
      <c r="K428" s="1118"/>
      <c r="L428" s="1118"/>
      <c r="M428" s="1118"/>
      <c r="N428" s="1118"/>
      <c r="O428" s="1118"/>
      <c r="P428" s="1118"/>
      <c r="Q428" s="1111"/>
      <c r="R428" s="1111"/>
      <c r="S428" s="1111"/>
      <c r="T428" s="1111"/>
      <c r="U428" s="1111"/>
      <c r="V428" s="1111"/>
      <c r="W428" s="1111"/>
      <c r="X428" s="1111"/>
      <c r="Y428" s="1111"/>
      <c r="Z428" s="1111"/>
      <c r="AA428" s="1111"/>
      <c r="AB428" s="1111"/>
      <c r="AC428" s="1111"/>
      <c r="AD428" s="1111"/>
      <c r="AE428" s="1111"/>
      <c r="AF428" s="1111"/>
      <c r="AG428" s="1111"/>
    </row>
    <row r="429" spans="1:33" s="1295" customFormat="1">
      <c r="A429" s="1264"/>
      <c r="D429" s="1118"/>
      <c r="E429" s="1264"/>
      <c r="F429" s="1118"/>
      <c r="G429" s="1118"/>
      <c r="H429" s="1118"/>
      <c r="I429" s="1118"/>
      <c r="J429" s="1118"/>
      <c r="K429" s="1118"/>
      <c r="L429" s="1118"/>
      <c r="M429" s="1118"/>
      <c r="N429" s="1118"/>
      <c r="O429" s="1118"/>
      <c r="P429" s="1118"/>
      <c r="Q429" s="1111"/>
      <c r="R429" s="1111"/>
      <c r="S429" s="1111"/>
      <c r="T429" s="1111"/>
      <c r="U429" s="1111"/>
      <c r="V429" s="1111"/>
      <c r="W429" s="1111"/>
      <c r="X429" s="1111"/>
      <c r="Y429" s="1111"/>
      <c r="Z429" s="1111"/>
      <c r="AA429" s="1111"/>
      <c r="AB429" s="1111"/>
      <c r="AC429" s="1111"/>
      <c r="AD429" s="1111"/>
      <c r="AE429" s="1111"/>
      <c r="AF429" s="1111"/>
      <c r="AG429" s="1111"/>
    </row>
    <row r="430" spans="1:33" s="1295" customFormat="1">
      <c r="A430" s="1264"/>
      <c r="D430" s="1118"/>
      <c r="E430" s="1264"/>
      <c r="F430" s="1118"/>
      <c r="G430" s="1118"/>
      <c r="H430" s="1118"/>
      <c r="I430" s="1118"/>
      <c r="J430" s="1118"/>
      <c r="K430" s="1118"/>
      <c r="L430" s="1118"/>
      <c r="M430" s="1118"/>
      <c r="N430" s="1118"/>
      <c r="O430" s="1118"/>
      <c r="P430" s="1118"/>
      <c r="Q430" s="1111"/>
      <c r="R430" s="1111"/>
      <c r="S430" s="1111"/>
      <c r="T430" s="1111"/>
      <c r="U430" s="1111"/>
      <c r="V430" s="1111"/>
      <c r="W430" s="1111"/>
      <c r="X430" s="1111"/>
      <c r="Y430" s="1111"/>
      <c r="Z430" s="1111"/>
      <c r="AA430" s="1111"/>
      <c r="AB430" s="1111"/>
      <c r="AC430" s="1111"/>
      <c r="AD430" s="1111"/>
      <c r="AE430" s="1111"/>
      <c r="AF430" s="1111"/>
      <c r="AG430" s="1111"/>
    </row>
    <row r="431" spans="1:33" s="1295" customFormat="1">
      <c r="A431" s="1264"/>
      <c r="D431" s="1118"/>
      <c r="E431" s="1264"/>
      <c r="F431" s="1118"/>
      <c r="G431" s="1118"/>
      <c r="H431" s="1118"/>
      <c r="I431" s="1118"/>
      <c r="J431" s="1118"/>
      <c r="K431" s="1118"/>
      <c r="L431" s="1118"/>
      <c r="M431" s="1118"/>
      <c r="N431" s="1118"/>
      <c r="O431" s="1118"/>
      <c r="P431" s="1118"/>
      <c r="Q431" s="1111"/>
      <c r="R431" s="1111"/>
      <c r="S431" s="1111"/>
      <c r="T431" s="1111"/>
      <c r="U431" s="1111"/>
      <c r="V431" s="1111"/>
      <c r="W431" s="1111"/>
      <c r="X431" s="1111"/>
      <c r="Y431" s="1111"/>
      <c r="Z431" s="1111"/>
      <c r="AA431" s="1111"/>
      <c r="AB431" s="1111"/>
      <c r="AC431" s="1111"/>
      <c r="AD431" s="1111"/>
      <c r="AE431" s="1111"/>
      <c r="AF431" s="1111"/>
      <c r="AG431" s="1111"/>
    </row>
    <row r="432" spans="1:33" s="1295" customFormat="1">
      <c r="A432" s="1264"/>
      <c r="D432" s="1118"/>
      <c r="E432" s="1264"/>
      <c r="F432" s="1118"/>
      <c r="G432" s="1118"/>
      <c r="H432" s="1118"/>
      <c r="I432" s="1118"/>
      <c r="J432" s="1118"/>
      <c r="K432" s="1118"/>
      <c r="L432" s="1118"/>
      <c r="M432" s="1118"/>
      <c r="N432" s="1118"/>
      <c r="O432" s="1118"/>
      <c r="P432" s="1118"/>
      <c r="Q432" s="1111"/>
      <c r="R432" s="1111"/>
      <c r="S432" s="1111"/>
      <c r="T432" s="1111"/>
      <c r="U432" s="1111"/>
      <c r="V432" s="1111"/>
      <c r="W432" s="1111"/>
      <c r="X432" s="1111"/>
      <c r="Y432" s="1111"/>
      <c r="Z432" s="1111"/>
      <c r="AA432" s="1111"/>
      <c r="AB432" s="1111"/>
      <c r="AC432" s="1111"/>
      <c r="AD432" s="1111"/>
      <c r="AE432" s="1111"/>
      <c r="AF432" s="1111"/>
      <c r="AG432" s="1111"/>
    </row>
    <row r="433" spans="1:33" s="1295" customFormat="1">
      <c r="A433" s="1264"/>
      <c r="D433" s="1118"/>
      <c r="E433" s="1264"/>
      <c r="F433" s="1118"/>
      <c r="G433" s="1118"/>
      <c r="H433" s="1118"/>
      <c r="I433" s="1118"/>
      <c r="J433" s="1118"/>
      <c r="K433" s="1118"/>
      <c r="L433" s="1118"/>
      <c r="M433" s="1118"/>
      <c r="N433" s="1118"/>
      <c r="O433" s="1118"/>
      <c r="P433" s="1118"/>
      <c r="Q433" s="1111"/>
      <c r="R433" s="1111"/>
      <c r="S433" s="1111"/>
      <c r="T433" s="1111"/>
      <c r="U433" s="1111"/>
      <c r="V433" s="1111"/>
      <c r="W433" s="1111"/>
      <c r="X433" s="1111"/>
      <c r="Y433" s="1111"/>
      <c r="Z433" s="1111"/>
      <c r="AA433" s="1111"/>
      <c r="AB433" s="1111"/>
      <c r="AC433" s="1111"/>
      <c r="AD433" s="1111"/>
      <c r="AE433" s="1111"/>
      <c r="AF433" s="1111"/>
      <c r="AG433" s="1111"/>
    </row>
    <row r="434" spans="1:33" s="1295" customFormat="1">
      <c r="A434" s="1264"/>
      <c r="D434" s="1118"/>
      <c r="E434" s="1264"/>
      <c r="F434" s="1118"/>
      <c r="G434" s="1118"/>
      <c r="H434" s="1118"/>
      <c r="I434" s="1118"/>
      <c r="J434" s="1118"/>
      <c r="K434" s="1118"/>
      <c r="L434" s="1118"/>
      <c r="M434" s="1118"/>
      <c r="N434" s="1118"/>
      <c r="O434" s="1118"/>
      <c r="P434" s="1118"/>
      <c r="Q434" s="1111"/>
      <c r="R434" s="1111"/>
      <c r="S434" s="1111"/>
      <c r="T434" s="1111"/>
      <c r="U434" s="1111"/>
      <c r="V434" s="1111"/>
      <c r="W434" s="1111"/>
      <c r="X434" s="1111"/>
      <c r="Y434" s="1111"/>
      <c r="Z434" s="1111"/>
      <c r="AA434" s="1111"/>
      <c r="AB434" s="1111"/>
      <c r="AC434" s="1111"/>
      <c r="AD434" s="1111"/>
      <c r="AE434" s="1111"/>
      <c r="AF434" s="1111"/>
      <c r="AG434" s="1111"/>
    </row>
    <row r="435" spans="1:33" s="1295" customFormat="1">
      <c r="A435" s="1264"/>
      <c r="D435" s="1118"/>
      <c r="E435" s="1264"/>
      <c r="F435" s="1118"/>
      <c r="G435" s="1118"/>
      <c r="H435" s="1118"/>
      <c r="I435" s="1118"/>
      <c r="J435" s="1118"/>
      <c r="K435" s="1118"/>
      <c r="L435" s="1118"/>
      <c r="M435" s="1118"/>
      <c r="N435" s="1118"/>
      <c r="O435" s="1118"/>
      <c r="P435" s="1118"/>
      <c r="Q435" s="1111"/>
      <c r="R435" s="1111"/>
      <c r="S435" s="1111"/>
      <c r="T435" s="1111"/>
      <c r="U435" s="1111"/>
      <c r="V435" s="1111"/>
      <c r="W435" s="1111"/>
      <c r="X435" s="1111"/>
      <c r="Y435" s="1111"/>
      <c r="Z435" s="1111"/>
      <c r="AA435" s="1111"/>
      <c r="AB435" s="1111"/>
      <c r="AC435" s="1111"/>
      <c r="AD435" s="1111"/>
      <c r="AE435" s="1111"/>
      <c r="AF435" s="1111"/>
      <c r="AG435" s="1111"/>
    </row>
    <row r="436" spans="1:33" s="1295" customFormat="1">
      <c r="A436" s="1264"/>
      <c r="D436" s="1118"/>
      <c r="E436" s="1264"/>
      <c r="F436" s="1118"/>
      <c r="G436" s="1118"/>
      <c r="H436" s="1118"/>
      <c r="I436" s="1118"/>
      <c r="J436" s="1118"/>
      <c r="K436" s="1118"/>
      <c r="L436" s="1118"/>
      <c r="M436" s="1118"/>
      <c r="N436" s="1118"/>
      <c r="O436" s="1118"/>
      <c r="P436" s="1118"/>
      <c r="Q436" s="1111"/>
      <c r="R436" s="1111"/>
      <c r="S436" s="1111"/>
      <c r="T436" s="1111"/>
      <c r="U436" s="1111"/>
      <c r="V436" s="1111"/>
      <c r="W436" s="1111"/>
      <c r="X436" s="1111"/>
      <c r="Y436" s="1111"/>
      <c r="Z436" s="1111"/>
      <c r="AA436" s="1111"/>
      <c r="AB436" s="1111"/>
      <c r="AC436" s="1111"/>
      <c r="AD436" s="1111"/>
      <c r="AE436" s="1111"/>
      <c r="AF436" s="1111"/>
      <c r="AG436" s="1111"/>
    </row>
    <row r="437" spans="1:33" s="1295" customFormat="1">
      <c r="A437" s="1264"/>
      <c r="D437" s="1118"/>
      <c r="E437" s="1264"/>
      <c r="F437" s="1118"/>
      <c r="G437" s="1118"/>
      <c r="H437" s="1118"/>
      <c r="I437" s="1118"/>
      <c r="J437" s="1118"/>
      <c r="K437" s="1118"/>
      <c r="L437" s="1118"/>
      <c r="M437" s="1118"/>
      <c r="N437" s="1118"/>
      <c r="O437" s="1118"/>
      <c r="P437" s="1118"/>
      <c r="Q437" s="1111"/>
      <c r="R437" s="1111"/>
      <c r="S437" s="1111"/>
      <c r="T437" s="1111"/>
      <c r="U437" s="1111"/>
      <c r="V437" s="1111"/>
      <c r="W437" s="1111"/>
      <c r="X437" s="1111"/>
      <c r="Y437" s="1111"/>
      <c r="Z437" s="1111"/>
      <c r="AA437" s="1111"/>
      <c r="AB437" s="1111"/>
      <c r="AC437" s="1111"/>
      <c r="AD437" s="1111"/>
      <c r="AE437" s="1111"/>
      <c r="AF437" s="1111"/>
      <c r="AG437" s="1111"/>
    </row>
    <row r="438" spans="1:33" s="1295" customFormat="1">
      <c r="A438" s="1264"/>
      <c r="D438" s="1118"/>
      <c r="E438" s="1264"/>
      <c r="F438" s="1118"/>
      <c r="G438" s="1118"/>
      <c r="H438" s="1118"/>
      <c r="I438" s="1118"/>
      <c r="J438" s="1118"/>
      <c r="K438" s="1118"/>
      <c r="L438" s="1118"/>
      <c r="M438" s="1118"/>
      <c r="N438" s="1118"/>
      <c r="O438" s="1118"/>
      <c r="P438" s="1118"/>
      <c r="Q438" s="1111"/>
      <c r="R438" s="1111"/>
      <c r="S438" s="1111"/>
      <c r="T438" s="1111"/>
      <c r="U438" s="1111"/>
      <c r="V438" s="1111"/>
      <c r="W438" s="1111"/>
      <c r="X438" s="1111"/>
      <c r="Y438" s="1111"/>
      <c r="Z438" s="1111"/>
      <c r="AA438" s="1111"/>
      <c r="AB438" s="1111"/>
      <c r="AC438" s="1111"/>
      <c r="AD438" s="1111"/>
      <c r="AE438" s="1111"/>
      <c r="AF438" s="1111"/>
      <c r="AG438" s="1111"/>
    </row>
    <row r="439" spans="1:33" s="1295" customFormat="1">
      <c r="A439" s="1264"/>
      <c r="D439" s="1118"/>
      <c r="E439" s="1264"/>
      <c r="F439" s="1118"/>
      <c r="G439" s="1118"/>
      <c r="H439" s="1118"/>
      <c r="I439" s="1118"/>
      <c r="J439" s="1118"/>
      <c r="K439" s="1118"/>
      <c r="L439" s="1118"/>
      <c r="M439" s="1118"/>
      <c r="N439" s="1118"/>
      <c r="O439" s="1118"/>
      <c r="P439" s="1118"/>
      <c r="Q439" s="1111"/>
      <c r="R439" s="1111"/>
      <c r="S439" s="1111"/>
      <c r="T439" s="1111"/>
      <c r="U439" s="1111"/>
      <c r="V439" s="1111"/>
      <c r="W439" s="1111"/>
      <c r="X439" s="1111"/>
      <c r="Y439" s="1111"/>
      <c r="Z439" s="1111"/>
      <c r="AA439" s="1111"/>
      <c r="AB439" s="1111"/>
      <c r="AC439" s="1111"/>
      <c r="AD439" s="1111"/>
      <c r="AE439" s="1111"/>
      <c r="AF439" s="1111"/>
      <c r="AG439" s="1111"/>
    </row>
    <row r="440" spans="1:33" s="1295" customFormat="1">
      <c r="A440" s="1264"/>
      <c r="D440" s="1118"/>
      <c r="E440" s="1264"/>
      <c r="F440" s="1118"/>
      <c r="G440" s="1118"/>
      <c r="H440" s="1118"/>
      <c r="I440" s="1118"/>
      <c r="J440" s="1118"/>
      <c r="K440" s="1118"/>
      <c r="L440" s="1118"/>
      <c r="M440" s="1118"/>
      <c r="N440" s="1118"/>
      <c r="O440" s="1118"/>
      <c r="P440" s="1118"/>
      <c r="Q440" s="1111"/>
      <c r="R440" s="1111"/>
      <c r="S440" s="1111"/>
      <c r="T440" s="1111"/>
      <c r="U440" s="1111"/>
      <c r="V440" s="1111"/>
      <c r="W440" s="1111"/>
      <c r="X440" s="1111"/>
      <c r="Y440" s="1111"/>
      <c r="Z440" s="1111"/>
      <c r="AA440" s="1111"/>
      <c r="AB440" s="1111"/>
      <c r="AC440" s="1111"/>
      <c r="AD440" s="1111"/>
      <c r="AE440" s="1111"/>
      <c r="AF440" s="1111"/>
      <c r="AG440" s="1111"/>
    </row>
    <row r="441" spans="1:33" s="1295" customFormat="1">
      <c r="A441" s="1264"/>
      <c r="D441" s="1118"/>
      <c r="E441" s="1264"/>
      <c r="F441" s="1118"/>
      <c r="G441" s="1118"/>
      <c r="H441" s="1118"/>
      <c r="I441" s="1118"/>
      <c r="J441" s="1118"/>
      <c r="K441" s="1118"/>
      <c r="L441" s="1118"/>
      <c r="M441" s="1118"/>
      <c r="N441" s="1118"/>
      <c r="O441" s="1118"/>
      <c r="P441" s="1118"/>
      <c r="Q441" s="1111"/>
      <c r="R441" s="1111"/>
      <c r="S441" s="1111"/>
      <c r="T441" s="1111"/>
      <c r="U441" s="1111"/>
      <c r="V441" s="1111"/>
      <c r="W441" s="1111"/>
      <c r="X441" s="1111"/>
      <c r="Y441" s="1111"/>
      <c r="Z441" s="1111"/>
      <c r="AA441" s="1111"/>
      <c r="AB441" s="1111"/>
      <c r="AC441" s="1111"/>
      <c r="AD441" s="1111"/>
      <c r="AE441" s="1111"/>
      <c r="AF441" s="1111"/>
      <c r="AG441" s="1111"/>
    </row>
    <row r="442" spans="1:33" s="1295" customFormat="1">
      <c r="A442" s="1264"/>
      <c r="D442" s="1118"/>
      <c r="E442" s="1264"/>
      <c r="F442" s="1118"/>
      <c r="G442" s="1118"/>
      <c r="H442" s="1118"/>
      <c r="I442" s="1118"/>
      <c r="J442" s="1118"/>
      <c r="K442" s="1118"/>
      <c r="L442" s="1118"/>
      <c r="M442" s="1118"/>
      <c r="N442" s="1118"/>
      <c r="O442" s="1118"/>
      <c r="P442" s="1118"/>
      <c r="Q442" s="1111"/>
      <c r="R442" s="1111"/>
      <c r="S442" s="1111"/>
      <c r="T442" s="1111"/>
      <c r="U442" s="1111"/>
      <c r="V442" s="1111"/>
      <c r="W442" s="1111"/>
      <c r="X442" s="1111"/>
      <c r="Y442" s="1111"/>
      <c r="Z442" s="1111"/>
      <c r="AA442" s="1111"/>
      <c r="AB442" s="1111"/>
      <c r="AC442" s="1111"/>
      <c r="AD442" s="1111"/>
      <c r="AE442" s="1111"/>
      <c r="AF442" s="1111"/>
      <c r="AG442" s="1111"/>
    </row>
    <row r="443" spans="1:33" s="1295" customFormat="1">
      <c r="A443" s="1264"/>
      <c r="D443" s="1118"/>
      <c r="E443" s="1264"/>
      <c r="F443" s="1118"/>
      <c r="G443" s="1118"/>
      <c r="H443" s="1118"/>
      <c r="I443" s="1118"/>
      <c r="J443" s="1118"/>
      <c r="K443" s="1118"/>
      <c r="L443" s="1118"/>
      <c r="M443" s="1118"/>
      <c r="N443" s="1118"/>
      <c r="O443" s="1118"/>
      <c r="P443" s="1118"/>
      <c r="Q443" s="1111"/>
      <c r="R443" s="1111"/>
      <c r="S443" s="1111"/>
      <c r="T443" s="1111"/>
      <c r="U443" s="1111"/>
      <c r="V443" s="1111"/>
      <c r="W443" s="1111"/>
      <c r="X443" s="1111"/>
      <c r="Y443" s="1111"/>
      <c r="Z443" s="1111"/>
      <c r="AA443" s="1111"/>
      <c r="AB443" s="1111"/>
      <c r="AC443" s="1111"/>
      <c r="AD443" s="1111"/>
      <c r="AE443" s="1111"/>
      <c r="AF443" s="1111"/>
      <c r="AG443" s="1111"/>
    </row>
    <row r="444" spans="1:33" s="1295" customFormat="1">
      <c r="A444" s="1264"/>
      <c r="D444" s="1118"/>
      <c r="E444" s="1264"/>
      <c r="F444" s="1118"/>
      <c r="G444" s="1118"/>
      <c r="H444" s="1118"/>
      <c r="I444" s="1118"/>
      <c r="J444" s="1118"/>
      <c r="K444" s="1118"/>
      <c r="L444" s="1118"/>
      <c r="M444" s="1118"/>
      <c r="N444" s="1118"/>
      <c r="O444" s="1118"/>
      <c r="P444" s="1118"/>
      <c r="Q444" s="1111"/>
      <c r="R444" s="1111"/>
      <c r="S444" s="1111"/>
      <c r="T444" s="1111"/>
      <c r="U444" s="1111"/>
      <c r="V444" s="1111"/>
      <c r="W444" s="1111"/>
      <c r="X444" s="1111"/>
      <c r="Y444" s="1111"/>
      <c r="Z444" s="1111"/>
      <c r="AA444" s="1111"/>
      <c r="AB444" s="1111"/>
      <c r="AC444" s="1111"/>
      <c r="AD444" s="1111"/>
      <c r="AE444" s="1111"/>
      <c r="AF444" s="1111"/>
      <c r="AG444" s="1111"/>
    </row>
    <row r="445" spans="1:33" s="1295" customFormat="1">
      <c r="A445" s="1264"/>
      <c r="D445" s="1118"/>
      <c r="E445" s="1264"/>
      <c r="F445" s="1118"/>
      <c r="G445" s="1118"/>
      <c r="H445" s="1118"/>
      <c r="I445" s="1118"/>
      <c r="J445" s="1118"/>
      <c r="K445" s="1118"/>
      <c r="L445" s="1118"/>
      <c r="M445" s="1118"/>
      <c r="N445" s="1118"/>
      <c r="O445" s="1118"/>
      <c r="P445" s="1118"/>
      <c r="Q445" s="1111"/>
      <c r="R445" s="1111"/>
      <c r="S445" s="1111"/>
      <c r="T445" s="1111"/>
      <c r="U445" s="1111"/>
      <c r="V445" s="1111"/>
      <c r="W445" s="1111"/>
      <c r="X445" s="1111"/>
      <c r="Y445" s="1111"/>
      <c r="Z445" s="1111"/>
      <c r="AA445" s="1111"/>
      <c r="AB445" s="1111"/>
      <c r="AC445" s="1111"/>
      <c r="AD445" s="1111"/>
      <c r="AE445" s="1111"/>
      <c r="AF445" s="1111"/>
      <c r="AG445" s="1111"/>
    </row>
    <row r="446" spans="1:33" s="1295" customFormat="1">
      <c r="A446" s="1264"/>
      <c r="D446" s="1118"/>
      <c r="E446" s="1264"/>
      <c r="F446" s="1118"/>
      <c r="G446" s="1118"/>
      <c r="H446" s="1118"/>
      <c r="I446" s="1118"/>
      <c r="J446" s="1118"/>
      <c r="K446" s="1118"/>
      <c r="L446" s="1118"/>
      <c r="M446" s="1118"/>
      <c r="N446" s="1118"/>
      <c r="O446" s="1118"/>
      <c r="P446" s="1118"/>
      <c r="Q446" s="1111"/>
      <c r="R446" s="1111"/>
      <c r="S446" s="1111"/>
      <c r="T446" s="1111"/>
      <c r="U446" s="1111"/>
      <c r="V446" s="1111"/>
      <c r="W446" s="1111"/>
      <c r="X446" s="1111"/>
      <c r="Y446" s="1111"/>
      <c r="Z446" s="1111"/>
      <c r="AA446" s="1111"/>
      <c r="AB446" s="1111"/>
      <c r="AC446" s="1111"/>
      <c r="AD446" s="1111"/>
      <c r="AE446" s="1111"/>
      <c r="AF446" s="1111"/>
      <c r="AG446" s="1111"/>
    </row>
    <row r="447" spans="1:33" s="1295" customFormat="1">
      <c r="A447" s="1264"/>
      <c r="D447" s="1118"/>
      <c r="E447" s="1264"/>
      <c r="F447" s="1118"/>
      <c r="G447" s="1118"/>
      <c r="H447" s="1118"/>
      <c r="I447" s="1118"/>
      <c r="J447" s="1118"/>
      <c r="K447" s="1118"/>
      <c r="L447" s="1118"/>
      <c r="M447" s="1118"/>
      <c r="N447" s="1118"/>
      <c r="O447" s="1118"/>
      <c r="P447" s="1118"/>
      <c r="Q447" s="1111"/>
      <c r="R447" s="1111"/>
      <c r="S447" s="1111"/>
      <c r="T447" s="1111"/>
      <c r="U447" s="1111"/>
      <c r="V447" s="1111"/>
      <c r="W447" s="1111"/>
      <c r="X447" s="1111"/>
      <c r="Y447" s="1111"/>
      <c r="Z447" s="1111"/>
      <c r="AA447" s="1111"/>
      <c r="AB447" s="1111"/>
      <c r="AC447" s="1111"/>
      <c r="AD447" s="1111"/>
      <c r="AE447" s="1111"/>
      <c r="AF447" s="1111"/>
      <c r="AG447" s="1111"/>
    </row>
    <row r="448" spans="1:33" s="1295" customFormat="1">
      <c r="A448" s="1264"/>
      <c r="D448" s="1118"/>
      <c r="E448" s="1264"/>
      <c r="F448" s="1118"/>
      <c r="G448" s="1118"/>
      <c r="H448" s="1118"/>
      <c r="I448" s="1118"/>
      <c r="J448" s="1118"/>
      <c r="K448" s="1118"/>
      <c r="L448" s="1118"/>
      <c r="M448" s="1118"/>
      <c r="N448" s="1118"/>
      <c r="O448" s="1118"/>
      <c r="P448" s="1118"/>
      <c r="Q448" s="1111"/>
      <c r="R448" s="1111"/>
      <c r="S448" s="1111"/>
      <c r="T448" s="1111"/>
      <c r="U448" s="1111"/>
      <c r="V448" s="1111"/>
      <c r="W448" s="1111"/>
      <c r="X448" s="1111"/>
      <c r="Y448" s="1111"/>
      <c r="Z448" s="1111"/>
      <c r="AA448" s="1111"/>
      <c r="AB448" s="1111"/>
      <c r="AC448" s="1111"/>
      <c r="AD448" s="1111"/>
      <c r="AE448" s="1111"/>
      <c r="AF448" s="1111"/>
      <c r="AG448" s="1111"/>
    </row>
    <row r="449" spans="1:33" s="1295" customFormat="1">
      <c r="A449" s="1264"/>
      <c r="D449" s="1118"/>
      <c r="E449" s="1264"/>
      <c r="F449" s="1118"/>
      <c r="G449" s="1118"/>
      <c r="H449" s="1118"/>
      <c r="I449" s="1118"/>
      <c r="J449" s="1118"/>
      <c r="K449" s="1118"/>
      <c r="L449" s="1118"/>
      <c r="M449" s="1118"/>
      <c r="N449" s="1118"/>
      <c r="O449" s="1118"/>
      <c r="P449" s="1118"/>
      <c r="Q449" s="1111"/>
      <c r="R449" s="1111"/>
      <c r="S449" s="1111"/>
      <c r="T449" s="1111"/>
      <c r="U449" s="1111"/>
      <c r="V449" s="1111"/>
      <c r="W449" s="1111"/>
      <c r="X449" s="1111"/>
      <c r="Y449" s="1111"/>
      <c r="Z449" s="1111"/>
      <c r="AA449" s="1111"/>
      <c r="AB449" s="1111"/>
      <c r="AC449" s="1111"/>
      <c r="AD449" s="1111"/>
      <c r="AE449" s="1111"/>
      <c r="AF449" s="1111"/>
      <c r="AG449" s="1111"/>
    </row>
    <row r="450" spans="1:33" s="1295" customFormat="1">
      <c r="A450" s="1264"/>
      <c r="D450" s="1118"/>
      <c r="E450" s="1264"/>
      <c r="F450" s="1118"/>
      <c r="G450" s="1118"/>
      <c r="H450" s="1118"/>
      <c r="I450" s="1118"/>
      <c r="J450" s="1118"/>
      <c r="K450" s="1118"/>
      <c r="L450" s="1118"/>
      <c r="M450" s="1118"/>
      <c r="N450" s="1118"/>
      <c r="O450" s="1118"/>
      <c r="P450" s="1118"/>
      <c r="Q450" s="1111"/>
      <c r="R450" s="1111"/>
      <c r="S450" s="1111"/>
      <c r="T450" s="1111"/>
      <c r="U450" s="1111"/>
      <c r="V450" s="1111"/>
      <c r="W450" s="1111"/>
      <c r="X450" s="1111"/>
      <c r="Y450" s="1111"/>
      <c r="Z450" s="1111"/>
      <c r="AA450" s="1111"/>
      <c r="AB450" s="1111"/>
      <c r="AC450" s="1111"/>
      <c r="AD450" s="1111"/>
      <c r="AE450" s="1111"/>
      <c r="AF450" s="1111"/>
      <c r="AG450" s="1111"/>
    </row>
    <row r="451" spans="1:33" s="1295" customFormat="1">
      <c r="A451" s="1264"/>
      <c r="D451" s="1118"/>
      <c r="E451" s="1264"/>
      <c r="F451" s="1118"/>
      <c r="G451" s="1118"/>
      <c r="H451" s="1118"/>
      <c r="I451" s="1118"/>
      <c r="J451" s="1118"/>
      <c r="K451" s="1118"/>
      <c r="L451" s="1118"/>
      <c r="M451" s="1118"/>
      <c r="N451" s="1118"/>
      <c r="O451" s="1118"/>
      <c r="P451" s="1118"/>
      <c r="Q451" s="1111"/>
      <c r="R451" s="1111"/>
      <c r="S451" s="1111"/>
      <c r="T451" s="1111"/>
      <c r="U451" s="1111"/>
      <c r="V451" s="1111"/>
      <c r="W451" s="1111"/>
      <c r="X451" s="1111"/>
      <c r="Y451" s="1111"/>
      <c r="Z451" s="1111"/>
      <c r="AA451" s="1111"/>
      <c r="AB451" s="1111"/>
      <c r="AC451" s="1111"/>
      <c r="AD451" s="1111"/>
      <c r="AE451" s="1111"/>
      <c r="AF451" s="1111"/>
      <c r="AG451" s="1111"/>
    </row>
    <row r="452" spans="1:33" s="1295" customFormat="1">
      <c r="A452" s="1264"/>
      <c r="D452" s="1118"/>
      <c r="E452" s="1264"/>
      <c r="F452" s="1118"/>
      <c r="G452" s="1118"/>
      <c r="H452" s="1118"/>
      <c r="I452" s="1118"/>
      <c r="J452" s="1118"/>
      <c r="K452" s="1118"/>
      <c r="L452" s="1118"/>
      <c r="M452" s="1118"/>
      <c r="N452" s="1118"/>
      <c r="O452" s="1118"/>
      <c r="P452" s="1118"/>
      <c r="Q452" s="1111"/>
      <c r="R452" s="1111"/>
      <c r="S452" s="1111"/>
      <c r="T452" s="1111"/>
      <c r="U452" s="1111"/>
      <c r="V452" s="1111"/>
      <c r="W452" s="1111"/>
      <c r="X452" s="1111"/>
      <c r="Y452" s="1111"/>
      <c r="Z452" s="1111"/>
      <c r="AA452" s="1111"/>
      <c r="AB452" s="1111"/>
      <c r="AC452" s="1111"/>
      <c r="AD452" s="1111"/>
      <c r="AE452" s="1111"/>
      <c r="AF452" s="1111"/>
      <c r="AG452" s="1111"/>
    </row>
    <row r="453" spans="1:33" s="1295" customFormat="1">
      <c r="A453" s="1264"/>
      <c r="D453" s="1118"/>
      <c r="E453" s="1264"/>
      <c r="F453" s="1118"/>
      <c r="G453" s="1118"/>
      <c r="H453" s="1118"/>
      <c r="I453" s="1118"/>
      <c r="J453" s="1118"/>
      <c r="K453" s="1118"/>
      <c r="L453" s="1118"/>
      <c r="M453" s="1118"/>
      <c r="N453" s="1118"/>
      <c r="O453" s="1118"/>
      <c r="P453" s="1118"/>
      <c r="Q453" s="1111"/>
      <c r="R453" s="1111"/>
      <c r="S453" s="1111"/>
      <c r="T453" s="1111"/>
      <c r="U453" s="1111"/>
      <c r="V453" s="1111"/>
      <c r="W453" s="1111"/>
      <c r="X453" s="1111"/>
      <c r="Y453" s="1111"/>
      <c r="Z453" s="1111"/>
      <c r="AA453" s="1111"/>
      <c r="AB453" s="1111"/>
      <c r="AC453" s="1111"/>
      <c r="AD453" s="1111"/>
      <c r="AE453" s="1111"/>
      <c r="AF453" s="1111"/>
      <c r="AG453" s="1111"/>
    </row>
    <row r="454" spans="1:33" s="1295" customFormat="1">
      <c r="A454" s="1264"/>
      <c r="D454" s="1118"/>
      <c r="E454" s="1264"/>
      <c r="F454" s="1118"/>
      <c r="G454" s="1118"/>
      <c r="H454" s="1118"/>
      <c r="I454" s="1118"/>
      <c r="J454" s="1118"/>
      <c r="K454" s="1118"/>
      <c r="L454" s="1118"/>
      <c r="M454" s="1118"/>
      <c r="N454" s="1118"/>
      <c r="O454" s="1118"/>
      <c r="P454" s="1118"/>
      <c r="Q454" s="1111"/>
      <c r="R454" s="1111"/>
      <c r="S454" s="1111"/>
      <c r="T454" s="1111"/>
      <c r="U454" s="1111"/>
      <c r="V454" s="1111"/>
      <c r="W454" s="1111"/>
      <c r="X454" s="1111"/>
      <c r="Y454" s="1111"/>
      <c r="Z454" s="1111"/>
      <c r="AA454" s="1111"/>
      <c r="AB454" s="1111"/>
      <c r="AC454" s="1111"/>
      <c r="AD454" s="1111"/>
      <c r="AE454" s="1111"/>
      <c r="AF454" s="1111"/>
      <c r="AG454" s="1111"/>
    </row>
    <row r="455" spans="1:33" s="1295" customFormat="1">
      <c r="A455" s="1264"/>
      <c r="D455" s="1118"/>
      <c r="E455" s="1264"/>
      <c r="F455" s="1118"/>
      <c r="G455" s="1118"/>
      <c r="H455" s="1118"/>
      <c r="I455" s="1118"/>
      <c r="J455" s="1118"/>
      <c r="K455" s="1118"/>
      <c r="L455" s="1118"/>
      <c r="M455" s="1118"/>
      <c r="N455" s="1118"/>
      <c r="O455" s="1118"/>
      <c r="P455" s="1118"/>
      <c r="Q455" s="1111"/>
      <c r="R455" s="1111"/>
      <c r="S455" s="1111"/>
      <c r="T455" s="1111"/>
      <c r="U455" s="1111"/>
      <c r="V455" s="1111"/>
      <c r="W455" s="1111"/>
      <c r="X455" s="1111"/>
      <c r="Y455" s="1111"/>
      <c r="Z455" s="1111"/>
      <c r="AA455" s="1111"/>
      <c r="AB455" s="1111"/>
      <c r="AC455" s="1111"/>
      <c r="AD455" s="1111"/>
      <c r="AE455" s="1111"/>
      <c r="AF455" s="1111"/>
      <c r="AG455" s="1111"/>
    </row>
    <row r="456" spans="1:33" s="1295" customFormat="1">
      <c r="A456" s="1264"/>
      <c r="D456" s="1118"/>
      <c r="E456" s="1264"/>
      <c r="F456" s="1118"/>
      <c r="G456" s="1118"/>
      <c r="H456" s="1118"/>
      <c r="I456" s="1118"/>
      <c r="J456" s="1118"/>
      <c r="K456" s="1118"/>
      <c r="L456" s="1118"/>
      <c r="M456" s="1118"/>
      <c r="N456" s="1118"/>
      <c r="O456" s="1118"/>
      <c r="P456" s="1118"/>
      <c r="Q456" s="1111"/>
      <c r="R456" s="1111"/>
      <c r="S456" s="1111"/>
      <c r="T456" s="1111"/>
      <c r="U456" s="1111"/>
      <c r="V456" s="1111"/>
      <c r="W456" s="1111"/>
      <c r="X456" s="1111"/>
      <c r="Y456" s="1111"/>
      <c r="Z456" s="1111"/>
      <c r="AA456" s="1111"/>
      <c r="AB456" s="1111"/>
      <c r="AC456" s="1111"/>
      <c r="AD456" s="1111"/>
      <c r="AE456" s="1111"/>
      <c r="AF456" s="1111"/>
      <c r="AG456" s="1111"/>
    </row>
    <row r="457" spans="1:33" s="1295" customFormat="1">
      <c r="A457" s="1264"/>
      <c r="D457" s="1118"/>
      <c r="E457" s="1264"/>
      <c r="F457" s="1118"/>
      <c r="G457" s="1118"/>
      <c r="H457" s="1118"/>
      <c r="I457" s="1118"/>
      <c r="J457" s="1118"/>
      <c r="K457" s="1118"/>
      <c r="L457" s="1118"/>
      <c r="M457" s="1118"/>
      <c r="N457" s="1118"/>
      <c r="O457" s="1118"/>
      <c r="P457" s="1118"/>
      <c r="Q457" s="1111"/>
      <c r="R457" s="1111"/>
      <c r="S457" s="1111"/>
      <c r="T457" s="1111"/>
      <c r="U457" s="1111"/>
      <c r="V457" s="1111"/>
      <c r="W457" s="1111"/>
      <c r="X457" s="1111"/>
      <c r="Y457" s="1111"/>
      <c r="Z457" s="1111"/>
      <c r="AA457" s="1111"/>
      <c r="AB457" s="1111"/>
      <c r="AC457" s="1111"/>
      <c r="AD457" s="1111"/>
      <c r="AE457" s="1111"/>
      <c r="AF457" s="1111"/>
      <c r="AG457" s="1111"/>
    </row>
    <row r="458" spans="1:33" s="1295" customFormat="1">
      <c r="A458" s="1264"/>
      <c r="D458" s="1118"/>
      <c r="E458" s="1264"/>
      <c r="F458" s="1118"/>
      <c r="G458" s="1118"/>
      <c r="H458" s="1118"/>
      <c r="I458" s="1118"/>
      <c r="J458" s="1118"/>
      <c r="K458" s="1118"/>
      <c r="L458" s="1118"/>
      <c r="M458" s="1118"/>
      <c r="N458" s="1118"/>
      <c r="O458" s="1118"/>
      <c r="P458" s="1118"/>
      <c r="Q458" s="1111"/>
      <c r="R458" s="1111"/>
      <c r="S458" s="1111"/>
      <c r="T458" s="1111"/>
      <c r="U458" s="1111"/>
      <c r="V458" s="1111"/>
      <c r="W458" s="1111"/>
      <c r="X458" s="1111"/>
      <c r="Y458" s="1111"/>
      <c r="Z458" s="1111"/>
      <c r="AA458" s="1111"/>
      <c r="AB458" s="1111"/>
      <c r="AC458" s="1111"/>
      <c r="AD458" s="1111"/>
      <c r="AE458" s="1111"/>
      <c r="AF458" s="1111"/>
      <c r="AG458" s="1111"/>
    </row>
    <row r="459" spans="1:33" s="1295" customFormat="1">
      <c r="A459" s="1264"/>
      <c r="D459" s="1118"/>
      <c r="E459" s="1264"/>
      <c r="F459" s="1118"/>
      <c r="G459" s="1118"/>
      <c r="H459" s="1118"/>
      <c r="I459" s="1118"/>
      <c r="J459" s="1118"/>
      <c r="K459" s="1118"/>
      <c r="L459" s="1118"/>
      <c r="M459" s="1118"/>
      <c r="N459" s="1118"/>
      <c r="O459" s="1118"/>
      <c r="P459" s="1118"/>
      <c r="Q459" s="1111"/>
      <c r="R459" s="1111"/>
      <c r="S459" s="1111"/>
      <c r="T459" s="1111"/>
      <c r="U459" s="1111"/>
      <c r="V459" s="1111"/>
      <c r="W459" s="1111"/>
      <c r="X459" s="1111"/>
      <c r="Y459" s="1111"/>
      <c r="Z459" s="1111"/>
      <c r="AA459" s="1111"/>
      <c r="AB459" s="1111"/>
      <c r="AC459" s="1111"/>
      <c r="AD459" s="1111"/>
      <c r="AE459" s="1111"/>
      <c r="AF459" s="1111"/>
      <c r="AG459" s="1111"/>
    </row>
    <row r="460" spans="1:33" s="1295" customFormat="1">
      <c r="A460" s="1264"/>
      <c r="D460" s="1118"/>
      <c r="E460" s="1264"/>
      <c r="F460" s="1118"/>
      <c r="G460" s="1118"/>
      <c r="H460" s="1118"/>
      <c r="I460" s="1118"/>
      <c r="J460" s="1118"/>
      <c r="K460" s="1118"/>
      <c r="L460" s="1118"/>
      <c r="M460" s="1118"/>
      <c r="N460" s="1118"/>
      <c r="O460" s="1118"/>
      <c r="P460" s="1118"/>
      <c r="Q460" s="1111"/>
      <c r="R460" s="1111"/>
      <c r="S460" s="1111"/>
      <c r="T460" s="1111"/>
      <c r="U460" s="1111"/>
      <c r="V460" s="1111"/>
      <c r="W460" s="1111"/>
      <c r="X460" s="1111"/>
      <c r="Y460" s="1111"/>
      <c r="Z460" s="1111"/>
      <c r="AA460" s="1111"/>
      <c r="AB460" s="1111"/>
      <c r="AC460" s="1111"/>
      <c r="AD460" s="1111"/>
      <c r="AE460" s="1111"/>
      <c r="AF460" s="1111"/>
      <c r="AG460" s="1111"/>
    </row>
    <row r="461" spans="1:33" s="1295" customFormat="1">
      <c r="A461" s="1264"/>
      <c r="D461" s="1118"/>
      <c r="E461" s="1264"/>
      <c r="F461" s="1118"/>
      <c r="G461" s="1118"/>
      <c r="H461" s="1118"/>
      <c r="I461" s="1118"/>
      <c r="J461" s="1118"/>
      <c r="K461" s="1118"/>
      <c r="L461" s="1118"/>
      <c r="M461" s="1118"/>
      <c r="N461" s="1118"/>
      <c r="O461" s="1118"/>
      <c r="P461" s="1118"/>
      <c r="Q461" s="1111"/>
      <c r="R461" s="1111"/>
      <c r="S461" s="1111"/>
      <c r="T461" s="1111"/>
      <c r="U461" s="1111"/>
      <c r="V461" s="1111"/>
      <c r="W461" s="1111"/>
      <c r="X461" s="1111"/>
      <c r="Y461" s="1111"/>
      <c r="Z461" s="1111"/>
      <c r="AA461" s="1111"/>
      <c r="AB461" s="1111"/>
      <c r="AC461" s="1111"/>
      <c r="AD461" s="1111"/>
      <c r="AE461" s="1111"/>
      <c r="AF461" s="1111"/>
      <c r="AG461" s="1111"/>
    </row>
    <row r="462" spans="1:33" s="1295" customFormat="1">
      <c r="A462" s="1264"/>
      <c r="D462" s="1118"/>
      <c r="E462" s="1264"/>
      <c r="F462" s="1118"/>
      <c r="G462" s="1118"/>
      <c r="H462" s="1118"/>
      <c r="I462" s="1118"/>
      <c r="J462" s="1118"/>
      <c r="K462" s="1118"/>
      <c r="L462" s="1118"/>
      <c r="M462" s="1118"/>
      <c r="N462" s="1118"/>
      <c r="O462" s="1118"/>
      <c r="P462" s="1118"/>
      <c r="Q462" s="1111"/>
      <c r="R462" s="1111"/>
      <c r="S462" s="1111"/>
      <c r="T462" s="1111"/>
      <c r="U462" s="1111"/>
      <c r="V462" s="1111"/>
      <c r="W462" s="1111"/>
      <c r="X462" s="1111"/>
      <c r="Y462" s="1111"/>
      <c r="Z462" s="1111"/>
      <c r="AA462" s="1111"/>
      <c r="AB462" s="1111"/>
      <c r="AC462" s="1111"/>
      <c r="AD462" s="1111"/>
      <c r="AE462" s="1111"/>
      <c r="AF462" s="1111"/>
      <c r="AG462" s="1111"/>
    </row>
    <row r="463" spans="1:33" s="1295" customFormat="1">
      <c r="A463" s="1264"/>
      <c r="D463" s="1118"/>
      <c r="E463" s="1264"/>
      <c r="F463" s="1118"/>
      <c r="G463" s="1118"/>
      <c r="H463" s="1118"/>
      <c r="I463" s="1118"/>
      <c r="J463" s="1118"/>
      <c r="K463" s="1118"/>
      <c r="L463" s="1118"/>
      <c r="M463" s="1118"/>
      <c r="N463" s="1118"/>
      <c r="O463" s="1118"/>
      <c r="P463" s="1118"/>
      <c r="Q463" s="1111"/>
      <c r="R463" s="1111"/>
      <c r="S463" s="1111"/>
      <c r="T463" s="1111"/>
      <c r="U463" s="1111"/>
      <c r="V463" s="1111"/>
      <c r="W463" s="1111"/>
      <c r="X463" s="1111"/>
      <c r="Y463" s="1111"/>
      <c r="Z463" s="1111"/>
      <c r="AA463" s="1111"/>
      <c r="AB463" s="1111"/>
      <c r="AC463" s="1111"/>
      <c r="AD463" s="1111"/>
      <c r="AE463" s="1111"/>
      <c r="AF463" s="1111"/>
      <c r="AG463" s="1111"/>
    </row>
    <row r="464" spans="1:33" s="1295" customFormat="1">
      <c r="A464" s="1264"/>
      <c r="D464" s="1118"/>
      <c r="E464" s="1264"/>
      <c r="F464" s="1118"/>
      <c r="G464" s="1118"/>
      <c r="H464" s="1118"/>
      <c r="I464" s="1118"/>
      <c r="J464" s="1118"/>
      <c r="K464" s="1118"/>
      <c r="L464" s="1118"/>
      <c r="M464" s="1118"/>
      <c r="N464" s="1118"/>
      <c r="O464" s="1118"/>
      <c r="P464" s="1118"/>
      <c r="Q464" s="1111"/>
      <c r="R464" s="1111"/>
      <c r="S464" s="1111"/>
      <c r="T464" s="1111"/>
      <c r="U464" s="1111"/>
      <c r="V464" s="1111"/>
      <c r="W464" s="1111"/>
      <c r="X464" s="1111"/>
      <c r="Y464" s="1111"/>
      <c r="Z464" s="1111"/>
      <c r="AA464" s="1111"/>
      <c r="AB464" s="1111"/>
      <c r="AC464" s="1111"/>
      <c r="AD464" s="1111"/>
      <c r="AE464" s="1111"/>
      <c r="AF464" s="1111"/>
      <c r="AG464" s="1111"/>
    </row>
    <row r="465" spans="1:33" s="1295" customFormat="1">
      <c r="A465" s="1264"/>
      <c r="D465" s="1118"/>
      <c r="E465" s="1264"/>
      <c r="F465" s="1118"/>
      <c r="G465" s="1118"/>
      <c r="H465" s="1118"/>
      <c r="I465" s="1118"/>
      <c r="J465" s="1118"/>
      <c r="K465" s="1118"/>
      <c r="L465" s="1118"/>
      <c r="M465" s="1118"/>
      <c r="N465" s="1118"/>
      <c r="O465" s="1118"/>
      <c r="P465" s="1118"/>
      <c r="Q465" s="1111"/>
      <c r="R465" s="1111"/>
      <c r="S465" s="1111"/>
      <c r="T465" s="1111"/>
      <c r="U465" s="1111"/>
      <c r="V465" s="1111"/>
      <c r="W465" s="1111"/>
      <c r="X465" s="1111"/>
      <c r="Y465" s="1111"/>
      <c r="Z465" s="1111"/>
      <c r="AA465" s="1111"/>
      <c r="AB465" s="1111"/>
      <c r="AC465" s="1111"/>
      <c r="AD465" s="1111"/>
      <c r="AE465" s="1111"/>
      <c r="AF465" s="1111"/>
      <c r="AG465" s="1111"/>
    </row>
    <row r="466" spans="1:33" s="1295" customFormat="1">
      <c r="A466" s="1264"/>
      <c r="D466" s="1118"/>
      <c r="E466" s="1264"/>
      <c r="F466" s="1118"/>
      <c r="G466" s="1118"/>
      <c r="H466" s="1118"/>
      <c r="I466" s="1118"/>
      <c r="J466" s="1118"/>
      <c r="K466" s="1118"/>
      <c r="L466" s="1118"/>
      <c r="M466" s="1118"/>
      <c r="N466" s="1118"/>
      <c r="O466" s="1118"/>
      <c r="P466" s="1118"/>
      <c r="Q466" s="1111"/>
      <c r="R466" s="1111"/>
      <c r="S466" s="1111"/>
      <c r="T466" s="1111"/>
      <c r="U466" s="1111"/>
      <c r="V466" s="1111"/>
      <c r="W466" s="1111"/>
      <c r="X466" s="1111"/>
      <c r="Y466" s="1111"/>
      <c r="Z466" s="1111"/>
      <c r="AA466" s="1111"/>
      <c r="AB466" s="1111"/>
      <c r="AC466" s="1111"/>
      <c r="AD466" s="1111"/>
      <c r="AE466" s="1111"/>
      <c r="AF466" s="1111"/>
      <c r="AG466" s="1111"/>
    </row>
    <row r="467" spans="1:33" s="1295" customFormat="1">
      <c r="A467" s="1264"/>
      <c r="D467" s="1118"/>
      <c r="E467" s="1264"/>
      <c r="F467" s="1118"/>
      <c r="G467" s="1118"/>
      <c r="H467" s="1118"/>
      <c r="I467" s="1118"/>
      <c r="J467" s="1118"/>
      <c r="K467" s="1118"/>
      <c r="L467" s="1118"/>
      <c r="M467" s="1118"/>
      <c r="N467" s="1118"/>
      <c r="O467" s="1118"/>
      <c r="P467" s="1118"/>
      <c r="Q467" s="1111"/>
      <c r="R467" s="1111"/>
      <c r="S467" s="1111"/>
      <c r="T467" s="1111"/>
      <c r="U467" s="1111"/>
      <c r="V467" s="1111"/>
      <c r="W467" s="1111"/>
      <c r="X467" s="1111"/>
      <c r="Y467" s="1111"/>
      <c r="Z467" s="1111"/>
      <c r="AA467" s="1111"/>
      <c r="AB467" s="1111"/>
      <c r="AC467" s="1111"/>
      <c r="AD467" s="1111"/>
      <c r="AE467" s="1111"/>
      <c r="AF467" s="1111"/>
      <c r="AG467" s="1111"/>
    </row>
    <row r="468" spans="1:33" s="1295" customFormat="1">
      <c r="A468" s="1264"/>
      <c r="D468" s="1118"/>
      <c r="E468" s="1264"/>
      <c r="F468" s="1118"/>
      <c r="G468" s="1118"/>
      <c r="H468" s="1118"/>
      <c r="I468" s="1118"/>
      <c r="J468" s="1118"/>
      <c r="K468" s="1118"/>
      <c r="L468" s="1118"/>
      <c r="M468" s="1118"/>
      <c r="N468" s="1118"/>
      <c r="O468" s="1118"/>
      <c r="P468" s="1118"/>
      <c r="Q468" s="1111"/>
      <c r="R468" s="1111"/>
      <c r="S468" s="1111"/>
      <c r="T468" s="1111"/>
      <c r="U468" s="1111"/>
      <c r="V468" s="1111"/>
      <c r="W468" s="1111"/>
      <c r="X468" s="1111"/>
      <c r="Y468" s="1111"/>
      <c r="Z468" s="1111"/>
      <c r="AA468" s="1111"/>
      <c r="AB468" s="1111"/>
      <c r="AC468" s="1111"/>
      <c r="AD468" s="1111"/>
      <c r="AE468" s="1111"/>
      <c r="AF468" s="1111"/>
      <c r="AG468" s="1111"/>
    </row>
    <row r="469" spans="1:33" s="1295" customFormat="1">
      <c r="A469" s="1264"/>
      <c r="D469" s="1118"/>
      <c r="E469" s="1264"/>
      <c r="F469" s="1118"/>
      <c r="G469" s="1118"/>
      <c r="H469" s="1118"/>
      <c r="I469" s="1118"/>
      <c r="J469" s="1118"/>
      <c r="K469" s="1118"/>
      <c r="L469" s="1118"/>
      <c r="M469" s="1118"/>
      <c r="N469" s="1118"/>
      <c r="O469" s="1118"/>
      <c r="P469" s="1118"/>
      <c r="Q469" s="1111"/>
      <c r="R469" s="1111"/>
      <c r="S469" s="1111"/>
      <c r="T469" s="1111"/>
      <c r="U469" s="1111"/>
      <c r="V469" s="1111"/>
      <c r="W469" s="1111"/>
      <c r="X469" s="1111"/>
      <c r="Y469" s="1111"/>
      <c r="Z469" s="1111"/>
      <c r="AA469" s="1111"/>
      <c r="AB469" s="1111"/>
      <c r="AC469" s="1111"/>
      <c r="AD469" s="1111"/>
      <c r="AE469" s="1111"/>
      <c r="AF469" s="1111"/>
      <c r="AG469" s="1111"/>
    </row>
    <row r="470" spans="1:33" s="1295" customFormat="1">
      <c r="A470" s="1264"/>
      <c r="D470" s="1118"/>
      <c r="E470" s="1264"/>
      <c r="F470" s="1118"/>
      <c r="G470" s="1118"/>
      <c r="H470" s="1118"/>
      <c r="I470" s="1118"/>
      <c r="J470" s="1118"/>
      <c r="K470" s="1118"/>
      <c r="L470" s="1118"/>
      <c r="M470" s="1118"/>
      <c r="N470" s="1118"/>
      <c r="O470" s="1118"/>
      <c r="P470" s="1118"/>
      <c r="Q470" s="1111"/>
      <c r="R470" s="1111"/>
      <c r="S470" s="1111"/>
      <c r="T470" s="1111"/>
      <c r="U470" s="1111"/>
      <c r="V470" s="1111"/>
      <c r="W470" s="1111"/>
      <c r="X470" s="1111"/>
      <c r="Y470" s="1111"/>
      <c r="Z470" s="1111"/>
      <c r="AA470" s="1111"/>
      <c r="AB470" s="1111"/>
      <c r="AC470" s="1111"/>
      <c r="AD470" s="1111"/>
      <c r="AE470" s="1111"/>
      <c r="AF470" s="1111"/>
      <c r="AG470" s="1111"/>
    </row>
    <row r="471" spans="1:33" s="1295" customFormat="1">
      <c r="A471" s="1264"/>
      <c r="D471" s="1118"/>
      <c r="E471" s="1264"/>
      <c r="F471" s="1118"/>
      <c r="G471" s="1118"/>
      <c r="H471" s="1118"/>
      <c r="I471" s="1118"/>
      <c r="J471" s="1118"/>
      <c r="K471" s="1118"/>
      <c r="L471" s="1118"/>
      <c r="M471" s="1118"/>
      <c r="N471" s="1118"/>
      <c r="O471" s="1118"/>
      <c r="P471" s="1118"/>
      <c r="Q471" s="1111"/>
      <c r="R471" s="1111"/>
      <c r="S471" s="1111"/>
      <c r="T471" s="1111"/>
      <c r="U471" s="1111"/>
      <c r="V471" s="1111"/>
      <c r="W471" s="1111"/>
      <c r="X471" s="1111"/>
      <c r="Y471" s="1111"/>
      <c r="Z471" s="1111"/>
      <c r="AA471" s="1111"/>
      <c r="AB471" s="1111"/>
      <c r="AC471" s="1111"/>
      <c r="AD471" s="1111"/>
      <c r="AE471" s="1111"/>
      <c r="AF471" s="1111"/>
      <c r="AG471" s="1111"/>
    </row>
    <row r="472" spans="1:33" s="1295" customFormat="1">
      <c r="A472" s="1264"/>
      <c r="D472" s="1118"/>
      <c r="E472" s="1264"/>
      <c r="F472" s="1118"/>
      <c r="G472" s="1118"/>
      <c r="H472" s="1118"/>
      <c r="I472" s="1118"/>
      <c r="J472" s="1118"/>
      <c r="K472" s="1118"/>
      <c r="L472" s="1118"/>
      <c r="M472" s="1118"/>
      <c r="N472" s="1118"/>
      <c r="O472" s="1118"/>
      <c r="P472" s="1118"/>
      <c r="Q472" s="1111"/>
      <c r="R472" s="1111"/>
      <c r="S472" s="1111"/>
      <c r="T472" s="1111"/>
      <c r="U472" s="1111"/>
      <c r="V472" s="1111"/>
      <c r="W472" s="1111"/>
      <c r="X472" s="1111"/>
      <c r="Y472" s="1111"/>
      <c r="Z472" s="1111"/>
      <c r="AA472" s="1111"/>
      <c r="AB472" s="1111"/>
      <c r="AC472" s="1111"/>
      <c r="AD472" s="1111"/>
      <c r="AE472" s="1111"/>
      <c r="AF472" s="1111"/>
      <c r="AG472" s="1111"/>
    </row>
    <row r="473" spans="1:33" s="1295" customFormat="1">
      <c r="A473" s="1264"/>
      <c r="D473" s="1118"/>
      <c r="E473" s="1264"/>
      <c r="F473" s="1118"/>
      <c r="G473" s="1118"/>
      <c r="H473" s="1118"/>
      <c r="I473" s="1118"/>
      <c r="J473" s="1118"/>
      <c r="K473" s="1118"/>
      <c r="L473" s="1118"/>
      <c r="M473" s="1118"/>
      <c r="N473" s="1118"/>
      <c r="O473" s="1118"/>
      <c r="P473" s="1118"/>
      <c r="Q473" s="1111"/>
      <c r="R473" s="1111"/>
      <c r="S473" s="1111"/>
      <c r="T473" s="1111"/>
      <c r="U473" s="1111"/>
      <c r="V473" s="1111"/>
      <c r="W473" s="1111"/>
      <c r="X473" s="1111"/>
      <c r="Y473" s="1111"/>
      <c r="Z473" s="1111"/>
      <c r="AA473" s="1111"/>
      <c r="AB473" s="1111"/>
      <c r="AC473" s="1111"/>
      <c r="AD473" s="1111"/>
      <c r="AE473" s="1111"/>
      <c r="AF473" s="1111"/>
      <c r="AG473" s="1111"/>
    </row>
    <row r="474" spans="1:33" s="1295" customFormat="1">
      <c r="A474" s="1264"/>
      <c r="D474" s="1118"/>
      <c r="E474" s="1264"/>
      <c r="F474" s="1118"/>
      <c r="G474" s="1118"/>
      <c r="H474" s="1118"/>
      <c r="I474" s="1118"/>
      <c r="J474" s="1118"/>
      <c r="K474" s="1118"/>
      <c r="L474" s="1118"/>
      <c r="M474" s="1118"/>
      <c r="N474" s="1118"/>
      <c r="O474" s="1118"/>
      <c r="P474" s="1118"/>
      <c r="Q474" s="1111"/>
      <c r="R474" s="1111"/>
      <c r="S474" s="1111"/>
      <c r="T474" s="1111"/>
      <c r="U474" s="1111"/>
      <c r="V474" s="1111"/>
      <c r="W474" s="1111"/>
      <c r="X474" s="1111"/>
      <c r="Y474" s="1111"/>
      <c r="Z474" s="1111"/>
      <c r="AA474" s="1111"/>
      <c r="AB474" s="1111"/>
      <c r="AC474" s="1111"/>
      <c r="AD474" s="1111"/>
      <c r="AE474" s="1111"/>
      <c r="AF474" s="1111"/>
      <c r="AG474" s="1111"/>
    </row>
    <row r="475" spans="1:33" s="1295" customFormat="1">
      <c r="A475" s="1264"/>
      <c r="D475" s="1118"/>
      <c r="E475" s="1264"/>
      <c r="F475" s="1118"/>
      <c r="G475" s="1118"/>
      <c r="H475" s="1118"/>
      <c r="I475" s="1118"/>
      <c r="J475" s="1118"/>
      <c r="K475" s="1118"/>
      <c r="L475" s="1118"/>
      <c r="M475" s="1118"/>
      <c r="N475" s="1118"/>
      <c r="O475" s="1118"/>
      <c r="P475" s="1118"/>
      <c r="Q475" s="1111"/>
      <c r="R475" s="1111"/>
      <c r="S475" s="1111"/>
      <c r="T475" s="1111"/>
      <c r="U475" s="1111"/>
      <c r="V475" s="1111"/>
      <c r="W475" s="1111"/>
      <c r="X475" s="1111"/>
      <c r="Y475" s="1111"/>
      <c r="Z475" s="1111"/>
      <c r="AA475" s="1111"/>
      <c r="AB475" s="1111"/>
      <c r="AC475" s="1111"/>
      <c r="AD475" s="1111"/>
      <c r="AE475" s="1111"/>
      <c r="AF475" s="1111"/>
      <c r="AG475" s="1111"/>
    </row>
    <row r="476" spans="1:33" s="1295" customFormat="1">
      <c r="A476" s="1264"/>
      <c r="D476" s="1118"/>
      <c r="E476" s="1264"/>
      <c r="F476" s="1118"/>
      <c r="G476" s="1118"/>
      <c r="H476" s="1118"/>
      <c r="I476" s="1118"/>
      <c r="J476" s="1118"/>
      <c r="K476" s="1118"/>
      <c r="L476" s="1118"/>
      <c r="M476" s="1118"/>
      <c r="N476" s="1118"/>
      <c r="O476" s="1118"/>
      <c r="P476" s="1118"/>
      <c r="Q476" s="1111"/>
      <c r="R476" s="1111"/>
      <c r="S476" s="1111"/>
      <c r="T476" s="1111"/>
      <c r="U476" s="1111"/>
      <c r="V476" s="1111"/>
      <c r="W476" s="1111"/>
      <c r="X476" s="1111"/>
      <c r="Y476" s="1111"/>
      <c r="Z476" s="1111"/>
      <c r="AA476" s="1111"/>
      <c r="AB476" s="1111"/>
      <c r="AC476" s="1111"/>
      <c r="AD476" s="1111"/>
      <c r="AE476" s="1111"/>
      <c r="AF476" s="1111"/>
      <c r="AG476" s="1111"/>
    </row>
    <row r="477" spans="1:33" s="1295" customFormat="1">
      <c r="A477" s="1264"/>
      <c r="D477" s="1118"/>
      <c r="E477" s="1264"/>
      <c r="F477" s="1118"/>
      <c r="G477" s="1118"/>
      <c r="H477" s="1118"/>
      <c r="I477" s="1118"/>
      <c r="J477" s="1118"/>
      <c r="K477" s="1118"/>
      <c r="L477" s="1118"/>
      <c r="M477" s="1118"/>
      <c r="N477" s="1118"/>
      <c r="O477" s="1118"/>
      <c r="P477" s="1118"/>
      <c r="Q477" s="1111"/>
      <c r="R477" s="1111"/>
      <c r="S477" s="1111"/>
      <c r="T477" s="1111"/>
      <c r="U477" s="1111"/>
      <c r="V477" s="1111"/>
      <c r="W477" s="1111"/>
      <c r="X477" s="1111"/>
      <c r="Y477" s="1111"/>
      <c r="Z477" s="1111"/>
      <c r="AA477" s="1111"/>
      <c r="AB477" s="1111"/>
      <c r="AC477" s="1111"/>
      <c r="AD477" s="1111"/>
      <c r="AE477" s="1111"/>
      <c r="AF477" s="1111"/>
      <c r="AG477" s="1111"/>
    </row>
    <row r="478" spans="1:33" s="1295" customFormat="1">
      <c r="A478" s="1264"/>
      <c r="D478" s="1118"/>
      <c r="E478" s="1264"/>
      <c r="F478" s="1118"/>
      <c r="G478" s="1118"/>
      <c r="H478" s="1118"/>
      <c r="I478" s="1118"/>
      <c r="J478" s="1118"/>
      <c r="K478" s="1118"/>
      <c r="L478" s="1118"/>
      <c r="M478" s="1118"/>
      <c r="N478" s="1118"/>
      <c r="O478" s="1118"/>
      <c r="P478" s="1118"/>
      <c r="Q478" s="1111"/>
      <c r="R478" s="1111"/>
      <c r="S478" s="1111"/>
      <c r="T478" s="1111"/>
      <c r="U478" s="1111"/>
      <c r="V478" s="1111"/>
      <c r="W478" s="1111"/>
      <c r="X478" s="1111"/>
      <c r="Y478" s="1111"/>
      <c r="Z478" s="1111"/>
      <c r="AA478" s="1111"/>
      <c r="AB478" s="1111"/>
      <c r="AC478" s="1111"/>
      <c r="AD478" s="1111"/>
      <c r="AE478" s="1111"/>
      <c r="AF478" s="1111"/>
      <c r="AG478" s="1111"/>
    </row>
    <row r="479" spans="1:33" s="1295" customFormat="1">
      <c r="A479" s="1264"/>
      <c r="D479" s="1118"/>
      <c r="E479" s="1264"/>
      <c r="F479" s="1118"/>
      <c r="G479" s="1118"/>
      <c r="H479" s="1118"/>
      <c r="I479" s="1118"/>
      <c r="J479" s="1118"/>
      <c r="K479" s="1118"/>
      <c r="L479" s="1118"/>
      <c r="M479" s="1118"/>
      <c r="N479" s="1118"/>
      <c r="O479" s="1118"/>
      <c r="P479" s="1118"/>
      <c r="Q479" s="1111"/>
      <c r="R479" s="1111"/>
      <c r="S479" s="1111"/>
      <c r="T479" s="1111"/>
      <c r="U479" s="1111"/>
      <c r="V479" s="1111"/>
      <c r="W479" s="1111"/>
      <c r="X479" s="1111"/>
      <c r="Y479" s="1111"/>
      <c r="Z479" s="1111"/>
      <c r="AA479" s="1111"/>
      <c r="AB479" s="1111"/>
      <c r="AC479" s="1111"/>
      <c r="AD479" s="1111"/>
      <c r="AE479" s="1111"/>
      <c r="AF479" s="1111"/>
      <c r="AG479" s="1111"/>
    </row>
    <row r="480" spans="1:33" s="1295" customFormat="1">
      <c r="A480" s="1264"/>
      <c r="D480" s="1118"/>
      <c r="E480" s="1264"/>
      <c r="F480" s="1118"/>
      <c r="G480" s="1118"/>
      <c r="H480" s="1118"/>
      <c r="I480" s="1118"/>
      <c r="J480" s="1118"/>
      <c r="K480" s="1118"/>
      <c r="L480" s="1118"/>
      <c r="M480" s="1118"/>
      <c r="N480" s="1118"/>
      <c r="O480" s="1118"/>
      <c r="P480" s="1118"/>
      <c r="Q480" s="1111"/>
      <c r="R480" s="1111"/>
      <c r="S480" s="1111"/>
      <c r="T480" s="1111"/>
      <c r="U480" s="1111"/>
      <c r="V480" s="1111"/>
      <c r="W480" s="1111"/>
      <c r="X480" s="1111"/>
      <c r="Y480" s="1111"/>
      <c r="Z480" s="1111"/>
      <c r="AA480" s="1111"/>
      <c r="AB480" s="1111"/>
      <c r="AC480" s="1111"/>
      <c r="AD480" s="1111"/>
      <c r="AE480" s="1111"/>
      <c r="AF480" s="1111"/>
      <c r="AG480" s="1111"/>
    </row>
    <row r="481" spans="1:33" s="1295" customFormat="1">
      <c r="A481" s="1264"/>
      <c r="D481" s="1118"/>
      <c r="E481" s="1264"/>
      <c r="F481" s="1118"/>
      <c r="G481" s="1118"/>
      <c r="H481" s="1118"/>
      <c r="I481" s="1118"/>
      <c r="J481" s="1118"/>
      <c r="K481" s="1118"/>
      <c r="L481" s="1118"/>
      <c r="M481" s="1118"/>
      <c r="N481" s="1118"/>
      <c r="O481" s="1118"/>
      <c r="P481" s="1118"/>
      <c r="Q481" s="1111"/>
      <c r="R481" s="1111"/>
      <c r="S481" s="1111"/>
      <c r="T481" s="1111"/>
      <c r="U481" s="1111"/>
      <c r="V481" s="1111"/>
      <c r="W481" s="1111"/>
      <c r="X481" s="1111"/>
      <c r="Y481" s="1111"/>
      <c r="Z481" s="1111"/>
      <c r="AA481" s="1111"/>
      <c r="AB481" s="1111"/>
      <c r="AC481" s="1111"/>
      <c r="AD481" s="1111"/>
      <c r="AE481" s="1111"/>
      <c r="AF481" s="1111"/>
      <c r="AG481" s="1111"/>
    </row>
    <row r="482" spans="1:33" s="1295" customFormat="1">
      <c r="A482" s="1264"/>
      <c r="D482" s="1118"/>
      <c r="E482" s="1264"/>
      <c r="F482" s="1118"/>
      <c r="G482" s="1118"/>
      <c r="H482" s="1118"/>
      <c r="I482" s="1118"/>
      <c r="J482" s="1118"/>
      <c r="K482" s="1118"/>
      <c r="L482" s="1118"/>
      <c r="M482" s="1118"/>
      <c r="N482" s="1118"/>
      <c r="O482" s="1118"/>
      <c r="P482" s="1118"/>
      <c r="Q482" s="1111"/>
      <c r="R482" s="1111"/>
      <c r="S482" s="1111"/>
      <c r="T482" s="1111"/>
      <c r="U482" s="1111"/>
      <c r="V482" s="1111"/>
      <c r="W482" s="1111"/>
      <c r="X482" s="1111"/>
      <c r="Y482" s="1111"/>
      <c r="Z482" s="1111"/>
      <c r="AA482" s="1111"/>
      <c r="AB482" s="1111"/>
      <c r="AC482" s="1111"/>
      <c r="AD482" s="1111"/>
      <c r="AE482" s="1111"/>
      <c r="AF482" s="1111"/>
      <c r="AG482" s="1111"/>
    </row>
    <row r="483" spans="1:33" s="1295" customFormat="1">
      <c r="A483" s="1264"/>
      <c r="D483" s="1118"/>
      <c r="E483" s="1264"/>
      <c r="F483" s="1118"/>
      <c r="G483" s="1118"/>
      <c r="H483" s="1118"/>
      <c r="I483" s="1118"/>
      <c r="J483" s="1118"/>
      <c r="K483" s="1118"/>
      <c r="L483" s="1118"/>
      <c r="M483" s="1118"/>
      <c r="N483" s="1118"/>
      <c r="O483" s="1118"/>
      <c r="P483" s="1118"/>
      <c r="Q483" s="1111"/>
      <c r="R483" s="1111"/>
      <c r="S483" s="1111"/>
      <c r="T483" s="1111"/>
      <c r="U483" s="1111"/>
      <c r="V483" s="1111"/>
      <c r="W483" s="1111"/>
      <c r="X483" s="1111"/>
      <c r="Y483" s="1111"/>
      <c r="Z483" s="1111"/>
      <c r="AA483" s="1111"/>
      <c r="AB483" s="1111"/>
      <c r="AC483" s="1111"/>
      <c r="AD483" s="1111"/>
      <c r="AE483" s="1111"/>
      <c r="AF483" s="1111"/>
      <c r="AG483" s="1111"/>
    </row>
    <row r="484" spans="1:33" s="1295" customFormat="1">
      <c r="A484" s="1264"/>
      <c r="D484" s="1118"/>
      <c r="E484" s="1264"/>
      <c r="F484" s="1118"/>
      <c r="G484" s="1118"/>
      <c r="H484" s="1118"/>
      <c r="I484" s="1118"/>
      <c r="J484" s="1118"/>
      <c r="K484" s="1118"/>
      <c r="L484" s="1118"/>
      <c r="M484" s="1118"/>
      <c r="N484" s="1118"/>
      <c r="O484" s="1118"/>
      <c r="P484" s="1118"/>
      <c r="Q484" s="1111"/>
      <c r="R484" s="1111"/>
      <c r="S484" s="1111"/>
      <c r="T484" s="1111"/>
      <c r="U484" s="1111"/>
      <c r="V484" s="1111"/>
      <c r="W484" s="1111"/>
      <c r="X484" s="1111"/>
      <c r="Y484" s="1111"/>
      <c r="Z484" s="1111"/>
      <c r="AA484" s="1111"/>
      <c r="AB484" s="1111"/>
      <c r="AC484" s="1111"/>
      <c r="AD484" s="1111"/>
      <c r="AE484" s="1111"/>
      <c r="AF484" s="1111"/>
      <c r="AG484" s="1111"/>
    </row>
    <row r="485" spans="1:33" s="1295" customFormat="1">
      <c r="A485" s="1264"/>
      <c r="D485" s="1118"/>
      <c r="E485" s="1264"/>
      <c r="F485" s="1118"/>
      <c r="G485" s="1118"/>
      <c r="H485" s="1118"/>
      <c r="I485" s="1118"/>
      <c r="J485" s="1118"/>
      <c r="K485" s="1118"/>
      <c r="L485" s="1118"/>
      <c r="M485" s="1118"/>
      <c r="N485" s="1118"/>
      <c r="O485" s="1118"/>
      <c r="P485" s="1118"/>
      <c r="Q485" s="1111"/>
      <c r="R485" s="1111"/>
      <c r="S485" s="1111"/>
      <c r="T485" s="1111"/>
      <c r="U485" s="1111"/>
      <c r="V485" s="1111"/>
      <c r="W485" s="1111"/>
      <c r="X485" s="1111"/>
      <c r="Y485" s="1111"/>
      <c r="Z485" s="1111"/>
      <c r="AA485" s="1111"/>
      <c r="AB485" s="1111"/>
      <c r="AC485" s="1111"/>
      <c r="AD485" s="1111"/>
      <c r="AE485" s="1111"/>
      <c r="AF485" s="1111"/>
      <c r="AG485" s="1111"/>
    </row>
    <row r="486" spans="1:33" s="1295" customFormat="1">
      <c r="A486" s="1264"/>
      <c r="D486" s="1118"/>
      <c r="E486" s="1264"/>
      <c r="F486" s="1118"/>
      <c r="G486" s="1118"/>
      <c r="H486" s="1118"/>
      <c r="I486" s="1118"/>
      <c r="J486" s="1118"/>
      <c r="K486" s="1118"/>
      <c r="L486" s="1118"/>
      <c r="M486" s="1118"/>
      <c r="N486" s="1118"/>
      <c r="O486" s="1118"/>
      <c r="P486" s="1118"/>
      <c r="Q486" s="1111"/>
      <c r="R486" s="1111"/>
      <c r="S486" s="1111"/>
      <c r="T486" s="1111"/>
      <c r="U486" s="1111"/>
      <c r="V486" s="1111"/>
      <c r="W486" s="1111"/>
      <c r="X486" s="1111"/>
      <c r="Y486" s="1111"/>
      <c r="Z486" s="1111"/>
      <c r="AA486" s="1111"/>
      <c r="AB486" s="1111"/>
      <c r="AC486" s="1111"/>
      <c r="AD486" s="1111"/>
      <c r="AE486" s="1111"/>
      <c r="AF486" s="1111"/>
      <c r="AG486" s="1111"/>
    </row>
    <row r="487" spans="1:33" s="1295" customFormat="1">
      <c r="A487" s="1264"/>
      <c r="D487" s="1118"/>
      <c r="E487" s="1264"/>
      <c r="F487" s="1118"/>
      <c r="G487" s="1118"/>
      <c r="H487" s="1118"/>
      <c r="I487" s="1118"/>
      <c r="J487" s="1118"/>
      <c r="K487" s="1118"/>
      <c r="L487" s="1118"/>
      <c r="M487" s="1118"/>
      <c r="N487" s="1118"/>
      <c r="O487" s="1118"/>
      <c r="P487" s="1118"/>
      <c r="Q487" s="1111"/>
      <c r="R487" s="1111"/>
      <c r="S487" s="1111"/>
      <c r="T487" s="1111"/>
      <c r="U487" s="1111"/>
      <c r="V487" s="1111"/>
      <c r="W487" s="1111"/>
      <c r="X487" s="1111"/>
      <c r="Y487" s="1111"/>
      <c r="Z487" s="1111"/>
      <c r="AA487" s="1111"/>
      <c r="AB487" s="1111"/>
      <c r="AC487" s="1111"/>
      <c r="AD487" s="1111"/>
      <c r="AE487" s="1111"/>
      <c r="AF487" s="1111"/>
      <c r="AG487" s="1111"/>
    </row>
    <row r="488" spans="1:33" s="1295" customFormat="1">
      <c r="A488" s="1264"/>
      <c r="D488" s="1118"/>
      <c r="E488" s="1264"/>
      <c r="F488" s="1118"/>
      <c r="G488" s="1118"/>
      <c r="H488" s="1118"/>
      <c r="I488" s="1118"/>
      <c r="J488" s="1118"/>
      <c r="K488" s="1118"/>
      <c r="L488" s="1118"/>
      <c r="M488" s="1118"/>
      <c r="N488" s="1118"/>
      <c r="O488" s="1118"/>
      <c r="P488" s="1118"/>
      <c r="Q488" s="1111"/>
      <c r="R488" s="1111"/>
      <c r="S488" s="1111"/>
      <c r="T488" s="1111"/>
      <c r="U488" s="1111"/>
      <c r="V488" s="1111"/>
      <c r="W488" s="1111"/>
      <c r="X488" s="1111"/>
      <c r="Y488" s="1111"/>
      <c r="Z488" s="1111"/>
      <c r="AA488" s="1111"/>
      <c r="AB488" s="1111"/>
      <c r="AC488" s="1111"/>
      <c r="AD488" s="1111"/>
      <c r="AE488" s="1111"/>
      <c r="AF488" s="1111"/>
      <c r="AG488" s="1111"/>
    </row>
    <row r="489" spans="1:33" s="1295" customFormat="1">
      <c r="A489" s="1264"/>
      <c r="D489" s="1118"/>
      <c r="E489" s="1264"/>
      <c r="F489" s="1118"/>
      <c r="G489" s="1118"/>
      <c r="H489" s="1118"/>
      <c r="I489" s="1118"/>
      <c r="J489" s="1118"/>
      <c r="K489" s="1118"/>
      <c r="L489" s="1118"/>
      <c r="M489" s="1118"/>
      <c r="N489" s="1118"/>
      <c r="O489" s="1118"/>
      <c r="P489" s="1118"/>
      <c r="Q489" s="1111"/>
      <c r="R489" s="1111"/>
      <c r="S489" s="1111"/>
      <c r="T489" s="1111"/>
      <c r="U489" s="1111"/>
      <c r="V489" s="1111"/>
      <c r="W489" s="1111"/>
      <c r="X489" s="1111"/>
      <c r="Y489" s="1111"/>
      <c r="Z489" s="1111"/>
      <c r="AA489" s="1111"/>
      <c r="AB489" s="1111"/>
      <c r="AC489" s="1111"/>
      <c r="AD489" s="1111"/>
      <c r="AE489" s="1111"/>
      <c r="AF489" s="1111"/>
      <c r="AG489" s="1111"/>
    </row>
    <row r="490" spans="1:33" s="1295" customFormat="1">
      <c r="A490" s="1264"/>
      <c r="D490" s="1118"/>
      <c r="E490" s="1264"/>
      <c r="F490" s="1118"/>
      <c r="G490" s="1118"/>
      <c r="H490" s="1118"/>
      <c r="I490" s="1118"/>
      <c r="J490" s="1118"/>
      <c r="K490" s="1118"/>
      <c r="L490" s="1118"/>
      <c r="M490" s="1118"/>
      <c r="N490" s="1118"/>
      <c r="O490" s="1118"/>
      <c r="P490" s="1118"/>
      <c r="Q490" s="1111"/>
      <c r="R490" s="1111"/>
      <c r="S490" s="1111"/>
      <c r="T490" s="1111"/>
      <c r="U490" s="1111"/>
      <c r="V490" s="1111"/>
      <c r="W490" s="1111"/>
      <c r="X490" s="1111"/>
      <c r="Y490" s="1111"/>
      <c r="Z490" s="1111"/>
      <c r="AA490" s="1111"/>
      <c r="AB490" s="1111"/>
      <c r="AC490" s="1111"/>
      <c r="AD490" s="1111"/>
      <c r="AE490" s="1111"/>
      <c r="AF490" s="1111"/>
      <c r="AG490" s="1111"/>
    </row>
    <row r="491" spans="1:33" s="1295" customFormat="1">
      <c r="A491" s="1264"/>
      <c r="D491" s="1118"/>
      <c r="E491" s="1264"/>
      <c r="F491" s="1118"/>
      <c r="G491" s="1118"/>
      <c r="H491" s="1118"/>
      <c r="I491" s="1118"/>
      <c r="J491" s="1118"/>
      <c r="K491" s="1118"/>
      <c r="L491" s="1118"/>
      <c r="M491" s="1118"/>
      <c r="N491" s="1118"/>
      <c r="O491" s="1118"/>
      <c r="P491" s="1118"/>
      <c r="Q491" s="1111"/>
      <c r="R491" s="1111"/>
      <c r="S491" s="1111"/>
      <c r="T491" s="1111"/>
      <c r="U491" s="1111"/>
      <c r="V491" s="1111"/>
      <c r="W491" s="1111"/>
      <c r="X491" s="1111"/>
      <c r="Y491" s="1111"/>
      <c r="Z491" s="1111"/>
      <c r="AA491" s="1111"/>
      <c r="AB491" s="1111"/>
      <c r="AC491" s="1111"/>
      <c r="AD491" s="1111"/>
      <c r="AE491" s="1111"/>
      <c r="AF491" s="1111"/>
      <c r="AG491" s="1111"/>
    </row>
    <row r="492" spans="1:33" s="1295" customFormat="1">
      <c r="A492" s="1264"/>
      <c r="D492" s="1118"/>
      <c r="E492" s="1264"/>
      <c r="F492" s="1118"/>
      <c r="G492" s="1118"/>
      <c r="H492" s="1118"/>
      <c r="I492" s="1118"/>
      <c r="J492" s="1118"/>
      <c r="K492" s="1118"/>
      <c r="L492" s="1118"/>
      <c r="M492" s="1118"/>
      <c r="N492" s="1118"/>
      <c r="O492" s="1118"/>
      <c r="P492" s="1118"/>
      <c r="Q492" s="1111"/>
      <c r="R492" s="1111"/>
      <c r="S492" s="1111"/>
      <c r="T492" s="1111"/>
      <c r="U492" s="1111"/>
      <c r="V492" s="1111"/>
      <c r="W492" s="1111"/>
      <c r="X492" s="1111"/>
      <c r="Y492" s="1111"/>
      <c r="Z492" s="1111"/>
      <c r="AA492" s="1111"/>
      <c r="AB492" s="1111"/>
      <c r="AC492" s="1111"/>
      <c r="AD492" s="1111"/>
      <c r="AE492" s="1111"/>
      <c r="AF492" s="1111"/>
      <c r="AG492" s="1111"/>
    </row>
    <row r="493" spans="1:33" s="1295" customFormat="1">
      <c r="A493" s="1264"/>
      <c r="D493" s="1118"/>
      <c r="E493" s="1264"/>
      <c r="F493" s="1118"/>
      <c r="G493" s="1118"/>
      <c r="H493" s="1118"/>
      <c r="I493" s="1118"/>
      <c r="J493" s="1118"/>
      <c r="K493" s="1118"/>
      <c r="L493" s="1118"/>
      <c r="M493" s="1118"/>
      <c r="N493" s="1118"/>
      <c r="O493" s="1118"/>
      <c r="P493" s="1118"/>
      <c r="Q493" s="1111"/>
      <c r="R493" s="1111"/>
      <c r="S493" s="1111"/>
      <c r="T493" s="1111"/>
      <c r="U493" s="1111"/>
      <c r="V493" s="1111"/>
      <c r="W493" s="1111"/>
      <c r="X493" s="1111"/>
      <c r="Y493" s="1111"/>
      <c r="Z493" s="1111"/>
      <c r="AA493" s="1111"/>
      <c r="AB493" s="1111"/>
      <c r="AC493" s="1111"/>
      <c r="AD493" s="1111"/>
      <c r="AE493" s="1111"/>
      <c r="AF493" s="1111"/>
      <c r="AG493" s="1111"/>
    </row>
    <row r="494" spans="1:33" s="1295" customFormat="1">
      <c r="A494" s="1264"/>
      <c r="D494" s="1118"/>
      <c r="E494" s="1264"/>
      <c r="F494" s="1118"/>
      <c r="G494" s="1118"/>
      <c r="H494" s="1118"/>
      <c r="I494" s="1118"/>
      <c r="J494" s="1118"/>
      <c r="K494" s="1118"/>
      <c r="L494" s="1118"/>
      <c r="M494" s="1118"/>
      <c r="N494" s="1118"/>
      <c r="O494" s="1118"/>
      <c r="P494" s="1118"/>
      <c r="Q494" s="1111"/>
      <c r="R494" s="1111"/>
      <c r="S494" s="1111"/>
      <c r="T494" s="1111"/>
      <c r="U494" s="1111"/>
      <c r="V494" s="1111"/>
      <c r="W494" s="1111"/>
      <c r="X494" s="1111"/>
      <c r="Y494" s="1111"/>
      <c r="Z494" s="1111"/>
      <c r="AA494" s="1111"/>
      <c r="AB494" s="1111"/>
      <c r="AC494" s="1111"/>
      <c r="AD494" s="1111"/>
      <c r="AE494" s="1111"/>
      <c r="AF494" s="1111"/>
      <c r="AG494" s="1111"/>
    </row>
    <row r="495" spans="1:33" s="1295" customFormat="1">
      <c r="A495" s="1264"/>
      <c r="D495" s="1118"/>
      <c r="E495" s="1264"/>
      <c r="F495" s="1118"/>
      <c r="G495" s="1118"/>
      <c r="H495" s="1118"/>
      <c r="I495" s="1118"/>
      <c r="J495" s="1118"/>
      <c r="K495" s="1118"/>
      <c r="L495" s="1118"/>
      <c r="M495" s="1118"/>
      <c r="N495" s="1118"/>
      <c r="O495" s="1118"/>
      <c r="P495" s="1118"/>
      <c r="Q495" s="1111"/>
      <c r="R495" s="1111"/>
      <c r="S495" s="1111"/>
      <c r="T495" s="1111"/>
      <c r="U495" s="1111"/>
      <c r="V495" s="1111"/>
      <c r="W495" s="1111"/>
      <c r="X495" s="1111"/>
      <c r="Y495" s="1111"/>
      <c r="Z495" s="1111"/>
      <c r="AA495" s="1111"/>
      <c r="AB495" s="1111"/>
      <c r="AC495" s="1111"/>
      <c r="AD495" s="1111"/>
      <c r="AE495" s="1111"/>
      <c r="AF495" s="1111"/>
      <c r="AG495" s="1111"/>
    </row>
    <row r="496" spans="1:33" s="1295" customFormat="1">
      <c r="A496" s="1264"/>
      <c r="D496" s="1118"/>
      <c r="E496" s="1264"/>
      <c r="F496" s="1118"/>
      <c r="G496" s="1118"/>
      <c r="H496" s="1118"/>
      <c r="I496" s="1118"/>
      <c r="J496" s="1118"/>
      <c r="K496" s="1118"/>
      <c r="L496" s="1118"/>
      <c r="M496" s="1118"/>
      <c r="N496" s="1118"/>
      <c r="O496" s="1118"/>
      <c r="P496" s="1118"/>
      <c r="Q496" s="1111"/>
      <c r="R496" s="1111"/>
      <c r="S496" s="1111"/>
      <c r="T496" s="1111"/>
      <c r="U496" s="1111"/>
      <c r="V496" s="1111"/>
      <c r="W496" s="1111"/>
      <c r="X496" s="1111"/>
      <c r="Y496" s="1111"/>
      <c r="Z496" s="1111"/>
      <c r="AA496" s="1111"/>
      <c r="AB496" s="1111"/>
      <c r="AC496" s="1111"/>
      <c r="AD496" s="1111"/>
      <c r="AE496" s="1111"/>
      <c r="AF496" s="1111"/>
      <c r="AG496" s="1111"/>
    </row>
    <row r="497" spans="1:33" s="1295" customFormat="1">
      <c r="A497" s="1264"/>
      <c r="D497" s="1118"/>
      <c r="E497" s="1264"/>
      <c r="F497" s="1118"/>
      <c r="G497" s="1118"/>
      <c r="H497" s="1118"/>
      <c r="I497" s="1118"/>
      <c r="J497" s="1118"/>
      <c r="K497" s="1118"/>
      <c r="L497" s="1118"/>
      <c r="M497" s="1118"/>
      <c r="N497" s="1118"/>
      <c r="O497" s="1118"/>
      <c r="P497" s="1118"/>
      <c r="Q497" s="1111"/>
      <c r="R497" s="1111"/>
      <c r="S497" s="1111"/>
      <c r="T497" s="1111"/>
      <c r="U497" s="1111"/>
      <c r="V497" s="1111"/>
      <c r="W497" s="1111"/>
      <c r="X497" s="1111"/>
      <c r="Y497" s="1111"/>
      <c r="Z497" s="1111"/>
      <c r="AA497" s="1111"/>
      <c r="AB497" s="1111"/>
      <c r="AC497" s="1111"/>
      <c r="AD497" s="1111"/>
      <c r="AE497" s="1111"/>
      <c r="AF497" s="1111"/>
      <c r="AG497" s="1111"/>
    </row>
    <row r="498" spans="1:33" s="1295" customFormat="1">
      <c r="A498" s="1264"/>
      <c r="D498" s="1118"/>
      <c r="E498" s="1264"/>
      <c r="F498" s="1118"/>
      <c r="G498" s="1118"/>
      <c r="H498" s="1118"/>
      <c r="I498" s="1118"/>
      <c r="J498" s="1118"/>
      <c r="K498" s="1118"/>
      <c r="L498" s="1118"/>
      <c r="M498" s="1118"/>
      <c r="N498" s="1118"/>
      <c r="O498" s="1118"/>
      <c r="P498" s="1118"/>
      <c r="Q498" s="1111"/>
      <c r="R498" s="1111"/>
      <c r="S498" s="1111"/>
      <c r="T498" s="1111"/>
      <c r="U498" s="1111"/>
      <c r="V498" s="1111"/>
      <c r="W498" s="1111"/>
      <c r="X498" s="1111"/>
      <c r="Y498" s="1111"/>
      <c r="Z498" s="1111"/>
      <c r="AA498" s="1111"/>
      <c r="AB498" s="1111"/>
      <c r="AC498" s="1111"/>
      <c r="AD498" s="1111"/>
      <c r="AE498" s="1111"/>
      <c r="AF498" s="1111"/>
      <c r="AG498" s="1111"/>
    </row>
    <row r="499" spans="1:33" s="1295" customFormat="1">
      <c r="A499" s="1264"/>
      <c r="D499" s="1118"/>
      <c r="E499" s="1264"/>
      <c r="F499" s="1118"/>
      <c r="G499" s="1118"/>
      <c r="H499" s="1118"/>
      <c r="I499" s="1118"/>
      <c r="J499" s="1118"/>
      <c r="K499" s="1118"/>
      <c r="L499" s="1118"/>
      <c r="M499" s="1118"/>
      <c r="N499" s="1118"/>
      <c r="O499" s="1118"/>
      <c r="P499" s="1118"/>
      <c r="Q499" s="1111"/>
      <c r="R499" s="1111"/>
      <c r="S499" s="1111"/>
      <c r="T499" s="1111"/>
      <c r="U499" s="1111"/>
      <c r="V499" s="1111"/>
      <c r="W499" s="1111"/>
      <c r="X499" s="1111"/>
      <c r="Y499" s="1111"/>
      <c r="Z499" s="1111"/>
      <c r="AA499" s="1111"/>
      <c r="AB499" s="1111"/>
      <c r="AC499" s="1111"/>
      <c r="AD499" s="1111"/>
      <c r="AE499" s="1111"/>
      <c r="AF499" s="1111"/>
      <c r="AG499" s="1111"/>
    </row>
    <row r="500" spans="1:33" s="1295" customFormat="1">
      <c r="A500" s="1264"/>
      <c r="D500" s="1118"/>
      <c r="E500" s="1264"/>
      <c r="F500" s="1118"/>
      <c r="G500" s="1118"/>
      <c r="H500" s="1118"/>
      <c r="I500" s="1118"/>
      <c r="J500" s="1118"/>
      <c r="K500" s="1118"/>
      <c r="L500" s="1118"/>
      <c r="M500" s="1118"/>
      <c r="N500" s="1118"/>
      <c r="O500" s="1118"/>
      <c r="P500" s="1118"/>
      <c r="Q500" s="1111"/>
      <c r="R500" s="1111"/>
      <c r="S500" s="1111"/>
      <c r="T500" s="1111"/>
      <c r="U500" s="1111"/>
      <c r="V500" s="1111"/>
      <c r="W500" s="1111"/>
      <c r="X500" s="1111"/>
      <c r="Y500" s="1111"/>
      <c r="Z500" s="1111"/>
      <c r="AA500" s="1111"/>
      <c r="AB500" s="1111"/>
      <c r="AC500" s="1111"/>
      <c r="AD500" s="1111"/>
      <c r="AE500" s="1111"/>
      <c r="AF500" s="1111"/>
      <c r="AG500" s="1111"/>
    </row>
    <row r="501" spans="1:33" s="1295" customFormat="1">
      <c r="A501" s="1264"/>
      <c r="D501" s="1118"/>
      <c r="E501" s="1264"/>
      <c r="F501" s="1118"/>
      <c r="G501" s="1118"/>
      <c r="H501" s="1118"/>
      <c r="I501" s="1118"/>
      <c r="J501" s="1118"/>
      <c r="K501" s="1118"/>
      <c r="L501" s="1118"/>
      <c r="M501" s="1118"/>
      <c r="N501" s="1118"/>
      <c r="O501" s="1118"/>
      <c r="P501" s="1118"/>
      <c r="Q501" s="1111"/>
      <c r="R501" s="1111"/>
      <c r="S501" s="1111"/>
      <c r="T501" s="1111"/>
      <c r="U501" s="1111"/>
      <c r="V501" s="1111"/>
      <c r="W501" s="1111"/>
      <c r="X501" s="1111"/>
      <c r="Y501" s="1111"/>
      <c r="Z501" s="1111"/>
      <c r="AA501" s="1111"/>
      <c r="AB501" s="1111"/>
      <c r="AC501" s="1111"/>
      <c r="AD501" s="1111"/>
      <c r="AE501" s="1111"/>
      <c r="AF501" s="1111"/>
      <c r="AG501" s="1111"/>
    </row>
    <row r="502" spans="1:33" s="1295" customFormat="1">
      <c r="A502" s="1264"/>
      <c r="D502" s="1118"/>
      <c r="E502" s="1264"/>
      <c r="F502" s="1118"/>
      <c r="G502" s="1118"/>
      <c r="H502" s="1118"/>
      <c r="I502" s="1118"/>
      <c r="J502" s="1118"/>
      <c r="K502" s="1118"/>
      <c r="L502" s="1118"/>
      <c r="M502" s="1118"/>
      <c r="N502" s="1118"/>
      <c r="O502" s="1118"/>
      <c r="P502" s="1118"/>
      <c r="Q502" s="1111"/>
      <c r="R502" s="1111"/>
      <c r="S502" s="1111"/>
      <c r="T502" s="1111"/>
      <c r="U502" s="1111"/>
      <c r="V502" s="1111"/>
      <c r="W502" s="1111"/>
      <c r="X502" s="1111"/>
      <c r="Y502" s="1111"/>
      <c r="Z502" s="1111"/>
      <c r="AA502" s="1111"/>
      <c r="AB502" s="1111"/>
      <c r="AC502" s="1111"/>
      <c r="AD502" s="1111"/>
      <c r="AE502" s="1111"/>
      <c r="AF502" s="1111"/>
      <c r="AG502" s="1111"/>
    </row>
    <row r="503" spans="1:33" s="1295" customFormat="1">
      <c r="A503" s="1264"/>
      <c r="D503" s="1118"/>
      <c r="E503" s="1264"/>
      <c r="F503" s="1118"/>
      <c r="G503" s="1118"/>
      <c r="H503" s="1118"/>
      <c r="I503" s="1118"/>
      <c r="J503" s="1118"/>
      <c r="K503" s="1118"/>
      <c r="L503" s="1118"/>
      <c r="M503" s="1118"/>
      <c r="N503" s="1118"/>
      <c r="O503" s="1118"/>
      <c r="P503" s="1118"/>
      <c r="Q503" s="1111"/>
      <c r="R503" s="1111"/>
      <c r="S503" s="1111"/>
      <c r="T503" s="1111"/>
      <c r="U503" s="1111"/>
      <c r="V503" s="1111"/>
      <c r="W503" s="1111"/>
      <c r="X503" s="1111"/>
      <c r="Y503" s="1111"/>
      <c r="Z503" s="1111"/>
      <c r="AA503" s="1111"/>
      <c r="AB503" s="1111"/>
      <c r="AC503" s="1111"/>
      <c r="AD503" s="1111"/>
      <c r="AE503" s="1111"/>
      <c r="AF503" s="1111"/>
      <c r="AG503" s="1111"/>
    </row>
    <row r="504" spans="1:33" s="1295" customFormat="1">
      <c r="A504" s="1264"/>
      <c r="D504" s="1118"/>
      <c r="E504" s="1264"/>
      <c r="F504" s="1118"/>
      <c r="G504" s="1118"/>
      <c r="H504" s="1118"/>
      <c r="I504" s="1118"/>
      <c r="J504" s="1118"/>
      <c r="K504" s="1118"/>
      <c r="L504" s="1118"/>
      <c r="M504" s="1118"/>
      <c r="N504" s="1118"/>
      <c r="O504" s="1118"/>
      <c r="P504" s="1118"/>
      <c r="Q504" s="1111"/>
      <c r="R504" s="1111"/>
      <c r="S504" s="1111"/>
      <c r="T504" s="1111"/>
      <c r="U504" s="1111"/>
      <c r="V504" s="1111"/>
      <c r="W504" s="1111"/>
      <c r="X504" s="1111"/>
      <c r="Y504" s="1111"/>
      <c r="Z504" s="1111"/>
      <c r="AA504" s="1111"/>
      <c r="AB504" s="1111"/>
      <c r="AC504" s="1111"/>
      <c r="AD504" s="1111"/>
      <c r="AE504" s="1111"/>
      <c r="AF504" s="1111"/>
      <c r="AG504" s="1111"/>
    </row>
    <row r="505" spans="1:33" s="1295" customFormat="1">
      <c r="A505" s="1264"/>
      <c r="D505" s="1118"/>
      <c r="E505" s="1264"/>
      <c r="F505" s="1118"/>
      <c r="G505" s="1118"/>
      <c r="H505" s="1118"/>
      <c r="I505" s="1118"/>
      <c r="J505" s="1118"/>
      <c r="K505" s="1118"/>
      <c r="L505" s="1118"/>
      <c r="M505" s="1118"/>
      <c r="N505" s="1118"/>
      <c r="O505" s="1118"/>
      <c r="P505" s="1118"/>
      <c r="Q505" s="1111"/>
      <c r="R505" s="1111"/>
      <c r="S505" s="1111"/>
      <c r="T505" s="1111"/>
      <c r="U505" s="1111"/>
      <c r="V505" s="1111"/>
      <c r="W505" s="1111"/>
      <c r="X505" s="1111"/>
      <c r="Y505" s="1111"/>
      <c r="Z505" s="1111"/>
      <c r="AA505" s="1111"/>
      <c r="AB505" s="1111"/>
      <c r="AC505" s="1111"/>
      <c r="AD505" s="1111"/>
      <c r="AE505" s="1111"/>
      <c r="AF505" s="1111"/>
      <c r="AG505" s="1111"/>
    </row>
    <row r="506" spans="1:33" s="1295" customFormat="1">
      <c r="A506" s="1264"/>
      <c r="D506" s="1118"/>
      <c r="E506" s="1264"/>
      <c r="F506" s="1118"/>
      <c r="G506" s="1118"/>
      <c r="H506" s="1118"/>
      <c r="I506" s="1118"/>
      <c r="J506" s="1118"/>
      <c r="K506" s="1118"/>
      <c r="L506" s="1118"/>
      <c r="M506" s="1118"/>
      <c r="N506" s="1118"/>
      <c r="O506" s="1118"/>
      <c r="P506" s="1118"/>
      <c r="Q506" s="1111"/>
      <c r="R506" s="1111"/>
      <c r="S506" s="1111"/>
      <c r="T506" s="1111"/>
      <c r="U506" s="1111"/>
      <c r="V506" s="1111"/>
      <c r="W506" s="1111"/>
      <c r="X506" s="1111"/>
      <c r="Y506" s="1111"/>
      <c r="Z506" s="1111"/>
      <c r="AA506" s="1111"/>
      <c r="AB506" s="1111"/>
      <c r="AC506" s="1111"/>
      <c r="AD506" s="1111"/>
      <c r="AE506" s="1111"/>
      <c r="AF506" s="1111"/>
      <c r="AG506" s="1111"/>
    </row>
    <row r="507" spans="1:33" s="1295" customFormat="1">
      <c r="A507" s="1264"/>
      <c r="D507" s="1118"/>
      <c r="E507" s="1264"/>
      <c r="F507" s="1118"/>
      <c r="G507" s="1118"/>
      <c r="H507" s="1118"/>
      <c r="I507" s="1118"/>
      <c r="J507" s="1118"/>
      <c r="K507" s="1118"/>
      <c r="L507" s="1118"/>
      <c r="M507" s="1118"/>
      <c r="N507" s="1118"/>
      <c r="O507" s="1118"/>
      <c r="P507" s="1118"/>
      <c r="Q507" s="1111"/>
      <c r="R507" s="1111"/>
      <c r="S507" s="1111"/>
      <c r="T507" s="1111"/>
      <c r="U507" s="1111"/>
      <c r="V507" s="1111"/>
      <c r="W507" s="1111"/>
      <c r="X507" s="1111"/>
      <c r="Y507" s="1111"/>
      <c r="Z507" s="1111"/>
      <c r="AA507" s="1111"/>
      <c r="AB507" s="1111"/>
      <c r="AC507" s="1111"/>
      <c r="AD507" s="1111"/>
      <c r="AE507" s="1111"/>
      <c r="AF507" s="1111"/>
      <c r="AG507" s="1111"/>
    </row>
    <row r="508" spans="1:33" s="1295" customFormat="1">
      <c r="A508" s="1264"/>
      <c r="D508" s="1118"/>
      <c r="E508" s="1264"/>
      <c r="F508" s="1118"/>
      <c r="G508" s="1118"/>
      <c r="H508" s="1118"/>
      <c r="I508" s="1118"/>
      <c r="J508" s="1118"/>
      <c r="K508" s="1118"/>
      <c r="L508" s="1118"/>
      <c r="M508" s="1118"/>
      <c r="N508" s="1118"/>
      <c r="O508" s="1118"/>
      <c r="P508" s="1118"/>
      <c r="Q508" s="1111"/>
      <c r="R508" s="1111"/>
      <c r="S508" s="1111"/>
      <c r="T508" s="1111"/>
      <c r="U508" s="1111"/>
      <c r="V508" s="1111"/>
      <c r="W508" s="1111"/>
      <c r="X508" s="1111"/>
      <c r="Y508" s="1111"/>
      <c r="Z508" s="1111"/>
      <c r="AA508" s="1111"/>
      <c r="AB508" s="1111"/>
      <c r="AC508" s="1111"/>
      <c r="AD508" s="1111"/>
      <c r="AE508" s="1111"/>
      <c r="AF508" s="1111"/>
      <c r="AG508" s="1111"/>
    </row>
    <row r="509" spans="1:33" s="1295" customFormat="1">
      <c r="A509" s="1264"/>
      <c r="D509" s="1118"/>
      <c r="E509" s="1264"/>
      <c r="F509" s="1118"/>
      <c r="G509" s="1118"/>
      <c r="H509" s="1118"/>
      <c r="I509" s="1118"/>
      <c r="J509" s="1118"/>
      <c r="K509" s="1118"/>
      <c r="L509" s="1118"/>
      <c r="M509" s="1118"/>
      <c r="N509" s="1118"/>
      <c r="O509" s="1118"/>
      <c r="P509" s="1118"/>
      <c r="Q509" s="1111"/>
      <c r="R509" s="1111"/>
      <c r="S509" s="1111"/>
      <c r="T509" s="1111"/>
      <c r="U509" s="1111"/>
      <c r="V509" s="1111"/>
      <c r="W509" s="1111"/>
      <c r="X509" s="1111"/>
      <c r="Y509" s="1111"/>
      <c r="Z509" s="1111"/>
      <c r="AA509" s="1111"/>
      <c r="AB509" s="1111"/>
      <c r="AC509" s="1111"/>
      <c r="AD509" s="1111"/>
      <c r="AE509" s="1111"/>
      <c r="AF509" s="1111"/>
      <c r="AG509" s="1111"/>
    </row>
    <row r="510" spans="1:33" s="1295" customFormat="1">
      <c r="A510" s="1264"/>
      <c r="D510" s="1118"/>
      <c r="E510" s="1264"/>
      <c r="F510" s="1118"/>
      <c r="G510" s="1118"/>
      <c r="H510" s="1118"/>
      <c r="I510" s="1118"/>
      <c r="J510" s="1118"/>
      <c r="K510" s="1118"/>
      <c r="L510" s="1118"/>
      <c r="M510" s="1118"/>
      <c r="N510" s="1118"/>
      <c r="O510" s="1118"/>
      <c r="P510" s="1118"/>
      <c r="Q510" s="1111"/>
      <c r="R510" s="1111"/>
      <c r="S510" s="1111"/>
      <c r="T510" s="1111"/>
      <c r="U510" s="1111"/>
      <c r="V510" s="1111"/>
      <c r="W510" s="1111"/>
      <c r="X510" s="1111"/>
      <c r="Y510" s="1111"/>
      <c r="Z510" s="1111"/>
      <c r="AA510" s="1111"/>
      <c r="AB510" s="1111"/>
      <c r="AC510" s="1111"/>
      <c r="AD510" s="1111"/>
      <c r="AE510" s="1111"/>
      <c r="AF510" s="1111"/>
      <c r="AG510" s="1111"/>
    </row>
    <row r="511" spans="1:33" s="1295" customFormat="1">
      <c r="A511" s="1264"/>
      <c r="D511" s="1118"/>
      <c r="E511" s="1264"/>
      <c r="F511" s="1118"/>
      <c r="G511" s="1118"/>
      <c r="H511" s="1118"/>
      <c r="I511" s="1118"/>
      <c r="J511" s="1118"/>
      <c r="K511" s="1118"/>
      <c r="L511" s="1118"/>
      <c r="M511" s="1118"/>
      <c r="N511" s="1118"/>
      <c r="O511" s="1118"/>
      <c r="P511" s="1118"/>
      <c r="Q511" s="1111"/>
      <c r="R511" s="1111"/>
      <c r="S511" s="1111"/>
      <c r="T511" s="1111"/>
      <c r="U511" s="1111"/>
      <c r="V511" s="1111"/>
      <c r="W511" s="1111"/>
      <c r="X511" s="1111"/>
      <c r="Y511" s="1111"/>
      <c r="Z511" s="1111"/>
      <c r="AA511" s="1111"/>
      <c r="AB511" s="1111"/>
      <c r="AC511" s="1111"/>
      <c r="AD511" s="1111"/>
      <c r="AE511" s="1111"/>
      <c r="AF511" s="1111"/>
      <c r="AG511" s="1111"/>
    </row>
    <row r="512" spans="1:33" s="1295" customFormat="1">
      <c r="A512" s="1264"/>
      <c r="D512" s="1118"/>
      <c r="E512" s="1264"/>
      <c r="F512" s="1118"/>
      <c r="G512" s="1118"/>
      <c r="H512" s="1118"/>
      <c r="I512" s="1118"/>
      <c r="J512" s="1118"/>
      <c r="K512" s="1118"/>
      <c r="L512" s="1118"/>
      <c r="M512" s="1118"/>
      <c r="N512" s="1118"/>
      <c r="O512" s="1118"/>
      <c r="P512" s="1118"/>
      <c r="Q512" s="1111"/>
      <c r="R512" s="1111"/>
      <c r="S512" s="1111"/>
      <c r="T512" s="1111"/>
      <c r="U512" s="1111"/>
      <c r="V512" s="1111"/>
      <c r="W512" s="1111"/>
      <c r="X512" s="1111"/>
      <c r="Y512" s="1111"/>
      <c r="Z512" s="1111"/>
      <c r="AA512" s="1111"/>
      <c r="AB512" s="1111"/>
      <c r="AC512" s="1111"/>
      <c r="AD512" s="1111"/>
      <c r="AE512" s="1111"/>
      <c r="AF512" s="1111"/>
      <c r="AG512" s="1111"/>
    </row>
    <row r="513" spans="1:33" s="1295" customFormat="1">
      <c r="A513" s="1264"/>
      <c r="D513" s="1118"/>
      <c r="E513" s="1264"/>
      <c r="F513" s="1118"/>
      <c r="G513" s="1118"/>
      <c r="H513" s="1118"/>
      <c r="I513" s="1118"/>
      <c r="J513" s="1118"/>
      <c r="K513" s="1118"/>
      <c r="L513" s="1118"/>
      <c r="M513" s="1118"/>
      <c r="N513" s="1118"/>
      <c r="O513" s="1118"/>
      <c r="P513" s="1118"/>
      <c r="Q513" s="1111"/>
      <c r="R513" s="1111"/>
      <c r="S513" s="1111"/>
      <c r="T513" s="1111"/>
      <c r="U513" s="1111"/>
      <c r="V513" s="1111"/>
      <c r="W513" s="1111"/>
      <c r="X513" s="1111"/>
      <c r="Y513" s="1111"/>
      <c r="Z513" s="1111"/>
      <c r="AA513" s="1111"/>
      <c r="AB513" s="1111"/>
      <c r="AC513" s="1111"/>
      <c r="AD513" s="1111"/>
      <c r="AE513" s="1111"/>
      <c r="AF513" s="1111"/>
      <c r="AG513" s="1111"/>
    </row>
    <row r="514" spans="1:33" s="1295" customFormat="1">
      <c r="A514" s="1264"/>
      <c r="D514" s="1118"/>
      <c r="E514" s="1264"/>
      <c r="F514" s="1118"/>
      <c r="G514" s="1118"/>
      <c r="H514" s="1118"/>
      <c r="I514" s="1118"/>
      <c r="J514" s="1118"/>
      <c r="K514" s="1118"/>
      <c r="L514" s="1118"/>
      <c r="M514" s="1118"/>
      <c r="N514" s="1118"/>
      <c r="O514" s="1118"/>
      <c r="P514" s="1118"/>
      <c r="Q514" s="1111"/>
      <c r="R514" s="1111"/>
      <c r="S514" s="1111"/>
      <c r="T514" s="1111"/>
      <c r="U514" s="1111"/>
      <c r="V514" s="1111"/>
      <c r="W514" s="1111"/>
      <c r="X514" s="1111"/>
      <c r="Y514" s="1111"/>
      <c r="Z514" s="1111"/>
      <c r="AA514" s="1111"/>
      <c r="AB514" s="1111"/>
      <c r="AC514" s="1111"/>
      <c r="AD514" s="1111"/>
      <c r="AE514" s="1111"/>
      <c r="AF514" s="1111"/>
      <c r="AG514" s="1111"/>
    </row>
    <row r="515" spans="1:33" s="1295" customFormat="1">
      <c r="A515" s="1264"/>
      <c r="D515" s="1118"/>
      <c r="E515" s="1264"/>
      <c r="F515" s="1118"/>
      <c r="G515" s="1118"/>
      <c r="H515" s="1118"/>
      <c r="I515" s="1118"/>
      <c r="J515" s="1118"/>
      <c r="K515" s="1118"/>
      <c r="L515" s="1118"/>
      <c r="M515" s="1118"/>
      <c r="N515" s="1118"/>
      <c r="O515" s="1118"/>
      <c r="P515" s="1118"/>
      <c r="Q515" s="1111"/>
      <c r="R515" s="1111"/>
      <c r="S515" s="1111"/>
      <c r="T515" s="1111"/>
      <c r="U515" s="1111"/>
      <c r="V515" s="1111"/>
      <c r="W515" s="1111"/>
      <c r="X515" s="1111"/>
      <c r="Y515" s="1111"/>
      <c r="Z515" s="1111"/>
      <c r="AA515" s="1111"/>
      <c r="AB515" s="1111"/>
      <c r="AC515" s="1111"/>
      <c r="AD515" s="1111"/>
      <c r="AE515" s="1111"/>
      <c r="AF515" s="1111"/>
      <c r="AG515" s="1111"/>
    </row>
    <row r="516" spans="1:33" s="1295" customFormat="1">
      <c r="A516" s="1264"/>
      <c r="D516" s="1118"/>
      <c r="E516" s="1264"/>
      <c r="F516" s="1118"/>
      <c r="G516" s="1118"/>
      <c r="H516" s="1118"/>
      <c r="I516" s="1118"/>
      <c r="J516" s="1118"/>
      <c r="K516" s="1118"/>
      <c r="L516" s="1118"/>
      <c r="M516" s="1118"/>
      <c r="N516" s="1118"/>
      <c r="O516" s="1118"/>
      <c r="P516" s="1118"/>
      <c r="Q516" s="1111"/>
      <c r="R516" s="1111"/>
      <c r="S516" s="1111"/>
      <c r="T516" s="1111"/>
      <c r="U516" s="1111"/>
      <c r="V516" s="1111"/>
      <c r="W516" s="1111"/>
      <c r="X516" s="1111"/>
      <c r="Y516" s="1111"/>
      <c r="Z516" s="1111"/>
      <c r="AA516" s="1111"/>
      <c r="AB516" s="1111"/>
      <c r="AC516" s="1111"/>
      <c r="AD516" s="1111"/>
      <c r="AE516" s="1111"/>
      <c r="AF516" s="1111"/>
      <c r="AG516" s="1111"/>
    </row>
    <row r="517" spans="1:33" s="1295" customFormat="1">
      <c r="A517" s="1264"/>
      <c r="D517" s="1118"/>
      <c r="E517" s="1264"/>
      <c r="F517" s="1118"/>
      <c r="G517" s="1118"/>
      <c r="H517" s="1118"/>
      <c r="I517" s="1118"/>
      <c r="J517" s="1118"/>
      <c r="K517" s="1118"/>
      <c r="L517" s="1118"/>
      <c r="M517" s="1118"/>
      <c r="N517" s="1118"/>
      <c r="O517" s="1118"/>
      <c r="P517" s="1118"/>
      <c r="Q517" s="1111"/>
      <c r="R517" s="1111"/>
      <c r="S517" s="1111"/>
      <c r="T517" s="1111"/>
      <c r="U517" s="1111"/>
      <c r="V517" s="1111"/>
      <c r="W517" s="1111"/>
      <c r="X517" s="1111"/>
      <c r="Y517" s="1111"/>
      <c r="Z517" s="1111"/>
      <c r="AA517" s="1111"/>
      <c r="AB517" s="1111"/>
      <c r="AC517" s="1111"/>
      <c r="AD517" s="1111"/>
      <c r="AE517" s="1111"/>
      <c r="AF517" s="1111"/>
      <c r="AG517" s="1111"/>
    </row>
    <row r="518" spans="1:33" s="1295" customFormat="1">
      <c r="A518" s="1264"/>
      <c r="D518" s="1118"/>
      <c r="E518" s="1264"/>
      <c r="F518" s="1118"/>
      <c r="G518" s="1118"/>
      <c r="H518" s="1118"/>
      <c r="I518" s="1118"/>
      <c r="J518" s="1118"/>
      <c r="K518" s="1118"/>
      <c r="L518" s="1118"/>
      <c r="M518" s="1118"/>
      <c r="N518" s="1118"/>
      <c r="O518" s="1118"/>
      <c r="P518" s="1118"/>
      <c r="Q518" s="1111"/>
      <c r="R518" s="1111"/>
      <c r="S518" s="1111"/>
      <c r="T518" s="1111"/>
      <c r="U518" s="1111"/>
      <c r="V518" s="1111"/>
      <c r="W518" s="1111"/>
      <c r="X518" s="1111"/>
      <c r="Y518" s="1111"/>
      <c r="Z518" s="1111"/>
      <c r="AA518" s="1111"/>
      <c r="AB518" s="1111"/>
      <c r="AC518" s="1111"/>
      <c r="AD518" s="1111"/>
      <c r="AE518" s="1111"/>
      <c r="AF518" s="1111"/>
      <c r="AG518" s="1111"/>
    </row>
    <row r="519" spans="1:33" s="1295" customFormat="1">
      <c r="A519" s="1264"/>
      <c r="D519" s="1118"/>
      <c r="E519" s="1264"/>
      <c r="F519" s="1118"/>
      <c r="G519" s="1118"/>
      <c r="H519" s="1118"/>
      <c r="I519" s="1118"/>
      <c r="J519" s="1118"/>
      <c r="K519" s="1118"/>
      <c r="L519" s="1118"/>
      <c r="M519" s="1118"/>
      <c r="N519" s="1118"/>
      <c r="O519" s="1118"/>
      <c r="P519" s="1118"/>
      <c r="Q519" s="1111"/>
      <c r="R519" s="1111"/>
      <c r="S519" s="1111"/>
      <c r="T519" s="1111"/>
      <c r="U519" s="1111"/>
      <c r="V519" s="1111"/>
      <c r="W519" s="1111"/>
      <c r="X519" s="1111"/>
      <c r="Y519" s="1111"/>
      <c r="Z519" s="1111"/>
      <c r="AA519" s="1111"/>
      <c r="AB519" s="1111"/>
      <c r="AC519" s="1111"/>
      <c r="AD519" s="1111"/>
      <c r="AE519" s="1111"/>
      <c r="AF519" s="1111"/>
      <c r="AG519" s="1111"/>
    </row>
    <row r="520" spans="1:33" s="1295" customFormat="1">
      <c r="A520" s="1264"/>
      <c r="D520" s="1118"/>
      <c r="E520" s="1264"/>
      <c r="F520" s="1118"/>
      <c r="G520" s="1118"/>
      <c r="H520" s="1118"/>
      <c r="I520" s="1118"/>
      <c r="J520" s="1118"/>
      <c r="K520" s="1118"/>
      <c r="L520" s="1118"/>
      <c r="M520" s="1118"/>
      <c r="N520" s="1118"/>
      <c r="O520" s="1118"/>
      <c r="P520" s="1118"/>
      <c r="Q520" s="1111"/>
      <c r="R520" s="1111"/>
      <c r="S520" s="1111"/>
      <c r="T520" s="1111"/>
      <c r="U520" s="1111"/>
      <c r="V520" s="1111"/>
      <c r="W520" s="1111"/>
      <c r="X520" s="1111"/>
      <c r="Y520" s="1111"/>
      <c r="Z520" s="1111"/>
      <c r="AA520" s="1111"/>
      <c r="AB520" s="1111"/>
      <c r="AC520" s="1111"/>
      <c r="AD520" s="1111"/>
      <c r="AE520" s="1111"/>
      <c r="AF520" s="1111"/>
      <c r="AG520" s="1111"/>
    </row>
    <row r="521" spans="1:33" s="1295" customFormat="1">
      <c r="A521" s="1264"/>
      <c r="D521" s="1118"/>
      <c r="E521" s="1264"/>
      <c r="F521" s="1118"/>
      <c r="G521" s="1118"/>
      <c r="H521" s="1118"/>
      <c r="I521" s="1118"/>
      <c r="J521" s="1118"/>
      <c r="K521" s="1118"/>
      <c r="L521" s="1118"/>
      <c r="M521" s="1118"/>
      <c r="N521" s="1118"/>
      <c r="O521" s="1118"/>
      <c r="P521" s="1118"/>
      <c r="Q521" s="1111"/>
      <c r="R521" s="1111"/>
      <c r="S521" s="1111"/>
      <c r="T521" s="1111"/>
      <c r="U521" s="1111"/>
      <c r="V521" s="1111"/>
      <c r="W521" s="1111"/>
      <c r="X521" s="1111"/>
      <c r="Y521" s="1111"/>
      <c r="Z521" s="1111"/>
      <c r="AA521" s="1111"/>
      <c r="AB521" s="1111"/>
      <c r="AC521" s="1111"/>
      <c r="AD521" s="1111"/>
      <c r="AE521" s="1111"/>
      <c r="AF521" s="1111"/>
      <c r="AG521" s="1111"/>
    </row>
    <row r="522" spans="1:33" s="1295" customFormat="1">
      <c r="A522" s="1264"/>
      <c r="D522" s="1118"/>
      <c r="E522" s="1264"/>
      <c r="F522" s="1118"/>
      <c r="G522" s="1118"/>
      <c r="H522" s="1118"/>
      <c r="I522" s="1118"/>
      <c r="J522" s="1118"/>
      <c r="K522" s="1118"/>
      <c r="L522" s="1118"/>
      <c r="M522" s="1118"/>
      <c r="N522" s="1118"/>
      <c r="O522" s="1118"/>
      <c r="P522" s="1118"/>
      <c r="Q522" s="1111"/>
      <c r="R522" s="1111"/>
      <c r="S522" s="1111"/>
      <c r="T522" s="1111"/>
      <c r="U522" s="1111"/>
      <c r="V522" s="1111"/>
      <c r="W522" s="1111"/>
      <c r="X522" s="1111"/>
      <c r="Y522" s="1111"/>
      <c r="Z522" s="1111"/>
      <c r="AA522" s="1111"/>
      <c r="AB522" s="1111"/>
      <c r="AC522" s="1111"/>
      <c r="AD522" s="1111"/>
      <c r="AE522" s="1111"/>
      <c r="AF522" s="1111"/>
      <c r="AG522" s="1111"/>
    </row>
    <row r="523" spans="1:33" s="1295" customFormat="1">
      <c r="A523" s="1264"/>
      <c r="D523" s="1118"/>
      <c r="E523" s="1264"/>
      <c r="F523" s="1118"/>
      <c r="G523" s="1118"/>
      <c r="H523" s="1118"/>
      <c r="I523" s="1118"/>
      <c r="J523" s="1118"/>
      <c r="K523" s="1118"/>
      <c r="L523" s="1118"/>
      <c r="M523" s="1118"/>
      <c r="N523" s="1118"/>
      <c r="O523" s="1118"/>
      <c r="P523" s="1118"/>
      <c r="Q523" s="1111"/>
      <c r="R523" s="1111"/>
      <c r="S523" s="1111"/>
      <c r="T523" s="1111"/>
      <c r="U523" s="1111"/>
      <c r="V523" s="1111"/>
      <c r="W523" s="1111"/>
      <c r="X523" s="1111"/>
      <c r="Y523" s="1111"/>
      <c r="Z523" s="1111"/>
      <c r="AA523" s="1111"/>
      <c r="AB523" s="1111"/>
      <c r="AC523" s="1111"/>
      <c r="AD523" s="1111"/>
      <c r="AE523" s="1111"/>
      <c r="AF523" s="1111"/>
      <c r="AG523" s="1111"/>
    </row>
    <row r="524" spans="1:33" s="1295" customFormat="1">
      <c r="A524" s="1264"/>
      <c r="D524" s="1118"/>
      <c r="E524" s="1264"/>
      <c r="F524" s="1118"/>
      <c r="G524" s="1118"/>
      <c r="H524" s="1118"/>
      <c r="I524" s="1118"/>
      <c r="J524" s="1118"/>
      <c r="K524" s="1118"/>
      <c r="L524" s="1118"/>
      <c r="M524" s="1118"/>
      <c r="N524" s="1118"/>
      <c r="O524" s="1118"/>
      <c r="P524" s="1118"/>
      <c r="Q524" s="1111"/>
      <c r="R524" s="1111"/>
      <c r="S524" s="1111"/>
      <c r="T524" s="1111"/>
      <c r="U524" s="1111"/>
      <c r="V524" s="1111"/>
      <c r="W524" s="1111"/>
      <c r="X524" s="1111"/>
      <c r="Y524" s="1111"/>
      <c r="Z524" s="1111"/>
      <c r="AA524" s="1111"/>
      <c r="AB524" s="1111"/>
      <c r="AC524" s="1111"/>
      <c r="AD524" s="1111"/>
      <c r="AE524" s="1111"/>
      <c r="AF524" s="1111"/>
      <c r="AG524" s="1111"/>
    </row>
    <row r="525" spans="1:33" s="1295" customFormat="1">
      <c r="A525" s="1264"/>
      <c r="D525" s="1118"/>
      <c r="E525" s="1264"/>
      <c r="F525" s="1118"/>
      <c r="G525" s="1118"/>
      <c r="H525" s="1118"/>
      <c r="I525" s="1118"/>
      <c r="J525" s="1118"/>
      <c r="K525" s="1118"/>
      <c r="L525" s="1118"/>
      <c r="M525" s="1118"/>
      <c r="N525" s="1118"/>
      <c r="O525" s="1118"/>
      <c r="P525" s="1118"/>
      <c r="Q525" s="1111"/>
      <c r="R525" s="1111"/>
      <c r="S525" s="1111"/>
      <c r="T525" s="1111"/>
      <c r="U525" s="1111"/>
      <c r="V525" s="1111"/>
      <c r="W525" s="1111"/>
      <c r="X525" s="1111"/>
      <c r="Y525" s="1111"/>
      <c r="Z525" s="1111"/>
      <c r="AA525" s="1111"/>
      <c r="AB525" s="1111"/>
      <c r="AC525" s="1111"/>
      <c r="AD525" s="1111"/>
      <c r="AE525" s="1111"/>
      <c r="AF525" s="1111"/>
      <c r="AG525" s="1111"/>
    </row>
    <row r="526" spans="1:33" s="1295" customFormat="1">
      <c r="A526" s="1264"/>
      <c r="D526" s="1118"/>
      <c r="E526" s="1264"/>
      <c r="F526" s="1118"/>
      <c r="G526" s="1118"/>
      <c r="H526" s="1118"/>
      <c r="I526" s="1118"/>
      <c r="J526" s="1118"/>
      <c r="K526" s="1118"/>
      <c r="L526" s="1118"/>
      <c r="M526" s="1118"/>
      <c r="N526" s="1118"/>
      <c r="O526" s="1118"/>
      <c r="P526" s="1118"/>
      <c r="Q526" s="1111"/>
      <c r="R526" s="1111"/>
      <c r="S526" s="1111"/>
      <c r="T526" s="1111"/>
      <c r="U526" s="1111"/>
      <c r="V526" s="1111"/>
      <c r="W526" s="1111"/>
      <c r="X526" s="1111"/>
      <c r="Y526" s="1111"/>
      <c r="Z526" s="1111"/>
      <c r="AA526" s="1111"/>
      <c r="AB526" s="1111"/>
      <c r="AC526" s="1111"/>
      <c r="AD526" s="1111"/>
      <c r="AE526" s="1111"/>
      <c r="AF526" s="1111"/>
      <c r="AG526" s="1111"/>
    </row>
    <row r="527" spans="1:33" s="1295" customFormat="1">
      <c r="A527" s="1264"/>
      <c r="D527" s="1118"/>
      <c r="E527" s="1264"/>
      <c r="F527" s="1118"/>
      <c r="G527" s="1118"/>
      <c r="H527" s="1118"/>
      <c r="I527" s="1118"/>
      <c r="J527" s="1118"/>
      <c r="K527" s="1118"/>
      <c r="L527" s="1118"/>
      <c r="M527" s="1118"/>
      <c r="N527" s="1118"/>
      <c r="O527" s="1118"/>
      <c r="P527" s="1118"/>
      <c r="Q527" s="1111"/>
      <c r="R527" s="1111"/>
      <c r="S527" s="1111"/>
      <c r="T527" s="1111"/>
      <c r="U527" s="1111"/>
      <c r="V527" s="1111"/>
      <c r="W527" s="1111"/>
      <c r="X527" s="1111"/>
      <c r="Y527" s="1111"/>
      <c r="Z527" s="1111"/>
      <c r="AA527" s="1111"/>
      <c r="AB527" s="1111"/>
      <c r="AC527" s="1111"/>
      <c r="AD527" s="1111"/>
      <c r="AE527" s="1111"/>
      <c r="AF527" s="1111"/>
      <c r="AG527" s="1111"/>
    </row>
    <row r="528" spans="1:33" s="1295" customFormat="1">
      <c r="A528" s="1264"/>
      <c r="D528" s="1118"/>
      <c r="E528" s="1264"/>
      <c r="F528" s="1118"/>
      <c r="G528" s="1118"/>
      <c r="H528" s="1118"/>
      <c r="I528" s="1118"/>
      <c r="J528" s="1118"/>
      <c r="K528" s="1118"/>
      <c r="L528" s="1118"/>
      <c r="M528" s="1118"/>
      <c r="N528" s="1118"/>
      <c r="O528" s="1118"/>
      <c r="P528" s="1118"/>
      <c r="Q528" s="1111"/>
      <c r="R528" s="1111"/>
      <c r="S528" s="1111"/>
      <c r="T528" s="1111"/>
      <c r="U528" s="1111"/>
      <c r="V528" s="1111"/>
      <c r="W528" s="1111"/>
      <c r="X528" s="1111"/>
      <c r="Y528" s="1111"/>
      <c r="Z528" s="1111"/>
      <c r="AA528" s="1111"/>
      <c r="AB528" s="1111"/>
      <c r="AC528" s="1111"/>
      <c r="AD528" s="1111"/>
      <c r="AE528" s="1111"/>
      <c r="AF528" s="1111"/>
      <c r="AG528" s="1111"/>
    </row>
    <row r="529" spans="1:33" s="1295" customFormat="1">
      <c r="A529" s="1264"/>
      <c r="D529" s="1118"/>
      <c r="E529" s="1264"/>
      <c r="F529" s="1118"/>
      <c r="G529" s="1118"/>
      <c r="H529" s="1118"/>
      <c r="I529" s="1118"/>
      <c r="J529" s="1118"/>
      <c r="K529" s="1118"/>
      <c r="L529" s="1118"/>
      <c r="M529" s="1118"/>
      <c r="N529" s="1118"/>
      <c r="O529" s="1118"/>
      <c r="P529" s="1118"/>
      <c r="Q529" s="1111"/>
      <c r="R529" s="1111"/>
      <c r="S529" s="1111"/>
      <c r="T529" s="1111"/>
      <c r="U529" s="1111"/>
      <c r="V529" s="1111"/>
      <c r="W529" s="1111"/>
      <c r="X529" s="1111"/>
      <c r="Y529" s="1111"/>
      <c r="Z529" s="1111"/>
      <c r="AA529" s="1111"/>
      <c r="AB529" s="1111"/>
      <c r="AC529" s="1111"/>
      <c r="AD529" s="1111"/>
      <c r="AE529" s="1111"/>
      <c r="AF529" s="1111"/>
      <c r="AG529" s="1111"/>
    </row>
    <row r="530" spans="1:33" s="1295" customFormat="1">
      <c r="A530" s="1264"/>
      <c r="D530" s="1118"/>
      <c r="E530" s="1264"/>
      <c r="F530" s="1118"/>
      <c r="G530" s="1118"/>
      <c r="H530" s="1118"/>
      <c r="I530" s="1118"/>
      <c r="J530" s="1118"/>
      <c r="K530" s="1118"/>
      <c r="L530" s="1118"/>
      <c r="M530" s="1118"/>
      <c r="N530" s="1118"/>
      <c r="O530" s="1118"/>
      <c r="P530" s="1118"/>
      <c r="Q530" s="1111"/>
      <c r="R530" s="1111"/>
      <c r="S530" s="1111"/>
      <c r="T530" s="1111"/>
      <c r="U530" s="1111"/>
      <c r="V530" s="1111"/>
      <c r="W530" s="1111"/>
      <c r="X530" s="1111"/>
      <c r="Y530" s="1111"/>
      <c r="Z530" s="1111"/>
      <c r="AA530" s="1111"/>
      <c r="AB530" s="1111"/>
      <c r="AC530" s="1111"/>
      <c r="AD530" s="1111"/>
      <c r="AE530" s="1111"/>
      <c r="AF530" s="1111"/>
      <c r="AG530" s="1111"/>
    </row>
    <row r="531" spans="1:33" s="1295" customFormat="1">
      <c r="A531" s="1264"/>
      <c r="D531" s="1118"/>
      <c r="E531" s="1264"/>
      <c r="F531" s="1118"/>
      <c r="G531" s="1118"/>
      <c r="H531" s="1118"/>
      <c r="I531" s="1118"/>
      <c r="J531" s="1118"/>
      <c r="K531" s="1118"/>
      <c r="L531" s="1118"/>
      <c r="M531" s="1118"/>
      <c r="N531" s="1118"/>
      <c r="O531" s="1118"/>
      <c r="P531" s="1118"/>
      <c r="Q531" s="1111"/>
      <c r="R531" s="1111"/>
      <c r="S531" s="1111"/>
      <c r="T531" s="1111"/>
      <c r="U531" s="1111"/>
      <c r="V531" s="1111"/>
      <c r="W531" s="1111"/>
      <c r="X531" s="1111"/>
      <c r="Y531" s="1111"/>
      <c r="Z531" s="1111"/>
      <c r="AA531" s="1111"/>
      <c r="AB531" s="1111"/>
      <c r="AC531" s="1111"/>
      <c r="AD531" s="1111"/>
      <c r="AE531" s="1111"/>
      <c r="AF531" s="1111"/>
      <c r="AG531" s="1111"/>
    </row>
    <row r="532" spans="1:33" s="1295" customFormat="1">
      <c r="A532" s="1264"/>
      <c r="D532" s="1118"/>
      <c r="E532" s="1264"/>
      <c r="F532" s="1118"/>
      <c r="G532" s="1118"/>
      <c r="H532" s="1118"/>
      <c r="I532" s="1118"/>
      <c r="J532" s="1118"/>
      <c r="K532" s="1118"/>
      <c r="L532" s="1118"/>
      <c r="M532" s="1118"/>
      <c r="N532" s="1118"/>
      <c r="O532" s="1118"/>
      <c r="P532" s="1118"/>
      <c r="Q532" s="1111"/>
      <c r="R532" s="1111"/>
      <c r="S532" s="1111"/>
      <c r="T532" s="1111"/>
      <c r="U532" s="1111"/>
      <c r="V532" s="1111"/>
      <c r="W532" s="1111"/>
      <c r="X532" s="1111"/>
      <c r="Y532" s="1111"/>
      <c r="Z532" s="1111"/>
      <c r="AA532" s="1111"/>
      <c r="AB532" s="1111"/>
      <c r="AC532" s="1111"/>
      <c r="AD532" s="1111"/>
      <c r="AE532" s="1111"/>
      <c r="AF532" s="1111"/>
      <c r="AG532" s="1111"/>
    </row>
    <row r="533" spans="1:33" s="1295" customFormat="1">
      <c r="A533" s="1264"/>
      <c r="D533" s="1118"/>
      <c r="E533" s="1264"/>
      <c r="F533" s="1118"/>
      <c r="G533" s="1118"/>
      <c r="H533" s="1118"/>
      <c r="I533" s="1118"/>
      <c r="J533" s="1118"/>
      <c r="K533" s="1118"/>
      <c r="L533" s="1118"/>
      <c r="M533" s="1118"/>
      <c r="N533" s="1118"/>
      <c r="O533" s="1118"/>
      <c r="P533" s="1118"/>
      <c r="Q533" s="1111"/>
      <c r="R533" s="1111"/>
      <c r="S533" s="1111"/>
      <c r="T533" s="1111"/>
      <c r="U533" s="1111"/>
      <c r="V533" s="1111"/>
      <c r="W533" s="1111"/>
      <c r="X533" s="1111"/>
      <c r="Y533" s="1111"/>
      <c r="Z533" s="1111"/>
      <c r="AA533" s="1111"/>
      <c r="AB533" s="1111"/>
      <c r="AC533" s="1111"/>
      <c r="AD533" s="1111"/>
      <c r="AE533" s="1111"/>
      <c r="AF533" s="1111"/>
      <c r="AG533" s="1111"/>
    </row>
    <row r="534" spans="1:33" s="1295" customFormat="1">
      <c r="A534" s="1264"/>
      <c r="D534" s="1118"/>
      <c r="E534" s="1264"/>
      <c r="F534" s="1118"/>
      <c r="G534" s="1118"/>
      <c r="H534" s="1118"/>
      <c r="I534" s="1118"/>
      <c r="J534" s="1118"/>
      <c r="K534" s="1118"/>
      <c r="L534" s="1118"/>
      <c r="M534" s="1118"/>
      <c r="N534" s="1118"/>
      <c r="O534" s="1118"/>
      <c r="P534" s="1118"/>
      <c r="Q534" s="1111"/>
      <c r="R534" s="1111"/>
      <c r="S534" s="1111"/>
      <c r="T534" s="1111"/>
      <c r="U534" s="1111"/>
      <c r="V534" s="1111"/>
      <c r="W534" s="1111"/>
      <c r="X534" s="1111"/>
      <c r="Y534" s="1111"/>
      <c r="Z534" s="1111"/>
      <c r="AA534" s="1111"/>
      <c r="AB534" s="1111"/>
      <c r="AC534" s="1111"/>
      <c r="AD534" s="1111"/>
      <c r="AE534" s="1111"/>
      <c r="AF534" s="1111"/>
      <c r="AG534" s="1111"/>
    </row>
    <row r="535" spans="1:33" s="1295" customFormat="1">
      <c r="A535" s="1264"/>
      <c r="D535" s="1118"/>
      <c r="E535" s="1264"/>
      <c r="F535" s="1118"/>
      <c r="G535" s="1118"/>
      <c r="H535" s="1118"/>
      <c r="I535" s="1118"/>
      <c r="J535" s="1118"/>
      <c r="K535" s="1118"/>
      <c r="L535" s="1118"/>
      <c r="M535" s="1118"/>
      <c r="N535" s="1118"/>
      <c r="O535" s="1118"/>
      <c r="P535" s="1118"/>
      <c r="Q535" s="1111"/>
      <c r="R535" s="1111"/>
      <c r="S535" s="1111"/>
      <c r="T535" s="1111"/>
      <c r="U535" s="1111"/>
      <c r="V535" s="1111"/>
      <c r="W535" s="1111"/>
      <c r="X535" s="1111"/>
      <c r="Y535" s="1111"/>
      <c r="Z535" s="1111"/>
      <c r="AA535" s="1111"/>
      <c r="AB535" s="1111"/>
      <c r="AC535" s="1111"/>
      <c r="AD535" s="1111"/>
      <c r="AE535" s="1111"/>
      <c r="AF535" s="1111"/>
      <c r="AG535" s="1111"/>
    </row>
    <row r="536" spans="1:33" s="1295" customFormat="1">
      <c r="A536" s="1264"/>
      <c r="D536" s="1118"/>
      <c r="E536" s="1264"/>
      <c r="F536" s="1118"/>
      <c r="G536" s="1118"/>
      <c r="H536" s="1118"/>
      <c r="I536" s="1118"/>
      <c r="J536" s="1118"/>
      <c r="K536" s="1118"/>
      <c r="L536" s="1118"/>
      <c r="M536" s="1118"/>
      <c r="N536" s="1118"/>
      <c r="O536" s="1118"/>
      <c r="P536" s="1118"/>
      <c r="Q536" s="1111"/>
      <c r="R536" s="1111"/>
      <c r="S536" s="1111"/>
      <c r="T536" s="1111"/>
      <c r="U536" s="1111"/>
      <c r="V536" s="1111"/>
      <c r="W536" s="1111"/>
      <c r="X536" s="1111"/>
      <c r="Y536" s="1111"/>
      <c r="Z536" s="1111"/>
      <c r="AA536" s="1111"/>
      <c r="AB536" s="1111"/>
      <c r="AC536" s="1111"/>
      <c r="AD536" s="1111"/>
      <c r="AE536" s="1111"/>
      <c r="AF536" s="1111"/>
      <c r="AG536" s="1111"/>
    </row>
    <row r="537" spans="1:33" s="1295" customFormat="1">
      <c r="A537" s="1264"/>
      <c r="D537" s="1118"/>
      <c r="E537" s="1264"/>
      <c r="F537" s="1118"/>
      <c r="G537" s="1118"/>
      <c r="H537" s="1118"/>
      <c r="I537" s="1118"/>
      <c r="J537" s="1118"/>
      <c r="K537" s="1118"/>
      <c r="L537" s="1118"/>
      <c r="M537" s="1118"/>
      <c r="N537" s="1118"/>
      <c r="O537" s="1118"/>
      <c r="P537" s="1118"/>
      <c r="Q537" s="1111"/>
      <c r="R537" s="1111"/>
      <c r="S537" s="1111"/>
      <c r="T537" s="1111"/>
      <c r="U537" s="1111"/>
      <c r="V537" s="1111"/>
      <c r="W537" s="1111"/>
      <c r="X537" s="1111"/>
      <c r="Y537" s="1111"/>
      <c r="Z537" s="1111"/>
      <c r="AA537" s="1111"/>
      <c r="AB537" s="1111"/>
      <c r="AC537" s="1111"/>
      <c r="AD537" s="1111"/>
      <c r="AE537" s="1111"/>
      <c r="AF537" s="1111"/>
      <c r="AG537" s="1111"/>
    </row>
    <row r="538" spans="1:33" s="1295" customFormat="1">
      <c r="A538" s="1264"/>
      <c r="D538" s="1118"/>
      <c r="E538" s="1264"/>
      <c r="F538" s="1118"/>
      <c r="G538" s="1118"/>
      <c r="H538" s="1118"/>
      <c r="I538" s="1118"/>
      <c r="J538" s="1118"/>
      <c r="K538" s="1118"/>
      <c r="L538" s="1118"/>
      <c r="M538" s="1118"/>
      <c r="N538" s="1118"/>
      <c r="O538" s="1118"/>
      <c r="P538" s="1118"/>
      <c r="Q538" s="1111"/>
      <c r="R538" s="1111"/>
      <c r="S538" s="1111"/>
      <c r="T538" s="1111"/>
      <c r="U538" s="1111"/>
      <c r="V538" s="1111"/>
      <c r="W538" s="1111"/>
      <c r="X538" s="1111"/>
      <c r="Y538" s="1111"/>
      <c r="Z538" s="1111"/>
      <c r="AA538" s="1111"/>
      <c r="AB538" s="1111"/>
      <c r="AC538" s="1111"/>
      <c r="AD538" s="1111"/>
      <c r="AE538" s="1111"/>
      <c r="AF538" s="1111"/>
      <c r="AG538" s="1111"/>
    </row>
    <row r="539" spans="1:33" s="1295" customFormat="1">
      <c r="A539" s="1264"/>
      <c r="D539" s="1118"/>
      <c r="E539" s="1264"/>
      <c r="F539" s="1118"/>
      <c r="G539" s="1118"/>
      <c r="H539" s="1118"/>
      <c r="I539" s="1118"/>
      <c r="J539" s="1118"/>
      <c r="K539" s="1118"/>
      <c r="L539" s="1118"/>
      <c r="M539" s="1118"/>
      <c r="N539" s="1118"/>
      <c r="O539" s="1118"/>
      <c r="P539" s="1118"/>
      <c r="Q539" s="1111"/>
      <c r="R539" s="1111"/>
      <c r="S539" s="1111"/>
      <c r="T539" s="1111"/>
      <c r="U539" s="1111"/>
      <c r="V539" s="1111"/>
      <c r="W539" s="1111"/>
      <c r="X539" s="1111"/>
      <c r="Y539" s="1111"/>
      <c r="Z539" s="1111"/>
      <c r="AA539" s="1111"/>
      <c r="AB539" s="1111"/>
      <c r="AC539" s="1111"/>
      <c r="AD539" s="1111"/>
      <c r="AE539" s="1111"/>
      <c r="AF539" s="1111"/>
      <c r="AG539" s="1111"/>
    </row>
    <row r="540" spans="1:33" s="1295" customFormat="1">
      <c r="A540" s="1264"/>
      <c r="D540" s="1118"/>
      <c r="E540" s="1264"/>
      <c r="F540" s="1118"/>
      <c r="G540" s="1118"/>
      <c r="H540" s="1118"/>
      <c r="I540" s="1118"/>
      <c r="J540" s="1118"/>
      <c r="K540" s="1118"/>
      <c r="L540" s="1118"/>
      <c r="M540" s="1118"/>
      <c r="N540" s="1118"/>
      <c r="O540" s="1118"/>
      <c r="P540" s="1118"/>
      <c r="Q540" s="1111"/>
      <c r="R540" s="1111"/>
      <c r="S540" s="1111"/>
      <c r="T540" s="1111"/>
      <c r="U540" s="1111"/>
      <c r="V540" s="1111"/>
      <c r="W540" s="1111"/>
      <c r="X540" s="1111"/>
      <c r="Y540" s="1111"/>
      <c r="Z540" s="1111"/>
      <c r="AA540" s="1111"/>
      <c r="AB540" s="1111"/>
      <c r="AC540" s="1111"/>
      <c r="AD540" s="1111"/>
      <c r="AE540" s="1111"/>
      <c r="AF540" s="1111"/>
      <c r="AG540" s="1111"/>
    </row>
    <row r="541" spans="1:33" s="1295" customFormat="1">
      <c r="A541" s="1264"/>
      <c r="D541" s="1118"/>
      <c r="E541" s="1264"/>
      <c r="F541" s="1118"/>
      <c r="G541" s="1118"/>
      <c r="H541" s="1118"/>
      <c r="I541" s="1118"/>
      <c r="J541" s="1118"/>
      <c r="K541" s="1118"/>
      <c r="L541" s="1118"/>
      <c r="M541" s="1118"/>
      <c r="N541" s="1118"/>
      <c r="O541" s="1118"/>
      <c r="P541" s="1118"/>
      <c r="Q541" s="1111"/>
      <c r="R541" s="1111"/>
      <c r="S541" s="1111"/>
      <c r="T541" s="1111"/>
      <c r="U541" s="1111"/>
      <c r="V541" s="1111"/>
      <c r="W541" s="1111"/>
      <c r="X541" s="1111"/>
      <c r="Y541" s="1111"/>
      <c r="Z541" s="1111"/>
      <c r="AA541" s="1111"/>
      <c r="AB541" s="1111"/>
      <c r="AC541" s="1111"/>
      <c r="AD541" s="1111"/>
      <c r="AE541" s="1111"/>
      <c r="AF541" s="1111"/>
      <c r="AG541" s="1111"/>
    </row>
    <row r="542" spans="1:33" s="1295" customFormat="1">
      <c r="A542" s="1264"/>
      <c r="D542" s="1118"/>
      <c r="E542" s="1264"/>
      <c r="F542" s="1118"/>
      <c r="G542" s="1118"/>
      <c r="H542" s="1118"/>
      <c r="I542" s="1118"/>
      <c r="J542" s="1118"/>
      <c r="K542" s="1118"/>
      <c r="L542" s="1118"/>
      <c r="M542" s="1118"/>
      <c r="N542" s="1118"/>
      <c r="O542" s="1118"/>
      <c r="P542" s="1118"/>
      <c r="Q542" s="1111"/>
      <c r="R542" s="1111"/>
      <c r="S542" s="1111"/>
      <c r="T542" s="1111"/>
      <c r="U542" s="1111"/>
      <c r="V542" s="1111"/>
      <c r="W542" s="1111"/>
      <c r="X542" s="1111"/>
      <c r="Y542" s="1111"/>
      <c r="Z542" s="1111"/>
      <c r="AA542" s="1111"/>
      <c r="AB542" s="1111"/>
      <c r="AC542" s="1111"/>
      <c r="AD542" s="1111"/>
      <c r="AE542" s="1111"/>
      <c r="AF542" s="1111"/>
      <c r="AG542" s="1111"/>
    </row>
    <row r="543" spans="1:33" s="1295" customFormat="1">
      <c r="A543" s="1264"/>
      <c r="D543" s="1118"/>
      <c r="E543" s="1264"/>
      <c r="F543" s="1118"/>
      <c r="G543" s="1118"/>
      <c r="H543" s="1118"/>
      <c r="I543" s="1118"/>
      <c r="J543" s="1118"/>
      <c r="K543" s="1118"/>
      <c r="L543" s="1118"/>
      <c r="M543" s="1118"/>
      <c r="N543" s="1118"/>
      <c r="O543" s="1118"/>
      <c r="P543" s="1118"/>
      <c r="Q543" s="1111"/>
      <c r="R543" s="1111"/>
      <c r="S543" s="1111"/>
      <c r="T543" s="1111"/>
      <c r="U543" s="1111"/>
      <c r="V543" s="1111"/>
      <c r="W543" s="1111"/>
      <c r="X543" s="1111"/>
      <c r="Y543" s="1111"/>
      <c r="Z543" s="1111"/>
      <c r="AA543" s="1111"/>
      <c r="AB543" s="1111"/>
      <c r="AC543" s="1111"/>
      <c r="AD543" s="1111"/>
      <c r="AE543" s="1111"/>
      <c r="AF543" s="1111"/>
      <c r="AG543" s="1111"/>
    </row>
    <row r="544" spans="1:33" s="1295" customFormat="1">
      <c r="A544" s="1264"/>
      <c r="D544" s="1118"/>
      <c r="E544" s="1264"/>
      <c r="F544" s="1118"/>
      <c r="G544" s="1118"/>
      <c r="H544" s="1118"/>
      <c r="I544" s="1118"/>
      <c r="J544" s="1118"/>
      <c r="K544" s="1118"/>
      <c r="L544" s="1118"/>
      <c r="M544" s="1118"/>
      <c r="N544" s="1118"/>
      <c r="O544" s="1118"/>
      <c r="P544" s="1118"/>
      <c r="Q544" s="1111"/>
      <c r="R544" s="1111"/>
      <c r="S544" s="1111"/>
      <c r="T544" s="1111"/>
      <c r="U544" s="1111"/>
      <c r="V544" s="1111"/>
      <c r="W544" s="1111"/>
      <c r="X544" s="1111"/>
      <c r="Y544" s="1111"/>
      <c r="Z544" s="1111"/>
      <c r="AA544" s="1111"/>
      <c r="AB544" s="1111"/>
      <c r="AC544" s="1111"/>
      <c r="AD544" s="1111"/>
      <c r="AE544" s="1111"/>
      <c r="AF544" s="1111"/>
      <c r="AG544" s="1111"/>
    </row>
    <row r="545" spans="1:33" s="1295" customFormat="1">
      <c r="A545" s="1264"/>
      <c r="D545" s="1118"/>
      <c r="E545" s="1264"/>
      <c r="F545" s="1118"/>
      <c r="G545" s="1118"/>
      <c r="H545" s="1118"/>
      <c r="I545" s="1118"/>
      <c r="J545" s="1118"/>
      <c r="K545" s="1118"/>
      <c r="L545" s="1118"/>
      <c r="M545" s="1118"/>
      <c r="N545" s="1118"/>
      <c r="O545" s="1118"/>
      <c r="P545" s="1118"/>
      <c r="Q545" s="1111"/>
      <c r="R545" s="1111"/>
      <c r="S545" s="1111"/>
      <c r="T545" s="1111"/>
      <c r="U545" s="1111"/>
      <c r="V545" s="1111"/>
      <c r="W545" s="1111"/>
      <c r="X545" s="1111"/>
      <c r="Y545" s="1111"/>
      <c r="Z545" s="1111"/>
      <c r="AA545" s="1111"/>
      <c r="AB545" s="1111"/>
      <c r="AC545" s="1111"/>
      <c r="AD545" s="1111"/>
      <c r="AE545" s="1111"/>
      <c r="AF545" s="1111"/>
      <c r="AG545" s="1111"/>
    </row>
    <row r="546" spans="1:33" s="1295" customFormat="1">
      <c r="A546" s="1264"/>
      <c r="D546" s="1118"/>
      <c r="E546" s="1264"/>
      <c r="F546" s="1118"/>
      <c r="G546" s="1118"/>
      <c r="H546" s="1118"/>
      <c r="I546" s="1118"/>
      <c r="J546" s="1118"/>
      <c r="K546" s="1118"/>
      <c r="L546" s="1118"/>
      <c r="M546" s="1118"/>
      <c r="N546" s="1118"/>
      <c r="O546" s="1118"/>
      <c r="P546" s="1118"/>
      <c r="Q546" s="1111"/>
      <c r="R546" s="1111"/>
      <c r="S546" s="1111"/>
      <c r="T546" s="1111"/>
      <c r="U546" s="1111"/>
      <c r="V546" s="1111"/>
      <c r="W546" s="1111"/>
      <c r="X546" s="1111"/>
      <c r="Y546" s="1111"/>
      <c r="Z546" s="1111"/>
      <c r="AA546" s="1111"/>
      <c r="AB546" s="1111"/>
      <c r="AC546" s="1111"/>
      <c r="AD546" s="1111"/>
      <c r="AE546" s="1111"/>
      <c r="AF546" s="1111"/>
      <c r="AG546" s="1111"/>
    </row>
    <row r="547" spans="1:33" s="1295" customFormat="1">
      <c r="A547" s="1264"/>
      <c r="D547" s="1118"/>
      <c r="E547" s="1264"/>
      <c r="F547" s="1118"/>
      <c r="G547" s="1118"/>
      <c r="H547" s="1118"/>
      <c r="I547" s="1118"/>
      <c r="J547" s="1118"/>
      <c r="K547" s="1118"/>
      <c r="L547" s="1118"/>
      <c r="M547" s="1118"/>
      <c r="N547" s="1118"/>
      <c r="O547" s="1118"/>
      <c r="P547" s="1118"/>
      <c r="Q547" s="1111"/>
      <c r="R547" s="1111"/>
      <c r="S547" s="1111"/>
      <c r="T547" s="1111"/>
      <c r="U547" s="1111"/>
      <c r="V547" s="1111"/>
      <c r="W547" s="1111"/>
      <c r="X547" s="1111"/>
      <c r="Y547" s="1111"/>
      <c r="Z547" s="1111"/>
      <c r="AA547" s="1111"/>
      <c r="AB547" s="1111"/>
      <c r="AC547" s="1111"/>
      <c r="AD547" s="1111"/>
      <c r="AE547" s="1111"/>
      <c r="AF547" s="1111"/>
      <c r="AG547" s="1111"/>
    </row>
    <row r="548" spans="1:33" s="1295" customFormat="1">
      <c r="A548" s="1264"/>
      <c r="D548" s="1118"/>
      <c r="E548" s="1264"/>
      <c r="F548" s="1118"/>
      <c r="G548" s="1118"/>
      <c r="H548" s="1118"/>
      <c r="I548" s="1118"/>
      <c r="J548" s="1118"/>
      <c r="K548" s="1118"/>
      <c r="L548" s="1118"/>
      <c r="M548" s="1118"/>
      <c r="N548" s="1118"/>
      <c r="O548" s="1118"/>
      <c r="P548" s="1118"/>
      <c r="Q548" s="1111"/>
      <c r="R548" s="1111"/>
      <c r="S548" s="1111"/>
      <c r="T548" s="1111"/>
      <c r="U548" s="1111"/>
      <c r="V548" s="1111"/>
      <c r="W548" s="1111"/>
      <c r="X548" s="1111"/>
      <c r="Y548" s="1111"/>
      <c r="Z548" s="1111"/>
      <c r="AA548" s="1111"/>
      <c r="AB548" s="1111"/>
      <c r="AC548" s="1111"/>
      <c r="AD548" s="1111"/>
      <c r="AE548" s="1111"/>
      <c r="AF548" s="1111"/>
      <c r="AG548" s="1111"/>
    </row>
    <row r="549" spans="1:33" s="1295" customFormat="1">
      <c r="A549" s="1264"/>
      <c r="D549" s="1118"/>
      <c r="E549" s="1264"/>
      <c r="F549" s="1118"/>
      <c r="G549" s="1118"/>
      <c r="H549" s="1118"/>
      <c r="I549" s="1118"/>
      <c r="J549" s="1118"/>
      <c r="K549" s="1118"/>
      <c r="L549" s="1118"/>
      <c r="M549" s="1118"/>
      <c r="N549" s="1118"/>
      <c r="O549" s="1118"/>
      <c r="P549" s="1118"/>
      <c r="Q549" s="1111"/>
      <c r="R549" s="1111"/>
      <c r="S549" s="1111"/>
      <c r="T549" s="1111"/>
      <c r="U549" s="1111"/>
      <c r="V549" s="1111"/>
      <c r="W549" s="1111"/>
      <c r="X549" s="1111"/>
      <c r="Y549" s="1111"/>
      <c r="Z549" s="1111"/>
      <c r="AA549" s="1111"/>
      <c r="AB549" s="1111"/>
      <c r="AC549" s="1111"/>
      <c r="AD549" s="1111"/>
      <c r="AE549" s="1111"/>
      <c r="AF549" s="1111"/>
      <c r="AG549" s="1111"/>
    </row>
    <row r="550" spans="1:33" s="1295" customFormat="1">
      <c r="A550" s="1264"/>
      <c r="D550" s="1118"/>
      <c r="E550" s="1264"/>
      <c r="F550" s="1118"/>
      <c r="G550" s="1118"/>
      <c r="H550" s="1118"/>
      <c r="I550" s="1118"/>
      <c r="J550" s="1118"/>
      <c r="K550" s="1118"/>
      <c r="L550" s="1118"/>
      <c r="M550" s="1118"/>
      <c r="N550" s="1118"/>
      <c r="O550" s="1118"/>
      <c r="P550" s="1118"/>
      <c r="Q550" s="1111"/>
      <c r="R550" s="1111"/>
      <c r="S550" s="1111"/>
      <c r="T550" s="1111"/>
      <c r="U550" s="1111"/>
      <c r="V550" s="1111"/>
      <c r="W550" s="1111"/>
      <c r="X550" s="1111"/>
      <c r="Y550" s="1111"/>
      <c r="Z550" s="1111"/>
      <c r="AA550" s="1111"/>
      <c r="AB550" s="1111"/>
      <c r="AC550" s="1111"/>
      <c r="AD550" s="1111"/>
      <c r="AE550" s="1111"/>
      <c r="AF550" s="1111"/>
      <c r="AG550" s="1111"/>
    </row>
    <row r="551" spans="1:33" s="1295" customFormat="1">
      <c r="A551" s="1264"/>
      <c r="D551" s="1118"/>
      <c r="E551" s="1264"/>
      <c r="F551" s="1118"/>
      <c r="G551" s="1118"/>
      <c r="H551" s="1118"/>
      <c r="I551" s="1118"/>
      <c r="J551" s="1118"/>
      <c r="K551" s="1118"/>
      <c r="L551" s="1118"/>
      <c r="M551" s="1118"/>
      <c r="N551" s="1118"/>
      <c r="O551" s="1118"/>
      <c r="P551" s="1118"/>
      <c r="Q551" s="1111"/>
      <c r="R551" s="1111"/>
      <c r="S551" s="1111"/>
      <c r="T551" s="1111"/>
      <c r="U551" s="1111"/>
      <c r="V551" s="1111"/>
      <c r="W551" s="1111"/>
      <c r="X551" s="1111"/>
      <c r="Y551" s="1111"/>
      <c r="Z551" s="1111"/>
      <c r="AA551" s="1111"/>
      <c r="AB551" s="1111"/>
      <c r="AC551" s="1111"/>
      <c r="AD551" s="1111"/>
      <c r="AE551" s="1111"/>
      <c r="AF551" s="1111"/>
      <c r="AG551" s="1111"/>
    </row>
    <row r="552" spans="1:33" s="1295" customFormat="1">
      <c r="A552" s="1264"/>
      <c r="D552" s="1118"/>
      <c r="E552" s="1264"/>
      <c r="F552" s="1118"/>
      <c r="G552" s="1118"/>
      <c r="H552" s="1118"/>
      <c r="I552" s="1118"/>
      <c r="J552" s="1118"/>
      <c r="K552" s="1118"/>
      <c r="L552" s="1118"/>
      <c r="M552" s="1118"/>
      <c r="N552" s="1118"/>
      <c r="O552" s="1118"/>
      <c r="P552" s="1118"/>
      <c r="Q552" s="1111"/>
      <c r="R552" s="1111"/>
      <c r="S552" s="1111"/>
      <c r="T552" s="1111"/>
      <c r="U552" s="1111"/>
      <c r="V552" s="1111"/>
      <c r="W552" s="1111"/>
      <c r="X552" s="1111"/>
      <c r="Y552" s="1111"/>
      <c r="Z552" s="1111"/>
      <c r="AA552" s="1111"/>
      <c r="AB552" s="1111"/>
      <c r="AC552" s="1111"/>
      <c r="AD552" s="1111"/>
      <c r="AE552" s="1111"/>
      <c r="AF552" s="1111"/>
      <c r="AG552" s="1111"/>
    </row>
    <row r="553" spans="1:33" s="1295" customFormat="1">
      <c r="A553" s="1264"/>
      <c r="D553" s="1118"/>
      <c r="E553" s="1264"/>
      <c r="F553" s="1118"/>
      <c r="G553" s="1118"/>
      <c r="H553" s="1118"/>
      <c r="I553" s="1118"/>
      <c r="J553" s="1118"/>
      <c r="K553" s="1118"/>
      <c r="L553" s="1118"/>
      <c r="M553" s="1118"/>
      <c r="N553" s="1118"/>
      <c r="O553" s="1118"/>
      <c r="P553" s="1118"/>
      <c r="Q553" s="1111"/>
      <c r="R553" s="1111"/>
      <c r="S553" s="1111"/>
      <c r="T553" s="1111"/>
      <c r="U553" s="1111"/>
      <c r="V553" s="1111"/>
      <c r="W553" s="1111"/>
      <c r="X553" s="1111"/>
      <c r="Y553" s="1111"/>
      <c r="Z553" s="1111"/>
      <c r="AA553" s="1111"/>
      <c r="AB553" s="1111"/>
      <c r="AC553" s="1111"/>
      <c r="AD553" s="1111"/>
      <c r="AE553" s="1111"/>
      <c r="AF553" s="1111"/>
      <c r="AG553" s="1111"/>
    </row>
    <row r="554" spans="1:33" s="1295" customFormat="1">
      <c r="A554" s="1264"/>
      <c r="D554" s="1118"/>
      <c r="E554" s="1264"/>
      <c r="F554" s="1118"/>
      <c r="G554" s="1118"/>
      <c r="H554" s="1118"/>
      <c r="I554" s="1118"/>
      <c r="J554" s="1118"/>
      <c r="K554" s="1118"/>
      <c r="L554" s="1118"/>
      <c r="M554" s="1118"/>
      <c r="N554" s="1118"/>
      <c r="O554" s="1118"/>
      <c r="P554" s="1118"/>
      <c r="Q554" s="1111"/>
      <c r="R554" s="1111"/>
      <c r="S554" s="1111"/>
      <c r="T554" s="1111"/>
      <c r="U554" s="1111"/>
      <c r="V554" s="1111"/>
      <c r="W554" s="1111"/>
      <c r="X554" s="1111"/>
      <c r="Y554" s="1111"/>
      <c r="Z554" s="1111"/>
      <c r="AA554" s="1111"/>
      <c r="AB554" s="1111"/>
      <c r="AC554" s="1111"/>
      <c r="AD554" s="1111"/>
      <c r="AE554" s="1111"/>
      <c r="AF554" s="1111"/>
      <c r="AG554" s="1111"/>
    </row>
    <row r="555" spans="1:33" s="1295" customFormat="1">
      <c r="A555" s="1264"/>
      <c r="D555" s="1118"/>
      <c r="E555" s="1264"/>
      <c r="F555" s="1118"/>
      <c r="G555" s="1118"/>
      <c r="H555" s="1118"/>
      <c r="I555" s="1118"/>
      <c r="J555" s="1118"/>
      <c r="K555" s="1118"/>
      <c r="L555" s="1118"/>
      <c r="M555" s="1118"/>
      <c r="N555" s="1118"/>
      <c r="O555" s="1118"/>
      <c r="P555" s="1118"/>
      <c r="Q555" s="1111"/>
      <c r="R555" s="1111"/>
      <c r="S555" s="1111"/>
      <c r="T555" s="1111"/>
      <c r="U555" s="1111"/>
      <c r="V555" s="1111"/>
      <c r="W555" s="1111"/>
      <c r="X555" s="1111"/>
      <c r="Y555" s="1111"/>
      <c r="Z555" s="1111"/>
      <c r="AA555" s="1111"/>
      <c r="AB555" s="1111"/>
      <c r="AC555" s="1111"/>
      <c r="AD555" s="1111"/>
      <c r="AE555" s="1111"/>
      <c r="AF555" s="1111"/>
      <c r="AG555" s="1111"/>
    </row>
    <row r="556" spans="1:33" s="1295" customFormat="1">
      <c r="A556" s="1264"/>
      <c r="D556" s="1118"/>
      <c r="E556" s="1264"/>
      <c r="F556" s="1118"/>
      <c r="G556" s="1118"/>
      <c r="H556" s="1118"/>
      <c r="I556" s="1118"/>
      <c r="J556" s="1118"/>
      <c r="K556" s="1118"/>
      <c r="L556" s="1118"/>
      <c r="M556" s="1118"/>
      <c r="N556" s="1118"/>
      <c r="O556" s="1118"/>
      <c r="P556" s="1118"/>
      <c r="Q556" s="1111"/>
      <c r="R556" s="1111"/>
      <c r="S556" s="1111"/>
      <c r="T556" s="1111"/>
      <c r="U556" s="1111"/>
      <c r="V556" s="1111"/>
      <c r="W556" s="1111"/>
      <c r="X556" s="1111"/>
      <c r="Y556" s="1111"/>
      <c r="Z556" s="1111"/>
      <c r="AA556" s="1111"/>
      <c r="AB556" s="1111"/>
      <c r="AC556" s="1111"/>
      <c r="AD556" s="1111"/>
      <c r="AE556" s="1111"/>
      <c r="AF556" s="1111"/>
      <c r="AG556" s="1111"/>
    </row>
    <row r="557" spans="1:33" s="1295" customFormat="1">
      <c r="A557" s="1264"/>
      <c r="D557" s="1118"/>
      <c r="E557" s="1264"/>
      <c r="F557" s="1118"/>
      <c r="G557" s="1118"/>
      <c r="H557" s="1118"/>
      <c r="I557" s="1118"/>
      <c r="J557" s="1118"/>
      <c r="K557" s="1118"/>
      <c r="L557" s="1118"/>
      <c r="M557" s="1118"/>
      <c r="N557" s="1118"/>
      <c r="O557" s="1118"/>
      <c r="P557" s="1118"/>
      <c r="Q557" s="1111"/>
      <c r="R557" s="1111"/>
      <c r="S557" s="1111"/>
      <c r="T557" s="1111"/>
      <c r="U557" s="1111"/>
      <c r="V557" s="1111"/>
      <c r="W557" s="1111"/>
      <c r="X557" s="1111"/>
      <c r="Y557" s="1111"/>
      <c r="Z557" s="1111"/>
      <c r="AA557" s="1111"/>
      <c r="AB557" s="1111"/>
      <c r="AC557" s="1111"/>
      <c r="AD557" s="1111"/>
      <c r="AE557" s="1111"/>
      <c r="AF557" s="1111"/>
      <c r="AG557" s="1111"/>
    </row>
    <row r="558" spans="1:33" s="1295" customFormat="1">
      <c r="A558" s="1264"/>
      <c r="D558" s="1118"/>
      <c r="E558" s="1264"/>
      <c r="F558" s="1118"/>
      <c r="G558" s="1118"/>
      <c r="H558" s="1118"/>
      <c r="I558" s="1118"/>
      <c r="J558" s="1118"/>
      <c r="K558" s="1118"/>
      <c r="L558" s="1118"/>
      <c r="M558" s="1118"/>
      <c r="N558" s="1118"/>
      <c r="O558" s="1118"/>
      <c r="P558" s="1118"/>
      <c r="Q558" s="1111"/>
      <c r="R558" s="1111"/>
      <c r="S558" s="1111"/>
      <c r="T558" s="1111"/>
      <c r="U558" s="1111"/>
      <c r="V558" s="1111"/>
      <c r="W558" s="1111"/>
      <c r="X558" s="1111"/>
      <c r="Y558" s="1111"/>
      <c r="Z558" s="1111"/>
      <c r="AA558" s="1111"/>
      <c r="AB558" s="1111"/>
      <c r="AC558" s="1111"/>
      <c r="AD558" s="1111"/>
      <c r="AE558" s="1111"/>
      <c r="AF558" s="1111"/>
      <c r="AG558" s="1111"/>
    </row>
    <row r="559" spans="1:33" s="1295" customFormat="1">
      <c r="A559" s="1264"/>
      <c r="D559" s="1118"/>
      <c r="E559" s="1264"/>
      <c r="F559" s="1118"/>
      <c r="G559" s="1118"/>
      <c r="H559" s="1118"/>
      <c r="I559" s="1118"/>
      <c r="J559" s="1118"/>
      <c r="K559" s="1118"/>
      <c r="L559" s="1118"/>
      <c r="M559" s="1118"/>
      <c r="N559" s="1118"/>
      <c r="O559" s="1118"/>
      <c r="P559" s="1118"/>
      <c r="Q559" s="1111"/>
      <c r="R559" s="1111"/>
      <c r="S559" s="1111"/>
      <c r="T559" s="1111"/>
      <c r="U559" s="1111"/>
      <c r="V559" s="1111"/>
      <c r="W559" s="1111"/>
      <c r="X559" s="1111"/>
      <c r="Y559" s="1111"/>
      <c r="Z559" s="1111"/>
      <c r="AA559" s="1111"/>
      <c r="AB559" s="1111"/>
      <c r="AC559" s="1111"/>
      <c r="AD559" s="1111"/>
      <c r="AE559" s="1111"/>
      <c r="AF559" s="1111"/>
      <c r="AG559" s="1111"/>
    </row>
    <row r="560" spans="1:33" s="1295" customFormat="1">
      <c r="A560" s="1264"/>
      <c r="D560" s="1118"/>
      <c r="E560" s="1264"/>
      <c r="F560" s="1118"/>
      <c r="G560" s="1118"/>
      <c r="H560" s="1118"/>
      <c r="I560" s="1118"/>
      <c r="J560" s="1118"/>
      <c r="K560" s="1118"/>
      <c r="L560" s="1118"/>
      <c r="M560" s="1118"/>
      <c r="N560" s="1118"/>
      <c r="O560" s="1118"/>
      <c r="P560" s="1118"/>
      <c r="Q560" s="1111"/>
      <c r="R560" s="1111"/>
      <c r="S560" s="1111"/>
      <c r="T560" s="1111"/>
      <c r="U560" s="1111"/>
      <c r="V560" s="1111"/>
      <c r="W560" s="1111"/>
      <c r="X560" s="1111"/>
      <c r="Y560" s="1111"/>
      <c r="Z560" s="1111"/>
      <c r="AA560" s="1111"/>
      <c r="AB560" s="1111"/>
      <c r="AC560" s="1111"/>
      <c r="AD560" s="1111"/>
      <c r="AE560" s="1111"/>
      <c r="AF560" s="1111"/>
      <c r="AG560" s="1111"/>
    </row>
    <row r="561" spans="1:33" s="1295" customFormat="1">
      <c r="A561" s="1264"/>
      <c r="D561" s="1118"/>
      <c r="E561" s="1264"/>
      <c r="F561" s="1118"/>
      <c r="G561" s="1118"/>
      <c r="H561" s="1118"/>
      <c r="I561" s="1118"/>
      <c r="J561" s="1118"/>
      <c r="K561" s="1118"/>
      <c r="L561" s="1118"/>
      <c r="M561" s="1118"/>
      <c r="N561" s="1118"/>
      <c r="O561" s="1118"/>
      <c r="P561" s="1118"/>
      <c r="Q561" s="1111"/>
      <c r="R561" s="1111"/>
      <c r="S561" s="1111"/>
      <c r="T561" s="1111"/>
      <c r="U561" s="1111"/>
      <c r="V561" s="1111"/>
      <c r="W561" s="1111"/>
      <c r="X561" s="1111"/>
      <c r="Y561" s="1111"/>
      <c r="Z561" s="1111"/>
      <c r="AA561" s="1111"/>
      <c r="AB561" s="1111"/>
      <c r="AC561" s="1111"/>
      <c r="AD561" s="1111"/>
      <c r="AE561" s="1111"/>
      <c r="AF561" s="1111"/>
      <c r="AG561" s="1111"/>
    </row>
    <row r="562" spans="1:33" s="1295" customFormat="1">
      <c r="A562" s="1264"/>
      <c r="D562" s="1118"/>
      <c r="E562" s="1264"/>
      <c r="F562" s="1118"/>
      <c r="G562" s="1118"/>
      <c r="H562" s="1118"/>
      <c r="I562" s="1118"/>
      <c r="J562" s="1118"/>
      <c r="K562" s="1118"/>
      <c r="L562" s="1118"/>
      <c r="M562" s="1118"/>
      <c r="N562" s="1118"/>
      <c r="O562" s="1118"/>
      <c r="P562" s="1118"/>
      <c r="Q562" s="1111"/>
      <c r="R562" s="1111"/>
      <c r="S562" s="1111"/>
      <c r="T562" s="1111"/>
      <c r="U562" s="1111"/>
      <c r="V562" s="1111"/>
      <c r="W562" s="1111"/>
      <c r="X562" s="1111"/>
      <c r="Y562" s="1111"/>
      <c r="Z562" s="1111"/>
      <c r="AA562" s="1111"/>
      <c r="AB562" s="1111"/>
      <c r="AC562" s="1111"/>
      <c r="AD562" s="1111"/>
      <c r="AE562" s="1111"/>
      <c r="AF562" s="1111"/>
      <c r="AG562" s="1111"/>
    </row>
    <row r="563" spans="1:33" s="1295" customFormat="1">
      <c r="A563" s="1264"/>
      <c r="D563" s="1118"/>
      <c r="E563" s="1264"/>
      <c r="F563" s="1118"/>
      <c r="G563" s="1118"/>
      <c r="H563" s="1118"/>
      <c r="I563" s="1118"/>
      <c r="J563" s="1118"/>
      <c r="K563" s="1118"/>
      <c r="L563" s="1118"/>
      <c r="M563" s="1118"/>
      <c r="N563" s="1118"/>
      <c r="O563" s="1118"/>
      <c r="P563" s="1118"/>
      <c r="Q563" s="1111"/>
      <c r="R563" s="1111"/>
      <c r="S563" s="1111"/>
      <c r="T563" s="1111"/>
      <c r="U563" s="1111"/>
      <c r="V563" s="1111"/>
      <c r="W563" s="1111"/>
      <c r="X563" s="1111"/>
      <c r="Y563" s="1111"/>
      <c r="Z563" s="1111"/>
      <c r="AA563" s="1111"/>
      <c r="AB563" s="1111"/>
      <c r="AC563" s="1111"/>
      <c r="AD563" s="1111"/>
      <c r="AE563" s="1111"/>
      <c r="AF563" s="1111"/>
      <c r="AG563" s="1111"/>
    </row>
    <row r="564" spans="1:33" s="1295" customFormat="1">
      <c r="A564" s="1264"/>
      <c r="D564" s="1118"/>
      <c r="E564" s="1264"/>
      <c r="F564" s="1118"/>
      <c r="G564" s="1118"/>
      <c r="H564" s="1118"/>
      <c r="I564" s="1118"/>
      <c r="J564" s="1118"/>
      <c r="K564" s="1118"/>
      <c r="L564" s="1118"/>
      <c r="M564" s="1118"/>
      <c r="N564" s="1118"/>
      <c r="O564" s="1118"/>
      <c r="P564" s="1118"/>
      <c r="Q564" s="1111"/>
      <c r="R564" s="1111"/>
      <c r="S564" s="1111"/>
      <c r="T564" s="1111"/>
      <c r="U564" s="1111"/>
      <c r="V564" s="1111"/>
      <c r="W564" s="1111"/>
      <c r="X564" s="1111"/>
      <c r="Y564" s="1111"/>
      <c r="Z564" s="1111"/>
      <c r="AA564" s="1111"/>
      <c r="AB564" s="1111"/>
      <c r="AC564" s="1111"/>
      <c r="AD564" s="1111"/>
      <c r="AE564" s="1111"/>
      <c r="AF564" s="1111"/>
      <c r="AG564" s="1111"/>
    </row>
    <row r="565" spans="1:33" s="1295" customFormat="1">
      <c r="A565" s="1264"/>
      <c r="D565" s="1118"/>
      <c r="E565" s="1264"/>
      <c r="F565" s="1118"/>
      <c r="G565" s="1118"/>
      <c r="H565" s="1118"/>
      <c r="I565" s="1118"/>
      <c r="J565" s="1118"/>
      <c r="K565" s="1118"/>
      <c r="L565" s="1118"/>
      <c r="M565" s="1118"/>
      <c r="N565" s="1118"/>
      <c r="O565" s="1118"/>
      <c r="P565" s="1118"/>
      <c r="Q565" s="1111"/>
      <c r="R565" s="1111"/>
      <c r="S565" s="1111"/>
      <c r="T565" s="1111"/>
      <c r="U565" s="1111"/>
      <c r="V565" s="1111"/>
      <c r="W565" s="1111"/>
      <c r="X565" s="1111"/>
      <c r="Y565" s="1111"/>
      <c r="Z565" s="1111"/>
      <c r="AA565" s="1111"/>
      <c r="AB565" s="1111"/>
      <c r="AC565" s="1111"/>
      <c r="AD565" s="1111"/>
      <c r="AE565" s="1111"/>
      <c r="AF565" s="1111"/>
      <c r="AG565" s="1111"/>
    </row>
    <row r="566" spans="1:33" s="1295" customFormat="1">
      <c r="A566" s="1264"/>
      <c r="D566" s="1118"/>
      <c r="E566" s="1264"/>
      <c r="F566" s="1118"/>
      <c r="G566" s="1118"/>
      <c r="H566" s="1118"/>
      <c r="I566" s="1118"/>
      <c r="J566" s="1118"/>
      <c r="K566" s="1118"/>
      <c r="L566" s="1118"/>
      <c r="M566" s="1118"/>
      <c r="N566" s="1118"/>
      <c r="O566" s="1118"/>
      <c r="P566" s="1118"/>
      <c r="Q566" s="1111"/>
      <c r="R566" s="1111"/>
      <c r="S566" s="1111"/>
      <c r="T566" s="1111"/>
      <c r="U566" s="1111"/>
      <c r="V566" s="1111"/>
      <c r="W566" s="1111"/>
      <c r="X566" s="1111"/>
      <c r="Y566" s="1111"/>
      <c r="Z566" s="1111"/>
      <c r="AA566" s="1111"/>
      <c r="AB566" s="1111"/>
      <c r="AC566" s="1111"/>
      <c r="AD566" s="1111"/>
      <c r="AE566" s="1111"/>
      <c r="AF566" s="1111"/>
      <c r="AG566" s="1111"/>
    </row>
    <row r="567" spans="1:33" s="1295" customFormat="1">
      <c r="A567" s="1264"/>
      <c r="D567" s="1118"/>
      <c r="E567" s="1264"/>
      <c r="F567" s="1118"/>
      <c r="G567" s="1118"/>
      <c r="H567" s="1118"/>
      <c r="I567" s="1118"/>
      <c r="J567" s="1118"/>
      <c r="K567" s="1118"/>
      <c r="L567" s="1118"/>
      <c r="M567" s="1118"/>
      <c r="N567" s="1118"/>
      <c r="O567" s="1118"/>
      <c r="P567" s="1118"/>
      <c r="Q567" s="1111"/>
      <c r="R567" s="1111"/>
      <c r="S567" s="1111"/>
      <c r="T567" s="1111"/>
      <c r="U567" s="1111"/>
      <c r="V567" s="1111"/>
      <c r="W567" s="1111"/>
      <c r="X567" s="1111"/>
      <c r="Y567" s="1111"/>
      <c r="Z567" s="1111"/>
      <c r="AA567" s="1111"/>
      <c r="AB567" s="1111"/>
      <c r="AC567" s="1111"/>
      <c r="AD567" s="1111"/>
      <c r="AE567" s="1111"/>
      <c r="AF567" s="1111"/>
      <c r="AG567" s="1111"/>
    </row>
    <row r="568" spans="1:33" s="1295" customFormat="1">
      <c r="A568" s="1264"/>
      <c r="D568" s="1118"/>
      <c r="E568" s="1264"/>
      <c r="F568" s="1118"/>
      <c r="G568" s="1118"/>
      <c r="H568" s="1118"/>
      <c r="I568" s="1118"/>
      <c r="J568" s="1118"/>
      <c r="K568" s="1118"/>
      <c r="L568" s="1118"/>
      <c r="M568" s="1118"/>
      <c r="N568" s="1118"/>
      <c r="O568" s="1118"/>
      <c r="P568" s="1118"/>
      <c r="Q568" s="1111"/>
      <c r="R568" s="1111"/>
      <c r="S568" s="1111"/>
      <c r="T568" s="1111"/>
      <c r="U568" s="1111"/>
      <c r="V568" s="1111"/>
      <c r="W568" s="1111"/>
      <c r="X568" s="1111"/>
      <c r="Y568" s="1111"/>
      <c r="Z568" s="1111"/>
      <c r="AA568" s="1111"/>
      <c r="AB568" s="1111"/>
      <c r="AC568" s="1111"/>
      <c r="AD568" s="1111"/>
      <c r="AE568" s="1111"/>
      <c r="AF568" s="1111"/>
      <c r="AG568" s="1111"/>
    </row>
    <row r="569" spans="1:33" s="1295" customFormat="1">
      <c r="A569" s="1264"/>
      <c r="D569" s="1118"/>
      <c r="E569" s="1264"/>
      <c r="F569" s="1118"/>
      <c r="G569" s="1118"/>
      <c r="H569" s="1118"/>
      <c r="I569" s="1118"/>
      <c r="J569" s="1118"/>
      <c r="K569" s="1118"/>
      <c r="L569" s="1118"/>
      <c r="M569" s="1118"/>
      <c r="N569" s="1118"/>
      <c r="O569" s="1118"/>
      <c r="P569" s="1118"/>
      <c r="Q569" s="1111"/>
      <c r="R569" s="1111"/>
      <c r="S569" s="1111"/>
      <c r="T569" s="1111"/>
      <c r="U569" s="1111"/>
      <c r="V569" s="1111"/>
      <c r="W569" s="1111"/>
      <c r="X569" s="1111"/>
      <c r="Y569" s="1111"/>
      <c r="Z569" s="1111"/>
      <c r="AA569" s="1111"/>
      <c r="AB569" s="1111"/>
      <c r="AC569" s="1111"/>
      <c r="AD569" s="1111"/>
      <c r="AE569" s="1111"/>
      <c r="AF569" s="1111"/>
      <c r="AG569" s="1111"/>
    </row>
    <row r="570" spans="1:33" s="1295" customFormat="1">
      <c r="A570" s="1264"/>
      <c r="D570" s="1118"/>
      <c r="E570" s="1264"/>
      <c r="F570" s="1118"/>
      <c r="G570" s="1118"/>
      <c r="H570" s="1118"/>
      <c r="I570" s="1118"/>
      <c r="J570" s="1118"/>
      <c r="K570" s="1118"/>
      <c r="L570" s="1118"/>
      <c r="M570" s="1118"/>
      <c r="N570" s="1118"/>
      <c r="O570" s="1118"/>
      <c r="P570" s="1118"/>
      <c r="Q570" s="1111"/>
      <c r="R570" s="1111"/>
      <c r="S570" s="1111"/>
      <c r="T570" s="1111"/>
      <c r="U570" s="1111"/>
      <c r="V570" s="1111"/>
      <c r="W570" s="1111"/>
      <c r="X570" s="1111"/>
      <c r="Y570" s="1111"/>
      <c r="Z570" s="1111"/>
      <c r="AA570" s="1111"/>
      <c r="AB570" s="1111"/>
      <c r="AC570" s="1111"/>
      <c r="AD570" s="1111"/>
      <c r="AE570" s="1111"/>
      <c r="AF570" s="1111"/>
      <c r="AG570" s="1111"/>
    </row>
    <row r="571" spans="1:33" s="1295" customFormat="1">
      <c r="A571" s="1264"/>
      <c r="D571" s="1118"/>
      <c r="E571" s="1264"/>
      <c r="F571" s="1118"/>
      <c r="G571" s="1118"/>
      <c r="H571" s="1118"/>
      <c r="I571" s="1118"/>
      <c r="J571" s="1118"/>
      <c r="K571" s="1118"/>
      <c r="L571" s="1118"/>
      <c r="M571" s="1118"/>
      <c r="N571" s="1118"/>
      <c r="O571" s="1118"/>
      <c r="P571" s="1118"/>
      <c r="Q571" s="1111"/>
      <c r="R571" s="1111"/>
      <c r="S571" s="1111"/>
      <c r="T571" s="1111"/>
      <c r="U571" s="1111"/>
      <c r="V571" s="1111"/>
      <c r="W571" s="1111"/>
      <c r="X571" s="1111"/>
      <c r="Y571" s="1111"/>
      <c r="Z571" s="1111"/>
      <c r="AA571" s="1111"/>
      <c r="AB571" s="1111"/>
      <c r="AC571" s="1111"/>
      <c r="AD571" s="1111"/>
      <c r="AE571" s="1111"/>
      <c r="AF571" s="1111"/>
      <c r="AG571" s="1111"/>
    </row>
    <row r="572" spans="1:33" s="1295" customFormat="1">
      <c r="A572" s="1264"/>
      <c r="D572" s="1118"/>
      <c r="E572" s="1264"/>
      <c r="F572" s="1118"/>
      <c r="G572" s="1118"/>
      <c r="H572" s="1118"/>
      <c r="I572" s="1118"/>
      <c r="J572" s="1118"/>
      <c r="K572" s="1118"/>
      <c r="L572" s="1118"/>
      <c r="M572" s="1118"/>
      <c r="N572" s="1118"/>
      <c r="O572" s="1118"/>
      <c r="P572" s="1118"/>
      <c r="Q572" s="1111"/>
      <c r="R572" s="1111"/>
      <c r="S572" s="1111"/>
      <c r="T572" s="1111"/>
      <c r="U572" s="1111"/>
      <c r="V572" s="1111"/>
      <c r="W572" s="1111"/>
      <c r="X572" s="1111"/>
      <c r="Y572" s="1111"/>
      <c r="Z572" s="1111"/>
      <c r="AA572" s="1111"/>
      <c r="AB572" s="1111"/>
      <c r="AC572" s="1111"/>
      <c r="AD572" s="1111"/>
      <c r="AE572" s="1111"/>
      <c r="AF572" s="1111"/>
      <c r="AG572" s="1111"/>
    </row>
    <row r="573" spans="1:33" s="1295" customFormat="1">
      <c r="A573" s="1264"/>
      <c r="D573" s="1118"/>
      <c r="E573" s="1264"/>
      <c r="F573" s="1118"/>
      <c r="G573" s="1118"/>
      <c r="H573" s="1118"/>
      <c r="I573" s="1118"/>
      <c r="J573" s="1118"/>
      <c r="K573" s="1118"/>
      <c r="L573" s="1118"/>
      <c r="M573" s="1118"/>
      <c r="N573" s="1118"/>
      <c r="O573" s="1118"/>
      <c r="P573" s="1118"/>
      <c r="Q573" s="1111"/>
      <c r="R573" s="1111"/>
      <c r="S573" s="1111"/>
      <c r="T573" s="1111"/>
      <c r="U573" s="1111"/>
      <c r="V573" s="1111"/>
      <c r="W573" s="1111"/>
      <c r="X573" s="1111"/>
      <c r="Y573" s="1111"/>
      <c r="Z573" s="1111"/>
      <c r="AA573" s="1111"/>
      <c r="AB573" s="1111"/>
      <c r="AC573" s="1111"/>
      <c r="AD573" s="1111"/>
      <c r="AE573" s="1111"/>
      <c r="AF573" s="1111"/>
      <c r="AG573" s="1111"/>
    </row>
    <row r="574" spans="1:33" s="1295" customFormat="1">
      <c r="A574" s="1264"/>
      <c r="D574" s="1118"/>
      <c r="E574" s="1264"/>
      <c r="F574" s="1118"/>
      <c r="G574" s="1118"/>
      <c r="H574" s="1118"/>
      <c r="I574" s="1118"/>
      <c r="J574" s="1118"/>
      <c r="K574" s="1118"/>
      <c r="L574" s="1118"/>
      <c r="M574" s="1118"/>
      <c r="N574" s="1118"/>
      <c r="O574" s="1118"/>
      <c r="P574" s="1118"/>
      <c r="Q574" s="1111"/>
      <c r="R574" s="1111"/>
      <c r="S574" s="1111"/>
      <c r="T574" s="1111"/>
      <c r="U574" s="1111"/>
      <c r="V574" s="1111"/>
      <c r="W574" s="1111"/>
      <c r="X574" s="1111"/>
      <c r="Y574" s="1111"/>
      <c r="Z574" s="1111"/>
      <c r="AA574" s="1111"/>
      <c r="AB574" s="1111"/>
      <c r="AC574" s="1111"/>
      <c r="AD574" s="1111"/>
      <c r="AE574" s="1111"/>
      <c r="AF574" s="1111"/>
      <c r="AG574" s="1111"/>
    </row>
    <row r="575" spans="1:33" s="1295" customFormat="1">
      <c r="A575" s="1264"/>
      <c r="D575" s="1118"/>
      <c r="E575" s="1264"/>
      <c r="F575" s="1118"/>
      <c r="G575" s="1118"/>
      <c r="H575" s="1118"/>
      <c r="I575" s="1118"/>
      <c r="J575" s="1118"/>
      <c r="K575" s="1118"/>
      <c r="L575" s="1118"/>
      <c r="M575" s="1118"/>
      <c r="N575" s="1118"/>
      <c r="O575" s="1118"/>
      <c r="P575" s="1118"/>
      <c r="Q575" s="1111"/>
      <c r="R575" s="1111"/>
      <c r="S575" s="1111"/>
      <c r="T575" s="1111"/>
      <c r="U575" s="1111"/>
      <c r="V575" s="1111"/>
      <c r="W575" s="1111"/>
      <c r="X575" s="1111"/>
      <c r="Y575" s="1111"/>
      <c r="Z575" s="1111"/>
      <c r="AA575" s="1111"/>
      <c r="AB575" s="1111"/>
      <c r="AC575" s="1111"/>
      <c r="AD575" s="1111"/>
      <c r="AE575" s="1111"/>
      <c r="AF575" s="1111"/>
      <c r="AG575" s="1111"/>
    </row>
    <row r="576" spans="1:33" s="1295" customFormat="1">
      <c r="A576" s="1264"/>
      <c r="D576" s="1118"/>
      <c r="E576" s="1264"/>
      <c r="F576" s="1118"/>
      <c r="G576" s="1118"/>
      <c r="H576" s="1118"/>
      <c r="I576" s="1118"/>
      <c r="J576" s="1118"/>
      <c r="K576" s="1118"/>
      <c r="L576" s="1118"/>
      <c r="M576" s="1118"/>
      <c r="N576" s="1118"/>
      <c r="O576" s="1118"/>
      <c r="P576" s="1118"/>
      <c r="Q576" s="1111"/>
      <c r="R576" s="1111"/>
      <c r="S576" s="1111"/>
      <c r="T576" s="1111"/>
      <c r="U576" s="1111"/>
      <c r="V576" s="1111"/>
      <c r="W576" s="1111"/>
      <c r="X576" s="1111"/>
      <c r="Y576" s="1111"/>
      <c r="Z576" s="1111"/>
      <c r="AA576" s="1111"/>
      <c r="AB576" s="1111"/>
      <c r="AC576" s="1111"/>
      <c r="AD576" s="1111"/>
      <c r="AE576" s="1111"/>
      <c r="AF576" s="1111"/>
      <c r="AG576" s="1111"/>
    </row>
    <row r="577" spans="1:33" s="1295" customFormat="1">
      <c r="A577" s="1264"/>
      <c r="D577" s="1118"/>
      <c r="E577" s="1264"/>
      <c r="F577" s="1118"/>
      <c r="G577" s="1118"/>
      <c r="H577" s="1118"/>
      <c r="I577" s="1118"/>
      <c r="J577" s="1118"/>
      <c r="K577" s="1118"/>
      <c r="L577" s="1118"/>
      <c r="M577" s="1118"/>
      <c r="N577" s="1118"/>
      <c r="O577" s="1118"/>
      <c r="P577" s="1118"/>
      <c r="Q577" s="1111"/>
      <c r="R577" s="1111"/>
      <c r="S577" s="1111"/>
      <c r="T577" s="1111"/>
      <c r="U577" s="1111"/>
      <c r="V577" s="1111"/>
      <c r="W577" s="1111"/>
      <c r="X577" s="1111"/>
      <c r="Y577" s="1111"/>
      <c r="Z577" s="1111"/>
      <c r="AA577" s="1111"/>
      <c r="AB577" s="1111"/>
      <c r="AC577" s="1111"/>
      <c r="AD577" s="1111"/>
      <c r="AE577" s="1111"/>
      <c r="AF577" s="1111"/>
      <c r="AG577" s="1111"/>
    </row>
    <row r="578" spans="1:33" s="1295" customFormat="1">
      <c r="A578" s="1264"/>
      <c r="D578" s="1118"/>
      <c r="E578" s="1264"/>
      <c r="F578" s="1118"/>
      <c r="G578" s="1118"/>
      <c r="H578" s="1118"/>
      <c r="I578" s="1118"/>
      <c r="J578" s="1118"/>
      <c r="K578" s="1118"/>
      <c r="L578" s="1118"/>
      <c r="M578" s="1118"/>
      <c r="N578" s="1118"/>
      <c r="O578" s="1118"/>
      <c r="P578" s="1118"/>
      <c r="Q578" s="1111"/>
      <c r="R578" s="1111"/>
      <c r="S578" s="1111"/>
      <c r="T578" s="1111"/>
      <c r="U578" s="1111"/>
      <c r="V578" s="1111"/>
      <c r="W578" s="1111"/>
      <c r="X578" s="1111"/>
      <c r="Y578" s="1111"/>
      <c r="Z578" s="1111"/>
      <c r="AA578" s="1111"/>
      <c r="AB578" s="1111"/>
      <c r="AC578" s="1111"/>
      <c r="AD578" s="1111"/>
      <c r="AE578" s="1111"/>
      <c r="AF578" s="1111"/>
      <c r="AG578" s="1111"/>
    </row>
    <row r="579" spans="1:33" s="1295" customFormat="1">
      <c r="A579" s="1264"/>
      <c r="D579" s="1118"/>
      <c r="E579" s="1264"/>
      <c r="F579" s="1118"/>
      <c r="G579" s="1118"/>
      <c r="H579" s="1118"/>
      <c r="I579" s="1118"/>
      <c r="J579" s="1118"/>
      <c r="K579" s="1118"/>
      <c r="L579" s="1118"/>
      <c r="M579" s="1118"/>
      <c r="N579" s="1118"/>
      <c r="O579" s="1118"/>
      <c r="P579" s="1118"/>
      <c r="Q579" s="1111"/>
      <c r="R579" s="1111"/>
      <c r="S579" s="1111"/>
      <c r="T579" s="1111"/>
      <c r="U579" s="1111"/>
      <c r="V579" s="1111"/>
      <c r="W579" s="1111"/>
      <c r="X579" s="1111"/>
      <c r="Y579" s="1111"/>
      <c r="Z579" s="1111"/>
      <c r="AA579" s="1111"/>
      <c r="AB579" s="1111"/>
      <c r="AC579" s="1111"/>
      <c r="AD579" s="1111"/>
      <c r="AE579" s="1111"/>
      <c r="AF579" s="1111"/>
      <c r="AG579" s="1111"/>
    </row>
    <row r="580" spans="1:33" s="1295" customFormat="1">
      <c r="A580" s="1264"/>
      <c r="D580" s="1118"/>
      <c r="E580" s="1264"/>
      <c r="F580" s="1118"/>
      <c r="G580" s="1118"/>
      <c r="H580" s="1118"/>
      <c r="I580" s="1118"/>
      <c r="J580" s="1118"/>
      <c r="K580" s="1118"/>
      <c r="L580" s="1118"/>
      <c r="M580" s="1118"/>
      <c r="N580" s="1118"/>
      <c r="O580" s="1118"/>
      <c r="P580" s="1118"/>
      <c r="Q580" s="1111"/>
      <c r="R580" s="1111"/>
      <c r="S580" s="1111"/>
      <c r="T580" s="1111"/>
      <c r="U580" s="1111"/>
      <c r="V580" s="1111"/>
      <c r="W580" s="1111"/>
      <c r="X580" s="1111"/>
      <c r="Y580" s="1111"/>
      <c r="Z580" s="1111"/>
      <c r="AA580" s="1111"/>
      <c r="AB580" s="1111"/>
      <c r="AC580" s="1111"/>
      <c r="AD580" s="1111"/>
      <c r="AE580" s="1111"/>
      <c r="AF580" s="1111"/>
      <c r="AG580" s="1111"/>
    </row>
    <row r="581" spans="1:33" s="1295" customFormat="1">
      <c r="A581" s="1264"/>
      <c r="D581" s="1118"/>
      <c r="E581" s="1264"/>
      <c r="F581" s="1118"/>
      <c r="G581" s="1118"/>
      <c r="H581" s="1118"/>
      <c r="I581" s="1118"/>
      <c r="J581" s="1118"/>
      <c r="K581" s="1118"/>
      <c r="L581" s="1118"/>
      <c r="M581" s="1118"/>
      <c r="N581" s="1118"/>
      <c r="O581" s="1118"/>
      <c r="P581" s="1118"/>
      <c r="Q581" s="1111"/>
      <c r="R581" s="1111"/>
      <c r="S581" s="1111"/>
      <c r="T581" s="1111"/>
      <c r="U581" s="1111"/>
      <c r="V581" s="1111"/>
      <c r="W581" s="1111"/>
      <c r="X581" s="1111"/>
      <c r="Y581" s="1111"/>
      <c r="Z581" s="1111"/>
      <c r="AA581" s="1111"/>
      <c r="AB581" s="1111"/>
      <c r="AC581" s="1111"/>
      <c r="AD581" s="1111"/>
      <c r="AE581" s="1111"/>
      <c r="AF581" s="1111"/>
      <c r="AG581" s="1111"/>
    </row>
    <row r="582" spans="1:33" s="1295" customFormat="1">
      <c r="A582" s="1264"/>
      <c r="D582" s="1118"/>
      <c r="E582" s="1264"/>
      <c r="F582" s="1118"/>
      <c r="G582" s="1118"/>
      <c r="H582" s="1118"/>
      <c r="I582" s="1118"/>
      <c r="J582" s="1118"/>
      <c r="K582" s="1118"/>
      <c r="L582" s="1118"/>
      <c r="M582" s="1118"/>
      <c r="N582" s="1118"/>
      <c r="O582" s="1118"/>
      <c r="P582" s="1118"/>
      <c r="Q582" s="1111"/>
      <c r="R582" s="1111"/>
      <c r="S582" s="1111"/>
      <c r="T582" s="1111"/>
      <c r="U582" s="1111"/>
      <c r="V582" s="1111"/>
      <c r="W582" s="1111"/>
      <c r="X582" s="1111"/>
      <c r="Y582" s="1111"/>
      <c r="Z582" s="1111"/>
      <c r="AA582" s="1111"/>
      <c r="AB582" s="1111"/>
      <c r="AC582" s="1111"/>
      <c r="AD582" s="1111"/>
      <c r="AE582" s="1111"/>
      <c r="AF582" s="1111"/>
      <c r="AG582" s="1111"/>
    </row>
    <row r="583" spans="1:33" s="1295" customFormat="1">
      <c r="A583" s="1264"/>
      <c r="D583" s="1118"/>
      <c r="E583" s="1264"/>
      <c r="F583" s="1118"/>
      <c r="G583" s="1118"/>
      <c r="H583" s="1118"/>
      <c r="I583" s="1118"/>
      <c r="J583" s="1118"/>
      <c r="K583" s="1118"/>
      <c r="L583" s="1118"/>
      <c r="M583" s="1118"/>
      <c r="N583" s="1118"/>
      <c r="O583" s="1118"/>
      <c r="P583" s="1118"/>
      <c r="Q583" s="1111"/>
      <c r="R583" s="1111"/>
      <c r="S583" s="1111"/>
      <c r="T583" s="1111"/>
      <c r="U583" s="1111"/>
      <c r="V583" s="1111"/>
      <c r="W583" s="1111"/>
      <c r="X583" s="1111"/>
      <c r="Y583" s="1111"/>
      <c r="Z583" s="1111"/>
      <c r="AA583" s="1111"/>
      <c r="AB583" s="1111"/>
      <c r="AC583" s="1111"/>
      <c r="AD583" s="1111"/>
      <c r="AE583" s="1111"/>
      <c r="AF583" s="1111"/>
      <c r="AG583" s="1111"/>
    </row>
    <row r="584" spans="1:33" s="1295" customFormat="1">
      <c r="A584" s="1264"/>
      <c r="D584" s="1118"/>
      <c r="E584" s="1264"/>
      <c r="F584" s="1118"/>
      <c r="G584" s="1118"/>
      <c r="H584" s="1118"/>
      <c r="I584" s="1118"/>
      <c r="J584" s="1118"/>
      <c r="K584" s="1118"/>
      <c r="L584" s="1118"/>
      <c r="M584" s="1118"/>
      <c r="N584" s="1118"/>
      <c r="O584" s="1118"/>
      <c r="P584" s="1118"/>
      <c r="Q584" s="1111"/>
      <c r="R584" s="1111"/>
      <c r="S584" s="1111"/>
      <c r="T584" s="1111"/>
      <c r="U584" s="1111"/>
      <c r="V584" s="1111"/>
      <c r="W584" s="1111"/>
      <c r="X584" s="1111"/>
      <c r="Y584" s="1111"/>
      <c r="Z584" s="1111"/>
      <c r="AA584" s="1111"/>
      <c r="AB584" s="1111"/>
      <c r="AC584" s="1111"/>
      <c r="AD584" s="1111"/>
      <c r="AE584" s="1111"/>
      <c r="AF584" s="1111"/>
      <c r="AG584" s="1111"/>
    </row>
    <row r="585" spans="1:33" s="1295" customFormat="1">
      <c r="A585" s="1264"/>
      <c r="D585" s="1118"/>
      <c r="E585" s="1264"/>
      <c r="F585" s="1118"/>
      <c r="G585" s="1118"/>
      <c r="H585" s="1118"/>
      <c r="I585" s="1118"/>
      <c r="J585" s="1118"/>
      <c r="K585" s="1118"/>
      <c r="L585" s="1118"/>
      <c r="M585" s="1118"/>
      <c r="N585" s="1118"/>
      <c r="O585" s="1118"/>
      <c r="P585" s="1118"/>
      <c r="Q585" s="1111"/>
      <c r="R585" s="1111"/>
      <c r="S585" s="1111"/>
      <c r="T585" s="1111"/>
      <c r="U585" s="1111"/>
      <c r="V585" s="1111"/>
      <c r="W585" s="1111"/>
      <c r="X585" s="1111"/>
      <c r="Y585" s="1111"/>
      <c r="Z585" s="1111"/>
      <c r="AA585" s="1111"/>
      <c r="AB585" s="1111"/>
      <c r="AC585" s="1111"/>
      <c r="AD585" s="1111"/>
      <c r="AE585" s="1111"/>
      <c r="AF585" s="1111"/>
      <c r="AG585" s="1111"/>
    </row>
    <row r="586" spans="1:33" s="1295" customFormat="1">
      <c r="A586" s="1264"/>
      <c r="D586" s="1118"/>
      <c r="E586" s="1264"/>
      <c r="F586" s="1118"/>
      <c r="G586" s="1118"/>
      <c r="H586" s="1118"/>
      <c r="I586" s="1118"/>
      <c r="J586" s="1118"/>
      <c r="K586" s="1118"/>
      <c r="L586" s="1118"/>
      <c r="M586" s="1118"/>
      <c r="N586" s="1118"/>
      <c r="O586" s="1118"/>
      <c r="P586" s="1118"/>
      <c r="Q586" s="1111"/>
      <c r="R586" s="1111"/>
      <c r="S586" s="1111"/>
      <c r="T586" s="1111"/>
      <c r="U586" s="1111"/>
      <c r="V586" s="1111"/>
      <c r="W586" s="1111"/>
      <c r="X586" s="1111"/>
      <c r="Y586" s="1111"/>
      <c r="Z586" s="1111"/>
      <c r="AA586" s="1111"/>
      <c r="AB586" s="1111"/>
      <c r="AC586" s="1111"/>
      <c r="AD586" s="1111"/>
      <c r="AE586" s="1111"/>
      <c r="AF586" s="1111"/>
      <c r="AG586" s="1111"/>
    </row>
    <row r="587" spans="1:33" s="1295" customFormat="1">
      <c r="A587" s="1264"/>
      <c r="D587" s="1118"/>
      <c r="E587" s="1264"/>
      <c r="F587" s="1118"/>
      <c r="G587" s="1118"/>
      <c r="H587" s="1118"/>
      <c r="I587" s="1118"/>
      <c r="J587" s="1118"/>
      <c r="K587" s="1118"/>
      <c r="L587" s="1118"/>
      <c r="M587" s="1118"/>
      <c r="N587" s="1118"/>
      <c r="O587" s="1118"/>
      <c r="P587" s="1118"/>
      <c r="Q587" s="1111"/>
      <c r="R587" s="1111"/>
      <c r="S587" s="1111"/>
      <c r="T587" s="1111"/>
      <c r="U587" s="1111"/>
      <c r="V587" s="1111"/>
      <c r="W587" s="1111"/>
      <c r="X587" s="1111"/>
      <c r="Y587" s="1111"/>
      <c r="Z587" s="1111"/>
      <c r="AA587" s="1111"/>
      <c r="AB587" s="1111"/>
      <c r="AC587" s="1111"/>
      <c r="AD587" s="1111"/>
      <c r="AE587" s="1111"/>
      <c r="AF587" s="1111"/>
      <c r="AG587" s="1111"/>
    </row>
    <row r="588" spans="1:33" s="1295" customFormat="1">
      <c r="A588" s="1264"/>
      <c r="D588" s="1118"/>
      <c r="E588" s="1264"/>
      <c r="F588" s="1118"/>
      <c r="G588" s="1118"/>
      <c r="H588" s="1118"/>
      <c r="I588" s="1118"/>
      <c r="J588" s="1118"/>
      <c r="K588" s="1118"/>
      <c r="L588" s="1118"/>
      <c r="M588" s="1118"/>
      <c r="N588" s="1118"/>
      <c r="O588" s="1118"/>
      <c r="P588" s="1118"/>
      <c r="Q588" s="1111"/>
      <c r="R588" s="1111"/>
      <c r="S588" s="1111"/>
      <c r="T588" s="1111"/>
      <c r="U588" s="1111"/>
      <c r="V588" s="1111"/>
      <c r="W588" s="1111"/>
      <c r="X588" s="1111"/>
      <c r="Y588" s="1111"/>
      <c r="Z588" s="1111"/>
      <c r="AA588" s="1111"/>
      <c r="AB588" s="1111"/>
      <c r="AC588" s="1111"/>
      <c r="AD588" s="1111"/>
      <c r="AE588" s="1111"/>
      <c r="AF588" s="1111"/>
      <c r="AG588" s="1111"/>
    </row>
    <row r="589" spans="1:33" s="1295" customFormat="1">
      <c r="A589" s="1264"/>
      <c r="D589" s="1118"/>
      <c r="E589" s="1264"/>
      <c r="F589" s="1118"/>
      <c r="G589" s="1118"/>
      <c r="H589" s="1118"/>
      <c r="I589" s="1118"/>
      <c r="J589" s="1118"/>
      <c r="K589" s="1118"/>
      <c r="L589" s="1118"/>
      <c r="M589" s="1118"/>
      <c r="N589" s="1118"/>
      <c r="O589" s="1118"/>
      <c r="P589" s="1118"/>
      <c r="Q589" s="1111"/>
      <c r="R589" s="1111"/>
      <c r="S589" s="1111"/>
      <c r="T589" s="1111"/>
      <c r="U589" s="1111"/>
      <c r="V589" s="1111"/>
      <c r="W589" s="1111"/>
      <c r="X589" s="1111"/>
      <c r="Y589" s="1111"/>
      <c r="Z589" s="1111"/>
      <c r="AA589" s="1111"/>
      <c r="AB589" s="1111"/>
      <c r="AC589" s="1111"/>
      <c r="AD589" s="1111"/>
      <c r="AE589" s="1111"/>
      <c r="AF589" s="1111"/>
      <c r="AG589" s="1111"/>
    </row>
    <row r="590" spans="1:33" s="1295" customFormat="1">
      <c r="A590" s="1264"/>
      <c r="D590" s="1118"/>
      <c r="E590" s="1264"/>
      <c r="F590" s="1118"/>
      <c r="G590" s="1118"/>
      <c r="H590" s="1118"/>
      <c r="I590" s="1118"/>
      <c r="J590" s="1118"/>
      <c r="K590" s="1118"/>
      <c r="L590" s="1118"/>
      <c r="M590" s="1118"/>
      <c r="N590" s="1118"/>
      <c r="O590" s="1118"/>
      <c r="P590" s="1118"/>
      <c r="Q590" s="1111"/>
      <c r="R590" s="1111"/>
      <c r="S590" s="1111"/>
      <c r="T590" s="1111"/>
      <c r="U590" s="1111"/>
      <c r="V590" s="1111"/>
      <c r="W590" s="1111"/>
      <c r="X590" s="1111"/>
      <c r="Y590" s="1111"/>
      <c r="Z590" s="1111"/>
      <c r="AA590" s="1111"/>
      <c r="AB590" s="1111"/>
      <c r="AC590" s="1111"/>
      <c r="AD590" s="1111"/>
      <c r="AE590" s="1111"/>
      <c r="AF590" s="1111"/>
      <c r="AG590" s="1111"/>
    </row>
    <row r="591" spans="1:33" s="1295" customFormat="1">
      <c r="A591" s="1264"/>
      <c r="D591" s="1118"/>
      <c r="E591" s="1264"/>
      <c r="F591" s="1118"/>
      <c r="G591" s="1118"/>
      <c r="H591" s="1118"/>
      <c r="I591" s="1118"/>
      <c r="J591" s="1118"/>
      <c r="K591" s="1118"/>
      <c r="L591" s="1118"/>
      <c r="M591" s="1118"/>
      <c r="N591" s="1118"/>
      <c r="O591" s="1118"/>
      <c r="P591" s="1118"/>
      <c r="Q591" s="1111"/>
      <c r="R591" s="1111"/>
      <c r="S591" s="1111"/>
      <c r="T591" s="1111"/>
      <c r="U591" s="1111"/>
      <c r="V591" s="1111"/>
      <c r="W591" s="1111"/>
      <c r="X591" s="1111"/>
      <c r="Y591" s="1111"/>
      <c r="Z591" s="1111"/>
      <c r="AA591" s="1111"/>
      <c r="AB591" s="1111"/>
      <c r="AC591" s="1111"/>
      <c r="AD591" s="1111"/>
      <c r="AE591" s="1111"/>
      <c r="AF591" s="1111"/>
      <c r="AG591" s="1111"/>
    </row>
    <row r="592" spans="1:33" s="1295" customFormat="1">
      <c r="A592" s="1264"/>
      <c r="D592" s="1118"/>
      <c r="E592" s="1264"/>
      <c r="F592" s="1118"/>
      <c r="G592" s="1118"/>
      <c r="H592" s="1118"/>
      <c r="I592" s="1118"/>
      <c r="J592" s="1118"/>
      <c r="K592" s="1118"/>
      <c r="L592" s="1118"/>
      <c r="M592" s="1118"/>
      <c r="N592" s="1118"/>
      <c r="O592" s="1118"/>
      <c r="P592" s="1118"/>
      <c r="Q592" s="1111"/>
      <c r="R592" s="1111"/>
      <c r="S592" s="1111"/>
      <c r="T592" s="1111"/>
      <c r="U592" s="1111"/>
      <c r="V592" s="1111"/>
      <c r="W592" s="1111"/>
      <c r="X592" s="1111"/>
      <c r="Y592" s="1111"/>
      <c r="Z592" s="1111"/>
      <c r="AA592" s="1111"/>
      <c r="AB592" s="1111"/>
      <c r="AC592" s="1111"/>
      <c r="AD592" s="1111"/>
      <c r="AE592" s="1111"/>
      <c r="AF592" s="1111"/>
      <c r="AG592" s="1111"/>
    </row>
    <row r="593" spans="1:33" s="1295" customFormat="1">
      <c r="A593" s="1264"/>
      <c r="D593" s="1118"/>
      <c r="E593" s="1264"/>
      <c r="F593" s="1118"/>
      <c r="G593" s="1118"/>
      <c r="H593" s="1118"/>
      <c r="I593" s="1118"/>
      <c r="J593" s="1118"/>
      <c r="K593" s="1118"/>
      <c r="L593" s="1118"/>
      <c r="M593" s="1118"/>
      <c r="N593" s="1118"/>
      <c r="O593" s="1118"/>
      <c r="P593" s="1118"/>
      <c r="Q593" s="1111"/>
      <c r="R593" s="1111"/>
      <c r="S593" s="1111"/>
      <c r="T593" s="1111"/>
      <c r="U593" s="1111"/>
      <c r="V593" s="1111"/>
      <c r="W593" s="1111"/>
      <c r="X593" s="1111"/>
      <c r="Y593" s="1111"/>
      <c r="Z593" s="1111"/>
      <c r="AA593" s="1111"/>
      <c r="AB593" s="1111"/>
      <c r="AC593" s="1111"/>
      <c r="AD593" s="1111"/>
      <c r="AE593" s="1111"/>
      <c r="AF593" s="1111"/>
      <c r="AG593" s="1111"/>
    </row>
    <row r="594" spans="1:33" s="1295" customFormat="1">
      <c r="A594" s="1264"/>
      <c r="D594" s="1118"/>
      <c r="E594" s="1264"/>
      <c r="F594" s="1118"/>
      <c r="G594" s="1118"/>
      <c r="H594" s="1118"/>
      <c r="I594" s="1118"/>
      <c r="J594" s="1118"/>
      <c r="K594" s="1118"/>
      <c r="L594" s="1118"/>
      <c r="M594" s="1118"/>
      <c r="N594" s="1118"/>
      <c r="O594" s="1118"/>
      <c r="P594" s="1118"/>
      <c r="Q594" s="1111"/>
      <c r="R594" s="1111"/>
      <c r="S594" s="1111"/>
      <c r="T594" s="1111"/>
      <c r="U594" s="1111"/>
      <c r="V594" s="1111"/>
      <c r="W594" s="1111"/>
      <c r="X594" s="1111"/>
      <c r="Y594" s="1111"/>
      <c r="Z594" s="1111"/>
      <c r="AA594" s="1111"/>
      <c r="AB594" s="1111"/>
      <c r="AC594" s="1111"/>
      <c r="AD594" s="1111"/>
      <c r="AE594" s="1111"/>
      <c r="AF594" s="1111"/>
      <c r="AG594" s="1111"/>
    </row>
    <row r="595" spans="1:33" s="1295" customFormat="1">
      <c r="A595" s="1264"/>
      <c r="D595" s="1118"/>
      <c r="E595" s="1264"/>
      <c r="F595" s="1118"/>
      <c r="G595" s="1118"/>
      <c r="H595" s="1118"/>
      <c r="I595" s="1118"/>
      <c r="J595" s="1118"/>
      <c r="K595" s="1118"/>
      <c r="L595" s="1118"/>
      <c r="M595" s="1118"/>
      <c r="N595" s="1118"/>
      <c r="O595" s="1118"/>
      <c r="P595" s="1118"/>
      <c r="Q595" s="1111"/>
      <c r="R595" s="1111"/>
      <c r="S595" s="1111"/>
      <c r="T595" s="1111"/>
      <c r="U595" s="1111"/>
      <c r="V595" s="1111"/>
      <c r="W595" s="1111"/>
      <c r="X595" s="1111"/>
      <c r="Y595" s="1111"/>
      <c r="Z595" s="1111"/>
      <c r="AA595" s="1111"/>
      <c r="AB595" s="1111"/>
      <c r="AC595" s="1111"/>
      <c r="AD595" s="1111"/>
      <c r="AE595" s="1111"/>
      <c r="AF595" s="1111"/>
      <c r="AG595" s="1111"/>
    </row>
    <row r="596" spans="1:33" s="1295" customFormat="1">
      <c r="A596" s="1264"/>
      <c r="D596" s="1118"/>
      <c r="E596" s="1264"/>
      <c r="F596" s="1118"/>
      <c r="G596" s="1118"/>
      <c r="H596" s="1118"/>
      <c r="I596" s="1118"/>
      <c r="J596" s="1118"/>
      <c r="K596" s="1118"/>
      <c r="L596" s="1118"/>
      <c r="M596" s="1118"/>
      <c r="N596" s="1118"/>
      <c r="O596" s="1118"/>
      <c r="P596" s="1118"/>
      <c r="Q596" s="1111"/>
      <c r="R596" s="1111"/>
      <c r="S596" s="1111"/>
      <c r="T596" s="1111"/>
      <c r="U596" s="1111"/>
      <c r="V596" s="1111"/>
      <c r="W596" s="1111"/>
      <c r="X596" s="1111"/>
      <c r="Y596" s="1111"/>
      <c r="Z596" s="1111"/>
      <c r="AA596" s="1111"/>
      <c r="AB596" s="1111"/>
      <c r="AC596" s="1111"/>
      <c r="AD596" s="1111"/>
      <c r="AE596" s="1111"/>
      <c r="AF596" s="1111"/>
      <c r="AG596" s="1111"/>
    </row>
    <row r="597" spans="1:33" s="1295" customFormat="1">
      <c r="A597" s="1264"/>
      <c r="D597" s="1118"/>
      <c r="E597" s="1264"/>
      <c r="F597" s="1118"/>
      <c r="G597" s="1118"/>
      <c r="H597" s="1118"/>
      <c r="I597" s="1118"/>
      <c r="J597" s="1118"/>
      <c r="K597" s="1118"/>
      <c r="L597" s="1118"/>
      <c r="M597" s="1118"/>
      <c r="N597" s="1118"/>
      <c r="O597" s="1118"/>
      <c r="P597" s="1118"/>
      <c r="Q597" s="1111"/>
      <c r="R597" s="1111"/>
      <c r="S597" s="1111"/>
      <c r="T597" s="1111"/>
      <c r="U597" s="1111"/>
      <c r="V597" s="1111"/>
      <c r="W597" s="1111"/>
      <c r="X597" s="1111"/>
      <c r="Y597" s="1111"/>
      <c r="Z597" s="1111"/>
      <c r="AA597" s="1111"/>
      <c r="AB597" s="1111"/>
      <c r="AC597" s="1111"/>
      <c r="AD597" s="1111"/>
      <c r="AE597" s="1111"/>
      <c r="AF597" s="1111"/>
      <c r="AG597" s="1111"/>
    </row>
    <row r="598" spans="1:33" s="1295" customFormat="1">
      <c r="A598" s="1264"/>
      <c r="D598" s="1118"/>
      <c r="E598" s="1264"/>
      <c r="F598" s="1118"/>
      <c r="G598" s="1118"/>
      <c r="H598" s="1118"/>
      <c r="I598" s="1118"/>
      <c r="J598" s="1118"/>
      <c r="K598" s="1118"/>
      <c r="L598" s="1118"/>
      <c r="M598" s="1118"/>
      <c r="N598" s="1118"/>
      <c r="O598" s="1118"/>
      <c r="P598" s="1118"/>
      <c r="Q598" s="1111"/>
      <c r="R598" s="1111"/>
      <c r="S598" s="1111"/>
      <c r="T598" s="1111"/>
      <c r="U598" s="1111"/>
      <c r="V598" s="1111"/>
      <c r="W598" s="1111"/>
      <c r="X598" s="1111"/>
      <c r="Y598" s="1111"/>
      <c r="Z598" s="1111"/>
      <c r="AA598" s="1111"/>
      <c r="AB598" s="1111"/>
      <c r="AC598" s="1111"/>
      <c r="AD598" s="1111"/>
      <c r="AE598" s="1111"/>
      <c r="AF598" s="1111"/>
      <c r="AG598" s="1111"/>
    </row>
    <row r="599" spans="1:33" s="1295" customFormat="1">
      <c r="A599" s="1264"/>
      <c r="D599" s="1118"/>
      <c r="E599" s="1264"/>
      <c r="F599" s="1118"/>
      <c r="G599" s="1118"/>
      <c r="H599" s="1118"/>
      <c r="I599" s="1118"/>
      <c r="J599" s="1118"/>
      <c r="K599" s="1118"/>
      <c r="L599" s="1118"/>
      <c r="M599" s="1118"/>
      <c r="N599" s="1118"/>
      <c r="O599" s="1118"/>
      <c r="P599" s="1118"/>
      <c r="Q599" s="1111"/>
      <c r="R599" s="1111"/>
      <c r="S599" s="1111"/>
      <c r="T599" s="1111"/>
      <c r="U599" s="1111"/>
      <c r="V599" s="1111"/>
      <c r="W599" s="1111"/>
      <c r="X599" s="1111"/>
      <c r="Y599" s="1111"/>
      <c r="Z599" s="1111"/>
      <c r="AA599" s="1111"/>
      <c r="AB599" s="1111"/>
      <c r="AC599" s="1111"/>
      <c r="AD599" s="1111"/>
      <c r="AE599" s="1111"/>
      <c r="AF599" s="1111"/>
      <c r="AG599" s="1111"/>
    </row>
    <row r="600" spans="1:33" s="1295" customFormat="1">
      <c r="A600" s="1264"/>
      <c r="D600" s="1118"/>
      <c r="E600" s="1264"/>
      <c r="F600" s="1118"/>
      <c r="G600" s="1118"/>
      <c r="H600" s="1118"/>
      <c r="I600" s="1118"/>
      <c r="J600" s="1118"/>
      <c r="K600" s="1118"/>
      <c r="L600" s="1118"/>
      <c r="M600" s="1118"/>
      <c r="N600" s="1118"/>
      <c r="O600" s="1118"/>
      <c r="P600" s="1118"/>
      <c r="Q600" s="1111"/>
      <c r="R600" s="1111"/>
      <c r="S600" s="1111"/>
      <c r="T600" s="1111"/>
      <c r="U600" s="1111"/>
      <c r="V600" s="1111"/>
      <c r="W600" s="1111"/>
      <c r="X600" s="1111"/>
      <c r="Y600" s="1111"/>
      <c r="Z600" s="1111"/>
      <c r="AA600" s="1111"/>
      <c r="AB600" s="1111"/>
      <c r="AC600" s="1111"/>
      <c r="AD600" s="1111"/>
      <c r="AE600" s="1111"/>
      <c r="AF600" s="1111"/>
      <c r="AG600" s="1111"/>
    </row>
    <row r="601" spans="1:33" s="1295" customFormat="1">
      <c r="A601" s="1264"/>
      <c r="D601" s="1118"/>
      <c r="E601" s="1264"/>
      <c r="F601" s="1118"/>
      <c r="G601" s="1118"/>
      <c r="H601" s="1118"/>
      <c r="I601" s="1118"/>
      <c r="J601" s="1118"/>
      <c r="K601" s="1118"/>
      <c r="L601" s="1118"/>
      <c r="M601" s="1118"/>
      <c r="N601" s="1118"/>
      <c r="O601" s="1118"/>
      <c r="P601" s="1118"/>
      <c r="Q601" s="1111"/>
      <c r="R601" s="1111"/>
      <c r="S601" s="1111"/>
      <c r="T601" s="1111"/>
      <c r="U601" s="1111"/>
      <c r="V601" s="1111"/>
      <c r="W601" s="1111"/>
      <c r="X601" s="1111"/>
      <c r="Y601" s="1111"/>
      <c r="Z601" s="1111"/>
      <c r="AA601" s="1111"/>
      <c r="AB601" s="1111"/>
      <c r="AC601" s="1111"/>
      <c r="AD601" s="1111"/>
      <c r="AE601" s="1111"/>
      <c r="AF601" s="1111"/>
      <c r="AG601" s="1111"/>
    </row>
    <row r="602" spans="1:33" s="1295" customFormat="1">
      <c r="A602" s="1264"/>
      <c r="D602" s="1118"/>
      <c r="E602" s="1264"/>
      <c r="F602" s="1118"/>
      <c r="G602" s="1118"/>
      <c r="H602" s="1118"/>
      <c r="I602" s="1118"/>
      <c r="J602" s="1118"/>
      <c r="K602" s="1118"/>
      <c r="L602" s="1118"/>
      <c r="M602" s="1118"/>
      <c r="N602" s="1118"/>
      <c r="O602" s="1118"/>
      <c r="P602" s="1118"/>
      <c r="Q602" s="1111"/>
      <c r="R602" s="1111"/>
      <c r="S602" s="1111"/>
      <c r="T602" s="1111"/>
      <c r="U602" s="1111"/>
      <c r="V602" s="1111"/>
      <c r="W602" s="1111"/>
      <c r="X602" s="1111"/>
      <c r="Y602" s="1111"/>
      <c r="Z602" s="1111"/>
      <c r="AA602" s="1111"/>
      <c r="AB602" s="1111"/>
      <c r="AC602" s="1111"/>
      <c r="AD602" s="1111"/>
      <c r="AE602" s="1111"/>
      <c r="AF602" s="1111"/>
      <c r="AG602" s="1111"/>
    </row>
    <row r="603" spans="1:33" s="1295" customFormat="1">
      <c r="A603" s="1264"/>
      <c r="D603" s="1118"/>
      <c r="E603" s="1264"/>
      <c r="F603" s="1118"/>
      <c r="G603" s="1118"/>
      <c r="H603" s="1118"/>
      <c r="I603" s="1118"/>
      <c r="J603" s="1118"/>
      <c r="K603" s="1118"/>
      <c r="L603" s="1118"/>
      <c r="M603" s="1118"/>
      <c r="N603" s="1118"/>
      <c r="O603" s="1118"/>
      <c r="P603" s="1118"/>
      <c r="Q603" s="1111"/>
      <c r="R603" s="1111"/>
      <c r="S603" s="1111"/>
      <c r="T603" s="1111"/>
      <c r="U603" s="1111"/>
      <c r="V603" s="1111"/>
      <c r="W603" s="1111"/>
      <c r="X603" s="1111"/>
      <c r="Y603" s="1111"/>
      <c r="Z603" s="1111"/>
      <c r="AA603" s="1111"/>
      <c r="AB603" s="1111"/>
      <c r="AC603" s="1111"/>
      <c r="AD603" s="1111"/>
      <c r="AE603" s="1111"/>
      <c r="AF603" s="1111"/>
      <c r="AG603" s="1111"/>
    </row>
    <row r="604" spans="1:33" s="1295" customFormat="1">
      <c r="A604" s="1264"/>
      <c r="D604" s="1118"/>
      <c r="E604" s="1264"/>
      <c r="F604" s="1118"/>
      <c r="G604" s="1118"/>
      <c r="H604" s="1118"/>
      <c r="I604" s="1118"/>
      <c r="J604" s="1118"/>
      <c r="K604" s="1118"/>
      <c r="L604" s="1118"/>
      <c r="M604" s="1118"/>
      <c r="N604" s="1118"/>
      <c r="O604" s="1118"/>
      <c r="P604" s="1118"/>
      <c r="Q604" s="1111"/>
      <c r="R604" s="1111"/>
      <c r="S604" s="1111"/>
      <c r="T604" s="1111"/>
      <c r="U604" s="1111"/>
      <c r="V604" s="1111"/>
      <c r="W604" s="1111"/>
      <c r="X604" s="1111"/>
      <c r="Y604" s="1111"/>
      <c r="Z604" s="1111"/>
      <c r="AA604" s="1111"/>
      <c r="AB604" s="1111"/>
      <c r="AC604" s="1111"/>
      <c r="AD604" s="1111"/>
      <c r="AE604" s="1111"/>
      <c r="AF604" s="1111"/>
      <c r="AG604" s="1111"/>
    </row>
    <row r="605" spans="1:33" s="1295" customFormat="1">
      <c r="A605" s="1264"/>
      <c r="D605" s="1118"/>
      <c r="E605" s="1264"/>
      <c r="F605" s="1118"/>
      <c r="G605" s="1118"/>
      <c r="H605" s="1118"/>
      <c r="I605" s="1118"/>
      <c r="J605" s="1118"/>
      <c r="K605" s="1118"/>
      <c r="L605" s="1118"/>
      <c r="M605" s="1118"/>
      <c r="N605" s="1118"/>
      <c r="O605" s="1118"/>
      <c r="P605" s="1118"/>
      <c r="Q605" s="1111"/>
      <c r="R605" s="1111"/>
      <c r="S605" s="1111"/>
      <c r="T605" s="1111"/>
      <c r="U605" s="1111"/>
      <c r="V605" s="1111"/>
      <c r="W605" s="1111"/>
      <c r="X605" s="1111"/>
      <c r="Y605" s="1111"/>
      <c r="Z605" s="1111"/>
      <c r="AA605" s="1111"/>
      <c r="AB605" s="1111"/>
      <c r="AC605" s="1111"/>
      <c r="AD605" s="1111"/>
      <c r="AE605" s="1111"/>
      <c r="AF605" s="1111"/>
      <c r="AG605" s="1111"/>
    </row>
    <row r="606" spans="1:33" s="1295" customFormat="1">
      <c r="A606" s="1264"/>
      <c r="D606" s="1118"/>
      <c r="E606" s="1264"/>
      <c r="F606" s="1118"/>
      <c r="G606" s="1118"/>
      <c r="H606" s="1118"/>
      <c r="I606" s="1118"/>
      <c r="J606" s="1118"/>
      <c r="K606" s="1118"/>
      <c r="L606" s="1118"/>
      <c r="M606" s="1118"/>
      <c r="N606" s="1118"/>
      <c r="O606" s="1118"/>
      <c r="P606" s="1118"/>
      <c r="Q606" s="1111"/>
      <c r="R606" s="1111"/>
      <c r="S606" s="1111"/>
      <c r="T606" s="1111"/>
      <c r="U606" s="1111"/>
      <c r="V606" s="1111"/>
      <c r="W606" s="1111"/>
      <c r="X606" s="1111"/>
      <c r="Y606" s="1111"/>
      <c r="Z606" s="1111"/>
      <c r="AA606" s="1111"/>
      <c r="AB606" s="1111"/>
      <c r="AC606" s="1111"/>
      <c r="AD606" s="1111"/>
      <c r="AE606" s="1111"/>
      <c r="AF606" s="1111"/>
      <c r="AG606" s="1111"/>
    </row>
    <row r="607" spans="1:33" s="1295" customFormat="1">
      <c r="A607" s="1264"/>
      <c r="D607" s="1118"/>
      <c r="E607" s="1264"/>
      <c r="F607" s="1118"/>
      <c r="G607" s="1118"/>
      <c r="H607" s="1118"/>
      <c r="I607" s="1118"/>
      <c r="J607" s="1118"/>
      <c r="K607" s="1118"/>
      <c r="L607" s="1118"/>
      <c r="M607" s="1118"/>
      <c r="N607" s="1118"/>
      <c r="O607" s="1118"/>
      <c r="P607" s="1118"/>
      <c r="Q607" s="1111"/>
      <c r="R607" s="1111"/>
      <c r="S607" s="1111"/>
      <c r="T607" s="1111"/>
      <c r="U607" s="1111"/>
      <c r="V607" s="1111"/>
      <c r="W607" s="1111"/>
      <c r="X607" s="1111"/>
      <c r="Y607" s="1111"/>
      <c r="Z607" s="1111"/>
      <c r="AA607" s="1111"/>
      <c r="AB607" s="1111"/>
      <c r="AC607" s="1111"/>
      <c r="AD607" s="1111"/>
      <c r="AE607" s="1111"/>
      <c r="AF607" s="1111"/>
      <c r="AG607" s="1111"/>
    </row>
    <row r="608" spans="1:33" s="1295" customFormat="1">
      <c r="A608" s="1264"/>
      <c r="D608" s="1118"/>
      <c r="E608" s="1264"/>
      <c r="F608" s="1118"/>
      <c r="G608" s="1118"/>
      <c r="H608" s="1118"/>
      <c r="I608" s="1118"/>
      <c r="J608" s="1118"/>
      <c r="K608" s="1118"/>
      <c r="L608" s="1118"/>
      <c r="M608" s="1118"/>
      <c r="N608" s="1118"/>
      <c r="O608" s="1118"/>
      <c r="P608" s="1118"/>
      <c r="Q608" s="1111"/>
      <c r="R608" s="1111"/>
      <c r="S608" s="1111"/>
      <c r="T608" s="1111"/>
      <c r="U608" s="1111"/>
      <c r="V608" s="1111"/>
      <c r="W608" s="1111"/>
      <c r="X608" s="1111"/>
      <c r="Y608" s="1111"/>
      <c r="Z608" s="1111"/>
      <c r="AA608" s="1111"/>
      <c r="AB608" s="1111"/>
      <c r="AC608" s="1111"/>
      <c r="AD608" s="1111"/>
      <c r="AE608" s="1111"/>
      <c r="AF608" s="1111"/>
      <c r="AG608" s="1111"/>
    </row>
    <row r="609" spans="1:33" s="1295" customFormat="1">
      <c r="A609" s="1264"/>
      <c r="D609" s="1118"/>
      <c r="E609" s="1264"/>
      <c r="F609" s="1118"/>
      <c r="G609" s="1118"/>
      <c r="H609" s="1118"/>
      <c r="I609" s="1118"/>
      <c r="J609" s="1118"/>
      <c r="K609" s="1118"/>
      <c r="L609" s="1118"/>
      <c r="M609" s="1118"/>
      <c r="N609" s="1118"/>
      <c r="O609" s="1118"/>
      <c r="P609" s="1118"/>
      <c r="Q609" s="1111"/>
      <c r="R609" s="1111"/>
      <c r="S609" s="1111"/>
      <c r="T609" s="1111"/>
      <c r="U609" s="1111"/>
      <c r="V609" s="1111"/>
      <c r="W609" s="1111"/>
      <c r="X609" s="1111"/>
      <c r="Y609" s="1111"/>
      <c r="Z609" s="1111"/>
      <c r="AA609" s="1111"/>
      <c r="AB609" s="1111"/>
      <c r="AC609" s="1111"/>
      <c r="AD609" s="1111"/>
      <c r="AE609" s="1111"/>
      <c r="AF609" s="1111"/>
      <c r="AG609" s="1111"/>
    </row>
    <row r="610" spans="1:33" s="1295" customFormat="1">
      <c r="A610" s="1264"/>
      <c r="D610" s="1118"/>
      <c r="E610" s="1264"/>
      <c r="F610" s="1118"/>
      <c r="G610" s="1118"/>
      <c r="H610" s="1118"/>
      <c r="I610" s="1118"/>
      <c r="J610" s="1118"/>
      <c r="K610" s="1118"/>
      <c r="L610" s="1118"/>
      <c r="M610" s="1118"/>
      <c r="N610" s="1118"/>
      <c r="O610" s="1118"/>
      <c r="P610" s="1118"/>
      <c r="Q610" s="1111"/>
      <c r="R610" s="1111"/>
      <c r="S610" s="1111"/>
      <c r="T610" s="1111"/>
      <c r="U610" s="1111"/>
      <c r="V610" s="1111"/>
      <c r="W610" s="1111"/>
      <c r="X610" s="1111"/>
      <c r="Y610" s="1111"/>
      <c r="Z610" s="1111"/>
      <c r="AA610" s="1111"/>
      <c r="AB610" s="1111"/>
      <c r="AC610" s="1111"/>
      <c r="AD610" s="1111"/>
      <c r="AE610" s="1111"/>
      <c r="AF610" s="1111"/>
      <c r="AG610" s="1111"/>
    </row>
    <row r="611" spans="1:33" s="1295" customFormat="1">
      <c r="A611" s="1264"/>
      <c r="D611" s="1118"/>
      <c r="E611" s="1264"/>
      <c r="F611" s="1118"/>
      <c r="G611" s="1118"/>
      <c r="H611" s="1118"/>
      <c r="I611" s="1118"/>
      <c r="J611" s="1118"/>
      <c r="K611" s="1118"/>
      <c r="L611" s="1118"/>
      <c r="M611" s="1118"/>
      <c r="N611" s="1118"/>
      <c r="O611" s="1118"/>
      <c r="P611" s="1118"/>
      <c r="Q611" s="1111"/>
      <c r="R611" s="1111"/>
      <c r="S611" s="1111"/>
      <c r="T611" s="1111"/>
      <c r="U611" s="1111"/>
      <c r="V611" s="1111"/>
      <c r="W611" s="1111"/>
      <c r="X611" s="1111"/>
      <c r="Y611" s="1111"/>
      <c r="Z611" s="1111"/>
      <c r="AA611" s="1111"/>
      <c r="AB611" s="1111"/>
      <c r="AC611" s="1111"/>
      <c r="AD611" s="1111"/>
      <c r="AE611" s="1111"/>
      <c r="AF611" s="1111"/>
      <c r="AG611" s="1111"/>
    </row>
    <row r="612" spans="1:33" s="1295" customFormat="1">
      <c r="A612" s="1264"/>
      <c r="D612" s="1118"/>
      <c r="E612" s="1264"/>
      <c r="F612" s="1118"/>
      <c r="G612" s="1118"/>
      <c r="H612" s="1118"/>
      <c r="I612" s="1118"/>
      <c r="J612" s="1118"/>
      <c r="K612" s="1118"/>
      <c r="L612" s="1118"/>
      <c r="M612" s="1118"/>
      <c r="N612" s="1118"/>
      <c r="O612" s="1118"/>
      <c r="P612" s="1118"/>
      <c r="Q612" s="1111"/>
      <c r="R612" s="1111"/>
      <c r="S612" s="1111"/>
      <c r="T612" s="1111"/>
      <c r="U612" s="1111"/>
      <c r="V612" s="1111"/>
      <c r="W612" s="1111"/>
      <c r="X612" s="1111"/>
      <c r="Y612" s="1111"/>
      <c r="Z612" s="1111"/>
      <c r="AA612" s="1111"/>
      <c r="AB612" s="1111"/>
      <c r="AC612" s="1111"/>
      <c r="AD612" s="1111"/>
      <c r="AE612" s="1111"/>
      <c r="AF612" s="1111"/>
      <c r="AG612" s="1111"/>
    </row>
    <row r="613" spans="1:33" s="1295" customFormat="1">
      <c r="A613" s="1264"/>
      <c r="D613" s="1118"/>
      <c r="E613" s="1264"/>
      <c r="F613" s="1118"/>
      <c r="G613" s="1118"/>
      <c r="H613" s="1118"/>
      <c r="I613" s="1118"/>
      <c r="J613" s="1118"/>
      <c r="K613" s="1118"/>
      <c r="L613" s="1118"/>
      <c r="M613" s="1118"/>
      <c r="N613" s="1118"/>
      <c r="O613" s="1118"/>
      <c r="P613" s="1118"/>
      <c r="Q613" s="1111"/>
      <c r="R613" s="1111"/>
      <c r="S613" s="1111"/>
      <c r="T613" s="1111"/>
      <c r="U613" s="1111"/>
      <c r="V613" s="1111"/>
      <c r="W613" s="1111"/>
      <c r="X613" s="1111"/>
      <c r="Y613" s="1111"/>
      <c r="Z613" s="1111"/>
      <c r="AA613" s="1111"/>
      <c r="AB613" s="1111"/>
      <c r="AC613" s="1111"/>
      <c r="AD613" s="1111"/>
      <c r="AE613" s="1111"/>
      <c r="AF613" s="1111"/>
      <c r="AG613" s="1111"/>
    </row>
    <row r="614" spans="1:33" s="1295" customFormat="1">
      <c r="A614" s="1264"/>
      <c r="D614" s="1118"/>
      <c r="E614" s="1264"/>
      <c r="F614" s="1118"/>
      <c r="G614" s="1118"/>
      <c r="H614" s="1118"/>
      <c r="I614" s="1118"/>
      <c r="J614" s="1118"/>
      <c r="K614" s="1118"/>
      <c r="L614" s="1118"/>
      <c r="M614" s="1118"/>
      <c r="N614" s="1118"/>
      <c r="O614" s="1118"/>
      <c r="P614" s="1118"/>
      <c r="Q614" s="1111"/>
      <c r="R614" s="1111"/>
      <c r="S614" s="1111"/>
      <c r="T614" s="1111"/>
      <c r="U614" s="1111"/>
      <c r="V614" s="1111"/>
      <c r="W614" s="1111"/>
      <c r="X614" s="1111"/>
      <c r="Y614" s="1111"/>
      <c r="Z614" s="1111"/>
      <c r="AA614" s="1111"/>
      <c r="AB614" s="1111"/>
      <c r="AC614" s="1111"/>
      <c r="AD614" s="1111"/>
      <c r="AE614" s="1111"/>
      <c r="AF614" s="1111"/>
      <c r="AG614" s="1111"/>
    </row>
    <row r="615" spans="1:33" s="1295" customFormat="1">
      <c r="A615" s="1264"/>
      <c r="D615" s="1118"/>
      <c r="E615" s="1264"/>
      <c r="F615" s="1118"/>
      <c r="G615" s="1118"/>
      <c r="H615" s="1118"/>
      <c r="I615" s="1118"/>
      <c r="J615" s="1118"/>
      <c r="K615" s="1118"/>
      <c r="L615" s="1118"/>
      <c r="M615" s="1118"/>
      <c r="N615" s="1118"/>
      <c r="O615" s="1118"/>
      <c r="P615" s="1118"/>
      <c r="Q615" s="1111"/>
      <c r="R615" s="1111"/>
      <c r="S615" s="1111"/>
      <c r="T615" s="1111"/>
      <c r="U615" s="1111"/>
      <c r="V615" s="1111"/>
      <c r="W615" s="1111"/>
      <c r="X615" s="1111"/>
      <c r="Y615" s="1111"/>
      <c r="Z615" s="1111"/>
      <c r="AA615" s="1111"/>
      <c r="AB615" s="1111"/>
      <c r="AC615" s="1111"/>
      <c r="AD615" s="1111"/>
      <c r="AE615" s="1111"/>
      <c r="AF615" s="1111"/>
      <c r="AG615" s="1111"/>
    </row>
    <row r="616" spans="1:33" s="1295" customFormat="1">
      <c r="A616" s="1264"/>
      <c r="D616" s="1118"/>
      <c r="E616" s="1264"/>
      <c r="F616" s="1118"/>
      <c r="G616" s="1118"/>
      <c r="H616" s="1118"/>
      <c r="I616" s="1118"/>
      <c r="J616" s="1118"/>
      <c r="K616" s="1118"/>
      <c r="L616" s="1118"/>
      <c r="M616" s="1118"/>
      <c r="N616" s="1118"/>
      <c r="O616" s="1118"/>
      <c r="P616" s="1118"/>
      <c r="Q616" s="1111"/>
      <c r="R616" s="1111"/>
      <c r="S616" s="1111"/>
      <c r="T616" s="1111"/>
      <c r="U616" s="1111"/>
      <c r="V616" s="1111"/>
      <c r="W616" s="1111"/>
      <c r="X616" s="1111"/>
      <c r="Y616" s="1111"/>
      <c r="Z616" s="1111"/>
      <c r="AA616" s="1111"/>
      <c r="AB616" s="1111"/>
      <c r="AC616" s="1111"/>
      <c r="AD616" s="1111"/>
      <c r="AE616" s="1111"/>
      <c r="AF616" s="1111"/>
      <c r="AG616" s="1111"/>
    </row>
    <row r="617" spans="1:33" s="1295" customFormat="1">
      <c r="A617" s="1264"/>
      <c r="D617" s="1118"/>
      <c r="E617" s="1264"/>
      <c r="F617" s="1118"/>
      <c r="G617" s="1118"/>
      <c r="H617" s="1118"/>
      <c r="I617" s="1118"/>
      <c r="J617" s="1118"/>
      <c r="K617" s="1118"/>
      <c r="L617" s="1118"/>
      <c r="M617" s="1118"/>
      <c r="N617" s="1118"/>
      <c r="O617" s="1118"/>
      <c r="P617" s="1118"/>
      <c r="Q617" s="1111"/>
      <c r="R617" s="1111"/>
      <c r="S617" s="1111"/>
      <c r="T617" s="1111"/>
      <c r="U617" s="1111"/>
      <c r="V617" s="1111"/>
      <c r="W617" s="1111"/>
      <c r="X617" s="1111"/>
      <c r="Y617" s="1111"/>
      <c r="Z617" s="1111"/>
      <c r="AA617" s="1111"/>
      <c r="AB617" s="1111"/>
      <c r="AC617" s="1111"/>
      <c r="AD617" s="1111"/>
      <c r="AE617" s="1111"/>
      <c r="AF617" s="1111"/>
      <c r="AG617" s="1111"/>
    </row>
    <row r="618" spans="1:33" s="1295" customFormat="1">
      <c r="A618" s="1264"/>
      <c r="D618" s="1118"/>
      <c r="E618" s="1264"/>
      <c r="F618" s="1118"/>
      <c r="G618" s="1118"/>
      <c r="H618" s="1118"/>
      <c r="I618" s="1118"/>
      <c r="J618" s="1118"/>
      <c r="K618" s="1118"/>
      <c r="L618" s="1118"/>
      <c r="M618" s="1118"/>
      <c r="N618" s="1118"/>
      <c r="O618" s="1118"/>
      <c r="P618" s="1118"/>
      <c r="Q618" s="1111"/>
      <c r="R618" s="1111"/>
      <c r="S618" s="1111"/>
      <c r="T618" s="1111"/>
      <c r="U618" s="1111"/>
      <c r="V618" s="1111"/>
      <c r="W618" s="1111"/>
      <c r="X618" s="1111"/>
      <c r="Y618" s="1111"/>
      <c r="Z618" s="1111"/>
      <c r="AA618" s="1111"/>
      <c r="AB618" s="1111"/>
      <c r="AC618" s="1111"/>
      <c r="AD618" s="1111"/>
      <c r="AE618" s="1111"/>
      <c r="AF618" s="1111"/>
      <c r="AG618" s="1111"/>
    </row>
    <row r="619" spans="1:33" s="1295" customFormat="1">
      <c r="A619" s="1264"/>
      <c r="D619" s="1118"/>
      <c r="E619" s="1264"/>
      <c r="F619" s="1118"/>
      <c r="G619" s="1118"/>
      <c r="H619" s="1118"/>
      <c r="I619" s="1118"/>
      <c r="J619" s="1118"/>
      <c r="K619" s="1118"/>
      <c r="L619" s="1118"/>
      <c r="M619" s="1118"/>
      <c r="N619" s="1118"/>
      <c r="O619" s="1118"/>
      <c r="P619" s="1118"/>
      <c r="Q619" s="1111"/>
      <c r="R619" s="1111"/>
      <c r="S619" s="1111"/>
      <c r="T619" s="1111"/>
      <c r="U619" s="1111"/>
      <c r="V619" s="1111"/>
      <c r="W619" s="1111"/>
      <c r="X619" s="1111"/>
      <c r="Y619" s="1111"/>
      <c r="Z619" s="1111"/>
      <c r="AA619" s="1111"/>
      <c r="AB619" s="1111"/>
      <c r="AC619" s="1111"/>
      <c r="AD619" s="1111"/>
      <c r="AE619" s="1111"/>
      <c r="AF619" s="1111"/>
      <c r="AG619" s="1111"/>
    </row>
    <row r="620" spans="1:33" s="1295" customFormat="1">
      <c r="A620" s="1264"/>
      <c r="D620" s="1118"/>
      <c r="E620" s="1264"/>
      <c r="F620" s="1118"/>
      <c r="G620" s="1118"/>
      <c r="H620" s="1118"/>
      <c r="I620" s="1118"/>
      <c r="J620" s="1118"/>
      <c r="K620" s="1118"/>
      <c r="L620" s="1118"/>
      <c r="M620" s="1118"/>
      <c r="N620" s="1118"/>
      <c r="O620" s="1118"/>
      <c r="P620" s="1118"/>
      <c r="Q620" s="1111"/>
      <c r="R620" s="1111"/>
      <c r="S620" s="1111"/>
      <c r="T620" s="1111"/>
      <c r="U620" s="1111"/>
      <c r="V620" s="1111"/>
      <c r="W620" s="1111"/>
      <c r="X620" s="1111"/>
      <c r="Y620" s="1111"/>
      <c r="Z620" s="1111"/>
      <c r="AA620" s="1111"/>
      <c r="AB620" s="1111"/>
      <c r="AC620" s="1111"/>
      <c r="AD620" s="1111"/>
      <c r="AE620" s="1111"/>
      <c r="AF620" s="1111"/>
      <c r="AG620" s="1111"/>
    </row>
    <row r="621" spans="1:33" s="1295" customFormat="1">
      <c r="A621" s="1264"/>
      <c r="D621" s="1118"/>
      <c r="E621" s="1264"/>
      <c r="F621" s="1118"/>
      <c r="G621" s="1118"/>
      <c r="H621" s="1118"/>
      <c r="I621" s="1118"/>
      <c r="J621" s="1118"/>
      <c r="K621" s="1118"/>
      <c r="L621" s="1118"/>
      <c r="M621" s="1118"/>
      <c r="N621" s="1118"/>
      <c r="O621" s="1118"/>
      <c r="P621" s="1118"/>
      <c r="Q621" s="1111"/>
      <c r="R621" s="1111"/>
      <c r="S621" s="1111"/>
      <c r="T621" s="1111"/>
      <c r="U621" s="1111"/>
      <c r="V621" s="1111"/>
      <c r="W621" s="1111"/>
      <c r="X621" s="1111"/>
      <c r="Y621" s="1111"/>
      <c r="Z621" s="1111"/>
      <c r="AA621" s="1111"/>
      <c r="AB621" s="1111"/>
      <c r="AC621" s="1111"/>
      <c r="AD621" s="1111"/>
      <c r="AE621" s="1111"/>
      <c r="AF621" s="1111"/>
      <c r="AG621" s="1111"/>
    </row>
    <row r="622" spans="1:33" s="1295" customFormat="1">
      <c r="A622" s="1264"/>
      <c r="D622" s="1118"/>
      <c r="E622" s="1264"/>
      <c r="F622" s="1118"/>
      <c r="G622" s="1118"/>
      <c r="H622" s="1118"/>
      <c r="I622" s="1118"/>
      <c r="J622" s="1118"/>
      <c r="K622" s="1118"/>
      <c r="L622" s="1118"/>
      <c r="M622" s="1118"/>
      <c r="N622" s="1118"/>
      <c r="O622" s="1118"/>
      <c r="P622" s="1118"/>
      <c r="Q622" s="1111"/>
      <c r="R622" s="1111"/>
      <c r="S622" s="1111"/>
      <c r="T622" s="1111"/>
      <c r="U622" s="1111"/>
      <c r="V622" s="1111"/>
      <c r="W622" s="1111"/>
      <c r="X622" s="1111"/>
      <c r="Y622" s="1111"/>
      <c r="Z622" s="1111"/>
      <c r="AA622" s="1111"/>
      <c r="AB622" s="1111"/>
      <c r="AC622" s="1111"/>
      <c r="AD622" s="1111"/>
      <c r="AE622" s="1111"/>
      <c r="AF622" s="1111"/>
      <c r="AG622" s="1111"/>
    </row>
    <row r="623" spans="1:33" s="1295" customFormat="1">
      <c r="A623" s="1264"/>
      <c r="D623" s="1118"/>
      <c r="E623" s="1264"/>
      <c r="F623" s="1118"/>
      <c r="G623" s="1118"/>
      <c r="H623" s="1118"/>
      <c r="I623" s="1118"/>
      <c r="J623" s="1118"/>
      <c r="K623" s="1118"/>
      <c r="L623" s="1118"/>
      <c r="M623" s="1118"/>
      <c r="N623" s="1118"/>
      <c r="O623" s="1118"/>
      <c r="P623" s="1118"/>
      <c r="Q623" s="1111"/>
      <c r="R623" s="1111"/>
      <c r="S623" s="1111"/>
      <c r="T623" s="1111"/>
      <c r="U623" s="1111"/>
      <c r="V623" s="1111"/>
      <c r="W623" s="1111"/>
      <c r="X623" s="1111"/>
      <c r="Y623" s="1111"/>
      <c r="Z623" s="1111"/>
      <c r="AA623" s="1111"/>
      <c r="AB623" s="1111"/>
      <c r="AC623" s="1111"/>
      <c r="AD623" s="1111"/>
      <c r="AE623" s="1111"/>
      <c r="AF623" s="1111"/>
      <c r="AG623" s="1111"/>
    </row>
    <row r="624" spans="1:33" s="1295" customFormat="1">
      <c r="A624" s="1264"/>
      <c r="D624" s="1118"/>
      <c r="E624" s="1264"/>
      <c r="F624" s="1118"/>
      <c r="G624" s="1118"/>
      <c r="H624" s="1118"/>
      <c r="I624" s="1118"/>
      <c r="J624" s="1118"/>
      <c r="K624" s="1118"/>
      <c r="L624" s="1118"/>
      <c r="M624" s="1118"/>
      <c r="N624" s="1118"/>
      <c r="O624" s="1118"/>
      <c r="P624" s="1118"/>
      <c r="Q624" s="1111"/>
      <c r="R624" s="1111"/>
      <c r="S624" s="1111"/>
      <c r="T624" s="1111"/>
      <c r="U624" s="1111"/>
      <c r="V624" s="1111"/>
      <c r="W624" s="1111"/>
      <c r="X624" s="1111"/>
      <c r="Y624" s="1111"/>
      <c r="Z624" s="1111"/>
      <c r="AA624" s="1111"/>
      <c r="AB624" s="1111"/>
      <c r="AC624" s="1111"/>
      <c r="AD624" s="1111"/>
      <c r="AE624" s="1111"/>
      <c r="AF624" s="1111"/>
      <c r="AG624" s="1111"/>
    </row>
    <row r="625" spans="1:33" s="1295" customFormat="1">
      <c r="A625" s="1264"/>
      <c r="D625" s="1118"/>
      <c r="E625" s="1264"/>
      <c r="F625" s="1118"/>
      <c r="G625" s="1118"/>
      <c r="H625" s="1118"/>
      <c r="I625" s="1118"/>
      <c r="J625" s="1118"/>
      <c r="K625" s="1118"/>
      <c r="L625" s="1118"/>
      <c r="M625" s="1118"/>
      <c r="N625" s="1118"/>
      <c r="O625" s="1118"/>
      <c r="P625" s="1118"/>
      <c r="Q625" s="1111"/>
      <c r="R625" s="1111"/>
      <c r="S625" s="1111"/>
      <c r="T625" s="1111"/>
      <c r="U625" s="1111"/>
      <c r="V625" s="1111"/>
      <c r="W625" s="1111"/>
      <c r="X625" s="1111"/>
      <c r="Y625" s="1111"/>
      <c r="Z625" s="1111"/>
      <c r="AA625" s="1111"/>
      <c r="AB625" s="1111"/>
      <c r="AC625" s="1111"/>
      <c r="AD625" s="1111"/>
      <c r="AE625" s="1111"/>
      <c r="AF625" s="1111"/>
      <c r="AG625" s="1111"/>
    </row>
    <row r="626" spans="1:33" s="1295" customFormat="1">
      <c r="A626" s="1264"/>
      <c r="D626" s="1118"/>
      <c r="E626" s="1264"/>
      <c r="F626" s="1118"/>
      <c r="G626" s="1118"/>
      <c r="H626" s="1118"/>
      <c r="I626" s="1118"/>
      <c r="J626" s="1118"/>
      <c r="K626" s="1118"/>
      <c r="L626" s="1118"/>
      <c r="M626" s="1118"/>
      <c r="N626" s="1118"/>
      <c r="O626" s="1118"/>
      <c r="P626" s="1118"/>
      <c r="Q626" s="1111"/>
      <c r="R626" s="1111"/>
      <c r="S626" s="1111"/>
      <c r="T626" s="1111"/>
      <c r="U626" s="1111"/>
      <c r="V626" s="1111"/>
      <c r="W626" s="1111"/>
      <c r="X626" s="1111"/>
      <c r="Y626" s="1111"/>
      <c r="Z626" s="1111"/>
      <c r="AA626" s="1111"/>
      <c r="AB626" s="1111"/>
      <c r="AC626" s="1111"/>
      <c r="AD626" s="1111"/>
      <c r="AE626" s="1111"/>
      <c r="AF626" s="1111"/>
      <c r="AG626" s="1111"/>
    </row>
    <row r="627" spans="1:33" s="1295" customFormat="1">
      <c r="A627" s="1264"/>
      <c r="D627" s="1118"/>
      <c r="E627" s="1264"/>
      <c r="F627" s="1118"/>
      <c r="G627" s="1118"/>
      <c r="H627" s="1118"/>
      <c r="I627" s="1118"/>
      <c r="J627" s="1118"/>
      <c r="K627" s="1118"/>
      <c r="L627" s="1118"/>
      <c r="M627" s="1118"/>
      <c r="N627" s="1118"/>
      <c r="O627" s="1118"/>
      <c r="P627" s="1118"/>
      <c r="Q627" s="1111"/>
      <c r="R627" s="1111"/>
      <c r="S627" s="1111"/>
      <c r="T627" s="1111"/>
      <c r="U627" s="1111"/>
      <c r="V627" s="1111"/>
      <c r="W627" s="1111"/>
      <c r="X627" s="1111"/>
      <c r="Y627" s="1111"/>
      <c r="Z627" s="1111"/>
      <c r="AA627" s="1111"/>
      <c r="AB627" s="1111"/>
      <c r="AC627" s="1111"/>
      <c r="AD627" s="1111"/>
      <c r="AE627" s="1111"/>
      <c r="AF627" s="1111"/>
      <c r="AG627" s="1111"/>
    </row>
    <row r="628" spans="1:33" s="1295" customFormat="1">
      <c r="A628" s="1264"/>
      <c r="D628" s="1118"/>
      <c r="E628" s="1264"/>
      <c r="F628" s="1118"/>
      <c r="G628" s="1118"/>
      <c r="H628" s="1118"/>
      <c r="I628" s="1118"/>
      <c r="J628" s="1118"/>
      <c r="K628" s="1118"/>
      <c r="L628" s="1118"/>
      <c r="M628" s="1118"/>
      <c r="N628" s="1118"/>
      <c r="O628" s="1118"/>
      <c r="P628" s="1118"/>
      <c r="Q628" s="1111"/>
      <c r="R628" s="1111"/>
      <c r="S628" s="1111"/>
      <c r="T628" s="1111"/>
      <c r="U628" s="1111"/>
      <c r="V628" s="1111"/>
      <c r="W628" s="1111"/>
      <c r="X628" s="1111"/>
      <c r="Y628" s="1111"/>
      <c r="Z628" s="1111"/>
      <c r="AA628" s="1111"/>
      <c r="AB628" s="1111"/>
      <c r="AC628" s="1111"/>
      <c r="AD628" s="1111"/>
      <c r="AE628" s="1111"/>
      <c r="AF628" s="1111"/>
      <c r="AG628" s="1111"/>
    </row>
    <row r="629" spans="1:33" s="1295" customFormat="1">
      <c r="A629" s="1264"/>
      <c r="D629" s="1118"/>
      <c r="E629" s="1264"/>
      <c r="F629" s="1118"/>
      <c r="G629" s="1118"/>
      <c r="H629" s="1118"/>
      <c r="I629" s="1118"/>
      <c r="J629" s="1118"/>
      <c r="K629" s="1118"/>
      <c r="L629" s="1118"/>
      <c r="M629" s="1118"/>
      <c r="N629" s="1118"/>
      <c r="O629" s="1118"/>
      <c r="P629" s="1118"/>
      <c r="Q629" s="1111"/>
      <c r="R629" s="1111"/>
      <c r="S629" s="1111"/>
      <c r="T629" s="1111"/>
      <c r="U629" s="1111"/>
      <c r="V629" s="1111"/>
      <c r="W629" s="1111"/>
      <c r="X629" s="1111"/>
      <c r="Y629" s="1111"/>
      <c r="Z629" s="1111"/>
      <c r="AA629" s="1111"/>
      <c r="AB629" s="1111"/>
      <c r="AC629" s="1111"/>
      <c r="AD629" s="1111"/>
      <c r="AE629" s="1111"/>
      <c r="AF629" s="1111"/>
      <c r="AG629" s="1111"/>
    </row>
    <row r="630" spans="1:33" s="1295" customFormat="1">
      <c r="A630" s="1264"/>
      <c r="D630" s="1118"/>
      <c r="E630" s="1264"/>
      <c r="F630" s="1118"/>
      <c r="G630" s="1118"/>
      <c r="H630" s="1118"/>
      <c r="I630" s="1118"/>
      <c r="J630" s="1118"/>
      <c r="K630" s="1118"/>
      <c r="L630" s="1118"/>
      <c r="M630" s="1118"/>
      <c r="N630" s="1118"/>
      <c r="O630" s="1118"/>
      <c r="P630" s="1118"/>
      <c r="Q630" s="1111"/>
      <c r="R630" s="1111"/>
      <c r="S630" s="1111"/>
      <c r="T630" s="1111"/>
      <c r="U630" s="1111"/>
      <c r="V630" s="1111"/>
      <c r="W630" s="1111"/>
      <c r="X630" s="1111"/>
      <c r="Y630" s="1111"/>
      <c r="Z630" s="1111"/>
      <c r="AA630" s="1111"/>
      <c r="AB630" s="1111"/>
      <c r="AC630" s="1111"/>
      <c r="AD630" s="1111"/>
      <c r="AE630" s="1111"/>
      <c r="AF630" s="1111"/>
      <c r="AG630" s="1111"/>
    </row>
    <row r="631" spans="1:33" s="1295" customFormat="1">
      <c r="A631" s="1264"/>
      <c r="D631" s="1118"/>
      <c r="E631" s="1264"/>
      <c r="F631" s="1118"/>
      <c r="G631" s="1118"/>
      <c r="H631" s="1118"/>
      <c r="I631" s="1118"/>
      <c r="J631" s="1118"/>
      <c r="K631" s="1118"/>
      <c r="L631" s="1118"/>
      <c r="M631" s="1118"/>
      <c r="N631" s="1118"/>
      <c r="O631" s="1118"/>
      <c r="P631" s="1118"/>
      <c r="Q631" s="1111"/>
      <c r="R631" s="1111"/>
      <c r="S631" s="1111"/>
      <c r="T631" s="1111"/>
      <c r="U631" s="1111"/>
      <c r="V631" s="1111"/>
      <c r="W631" s="1111"/>
      <c r="X631" s="1111"/>
      <c r="Y631" s="1111"/>
      <c r="Z631" s="1111"/>
      <c r="AA631" s="1111"/>
      <c r="AB631" s="1111"/>
      <c r="AC631" s="1111"/>
      <c r="AD631" s="1111"/>
      <c r="AE631" s="1111"/>
      <c r="AF631" s="1111"/>
      <c r="AG631" s="1111"/>
    </row>
    <row r="632" spans="1:33" s="1295" customFormat="1">
      <c r="A632" s="1264"/>
      <c r="D632" s="1118"/>
      <c r="E632" s="1264"/>
      <c r="F632" s="1118"/>
      <c r="G632" s="1118"/>
      <c r="H632" s="1118"/>
      <c r="I632" s="1118"/>
      <c r="J632" s="1118"/>
      <c r="K632" s="1118"/>
      <c r="L632" s="1118"/>
      <c r="M632" s="1118"/>
      <c r="N632" s="1118"/>
      <c r="O632" s="1118"/>
      <c r="P632" s="1118"/>
      <c r="Q632" s="1111"/>
      <c r="R632" s="1111"/>
      <c r="S632" s="1111"/>
      <c r="T632" s="1111"/>
      <c r="U632" s="1111"/>
      <c r="V632" s="1111"/>
      <c r="W632" s="1111"/>
      <c r="X632" s="1111"/>
      <c r="Y632" s="1111"/>
      <c r="Z632" s="1111"/>
      <c r="AA632" s="1111"/>
      <c r="AB632" s="1111"/>
      <c r="AC632" s="1111"/>
      <c r="AD632" s="1111"/>
      <c r="AE632" s="1111"/>
      <c r="AF632" s="1111"/>
      <c r="AG632" s="1111"/>
    </row>
    <row r="633" spans="1:33" s="1295" customFormat="1">
      <c r="A633" s="1264"/>
      <c r="D633" s="1118"/>
      <c r="E633" s="1264"/>
      <c r="F633" s="1118"/>
      <c r="G633" s="1118"/>
      <c r="H633" s="1118"/>
      <c r="I633" s="1118"/>
      <c r="J633" s="1118"/>
      <c r="K633" s="1118"/>
      <c r="L633" s="1118"/>
      <c r="M633" s="1118"/>
      <c r="N633" s="1118"/>
      <c r="O633" s="1118"/>
      <c r="P633" s="1118"/>
      <c r="Q633" s="1111"/>
      <c r="R633" s="1111"/>
      <c r="S633" s="1111"/>
      <c r="T633" s="1111"/>
      <c r="U633" s="1111"/>
      <c r="V633" s="1111"/>
      <c r="W633" s="1111"/>
      <c r="X633" s="1111"/>
      <c r="Y633" s="1111"/>
      <c r="Z633" s="1111"/>
      <c r="AA633" s="1111"/>
      <c r="AB633" s="1111"/>
      <c r="AC633" s="1111"/>
      <c r="AD633" s="1111"/>
      <c r="AE633" s="1111"/>
      <c r="AF633" s="1111"/>
      <c r="AG633" s="1111"/>
    </row>
    <row r="634" spans="1:33" s="1295" customFormat="1">
      <c r="A634" s="1264"/>
      <c r="D634" s="1118"/>
      <c r="E634" s="1264"/>
      <c r="F634" s="1118"/>
      <c r="G634" s="1118"/>
      <c r="H634" s="1118"/>
      <c r="I634" s="1118"/>
      <c r="J634" s="1118"/>
      <c r="K634" s="1118"/>
      <c r="L634" s="1118"/>
      <c r="M634" s="1118"/>
      <c r="N634" s="1118"/>
      <c r="O634" s="1118"/>
      <c r="P634" s="1118"/>
      <c r="Q634" s="1111"/>
      <c r="R634" s="1111"/>
      <c r="S634" s="1111"/>
      <c r="T634" s="1111"/>
      <c r="U634" s="1111"/>
      <c r="V634" s="1111"/>
      <c r="W634" s="1111"/>
      <c r="X634" s="1111"/>
      <c r="Y634" s="1111"/>
      <c r="Z634" s="1111"/>
      <c r="AA634" s="1111"/>
      <c r="AB634" s="1111"/>
      <c r="AC634" s="1111"/>
      <c r="AD634" s="1111"/>
      <c r="AE634" s="1111"/>
      <c r="AF634" s="1111"/>
      <c r="AG634" s="1111"/>
    </row>
    <row r="635" spans="1:33" s="1295" customFormat="1">
      <c r="A635" s="1264"/>
      <c r="D635" s="1118"/>
      <c r="E635" s="1264"/>
      <c r="F635" s="1118"/>
      <c r="G635" s="1118"/>
      <c r="H635" s="1118"/>
      <c r="I635" s="1118"/>
      <c r="J635" s="1118"/>
      <c r="K635" s="1118"/>
      <c r="L635" s="1118"/>
      <c r="M635" s="1118"/>
      <c r="N635" s="1118"/>
      <c r="O635" s="1118"/>
      <c r="P635" s="1118"/>
      <c r="Q635" s="1111"/>
      <c r="R635" s="1111"/>
      <c r="S635" s="1111"/>
      <c r="T635" s="1111"/>
      <c r="U635" s="1111"/>
      <c r="V635" s="1111"/>
      <c r="W635" s="1111"/>
      <c r="X635" s="1111"/>
      <c r="Y635" s="1111"/>
      <c r="Z635" s="1111"/>
      <c r="AA635" s="1111"/>
      <c r="AB635" s="1111"/>
      <c r="AC635" s="1111"/>
      <c r="AD635" s="1111"/>
      <c r="AE635" s="1111"/>
      <c r="AF635" s="1111"/>
      <c r="AG635" s="1111"/>
    </row>
    <row r="636" spans="1:33" s="1295" customFormat="1">
      <c r="A636" s="1264"/>
      <c r="D636" s="1118"/>
      <c r="E636" s="1264"/>
      <c r="F636" s="1118"/>
      <c r="G636" s="1118"/>
      <c r="H636" s="1118"/>
      <c r="I636" s="1118"/>
      <c r="J636" s="1118"/>
      <c r="K636" s="1118"/>
      <c r="L636" s="1118"/>
      <c r="M636" s="1118"/>
      <c r="N636" s="1118"/>
      <c r="O636" s="1118"/>
      <c r="P636" s="1118"/>
      <c r="Q636" s="1111"/>
      <c r="R636" s="1111"/>
      <c r="S636" s="1111"/>
      <c r="T636" s="1111"/>
      <c r="U636" s="1111"/>
      <c r="V636" s="1111"/>
      <c r="W636" s="1111"/>
      <c r="X636" s="1111"/>
      <c r="Y636" s="1111"/>
      <c r="Z636" s="1111"/>
      <c r="AA636" s="1111"/>
      <c r="AB636" s="1111"/>
      <c r="AC636" s="1111"/>
      <c r="AD636" s="1111"/>
      <c r="AE636" s="1111"/>
      <c r="AF636" s="1111"/>
      <c r="AG636" s="1111"/>
    </row>
    <row r="637" spans="1:33" s="1295" customFormat="1">
      <c r="A637" s="1264"/>
      <c r="D637" s="1118"/>
      <c r="E637" s="1264"/>
      <c r="F637" s="1118"/>
      <c r="G637" s="1118"/>
      <c r="H637" s="1118"/>
      <c r="I637" s="1118"/>
      <c r="J637" s="1118"/>
      <c r="K637" s="1118"/>
      <c r="L637" s="1118"/>
      <c r="M637" s="1118"/>
      <c r="N637" s="1118"/>
      <c r="O637" s="1118"/>
      <c r="P637" s="1118"/>
      <c r="Q637" s="1111"/>
      <c r="R637" s="1111"/>
      <c r="S637" s="1111"/>
      <c r="T637" s="1111"/>
      <c r="U637" s="1111"/>
      <c r="V637" s="1111"/>
      <c r="W637" s="1111"/>
      <c r="X637" s="1111"/>
      <c r="Y637" s="1111"/>
      <c r="Z637" s="1111"/>
      <c r="AA637" s="1111"/>
      <c r="AB637" s="1111"/>
      <c r="AC637" s="1111"/>
      <c r="AD637" s="1111"/>
      <c r="AE637" s="1111"/>
      <c r="AF637" s="1111"/>
      <c r="AG637" s="1111"/>
    </row>
    <row r="638" spans="1:33" s="1295" customFormat="1">
      <c r="A638" s="1264"/>
      <c r="D638" s="1118"/>
      <c r="E638" s="1264"/>
      <c r="F638" s="1118"/>
      <c r="G638" s="1118"/>
      <c r="H638" s="1118"/>
      <c r="I638" s="1118"/>
      <c r="J638" s="1118"/>
      <c r="K638" s="1118"/>
      <c r="L638" s="1118"/>
      <c r="M638" s="1118"/>
      <c r="N638" s="1118"/>
      <c r="O638" s="1118"/>
      <c r="P638" s="1118"/>
      <c r="Q638" s="1111"/>
      <c r="R638" s="1111"/>
      <c r="S638" s="1111"/>
      <c r="T638" s="1111"/>
      <c r="U638" s="1111"/>
      <c r="V638" s="1111"/>
      <c r="W638" s="1111"/>
      <c r="X638" s="1111"/>
      <c r="Y638" s="1111"/>
      <c r="Z638" s="1111"/>
      <c r="AA638" s="1111"/>
      <c r="AB638" s="1111"/>
      <c r="AC638" s="1111"/>
      <c r="AD638" s="1111"/>
      <c r="AE638" s="1111"/>
      <c r="AF638" s="1111"/>
      <c r="AG638" s="1111"/>
    </row>
    <row r="639" spans="1:33" s="1295" customFormat="1">
      <c r="A639" s="1264"/>
      <c r="D639" s="1118"/>
      <c r="E639" s="1264"/>
      <c r="F639" s="1118"/>
      <c r="G639" s="1118"/>
      <c r="H639" s="1118"/>
      <c r="I639" s="1118"/>
      <c r="J639" s="1118"/>
      <c r="K639" s="1118"/>
      <c r="L639" s="1118"/>
      <c r="M639" s="1118"/>
      <c r="N639" s="1118"/>
      <c r="O639" s="1118"/>
      <c r="P639" s="1118"/>
      <c r="Q639" s="1111"/>
      <c r="R639" s="1111"/>
      <c r="S639" s="1111"/>
      <c r="T639" s="1111"/>
      <c r="U639" s="1111"/>
      <c r="V639" s="1111"/>
      <c r="W639" s="1111"/>
      <c r="X639" s="1111"/>
      <c r="Y639" s="1111"/>
      <c r="Z639" s="1111"/>
      <c r="AA639" s="1111"/>
      <c r="AB639" s="1111"/>
      <c r="AC639" s="1111"/>
      <c r="AD639" s="1111"/>
      <c r="AE639" s="1111"/>
      <c r="AF639" s="1111"/>
      <c r="AG639" s="1111"/>
    </row>
    <row r="640" spans="1:33" s="1295" customFormat="1">
      <c r="A640" s="1264"/>
      <c r="D640" s="1118"/>
      <c r="E640" s="1264"/>
      <c r="F640" s="1118"/>
      <c r="G640" s="1118"/>
      <c r="H640" s="1118"/>
      <c r="I640" s="1118"/>
      <c r="J640" s="1118"/>
      <c r="K640" s="1118"/>
      <c r="L640" s="1118"/>
      <c r="M640" s="1118"/>
      <c r="N640" s="1118"/>
      <c r="O640" s="1118"/>
      <c r="P640" s="1118"/>
      <c r="Q640" s="1111"/>
      <c r="R640" s="1111"/>
      <c r="S640" s="1111"/>
      <c r="T640" s="1111"/>
      <c r="U640" s="1111"/>
      <c r="V640" s="1111"/>
      <c r="W640" s="1111"/>
      <c r="X640" s="1111"/>
      <c r="Y640" s="1111"/>
      <c r="Z640" s="1111"/>
      <c r="AA640" s="1111"/>
      <c r="AB640" s="1111"/>
      <c r="AC640" s="1111"/>
      <c r="AD640" s="1111"/>
      <c r="AE640" s="1111"/>
      <c r="AF640" s="1111"/>
      <c r="AG640" s="1111"/>
    </row>
    <row r="641" spans="1:33" s="1295" customFormat="1">
      <c r="A641" s="1264"/>
      <c r="D641" s="1118"/>
      <c r="E641" s="1264"/>
      <c r="F641" s="1118"/>
      <c r="G641" s="1118"/>
      <c r="H641" s="1118"/>
      <c r="I641" s="1118"/>
      <c r="J641" s="1118"/>
      <c r="K641" s="1118"/>
      <c r="L641" s="1118"/>
      <c r="M641" s="1118"/>
      <c r="N641" s="1118"/>
      <c r="O641" s="1118"/>
      <c r="P641" s="1118"/>
      <c r="Q641" s="1111"/>
      <c r="R641" s="1111"/>
      <c r="S641" s="1111"/>
      <c r="T641" s="1111"/>
      <c r="U641" s="1111"/>
      <c r="V641" s="1111"/>
      <c r="W641" s="1111"/>
      <c r="X641" s="1111"/>
      <c r="Y641" s="1111"/>
      <c r="Z641" s="1111"/>
      <c r="AA641" s="1111"/>
      <c r="AB641" s="1111"/>
      <c r="AC641" s="1111"/>
      <c r="AD641" s="1111"/>
      <c r="AE641" s="1111"/>
      <c r="AF641" s="1111"/>
      <c r="AG641" s="1111"/>
    </row>
    <row r="642" spans="1:33" s="1295" customFormat="1">
      <c r="A642" s="1264"/>
      <c r="D642" s="1118"/>
      <c r="E642" s="1264"/>
      <c r="F642" s="1118"/>
      <c r="G642" s="1118"/>
      <c r="H642" s="1118"/>
      <c r="I642" s="1118"/>
      <c r="J642" s="1118"/>
      <c r="K642" s="1118"/>
      <c r="L642" s="1118"/>
      <c r="M642" s="1118"/>
      <c r="N642" s="1118"/>
      <c r="O642" s="1118"/>
      <c r="P642" s="1118"/>
      <c r="Q642" s="1111"/>
      <c r="R642" s="1111"/>
      <c r="S642" s="1111"/>
      <c r="T642" s="1111"/>
      <c r="U642" s="1111"/>
      <c r="V642" s="1111"/>
      <c r="W642" s="1111"/>
      <c r="X642" s="1111"/>
      <c r="Y642" s="1111"/>
      <c r="Z642" s="1111"/>
      <c r="AA642" s="1111"/>
      <c r="AB642" s="1111"/>
      <c r="AC642" s="1111"/>
      <c r="AD642" s="1111"/>
      <c r="AE642" s="1111"/>
      <c r="AF642" s="1111"/>
      <c r="AG642" s="1111"/>
    </row>
    <row r="643" spans="1:33" s="1295" customFormat="1">
      <c r="A643" s="1264"/>
      <c r="D643" s="1118"/>
      <c r="E643" s="1264"/>
      <c r="F643" s="1118"/>
      <c r="G643" s="1118"/>
      <c r="H643" s="1118"/>
      <c r="I643" s="1118"/>
      <c r="J643" s="1118"/>
      <c r="K643" s="1118"/>
      <c r="L643" s="1118"/>
      <c r="M643" s="1118"/>
      <c r="N643" s="1118"/>
      <c r="O643" s="1118"/>
      <c r="P643" s="1118"/>
      <c r="Q643" s="1111"/>
      <c r="R643" s="1111"/>
      <c r="S643" s="1111"/>
      <c r="T643" s="1111"/>
      <c r="U643" s="1111"/>
      <c r="V643" s="1111"/>
      <c r="W643" s="1111"/>
      <c r="X643" s="1111"/>
      <c r="Y643" s="1111"/>
      <c r="Z643" s="1111"/>
      <c r="AA643" s="1111"/>
      <c r="AB643" s="1111"/>
      <c r="AC643" s="1111"/>
      <c r="AD643" s="1111"/>
      <c r="AE643" s="1111"/>
      <c r="AF643" s="1111"/>
      <c r="AG643" s="1111"/>
    </row>
    <row r="644" spans="1:33" s="1295" customFormat="1">
      <c r="A644" s="1264"/>
      <c r="D644" s="1118"/>
      <c r="E644" s="1264"/>
      <c r="F644" s="1118"/>
      <c r="G644" s="1118"/>
      <c r="H644" s="1118"/>
      <c r="I644" s="1118"/>
      <c r="J644" s="1118"/>
      <c r="K644" s="1118"/>
      <c r="L644" s="1118"/>
      <c r="M644" s="1118"/>
      <c r="N644" s="1118"/>
      <c r="O644" s="1118"/>
      <c r="P644" s="1118"/>
      <c r="Q644" s="1111"/>
      <c r="R644" s="1111"/>
      <c r="S644" s="1111"/>
      <c r="T644" s="1111"/>
      <c r="U644" s="1111"/>
      <c r="V644" s="1111"/>
      <c r="W644" s="1111"/>
      <c r="X644" s="1111"/>
      <c r="Y644" s="1111"/>
      <c r="Z644" s="1111"/>
      <c r="AA644" s="1111"/>
      <c r="AB644" s="1111"/>
      <c r="AC644" s="1111"/>
      <c r="AD644" s="1111"/>
      <c r="AE644" s="1111"/>
      <c r="AF644" s="1111"/>
      <c r="AG644" s="1111"/>
    </row>
    <row r="645" spans="1:33" s="1295" customFormat="1">
      <c r="A645" s="1264"/>
      <c r="D645" s="1118"/>
      <c r="E645" s="1264"/>
      <c r="F645" s="1118"/>
      <c r="G645" s="1118"/>
      <c r="H645" s="1118"/>
      <c r="I645" s="1118"/>
      <c r="J645" s="1118"/>
      <c r="K645" s="1118"/>
      <c r="L645" s="1118"/>
      <c r="M645" s="1118"/>
      <c r="N645" s="1118"/>
      <c r="O645" s="1118"/>
      <c r="P645" s="1118"/>
      <c r="Q645" s="1111"/>
      <c r="R645" s="1111"/>
      <c r="S645" s="1111"/>
      <c r="T645" s="1111"/>
      <c r="U645" s="1111"/>
      <c r="V645" s="1111"/>
      <c r="W645" s="1111"/>
      <c r="X645" s="1111"/>
      <c r="Y645" s="1111"/>
      <c r="Z645" s="1111"/>
      <c r="AA645" s="1111"/>
      <c r="AB645" s="1111"/>
      <c r="AC645" s="1111"/>
      <c r="AD645" s="1111"/>
      <c r="AE645" s="1111"/>
      <c r="AF645" s="1111"/>
      <c r="AG645" s="1111"/>
    </row>
    <row r="646" spans="1:33" s="1295" customFormat="1">
      <c r="A646" s="1264"/>
      <c r="D646" s="1118"/>
      <c r="E646" s="1264"/>
      <c r="F646" s="1118"/>
      <c r="G646" s="1118"/>
      <c r="H646" s="1118"/>
      <c r="I646" s="1118"/>
      <c r="J646" s="1118"/>
      <c r="K646" s="1118"/>
      <c r="L646" s="1118"/>
      <c r="M646" s="1118"/>
      <c r="N646" s="1118"/>
      <c r="O646" s="1118"/>
      <c r="P646" s="1118"/>
      <c r="Q646" s="1111"/>
      <c r="R646" s="1111"/>
      <c r="S646" s="1111"/>
      <c r="T646" s="1111"/>
      <c r="U646" s="1111"/>
      <c r="V646" s="1111"/>
      <c r="W646" s="1111"/>
      <c r="X646" s="1111"/>
      <c r="Y646" s="1111"/>
      <c r="Z646" s="1111"/>
      <c r="AA646" s="1111"/>
      <c r="AB646" s="1111"/>
      <c r="AC646" s="1111"/>
      <c r="AD646" s="1111"/>
      <c r="AE646" s="1111"/>
      <c r="AF646" s="1111"/>
      <c r="AG646" s="1111"/>
    </row>
    <row r="647" spans="1:33" s="1295" customFormat="1">
      <c r="A647" s="1264"/>
      <c r="D647" s="1118"/>
      <c r="E647" s="1264"/>
      <c r="F647" s="1118"/>
      <c r="G647" s="1118"/>
      <c r="H647" s="1118"/>
      <c r="I647" s="1118"/>
      <c r="J647" s="1118"/>
      <c r="K647" s="1118"/>
      <c r="L647" s="1118"/>
      <c r="M647" s="1118"/>
      <c r="N647" s="1118"/>
      <c r="O647" s="1118"/>
      <c r="P647" s="1118"/>
      <c r="Q647" s="1111"/>
      <c r="R647" s="1111"/>
      <c r="S647" s="1111"/>
      <c r="T647" s="1111"/>
      <c r="U647" s="1111"/>
      <c r="V647" s="1111"/>
      <c r="W647" s="1111"/>
      <c r="X647" s="1111"/>
      <c r="Y647" s="1111"/>
      <c r="Z647" s="1111"/>
      <c r="AA647" s="1111"/>
      <c r="AB647" s="1111"/>
      <c r="AC647" s="1111"/>
      <c r="AD647" s="1111"/>
      <c r="AE647" s="1111"/>
      <c r="AF647" s="1111"/>
      <c r="AG647" s="1111"/>
    </row>
    <row r="648" spans="1:33" s="1295" customFormat="1">
      <c r="A648" s="1264"/>
      <c r="D648" s="1118"/>
      <c r="E648" s="1264"/>
      <c r="F648" s="1118"/>
      <c r="G648" s="1118"/>
      <c r="H648" s="1118"/>
      <c r="I648" s="1118"/>
      <c r="J648" s="1118"/>
      <c r="K648" s="1118"/>
      <c r="L648" s="1118"/>
      <c r="M648" s="1118"/>
      <c r="N648" s="1118"/>
      <c r="O648" s="1118"/>
      <c r="P648" s="1118"/>
      <c r="Q648" s="1111"/>
      <c r="R648" s="1111"/>
      <c r="S648" s="1111"/>
      <c r="T648" s="1111"/>
      <c r="U648" s="1111"/>
      <c r="V648" s="1111"/>
      <c r="W648" s="1111"/>
      <c r="X648" s="1111"/>
      <c r="Y648" s="1111"/>
      <c r="Z648" s="1111"/>
      <c r="AA648" s="1111"/>
      <c r="AB648" s="1111"/>
      <c r="AC648" s="1111"/>
      <c r="AD648" s="1111"/>
      <c r="AE648" s="1111"/>
      <c r="AF648" s="1111"/>
      <c r="AG648" s="1111"/>
    </row>
    <row r="649" spans="1:33" s="1295" customFormat="1">
      <c r="A649" s="1264"/>
      <c r="D649" s="1118"/>
      <c r="E649" s="1264"/>
      <c r="F649" s="1118"/>
      <c r="G649" s="1118"/>
      <c r="H649" s="1118"/>
      <c r="I649" s="1118"/>
      <c r="J649" s="1118"/>
      <c r="K649" s="1118"/>
      <c r="L649" s="1118"/>
      <c r="M649" s="1118"/>
      <c r="N649" s="1118"/>
      <c r="O649" s="1118"/>
      <c r="P649" s="1118"/>
      <c r="Q649" s="1111"/>
      <c r="R649" s="1111"/>
      <c r="S649" s="1111"/>
      <c r="T649" s="1111"/>
      <c r="U649" s="1111"/>
      <c r="V649" s="1111"/>
      <c r="W649" s="1111"/>
      <c r="X649" s="1111"/>
      <c r="Y649" s="1111"/>
      <c r="Z649" s="1111"/>
      <c r="AA649" s="1111"/>
      <c r="AB649" s="1111"/>
      <c r="AC649" s="1111"/>
      <c r="AD649" s="1111"/>
      <c r="AE649" s="1111"/>
      <c r="AF649" s="1111"/>
      <c r="AG649" s="1111"/>
    </row>
    <row r="650" spans="1:33" s="1295" customFormat="1">
      <c r="A650" s="1264"/>
      <c r="D650" s="1118"/>
      <c r="E650" s="1264"/>
      <c r="F650" s="1118"/>
      <c r="G650" s="1118"/>
      <c r="H650" s="1118"/>
      <c r="I650" s="1118"/>
      <c r="J650" s="1118"/>
      <c r="K650" s="1118"/>
      <c r="L650" s="1118"/>
      <c r="M650" s="1118"/>
      <c r="N650" s="1118"/>
      <c r="O650" s="1118"/>
      <c r="P650" s="1118"/>
      <c r="Q650" s="1111"/>
      <c r="R650" s="1111"/>
      <c r="S650" s="1111"/>
      <c r="T650" s="1111"/>
      <c r="U650" s="1111"/>
      <c r="V650" s="1111"/>
      <c r="W650" s="1111"/>
      <c r="X650" s="1111"/>
      <c r="Y650" s="1111"/>
      <c r="Z650" s="1111"/>
      <c r="AA650" s="1111"/>
      <c r="AB650" s="1111"/>
      <c r="AC650" s="1111"/>
      <c r="AD650" s="1111"/>
      <c r="AE650" s="1111"/>
      <c r="AF650" s="1111"/>
      <c r="AG650" s="1111"/>
    </row>
    <row r="651" spans="1:33" s="1295" customFormat="1">
      <c r="A651" s="1264"/>
      <c r="D651" s="1118"/>
      <c r="E651" s="1264"/>
      <c r="F651" s="1118"/>
      <c r="G651" s="1118"/>
      <c r="H651" s="1118"/>
      <c r="I651" s="1118"/>
      <c r="J651" s="1118"/>
      <c r="K651" s="1118"/>
      <c r="L651" s="1118"/>
      <c r="M651" s="1118"/>
      <c r="N651" s="1118"/>
      <c r="O651" s="1118"/>
      <c r="P651" s="1118"/>
      <c r="Q651" s="1111"/>
      <c r="R651" s="1111"/>
      <c r="S651" s="1111"/>
      <c r="T651" s="1111"/>
      <c r="U651" s="1111"/>
      <c r="V651" s="1111"/>
      <c r="W651" s="1111"/>
      <c r="X651" s="1111"/>
      <c r="Y651" s="1111"/>
      <c r="Z651" s="1111"/>
      <c r="AA651" s="1111"/>
      <c r="AB651" s="1111"/>
      <c r="AC651" s="1111"/>
      <c r="AD651" s="1111"/>
      <c r="AE651" s="1111"/>
      <c r="AF651" s="1111"/>
      <c r="AG651" s="1111"/>
    </row>
    <row r="652" spans="1:33" s="1295" customFormat="1">
      <c r="A652" s="1264"/>
      <c r="D652" s="1118"/>
      <c r="E652" s="1264"/>
      <c r="F652" s="1118"/>
      <c r="G652" s="1118"/>
      <c r="H652" s="1118"/>
      <c r="I652" s="1118"/>
      <c r="J652" s="1118"/>
      <c r="K652" s="1118"/>
      <c r="L652" s="1118"/>
      <c r="M652" s="1118"/>
      <c r="N652" s="1118"/>
      <c r="O652" s="1118"/>
      <c r="P652" s="1118"/>
      <c r="Q652" s="1111"/>
      <c r="R652" s="1111"/>
      <c r="S652" s="1111"/>
      <c r="T652" s="1111"/>
      <c r="U652" s="1111"/>
      <c r="V652" s="1111"/>
      <c r="W652" s="1111"/>
      <c r="X652" s="1111"/>
      <c r="Y652" s="1111"/>
      <c r="Z652" s="1111"/>
      <c r="AA652" s="1111"/>
      <c r="AB652" s="1111"/>
      <c r="AC652" s="1111"/>
      <c r="AD652" s="1111"/>
      <c r="AE652" s="1111"/>
      <c r="AF652" s="1111"/>
      <c r="AG652" s="1111"/>
    </row>
    <row r="653" spans="1:33" s="1295" customFormat="1">
      <c r="A653" s="1264"/>
      <c r="D653" s="1118"/>
      <c r="E653" s="1264"/>
      <c r="F653" s="1118"/>
      <c r="G653" s="1118"/>
      <c r="H653" s="1118"/>
      <c r="I653" s="1118"/>
      <c r="J653" s="1118"/>
      <c r="K653" s="1118"/>
      <c r="L653" s="1118"/>
      <c r="M653" s="1118"/>
      <c r="N653" s="1118"/>
      <c r="O653" s="1118"/>
      <c r="P653" s="1118"/>
      <c r="Q653" s="1111"/>
      <c r="R653" s="1111"/>
      <c r="S653" s="1111"/>
      <c r="T653" s="1111"/>
      <c r="U653" s="1111"/>
      <c r="V653" s="1111"/>
      <c r="W653" s="1111"/>
      <c r="X653" s="1111"/>
      <c r="Y653" s="1111"/>
      <c r="Z653" s="1111"/>
      <c r="AA653" s="1111"/>
      <c r="AB653" s="1111"/>
      <c r="AC653" s="1111"/>
      <c r="AD653" s="1111"/>
      <c r="AE653" s="1111"/>
      <c r="AF653" s="1111"/>
      <c r="AG653" s="1111"/>
    </row>
    <row r="654" spans="1:33" s="1295" customFormat="1">
      <c r="A654" s="1264"/>
      <c r="D654" s="1118"/>
      <c r="E654" s="1264"/>
      <c r="F654" s="1118"/>
      <c r="G654" s="1118"/>
      <c r="H654" s="1118"/>
      <c r="I654" s="1118"/>
      <c r="J654" s="1118"/>
      <c r="K654" s="1118"/>
      <c r="L654" s="1118"/>
      <c r="M654" s="1118"/>
      <c r="N654" s="1118"/>
      <c r="O654" s="1118"/>
      <c r="P654" s="1118"/>
      <c r="Q654" s="1111"/>
      <c r="R654" s="1111"/>
      <c r="S654" s="1111"/>
      <c r="T654" s="1111"/>
      <c r="U654" s="1111"/>
      <c r="V654" s="1111"/>
      <c r="W654" s="1111"/>
      <c r="X654" s="1111"/>
      <c r="Y654" s="1111"/>
      <c r="Z654" s="1111"/>
      <c r="AA654" s="1111"/>
      <c r="AB654" s="1111"/>
      <c r="AC654" s="1111"/>
      <c r="AD654" s="1111"/>
      <c r="AE654" s="1111"/>
      <c r="AF654" s="1111"/>
      <c r="AG654" s="1111"/>
    </row>
    <row r="655" spans="1:33" s="1295" customFormat="1">
      <c r="A655" s="1264"/>
      <c r="D655" s="1118"/>
      <c r="E655" s="1264"/>
      <c r="F655" s="1118"/>
      <c r="G655" s="1118"/>
      <c r="H655" s="1118"/>
      <c r="I655" s="1118"/>
      <c r="J655" s="1118"/>
      <c r="K655" s="1118"/>
      <c r="L655" s="1118"/>
      <c r="M655" s="1118"/>
      <c r="N655" s="1118"/>
      <c r="O655" s="1118"/>
      <c r="P655" s="1118"/>
      <c r="Q655" s="1111"/>
      <c r="R655" s="1111"/>
      <c r="S655" s="1111"/>
      <c r="T655" s="1111"/>
      <c r="U655" s="1111"/>
      <c r="V655" s="1111"/>
      <c r="W655" s="1111"/>
      <c r="X655" s="1111"/>
      <c r="Y655" s="1111"/>
      <c r="Z655" s="1111"/>
      <c r="AA655" s="1111"/>
      <c r="AB655" s="1111"/>
      <c r="AC655" s="1111"/>
      <c r="AD655" s="1111"/>
      <c r="AE655" s="1111"/>
      <c r="AF655" s="1111"/>
      <c r="AG655" s="1111"/>
    </row>
    <row r="656" spans="1:33" s="1295" customFormat="1">
      <c r="A656" s="1264"/>
      <c r="D656" s="1118"/>
      <c r="E656" s="1264"/>
      <c r="F656" s="1118"/>
      <c r="G656" s="1118"/>
      <c r="H656" s="1118"/>
      <c r="I656" s="1118"/>
      <c r="J656" s="1118"/>
      <c r="K656" s="1118"/>
      <c r="L656" s="1118"/>
      <c r="M656" s="1118"/>
      <c r="N656" s="1118"/>
      <c r="O656" s="1118"/>
      <c r="P656" s="1118"/>
      <c r="Q656" s="1111"/>
      <c r="R656" s="1111"/>
      <c r="S656" s="1111"/>
      <c r="T656" s="1111"/>
      <c r="U656" s="1111"/>
      <c r="V656" s="1111"/>
      <c r="W656" s="1111"/>
      <c r="X656" s="1111"/>
      <c r="Y656" s="1111"/>
      <c r="Z656" s="1111"/>
      <c r="AA656" s="1111"/>
      <c r="AB656" s="1111"/>
      <c r="AC656" s="1111"/>
      <c r="AD656" s="1111"/>
      <c r="AE656" s="1111"/>
      <c r="AF656" s="1111"/>
      <c r="AG656" s="1111"/>
    </row>
    <row r="657" spans="1:33" s="1295" customFormat="1">
      <c r="A657" s="1264"/>
      <c r="D657" s="1118"/>
      <c r="E657" s="1264"/>
      <c r="F657" s="1118"/>
      <c r="G657" s="1118"/>
      <c r="H657" s="1118"/>
      <c r="I657" s="1118"/>
      <c r="J657" s="1118"/>
      <c r="K657" s="1118"/>
      <c r="L657" s="1118"/>
      <c r="M657" s="1118"/>
      <c r="N657" s="1118"/>
      <c r="O657" s="1118"/>
      <c r="P657" s="1118"/>
      <c r="Q657" s="1111"/>
      <c r="R657" s="1111"/>
      <c r="S657" s="1111"/>
      <c r="T657" s="1111"/>
      <c r="U657" s="1111"/>
      <c r="V657" s="1111"/>
      <c r="W657" s="1111"/>
      <c r="X657" s="1111"/>
      <c r="Y657" s="1111"/>
      <c r="Z657" s="1111"/>
      <c r="AA657" s="1111"/>
      <c r="AB657" s="1111"/>
      <c r="AC657" s="1111"/>
      <c r="AD657" s="1111"/>
      <c r="AE657" s="1111"/>
      <c r="AF657" s="1111"/>
      <c r="AG657" s="1111"/>
    </row>
    <row r="658" spans="1:33" s="1295" customFormat="1">
      <c r="A658" s="1264"/>
      <c r="D658" s="1118"/>
      <c r="E658" s="1264"/>
      <c r="F658" s="1118"/>
      <c r="G658" s="1118"/>
      <c r="H658" s="1118"/>
      <c r="I658" s="1118"/>
      <c r="J658" s="1118"/>
      <c r="K658" s="1118"/>
      <c r="L658" s="1118"/>
      <c r="M658" s="1118"/>
      <c r="N658" s="1118"/>
      <c r="O658" s="1118"/>
      <c r="P658" s="1118"/>
      <c r="Q658" s="1111"/>
      <c r="R658" s="1111"/>
      <c r="S658" s="1111"/>
      <c r="T658" s="1111"/>
      <c r="U658" s="1111"/>
      <c r="V658" s="1111"/>
      <c r="W658" s="1111"/>
      <c r="X658" s="1111"/>
      <c r="Y658" s="1111"/>
      <c r="Z658" s="1111"/>
      <c r="AA658" s="1111"/>
      <c r="AB658" s="1111"/>
      <c r="AC658" s="1111"/>
      <c r="AD658" s="1111"/>
      <c r="AE658" s="1111"/>
      <c r="AF658" s="1111"/>
      <c r="AG658" s="1111"/>
    </row>
    <row r="659" spans="1:33" s="1295" customFormat="1">
      <c r="A659" s="1264"/>
      <c r="D659" s="1118"/>
      <c r="E659" s="1264"/>
      <c r="F659" s="1118"/>
      <c r="G659" s="1118"/>
      <c r="H659" s="1118"/>
      <c r="I659" s="1118"/>
      <c r="J659" s="1118"/>
      <c r="K659" s="1118"/>
      <c r="L659" s="1118"/>
      <c r="M659" s="1118"/>
      <c r="N659" s="1118"/>
      <c r="O659" s="1118"/>
      <c r="P659" s="1118"/>
      <c r="Q659" s="1111"/>
      <c r="R659" s="1111"/>
      <c r="S659" s="1111"/>
      <c r="T659" s="1111"/>
      <c r="U659" s="1111"/>
      <c r="V659" s="1111"/>
      <c r="W659" s="1111"/>
      <c r="X659" s="1111"/>
      <c r="Y659" s="1111"/>
      <c r="Z659" s="1111"/>
      <c r="AA659" s="1111"/>
      <c r="AB659" s="1111"/>
      <c r="AC659" s="1111"/>
      <c r="AD659" s="1111"/>
      <c r="AE659" s="1111"/>
      <c r="AF659" s="1111"/>
      <c r="AG659" s="1111"/>
    </row>
    <row r="660" spans="1:33" s="1295" customFormat="1">
      <c r="A660" s="1264"/>
      <c r="D660" s="1118"/>
      <c r="E660" s="1264"/>
      <c r="F660" s="1118"/>
      <c r="G660" s="1118"/>
      <c r="H660" s="1118"/>
      <c r="I660" s="1118"/>
      <c r="J660" s="1118"/>
      <c r="K660" s="1118"/>
      <c r="L660" s="1118"/>
      <c r="M660" s="1118"/>
      <c r="N660" s="1118"/>
      <c r="O660" s="1118"/>
      <c r="P660" s="1118"/>
      <c r="Q660" s="1111"/>
      <c r="R660" s="1111"/>
      <c r="S660" s="1111"/>
      <c r="T660" s="1111"/>
      <c r="U660" s="1111"/>
      <c r="V660" s="1111"/>
      <c r="W660" s="1111"/>
      <c r="X660" s="1111"/>
      <c r="Y660" s="1111"/>
      <c r="Z660" s="1111"/>
      <c r="AA660" s="1111"/>
      <c r="AB660" s="1111"/>
      <c r="AC660" s="1111"/>
      <c r="AD660" s="1111"/>
      <c r="AE660" s="1111"/>
      <c r="AF660" s="1111"/>
      <c r="AG660" s="1111"/>
    </row>
    <row r="661" spans="1:33" s="1295" customFormat="1">
      <c r="A661" s="1264"/>
      <c r="D661" s="1118"/>
      <c r="E661" s="1264"/>
      <c r="F661" s="1118"/>
      <c r="G661" s="1118"/>
      <c r="H661" s="1118"/>
      <c r="I661" s="1118"/>
      <c r="J661" s="1118"/>
      <c r="K661" s="1118"/>
      <c r="L661" s="1118"/>
      <c r="M661" s="1118"/>
      <c r="N661" s="1118"/>
      <c r="O661" s="1118"/>
      <c r="P661" s="1118"/>
      <c r="Q661" s="1111"/>
      <c r="R661" s="1111"/>
      <c r="S661" s="1111"/>
      <c r="T661" s="1111"/>
      <c r="U661" s="1111"/>
      <c r="V661" s="1111"/>
      <c r="W661" s="1111"/>
      <c r="X661" s="1111"/>
      <c r="Y661" s="1111"/>
      <c r="Z661" s="1111"/>
      <c r="AA661" s="1111"/>
      <c r="AB661" s="1111"/>
      <c r="AC661" s="1111"/>
      <c r="AD661" s="1111"/>
      <c r="AE661" s="1111"/>
      <c r="AF661" s="1111"/>
      <c r="AG661" s="1111"/>
    </row>
    <row r="662" spans="1:33" s="1295" customFormat="1">
      <c r="A662" s="1264"/>
      <c r="D662" s="1118"/>
      <c r="E662" s="1264"/>
      <c r="F662" s="1118"/>
      <c r="G662" s="1118"/>
      <c r="H662" s="1118"/>
      <c r="I662" s="1118"/>
      <c r="J662" s="1118"/>
      <c r="K662" s="1118"/>
      <c r="L662" s="1118"/>
      <c r="M662" s="1118"/>
      <c r="N662" s="1118"/>
      <c r="O662" s="1118"/>
      <c r="P662" s="1118"/>
      <c r="Q662" s="1111"/>
      <c r="R662" s="1111"/>
      <c r="S662" s="1111"/>
      <c r="T662" s="1111"/>
      <c r="U662" s="1111"/>
      <c r="V662" s="1111"/>
      <c r="W662" s="1111"/>
      <c r="X662" s="1111"/>
      <c r="Y662" s="1111"/>
      <c r="Z662" s="1111"/>
      <c r="AA662" s="1111"/>
      <c r="AB662" s="1111"/>
      <c r="AC662" s="1111"/>
      <c r="AD662" s="1111"/>
      <c r="AE662" s="1111"/>
      <c r="AF662" s="1111"/>
      <c r="AG662" s="1111"/>
    </row>
    <row r="663" spans="1:33" s="1295" customFormat="1">
      <c r="A663" s="1264"/>
      <c r="D663" s="1118"/>
      <c r="E663" s="1264"/>
      <c r="F663" s="1118"/>
      <c r="G663" s="1118"/>
      <c r="H663" s="1118"/>
      <c r="I663" s="1118"/>
      <c r="J663" s="1118"/>
      <c r="K663" s="1118"/>
      <c r="L663" s="1118"/>
      <c r="M663" s="1118"/>
      <c r="N663" s="1118"/>
      <c r="O663" s="1118"/>
      <c r="P663" s="1118"/>
      <c r="Q663" s="1111"/>
      <c r="R663" s="1111"/>
      <c r="S663" s="1111"/>
      <c r="T663" s="1111"/>
      <c r="U663" s="1111"/>
      <c r="V663" s="1111"/>
      <c r="W663" s="1111"/>
      <c r="X663" s="1111"/>
      <c r="Y663" s="1111"/>
      <c r="Z663" s="1111"/>
      <c r="AA663" s="1111"/>
      <c r="AB663" s="1111"/>
      <c r="AC663" s="1111"/>
      <c r="AD663" s="1111"/>
      <c r="AE663" s="1111"/>
      <c r="AF663" s="1111"/>
      <c r="AG663" s="1111"/>
    </row>
    <row r="664" spans="1:33" s="1295" customFormat="1">
      <c r="A664" s="1264"/>
      <c r="D664" s="1118"/>
      <c r="E664" s="1264"/>
      <c r="F664" s="1118"/>
      <c r="G664" s="1118"/>
      <c r="H664" s="1118"/>
      <c r="I664" s="1118"/>
      <c r="J664" s="1118"/>
      <c r="K664" s="1118"/>
      <c r="L664" s="1118"/>
      <c r="M664" s="1118"/>
      <c r="N664" s="1118"/>
      <c r="O664" s="1118"/>
      <c r="P664" s="1118"/>
      <c r="Q664" s="1111"/>
      <c r="R664" s="1111"/>
      <c r="S664" s="1111"/>
      <c r="T664" s="1111"/>
      <c r="U664" s="1111"/>
      <c r="V664" s="1111"/>
      <c r="W664" s="1111"/>
      <c r="X664" s="1111"/>
      <c r="Y664" s="1111"/>
      <c r="Z664" s="1111"/>
      <c r="AA664" s="1111"/>
      <c r="AB664" s="1111"/>
      <c r="AC664" s="1111"/>
      <c r="AD664" s="1111"/>
      <c r="AE664" s="1111"/>
      <c r="AF664" s="1111"/>
      <c r="AG664" s="1111"/>
    </row>
    <row r="665" spans="1:33" s="1295" customFormat="1">
      <c r="A665" s="1264"/>
      <c r="D665" s="1118"/>
      <c r="E665" s="1264"/>
      <c r="F665" s="1118"/>
      <c r="G665" s="1118"/>
      <c r="H665" s="1118"/>
      <c r="I665" s="1118"/>
      <c r="J665" s="1118"/>
      <c r="K665" s="1118"/>
      <c r="L665" s="1118"/>
      <c r="M665" s="1118"/>
      <c r="N665" s="1118"/>
      <c r="O665" s="1118"/>
      <c r="P665" s="1118"/>
      <c r="Q665" s="1111"/>
      <c r="R665" s="1111"/>
      <c r="S665" s="1111"/>
      <c r="T665" s="1111"/>
      <c r="U665" s="1111"/>
      <c r="V665" s="1111"/>
      <c r="W665" s="1111"/>
      <c r="X665" s="1111"/>
      <c r="Y665" s="1111"/>
      <c r="Z665" s="1111"/>
      <c r="AA665" s="1111"/>
      <c r="AB665" s="1111"/>
      <c r="AC665" s="1111"/>
      <c r="AD665" s="1111"/>
      <c r="AE665" s="1111"/>
      <c r="AF665" s="1111"/>
      <c r="AG665" s="1111"/>
    </row>
    <row r="666" spans="1:33" s="1295" customFormat="1">
      <c r="A666" s="1264"/>
      <c r="D666" s="1118"/>
      <c r="E666" s="1264"/>
      <c r="F666" s="1118"/>
      <c r="G666" s="1118"/>
      <c r="H666" s="1118"/>
      <c r="I666" s="1118"/>
      <c r="J666" s="1118"/>
      <c r="K666" s="1118"/>
      <c r="L666" s="1118"/>
      <c r="M666" s="1118"/>
      <c r="N666" s="1118"/>
      <c r="O666" s="1118"/>
      <c r="P666" s="1118"/>
      <c r="Q666" s="1111"/>
      <c r="R666" s="1111"/>
      <c r="S666" s="1111"/>
      <c r="T666" s="1111"/>
      <c r="U666" s="1111"/>
      <c r="V666" s="1111"/>
      <c r="W666" s="1111"/>
      <c r="X666" s="1111"/>
      <c r="Y666" s="1111"/>
      <c r="Z666" s="1111"/>
      <c r="AA666" s="1111"/>
      <c r="AB666" s="1111"/>
      <c r="AC666" s="1111"/>
      <c r="AD666" s="1111"/>
      <c r="AE666" s="1111"/>
      <c r="AF666" s="1111"/>
      <c r="AG666" s="1111"/>
    </row>
    <row r="667" spans="1:33" s="1295" customFormat="1">
      <c r="A667" s="1264"/>
      <c r="D667" s="1118"/>
      <c r="E667" s="1264"/>
      <c r="F667" s="1118"/>
      <c r="G667" s="1118"/>
      <c r="H667" s="1118"/>
      <c r="I667" s="1118"/>
      <c r="J667" s="1118"/>
      <c r="K667" s="1118"/>
      <c r="L667" s="1118"/>
      <c r="M667" s="1118"/>
      <c r="N667" s="1118"/>
      <c r="O667" s="1118"/>
      <c r="P667" s="1118"/>
      <c r="Q667" s="1111"/>
      <c r="R667" s="1111"/>
      <c r="S667" s="1111"/>
      <c r="T667" s="1111"/>
      <c r="U667" s="1111"/>
      <c r="V667" s="1111"/>
      <c r="W667" s="1111"/>
      <c r="X667" s="1111"/>
      <c r="Y667" s="1111"/>
      <c r="Z667" s="1111"/>
      <c r="AA667" s="1111"/>
      <c r="AB667" s="1111"/>
      <c r="AC667" s="1111"/>
      <c r="AD667" s="1111"/>
      <c r="AE667" s="1111"/>
      <c r="AF667" s="1111"/>
      <c r="AG667" s="1111"/>
    </row>
    <row r="668" spans="1:33" s="1295" customFormat="1">
      <c r="A668" s="1264"/>
      <c r="D668" s="1118"/>
      <c r="E668" s="1264"/>
      <c r="F668" s="1118"/>
      <c r="G668" s="1118"/>
      <c r="H668" s="1118"/>
      <c r="I668" s="1118"/>
      <c r="J668" s="1118"/>
      <c r="K668" s="1118"/>
      <c r="L668" s="1118"/>
      <c r="M668" s="1118"/>
      <c r="N668" s="1118"/>
      <c r="O668" s="1118"/>
      <c r="P668" s="1118"/>
      <c r="Q668" s="1111"/>
      <c r="R668" s="1111"/>
      <c r="S668" s="1111"/>
      <c r="T668" s="1111"/>
      <c r="U668" s="1111"/>
      <c r="V668" s="1111"/>
      <c r="W668" s="1111"/>
      <c r="X668" s="1111"/>
      <c r="Y668" s="1111"/>
      <c r="Z668" s="1111"/>
      <c r="AA668" s="1111"/>
      <c r="AB668" s="1111"/>
      <c r="AC668" s="1111"/>
      <c r="AD668" s="1111"/>
      <c r="AE668" s="1111"/>
      <c r="AF668" s="1111"/>
      <c r="AG668" s="1111"/>
    </row>
    <row r="669" spans="1:33" s="1295" customFormat="1">
      <c r="A669" s="1264"/>
      <c r="D669" s="1118"/>
      <c r="E669" s="1264"/>
      <c r="F669" s="1118"/>
      <c r="G669" s="1118"/>
      <c r="H669" s="1118"/>
      <c r="I669" s="1118"/>
      <c r="J669" s="1118"/>
      <c r="K669" s="1118"/>
      <c r="L669" s="1118"/>
      <c r="M669" s="1118"/>
      <c r="N669" s="1118"/>
      <c r="O669" s="1118"/>
      <c r="P669" s="1118"/>
      <c r="Q669" s="1111"/>
      <c r="R669" s="1111"/>
      <c r="S669" s="1111"/>
      <c r="T669" s="1111"/>
      <c r="U669" s="1111"/>
      <c r="V669" s="1111"/>
      <c r="W669" s="1111"/>
      <c r="X669" s="1111"/>
      <c r="Y669" s="1111"/>
      <c r="Z669" s="1111"/>
      <c r="AA669" s="1111"/>
      <c r="AB669" s="1111"/>
      <c r="AC669" s="1111"/>
      <c r="AD669" s="1111"/>
      <c r="AE669" s="1111"/>
      <c r="AF669" s="1111"/>
      <c r="AG669" s="1111"/>
    </row>
    <row r="670" spans="1:33" s="1295" customFormat="1">
      <c r="A670" s="1264"/>
      <c r="D670" s="1118"/>
      <c r="E670" s="1264"/>
      <c r="F670" s="1118"/>
      <c r="G670" s="1118"/>
      <c r="H670" s="1118"/>
      <c r="I670" s="1118"/>
      <c r="J670" s="1118"/>
      <c r="K670" s="1118"/>
      <c r="L670" s="1118"/>
      <c r="M670" s="1118"/>
      <c r="N670" s="1118"/>
      <c r="O670" s="1118"/>
      <c r="P670" s="1118"/>
      <c r="Q670" s="1111"/>
      <c r="R670" s="1111"/>
      <c r="S670" s="1111"/>
      <c r="T670" s="1111"/>
      <c r="U670" s="1111"/>
      <c r="V670" s="1111"/>
      <c r="W670" s="1111"/>
      <c r="X670" s="1111"/>
      <c r="Y670" s="1111"/>
      <c r="Z670" s="1111"/>
      <c r="AA670" s="1111"/>
      <c r="AB670" s="1111"/>
      <c r="AC670" s="1111"/>
      <c r="AD670" s="1111"/>
      <c r="AE670" s="1111"/>
      <c r="AF670" s="1111"/>
      <c r="AG670" s="1111"/>
    </row>
    <row r="671" spans="1:33" s="1295" customFormat="1">
      <c r="A671" s="1264"/>
      <c r="D671" s="1118"/>
      <c r="E671" s="1264"/>
      <c r="F671" s="1118"/>
      <c r="G671" s="1118"/>
      <c r="H671" s="1118"/>
      <c r="I671" s="1118"/>
      <c r="J671" s="1118"/>
      <c r="K671" s="1118"/>
      <c r="L671" s="1118"/>
      <c r="M671" s="1118"/>
      <c r="N671" s="1118"/>
      <c r="O671" s="1118"/>
      <c r="P671" s="1118"/>
      <c r="Q671" s="1111"/>
      <c r="R671" s="1111"/>
      <c r="S671" s="1111"/>
      <c r="T671" s="1111"/>
      <c r="U671" s="1111"/>
      <c r="V671" s="1111"/>
      <c r="W671" s="1111"/>
      <c r="X671" s="1111"/>
      <c r="Y671" s="1111"/>
      <c r="Z671" s="1111"/>
      <c r="AA671" s="1111"/>
      <c r="AB671" s="1111"/>
      <c r="AC671" s="1111"/>
      <c r="AD671" s="1111"/>
      <c r="AE671" s="1111"/>
      <c r="AF671" s="1111"/>
      <c r="AG671" s="1111"/>
    </row>
    <row r="672" spans="1:33" s="1295" customFormat="1">
      <c r="A672" s="1264"/>
      <c r="D672" s="1118"/>
      <c r="E672" s="1264"/>
      <c r="F672" s="1118"/>
      <c r="G672" s="1118"/>
      <c r="H672" s="1118"/>
      <c r="I672" s="1118"/>
      <c r="J672" s="1118"/>
      <c r="K672" s="1118"/>
      <c r="L672" s="1118"/>
      <c r="M672" s="1118"/>
      <c r="N672" s="1118"/>
      <c r="O672" s="1118"/>
      <c r="P672" s="1118"/>
      <c r="Q672" s="1111"/>
      <c r="R672" s="1111"/>
      <c r="S672" s="1111"/>
      <c r="T672" s="1111"/>
      <c r="U672" s="1111"/>
      <c r="V672" s="1111"/>
      <c r="W672" s="1111"/>
      <c r="X672" s="1111"/>
      <c r="Y672" s="1111"/>
      <c r="Z672" s="1111"/>
      <c r="AA672" s="1111"/>
      <c r="AB672" s="1111"/>
      <c r="AC672" s="1111"/>
      <c r="AD672" s="1111"/>
      <c r="AE672" s="1111"/>
      <c r="AF672" s="1111"/>
      <c r="AG672" s="1111"/>
    </row>
    <row r="673" spans="1:33" s="1295" customFormat="1">
      <c r="A673" s="1264"/>
      <c r="D673" s="1118"/>
      <c r="E673" s="1264"/>
      <c r="F673" s="1118"/>
      <c r="G673" s="1118"/>
      <c r="H673" s="1118"/>
      <c r="I673" s="1118"/>
      <c r="J673" s="1118"/>
      <c r="K673" s="1118"/>
      <c r="L673" s="1118"/>
      <c r="M673" s="1118"/>
      <c r="N673" s="1118"/>
      <c r="O673" s="1118"/>
      <c r="P673" s="1118"/>
      <c r="Q673" s="1111"/>
      <c r="R673" s="1111"/>
      <c r="S673" s="1111"/>
      <c r="T673" s="1111"/>
      <c r="U673" s="1111"/>
      <c r="V673" s="1111"/>
      <c r="W673" s="1111"/>
      <c r="X673" s="1111"/>
      <c r="Y673" s="1111"/>
      <c r="Z673" s="1111"/>
      <c r="AA673" s="1111"/>
      <c r="AB673" s="1111"/>
      <c r="AC673" s="1111"/>
      <c r="AD673" s="1111"/>
      <c r="AE673" s="1111"/>
      <c r="AF673" s="1111"/>
      <c r="AG673" s="1111"/>
    </row>
    <row r="674" spans="1:33" s="1295" customFormat="1">
      <c r="A674" s="1264"/>
      <c r="D674" s="1118"/>
      <c r="E674" s="1264"/>
      <c r="F674" s="1118"/>
      <c r="G674" s="1118"/>
      <c r="H674" s="1118"/>
      <c r="I674" s="1118"/>
      <c r="J674" s="1118"/>
      <c r="K674" s="1118"/>
      <c r="L674" s="1118"/>
      <c r="M674" s="1118"/>
      <c r="N674" s="1118"/>
      <c r="O674" s="1118"/>
      <c r="P674" s="1118"/>
      <c r="Q674" s="1111"/>
      <c r="R674" s="1111"/>
      <c r="S674" s="1111"/>
      <c r="T674" s="1111"/>
      <c r="U674" s="1111"/>
      <c r="V674" s="1111"/>
      <c r="W674" s="1111"/>
      <c r="X674" s="1111"/>
      <c r="Y674" s="1111"/>
      <c r="Z674" s="1111"/>
      <c r="AA674" s="1111"/>
      <c r="AB674" s="1111"/>
      <c r="AC674" s="1111"/>
      <c r="AD674" s="1111"/>
      <c r="AE674" s="1111"/>
      <c r="AF674" s="1111"/>
      <c r="AG674" s="1111"/>
    </row>
    <row r="675" spans="1:33" s="1295" customFormat="1">
      <c r="A675" s="1264"/>
      <c r="D675" s="1118"/>
      <c r="E675" s="1264"/>
      <c r="F675" s="1118"/>
      <c r="G675" s="1118"/>
      <c r="H675" s="1118"/>
      <c r="I675" s="1118"/>
      <c r="J675" s="1118"/>
      <c r="K675" s="1118"/>
      <c r="L675" s="1118"/>
      <c r="M675" s="1118"/>
      <c r="N675" s="1118"/>
      <c r="O675" s="1118"/>
      <c r="P675" s="1118"/>
      <c r="Q675" s="1111"/>
      <c r="R675" s="1111"/>
      <c r="S675" s="1111"/>
      <c r="T675" s="1111"/>
      <c r="U675" s="1111"/>
      <c r="V675" s="1111"/>
      <c r="W675" s="1111"/>
      <c r="X675" s="1111"/>
      <c r="Y675" s="1111"/>
      <c r="Z675" s="1111"/>
      <c r="AA675" s="1111"/>
      <c r="AB675" s="1111"/>
      <c r="AC675" s="1111"/>
      <c r="AD675" s="1111"/>
      <c r="AE675" s="1111"/>
      <c r="AF675" s="1111"/>
      <c r="AG675" s="1111"/>
    </row>
    <row r="676" spans="1:33" s="1295" customFormat="1">
      <c r="A676" s="1264"/>
      <c r="D676" s="1118"/>
      <c r="E676" s="1264"/>
      <c r="F676" s="1118"/>
      <c r="G676" s="1118"/>
      <c r="H676" s="1118"/>
      <c r="I676" s="1118"/>
      <c r="J676" s="1118"/>
      <c r="K676" s="1118"/>
      <c r="L676" s="1118"/>
      <c r="M676" s="1118"/>
      <c r="N676" s="1118"/>
      <c r="O676" s="1118"/>
      <c r="P676" s="1118"/>
      <c r="Q676" s="1111"/>
      <c r="R676" s="1111"/>
      <c r="S676" s="1111"/>
      <c r="T676" s="1111"/>
      <c r="U676" s="1111"/>
      <c r="V676" s="1111"/>
      <c r="W676" s="1111"/>
      <c r="X676" s="1111"/>
      <c r="Y676" s="1111"/>
      <c r="Z676" s="1111"/>
      <c r="AA676" s="1111"/>
      <c r="AB676" s="1111"/>
      <c r="AC676" s="1111"/>
      <c r="AD676" s="1111"/>
      <c r="AE676" s="1111"/>
      <c r="AF676" s="1111"/>
      <c r="AG676" s="1111"/>
    </row>
    <row r="677" spans="1:33" s="1295" customFormat="1">
      <c r="A677" s="1264"/>
      <c r="D677" s="1118"/>
      <c r="E677" s="1264"/>
      <c r="F677" s="1118"/>
      <c r="G677" s="1118"/>
      <c r="H677" s="1118"/>
      <c r="I677" s="1118"/>
      <c r="J677" s="1118"/>
      <c r="K677" s="1118"/>
      <c r="L677" s="1118"/>
      <c r="M677" s="1118"/>
      <c r="N677" s="1118"/>
      <c r="O677" s="1118"/>
      <c r="P677" s="1118"/>
      <c r="Q677" s="1111"/>
      <c r="R677" s="1111"/>
      <c r="S677" s="1111"/>
      <c r="T677" s="1111"/>
      <c r="U677" s="1111"/>
      <c r="V677" s="1111"/>
      <c r="W677" s="1111"/>
      <c r="X677" s="1111"/>
      <c r="Y677" s="1111"/>
      <c r="Z677" s="1111"/>
      <c r="AA677" s="1111"/>
      <c r="AB677" s="1111"/>
      <c r="AC677" s="1111"/>
      <c r="AD677" s="1111"/>
      <c r="AE677" s="1111"/>
      <c r="AF677" s="1111"/>
      <c r="AG677" s="1111"/>
    </row>
    <row r="678" spans="1:33" s="1295" customFormat="1">
      <c r="A678" s="1264"/>
      <c r="D678" s="1118"/>
      <c r="E678" s="1264"/>
      <c r="F678" s="1118"/>
      <c r="G678" s="1118"/>
      <c r="H678" s="1118"/>
      <c r="I678" s="1118"/>
      <c r="J678" s="1118"/>
      <c r="K678" s="1118"/>
      <c r="L678" s="1118"/>
      <c r="M678" s="1118"/>
      <c r="N678" s="1118"/>
      <c r="O678" s="1118"/>
      <c r="P678" s="1118"/>
      <c r="Q678" s="1111"/>
      <c r="R678" s="1111"/>
      <c r="S678" s="1111"/>
      <c r="T678" s="1111"/>
      <c r="U678" s="1111"/>
      <c r="V678" s="1111"/>
      <c r="W678" s="1111"/>
      <c r="X678" s="1111"/>
      <c r="Y678" s="1111"/>
      <c r="Z678" s="1111"/>
      <c r="AA678" s="1111"/>
      <c r="AB678" s="1111"/>
      <c r="AC678" s="1111"/>
      <c r="AD678" s="1111"/>
      <c r="AE678" s="1111"/>
      <c r="AF678" s="1111"/>
      <c r="AG678" s="1111"/>
    </row>
    <row r="679" spans="1:33" s="1295" customFormat="1">
      <c r="A679" s="1264"/>
      <c r="D679" s="1118"/>
      <c r="E679" s="1264"/>
      <c r="F679" s="1118"/>
      <c r="G679" s="1118"/>
      <c r="H679" s="1118"/>
      <c r="I679" s="1118"/>
      <c r="J679" s="1118"/>
      <c r="K679" s="1118"/>
      <c r="L679" s="1118"/>
      <c r="M679" s="1118"/>
      <c r="N679" s="1118"/>
      <c r="O679" s="1118"/>
      <c r="P679" s="1118"/>
      <c r="Q679" s="1111"/>
      <c r="R679" s="1111"/>
      <c r="S679" s="1111"/>
      <c r="T679" s="1111"/>
      <c r="U679" s="1111"/>
      <c r="V679" s="1111"/>
      <c r="W679" s="1111"/>
      <c r="X679" s="1111"/>
      <c r="Y679" s="1111"/>
      <c r="Z679" s="1111"/>
      <c r="AA679" s="1111"/>
      <c r="AB679" s="1111"/>
      <c r="AC679" s="1111"/>
      <c r="AD679" s="1111"/>
      <c r="AE679" s="1111"/>
      <c r="AF679" s="1111"/>
      <c r="AG679" s="1111"/>
    </row>
    <row r="680" spans="1:33" s="1295" customFormat="1">
      <c r="A680" s="1264"/>
      <c r="D680" s="1118"/>
      <c r="E680" s="1264"/>
      <c r="F680" s="1118"/>
      <c r="G680" s="1118"/>
      <c r="H680" s="1118"/>
      <c r="I680" s="1118"/>
      <c r="J680" s="1118"/>
      <c r="K680" s="1118"/>
      <c r="L680" s="1118"/>
      <c r="M680" s="1118"/>
      <c r="N680" s="1118"/>
      <c r="O680" s="1118"/>
      <c r="P680" s="1118"/>
      <c r="Q680" s="1111"/>
      <c r="R680" s="1111"/>
      <c r="S680" s="1111"/>
      <c r="T680" s="1111"/>
      <c r="U680" s="1111"/>
      <c r="V680" s="1111"/>
      <c r="W680" s="1111"/>
      <c r="X680" s="1111"/>
      <c r="Y680" s="1111"/>
      <c r="Z680" s="1111"/>
      <c r="AA680" s="1111"/>
      <c r="AB680" s="1111"/>
      <c r="AC680" s="1111"/>
      <c r="AD680" s="1111"/>
      <c r="AE680" s="1111"/>
      <c r="AF680" s="1111"/>
      <c r="AG680" s="1111"/>
    </row>
    <row r="681" spans="1:33" s="1295" customFormat="1">
      <c r="A681" s="1264"/>
      <c r="D681" s="1118"/>
      <c r="E681" s="1264"/>
      <c r="F681" s="1118"/>
      <c r="G681" s="1118"/>
      <c r="H681" s="1118"/>
      <c r="I681" s="1118"/>
      <c r="J681" s="1118"/>
      <c r="K681" s="1118"/>
      <c r="L681" s="1118"/>
      <c r="M681" s="1118"/>
      <c r="N681" s="1118"/>
      <c r="O681" s="1118"/>
      <c r="P681" s="1118"/>
      <c r="Q681" s="1111"/>
      <c r="R681" s="1111"/>
      <c r="S681" s="1111"/>
      <c r="T681" s="1111"/>
      <c r="U681" s="1111"/>
      <c r="V681" s="1111"/>
      <c r="W681" s="1111"/>
      <c r="X681" s="1111"/>
      <c r="Y681" s="1111"/>
      <c r="Z681" s="1111"/>
      <c r="AA681" s="1111"/>
      <c r="AB681" s="1111"/>
      <c r="AC681" s="1111"/>
      <c r="AD681" s="1111"/>
      <c r="AE681" s="1111"/>
      <c r="AF681" s="1111"/>
      <c r="AG681" s="1111"/>
    </row>
    <row r="682" spans="1:33" s="1295" customFormat="1">
      <c r="A682" s="1264"/>
      <c r="D682" s="1118"/>
      <c r="E682" s="1264"/>
      <c r="F682" s="1118"/>
      <c r="G682" s="1118"/>
      <c r="H682" s="1118"/>
      <c r="I682" s="1118"/>
      <c r="J682" s="1118"/>
      <c r="K682" s="1118"/>
      <c r="L682" s="1118"/>
      <c r="M682" s="1118"/>
      <c r="N682" s="1118"/>
      <c r="O682" s="1118"/>
      <c r="P682" s="1118"/>
      <c r="Q682" s="1111"/>
      <c r="R682" s="1111"/>
      <c r="S682" s="1111"/>
      <c r="T682" s="1111"/>
      <c r="U682" s="1111"/>
      <c r="V682" s="1111"/>
      <c r="W682" s="1111"/>
      <c r="X682" s="1111"/>
      <c r="Y682" s="1111"/>
      <c r="Z682" s="1111"/>
      <c r="AA682" s="1111"/>
      <c r="AB682" s="1111"/>
      <c r="AC682" s="1111"/>
      <c r="AD682" s="1111"/>
      <c r="AE682" s="1111"/>
      <c r="AF682" s="1111"/>
      <c r="AG682" s="1111"/>
    </row>
    <row r="683" spans="1:33" s="1295" customFormat="1">
      <c r="A683" s="1264"/>
      <c r="D683" s="1118"/>
      <c r="E683" s="1264"/>
      <c r="F683" s="1118"/>
      <c r="G683" s="1118"/>
      <c r="H683" s="1118"/>
      <c r="I683" s="1118"/>
      <c r="J683" s="1118"/>
      <c r="K683" s="1118"/>
      <c r="L683" s="1118"/>
      <c r="M683" s="1118"/>
      <c r="N683" s="1118"/>
      <c r="O683" s="1118"/>
      <c r="P683" s="1118"/>
      <c r="Q683" s="1111"/>
      <c r="R683" s="1111"/>
      <c r="S683" s="1111"/>
      <c r="T683" s="1111"/>
      <c r="U683" s="1111"/>
      <c r="V683" s="1111"/>
      <c r="W683" s="1111"/>
      <c r="X683" s="1111"/>
      <c r="Y683" s="1111"/>
      <c r="Z683" s="1111"/>
      <c r="AA683" s="1111"/>
      <c r="AB683" s="1111"/>
      <c r="AC683" s="1111"/>
      <c r="AD683" s="1111"/>
      <c r="AE683" s="1111"/>
      <c r="AF683" s="1111"/>
      <c r="AG683" s="1111"/>
    </row>
    <row r="684" spans="1:33" s="1295" customFormat="1">
      <c r="A684" s="1264"/>
      <c r="D684" s="1118"/>
      <c r="E684" s="1264"/>
      <c r="F684" s="1118"/>
      <c r="G684" s="1118"/>
      <c r="H684" s="1118"/>
      <c r="I684" s="1118"/>
      <c r="J684" s="1118"/>
      <c r="K684" s="1118"/>
      <c r="L684" s="1118"/>
      <c r="M684" s="1118"/>
      <c r="N684" s="1118"/>
      <c r="O684" s="1118"/>
      <c r="P684" s="1118"/>
      <c r="Q684" s="1111"/>
      <c r="R684" s="1111"/>
      <c r="S684" s="1111"/>
      <c r="T684" s="1111"/>
      <c r="U684" s="1111"/>
      <c r="V684" s="1111"/>
      <c r="W684" s="1111"/>
      <c r="X684" s="1111"/>
      <c r="Y684" s="1111"/>
      <c r="Z684" s="1111"/>
      <c r="AA684" s="1111"/>
      <c r="AB684" s="1111"/>
      <c r="AC684" s="1111"/>
      <c r="AD684" s="1111"/>
      <c r="AE684" s="1111"/>
      <c r="AF684" s="1111"/>
      <c r="AG684" s="1111"/>
    </row>
    <row r="685" spans="1:33" s="1295" customFormat="1">
      <c r="A685" s="1264"/>
      <c r="D685" s="1118"/>
      <c r="E685" s="1264"/>
      <c r="F685" s="1118"/>
      <c r="G685" s="1118"/>
      <c r="H685" s="1118"/>
      <c r="I685" s="1118"/>
      <c r="J685" s="1118"/>
      <c r="K685" s="1118"/>
      <c r="L685" s="1118"/>
      <c r="M685" s="1118"/>
      <c r="N685" s="1118"/>
      <c r="O685" s="1118"/>
      <c r="P685" s="1118"/>
      <c r="Q685" s="1111"/>
      <c r="R685" s="1111"/>
      <c r="S685" s="1111"/>
      <c r="T685" s="1111"/>
      <c r="U685" s="1111"/>
      <c r="V685" s="1111"/>
      <c r="W685" s="1111"/>
      <c r="X685" s="1111"/>
      <c r="Y685" s="1111"/>
      <c r="Z685" s="1111"/>
      <c r="AA685" s="1111"/>
      <c r="AB685" s="1111"/>
      <c r="AC685" s="1111"/>
      <c r="AD685" s="1111"/>
      <c r="AE685" s="1111"/>
      <c r="AF685" s="1111"/>
      <c r="AG685" s="1111"/>
    </row>
    <row r="686" spans="1:33" s="1295" customFormat="1">
      <c r="A686" s="1264"/>
      <c r="D686" s="1118"/>
      <c r="E686" s="1264"/>
      <c r="F686" s="1118"/>
      <c r="G686" s="1118"/>
      <c r="H686" s="1118"/>
      <c r="I686" s="1118"/>
      <c r="J686" s="1118"/>
      <c r="K686" s="1118"/>
      <c r="L686" s="1118"/>
      <c r="M686" s="1118"/>
      <c r="N686" s="1118"/>
      <c r="O686" s="1118"/>
      <c r="P686" s="1118"/>
      <c r="Q686" s="1111"/>
      <c r="R686" s="1111"/>
      <c r="S686" s="1111"/>
      <c r="T686" s="1111"/>
      <c r="U686" s="1111"/>
      <c r="V686" s="1111"/>
      <c r="W686" s="1111"/>
      <c r="X686" s="1111"/>
      <c r="Y686" s="1111"/>
      <c r="Z686" s="1111"/>
      <c r="AA686" s="1111"/>
      <c r="AB686" s="1111"/>
      <c r="AC686" s="1111"/>
      <c r="AD686" s="1111"/>
      <c r="AE686" s="1111"/>
      <c r="AF686" s="1111"/>
      <c r="AG686" s="1111"/>
    </row>
    <row r="687" spans="1:33" s="1295" customFormat="1">
      <c r="A687" s="1264"/>
      <c r="D687" s="1118"/>
      <c r="E687" s="1264"/>
      <c r="F687" s="1118"/>
      <c r="G687" s="1118"/>
      <c r="H687" s="1118"/>
      <c r="I687" s="1118"/>
      <c r="J687" s="1118"/>
      <c r="K687" s="1118"/>
      <c r="L687" s="1118"/>
      <c r="M687" s="1118"/>
      <c r="N687" s="1118"/>
      <c r="O687" s="1118"/>
      <c r="P687" s="1118"/>
      <c r="Q687" s="1111"/>
      <c r="R687" s="1111"/>
      <c r="S687" s="1111"/>
      <c r="T687" s="1111"/>
      <c r="U687" s="1111"/>
      <c r="V687" s="1111"/>
      <c r="W687" s="1111"/>
      <c r="X687" s="1111"/>
      <c r="Y687" s="1111"/>
      <c r="Z687" s="1111"/>
      <c r="AA687" s="1111"/>
      <c r="AB687" s="1111"/>
      <c r="AC687" s="1111"/>
      <c r="AD687" s="1111"/>
      <c r="AE687" s="1111"/>
      <c r="AF687" s="1111"/>
      <c r="AG687" s="1111"/>
    </row>
    <row r="688" spans="1:33" s="1295" customFormat="1">
      <c r="A688" s="1264"/>
      <c r="D688" s="1118"/>
      <c r="E688" s="1264"/>
      <c r="F688" s="1118"/>
      <c r="G688" s="1118"/>
      <c r="H688" s="1118"/>
      <c r="I688" s="1118"/>
      <c r="J688" s="1118"/>
      <c r="K688" s="1118"/>
      <c r="L688" s="1118"/>
      <c r="M688" s="1118"/>
      <c r="N688" s="1118"/>
      <c r="O688" s="1118"/>
      <c r="P688" s="1118"/>
      <c r="Q688" s="1111"/>
      <c r="R688" s="1111"/>
      <c r="S688" s="1111"/>
      <c r="T688" s="1111"/>
      <c r="U688" s="1111"/>
      <c r="V688" s="1111"/>
      <c r="W688" s="1111"/>
      <c r="X688" s="1111"/>
      <c r="Y688" s="1111"/>
      <c r="Z688" s="1111"/>
      <c r="AA688" s="1111"/>
      <c r="AB688" s="1111"/>
      <c r="AC688" s="1111"/>
      <c r="AD688" s="1111"/>
      <c r="AE688" s="1111"/>
      <c r="AF688" s="1111"/>
      <c r="AG688" s="1111"/>
    </row>
    <row r="689" spans="1:33" s="1295" customFormat="1">
      <c r="A689" s="1264"/>
      <c r="D689" s="1118"/>
      <c r="E689" s="1264"/>
      <c r="F689" s="1118"/>
      <c r="G689" s="1118"/>
      <c r="H689" s="1118"/>
      <c r="I689" s="1118"/>
      <c r="J689" s="1118"/>
      <c r="K689" s="1118"/>
      <c r="L689" s="1118"/>
      <c r="M689" s="1118"/>
      <c r="N689" s="1118"/>
      <c r="O689" s="1118"/>
      <c r="P689" s="1118"/>
      <c r="Q689" s="1111"/>
      <c r="R689" s="1111"/>
      <c r="S689" s="1111"/>
      <c r="T689" s="1111"/>
      <c r="U689" s="1111"/>
      <c r="V689" s="1111"/>
      <c r="W689" s="1111"/>
      <c r="X689" s="1111"/>
      <c r="Y689" s="1111"/>
      <c r="Z689" s="1111"/>
      <c r="AA689" s="1111"/>
      <c r="AB689" s="1111"/>
      <c r="AC689" s="1111"/>
      <c r="AD689" s="1111"/>
      <c r="AE689" s="1111"/>
      <c r="AF689" s="1111"/>
      <c r="AG689" s="1111"/>
    </row>
    <row r="690" spans="1:33" s="1295" customFormat="1">
      <c r="A690" s="1264"/>
      <c r="D690" s="1118"/>
      <c r="E690" s="1264"/>
      <c r="F690" s="1118"/>
      <c r="G690" s="1118"/>
      <c r="H690" s="1118"/>
      <c r="I690" s="1118"/>
      <c r="J690" s="1118"/>
      <c r="K690" s="1118"/>
      <c r="L690" s="1118"/>
      <c r="M690" s="1118"/>
      <c r="N690" s="1118"/>
      <c r="O690" s="1118"/>
      <c r="P690" s="1118"/>
      <c r="Q690" s="1111"/>
      <c r="R690" s="1111"/>
      <c r="S690" s="1111"/>
      <c r="T690" s="1111"/>
      <c r="U690" s="1111"/>
      <c r="V690" s="1111"/>
      <c r="W690" s="1111"/>
      <c r="X690" s="1111"/>
      <c r="Y690" s="1111"/>
      <c r="Z690" s="1111"/>
      <c r="AA690" s="1111"/>
      <c r="AB690" s="1111"/>
      <c r="AC690" s="1111"/>
      <c r="AD690" s="1111"/>
      <c r="AE690" s="1111"/>
      <c r="AF690" s="1111"/>
      <c r="AG690" s="1111"/>
    </row>
    <row r="691" spans="1:33" s="1295" customFormat="1">
      <c r="A691" s="1264"/>
      <c r="D691" s="1118"/>
      <c r="E691" s="1264"/>
      <c r="F691" s="1118"/>
      <c r="G691" s="1118"/>
      <c r="H691" s="1118"/>
      <c r="I691" s="1118"/>
      <c r="J691" s="1118"/>
      <c r="K691" s="1118"/>
      <c r="L691" s="1118"/>
      <c r="M691" s="1118"/>
      <c r="N691" s="1118"/>
      <c r="O691" s="1118"/>
      <c r="P691" s="1118"/>
      <c r="Q691" s="1111"/>
      <c r="R691" s="1111"/>
      <c r="S691" s="1111"/>
      <c r="T691" s="1111"/>
      <c r="U691" s="1111"/>
      <c r="V691" s="1111"/>
      <c r="W691" s="1111"/>
      <c r="X691" s="1111"/>
      <c r="Y691" s="1111"/>
      <c r="Z691" s="1111"/>
      <c r="AA691" s="1111"/>
      <c r="AB691" s="1111"/>
      <c r="AC691" s="1111"/>
      <c r="AD691" s="1111"/>
      <c r="AE691" s="1111"/>
      <c r="AF691" s="1111"/>
      <c r="AG691" s="1111"/>
    </row>
    <row r="692" spans="1:33" s="1295" customFormat="1">
      <c r="A692" s="1264"/>
      <c r="D692" s="1118"/>
      <c r="E692" s="1264"/>
      <c r="F692" s="1118"/>
      <c r="G692" s="1118"/>
      <c r="H692" s="1118"/>
      <c r="I692" s="1118"/>
      <c r="J692" s="1118"/>
      <c r="K692" s="1118"/>
      <c r="L692" s="1118"/>
      <c r="M692" s="1118"/>
      <c r="N692" s="1118"/>
      <c r="O692" s="1118"/>
      <c r="P692" s="1118"/>
      <c r="Q692" s="1111"/>
      <c r="R692" s="1111"/>
      <c r="S692" s="1111"/>
      <c r="T692" s="1111"/>
      <c r="U692" s="1111"/>
      <c r="V692" s="1111"/>
      <c r="W692" s="1111"/>
      <c r="X692" s="1111"/>
      <c r="Y692" s="1111"/>
      <c r="Z692" s="1111"/>
      <c r="AA692" s="1111"/>
      <c r="AB692" s="1111"/>
      <c r="AC692" s="1111"/>
      <c r="AD692" s="1111"/>
      <c r="AE692" s="1111"/>
      <c r="AF692" s="1111"/>
      <c r="AG692" s="1111"/>
    </row>
    <row r="693" spans="1:33" s="1295" customFormat="1">
      <c r="A693" s="1264"/>
      <c r="D693" s="1118"/>
      <c r="E693" s="1264"/>
      <c r="F693" s="1118"/>
      <c r="G693" s="1118"/>
      <c r="H693" s="1118"/>
      <c r="I693" s="1118"/>
      <c r="J693" s="1118"/>
      <c r="K693" s="1118"/>
      <c r="L693" s="1118"/>
      <c r="M693" s="1118"/>
      <c r="N693" s="1118"/>
      <c r="O693" s="1118"/>
      <c r="P693" s="1118"/>
      <c r="Q693" s="1111"/>
      <c r="R693" s="1111"/>
      <c r="S693" s="1111"/>
      <c r="T693" s="1111"/>
      <c r="U693" s="1111"/>
      <c r="V693" s="1111"/>
      <c r="W693" s="1111"/>
      <c r="X693" s="1111"/>
      <c r="Y693" s="1111"/>
      <c r="Z693" s="1111"/>
      <c r="AA693" s="1111"/>
      <c r="AB693" s="1111"/>
      <c r="AC693" s="1111"/>
      <c r="AD693" s="1111"/>
      <c r="AE693" s="1111"/>
      <c r="AF693" s="1111"/>
      <c r="AG693" s="1111"/>
    </row>
    <row r="694" spans="1:33" s="1295" customFormat="1">
      <c r="A694" s="1264"/>
      <c r="D694" s="1118"/>
      <c r="E694" s="1264"/>
      <c r="F694" s="1118"/>
      <c r="G694" s="1118"/>
      <c r="H694" s="1118"/>
      <c r="I694" s="1118"/>
      <c r="J694" s="1118"/>
      <c r="K694" s="1118"/>
      <c r="L694" s="1118"/>
      <c r="M694" s="1118"/>
      <c r="N694" s="1118"/>
      <c r="O694" s="1118"/>
      <c r="P694" s="1118"/>
      <c r="Q694" s="1111"/>
      <c r="R694" s="1111"/>
      <c r="S694" s="1111"/>
      <c r="T694" s="1111"/>
      <c r="U694" s="1111"/>
      <c r="V694" s="1111"/>
      <c r="W694" s="1111"/>
      <c r="X694" s="1111"/>
      <c r="Y694" s="1111"/>
      <c r="Z694" s="1111"/>
      <c r="AA694" s="1111"/>
      <c r="AB694" s="1111"/>
      <c r="AC694" s="1111"/>
      <c r="AD694" s="1111"/>
      <c r="AE694" s="1111"/>
      <c r="AF694" s="1111"/>
      <c r="AG694" s="1111"/>
    </row>
    <row r="695" spans="1:33" s="1295" customFormat="1">
      <c r="A695" s="1264"/>
      <c r="D695" s="1118"/>
      <c r="E695" s="1264"/>
      <c r="F695" s="1118"/>
      <c r="G695" s="1118"/>
      <c r="H695" s="1118"/>
      <c r="I695" s="1118"/>
      <c r="J695" s="1118"/>
      <c r="K695" s="1118"/>
      <c r="L695" s="1118"/>
      <c r="M695" s="1118"/>
      <c r="N695" s="1118"/>
      <c r="O695" s="1118"/>
      <c r="P695" s="1118"/>
      <c r="Q695" s="1111"/>
      <c r="R695" s="1111"/>
      <c r="S695" s="1111"/>
      <c r="T695" s="1111"/>
      <c r="U695" s="1111"/>
      <c r="V695" s="1111"/>
      <c r="W695" s="1111"/>
      <c r="X695" s="1111"/>
      <c r="Y695" s="1111"/>
      <c r="Z695" s="1111"/>
      <c r="AA695" s="1111"/>
      <c r="AB695" s="1111"/>
      <c r="AC695" s="1111"/>
      <c r="AD695" s="1111"/>
      <c r="AE695" s="1111"/>
      <c r="AF695" s="1111"/>
      <c r="AG695" s="1111"/>
    </row>
    <row r="696" spans="1:33" s="1295" customFormat="1">
      <c r="A696" s="1264"/>
      <c r="D696" s="1118"/>
      <c r="E696" s="1264"/>
      <c r="F696" s="1118"/>
      <c r="G696" s="1118"/>
      <c r="H696" s="1118"/>
      <c r="I696" s="1118"/>
      <c r="J696" s="1118"/>
      <c r="K696" s="1118"/>
      <c r="L696" s="1118"/>
      <c r="M696" s="1118"/>
      <c r="N696" s="1118"/>
      <c r="O696" s="1118"/>
      <c r="P696" s="1118"/>
      <c r="Q696" s="1111"/>
      <c r="R696" s="1111"/>
      <c r="S696" s="1111"/>
      <c r="T696" s="1111"/>
      <c r="U696" s="1111"/>
      <c r="V696" s="1111"/>
      <c r="W696" s="1111"/>
      <c r="X696" s="1111"/>
      <c r="Y696" s="1111"/>
      <c r="Z696" s="1111"/>
      <c r="AA696" s="1111"/>
      <c r="AB696" s="1111"/>
      <c r="AC696" s="1111"/>
      <c r="AD696" s="1111"/>
      <c r="AE696" s="1111"/>
      <c r="AF696" s="1111"/>
      <c r="AG696" s="1111"/>
    </row>
    <row r="697" spans="1:33" s="1295" customFormat="1">
      <c r="A697" s="1264"/>
      <c r="D697" s="1118"/>
      <c r="E697" s="1264"/>
      <c r="F697" s="1118"/>
      <c r="G697" s="1118"/>
      <c r="H697" s="1118"/>
      <c r="I697" s="1118"/>
      <c r="J697" s="1118"/>
      <c r="K697" s="1118"/>
      <c r="L697" s="1118"/>
      <c r="M697" s="1118"/>
      <c r="N697" s="1118"/>
      <c r="O697" s="1118"/>
      <c r="P697" s="1118"/>
      <c r="Q697" s="1111"/>
      <c r="R697" s="1111"/>
      <c r="S697" s="1111"/>
      <c r="T697" s="1111"/>
      <c r="U697" s="1111"/>
      <c r="V697" s="1111"/>
      <c r="W697" s="1111"/>
      <c r="X697" s="1111"/>
      <c r="Y697" s="1111"/>
      <c r="Z697" s="1111"/>
      <c r="AA697" s="1111"/>
      <c r="AB697" s="1111"/>
      <c r="AC697" s="1111"/>
      <c r="AD697" s="1111"/>
      <c r="AE697" s="1111"/>
      <c r="AF697" s="1111"/>
      <c r="AG697" s="1111"/>
    </row>
    <row r="698" spans="1:33" s="1295" customFormat="1">
      <c r="A698" s="1264"/>
      <c r="D698" s="1118"/>
      <c r="E698" s="1264"/>
      <c r="F698" s="1118"/>
      <c r="G698" s="1118"/>
      <c r="H698" s="1118"/>
      <c r="I698" s="1118"/>
      <c r="J698" s="1118"/>
      <c r="K698" s="1118"/>
      <c r="L698" s="1118"/>
      <c r="M698" s="1118"/>
      <c r="N698" s="1118"/>
      <c r="O698" s="1118"/>
      <c r="P698" s="1118"/>
      <c r="Q698" s="1111"/>
      <c r="R698" s="1111"/>
      <c r="S698" s="1111"/>
      <c r="T698" s="1111"/>
      <c r="U698" s="1111"/>
      <c r="V698" s="1111"/>
      <c r="W698" s="1111"/>
      <c r="X698" s="1111"/>
      <c r="Y698" s="1111"/>
      <c r="Z698" s="1111"/>
      <c r="AA698" s="1111"/>
      <c r="AB698" s="1111"/>
      <c r="AC698" s="1111"/>
      <c r="AD698" s="1111"/>
      <c r="AE698" s="1111"/>
      <c r="AF698" s="1111"/>
      <c r="AG698" s="1111"/>
    </row>
    <row r="699" spans="1:33" s="1295" customFormat="1">
      <c r="A699" s="1264"/>
      <c r="D699" s="1118"/>
      <c r="E699" s="1264"/>
      <c r="F699" s="1118"/>
      <c r="G699" s="1118"/>
      <c r="H699" s="1118"/>
      <c r="I699" s="1118"/>
      <c r="J699" s="1118"/>
      <c r="K699" s="1118"/>
      <c r="L699" s="1118"/>
      <c r="M699" s="1118"/>
      <c r="N699" s="1118"/>
      <c r="O699" s="1118"/>
      <c r="P699" s="1118"/>
      <c r="Q699" s="1111"/>
      <c r="R699" s="1111"/>
      <c r="S699" s="1111"/>
      <c r="T699" s="1111"/>
      <c r="U699" s="1111"/>
      <c r="V699" s="1111"/>
      <c r="W699" s="1111"/>
      <c r="X699" s="1111"/>
      <c r="Y699" s="1111"/>
      <c r="Z699" s="1111"/>
      <c r="AA699" s="1111"/>
      <c r="AB699" s="1111"/>
      <c r="AC699" s="1111"/>
      <c r="AD699" s="1111"/>
      <c r="AE699" s="1111"/>
      <c r="AF699" s="1111"/>
      <c r="AG699" s="1111"/>
    </row>
    <row r="700" spans="1:33" s="1295" customFormat="1">
      <c r="A700" s="1264"/>
      <c r="D700" s="1118"/>
      <c r="E700" s="1264"/>
      <c r="F700" s="1118"/>
      <c r="G700" s="1118"/>
      <c r="H700" s="1118"/>
      <c r="I700" s="1118"/>
      <c r="J700" s="1118"/>
      <c r="K700" s="1118"/>
      <c r="L700" s="1118"/>
      <c r="M700" s="1118"/>
      <c r="N700" s="1118"/>
      <c r="O700" s="1118"/>
      <c r="P700" s="1118"/>
      <c r="Q700" s="1111"/>
      <c r="R700" s="1111"/>
      <c r="S700" s="1111"/>
      <c r="T700" s="1111"/>
      <c r="U700" s="1111"/>
      <c r="V700" s="1111"/>
      <c r="W700" s="1111"/>
      <c r="X700" s="1111"/>
      <c r="Y700" s="1111"/>
      <c r="Z700" s="1111"/>
      <c r="AA700" s="1111"/>
      <c r="AB700" s="1111"/>
      <c r="AC700" s="1111"/>
      <c r="AD700" s="1111"/>
      <c r="AE700" s="1111"/>
      <c r="AF700" s="1111"/>
      <c r="AG700" s="1111"/>
    </row>
    <row r="701" spans="1:33" s="1295" customFormat="1">
      <c r="A701" s="1264"/>
      <c r="D701" s="1118"/>
      <c r="E701" s="1264"/>
      <c r="F701" s="1118"/>
      <c r="G701" s="1118"/>
      <c r="H701" s="1118"/>
      <c r="I701" s="1118"/>
      <c r="J701" s="1118"/>
      <c r="K701" s="1118"/>
      <c r="L701" s="1118"/>
      <c r="M701" s="1118"/>
      <c r="N701" s="1118"/>
      <c r="O701" s="1118"/>
      <c r="P701" s="1118"/>
      <c r="Q701" s="1111"/>
      <c r="R701" s="1111"/>
      <c r="S701" s="1111"/>
      <c r="T701" s="1111"/>
      <c r="U701" s="1111"/>
      <c r="V701" s="1111"/>
      <c r="W701" s="1111"/>
      <c r="X701" s="1111"/>
      <c r="Y701" s="1111"/>
      <c r="Z701" s="1111"/>
      <c r="AA701" s="1111"/>
      <c r="AB701" s="1111"/>
      <c r="AC701" s="1111"/>
      <c r="AD701" s="1111"/>
      <c r="AE701" s="1111"/>
      <c r="AF701" s="1111"/>
      <c r="AG701" s="1111"/>
    </row>
    <row r="702" spans="1:33" s="1295" customFormat="1">
      <c r="A702" s="1264"/>
      <c r="D702" s="1118"/>
      <c r="E702" s="1264"/>
      <c r="F702" s="1118"/>
      <c r="G702" s="1118"/>
      <c r="H702" s="1118"/>
      <c r="I702" s="1118"/>
      <c r="J702" s="1118"/>
      <c r="K702" s="1118"/>
      <c r="L702" s="1118"/>
      <c r="M702" s="1118"/>
      <c r="N702" s="1118"/>
      <c r="O702" s="1118"/>
      <c r="P702" s="1118"/>
      <c r="Q702" s="1111"/>
      <c r="R702" s="1111"/>
      <c r="S702" s="1111"/>
      <c r="T702" s="1111"/>
      <c r="U702" s="1111"/>
      <c r="V702" s="1111"/>
      <c r="W702" s="1111"/>
      <c r="X702" s="1111"/>
      <c r="Y702" s="1111"/>
      <c r="Z702" s="1111"/>
      <c r="AA702" s="1111"/>
      <c r="AB702" s="1111"/>
      <c r="AC702" s="1111"/>
      <c r="AD702" s="1111"/>
      <c r="AE702" s="1111"/>
      <c r="AF702" s="1111"/>
      <c r="AG702" s="1111"/>
    </row>
    <row r="703" spans="1:33" s="1295" customFormat="1">
      <c r="A703" s="1264"/>
      <c r="D703" s="1118"/>
      <c r="E703" s="1264"/>
      <c r="F703" s="1118"/>
      <c r="G703" s="1118"/>
      <c r="H703" s="1118"/>
      <c r="I703" s="1118"/>
      <c r="J703" s="1118"/>
      <c r="K703" s="1118"/>
      <c r="L703" s="1118"/>
      <c r="M703" s="1118"/>
      <c r="N703" s="1118"/>
      <c r="O703" s="1118"/>
      <c r="P703" s="1118"/>
      <c r="Q703" s="1111"/>
      <c r="R703" s="1111"/>
      <c r="S703" s="1111"/>
      <c r="T703" s="1111"/>
      <c r="U703" s="1111"/>
      <c r="V703" s="1111"/>
      <c r="W703" s="1111"/>
      <c r="X703" s="1111"/>
      <c r="Y703" s="1111"/>
      <c r="Z703" s="1111"/>
      <c r="AA703" s="1111"/>
      <c r="AB703" s="1111"/>
      <c r="AC703" s="1111"/>
      <c r="AD703" s="1111"/>
      <c r="AE703" s="1111"/>
      <c r="AF703" s="1111"/>
      <c r="AG703" s="1111"/>
    </row>
    <row r="704" spans="1:33" s="1295" customFormat="1">
      <c r="A704" s="1264"/>
      <c r="D704" s="1118"/>
      <c r="E704" s="1264"/>
      <c r="F704" s="1118"/>
      <c r="G704" s="1118"/>
      <c r="H704" s="1118"/>
      <c r="I704" s="1118"/>
      <c r="J704" s="1118"/>
      <c r="K704" s="1118"/>
      <c r="L704" s="1118"/>
      <c r="M704" s="1118"/>
      <c r="N704" s="1118"/>
      <c r="O704" s="1118"/>
      <c r="P704" s="1118"/>
      <c r="Q704" s="1111"/>
      <c r="R704" s="1111"/>
      <c r="S704" s="1111"/>
      <c r="T704" s="1111"/>
      <c r="U704" s="1111"/>
      <c r="V704" s="1111"/>
      <c r="W704" s="1111"/>
      <c r="X704" s="1111"/>
      <c r="Y704" s="1111"/>
      <c r="Z704" s="1111"/>
      <c r="AA704" s="1111"/>
      <c r="AB704" s="1111"/>
      <c r="AC704" s="1111"/>
      <c r="AD704" s="1111"/>
      <c r="AE704" s="1111"/>
      <c r="AF704" s="1111"/>
      <c r="AG704" s="1111"/>
    </row>
    <row r="705" spans="1:33" s="1295" customFormat="1">
      <c r="A705" s="1264"/>
      <c r="D705" s="1118"/>
      <c r="E705" s="1264"/>
      <c r="F705" s="1118"/>
      <c r="G705" s="1118"/>
      <c r="H705" s="1118"/>
      <c r="I705" s="1118"/>
      <c r="J705" s="1118"/>
      <c r="K705" s="1118"/>
      <c r="L705" s="1118"/>
      <c r="M705" s="1118"/>
      <c r="N705" s="1118"/>
      <c r="O705" s="1118"/>
      <c r="P705" s="1118"/>
      <c r="Q705" s="1111"/>
      <c r="R705" s="1111"/>
      <c r="S705" s="1111"/>
      <c r="T705" s="1111"/>
      <c r="U705" s="1111"/>
      <c r="V705" s="1111"/>
      <c r="W705" s="1111"/>
      <c r="X705" s="1111"/>
      <c r="Y705" s="1111"/>
      <c r="Z705" s="1111"/>
      <c r="AA705" s="1111"/>
      <c r="AB705" s="1111"/>
      <c r="AC705" s="1111"/>
      <c r="AD705" s="1111"/>
      <c r="AE705" s="1111"/>
      <c r="AF705" s="1111"/>
      <c r="AG705" s="1111"/>
    </row>
    <row r="706" spans="1:33" s="1295" customFormat="1">
      <c r="A706" s="1264"/>
      <c r="D706" s="1118"/>
      <c r="E706" s="1264"/>
      <c r="F706" s="1118"/>
      <c r="G706" s="1118"/>
      <c r="H706" s="1118"/>
      <c r="I706" s="1118"/>
      <c r="J706" s="1118"/>
      <c r="K706" s="1118"/>
      <c r="L706" s="1118"/>
      <c r="M706" s="1118"/>
      <c r="N706" s="1118"/>
      <c r="O706" s="1118"/>
      <c r="P706" s="1118"/>
      <c r="Q706" s="1111"/>
      <c r="R706" s="1111"/>
      <c r="S706" s="1111"/>
      <c r="T706" s="1111"/>
      <c r="U706" s="1111"/>
      <c r="V706" s="1111"/>
      <c r="W706" s="1111"/>
      <c r="X706" s="1111"/>
      <c r="Y706" s="1111"/>
      <c r="Z706" s="1111"/>
      <c r="AA706" s="1111"/>
      <c r="AB706" s="1111"/>
      <c r="AC706" s="1111"/>
      <c r="AD706" s="1111"/>
      <c r="AE706" s="1111"/>
      <c r="AF706" s="1111"/>
      <c r="AG706" s="1111"/>
    </row>
    <row r="707" spans="1:33" s="1295" customFormat="1">
      <c r="A707" s="1264"/>
      <c r="D707" s="1118"/>
      <c r="E707" s="1264"/>
      <c r="F707" s="1118"/>
      <c r="G707" s="1118"/>
      <c r="H707" s="1118"/>
      <c r="I707" s="1118"/>
      <c r="J707" s="1118"/>
      <c r="K707" s="1118"/>
      <c r="L707" s="1118"/>
      <c r="M707" s="1118"/>
      <c r="N707" s="1118"/>
      <c r="O707" s="1118"/>
      <c r="P707" s="1118"/>
      <c r="Q707" s="1111"/>
      <c r="R707" s="1111"/>
      <c r="S707" s="1111"/>
      <c r="T707" s="1111"/>
      <c r="U707" s="1111"/>
      <c r="V707" s="1111"/>
      <c r="W707" s="1111"/>
      <c r="X707" s="1111"/>
      <c r="Y707" s="1111"/>
      <c r="Z707" s="1111"/>
      <c r="AA707" s="1111"/>
      <c r="AB707" s="1111"/>
      <c r="AC707" s="1111"/>
      <c r="AD707" s="1111"/>
      <c r="AE707" s="1111"/>
      <c r="AF707" s="1111"/>
      <c r="AG707" s="1111"/>
    </row>
    <row r="708" spans="1:33" s="1295" customFormat="1">
      <c r="A708" s="1264"/>
      <c r="D708" s="1118"/>
      <c r="E708" s="1264"/>
      <c r="F708" s="1118"/>
      <c r="G708" s="1118"/>
      <c r="H708" s="1118"/>
      <c r="I708" s="1118"/>
      <c r="J708" s="1118"/>
      <c r="K708" s="1118"/>
      <c r="L708" s="1118"/>
      <c r="M708" s="1118"/>
      <c r="N708" s="1118"/>
      <c r="O708" s="1118"/>
      <c r="P708" s="1118"/>
      <c r="Q708" s="1111"/>
      <c r="R708" s="1111"/>
      <c r="S708" s="1111"/>
      <c r="T708" s="1111"/>
      <c r="U708" s="1111"/>
      <c r="V708" s="1111"/>
      <c r="W708" s="1111"/>
      <c r="X708" s="1111"/>
      <c r="Y708" s="1111"/>
      <c r="Z708" s="1111"/>
      <c r="AA708" s="1111"/>
      <c r="AB708" s="1111"/>
      <c r="AC708" s="1111"/>
      <c r="AD708" s="1111"/>
      <c r="AE708" s="1111"/>
      <c r="AF708" s="1111"/>
      <c r="AG708" s="1111"/>
    </row>
    <row r="709" spans="1:33" s="1295" customFormat="1">
      <c r="A709" s="1264"/>
      <c r="D709" s="1118"/>
      <c r="E709" s="1264"/>
      <c r="F709" s="1118"/>
      <c r="G709" s="1118"/>
      <c r="H709" s="1118"/>
      <c r="I709" s="1118"/>
      <c r="J709" s="1118"/>
      <c r="K709" s="1118"/>
      <c r="L709" s="1118"/>
      <c r="M709" s="1118"/>
      <c r="N709" s="1118"/>
      <c r="O709" s="1118"/>
      <c r="P709" s="1118"/>
      <c r="Q709" s="1111"/>
      <c r="R709" s="1111"/>
      <c r="S709" s="1111"/>
      <c r="T709" s="1111"/>
      <c r="U709" s="1111"/>
      <c r="V709" s="1111"/>
      <c r="W709" s="1111"/>
      <c r="X709" s="1111"/>
      <c r="Y709" s="1111"/>
      <c r="Z709" s="1111"/>
      <c r="AA709" s="1111"/>
      <c r="AB709" s="1111"/>
      <c r="AC709" s="1111"/>
      <c r="AD709" s="1111"/>
      <c r="AE709" s="1111"/>
      <c r="AF709" s="1111"/>
      <c r="AG709" s="1111"/>
    </row>
    <row r="710" spans="1:33" s="1295" customFormat="1">
      <c r="A710" s="1264"/>
      <c r="D710" s="1118"/>
      <c r="E710" s="1264"/>
      <c r="F710" s="1118"/>
      <c r="G710" s="1118"/>
      <c r="H710" s="1118"/>
      <c r="I710" s="1118"/>
      <c r="J710" s="1118"/>
      <c r="K710" s="1118"/>
      <c r="L710" s="1118"/>
      <c r="M710" s="1118"/>
      <c r="N710" s="1118"/>
      <c r="O710" s="1118"/>
      <c r="P710" s="1118"/>
      <c r="Q710" s="1111"/>
      <c r="R710" s="1111"/>
      <c r="S710" s="1111"/>
      <c r="T710" s="1111"/>
      <c r="U710" s="1111"/>
      <c r="V710" s="1111"/>
      <c r="W710" s="1111"/>
      <c r="X710" s="1111"/>
      <c r="Y710" s="1111"/>
      <c r="Z710" s="1111"/>
      <c r="AA710" s="1111"/>
      <c r="AB710" s="1111"/>
      <c r="AC710" s="1111"/>
      <c r="AD710" s="1111"/>
      <c r="AE710" s="1111"/>
      <c r="AF710" s="1111"/>
      <c r="AG710" s="1111"/>
    </row>
    <row r="711" spans="1:33" s="1295" customFormat="1">
      <c r="A711" s="1264"/>
      <c r="D711" s="1118"/>
      <c r="E711" s="1264"/>
      <c r="F711" s="1118"/>
      <c r="G711" s="1118"/>
      <c r="H711" s="1118"/>
      <c r="I711" s="1118"/>
      <c r="J711" s="1118"/>
      <c r="K711" s="1118"/>
      <c r="L711" s="1118"/>
      <c r="M711" s="1118"/>
      <c r="N711" s="1118"/>
      <c r="O711" s="1118"/>
      <c r="P711" s="1118"/>
      <c r="Q711" s="1111"/>
      <c r="R711" s="1111"/>
      <c r="S711" s="1111"/>
      <c r="T711" s="1111"/>
      <c r="U711" s="1111"/>
      <c r="V711" s="1111"/>
      <c r="W711" s="1111"/>
      <c r="X711" s="1111"/>
      <c r="Y711" s="1111"/>
      <c r="Z711" s="1111"/>
      <c r="AA711" s="1111"/>
      <c r="AB711" s="1111"/>
      <c r="AC711" s="1111"/>
      <c r="AD711" s="1111"/>
      <c r="AE711" s="1111"/>
      <c r="AF711" s="1111"/>
      <c r="AG711" s="1111"/>
    </row>
    <row r="712" spans="1:33" s="1295" customFormat="1">
      <c r="A712" s="1264"/>
      <c r="D712" s="1118"/>
      <c r="E712" s="1264"/>
      <c r="F712" s="1118"/>
      <c r="G712" s="1118"/>
      <c r="H712" s="1118"/>
      <c r="I712" s="1118"/>
      <c r="J712" s="1118"/>
      <c r="K712" s="1118"/>
      <c r="L712" s="1118"/>
      <c r="M712" s="1118"/>
      <c r="N712" s="1118"/>
      <c r="O712" s="1118"/>
      <c r="P712" s="1118"/>
      <c r="Q712" s="1111"/>
      <c r="R712" s="1111"/>
      <c r="S712" s="1111"/>
      <c r="T712" s="1111"/>
      <c r="U712" s="1111"/>
      <c r="V712" s="1111"/>
      <c r="W712" s="1111"/>
      <c r="X712" s="1111"/>
      <c r="Y712" s="1111"/>
      <c r="Z712" s="1111"/>
      <c r="AA712" s="1111"/>
      <c r="AB712" s="1111"/>
      <c r="AC712" s="1111"/>
      <c r="AD712" s="1111"/>
      <c r="AE712" s="1111"/>
      <c r="AF712" s="1111"/>
      <c r="AG712" s="1111"/>
    </row>
    <row r="713" spans="1:33" s="1295" customFormat="1">
      <c r="A713" s="1264"/>
      <c r="D713" s="1118"/>
      <c r="E713" s="1264"/>
      <c r="F713" s="1118"/>
      <c r="G713" s="1118"/>
      <c r="H713" s="1118"/>
      <c r="I713" s="1118"/>
      <c r="J713" s="1118"/>
      <c r="K713" s="1118"/>
      <c r="L713" s="1118"/>
      <c r="M713" s="1118"/>
      <c r="N713" s="1118"/>
      <c r="O713" s="1118"/>
      <c r="P713" s="1118"/>
      <c r="Q713" s="1111"/>
      <c r="R713" s="1111"/>
      <c r="S713" s="1111"/>
      <c r="T713" s="1111"/>
      <c r="U713" s="1111"/>
      <c r="V713" s="1111"/>
      <c r="W713" s="1111"/>
      <c r="X713" s="1111"/>
      <c r="Y713" s="1111"/>
      <c r="Z713" s="1111"/>
      <c r="AA713" s="1111"/>
      <c r="AB713" s="1111"/>
      <c r="AC713" s="1111"/>
      <c r="AD713" s="1111"/>
      <c r="AE713" s="1111"/>
      <c r="AF713" s="1111"/>
      <c r="AG713" s="1111"/>
    </row>
    <row r="714" spans="1:33" s="1295" customFormat="1">
      <c r="A714" s="1264"/>
      <c r="D714" s="1118"/>
      <c r="E714" s="1264"/>
      <c r="F714" s="1118"/>
      <c r="G714" s="1118"/>
      <c r="H714" s="1118"/>
      <c r="I714" s="1118"/>
      <c r="J714" s="1118"/>
      <c r="K714" s="1118"/>
      <c r="L714" s="1118"/>
      <c r="M714" s="1118"/>
      <c r="N714" s="1118"/>
      <c r="O714" s="1118"/>
      <c r="P714" s="1118"/>
      <c r="Q714" s="1111"/>
      <c r="R714" s="1111"/>
      <c r="S714" s="1111"/>
      <c r="T714" s="1111"/>
      <c r="U714" s="1111"/>
      <c r="V714" s="1111"/>
      <c r="W714" s="1111"/>
      <c r="X714" s="1111"/>
      <c r="Y714" s="1111"/>
      <c r="Z714" s="1111"/>
      <c r="AA714" s="1111"/>
      <c r="AB714" s="1111"/>
      <c r="AC714" s="1111"/>
      <c r="AD714" s="1111"/>
      <c r="AE714" s="1111"/>
      <c r="AF714" s="1111"/>
      <c r="AG714" s="1111"/>
    </row>
    <row r="715" spans="1:33" s="1295" customFormat="1">
      <c r="A715" s="1264"/>
      <c r="D715" s="1118"/>
      <c r="E715" s="1264"/>
      <c r="F715" s="1118"/>
      <c r="G715" s="1118"/>
      <c r="H715" s="1118"/>
      <c r="I715" s="1118"/>
      <c r="J715" s="1118"/>
      <c r="K715" s="1118"/>
      <c r="L715" s="1118"/>
      <c r="M715" s="1118"/>
      <c r="N715" s="1118"/>
      <c r="O715" s="1118"/>
      <c r="P715" s="1118"/>
      <c r="Q715" s="1111"/>
      <c r="R715" s="1111"/>
      <c r="S715" s="1111"/>
      <c r="T715" s="1111"/>
      <c r="U715" s="1111"/>
      <c r="V715" s="1111"/>
      <c r="W715" s="1111"/>
      <c r="X715" s="1111"/>
      <c r="Y715" s="1111"/>
      <c r="Z715" s="1111"/>
      <c r="AA715" s="1111"/>
      <c r="AB715" s="1111"/>
      <c r="AC715" s="1111"/>
      <c r="AD715" s="1111"/>
      <c r="AE715" s="1111"/>
      <c r="AF715" s="1111"/>
      <c r="AG715" s="1111"/>
    </row>
    <row r="716" spans="1:33" s="1295" customFormat="1">
      <c r="A716" s="1264"/>
      <c r="D716" s="1118"/>
      <c r="E716" s="1264"/>
      <c r="F716" s="1118"/>
      <c r="G716" s="1118"/>
      <c r="H716" s="1118"/>
      <c r="I716" s="1118"/>
      <c r="J716" s="1118"/>
      <c r="K716" s="1118"/>
      <c r="L716" s="1118"/>
      <c r="M716" s="1118"/>
      <c r="N716" s="1118"/>
      <c r="O716" s="1118"/>
      <c r="P716" s="1118"/>
      <c r="Q716" s="1111"/>
      <c r="R716" s="1111"/>
      <c r="S716" s="1111"/>
      <c r="T716" s="1111"/>
      <c r="U716" s="1111"/>
      <c r="V716" s="1111"/>
      <c r="W716" s="1111"/>
      <c r="X716" s="1111"/>
      <c r="Y716" s="1111"/>
      <c r="Z716" s="1111"/>
      <c r="AA716" s="1111"/>
      <c r="AB716" s="1111"/>
      <c r="AC716" s="1111"/>
      <c r="AD716" s="1111"/>
      <c r="AE716" s="1111"/>
      <c r="AF716" s="1111"/>
      <c r="AG716" s="1111"/>
    </row>
    <row r="717" spans="1:33" s="1295" customFormat="1">
      <c r="A717" s="1264"/>
      <c r="D717" s="1118"/>
      <c r="E717" s="1264"/>
      <c r="F717" s="1118"/>
      <c r="G717" s="1118"/>
      <c r="H717" s="1118"/>
      <c r="I717" s="1118"/>
      <c r="J717" s="1118"/>
      <c r="K717" s="1118"/>
      <c r="L717" s="1118"/>
      <c r="M717" s="1118"/>
      <c r="N717" s="1118"/>
      <c r="O717" s="1118"/>
      <c r="P717" s="1118"/>
      <c r="Q717" s="1111"/>
      <c r="R717" s="1111"/>
      <c r="S717" s="1111"/>
      <c r="T717" s="1111"/>
      <c r="U717" s="1111"/>
      <c r="V717" s="1111"/>
      <c r="W717" s="1111"/>
      <c r="X717" s="1111"/>
      <c r="Y717" s="1111"/>
      <c r="Z717" s="1111"/>
      <c r="AA717" s="1111"/>
      <c r="AB717" s="1111"/>
      <c r="AC717" s="1111"/>
      <c r="AD717" s="1111"/>
      <c r="AE717" s="1111"/>
      <c r="AF717" s="1111"/>
      <c r="AG717" s="1111"/>
    </row>
    <row r="718" spans="1:33" s="1295" customFormat="1">
      <c r="A718" s="1264"/>
      <c r="D718" s="1118"/>
      <c r="E718" s="1264"/>
      <c r="F718" s="1118"/>
      <c r="G718" s="1118"/>
      <c r="H718" s="1118"/>
      <c r="I718" s="1118"/>
      <c r="J718" s="1118"/>
      <c r="K718" s="1118"/>
      <c r="L718" s="1118"/>
      <c r="M718" s="1118"/>
      <c r="N718" s="1118"/>
      <c r="O718" s="1118"/>
      <c r="P718" s="1118"/>
      <c r="Q718" s="1111"/>
      <c r="R718" s="1111"/>
      <c r="S718" s="1111"/>
      <c r="T718" s="1111"/>
      <c r="U718" s="1111"/>
      <c r="V718" s="1111"/>
      <c r="W718" s="1111"/>
      <c r="X718" s="1111"/>
      <c r="Y718" s="1111"/>
      <c r="Z718" s="1111"/>
      <c r="AA718" s="1111"/>
      <c r="AB718" s="1111"/>
      <c r="AC718" s="1111"/>
      <c r="AD718" s="1111"/>
      <c r="AE718" s="1111"/>
      <c r="AF718" s="1111"/>
      <c r="AG718" s="1111"/>
    </row>
    <row r="719" spans="1:33" s="1295" customFormat="1">
      <c r="A719" s="1264"/>
      <c r="D719" s="1118"/>
      <c r="E719" s="1264"/>
      <c r="F719" s="1118"/>
      <c r="G719" s="1118"/>
      <c r="H719" s="1118"/>
      <c r="I719" s="1118"/>
      <c r="J719" s="1118"/>
      <c r="K719" s="1118"/>
      <c r="L719" s="1118"/>
      <c r="M719" s="1118"/>
      <c r="N719" s="1118"/>
      <c r="O719" s="1118"/>
      <c r="P719" s="1118"/>
      <c r="Q719" s="1111"/>
      <c r="R719" s="1111"/>
      <c r="S719" s="1111"/>
      <c r="T719" s="1111"/>
      <c r="U719" s="1111"/>
      <c r="V719" s="1111"/>
      <c r="W719" s="1111"/>
      <c r="X719" s="1111"/>
      <c r="Y719" s="1111"/>
      <c r="Z719" s="1111"/>
      <c r="AA719" s="1111"/>
      <c r="AB719" s="1111"/>
      <c r="AC719" s="1111"/>
      <c r="AD719" s="1111"/>
      <c r="AE719" s="1111"/>
      <c r="AF719" s="1111"/>
      <c r="AG719" s="1111"/>
    </row>
    <row r="720" spans="1:33" s="1295" customFormat="1">
      <c r="A720" s="1264"/>
      <c r="D720" s="1118"/>
      <c r="E720" s="1264"/>
      <c r="F720" s="1118"/>
      <c r="G720" s="1118"/>
      <c r="H720" s="1118"/>
      <c r="I720" s="1118"/>
      <c r="J720" s="1118"/>
      <c r="K720" s="1118"/>
      <c r="L720" s="1118"/>
      <c r="M720" s="1118"/>
      <c r="N720" s="1118"/>
      <c r="O720" s="1118"/>
      <c r="P720" s="1118"/>
      <c r="Q720" s="1111"/>
      <c r="R720" s="1111"/>
      <c r="S720" s="1111"/>
      <c r="T720" s="1111"/>
      <c r="U720" s="1111"/>
      <c r="V720" s="1111"/>
      <c r="W720" s="1111"/>
      <c r="X720" s="1111"/>
      <c r="Y720" s="1111"/>
      <c r="Z720" s="1111"/>
      <c r="AA720" s="1111"/>
      <c r="AB720" s="1111"/>
      <c r="AC720" s="1111"/>
      <c r="AD720" s="1111"/>
      <c r="AE720" s="1111"/>
      <c r="AF720" s="1111"/>
      <c r="AG720" s="1111"/>
    </row>
    <row r="721" spans="1:33" s="1295" customFormat="1">
      <c r="A721" s="1264"/>
      <c r="D721" s="1118"/>
      <c r="E721" s="1264"/>
      <c r="F721" s="1118"/>
      <c r="G721" s="1118"/>
      <c r="H721" s="1118"/>
      <c r="I721" s="1118"/>
      <c r="J721" s="1118"/>
      <c r="K721" s="1118"/>
      <c r="L721" s="1118"/>
      <c r="M721" s="1118"/>
      <c r="N721" s="1118"/>
      <c r="O721" s="1118"/>
      <c r="P721" s="1118"/>
      <c r="Q721" s="1111"/>
      <c r="R721" s="1111"/>
      <c r="S721" s="1111"/>
      <c r="T721" s="1111"/>
      <c r="U721" s="1111"/>
      <c r="V721" s="1111"/>
      <c r="W721" s="1111"/>
      <c r="X721" s="1111"/>
      <c r="Y721" s="1111"/>
      <c r="Z721" s="1111"/>
      <c r="AA721" s="1111"/>
      <c r="AB721" s="1111"/>
      <c r="AC721" s="1111"/>
      <c r="AD721" s="1111"/>
      <c r="AE721" s="1111"/>
      <c r="AF721" s="1111"/>
      <c r="AG721" s="1111"/>
    </row>
    <row r="722" spans="1:33" s="1295" customFormat="1">
      <c r="A722" s="1264"/>
      <c r="D722" s="1118"/>
      <c r="E722" s="1264"/>
      <c r="F722" s="1118"/>
      <c r="G722" s="1118"/>
      <c r="H722" s="1118"/>
      <c r="I722" s="1118"/>
      <c r="J722" s="1118"/>
      <c r="K722" s="1118"/>
      <c r="L722" s="1118"/>
      <c r="M722" s="1118"/>
      <c r="N722" s="1118"/>
      <c r="O722" s="1118"/>
      <c r="P722" s="1118"/>
      <c r="Q722" s="1111"/>
      <c r="R722" s="1111"/>
      <c r="S722" s="1111"/>
      <c r="T722" s="1111"/>
      <c r="U722" s="1111"/>
      <c r="V722" s="1111"/>
      <c r="W722" s="1111"/>
      <c r="X722" s="1111"/>
      <c r="Y722" s="1111"/>
      <c r="Z722" s="1111"/>
      <c r="AA722" s="1111"/>
      <c r="AB722" s="1111"/>
      <c r="AC722" s="1111"/>
      <c r="AD722" s="1111"/>
      <c r="AE722" s="1111"/>
      <c r="AF722" s="1111"/>
      <c r="AG722" s="1111"/>
    </row>
    <row r="723" spans="1:33" s="1295" customFormat="1">
      <c r="A723" s="1264"/>
      <c r="D723" s="1118"/>
      <c r="E723" s="1264"/>
      <c r="F723" s="1118"/>
      <c r="G723" s="1118"/>
      <c r="H723" s="1118"/>
      <c r="I723" s="1118"/>
      <c r="J723" s="1118"/>
      <c r="K723" s="1118"/>
      <c r="L723" s="1118"/>
      <c r="M723" s="1118"/>
      <c r="N723" s="1118"/>
      <c r="O723" s="1118"/>
      <c r="P723" s="1118"/>
      <c r="Q723" s="1111"/>
      <c r="R723" s="1111"/>
      <c r="S723" s="1111"/>
      <c r="T723" s="1111"/>
      <c r="U723" s="1111"/>
      <c r="V723" s="1111"/>
      <c r="W723" s="1111"/>
      <c r="X723" s="1111"/>
      <c r="Y723" s="1111"/>
      <c r="Z723" s="1111"/>
      <c r="AA723" s="1111"/>
      <c r="AB723" s="1111"/>
      <c r="AC723" s="1111"/>
      <c r="AD723" s="1111"/>
      <c r="AE723" s="1111"/>
      <c r="AF723" s="1111"/>
      <c r="AG723" s="1111"/>
    </row>
    <row r="724" spans="1:33" s="1295" customFormat="1">
      <c r="A724" s="1264"/>
      <c r="D724" s="1118"/>
      <c r="E724" s="1264"/>
      <c r="F724" s="1118"/>
      <c r="G724" s="1118"/>
      <c r="H724" s="1118"/>
      <c r="I724" s="1118"/>
      <c r="J724" s="1118"/>
      <c r="K724" s="1118"/>
      <c r="L724" s="1118"/>
      <c r="M724" s="1118"/>
      <c r="N724" s="1118"/>
      <c r="O724" s="1118"/>
      <c r="P724" s="1118"/>
      <c r="Q724" s="1111"/>
      <c r="R724" s="1111"/>
      <c r="S724" s="1111"/>
      <c r="T724" s="1111"/>
      <c r="U724" s="1111"/>
      <c r="V724" s="1111"/>
      <c r="W724" s="1111"/>
      <c r="X724" s="1111"/>
      <c r="Y724" s="1111"/>
      <c r="Z724" s="1111"/>
      <c r="AA724" s="1111"/>
      <c r="AB724" s="1111"/>
      <c r="AC724" s="1111"/>
      <c r="AD724" s="1111"/>
      <c r="AE724" s="1111"/>
      <c r="AF724" s="1111"/>
      <c r="AG724" s="1111"/>
    </row>
    <row r="725" spans="1:33" s="1295" customFormat="1">
      <c r="A725" s="1264"/>
      <c r="D725" s="1118"/>
      <c r="E725" s="1264"/>
      <c r="F725" s="1118"/>
      <c r="G725" s="1118"/>
      <c r="H725" s="1118"/>
      <c r="I725" s="1118"/>
      <c r="J725" s="1118"/>
      <c r="K725" s="1118"/>
      <c r="L725" s="1118"/>
      <c r="M725" s="1118"/>
      <c r="N725" s="1118"/>
      <c r="O725" s="1118"/>
      <c r="P725" s="1118"/>
      <c r="Q725" s="1111"/>
      <c r="R725" s="1111"/>
      <c r="S725" s="1111"/>
      <c r="T725" s="1111"/>
      <c r="U725" s="1111"/>
      <c r="V725" s="1111"/>
      <c r="W725" s="1111"/>
      <c r="X725" s="1111"/>
      <c r="Y725" s="1111"/>
      <c r="Z725" s="1111"/>
      <c r="AA725" s="1111"/>
      <c r="AB725" s="1111"/>
      <c r="AC725" s="1111"/>
      <c r="AD725" s="1111"/>
      <c r="AE725" s="1111"/>
      <c r="AF725" s="1111"/>
      <c r="AG725" s="1111"/>
    </row>
    <row r="726" spans="1:33" s="1295" customFormat="1">
      <c r="A726" s="1264"/>
      <c r="D726" s="1118"/>
      <c r="E726" s="1264"/>
      <c r="F726" s="1118"/>
      <c r="G726" s="1118"/>
      <c r="H726" s="1118"/>
      <c r="I726" s="1118"/>
      <c r="J726" s="1118"/>
      <c r="K726" s="1118"/>
      <c r="L726" s="1118"/>
      <c r="M726" s="1118"/>
      <c r="N726" s="1118"/>
      <c r="O726" s="1118"/>
      <c r="P726" s="1118"/>
      <c r="Q726" s="1111"/>
      <c r="R726" s="1111"/>
      <c r="S726" s="1111"/>
      <c r="T726" s="1111"/>
      <c r="U726" s="1111"/>
      <c r="V726" s="1111"/>
      <c r="W726" s="1111"/>
      <c r="X726" s="1111"/>
      <c r="Y726" s="1111"/>
      <c r="Z726" s="1111"/>
      <c r="AA726" s="1111"/>
      <c r="AB726" s="1111"/>
      <c r="AC726" s="1111"/>
      <c r="AD726" s="1111"/>
      <c r="AE726" s="1111"/>
      <c r="AF726" s="1111"/>
      <c r="AG726" s="1111"/>
    </row>
    <row r="727" spans="1:33" s="1295" customFormat="1">
      <c r="A727" s="1264"/>
      <c r="D727" s="1118"/>
      <c r="E727" s="1264"/>
      <c r="F727" s="1118"/>
      <c r="G727" s="1118"/>
      <c r="H727" s="1118"/>
      <c r="I727" s="1118"/>
      <c r="J727" s="1118"/>
      <c r="K727" s="1118"/>
      <c r="L727" s="1118"/>
      <c r="M727" s="1118"/>
      <c r="N727" s="1118"/>
      <c r="O727" s="1118"/>
      <c r="P727" s="1118"/>
      <c r="Q727" s="1111"/>
      <c r="R727" s="1111"/>
      <c r="S727" s="1111"/>
      <c r="T727" s="1111"/>
      <c r="U727" s="1111"/>
      <c r="V727" s="1111"/>
      <c r="W727" s="1111"/>
      <c r="X727" s="1111"/>
      <c r="Y727" s="1111"/>
      <c r="Z727" s="1111"/>
      <c r="AA727" s="1111"/>
      <c r="AB727" s="1111"/>
      <c r="AC727" s="1111"/>
      <c r="AD727" s="1111"/>
      <c r="AE727" s="1111"/>
      <c r="AF727" s="1111"/>
      <c r="AG727" s="1111"/>
    </row>
    <row r="728" spans="1:33" s="1295" customFormat="1">
      <c r="A728" s="1264"/>
      <c r="D728" s="1118"/>
      <c r="E728" s="1264"/>
      <c r="F728" s="1118"/>
      <c r="G728" s="1118"/>
      <c r="H728" s="1118"/>
      <c r="I728" s="1118"/>
      <c r="J728" s="1118"/>
      <c r="K728" s="1118"/>
      <c r="L728" s="1118"/>
      <c r="M728" s="1118"/>
      <c r="N728" s="1118"/>
      <c r="O728" s="1118"/>
      <c r="P728" s="1118"/>
      <c r="Q728" s="1111"/>
      <c r="R728" s="1111"/>
      <c r="S728" s="1111"/>
      <c r="T728" s="1111"/>
      <c r="U728" s="1111"/>
      <c r="V728" s="1111"/>
      <c r="W728" s="1111"/>
      <c r="X728" s="1111"/>
      <c r="Y728" s="1111"/>
      <c r="Z728" s="1111"/>
      <c r="AA728" s="1111"/>
      <c r="AB728" s="1111"/>
      <c r="AC728" s="1111"/>
      <c r="AD728" s="1111"/>
      <c r="AE728" s="1111"/>
      <c r="AF728" s="1111"/>
      <c r="AG728" s="1111"/>
    </row>
    <row r="729" spans="1:33" s="1295" customFormat="1">
      <c r="A729" s="1264"/>
      <c r="D729" s="1118"/>
      <c r="E729" s="1264"/>
      <c r="F729" s="1118"/>
      <c r="G729" s="1118"/>
      <c r="H729" s="1118"/>
      <c r="I729" s="1118"/>
      <c r="J729" s="1118"/>
      <c r="K729" s="1118"/>
      <c r="L729" s="1118"/>
      <c r="M729" s="1118"/>
      <c r="N729" s="1118"/>
      <c r="O729" s="1118"/>
      <c r="P729" s="1118"/>
      <c r="Q729" s="1111"/>
      <c r="R729" s="1111"/>
      <c r="S729" s="1111"/>
      <c r="T729" s="1111"/>
      <c r="U729" s="1111"/>
      <c r="V729" s="1111"/>
      <c r="W729" s="1111"/>
      <c r="X729" s="1111"/>
      <c r="Y729" s="1111"/>
      <c r="Z729" s="1111"/>
      <c r="AA729" s="1111"/>
      <c r="AB729" s="1111"/>
      <c r="AC729" s="1111"/>
      <c r="AD729" s="1111"/>
      <c r="AE729" s="1111"/>
      <c r="AF729" s="1111"/>
      <c r="AG729" s="1111"/>
    </row>
    <row r="730" spans="1:33" s="1295" customFormat="1">
      <c r="A730" s="1264"/>
      <c r="D730" s="1118"/>
      <c r="E730" s="1264"/>
      <c r="F730" s="1118"/>
      <c r="G730" s="1118"/>
      <c r="H730" s="1118"/>
      <c r="I730" s="1118"/>
      <c r="J730" s="1118"/>
      <c r="K730" s="1118"/>
      <c r="L730" s="1118"/>
      <c r="M730" s="1118"/>
      <c r="N730" s="1118"/>
      <c r="O730" s="1118"/>
      <c r="P730" s="1118"/>
      <c r="Q730" s="1111"/>
      <c r="R730" s="1111"/>
      <c r="S730" s="1111"/>
      <c r="T730" s="1111"/>
      <c r="U730" s="1111"/>
      <c r="V730" s="1111"/>
      <c r="W730" s="1111"/>
      <c r="X730" s="1111"/>
      <c r="Y730" s="1111"/>
      <c r="Z730" s="1111"/>
      <c r="AA730" s="1111"/>
      <c r="AB730" s="1111"/>
      <c r="AC730" s="1111"/>
      <c r="AD730" s="1111"/>
      <c r="AE730" s="1111"/>
      <c r="AF730" s="1111"/>
      <c r="AG730" s="1111"/>
    </row>
    <row r="731" spans="1:33" s="1295" customFormat="1">
      <c r="A731" s="1264"/>
      <c r="D731" s="1118"/>
      <c r="E731" s="1264"/>
      <c r="F731" s="1118"/>
      <c r="G731" s="1118"/>
      <c r="H731" s="1118"/>
      <c r="I731" s="1118"/>
      <c r="J731" s="1118"/>
      <c r="K731" s="1118"/>
      <c r="L731" s="1118"/>
      <c r="M731" s="1118"/>
      <c r="N731" s="1118"/>
      <c r="O731" s="1118"/>
      <c r="P731" s="1118"/>
      <c r="Q731" s="1111"/>
      <c r="R731" s="1111"/>
      <c r="S731" s="1111"/>
      <c r="T731" s="1111"/>
      <c r="U731" s="1111"/>
      <c r="V731" s="1111"/>
      <c r="W731" s="1111"/>
      <c r="X731" s="1111"/>
      <c r="Y731" s="1111"/>
      <c r="Z731" s="1111"/>
      <c r="AA731" s="1111"/>
      <c r="AB731" s="1111"/>
      <c r="AC731" s="1111"/>
      <c r="AD731" s="1111"/>
      <c r="AE731" s="1111"/>
      <c r="AF731" s="1111"/>
      <c r="AG731" s="1111"/>
    </row>
    <row r="732" spans="1:33" s="1295" customFormat="1">
      <c r="A732" s="1264"/>
      <c r="D732" s="1118"/>
      <c r="E732" s="1264"/>
      <c r="F732" s="1118"/>
      <c r="G732" s="1118"/>
      <c r="H732" s="1118"/>
      <c r="I732" s="1118"/>
      <c r="J732" s="1118"/>
      <c r="K732" s="1118"/>
      <c r="L732" s="1118"/>
      <c r="M732" s="1118"/>
      <c r="N732" s="1118"/>
      <c r="O732" s="1118"/>
      <c r="P732" s="1118"/>
      <c r="Q732" s="1111"/>
      <c r="R732" s="1111"/>
      <c r="S732" s="1111"/>
      <c r="T732" s="1111"/>
      <c r="U732" s="1111"/>
      <c r="V732" s="1111"/>
      <c r="W732" s="1111"/>
      <c r="X732" s="1111"/>
      <c r="Y732" s="1111"/>
      <c r="Z732" s="1111"/>
      <c r="AA732" s="1111"/>
      <c r="AB732" s="1111"/>
      <c r="AC732" s="1111"/>
      <c r="AD732" s="1111"/>
      <c r="AE732" s="1111"/>
      <c r="AF732" s="1111"/>
      <c r="AG732" s="1111"/>
    </row>
    <row r="733" spans="1:33" s="1295" customFormat="1">
      <c r="A733" s="1264"/>
      <c r="D733" s="1118"/>
      <c r="E733" s="1264"/>
      <c r="F733" s="1118"/>
      <c r="G733" s="1118"/>
      <c r="H733" s="1118"/>
      <c r="I733" s="1118"/>
      <c r="J733" s="1118"/>
      <c r="K733" s="1118"/>
      <c r="L733" s="1118"/>
      <c r="M733" s="1118"/>
      <c r="N733" s="1118"/>
      <c r="O733" s="1118"/>
      <c r="P733" s="1118"/>
      <c r="Q733" s="1111"/>
      <c r="R733" s="1111"/>
      <c r="S733" s="1111"/>
      <c r="T733" s="1111"/>
      <c r="U733" s="1111"/>
      <c r="V733" s="1111"/>
      <c r="W733" s="1111"/>
      <c r="X733" s="1111"/>
      <c r="Y733" s="1111"/>
      <c r="Z733" s="1111"/>
      <c r="AA733" s="1111"/>
      <c r="AB733" s="1111"/>
      <c r="AC733" s="1111"/>
      <c r="AD733" s="1111"/>
      <c r="AE733" s="1111"/>
      <c r="AF733" s="1111"/>
      <c r="AG733" s="1111"/>
    </row>
    <row r="734" spans="1:33" s="1295" customFormat="1">
      <c r="A734" s="1264"/>
      <c r="D734" s="1118"/>
      <c r="E734" s="1264"/>
      <c r="F734" s="1118"/>
      <c r="G734" s="1118"/>
      <c r="H734" s="1118"/>
      <c r="I734" s="1118"/>
      <c r="J734" s="1118"/>
      <c r="K734" s="1118"/>
      <c r="L734" s="1118"/>
      <c r="M734" s="1118"/>
      <c r="N734" s="1118"/>
      <c r="O734" s="1118"/>
      <c r="P734" s="1118"/>
      <c r="Q734" s="1111"/>
      <c r="R734" s="1111"/>
      <c r="S734" s="1111"/>
      <c r="T734" s="1111"/>
      <c r="U734" s="1111"/>
      <c r="V734" s="1111"/>
      <c r="W734" s="1111"/>
      <c r="X734" s="1111"/>
      <c r="Y734" s="1111"/>
      <c r="Z734" s="1111"/>
      <c r="AA734" s="1111"/>
      <c r="AB734" s="1111"/>
      <c r="AC734" s="1111"/>
      <c r="AD734" s="1111"/>
      <c r="AE734" s="1111"/>
      <c r="AF734" s="1111"/>
      <c r="AG734" s="1111"/>
    </row>
    <row r="735" spans="1:33" s="1295" customFormat="1">
      <c r="A735" s="1264"/>
      <c r="D735" s="1118"/>
      <c r="E735" s="1264"/>
      <c r="F735" s="1118"/>
      <c r="G735" s="1118"/>
      <c r="H735" s="1118"/>
      <c r="I735" s="1118"/>
      <c r="J735" s="1118"/>
      <c r="K735" s="1118"/>
      <c r="L735" s="1118"/>
      <c r="M735" s="1118"/>
      <c r="N735" s="1118"/>
      <c r="O735" s="1118"/>
      <c r="P735" s="1118"/>
      <c r="Q735" s="1111"/>
      <c r="R735" s="1111"/>
      <c r="S735" s="1111"/>
      <c r="T735" s="1111"/>
      <c r="U735" s="1111"/>
      <c r="V735" s="1111"/>
      <c r="W735" s="1111"/>
      <c r="X735" s="1111"/>
      <c r="Y735" s="1111"/>
      <c r="Z735" s="1111"/>
      <c r="AA735" s="1111"/>
      <c r="AB735" s="1111"/>
      <c r="AC735" s="1111"/>
      <c r="AD735" s="1111"/>
      <c r="AE735" s="1111"/>
      <c r="AF735" s="1111"/>
      <c r="AG735" s="1111"/>
    </row>
    <row r="736" spans="1:33" s="1295" customFormat="1">
      <c r="A736" s="1264"/>
      <c r="D736" s="1118"/>
      <c r="E736" s="1264"/>
      <c r="F736" s="1118"/>
      <c r="G736" s="1118"/>
      <c r="H736" s="1118"/>
      <c r="I736" s="1118"/>
      <c r="J736" s="1118"/>
      <c r="K736" s="1118"/>
      <c r="L736" s="1118"/>
      <c r="M736" s="1118"/>
      <c r="N736" s="1118"/>
      <c r="O736" s="1118"/>
      <c r="P736" s="1118"/>
      <c r="Q736" s="1111"/>
      <c r="R736" s="1111"/>
      <c r="S736" s="1111"/>
      <c r="T736" s="1111"/>
      <c r="U736" s="1111"/>
      <c r="V736" s="1111"/>
      <c r="W736" s="1111"/>
      <c r="X736" s="1111"/>
      <c r="Y736" s="1111"/>
      <c r="Z736" s="1111"/>
      <c r="AA736" s="1111"/>
      <c r="AB736" s="1111"/>
      <c r="AC736" s="1111"/>
      <c r="AD736" s="1111"/>
      <c r="AE736" s="1111"/>
      <c r="AF736" s="1111"/>
      <c r="AG736" s="1111"/>
    </row>
    <row r="737" spans="1:33" s="1295" customFormat="1">
      <c r="A737" s="1264"/>
      <c r="D737" s="1118"/>
      <c r="E737" s="1264"/>
      <c r="F737" s="1118"/>
      <c r="G737" s="1118"/>
      <c r="H737" s="1118"/>
      <c r="I737" s="1118"/>
      <c r="J737" s="1118"/>
      <c r="K737" s="1118"/>
      <c r="L737" s="1118"/>
      <c r="M737" s="1118"/>
      <c r="N737" s="1118"/>
      <c r="O737" s="1118"/>
      <c r="P737" s="1118"/>
      <c r="Q737" s="1111"/>
      <c r="R737" s="1111"/>
      <c r="S737" s="1111"/>
      <c r="T737" s="1111"/>
      <c r="U737" s="1111"/>
      <c r="V737" s="1111"/>
      <c r="W737" s="1111"/>
      <c r="X737" s="1111"/>
      <c r="Y737" s="1111"/>
      <c r="Z737" s="1111"/>
      <c r="AA737" s="1111"/>
      <c r="AB737" s="1111"/>
      <c r="AC737" s="1111"/>
      <c r="AD737" s="1111"/>
      <c r="AE737" s="1111"/>
      <c r="AF737" s="1111"/>
      <c r="AG737" s="1111"/>
    </row>
    <row r="738" spans="1:33" s="1295" customFormat="1">
      <c r="A738" s="1264"/>
      <c r="D738" s="1118"/>
      <c r="E738" s="1264"/>
      <c r="F738" s="1118"/>
      <c r="G738" s="1118"/>
      <c r="H738" s="1118"/>
      <c r="I738" s="1118"/>
      <c r="J738" s="1118"/>
      <c r="K738" s="1118"/>
      <c r="L738" s="1118"/>
      <c r="M738" s="1118"/>
      <c r="N738" s="1118"/>
      <c r="O738" s="1118"/>
      <c r="P738" s="1118"/>
      <c r="Q738" s="1111"/>
      <c r="R738" s="1111"/>
      <c r="S738" s="1111"/>
      <c r="T738" s="1111"/>
      <c r="U738" s="1111"/>
      <c r="V738" s="1111"/>
      <c r="W738" s="1111"/>
      <c r="X738" s="1111"/>
      <c r="Y738" s="1111"/>
      <c r="Z738" s="1111"/>
      <c r="AA738" s="1111"/>
      <c r="AB738" s="1111"/>
      <c r="AC738" s="1111"/>
      <c r="AD738" s="1111"/>
      <c r="AE738" s="1111"/>
      <c r="AF738" s="1111"/>
      <c r="AG738" s="1111"/>
    </row>
    <row r="739" spans="1:33" s="1295" customFormat="1">
      <c r="A739" s="1264"/>
      <c r="D739" s="1118"/>
      <c r="E739" s="1264"/>
      <c r="F739" s="1118"/>
      <c r="G739" s="1118"/>
      <c r="H739" s="1118"/>
      <c r="I739" s="1118"/>
      <c r="J739" s="1118"/>
      <c r="K739" s="1118"/>
      <c r="L739" s="1118"/>
      <c r="M739" s="1118"/>
      <c r="N739" s="1118"/>
      <c r="O739" s="1118"/>
      <c r="P739" s="1118"/>
      <c r="Q739" s="1111"/>
      <c r="R739" s="1111"/>
      <c r="S739" s="1111"/>
      <c r="T739" s="1111"/>
      <c r="U739" s="1111"/>
      <c r="V739" s="1111"/>
      <c r="W739" s="1111"/>
      <c r="X739" s="1111"/>
      <c r="Y739" s="1111"/>
      <c r="Z739" s="1111"/>
      <c r="AA739" s="1111"/>
      <c r="AB739" s="1111"/>
      <c r="AC739" s="1111"/>
      <c r="AD739" s="1111"/>
      <c r="AE739" s="1111"/>
      <c r="AF739" s="1111"/>
      <c r="AG739" s="1111"/>
    </row>
    <row r="740" spans="1:33" s="1295" customFormat="1">
      <c r="A740" s="1264"/>
      <c r="D740" s="1118"/>
      <c r="E740" s="1264"/>
      <c r="F740" s="1118"/>
      <c r="G740" s="1118"/>
      <c r="H740" s="1118"/>
      <c r="I740" s="1118"/>
      <c r="J740" s="1118"/>
      <c r="K740" s="1118"/>
      <c r="L740" s="1118"/>
      <c r="M740" s="1118"/>
      <c r="N740" s="1118"/>
      <c r="O740" s="1118"/>
      <c r="P740" s="1118"/>
      <c r="Q740" s="1111"/>
      <c r="R740" s="1111"/>
      <c r="S740" s="1111"/>
      <c r="T740" s="1111"/>
      <c r="U740" s="1111"/>
      <c r="V740" s="1111"/>
      <c r="W740" s="1111"/>
      <c r="X740" s="1111"/>
      <c r="Y740" s="1111"/>
      <c r="Z740" s="1111"/>
      <c r="AA740" s="1111"/>
      <c r="AB740" s="1111"/>
      <c r="AC740" s="1111"/>
      <c r="AD740" s="1111"/>
      <c r="AE740" s="1111"/>
      <c r="AF740" s="1111"/>
      <c r="AG740" s="1111"/>
    </row>
    <row r="741" spans="1:33" s="1295" customFormat="1">
      <c r="A741" s="1264"/>
      <c r="D741" s="1118"/>
      <c r="E741" s="1264"/>
      <c r="F741" s="1118"/>
      <c r="G741" s="1118"/>
      <c r="H741" s="1118"/>
      <c r="I741" s="1118"/>
      <c r="J741" s="1118"/>
      <c r="K741" s="1118"/>
      <c r="L741" s="1118"/>
      <c r="M741" s="1118"/>
      <c r="N741" s="1118"/>
      <c r="O741" s="1118"/>
      <c r="P741" s="1118"/>
      <c r="Q741" s="1111"/>
      <c r="R741" s="1111"/>
      <c r="S741" s="1111"/>
      <c r="T741" s="1111"/>
      <c r="U741" s="1111"/>
      <c r="V741" s="1111"/>
      <c r="W741" s="1111"/>
      <c r="X741" s="1111"/>
      <c r="Y741" s="1111"/>
      <c r="Z741" s="1111"/>
      <c r="AA741" s="1111"/>
      <c r="AB741" s="1111"/>
      <c r="AC741" s="1111"/>
      <c r="AD741" s="1111"/>
      <c r="AE741" s="1111"/>
      <c r="AF741" s="1111"/>
      <c r="AG741" s="1111"/>
    </row>
    <row r="742" spans="1:33" s="1295" customFormat="1">
      <c r="A742" s="1264"/>
      <c r="D742" s="1118"/>
      <c r="E742" s="1264"/>
      <c r="F742" s="1118"/>
      <c r="G742" s="1118"/>
      <c r="H742" s="1118"/>
      <c r="I742" s="1118"/>
      <c r="J742" s="1118"/>
      <c r="K742" s="1118"/>
      <c r="L742" s="1118"/>
      <c r="M742" s="1118"/>
      <c r="N742" s="1118"/>
      <c r="O742" s="1118"/>
      <c r="P742" s="1118"/>
      <c r="Q742" s="1111"/>
      <c r="R742" s="1111"/>
      <c r="S742" s="1111"/>
      <c r="T742" s="1111"/>
      <c r="U742" s="1111"/>
      <c r="V742" s="1111"/>
      <c r="W742" s="1111"/>
      <c r="X742" s="1111"/>
      <c r="Y742" s="1111"/>
      <c r="Z742" s="1111"/>
      <c r="AA742" s="1111"/>
      <c r="AB742" s="1111"/>
      <c r="AC742" s="1111"/>
      <c r="AD742" s="1111"/>
      <c r="AE742" s="1111"/>
      <c r="AF742" s="1111"/>
      <c r="AG742" s="1111"/>
    </row>
    <row r="743" spans="1:33" s="1295" customFormat="1">
      <c r="A743" s="1264"/>
      <c r="D743" s="1118"/>
      <c r="E743" s="1264"/>
      <c r="F743" s="1118"/>
      <c r="G743" s="1118"/>
      <c r="H743" s="1118"/>
      <c r="I743" s="1118"/>
      <c r="J743" s="1118"/>
      <c r="K743" s="1118"/>
      <c r="L743" s="1118"/>
      <c r="M743" s="1118"/>
      <c r="N743" s="1118"/>
      <c r="O743" s="1118"/>
      <c r="P743" s="1118"/>
      <c r="Q743" s="1111"/>
      <c r="R743" s="1111"/>
      <c r="S743" s="1111"/>
      <c r="T743" s="1111"/>
      <c r="U743" s="1111"/>
      <c r="V743" s="1111"/>
      <c r="W743" s="1111"/>
      <c r="X743" s="1111"/>
      <c r="Y743" s="1111"/>
      <c r="Z743" s="1111"/>
      <c r="AA743" s="1111"/>
      <c r="AB743" s="1111"/>
      <c r="AC743" s="1111"/>
      <c r="AD743" s="1111"/>
      <c r="AE743" s="1111"/>
      <c r="AF743" s="1111"/>
      <c r="AG743" s="1111"/>
    </row>
    <row r="744" spans="1:33" s="1295" customFormat="1">
      <c r="A744" s="1264"/>
      <c r="D744" s="1118"/>
      <c r="E744" s="1264"/>
      <c r="F744" s="1118"/>
      <c r="G744" s="1118"/>
      <c r="H744" s="1118"/>
      <c r="I744" s="1118"/>
      <c r="J744" s="1118"/>
      <c r="K744" s="1118"/>
      <c r="L744" s="1118"/>
      <c r="M744" s="1118"/>
      <c r="N744" s="1118"/>
      <c r="O744" s="1118"/>
      <c r="P744" s="1118"/>
      <c r="Q744" s="1111"/>
      <c r="R744" s="1111"/>
      <c r="S744" s="1111"/>
      <c r="T744" s="1111"/>
      <c r="U744" s="1111"/>
      <c r="V744" s="1111"/>
      <c r="W744" s="1111"/>
      <c r="X744" s="1111"/>
      <c r="Y744" s="1111"/>
      <c r="Z744" s="1111"/>
      <c r="AA744" s="1111"/>
      <c r="AB744" s="1111"/>
      <c r="AC744" s="1111"/>
      <c r="AD744" s="1111"/>
      <c r="AE744" s="1111"/>
      <c r="AF744" s="1111"/>
      <c r="AG744" s="1111"/>
    </row>
    <row r="745" spans="1:33" s="1295" customFormat="1">
      <c r="A745" s="1264"/>
      <c r="D745" s="1118"/>
      <c r="E745" s="1264"/>
      <c r="F745" s="1118"/>
      <c r="G745" s="1118"/>
      <c r="H745" s="1118"/>
      <c r="I745" s="1118"/>
      <c r="J745" s="1118"/>
      <c r="K745" s="1118"/>
      <c r="L745" s="1118"/>
      <c r="M745" s="1118"/>
      <c r="N745" s="1118"/>
      <c r="O745" s="1118"/>
      <c r="P745" s="1118"/>
      <c r="Q745" s="1111"/>
      <c r="R745" s="1111"/>
      <c r="S745" s="1111"/>
      <c r="T745" s="1111"/>
      <c r="U745" s="1111"/>
      <c r="V745" s="1111"/>
      <c r="W745" s="1111"/>
      <c r="X745" s="1111"/>
      <c r="Y745" s="1111"/>
      <c r="Z745" s="1111"/>
      <c r="AA745" s="1111"/>
      <c r="AB745" s="1111"/>
      <c r="AC745" s="1111"/>
      <c r="AD745" s="1111"/>
      <c r="AE745" s="1111"/>
      <c r="AF745" s="1111"/>
      <c r="AG745" s="1111"/>
    </row>
    <row r="746" spans="1:33" s="1295" customFormat="1">
      <c r="A746" s="1264"/>
      <c r="D746" s="1118"/>
      <c r="E746" s="1264"/>
      <c r="F746" s="1118"/>
      <c r="G746" s="1118"/>
      <c r="H746" s="1118"/>
      <c r="I746" s="1118"/>
      <c r="J746" s="1118"/>
      <c r="K746" s="1118"/>
      <c r="L746" s="1118"/>
      <c r="M746" s="1118"/>
      <c r="N746" s="1118"/>
      <c r="O746" s="1118"/>
      <c r="P746" s="1118"/>
      <c r="Q746" s="1111"/>
      <c r="R746" s="1111"/>
      <c r="S746" s="1111"/>
      <c r="T746" s="1111"/>
      <c r="U746" s="1111"/>
      <c r="V746" s="1111"/>
      <c r="W746" s="1111"/>
      <c r="X746" s="1111"/>
      <c r="Y746" s="1111"/>
      <c r="Z746" s="1111"/>
      <c r="AA746" s="1111"/>
      <c r="AB746" s="1111"/>
      <c r="AC746" s="1111"/>
      <c r="AD746" s="1111"/>
      <c r="AE746" s="1111"/>
      <c r="AF746" s="1111"/>
      <c r="AG746" s="1111"/>
    </row>
    <row r="747" spans="1:33" s="1295" customFormat="1">
      <c r="A747" s="1264"/>
      <c r="D747" s="1118"/>
      <c r="E747" s="1264"/>
      <c r="F747" s="1118"/>
      <c r="G747" s="1118"/>
      <c r="H747" s="1118"/>
      <c r="I747" s="1118"/>
      <c r="J747" s="1118"/>
      <c r="K747" s="1118"/>
      <c r="L747" s="1118"/>
      <c r="M747" s="1118"/>
      <c r="N747" s="1118"/>
      <c r="O747" s="1118"/>
      <c r="P747" s="1118"/>
      <c r="Q747" s="1111"/>
      <c r="R747" s="1111"/>
      <c r="S747" s="1111"/>
      <c r="T747" s="1111"/>
      <c r="U747" s="1111"/>
      <c r="V747" s="1111"/>
      <c r="W747" s="1111"/>
      <c r="X747" s="1111"/>
      <c r="Y747" s="1111"/>
      <c r="Z747" s="1111"/>
      <c r="AA747" s="1111"/>
      <c r="AB747" s="1111"/>
      <c r="AC747" s="1111"/>
      <c r="AD747" s="1111"/>
      <c r="AE747" s="1111"/>
      <c r="AF747" s="1111"/>
      <c r="AG747" s="1111"/>
    </row>
    <row r="748" spans="1:33" s="1295" customFormat="1">
      <c r="A748" s="1264"/>
      <c r="D748" s="1118"/>
      <c r="E748" s="1264"/>
      <c r="F748" s="1118"/>
      <c r="G748" s="1118"/>
      <c r="H748" s="1118"/>
      <c r="I748" s="1118"/>
      <c r="J748" s="1118"/>
      <c r="K748" s="1118"/>
      <c r="L748" s="1118"/>
      <c r="M748" s="1118"/>
      <c r="N748" s="1118"/>
      <c r="O748" s="1118"/>
      <c r="P748" s="1118"/>
      <c r="Q748" s="1111"/>
      <c r="R748" s="1111"/>
      <c r="S748" s="1111"/>
      <c r="T748" s="1111"/>
      <c r="U748" s="1111"/>
      <c r="V748" s="1111"/>
      <c r="W748" s="1111"/>
      <c r="X748" s="1111"/>
      <c r="Y748" s="1111"/>
      <c r="Z748" s="1111"/>
      <c r="AA748" s="1111"/>
      <c r="AB748" s="1111"/>
      <c r="AC748" s="1111"/>
      <c r="AD748" s="1111"/>
      <c r="AE748" s="1111"/>
      <c r="AF748" s="1111"/>
      <c r="AG748" s="1111"/>
    </row>
    <row r="749" spans="1:33" s="1295" customFormat="1">
      <c r="A749" s="1264"/>
      <c r="D749" s="1118"/>
      <c r="E749" s="1264"/>
      <c r="F749" s="1118"/>
      <c r="G749" s="1118"/>
      <c r="H749" s="1118"/>
      <c r="I749" s="1118"/>
      <c r="J749" s="1118"/>
      <c r="K749" s="1118"/>
      <c r="L749" s="1118"/>
      <c r="M749" s="1118"/>
      <c r="N749" s="1118"/>
      <c r="O749" s="1118"/>
      <c r="P749" s="1118"/>
      <c r="Q749" s="1111"/>
      <c r="R749" s="1111"/>
      <c r="S749" s="1111"/>
      <c r="T749" s="1111"/>
      <c r="U749" s="1111"/>
      <c r="V749" s="1111"/>
      <c r="W749" s="1111"/>
      <c r="X749" s="1111"/>
      <c r="Y749" s="1111"/>
      <c r="Z749" s="1111"/>
      <c r="AA749" s="1111"/>
      <c r="AB749" s="1111"/>
      <c r="AC749" s="1111"/>
      <c r="AD749" s="1111"/>
      <c r="AE749" s="1111"/>
      <c r="AF749" s="1111"/>
      <c r="AG749" s="1111"/>
    </row>
    <row r="750" spans="1:33" s="1295" customFormat="1">
      <c r="A750" s="1264"/>
      <c r="D750" s="1118"/>
      <c r="E750" s="1264"/>
      <c r="F750" s="1118"/>
      <c r="G750" s="1118"/>
      <c r="H750" s="1118"/>
      <c r="I750" s="1118"/>
      <c r="J750" s="1118"/>
      <c r="K750" s="1118"/>
      <c r="L750" s="1118"/>
      <c r="M750" s="1118"/>
      <c r="N750" s="1118"/>
      <c r="O750" s="1118"/>
      <c r="P750" s="1118"/>
      <c r="Q750" s="1111"/>
      <c r="R750" s="1111"/>
      <c r="S750" s="1111"/>
      <c r="T750" s="1111"/>
      <c r="U750" s="1111"/>
      <c r="V750" s="1111"/>
      <c r="W750" s="1111"/>
      <c r="X750" s="1111"/>
      <c r="Y750" s="1111"/>
      <c r="Z750" s="1111"/>
      <c r="AA750" s="1111"/>
      <c r="AB750" s="1111"/>
      <c r="AC750" s="1111"/>
      <c r="AD750" s="1111"/>
      <c r="AE750" s="1111"/>
      <c r="AF750" s="1111"/>
      <c r="AG750" s="1111"/>
    </row>
    <row r="751" spans="1:33" s="1295" customFormat="1">
      <c r="A751" s="1264"/>
      <c r="D751" s="1118"/>
      <c r="E751" s="1264"/>
      <c r="F751" s="1118"/>
      <c r="G751" s="1118"/>
      <c r="H751" s="1118"/>
      <c r="I751" s="1118"/>
      <c r="J751" s="1118"/>
      <c r="K751" s="1118"/>
      <c r="L751" s="1118"/>
      <c r="M751" s="1118"/>
      <c r="N751" s="1118"/>
      <c r="O751" s="1118"/>
      <c r="P751" s="1118"/>
      <c r="Q751" s="1111"/>
      <c r="R751" s="1111"/>
      <c r="S751" s="1111"/>
      <c r="T751" s="1111"/>
      <c r="U751" s="1111"/>
      <c r="V751" s="1111"/>
      <c r="W751" s="1111"/>
      <c r="X751" s="1111"/>
      <c r="Y751" s="1111"/>
      <c r="Z751" s="1111"/>
      <c r="AA751" s="1111"/>
      <c r="AB751" s="1111"/>
      <c r="AC751" s="1111"/>
      <c r="AD751" s="1111"/>
      <c r="AE751" s="1111"/>
      <c r="AF751" s="1111"/>
      <c r="AG751" s="1111"/>
    </row>
    <row r="752" spans="1:33" s="1295" customFormat="1">
      <c r="A752" s="1264"/>
      <c r="D752" s="1118"/>
      <c r="E752" s="1264"/>
      <c r="F752" s="1118"/>
      <c r="G752" s="1118"/>
      <c r="H752" s="1118"/>
      <c r="I752" s="1118"/>
      <c r="J752" s="1118"/>
      <c r="K752" s="1118"/>
      <c r="L752" s="1118"/>
      <c r="M752" s="1118"/>
      <c r="N752" s="1118"/>
      <c r="O752" s="1118"/>
      <c r="P752" s="1118"/>
      <c r="Q752" s="1111"/>
      <c r="R752" s="1111"/>
      <c r="S752" s="1111"/>
      <c r="T752" s="1111"/>
      <c r="U752" s="1111"/>
      <c r="V752" s="1111"/>
      <c r="W752" s="1111"/>
      <c r="X752" s="1111"/>
      <c r="Y752" s="1111"/>
      <c r="Z752" s="1111"/>
      <c r="AA752" s="1111"/>
      <c r="AB752" s="1111"/>
      <c r="AC752" s="1111"/>
      <c r="AD752" s="1111"/>
      <c r="AE752" s="1111"/>
      <c r="AF752" s="1111"/>
      <c r="AG752" s="1111"/>
    </row>
    <row r="753" spans="1:33" s="1295" customFormat="1">
      <c r="A753" s="1264"/>
      <c r="D753" s="1118"/>
      <c r="E753" s="1264"/>
      <c r="F753" s="1118"/>
      <c r="G753" s="1118"/>
      <c r="H753" s="1118"/>
      <c r="I753" s="1118"/>
      <c r="J753" s="1118"/>
      <c r="K753" s="1118"/>
      <c r="L753" s="1118"/>
      <c r="M753" s="1118"/>
      <c r="N753" s="1118"/>
      <c r="O753" s="1118"/>
      <c r="P753" s="1118"/>
      <c r="Q753" s="1111"/>
      <c r="R753" s="1111"/>
      <c r="S753" s="1111"/>
      <c r="T753" s="1111"/>
      <c r="U753" s="1111"/>
      <c r="V753" s="1111"/>
      <c r="W753" s="1111"/>
      <c r="X753" s="1111"/>
      <c r="Y753" s="1111"/>
      <c r="Z753" s="1111"/>
      <c r="AA753" s="1111"/>
      <c r="AB753" s="1111"/>
      <c r="AC753" s="1111"/>
      <c r="AD753" s="1111"/>
      <c r="AE753" s="1111"/>
      <c r="AF753" s="1111"/>
      <c r="AG753" s="1111"/>
    </row>
    <row r="754" spans="1:33" s="1295" customFormat="1">
      <c r="A754" s="1264"/>
      <c r="D754" s="1118"/>
      <c r="E754" s="1264"/>
      <c r="F754" s="1118"/>
      <c r="G754" s="1118"/>
      <c r="H754" s="1118"/>
      <c r="I754" s="1118"/>
      <c r="J754" s="1118"/>
      <c r="K754" s="1118"/>
      <c r="L754" s="1118"/>
      <c r="M754" s="1118"/>
      <c r="N754" s="1118"/>
      <c r="O754" s="1118"/>
      <c r="P754" s="1118"/>
      <c r="Q754" s="1111"/>
      <c r="R754" s="1111"/>
      <c r="S754" s="1111"/>
      <c r="T754" s="1111"/>
      <c r="U754" s="1111"/>
      <c r="V754" s="1111"/>
      <c r="W754" s="1111"/>
      <c r="X754" s="1111"/>
      <c r="Y754" s="1111"/>
      <c r="Z754" s="1111"/>
      <c r="AA754" s="1111"/>
      <c r="AB754" s="1111"/>
      <c r="AC754" s="1111"/>
      <c r="AD754" s="1111"/>
      <c r="AE754" s="1111"/>
      <c r="AF754" s="1111"/>
      <c r="AG754" s="1111"/>
    </row>
    <row r="755" spans="1:33" s="1295" customFormat="1">
      <c r="A755" s="1264"/>
      <c r="D755" s="1118"/>
      <c r="E755" s="1264"/>
      <c r="F755" s="1118"/>
      <c r="G755" s="1118"/>
      <c r="H755" s="1118"/>
      <c r="I755" s="1118"/>
      <c r="J755" s="1118"/>
      <c r="K755" s="1118"/>
      <c r="L755" s="1118"/>
      <c r="M755" s="1118"/>
      <c r="N755" s="1118"/>
      <c r="O755" s="1118"/>
      <c r="P755" s="1118"/>
      <c r="Q755" s="1111"/>
      <c r="R755" s="1111"/>
      <c r="S755" s="1111"/>
      <c r="T755" s="1111"/>
      <c r="U755" s="1111"/>
      <c r="V755" s="1111"/>
      <c r="W755" s="1111"/>
      <c r="X755" s="1111"/>
      <c r="Y755" s="1111"/>
      <c r="Z755" s="1111"/>
      <c r="AA755" s="1111"/>
      <c r="AB755" s="1111"/>
      <c r="AC755" s="1111"/>
      <c r="AD755" s="1111"/>
      <c r="AE755" s="1111"/>
      <c r="AF755" s="1111"/>
      <c r="AG755" s="1111"/>
    </row>
    <row r="756" spans="1:33" s="1295" customFormat="1">
      <c r="A756" s="1264"/>
      <c r="D756" s="1118"/>
      <c r="E756" s="1264"/>
      <c r="F756" s="1118"/>
      <c r="G756" s="1118"/>
      <c r="H756" s="1118"/>
      <c r="I756" s="1118"/>
      <c r="J756" s="1118"/>
      <c r="K756" s="1118"/>
      <c r="L756" s="1118"/>
      <c r="M756" s="1118"/>
      <c r="N756" s="1118"/>
      <c r="O756" s="1118"/>
      <c r="P756" s="1118"/>
      <c r="Q756" s="1111"/>
      <c r="R756" s="1111"/>
      <c r="S756" s="1111"/>
      <c r="T756" s="1111"/>
      <c r="U756" s="1111"/>
      <c r="V756" s="1111"/>
      <c r="W756" s="1111"/>
      <c r="X756" s="1111"/>
      <c r="Y756" s="1111"/>
      <c r="Z756" s="1111"/>
      <c r="AA756" s="1111"/>
      <c r="AB756" s="1111"/>
      <c r="AC756" s="1111"/>
      <c r="AD756" s="1111"/>
      <c r="AE756" s="1111"/>
      <c r="AF756" s="1111"/>
      <c r="AG756" s="1111"/>
    </row>
    <row r="757" spans="1:33" s="1295" customFormat="1">
      <c r="A757" s="1264"/>
      <c r="D757" s="1118"/>
      <c r="E757" s="1264"/>
      <c r="F757" s="1118"/>
      <c r="G757" s="1118"/>
      <c r="H757" s="1118"/>
      <c r="I757" s="1118"/>
      <c r="J757" s="1118"/>
      <c r="K757" s="1118"/>
      <c r="L757" s="1118"/>
      <c r="M757" s="1118"/>
      <c r="N757" s="1118"/>
      <c r="O757" s="1118"/>
      <c r="P757" s="1118"/>
      <c r="Q757" s="1111"/>
      <c r="R757" s="1111"/>
      <c r="S757" s="1111"/>
      <c r="T757" s="1111"/>
      <c r="U757" s="1111"/>
      <c r="V757" s="1111"/>
      <c r="W757" s="1111"/>
      <c r="X757" s="1111"/>
      <c r="Y757" s="1111"/>
      <c r="Z757" s="1111"/>
      <c r="AA757" s="1111"/>
      <c r="AB757" s="1111"/>
      <c r="AC757" s="1111"/>
      <c r="AD757" s="1111"/>
      <c r="AE757" s="1111"/>
      <c r="AF757" s="1111"/>
      <c r="AG757" s="1111"/>
    </row>
    <row r="758" spans="1:33" s="1295" customFormat="1">
      <c r="A758" s="1264"/>
      <c r="D758" s="1118"/>
      <c r="E758" s="1264"/>
      <c r="F758" s="1118"/>
      <c r="G758" s="1118"/>
      <c r="H758" s="1118"/>
      <c r="I758" s="1118"/>
      <c r="J758" s="1118"/>
      <c r="K758" s="1118"/>
      <c r="L758" s="1118"/>
      <c r="M758" s="1118"/>
      <c r="N758" s="1118"/>
      <c r="O758" s="1118"/>
      <c r="P758" s="1118"/>
      <c r="Q758" s="1111"/>
      <c r="R758" s="1111"/>
      <c r="S758" s="1111"/>
      <c r="T758" s="1111"/>
      <c r="U758" s="1111"/>
      <c r="V758" s="1111"/>
      <c r="W758" s="1111"/>
      <c r="X758" s="1111"/>
      <c r="Y758" s="1111"/>
      <c r="Z758" s="1111"/>
      <c r="AA758" s="1111"/>
      <c r="AB758" s="1111"/>
      <c r="AC758" s="1111"/>
      <c r="AD758" s="1111"/>
      <c r="AE758" s="1111"/>
      <c r="AF758" s="1111"/>
      <c r="AG758" s="1111"/>
    </row>
    <row r="759" spans="1:33" s="1295" customFormat="1">
      <c r="A759" s="1264"/>
      <c r="D759" s="1118"/>
      <c r="E759" s="1264"/>
      <c r="F759" s="1118"/>
      <c r="G759" s="1118"/>
      <c r="H759" s="1118"/>
      <c r="I759" s="1118"/>
      <c r="J759" s="1118"/>
      <c r="K759" s="1118"/>
      <c r="L759" s="1118"/>
      <c r="M759" s="1118"/>
      <c r="N759" s="1118"/>
      <c r="O759" s="1118"/>
      <c r="P759" s="1118"/>
      <c r="Q759" s="1111"/>
      <c r="R759" s="1111"/>
      <c r="S759" s="1111"/>
      <c r="T759" s="1111"/>
      <c r="U759" s="1111"/>
      <c r="V759" s="1111"/>
      <c r="W759" s="1111"/>
      <c r="X759" s="1111"/>
      <c r="Y759" s="1111"/>
      <c r="Z759" s="1111"/>
      <c r="AA759" s="1111"/>
      <c r="AB759" s="1111"/>
      <c r="AC759" s="1111"/>
      <c r="AD759" s="1111"/>
      <c r="AE759" s="1111"/>
      <c r="AF759" s="1111"/>
      <c r="AG759" s="1111"/>
    </row>
    <row r="760" spans="1:33" s="1295" customFormat="1">
      <c r="A760" s="1264"/>
      <c r="D760" s="1118"/>
      <c r="E760" s="1264"/>
      <c r="F760" s="1118"/>
      <c r="G760" s="1118"/>
      <c r="H760" s="1118"/>
      <c r="I760" s="1118"/>
      <c r="J760" s="1118"/>
      <c r="K760" s="1118"/>
      <c r="L760" s="1118"/>
      <c r="M760" s="1118"/>
      <c r="N760" s="1118"/>
      <c r="O760" s="1118"/>
      <c r="P760" s="1118"/>
      <c r="Q760" s="1111"/>
      <c r="R760" s="1111"/>
      <c r="S760" s="1111"/>
      <c r="T760" s="1111"/>
      <c r="U760" s="1111"/>
      <c r="V760" s="1111"/>
      <c r="W760" s="1111"/>
      <c r="X760" s="1111"/>
      <c r="Y760" s="1111"/>
      <c r="Z760" s="1111"/>
      <c r="AA760" s="1111"/>
      <c r="AB760" s="1111"/>
      <c r="AC760" s="1111"/>
      <c r="AD760" s="1111"/>
      <c r="AE760" s="1111"/>
      <c r="AF760" s="1111"/>
      <c r="AG760" s="1111"/>
    </row>
    <row r="761" spans="1:33" s="1295" customFormat="1">
      <c r="A761" s="1264"/>
      <c r="D761" s="1118"/>
      <c r="E761" s="1264"/>
      <c r="F761" s="1118"/>
      <c r="G761" s="1118"/>
      <c r="H761" s="1118"/>
      <c r="I761" s="1118"/>
      <c r="J761" s="1118"/>
      <c r="K761" s="1118"/>
      <c r="L761" s="1118"/>
      <c r="M761" s="1118"/>
      <c r="N761" s="1118"/>
      <c r="O761" s="1118"/>
      <c r="P761" s="1118"/>
      <c r="Q761" s="1111"/>
      <c r="R761" s="1111"/>
      <c r="S761" s="1111"/>
      <c r="T761" s="1111"/>
      <c r="U761" s="1111"/>
      <c r="V761" s="1111"/>
      <c r="W761" s="1111"/>
      <c r="X761" s="1111"/>
      <c r="Y761" s="1111"/>
      <c r="Z761" s="1111"/>
      <c r="AA761" s="1111"/>
      <c r="AB761" s="1111"/>
      <c r="AC761" s="1111"/>
      <c r="AD761" s="1111"/>
      <c r="AE761" s="1111"/>
      <c r="AF761" s="1111"/>
      <c r="AG761" s="1111"/>
    </row>
    <row r="762" spans="1:33" s="1295" customFormat="1">
      <c r="A762" s="1264"/>
      <c r="D762" s="1118"/>
      <c r="E762" s="1264"/>
      <c r="F762" s="1118"/>
      <c r="G762" s="1118"/>
      <c r="H762" s="1118"/>
      <c r="I762" s="1118"/>
      <c r="J762" s="1118"/>
      <c r="K762" s="1118"/>
      <c r="L762" s="1118"/>
      <c r="M762" s="1118"/>
      <c r="N762" s="1118"/>
      <c r="O762" s="1118"/>
      <c r="P762" s="1118"/>
      <c r="Q762" s="1111"/>
      <c r="R762" s="1111"/>
      <c r="S762" s="1111"/>
      <c r="T762" s="1111"/>
      <c r="U762" s="1111"/>
      <c r="V762" s="1111"/>
      <c r="W762" s="1111"/>
      <c r="X762" s="1111"/>
      <c r="Y762" s="1111"/>
      <c r="Z762" s="1111"/>
      <c r="AA762" s="1111"/>
      <c r="AB762" s="1111"/>
      <c r="AC762" s="1111"/>
      <c r="AD762" s="1111"/>
      <c r="AE762" s="1111"/>
      <c r="AF762" s="1111"/>
      <c r="AG762" s="1111"/>
    </row>
    <row r="763" spans="1:33" s="1295" customFormat="1">
      <c r="A763" s="1264"/>
      <c r="D763" s="1118"/>
      <c r="E763" s="1264"/>
      <c r="F763" s="1118"/>
      <c r="G763" s="1118"/>
      <c r="H763" s="1118"/>
      <c r="I763" s="1118"/>
      <c r="J763" s="1118"/>
      <c r="K763" s="1118"/>
      <c r="L763" s="1118"/>
      <c r="M763" s="1118"/>
      <c r="N763" s="1118"/>
      <c r="O763" s="1118"/>
      <c r="P763" s="1118"/>
      <c r="Q763" s="1111"/>
      <c r="R763" s="1111"/>
      <c r="S763" s="1111"/>
      <c r="T763" s="1111"/>
      <c r="U763" s="1111"/>
      <c r="V763" s="1111"/>
      <c r="W763" s="1111"/>
      <c r="X763" s="1111"/>
      <c r="Y763" s="1111"/>
      <c r="Z763" s="1111"/>
      <c r="AA763" s="1111"/>
      <c r="AB763" s="1111"/>
      <c r="AC763" s="1111"/>
      <c r="AD763" s="1111"/>
      <c r="AE763" s="1111"/>
      <c r="AF763" s="1111"/>
      <c r="AG763" s="1111"/>
    </row>
    <row r="764" spans="1:33" s="1295" customFormat="1">
      <c r="A764" s="1264"/>
      <c r="D764" s="1118"/>
      <c r="E764" s="1264"/>
      <c r="F764" s="1118"/>
      <c r="G764" s="1118"/>
      <c r="H764" s="1118"/>
      <c r="I764" s="1118"/>
      <c r="J764" s="1118"/>
      <c r="K764" s="1118"/>
      <c r="L764" s="1118"/>
      <c r="M764" s="1118"/>
      <c r="N764" s="1118"/>
      <c r="O764" s="1118"/>
      <c r="P764" s="1118"/>
      <c r="Q764" s="1111"/>
      <c r="R764" s="1111"/>
      <c r="S764" s="1111"/>
      <c r="T764" s="1111"/>
      <c r="U764" s="1111"/>
      <c r="V764" s="1111"/>
      <c r="W764" s="1111"/>
      <c r="X764" s="1111"/>
      <c r="Y764" s="1111"/>
      <c r="Z764" s="1111"/>
      <c r="AA764" s="1111"/>
      <c r="AB764" s="1111"/>
      <c r="AC764" s="1111"/>
      <c r="AD764" s="1111"/>
      <c r="AE764" s="1111"/>
      <c r="AF764" s="1111"/>
      <c r="AG764" s="1111"/>
    </row>
    <row r="765" spans="1:33" s="1295" customFormat="1">
      <c r="A765" s="1264"/>
      <c r="D765" s="1118"/>
      <c r="E765" s="1264"/>
      <c r="F765" s="1118"/>
      <c r="G765" s="1118"/>
      <c r="H765" s="1118"/>
      <c r="I765" s="1118"/>
      <c r="J765" s="1118"/>
      <c r="K765" s="1118"/>
      <c r="L765" s="1118"/>
      <c r="M765" s="1118"/>
      <c r="N765" s="1118"/>
      <c r="O765" s="1118"/>
      <c r="P765" s="1118"/>
      <c r="Q765" s="1111"/>
      <c r="R765" s="1111"/>
      <c r="S765" s="1111"/>
      <c r="T765" s="1111"/>
      <c r="U765" s="1111"/>
      <c r="V765" s="1111"/>
      <c r="W765" s="1111"/>
      <c r="X765" s="1111"/>
      <c r="Y765" s="1111"/>
      <c r="Z765" s="1111"/>
      <c r="AA765" s="1111"/>
      <c r="AB765" s="1111"/>
      <c r="AC765" s="1111"/>
      <c r="AD765" s="1111"/>
      <c r="AE765" s="1111"/>
      <c r="AF765" s="1111"/>
      <c r="AG765" s="1111"/>
    </row>
    <row r="766" spans="1:33" s="1295" customFormat="1">
      <c r="A766" s="1264"/>
      <c r="D766" s="1118"/>
      <c r="E766" s="1264"/>
      <c r="F766" s="1118"/>
      <c r="G766" s="1118"/>
      <c r="H766" s="1118"/>
      <c r="I766" s="1118"/>
      <c r="J766" s="1118"/>
      <c r="K766" s="1118"/>
      <c r="L766" s="1118"/>
      <c r="M766" s="1118"/>
      <c r="N766" s="1118"/>
      <c r="O766" s="1118"/>
      <c r="P766" s="1118"/>
      <c r="Q766" s="1111"/>
      <c r="R766" s="1111"/>
      <c r="S766" s="1111"/>
      <c r="T766" s="1111"/>
      <c r="U766" s="1111"/>
      <c r="V766" s="1111"/>
      <c r="W766" s="1111"/>
      <c r="X766" s="1111"/>
      <c r="Y766" s="1111"/>
      <c r="Z766" s="1111"/>
      <c r="AA766" s="1111"/>
      <c r="AB766" s="1111"/>
      <c r="AC766" s="1111"/>
      <c r="AD766" s="1111"/>
      <c r="AE766" s="1111"/>
      <c r="AF766" s="1111"/>
      <c r="AG766" s="1111"/>
    </row>
    <row r="767" spans="1:33" s="1295" customFormat="1">
      <c r="A767" s="1264"/>
      <c r="D767" s="1118"/>
      <c r="E767" s="1264"/>
      <c r="F767" s="1118"/>
      <c r="G767" s="1118"/>
      <c r="H767" s="1118"/>
      <c r="I767" s="1118"/>
      <c r="J767" s="1118"/>
      <c r="K767" s="1118"/>
      <c r="L767" s="1118"/>
      <c r="M767" s="1118"/>
      <c r="N767" s="1118"/>
      <c r="O767" s="1118"/>
      <c r="P767" s="1118"/>
      <c r="Q767" s="1111"/>
      <c r="R767" s="1111"/>
      <c r="S767" s="1111"/>
      <c r="T767" s="1111"/>
      <c r="U767" s="1111"/>
      <c r="V767" s="1111"/>
      <c r="W767" s="1111"/>
      <c r="X767" s="1111"/>
      <c r="Y767" s="1111"/>
      <c r="Z767" s="1111"/>
      <c r="AA767" s="1111"/>
      <c r="AB767" s="1111"/>
      <c r="AC767" s="1111"/>
      <c r="AD767" s="1111"/>
      <c r="AE767" s="1111"/>
      <c r="AF767" s="1111"/>
      <c r="AG767" s="1111"/>
    </row>
    <row r="768" spans="1:33" s="1295" customFormat="1">
      <c r="A768" s="1264"/>
      <c r="D768" s="1118"/>
      <c r="E768" s="1264"/>
      <c r="F768" s="1118"/>
      <c r="G768" s="1118"/>
      <c r="H768" s="1118"/>
      <c r="I768" s="1118"/>
      <c r="J768" s="1118"/>
      <c r="K768" s="1118"/>
      <c r="L768" s="1118"/>
      <c r="M768" s="1118"/>
      <c r="N768" s="1118"/>
      <c r="O768" s="1118"/>
      <c r="P768" s="1118"/>
      <c r="Q768" s="1111"/>
      <c r="R768" s="1111"/>
      <c r="S768" s="1111"/>
      <c r="T768" s="1111"/>
      <c r="U768" s="1111"/>
      <c r="V768" s="1111"/>
      <c r="W768" s="1111"/>
      <c r="X768" s="1111"/>
      <c r="Y768" s="1111"/>
      <c r="Z768" s="1111"/>
      <c r="AA768" s="1111"/>
      <c r="AB768" s="1111"/>
      <c r="AC768" s="1111"/>
      <c r="AD768" s="1111"/>
      <c r="AE768" s="1111"/>
      <c r="AF768" s="1111"/>
      <c r="AG768" s="1111"/>
    </row>
    <row r="769" spans="1:33" s="1295" customFormat="1">
      <c r="A769" s="1264"/>
      <c r="D769" s="1118"/>
      <c r="E769" s="1264"/>
      <c r="F769" s="1118"/>
      <c r="G769" s="1118"/>
      <c r="H769" s="1118"/>
      <c r="I769" s="1118"/>
      <c r="J769" s="1118"/>
      <c r="K769" s="1118"/>
      <c r="L769" s="1118"/>
      <c r="M769" s="1118"/>
      <c r="N769" s="1118"/>
      <c r="O769" s="1118"/>
      <c r="P769" s="1118"/>
      <c r="Q769" s="1111"/>
      <c r="R769" s="1111"/>
      <c r="S769" s="1111"/>
      <c r="T769" s="1111"/>
      <c r="U769" s="1111"/>
      <c r="V769" s="1111"/>
      <c r="W769" s="1111"/>
      <c r="X769" s="1111"/>
      <c r="Y769" s="1111"/>
      <c r="Z769" s="1111"/>
      <c r="AA769" s="1111"/>
      <c r="AB769" s="1111"/>
      <c r="AC769" s="1111"/>
      <c r="AD769" s="1111"/>
      <c r="AE769" s="1111"/>
      <c r="AF769" s="1111"/>
      <c r="AG769" s="1111"/>
    </row>
    <row r="770" spans="1:33" s="1295" customFormat="1">
      <c r="A770" s="1264"/>
      <c r="D770" s="1118"/>
      <c r="E770" s="1264"/>
      <c r="F770" s="1118"/>
      <c r="G770" s="1118"/>
      <c r="H770" s="1118"/>
      <c r="I770" s="1118"/>
      <c r="J770" s="1118"/>
      <c r="K770" s="1118"/>
      <c r="L770" s="1118"/>
      <c r="M770" s="1118"/>
      <c r="N770" s="1118"/>
      <c r="O770" s="1118"/>
      <c r="P770" s="1118"/>
      <c r="Q770" s="1111"/>
      <c r="R770" s="1111"/>
      <c r="S770" s="1111"/>
      <c r="T770" s="1111"/>
      <c r="U770" s="1111"/>
      <c r="V770" s="1111"/>
      <c r="W770" s="1111"/>
      <c r="X770" s="1111"/>
      <c r="Y770" s="1111"/>
      <c r="Z770" s="1111"/>
      <c r="AA770" s="1111"/>
      <c r="AB770" s="1111"/>
      <c r="AC770" s="1111"/>
      <c r="AD770" s="1111"/>
      <c r="AE770" s="1111"/>
      <c r="AF770" s="1111"/>
      <c r="AG770" s="1111"/>
    </row>
    <row r="771" spans="1:33" s="1295" customFormat="1">
      <c r="A771" s="1264"/>
      <c r="D771" s="1118"/>
      <c r="E771" s="1264"/>
      <c r="F771" s="1118"/>
      <c r="G771" s="1118"/>
      <c r="H771" s="1118"/>
      <c r="I771" s="1118"/>
      <c r="J771" s="1118"/>
      <c r="K771" s="1118"/>
      <c r="L771" s="1118"/>
      <c r="M771" s="1118"/>
      <c r="N771" s="1118"/>
      <c r="O771" s="1118"/>
      <c r="P771" s="1118"/>
      <c r="Q771" s="1111"/>
      <c r="R771" s="1111"/>
      <c r="S771" s="1111"/>
      <c r="T771" s="1111"/>
      <c r="U771" s="1111"/>
      <c r="V771" s="1111"/>
      <c r="W771" s="1111"/>
      <c r="X771" s="1111"/>
      <c r="Y771" s="1111"/>
      <c r="Z771" s="1111"/>
      <c r="AA771" s="1111"/>
      <c r="AB771" s="1111"/>
      <c r="AC771" s="1111"/>
      <c r="AD771" s="1111"/>
      <c r="AE771" s="1111"/>
      <c r="AF771" s="1111"/>
      <c r="AG771" s="1111"/>
    </row>
    <row r="772" spans="1:33" s="1295" customFormat="1">
      <c r="A772" s="1264"/>
      <c r="D772" s="1118"/>
      <c r="E772" s="1264"/>
      <c r="F772" s="1118"/>
      <c r="G772" s="1118"/>
      <c r="H772" s="1118"/>
      <c r="I772" s="1118"/>
      <c r="J772" s="1118"/>
      <c r="K772" s="1118"/>
      <c r="L772" s="1118"/>
      <c r="M772" s="1118"/>
      <c r="N772" s="1118"/>
      <c r="O772" s="1118"/>
      <c r="P772" s="1118"/>
      <c r="Q772" s="1111"/>
      <c r="R772" s="1111"/>
      <c r="S772" s="1111"/>
      <c r="T772" s="1111"/>
      <c r="U772" s="1111"/>
      <c r="V772" s="1111"/>
      <c r="W772" s="1111"/>
      <c r="X772" s="1111"/>
      <c r="Y772" s="1111"/>
      <c r="Z772" s="1111"/>
      <c r="AA772" s="1111"/>
      <c r="AB772" s="1111"/>
      <c r="AC772" s="1111"/>
      <c r="AD772" s="1111"/>
      <c r="AE772" s="1111"/>
      <c r="AF772" s="1111"/>
      <c r="AG772" s="1111"/>
    </row>
    <row r="773" spans="1:33" s="1295" customFormat="1">
      <c r="A773" s="1264"/>
      <c r="D773" s="1118"/>
      <c r="E773" s="1264"/>
      <c r="F773" s="1118"/>
      <c r="G773" s="1118"/>
      <c r="H773" s="1118"/>
      <c r="I773" s="1118"/>
      <c r="J773" s="1118"/>
      <c r="K773" s="1118"/>
      <c r="L773" s="1118"/>
      <c r="M773" s="1118"/>
      <c r="N773" s="1118"/>
      <c r="O773" s="1118"/>
      <c r="P773" s="1118"/>
      <c r="Q773" s="1111"/>
      <c r="R773" s="1111"/>
      <c r="S773" s="1111"/>
      <c r="T773" s="1111"/>
      <c r="U773" s="1111"/>
      <c r="V773" s="1111"/>
      <c r="W773" s="1111"/>
      <c r="X773" s="1111"/>
      <c r="Y773" s="1111"/>
      <c r="Z773" s="1111"/>
      <c r="AA773" s="1111"/>
      <c r="AB773" s="1111"/>
      <c r="AC773" s="1111"/>
      <c r="AD773" s="1111"/>
      <c r="AE773" s="1111"/>
      <c r="AF773" s="1111"/>
      <c r="AG773" s="1111"/>
    </row>
    <row r="774" spans="1:33" s="1295" customFormat="1">
      <c r="A774" s="1264"/>
      <c r="D774" s="1118"/>
      <c r="E774" s="1264"/>
      <c r="F774" s="1118"/>
      <c r="G774" s="1118"/>
      <c r="H774" s="1118"/>
      <c r="I774" s="1118"/>
      <c r="J774" s="1118"/>
      <c r="K774" s="1118"/>
      <c r="L774" s="1118"/>
      <c r="M774" s="1118"/>
      <c r="N774" s="1118"/>
      <c r="O774" s="1118"/>
      <c r="P774" s="1118"/>
      <c r="Q774" s="1111"/>
      <c r="R774" s="1111"/>
      <c r="S774" s="1111"/>
      <c r="T774" s="1111"/>
      <c r="U774" s="1111"/>
      <c r="V774" s="1111"/>
      <c r="W774" s="1111"/>
      <c r="X774" s="1111"/>
      <c r="Y774" s="1111"/>
      <c r="Z774" s="1111"/>
      <c r="AA774" s="1111"/>
      <c r="AB774" s="1111"/>
      <c r="AC774" s="1111"/>
      <c r="AD774" s="1111"/>
      <c r="AE774" s="1111"/>
      <c r="AF774" s="1111"/>
      <c r="AG774" s="1111"/>
    </row>
    <row r="775" spans="1:33" s="1295" customFormat="1">
      <c r="A775" s="1264"/>
      <c r="D775" s="1118"/>
      <c r="E775" s="1264"/>
      <c r="F775" s="1118"/>
      <c r="G775" s="1118"/>
      <c r="H775" s="1118"/>
      <c r="I775" s="1118"/>
      <c r="J775" s="1118"/>
      <c r="K775" s="1118"/>
      <c r="L775" s="1118"/>
      <c r="M775" s="1118"/>
      <c r="N775" s="1118"/>
      <c r="O775" s="1118"/>
      <c r="P775" s="1118"/>
      <c r="Q775" s="1111"/>
      <c r="R775" s="1111"/>
      <c r="S775" s="1111"/>
      <c r="T775" s="1111"/>
      <c r="U775" s="1111"/>
      <c r="V775" s="1111"/>
      <c r="W775" s="1111"/>
      <c r="X775" s="1111"/>
      <c r="Y775" s="1111"/>
      <c r="Z775" s="1111"/>
      <c r="AA775" s="1111"/>
      <c r="AB775" s="1111"/>
      <c r="AC775" s="1111"/>
      <c r="AD775" s="1111"/>
      <c r="AE775" s="1111"/>
      <c r="AF775" s="1111"/>
      <c r="AG775" s="1111"/>
    </row>
    <row r="776" spans="1:33" s="1295" customFormat="1">
      <c r="A776" s="1264"/>
      <c r="D776" s="1118"/>
      <c r="E776" s="1264"/>
      <c r="F776" s="1118"/>
      <c r="G776" s="1118"/>
      <c r="H776" s="1118"/>
      <c r="I776" s="1118"/>
      <c r="J776" s="1118"/>
      <c r="K776" s="1118"/>
      <c r="L776" s="1118"/>
      <c r="M776" s="1118"/>
      <c r="N776" s="1118"/>
      <c r="O776" s="1118"/>
      <c r="P776" s="1118"/>
      <c r="Q776" s="1111"/>
      <c r="R776" s="1111"/>
      <c r="S776" s="1111"/>
      <c r="T776" s="1111"/>
      <c r="U776" s="1111"/>
      <c r="V776" s="1111"/>
      <c r="W776" s="1111"/>
      <c r="X776" s="1111"/>
      <c r="Y776" s="1111"/>
      <c r="Z776" s="1111"/>
      <c r="AA776" s="1111"/>
      <c r="AB776" s="1111"/>
      <c r="AC776" s="1111"/>
      <c r="AD776" s="1111"/>
      <c r="AE776" s="1111"/>
      <c r="AF776" s="1111"/>
      <c r="AG776" s="1111"/>
    </row>
    <row r="777" spans="1:33" s="1295" customFormat="1">
      <c r="A777" s="1264"/>
      <c r="D777" s="1118"/>
      <c r="E777" s="1264"/>
      <c r="F777" s="1118"/>
      <c r="G777" s="1118"/>
      <c r="H777" s="1118"/>
      <c r="I777" s="1118"/>
      <c r="J777" s="1118"/>
      <c r="K777" s="1118"/>
      <c r="L777" s="1118"/>
      <c r="M777" s="1118"/>
      <c r="N777" s="1118"/>
      <c r="O777" s="1118"/>
      <c r="P777" s="1118"/>
      <c r="Q777" s="1111"/>
      <c r="R777" s="1111"/>
      <c r="S777" s="1111"/>
      <c r="T777" s="1111"/>
      <c r="U777" s="1111"/>
      <c r="V777" s="1111"/>
      <c r="W777" s="1111"/>
      <c r="X777" s="1111"/>
      <c r="Y777" s="1111"/>
      <c r="Z777" s="1111"/>
      <c r="AA777" s="1111"/>
      <c r="AB777" s="1111"/>
      <c r="AC777" s="1111"/>
      <c r="AD777" s="1111"/>
      <c r="AE777" s="1111"/>
      <c r="AF777" s="1111"/>
      <c r="AG777" s="1111"/>
    </row>
    <row r="778" spans="1:33" s="1295" customFormat="1">
      <c r="A778" s="1264"/>
      <c r="D778" s="1118"/>
      <c r="E778" s="1264"/>
      <c r="F778" s="1118"/>
      <c r="G778" s="1118"/>
      <c r="H778" s="1118"/>
      <c r="I778" s="1118"/>
      <c r="J778" s="1118"/>
      <c r="K778" s="1118"/>
      <c r="L778" s="1118"/>
      <c r="M778" s="1118"/>
      <c r="N778" s="1118"/>
      <c r="O778" s="1118"/>
      <c r="P778" s="1118"/>
      <c r="Q778" s="1111"/>
      <c r="R778" s="1111"/>
      <c r="S778" s="1111"/>
      <c r="T778" s="1111"/>
      <c r="U778" s="1111"/>
      <c r="V778" s="1111"/>
      <c r="W778" s="1111"/>
      <c r="X778" s="1111"/>
      <c r="Y778" s="1111"/>
      <c r="Z778" s="1111"/>
      <c r="AA778" s="1111"/>
      <c r="AB778" s="1111"/>
      <c r="AC778" s="1111"/>
      <c r="AD778" s="1111"/>
      <c r="AE778" s="1111"/>
      <c r="AF778" s="1111"/>
      <c r="AG778" s="1111"/>
    </row>
    <row r="779" spans="1:33" s="1295" customFormat="1">
      <c r="A779" s="1264"/>
      <c r="D779" s="1118"/>
      <c r="E779" s="1264"/>
      <c r="F779" s="1118"/>
      <c r="G779" s="1118"/>
      <c r="H779" s="1118"/>
      <c r="I779" s="1118"/>
      <c r="J779" s="1118"/>
      <c r="K779" s="1118"/>
      <c r="L779" s="1118"/>
      <c r="M779" s="1118"/>
      <c r="N779" s="1118"/>
      <c r="O779" s="1118"/>
      <c r="P779" s="1118"/>
      <c r="Q779" s="1111"/>
      <c r="R779" s="1111"/>
      <c r="S779" s="1111"/>
      <c r="T779" s="1111"/>
      <c r="U779" s="1111"/>
      <c r="V779" s="1111"/>
      <c r="W779" s="1111"/>
      <c r="X779" s="1111"/>
      <c r="Y779" s="1111"/>
      <c r="Z779" s="1111"/>
      <c r="AA779" s="1111"/>
      <c r="AB779" s="1111"/>
      <c r="AC779" s="1111"/>
      <c r="AD779" s="1111"/>
      <c r="AE779" s="1111"/>
      <c r="AF779" s="1111"/>
      <c r="AG779" s="1111"/>
    </row>
    <row r="780" spans="1:33" s="1295" customFormat="1">
      <c r="A780" s="1264"/>
      <c r="D780" s="1118"/>
      <c r="E780" s="1264"/>
      <c r="F780" s="1118"/>
      <c r="G780" s="1118"/>
      <c r="H780" s="1118"/>
      <c r="I780" s="1118"/>
      <c r="J780" s="1118"/>
      <c r="K780" s="1118"/>
      <c r="L780" s="1118"/>
      <c r="M780" s="1118"/>
      <c r="N780" s="1118"/>
      <c r="O780" s="1118"/>
      <c r="P780" s="1118"/>
      <c r="Q780" s="1111"/>
      <c r="R780" s="1111"/>
      <c r="S780" s="1111"/>
      <c r="T780" s="1111"/>
      <c r="U780" s="1111"/>
      <c r="V780" s="1111"/>
      <c r="W780" s="1111"/>
      <c r="X780" s="1111"/>
      <c r="Y780" s="1111"/>
      <c r="Z780" s="1111"/>
      <c r="AA780" s="1111"/>
      <c r="AB780" s="1111"/>
      <c r="AC780" s="1111"/>
      <c r="AD780" s="1111"/>
      <c r="AE780" s="1111"/>
      <c r="AF780" s="1111"/>
      <c r="AG780" s="1111"/>
    </row>
    <row r="781" spans="1:33" s="1295" customFormat="1">
      <c r="A781" s="1264"/>
      <c r="D781" s="1118"/>
      <c r="E781" s="1264"/>
      <c r="F781" s="1118"/>
      <c r="G781" s="1118"/>
      <c r="H781" s="1118"/>
      <c r="I781" s="1118"/>
      <c r="J781" s="1118"/>
      <c r="K781" s="1118"/>
      <c r="L781" s="1118"/>
      <c r="M781" s="1118"/>
      <c r="N781" s="1118"/>
      <c r="O781" s="1118"/>
      <c r="P781" s="1118"/>
      <c r="Q781" s="1111"/>
      <c r="R781" s="1111"/>
      <c r="S781" s="1111"/>
      <c r="T781" s="1111"/>
      <c r="U781" s="1111"/>
      <c r="V781" s="1111"/>
      <c r="W781" s="1111"/>
      <c r="X781" s="1111"/>
      <c r="Y781" s="1111"/>
      <c r="Z781" s="1111"/>
      <c r="AA781" s="1111"/>
      <c r="AB781" s="1111"/>
      <c r="AC781" s="1111"/>
      <c r="AD781" s="1111"/>
      <c r="AE781" s="1111"/>
      <c r="AF781" s="1111"/>
      <c r="AG781" s="1111"/>
    </row>
    <row r="782" spans="1:33" s="1295" customFormat="1">
      <c r="A782" s="1264"/>
      <c r="D782" s="1118"/>
      <c r="E782" s="1264"/>
      <c r="F782" s="1118"/>
      <c r="G782" s="1118"/>
      <c r="H782" s="1118"/>
      <c r="I782" s="1118"/>
      <c r="J782" s="1118"/>
      <c r="K782" s="1118"/>
      <c r="L782" s="1118"/>
      <c r="M782" s="1118"/>
      <c r="N782" s="1118"/>
      <c r="O782" s="1118"/>
      <c r="P782" s="1118"/>
      <c r="Q782" s="1111"/>
      <c r="R782" s="1111"/>
      <c r="S782" s="1111"/>
      <c r="T782" s="1111"/>
      <c r="U782" s="1111"/>
      <c r="V782" s="1111"/>
      <c r="W782" s="1111"/>
      <c r="X782" s="1111"/>
      <c r="Y782" s="1111"/>
      <c r="Z782" s="1111"/>
      <c r="AA782" s="1111"/>
      <c r="AB782" s="1111"/>
      <c r="AC782" s="1111"/>
      <c r="AD782" s="1111"/>
      <c r="AE782" s="1111"/>
      <c r="AF782" s="1111"/>
      <c r="AG782" s="1111"/>
    </row>
    <row r="783" spans="1:33" s="1295" customFormat="1">
      <c r="A783" s="1264"/>
      <c r="D783" s="1118"/>
      <c r="E783" s="1264"/>
      <c r="F783" s="1118"/>
      <c r="G783" s="1118"/>
      <c r="H783" s="1118"/>
      <c r="I783" s="1118"/>
      <c r="J783" s="1118"/>
      <c r="K783" s="1118"/>
      <c r="L783" s="1118"/>
      <c r="M783" s="1118"/>
      <c r="N783" s="1118"/>
      <c r="O783" s="1118"/>
      <c r="P783" s="1118"/>
      <c r="Q783" s="1111"/>
      <c r="R783" s="1111"/>
      <c r="S783" s="1111"/>
      <c r="T783" s="1111"/>
      <c r="U783" s="1111"/>
      <c r="V783" s="1111"/>
      <c r="W783" s="1111"/>
      <c r="X783" s="1111"/>
      <c r="Y783" s="1111"/>
      <c r="Z783" s="1111"/>
      <c r="AA783" s="1111"/>
      <c r="AB783" s="1111"/>
      <c r="AC783" s="1111"/>
      <c r="AD783" s="1111"/>
      <c r="AE783" s="1111"/>
      <c r="AF783" s="1111"/>
      <c r="AG783" s="1111"/>
    </row>
    <row r="784" spans="1:33" s="1295" customFormat="1">
      <c r="A784" s="1264"/>
      <c r="D784" s="1118"/>
      <c r="E784" s="1264"/>
      <c r="F784" s="1118"/>
      <c r="G784" s="1118"/>
      <c r="H784" s="1118"/>
      <c r="I784" s="1118"/>
      <c r="J784" s="1118"/>
      <c r="K784" s="1118"/>
      <c r="L784" s="1118"/>
      <c r="M784" s="1118"/>
      <c r="N784" s="1118"/>
      <c r="O784" s="1118"/>
      <c r="P784" s="1118"/>
      <c r="Q784" s="1111"/>
      <c r="R784" s="1111"/>
      <c r="S784" s="1111"/>
      <c r="T784" s="1111"/>
      <c r="U784" s="1111"/>
      <c r="V784" s="1111"/>
      <c r="W784" s="1111"/>
      <c r="X784" s="1111"/>
      <c r="Y784" s="1111"/>
      <c r="Z784" s="1111"/>
      <c r="AA784" s="1111"/>
      <c r="AB784" s="1111"/>
      <c r="AC784" s="1111"/>
      <c r="AD784" s="1111"/>
      <c r="AE784" s="1111"/>
      <c r="AF784" s="1111"/>
      <c r="AG784" s="1111"/>
    </row>
    <row r="785" spans="1:33" s="1295" customFormat="1">
      <c r="A785" s="1264"/>
      <c r="D785" s="1118"/>
      <c r="E785" s="1264"/>
      <c r="F785" s="1118"/>
      <c r="G785" s="1118"/>
      <c r="H785" s="1118"/>
      <c r="I785" s="1118"/>
      <c r="J785" s="1118"/>
      <c r="K785" s="1118"/>
      <c r="L785" s="1118"/>
      <c r="M785" s="1118"/>
      <c r="N785" s="1118"/>
      <c r="O785" s="1118"/>
      <c r="P785" s="1118"/>
      <c r="Q785" s="1111"/>
      <c r="R785" s="1111"/>
      <c r="S785" s="1111"/>
      <c r="T785" s="1111"/>
      <c r="U785" s="1111"/>
      <c r="V785" s="1111"/>
      <c r="W785" s="1111"/>
      <c r="X785" s="1111"/>
      <c r="Y785" s="1111"/>
      <c r="Z785" s="1111"/>
      <c r="AA785" s="1111"/>
      <c r="AB785" s="1111"/>
      <c r="AC785" s="1111"/>
      <c r="AD785" s="1111"/>
      <c r="AE785" s="1111"/>
      <c r="AF785" s="1111"/>
      <c r="AG785" s="1111"/>
    </row>
    <row r="786" spans="1:33" s="1295" customFormat="1">
      <c r="A786" s="1264"/>
      <c r="D786" s="1118"/>
      <c r="E786" s="1264"/>
      <c r="F786" s="1118"/>
      <c r="G786" s="1118"/>
      <c r="H786" s="1118"/>
      <c r="I786" s="1118"/>
      <c r="J786" s="1118"/>
      <c r="K786" s="1118"/>
      <c r="L786" s="1118"/>
      <c r="M786" s="1118"/>
      <c r="N786" s="1118"/>
      <c r="O786" s="1118"/>
      <c r="P786" s="1118"/>
      <c r="Q786" s="1111"/>
      <c r="R786" s="1111"/>
      <c r="S786" s="1111"/>
      <c r="T786" s="1111"/>
      <c r="U786" s="1111"/>
      <c r="V786" s="1111"/>
      <c r="W786" s="1111"/>
      <c r="X786" s="1111"/>
      <c r="Y786" s="1111"/>
      <c r="Z786" s="1111"/>
      <c r="AA786" s="1111"/>
      <c r="AB786" s="1111"/>
      <c r="AC786" s="1111"/>
      <c r="AD786" s="1111"/>
      <c r="AE786" s="1111"/>
      <c r="AF786" s="1111"/>
      <c r="AG786" s="1111"/>
    </row>
    <row r="787" spans="1:33" s="1295" customFormat="1">
      <c r="A787" s="1264"/>
      <c r="D787" s="1118"/>
      <c r="E787" s="1264"/>
      <c r="F787" s="1118"/>
      <c r="G787" s="1118"/>
      <c r="H787" s="1118"/>
      <c r="I787" s="1118"/>
      <c r="J787" s="1118"/>
      <c r="K787" s="1118"/>
      <c r="L787" s="1118"/>
      <c r="M787" s="1118"/>
      <c r="N787" s="1118"/>
      <c r="O787" s="1118"/>
      <c r="P787" s="1118"/>
      <c r="Q787" s="1111"/>
      <c r="R787" s="1111"/>
      <c r="S787" s="1111"/>
      <c r="T787" s="1111"/>
      <c r="U787" s="1111"/>
      <c r="V787" s="1111"/>
      <c r="W787" s="1111"/>
      <c r="X787" s="1111"/>
      <c r="Y787" s="1111"/>
      <c r="Z787" s="1111"/>
      <c r="AA787" s="1111"/>
      <c r="AB787" s="1111"/>
      <c r="AC787" s="1111"/>
      <c r="AD787" s="1111"/>
      <c r="AE787" s="1111"/>
      <c r="AF787" s="1111"/>
      <c r="AG787" s="1111"/>
    </row>
    <row r="788" spans="1:33" s="1295" customFormat="1">
      <c r="A788" s="1264"/>
      <c r="D788" s="1118"/>
      <c r="E788" s="1264"/>
      <c r="F788" s="1118"/>
      <c r="G788" s="1118"/>
      <c r="H788" s="1118"/>
      <c r="I788" s="1118"/>
      <c r="J788" s="1118"/>
      <c r="K788" s="1118"/>
      <c r="L788" s="1118"/>
      <c r="M788" s="1118"/>
      <c r="N788" s="1118"/>
      <c r="O788" s="1118"/>
      <c r="P788" s="1118"/>
      <c r="Q788" s="1111"/>
      <c r="R788" s="1111"/>
      <c r="S788" s="1111"/>
      <c r="T788" s="1111"/>
      <c r="U788" s="1111"/>
      <c r="V788" s="1111"/>
      <c r="W788" s="1111"/>
      <c r="X788" s="1111"/>
      <c r="Y788" s="1111"/>
      <c r="Z788" s="1111"/>
      <c r="AA788" s="1111"/>
      <c r="AB788" s="1111"/>
      <c r="AC788" s="1111"/>
      <c r="AD788" s="1111"/>
      <c r="AE788" s="1111"/>
      <c r="AF788" s="1111"/>
      <c r="AG788" s="1111"/>
    </row>
    <row r="789" spans="1:33" s="1295" customFormat="1">
      <c r="A789" s="1264"/>
      <c r="D789" s="1118"/>
      <c r="E789" s="1264"/>
      <c r="F789" s="1118"/>
      <c r="G789" s="1118"/>
      <c r="H789" s="1118"/>
      <c r="I789" s="1118"/>
      <c r="J789" s="1118"/>
      <c r="K789" s="1118"/>
      <c r="L789" s="1118"/>
      <c r="M789" s="1118"/>
      <c r="N789" s="1118"/>
      <c r="O789" s="1118"/>
      <c r="P789" s="1118"/>
      <c r="Q789" s="1111"/>
      <c r="R789" s="1111"/>
      <c r="S789" s="1111"/>
      <c r="T789" s="1111"/>
      <c r="U789" s="1111"/>
      <c r="V789" s="1111"/>
      <c r="W789" s="1111"/>
      <c r="X789" s="1111"/>
      <c r="Y789" s="1111"/>
      <c r="Z789" s="1111"/>
      <c r="AA789" s="1111"/>
      <c r="AB789" s="1111"/>
      <c r="AC789" s="1111"/>
      <c r="AD789" s="1111"/>
      <c r="AE789" s="1111"/>
      <c r="AF789" s="1111"/>
      <c r="AG789" s="1111"/>
    </row>
    <row r="790" spans="1:33" s="1295" customFormat="1">
      <c r="A790" s="1264"/>
      <c r="D790" s="1118"/>
      <c r="E790" s="1264"/>
      <c r="F790" s="1118"/>
      <c r="G790" s="1118"/>
      <c r="H790" s="1118"/>
      <c r="I790" s="1118"/>
      <c r="J790" s="1118"/>
      <c r="K790" s="1118"/>
      <c r="L790" s="1118"/>
      <c r="M790" s="1118"/>
      <c r="N790" s="1118"/>
      <c r="O790" s="1118"/>
      <c r="P790" s="1118"/>
      <c r="Q790" s="1111"/>
      <c r="R790" s="1111"/>
      <c r="S790" s="1111"/>
      <c r="T790" s="1111"/>
      <c r="U790" s="1111"/>
      <c r="V790" s="1111"/>
      <c r="W790" s="1111"/>
      <c r="X790" s="1111"/>
      <c r="Y790" s="1111"/>
      <c r="Z790" s="1111"/>
      <c r="AA790" s="1111"/>
      <c r="AB790" s="1111"/>
      <c r="AC790" s="1111"/>
      <c r="AD790" s="1111"/>
      <c r="AE790" s="1111"/>
      <c r="AF790" s="1111"/>
      <c r="AG790" s="1111"/>
    </row>
    <row r="791" spans="1:33" s="1295" customFormat="1">
      <c r="A791" s="1264"/>
      <c r="D791" s="1118"/>
      <c r="E791" s="1264"/>
      <c r="F791" s="1118"/>
      <c r="G791" s="1118"/>
      <c r="H791" s="1118"/>
      <c r="I791" s="1118"/>
      <c r="J791" s="1118"/>
      <c r="K791" s="1118"/>
      <c r="L791" s="1118"/>
      <c r="M791" s="1118"/>
      <c r="N791" s="1118"/>
      <c r="O791" s="1118"/>
      <c r="P791" s="1118"/>
      <c r="Q791" s="1111"/>
      <c r="R791" s="1111"/>
      <c r="S791" s="1111"/>
      <c r="T791" s="1111"/>
      <c r="U791" s="1111"/>
      <c r="V791" s="1111"/>
      <c r="W791" s="1111"/>
      <c r="X791" s="1111"/>
      <c r="Y791" s="1111"/>
      <c r="Z791" s="1111"/>
      <c r="AA791" s="1111"/>
      <c r="AB791" s="1111"/>
      <c r="AC791" s="1111"/>
      <c r="AD791" s="1111"/>
      <c r="AE791" s="1111"/>
      <c r="AF791" s="1111"/>
      <c r="AG791" s="1111"/>
    </row>
    <row r="792" spans="1:33" s="1295" customFormat="1">
      <c r="A792" s="1264"/>
      <c r="D792" s="1118"/>
      <c r="E792" s="1264"/>
      <c r="F792" s="1118"/>
      <c r="G792" s="1118"/>
      <c r="H792" s="1118"/>
      <c r="I792" s="1118"/>
      <c r="J792" s="1118"/>
      <c r="K792" s="1118"/>
      <c r="L792" s="1118"/>
      <c r="M792" s="1118"/>
      <c r="N792" s="1118"/>
      <c r="O792" s="1118"/>
      <c r="P792" s="1118"/>
      <c r="Q792" s="1111"/>
      <c r="R792" s="1111"/>
      <c r="S792" s="1111"/>
      <c r="T792" s="1111"/>
      <c r="U792" s="1111"/>
      <c r="V792" s="1111"/>
      <c r="W792" s="1111"/>
      <c r="X792" s="1111"/>
      <c r="Y792" s="1111"/>
      <c r="Z792" s="1111"/>
      <c r="AA792" s="1111"/>
      <c r="AB792" s="1111"/>
      <c r="AC792" s="1111"/>
      <c r="AD792" s="1111"/>
      <c r="AE792" s="1111"/>
      <c r="AF792" s="1111"/>
      <c r="AG792" s="1111"/>
    </row>
    <row r="793" spans="1:33" s="1295" customFormat="1">
      <c r="A793" s="1264"/>
      <c r="D793" s="1118"/>
      <c r="E793" s="1264"/>
      <c r="F793" s="1118"/>
      <c r="G793" s="1118"/>
      <c r="H793" s="1118"/>
      <c r="I793" s="1118"/>
      <c r="J793" s="1118"/>
      <c r="K793" s="1118"/>
      <c r="L793" s="1118"/>
      <c r="M793" s="1118"/>
      <c r="N793" s="1118"/>
      <c r="O793" s="1118"/>
      <c r="P793" s="1118"/>
      <c r="Q793" s="1111"/>
      <c r="R793" s="1111"/>
      <c r="S793" s="1111"/>
      <c r="T793" s="1111"/>
      <c r="U793" s="1111"/>
      <c r="V793" s="1111"/>
      <c r="W793" s="1111"/>
      <c r="X793" s="1111"/>
      <c r="Y793" s="1111"/>
      <c r="Z793" s="1111"/>
      <c r="AA793" s="1111"/>
      <c r="AB793" s="1111"/>
      <c r="AC793" s="1111"/>
      <c r="AD793" s="1111"/>
      <c r="AE793" s="1111"/>
      <c r="AF793" s="1111"/>
      <c r="AG793" s="1111"/>
    </row>
    <row r="794" spans="1:33" s="1295" customFormat="1">
      <c r="A794" s="1264"/>
      <c r="D794" s="1118"/>
      <c r="E794" s="1264"/>
      <c r="F794" s="1118"/>
      <c r="G794" s="1118"/>
      <c r="H794" s="1118"/>
      <c r="I794" s="1118"/>
      <c r="J794" s="1118"/>
      <c r="K794" s="1118"/>
      <c r="L794" s="1118"/>
      <c r="M794" s="1118"/>
      <c r="N794" s="1118"/>
      <c r="O794" s="1118"/>
      <c r="P794" s="1118"/>
      <c r="Q794" s="1111"/>
      <c r="R794" s="1111"/>
      <c r="S794" s="1111"/>
      <c r="T794" s="1111"/>
      <c r="U794" s="1111"/>
      <c r="V794" s="1111"/>
      <c r="W794" s="1111"/>
      <c r="X794" s="1111"/>
      <c r="Y794" s="1111"/>
      <c r="Z794" s="1111"/>
      <c r="AA794" s="1111"/>
      <c r="AB794" s="1111"/>
      <c r="AC794" s="1111"/>
      <c r="AD794" s="1111"/>
      <c r="AE794" s="1111"/>
      <c r="AF794" s="1111"/>
      <c r="AG794" s="1111"/>
    </row>
    <row r="795" spans="1:33" s="1295" customFormat="1">
      <c r="A795" s="1264"/>
      <c r="D795" s="1118"/>
      <c r="E795" s="1264"/>
      <c r="F795" s="1118"/>
      <c r="G795" s="1118"/>
      <c r="H795" s="1118"/>
      <c r="I795" s="1118"/>
      <c r="J795" s="1118"/>
      <c r="K795" s="1118"/>
      <c r="L795" s="1118"/>
      <c r="M795" s="1118"/>
      <c r="N795" s="1118"/>
      <c r="O795" s="1118"/>
      <c r="P795" s="1118"/>
      <c r="Q795" s="1111"/>
      <c r="R795" s="1111"/>
      <c r="S795" s="1111"/>
      <c r="T795" s="1111"/>
      <c r="U795" s="1111"/>
      <c r="V795" s="1111"/>
      <c r="W795" s="1111"/>
      <c r="X795" s="1111"/>
      <c r="Y795" s="1111"/>
      <c r="Z795" s="1111"/>
      <c r="AA795" s="1111"/>
      <c r="AB795" s="1111"/>
      <c r="AC795" s="1111"/>
      <c r="AD795" s="1111"/>
      <c r="AE795" s="1111"/>
      <c r="AF795" s="1111"/>
      <c r="AG795" s="1111"/>
    </row>
    <row r="796" spans="1:33" s="1295" customFormat="1">
      <c r="A796" s="1264"/>
      <c r="D796" s="1118"/>
      <c r="E796" s="1264"/>
      <c r="F796" s="1118"/>
      <c r="G796" s="1118"/>
      <c r="H796" s="1118"/>
      <c r="I796" s="1118"/>
      <c r="J796" s="1118"/>
      <c r="K796" s="1118"/>
      <c r="L796" s="1118"/>
      <c r="M796" s="1118"/>
      <c r="N796" s="1118"/>
      <c r="O796" s="1118"/>
      <c r="P796" s="1118"/>
      <c r="Q796" s="1111"/>
      <c r="R796" s="1111"/>
      <c r="S796" s="1111"/>
      <c r="T796" s="1111"/>
      <c r="U796" s="1111"/>
      <c r="V796" s="1111"/>
      <c r="W796" s="1111"/>
      <c r="X796" s="1111"/>
      <c r="Y796" s="1111"/>
      <c r="Z796" s="1111"/>
      <c r="AA796" s="1111"/>
      <c r="AB796" s="1111"/>
      <c r="AC796" s="1111"/>
      <c r="AD796" s="1111"/>
      <c r="AE796" s="1111"/>
      <c r="AF796" s="1111"/>
      <c r="AG796" s="1111"/>
    </row>
    <row r="797" spans="1:33" s="1295" customFormat="1">
      <c r="A797" s="1264"/>
      <c r="D797" s="1118"/>
      <c r="E797" s="1264"/>
      <c r="F797" s="1118"/>
      <c r="G797" s="1118"/>
      <c r="H797" s="1118"/>
      <c r="I797" s="1118"/>
      <c r="J797" s="1118"/>
      <c r="K797" s="1118"/>
      <c r="L797" s="1118"/>
      <c r="M797" s="1118"/>
      <c r="N797" s="1118"/>
      <c r="O797" s="1118"/>
      <c r="P797" s="1118"/>
      <c r="Q797" s="1111"/>
      <c r="R797" s="1111"/>
      <c r="S797" s="1111"/>
      <c r="T797" s="1111"/>
      <c r="U797" s="1111"/>
      <c r="V797" s="1111"/>
      <c r="W797" s="1111"/>
      <c r="X797" s="1111"/>
      <c r="Y797" s="1111"/>
      <c r="Z797" s="1111"/>
      <c r="AA797" s="1111"/>
      <c r="AB797" s="1111"/>
      <c r="AC797" s="1111"/>
      <c r="AD797" s="1111"/>
      <c r="AE797" s="1111"/>
      <c r="AF797" s="1111"/>
      <c r="AG797" s="1111"/>
    </row>
    <row r="798" spans="1:33" s="1295" customFormat="1">
      <c r="A798" s="1264"/>
      <c r="D798" s="1118"/>
      <c r="E798" s="1264"/>
      <c r="F798" s="1118"/>
      <c r="G798" s="1118"/>
      <c r="H798" s="1118"/>
      <c r="I798" s="1118"/>
      <c r="J798" s="1118"/>
      <c r="K798" s="1118"/>
      <c r="L798" s="1118"/>
      <c r="M798" s="1118"/>
      <c r="N798" s="1118"/>
      <c r="O798" s="1118"/>
      <c r="P798" s="1118"/>
      <c r="Q798" s="1111"/>
      <c r="R798" s="1111"/>
      <c r="S798" s="1111"/>
      <c r="T798" s="1111"/>
      <c r="U798" s="1111"/>
      <c r="V798" s="1111"/>
      <c r="W798" s="1111"/>
      <c r="X798" s="1111"/>
      <c r="Y798" s="1111"/>
      <c r="Z798" s="1111"/>
      <c r="AA798" s="1111"/>
      <c r="AB798" s="1111"/>
      <c r="AC798" s="1111"/>
      <c r="AD798" s="1111"/>
      <c r="AE798" s="1111"/>
      <c r="AF798" s="1111"/>
      <c r="AG798" s="1111"/>
    </row>
    <row r="799" spans="1:33" s="1295" customFormat="1">
      <c r="A799" s="1264"/>
      <c r="D799" s="1118"/>
      <c r="E799" s="1264"/>
      <c r="F799" s="1118"/>
      <c r="G799" s="1118"/>
      <c r="H799" s="1118"/>
      <c r="I799" s="1118"/>
      <c r="J799" s="1118"/>
      <c r="K799" s="1118"/>
      <c r="L799" s="1118"/>
      <c r="M799" s="1118"/>
      <c r="N799" s="1118"/>
      <c r="O799" s="1118"/>
      <c r="P799" s="1118"/>
      <c r="Q799" s="1111"/>
      <c r="R799" s="1111"/>
      <c r="S799" s="1111"/>
      <c r="T799" s="1111"/>
      <c r="U799" s="1111"/>
      <c r="V799" s="1111"/>
      <c r="W799" s="1111"/>
      <c r="X799" s="1111"/>
      <c r="Y799" s="1111"/>
      <c r="Z799" s="1111"/>
      <c r="AA799" s="1111"/>
      <c r="AB799" s="1111"/>
      <c r="AC799" s="1111"/>
      <c r="AD799" s="1111"/>
      <c r="AE799" s="1111"/>
      <c r="AF799" s="1111"/>
      <c r="AG799" s="1111"/>
    </row>
    <row r="800" spans="1:33" s="1295" customFormat="1">
      <c r="A800" s="1264"/>
      <c r="D800" s="1118"/>
      <c r="E800" s="1264"/>
      <c r="F800" s="1118"/>
      <c r="G800" s="1118"/>
      <c r="H800" s="1118"/>
      <c r="I800" s="1118"/>
      <c r="J800" s="1118"/>
      <c r="K800" s="1118"/>
      <c r="L800" s="1118"/>
      <c r="M800" s="1118"/>
      <c r="N800" s="1118"/>
      <c r="O800" s="1118"/>
      <c r="P800" s="1118"/>
      <c r="Q800" s="1111"/>
      <c r="R800" s="1111"/>
      <c r="S800" s="1111"/>
      <c r="T800" s="1111"/>
      <c r="U800" s="1111"/>
      <c r="V800" s="1111"/>
      <c r="W800" s="1111"/>
      <c r="X800" s="1111"/>
      <c r="Y800" s="1111"/>
      <c r="Z800" s="1111"/>
      <c r="AA800" s="1111"/>
      <c r="AB800" s="1111"/>
      <c r="AC800" s="1111"/>
      <c r="AD800" s="1111"/>
      <c r="AE800" s="1111"/>
      <c r="AF800" s="1111"/>
      <c r="AG800" s="1111"/>
    </row>
    <row r="801" spans="1:33" s="1295" customFormat="1">
      <c r="A801" s="1264"/>
      <c r="D801" s="1118"/>
      <c r="E801" s="1264"/>
      <c r="F801" s="1118"/>
      <c r="G801" s="1118"/>
      <c r="H801" s="1118"/>
      <c r="I801" s="1118"/>
      <c r="J801" s="1118"/>
      <c r="K801" s="1118"/>
      <c r="L801" s="1118"/>
      <c r="M801" s="1118"/>
      <c r="N801" s="1118"/>
      <c r="O801" s="1118"/>
      <c r="P801" s="1118"/>
      <c r="Q801" s="1111"/>
      <c r="R801" s="1111"/>
      <c r="S801" s="1111"/>
      <c r="T801" s="1111"/>
      <c r="U801" s="1111"/>
      <c r="V801" s="1111"/>
      <c r="W801" s="1111"/>
      <c r="X801" s="1111"/>
      <c r="Y801" s="1111"/>
      <c r="Z801" s="1111"/>
      <c r="AA801" s="1111"/>
      <c r="AB801" s="1111"/>
      <c r="AC801" s="1111"/>
      <c r="AD801" s="1111"/>
      <c r="AE801" s="1111"/>
      <c r="AF801" s="1111"/>
      <c r="AG801" s="1111"/>
    </row>
    <row r="802" spans="1:33" s="1295" customFormat="1">
      <c r="A802" s="1264"/>
      <c r="D802" s="1118"/>
      <c r="E802" s="1264"/>
      <c r="F802" s="1118"/>
      <c r="G802" s="1118"/>
      <c r="H802" s="1118"/>
      <c r="I802" s="1118"/>
      <c r="J802" s="1118"/>
      <c r="K802" s="1118"/>
      <c r="L802" s="1118"/>
      <c r="M802" s="1118"/>
      <c r="N802" s="1118"/>
      <c r="O802" s="1118"/>
      <c r="P802" s="1118"/>
      <c r="Q802" s="1111"/>
      <c r="R802" s="1111"/>
      <c r="S802" s="1111"/>
      <c r="T802" s="1111"/>
      <c r="U802" s="1111"/>
      <c r="V802" s="1111"/>
      <c r="W802" s="1111"/>
      <c r="X802" s="1111"/>
      <c r="Y802" s="1111"/>
      <c r="Z802" s="1111"/>
      <c r="AA802" s="1111"/>
      <c r="AB802" s="1111"/>
      <c r="AC802" s="1111"/>
      <c r="AD802" s="1111"/>
      <c r="AE802" s="1111"/>
      <c r="AF802" s="1111"/>
      <c r="AG802" s="1111"/>
    </row>
    <row r="803" spans="1:33" s="1295" customFormat="1">
      <c r="A803" s="1264"/>
      <c r="D803" s="1118"/>
      <c r="E803" s="1264"/>
      <c r="F803" s="1118"/>
      <c r="G803" s="1118"/>
      <c r="H803" s="1118"/>
      <c r="I803" s="1118"/>
      <c r="J803" s="1118"/>
      <c r="K803" s="1118"/>
      <c r="L803" s="1118"/>
      <c r="M803" s="1118"/>
      <c r="N803" s="1118"/>
      <c r="O803" s="1118"/>
      <c r="P803" s="1118"/>
      <c r="Q803" s="1111"/>
      <c r="R803" s="1111"/>
      <c r="S803" s="1111"/>
      <c r="T803" s="1111"/>
      <c r="U803" s="1111"/>
      <c r="V803" s="1111"/>
      <c r="W803" s="1111"/>
      <c r="X803" s="1111"/>
      <c r="Y803" s="1111"/>
      <c r="Z803" s="1111"/>
      <c r="AA803" s="1111"/>
      <c r="AB803" s="1111"/>
      <c r="AC803" s="1111"/>
      <c r="AD803" s="1111"/>
      <c r="AE803" s="1111"/>
      <c r="AF803" s="1111"/>
      <c r="AG803" s="1111"/>
    </row>
    <row r="804" spans="1:33" s="1295" customFormat="1">
      <c r="A804" s="1264"/>
      <c r="D804" s="1118"/>
      <c r="E804" s="1264"/>
      <c r="F804" s="1118"/>
      <c r="G804" s="1118"/>
      <c r="H804" s="1118"/>
      <c r="I804" s="1118"/>
      <c r="J804" s="1118"/>
      <c r="K804" s="1118"/>
      <c r="L804" s="1118"/>
      <c r="M804" s="1118"/>
      <c r="N804" s="1118"/>
      <c r="O804" s="1118"/>
      <c r="P804" s="1118"/>
      <c r="Q804" s="1111"/>
      <c r="R804" s="1111"/>
      <c r="S804" s="1111"/>
      <c r="T804" s="1111"/>
      <c r="U804" s="1111"/>
      <c r="V804" s="1111"/>
      <c r="W804" s="1111"/>
      <c r="X804" s="1111"/>
      <c r="Y804" s="1111"/>
      <c r="Z804" s="1111"/>
      <c r="AA804" s="1111"/>
      <c r="AB804" s="1111"/>
      <c r="AC804" s="1111"/>
      <c r="AD804" s="1111"/>
      <c r="AE804" s="1111"/>
      <c r="AF804" s="1111"/>
      <c r="AG804" s="1111"/>
    </row>
    <row r="805" spans="1:33" s="1295" customFormat="1">
      <c r="A805" s="1264"/>
      <c r="D805" s="1118"/>
      <c r="E805" s="1264"/>
      <c r="F805" s="1118"/>
      <c r="G805" s="1118"/>
      <c r="H805" s="1118"/>
      <c r="I805" s="1118"/>
      <c r="J805" s="1118"/>
      <c r="K805" s="1118"/>
      <c r="L805" s="1118"/>
      <c r="M805" s="1118"/>
      <c r="N805" s="1118"/>
      <c r="O805" s="1118"/>
      <c r="P805" s="1118"/>
      <c r="Q805" s="1111"/>
      <c r="R805" s="1111"/>
      <c r="S805" s="1111"/>
      <c r="T805" s="1111"/>
      <c r="U805" s="1111"/>
      <c r="V805" s="1111"/>
      <c r="W805" s="1111"/>
      <c r="X805" s="1111"/>
      <c r="Y805" s="1111"/>
      <c r="Z805" s="1111"/>
      <c r="AA805" s="1111"/>
      <c r="AB805" s="1111"/>
      <c r="AC805" s="1111"/>
      <c r="AD805" s="1111"/>
      <c r="AE805" s="1111"/>
      <c r="AF805" s="1111"/>
      <c r="AG805" s="1111"/>
    </row>
    <row r="806" spans="1:33" s="1295" customFormat="1">
      <c r="A806" s="1264"/>
      <c r="D806" s="1118"/>
      <c r="E806" s="1264"/>
      <c r="F806" s="1118"/>
      <c r="G806" s="1118"/>
      <c r="H806" s="1118"/>
      <c r="I806" s="1118"/>
      <c r="J806" s="1118"/>
      <c r="K806" s="1118"/>
      <c r="L806" s="1118"/>
      <c r="M806" s="1118"/>
      <c r="N806" s="1118"/>
      <c r="O806" s="1118"/>
      <c r="P806" s="1118"/>
      <c r="Q806" s="1111"/>
      <c r="R806" s="1111"/>
      <c r="S806" s="1111"/>
      <c r="T806" s="1111"/>
      <c r="U806" s="1111"/>
      <c r="V806" s="1111"/>
      <c r="W806" s="1111"/>
      <c r="X806" s="1111"/>
      <c r="Y806" s="1111"/>
      <c r="Z806" s="1111"/>
      <c r="AA806" s="1111"/>
      <c r="AB806" s="1111"/>
      <c r="AC806" s="1111"/>
      <c r="AD806" s="1111"/>
      <c r="AE806" s="1111"/>
      <c r="AF806" s="1111"/>
      <c r="AG806" s="1111"/>
    </row>
    <row r="807" spans="1:33" s="1295" customFormat="1">
      <c r="A807" s="1264"/>
      <c r="D807" s="1118"/>
      <c r="E807" s="1264"/>
      <c r="F807" s="1118"/>
      <c r="G807" s="1118"/>
      <c r="H807" s="1118"/>
      <c r="I807" s="1118"/>
      <c r="J807" s="1118"/>
      <c r="K807" s="1118"/>
      <c r="L807" s="1118"/>
      <c r="M807" s="1118"/>
      <c r="N807" s="1118"/>
      <c r="O807" s="1118"/>
      <c r="P807" s="1118"/>
      <c r="Q807" s="1111"/>
      <c r="R807" s="1111"/>
      <c r="S807" s="1111"/>
      <c r="T807" s="1111"/>
      <c r="U807" s="1111"/>
      <c r="V807" s="1111"/>
      <c r="W807" s="1111"/>
      <c r="X807" s="1111"/>
      <c r="Y807" s="1111"/>
      <c r="Z807" s="1111"/>
      <c r="AA807" s="1111"/>
      <c r="AB807" s="1111"/>
      <c r="AC807" s="1111"/>
      <c r="AD807" s="1111"/>
      <c r="AE807" s="1111"/>
      <c r="AF807" s="1111"/>
      <c r="AG807" s="1111"/>
    </row>
    <row r="808" spans="1:33" s="1295" customFormat="1">
      <c r="A808" s="1264"/>
      <c r="D808" s="1118"/>
      <c r="E808" s="1264"/>
      <c r="F808" s="1118"/>
      <c r="G808" s="1118"/>
      <c r="H808" s="1118"/>
      <c r="I808" s="1118"/>
      <c r="J808" s="1118"/>
      <c r="K808" s="1118"/>
      <c r="L808" s="1118"/>
      <c r="M808" s="1118"/>
      <c r="N808" s="1118"/>
      <c r="O808" s="1118"/>
      <c r="P808" s="1118"/>
      <c r="Q808" s="1111"/>
      <c r="R808" s="1111"/>
      <c r="S808" s="1111"/>
      <c r="T808" s="1111"/>
      <c r="U808" s="1111"/>
      <c r="V808" s="1111"/>
      <c r="W808" s="1111"/>
      <c r="X808" s="1111"/>
      <c r="Y808" s="1111"/>
      <c r="Z808" s="1111"/>
      <c r="AA808" s="1111"/>
      <c r="AB808" s="1111"/>
      <c r="AC808" s="1111"/>
      <c r="AD808" s="1111"/>
      <c r="AE808" s="1111"/>
      <c r="AF808" s="1111"/>
      <c r="AG808" s="1111"/>
    </row>
    <row r="809" spans="1:33" s="1295" customFormat="1">
      <c r="A809" s="1264"/>
      <c r="D809" s="1118"/>
      <c r="E809" s="1264"/>
      <c r="F809" s="1118"/>
      <c r="G809" s="1118"/>
      <c r="H809" s="1118"/>
      <c r="I809" s="1118"/>
      <c r="J809" s="1118"/>
      <c r="K809" s="1118"/>
      <c r="L809" s="1118"/>
      <c r="M809" s="1118"/>
      <c r="N809" s="1118"/>
      <c r="O809" s="1118"/>
      <c r="P809" s="1118"/>
      <c r="Q809" s="1111"/>
      <c r="R809" s="1111"/>
      <c r="S809" s="1111"/>
      <c r="T809" s="1111"/>
      <c r="U809" s="1111"/>
      <c r="V809" s="1111"/>
      <c r="W809" s="1111"/>
      <c r="X809" s="1111"/>
      <c r="Y809" s="1111"/>
      <c r="Z809" s="1111"/>
      <c r="AA809" s="1111"/>
      <c r="AB809" s="1111"/>
      <c r="AC809" s="1111"/>
      <c r="AD809" s="1111"/>
      <c r="AE809" s="1111"/>
      <c r="AF809" s="1111"/>
      <c r="AG809" s="1111"/>
    </row>
    <row r="810" spans="1:33" s="1295" customFormat="1">
      <c r="A810" s="1264"/>
      <c r="D810" s="1118"/>
      <c r="E810" s="1264"/>
      <c r="F810" s="1118"/>
      <c r="G810" s="1118"/>
      <c r="H810" s="1118"/>
      <c r="I810" s="1118"/>
      <c r="J810" s="1118"/>
      <c r="K810" s="1118"/>
      <c r="L810" s="1118"/>
      <c r="M810" s="1118"/>
      <c r="N810" s="1118"/>
      <c r="O810" s="1118"/>
      <c r="P810" s="1118"/>
      <c r="Q810" s="1111"/>
      <c r="R810" s="1111"/>
      <c r="S810" s="1111"/>
      <c r="T810" s="1111"/>
      <c r="U810" s="1111"/>
      <c r="V810" s="1111"/>
      <c r="W810" s="1111"/>
      <c r="X810" s="1111"/>
      <c r="Y810" s="1111"/>
      <c r="Z810" s="1111"/>
      <c r="AA810" s="1111"/>
      <c r="AB810" s="1111"/>
      <c r="AC810" s="1111"/>
      <c r="AD810" s="1111"/>
      <c r="AE810" s="1111"/>
      <c r="AF810" s="1111"/>
      <c r="AG810" s="1111"/>
    </row>
    <row r="811" spans="1:33" s="1295" customFormat="1">
      <c r="A811" s="1264"/>
      <c r="D811" s="1118"/>
      <c r="E811" s="1264"/>
      <c r="F811" s="1118"/>
      <c r="G811" s="1118"/>
      <c r="H811" s="1118"/>
      <c r="I811" s="1118"/>
      <c r="J811" s="1118"/>
      <c r="K811" s="1118"/>
      <c r="L811" s="1118"/>
      <c r="M811" s="1118"/>
      <c r="N811" s="1118"/>
      <c r="O811" s="1118"/>
      <c r="P811" s="1118"/>
      <c r="Q811" s="1111"/>
      <c r="R811" s="1111"/>
      <c r="S811" s="1111"/>
      <c r="T811" s="1111"/>
      <c r="U811" s="1111"/>
      <c r="V811" s="1111"/>
      <c r="W811" s="1111"/>
      <c r="X811" s="1111"/>
      <c r="Y811" s="1111"/>
      <c r="Z811" s="1111"/>
      <c r="AA811" s="1111"/>
      <c r="AB811" s="1111"/>
      <c r="AC811" s="1111"/>
      <c r="AD811" s="1111"/>
      <c r="AE811" s="1111"/>
      <c r="AF811" s="1111"/>
      <c r="AG811" s="1111"/>
    </row>
    <row r="812" spans="1:33" s="1295" customFormat="1">
      <c r="A812" s="1264"/>
      <c r="D812" s="1118"/>
      <c r="E812" s="1264"/>
      <c r="F812" s="1118"/>
      <c r="G812" s="1118"/>
      <c r="H812" s="1118"/>
      <c r="I812" s="1118"/>
      <c r="J812" s="1118"/>
      <c r="K812" s="1118"/>
      <c r="L812" s="1118"/>
      <c r="M812" s="1118"/>
      <c r="N812" s="1118"/>
      <c r="O812" s="1118"/>
      <c r="P812" s="1118"/>
      <c r="Q812" s="1111"/>
      <c r="R812" s="1111"/>
      <c r="S812" s="1111"/>
      <c r="T812" s="1111"/>
      <c r="U812" s="1111"/>
      <c r="V812" s="1111"/>
      <c r="W812" s="1111"/>
      <c r="X812" s="1111"/>
      <c r="Y812" s="1111"/>
      <c r="Z812" s="1111"/>
      <c r="AA812" s="1111"/>
      <c r="AB812" s="1111"/>
      <c r="AC812" s="1111"/>
      <c r="AD812" s="1111"/>
      <c r="AE812" s="1111"/>
      <c r="AF812" s="1111"/>
      <c r="AG812" s="1111"/>
    </row>
    <row r="813" spans="1:33" s="1295" customFormat="1">
      <c r="A813" s="1264"/>
      <c r="D813" s="1118"/>
      <c r="E813" s="1264"/>
      <c r="F813" s="1118"/>
      <c r="G813" s="1118"/>
      <c r="H813" s="1118"/>
      <c r="I813" s="1118"/>
      <c r="J813" s="1118"/>
      <c r="K813" s="1118"/>
      <c r="L813" s="1118"/>
      <c r="M813" s="1118"/>
      <c r="N813" s="1118"/>
      <c r="O813" s="1118"/>
      <c r="P813" s="1118"/>
      <c r="Q813" s="1111"/>
      <c r="R813" s="1111"/>
      <c r="S813" s="1111"/>
      <c r="T813" s="1111"/>
      <c r="U813" s="1111"/>
      <c r="V813" s="1111"/>
      <c r="W813" s="1111"/>
      <c r="X813" s="1111"/>
      <c r="Y813" s="1111"/>
      <c r="Z813" s="1111"/>
      <c r="AA813" s="1111"/>
      <c r="AB813" s="1111"/>
      <c r="AC813" s="1111"/>
      <c r="AD813" s="1111"/>
      <c r="AE813" s="1111"/>
      <c r="AF813" s="1111"/>
      <c r="AG813" s="1111"/>
    </row>
    <row r="814" spans="1:33" s="1295" customFormat="1">
      <c r="A814" s="1264"/>
      <c r="D814" s="1118"/>
      <c r="E814" s="1264"/>
      <c r="F814" s="1118"/>
      <c r="G814" s="1118"/>
      <c r="H814" s="1118"/>
      <c r="I814" s="1118"/>
      <c r="J814" s="1118"/>
      <c r="K814" s="1118"/>
      <c r="L814" s="1118"/>
      <c r="M814" s="1118"/>
      <c r="N814" s="1118"/>
      <c r="O814" s="1118"/>
      <c r="P814" s="1118"/>
      <c r="Q814" s="1111"/>
      <c r="R814" s="1111"/>
      <c r="S814" s="1111"/>
      <c r="T814" s="1111"/>
      <c r="U814" s="1111"/>
      <c r="V814" s="1111"/>
      <c r="W814" s="1111"/>
      <c r="X814" s="1111"/>
      <c r="Y814" s="1111"/>
      <c r="Z814" s="1111"/>
      <c r="AA814" s="1111"/>
      <c r="AB814" s="1111"/>
      <c r="AC814" s="1111"/>
      <c r="AD814" s="1111"/>
      <c r="AE814" s="1111"/>
      <c r="AF814" s="1111"/>
      <c r="AG814" s="1111"/>
    </row>
    <row r="815" spans="1:33" s="1295" customFormat="1">
      <c r="A815" s="1264"/>
      <c r="D815" s="1118"/>
      <c r="E815" s="1264"/>
      <c r="F815" s="1118"/>
      <c r="G815" s="1118"/>
      <c r="H815" s="1118"/>
      <c r="I815" s="1118"/>
      <c r="J815" s="1118"/>
      <c r="K815" s="1118"/>
      <c r="L815" s="1118"/>
      <c r="M815" s="1118"/>
      <c r="N815" s="1118"/>
      <c r="O815" s="1118"/>
      <c r="P815" s="1118"/>
      <c r="Q815" s="1111"/>
      <c r="R815" s="1111"/>
      <c r="S815" s="1111"/>
      <c r="T815" s="1111"/>
      <c r="U815" s="1111"/>
      <c r="V815" s="1111"/>
      <c r="W815" s="1111"/>
      <c r="X815" s="1111"/>
      <c r="Y815" s="1111"/>
      <c r="Z815" s="1111"/>
      <c r="AA815" s="1111"/>
      <c r="AB815" s="1111"/>
      <c r="AC815" s="1111"/>
      <c r="AD815" s="1111"/>
      <c r="AE815" s="1111"/>
      <c r="AF815" s="1111"/>
      <c r="AG815" s="1111"/>
    </row>
    <row r="816" spans="1:33" s="1295" customFormat="1">
      <c r="A816" s="1264"/>
      <c r="D816" s="1118"/>
      <c r="E816" s="1264"/>
      <c r="F816" s="1118"/>
      <c r="G816" s="1118"/>
      <c r="H816" s="1118"/>
      <c r="I816" s="1118"/>
      <c r="J816" s="1118"/>
      <c r="K816" s="1118"/>
      <c r="L816" s="1118"/>
      <c r="M816" s="1118"/>
      <c r="N816" s="1118"/>
      <c r="O816" s="1118"/>
      <c r="P816" s="1118"/>
      <c r="Q816" s="1111"/>
      <c r="R816" s="1111"/>
      <c r="S816" s="1111"/>
      <c r="T816" s="1111"/>
      <c r="U816" s="1111"/>
      <c r="V816" s="1111"/>
      <c r="W816" s="1111"/>
      <c r="X816" s="1111"/>
      <c r="Y816" s="1111"/>
      <c r="Z816" s="1111"/>
      <c r="AA816" s="1111"/>
      <c r="AB816" s="1111"/>
      <c r="AC816" s="1111"/>
      <c r="AD816" s="1111"/>
      <c r="AE816" s="1111"/>
      <c r="AF816" s="1111"/>
      <c r="AG816" s="1111"/>
    </row>
    <row r="817" spans="1:33" s="1295" customFormat="1">
      <c r="A817" s="1264"/>
      <c r="D817" s="1118"/>
      <c r="E817" s="1264"/>
      <c r="F817" s="1118"/>
      <c r="G817" s="1118"/>
      <c r="H817" s="1118"/>
      <c r="I817" s="1118"/>
      <c r="J817" s="1118"/>
      <c r="K817" s="1118"/>
      <c r="L817" s="1118"/>
      <c r="M817" s="1118"/>
      <c r="N817" s="1118"/>
      <c r="O817" s="1118"/>
      <c r="P817" s="1118"/>
      <c r="Q817" s="1111"/>
      <c r="R817" s="1111"/>
      <c r="S817" s="1111"/>
      <c r="T817" s="1111"/>
      <c r="U817" s="1111"/>
      <c r="V817" s="1111"/>
      <c r="W817" s="1111"/>
      <c r="X817" s="1111"/>
      <c r="Y817" s="1111"/>
      <c r="Z817" s="1111"/>
      <c r="AA817" s="1111"/>
      <c r="AB817" s="1111"/>
      <c r="AC817" s="1111"/>
      <c r="AD817" s="1111"/>
      <c r="AE817" s="1111"/>
      <c r="AF817" s="1111"/>
      <c r="AG817" s="1111"/>
    </row>
    <row r="818" spans="1:33" s="1295" customFormat="1">
      <c r="A818" s="1264"/>
      <c r="D818" s="1118"/>
      <c r="E818" s="1264"/>
      <c r="F818" s="1118"/>
      <c r="G818" s="1118"/>
      <c r="H818" s="1118"/>
      <c r="I818" s="1118"/>
      <c r="J818" s="1118"/>
      <c r="K818" s="1118"/>
      <c r="L818" s="1118"/>
      <c r="M818" s="1118"/>
      <c r="N818" s="1118"/>
      <c r="O818" s="1118"/>
      <c r="P818" s="1118"/>
      <c r="Q818" s="1111"/>
      <c r="R818" s="1111"/>
      <c r="S818" s="1111"/>
      <c r="T818" s="1111"/>
      <c r="U818" s="1111"/>
      <c r="V818" s="1111"/>
      <c r="W818" s="1111"/>
      <c r="X818" s="1111"/>
      <c r="Y818" s="1111"/>
      <c r="Z818" s="1111"/>
      <c r="AA818" s="1111"/>
      <c r="AB818" s="1111"/>
      <c r="AC818" s="1111"/>
      <c r="AD818" s="1111"/>
      <c r="AE818" s="1111"/>
      <c r="AF818" s="1111"/>
      <c r="AG818" s="1111"/>
    </row>
    <row r="819" spans="1:33" s="1295" customFormat="1">
      <c r="A819" s="1264"/>
      <c r="D819" s="1118"/>
      <c r="E819" s="1264"/>
      <c r="F819" s="1118"/>
      <c r="G819" s="1118"/>
      <c r="H819" s="1118"/>
      <c r="I819" s="1118"/>
      <c r="J819" s="1118"/>
      <c r="K819" s="1118"/>
      <c r="L819" s="1118"/>
      <c r="M819" s="1118"/>
      <c r="N819" s="1118"/>
      <c r="O819" s="1118"/>
      <c r="P819" s="1118"/>
      <c r="Q819" s="1111"/>
      <c r="R819" s="1111"/>
      <c r="S819" s="1111"/>
      <c r="T819" s="1111"/>
      <c r="U819" s="1111"/>
      <c r="V819" s="1111"/>
      <c r="W819" s="1111"/>
      <c r="X819" s="1111"/>
      <c r="Y819" s="1111"/>
      <c r="Z819" s="1111"/>
      <c r="AA819" s="1111"/>
      <c r="AB819" s="1111"/>
      <c r="AC819" s="1111"/>
      <c r="AD819" s="1111"/>
      <c r="AE819" s="1111"/>
      <c r="AF819" s="1111"/>
      <c r="AG819" s="1111"/>
    </row>
    <row r="820" spans="1:33" s="1295" customFormat="1">
      <c r="A820" s="1264"/>
      <c r="D820" s="1118"/>
      <c r="E820" s="1264"/>
      <c r="F820" s="1118"/>
      <c r="G820" s="1118"/>
      <c r="H820" s="1118"/>
      <c r="I820" s="1118"/>
      <c r="J820" s="1118"/>
      <c r="K820" s="1118"/>
      <c r="L820" s="1118"/>
      <c r="M820" s="1118"/>
      <c r="N820" s="1118"/>
      <c r="O820" s="1118"/>
      <c r="P820" s="1118"/>
      <c r="Q820" s="1111"/>
      <c r="R820" s="1111"/>
      <c r="S820" s="1111"/>
      <c r="T820" s="1111"/>
      <c r="U820" s="1111"/>
      <c r="V820" s="1111"/>
      <c r="W820" s="1111"/>
      <c r="X820" s="1111"/>
      <c r="Y820" s="1111"/>
      <c r="Z820" s="1111"/>
      <c r="AA820" s="1111"/>
      <c r="AB820" s="1111"/>
      <c r="AC820" s="1111"/>
      <c r="AD820" s="1111"/>
      <c r="AE820" s="1111"/>
      <c r="AF820" s="1111"/>
      <c r="AG820" s="1111"/>
    </row>
    <row r="821" spans="1:33" s="1295" customFormat="1">
      <c r="A821" s="1264"/>
      <c r="D821" s="1118"/>
      <c r="E821" s="1264"/>
      <c r="F821" s="1118"/>
      <c r="G821" s="1118"/>
      <c r="H821" s="1118"/>
      <c r="I821" s="1118"/>
      <c r="J821" s="1118"/>
      <c r="K821" s="1118"/>
      <c r="L821" s="1118"/>
      <c r="M821" s="1118"/>
      <c r="N821" s="1118"/>
      <c r="O821" s="1118"/>
      <c r="P821" s="1118"/>
      <c r="Q821" s="1111"/>
      <c r="R821" s="1111"/>
      <c r="S821" s="1111"/>
      <c r="T821" s="1111"/>
      <c r="U821" s="1111"/>
      <c r="V821" s="1111"/>
      <c r="W821" s="1111"/>
      <c r="X821" s="1111"/>
      <c r="Y821" s="1111"/>
      <c r="Z821" s="1111"/>
      <c r="AA821" s="1111"/>
      <c r="AB821" s="1111"/>
      <c r="AC821" s="1111"/>
      <c r="AD821" s="1111"/>
      <c r="AE821" s="1111"/>
      <c r="AF821" s="1111"/>
      <c r="AG821" s="1111"/>
    </row>
    <row r="822" spans="1:33" s="1295" customFormat="1">
      <c r="A822" s="1264"/>
      <c r="D822" s="1118"/>
      <c r="E822" s="1264"/>
      <c r="F822" s="1118"/>
      <c r="G822" s="1118"/>
      <c r="H822" s="1118"/>
      <c r="I822" s="1118"/>
      <c r="J822" s="1118"/>
      <c r="K822" s="1118"/>
      <c r="L822" s="1118"/>
      <c r="M822" s="1118"/>
      <c r="N822" s="1118"/>
      <c r="O822" s="1118"/>
      <c r="P822" s="1118"/>
      <c r="Q822" s="1111"/>
      <c r="R822" s="1111"/>
      <c r="S822" s="1111"/>
      <c r="T822" s="1111"/>
      <c r="U822" s="1111"/>
      <c r="V822" s="1111"/>
      <c r="W822" s="1111"/>
      <c r="X822" s="1111"/>
      <c r="Y822" s="1111"/>
      <c r="Z822" s="1111"/>
      <c r="AA822" s="1111"/>
      <c r="AB822" s="1111"/>
      <c r="AC822" s="1111"/>
      <c r="AD822" s="1111"/>
      <c r="AE822" s="1111"/>
      <c r="AF822" s="1111"/>
      <c r="AG822" s="1111"/>
    </row>
    <row r="823" spans="1:33" s="1295" customFormat="1">
      <c r="A823" s="1264"/>
      <c r="D823" s="1118"/>
      <c r="E823" s="1264"/>
      <c r="F823" s="1118"/>
      <c r="G823" s="1118"/>
      <c r="H823" s="1118"/>
      <c r="I823" s="1118"/>
      <c r="J823" s="1118"/>
      <c r="K823" s="1118"/>
      <c r="L823" s="1118"/>
      <c r="M823" s="1118"/>
      <c r="N823" s="1118"/>
      <c r="O823" s="1118"/>
      <c r="P823" s="1118"/>
      <c r="Q823" s="1111"/>
      <c r="R823" s="1111"/>
      <c r="S823" s="1111"/>
      <c r="T823" s="1111"/>
      <c r="U823" s="1111"/>
      <c r="V823" s="1111"/>
      <c r="W823" s="1111"/>
      <c r="X823" s="1111"/>
      <c r="Y823" s="1111"/>
      <c r="Z823" s="1111"/>
      <c r="AA823" s="1111"/>
      <c r="AB823" s="1111"/>
      <c r="AC823" s="1111"/>
      <c r="AD823" s="1111"/>
      <c r="AE823" s="1111"/>
      <c r="AF823" s="1111"/>
      <c r="AG823" s="1111"/>
    </row>
    <row r="824" spans="1:33" s="1295" customFormat="1">
      <c r="A824" s="1264"/>
      <c r="D824" s="1118"/>
      <c r="E824" s="1264"/>
      <c r="F824" s="1118"/>
      <c r="G824" s="1118"/>
      <c r="H824" s="1118"/>
      <c r="I824" s="1118"/>
      <c r="J824" s="1118"/>
      <c r="K824" s="1118"/>
      <c r="L824" s="1118"/>
      <c r="M824" s="1118"/>
      <c r="N824" s="1118"/>
      <c r="O824" s="1118"/>
      <c r="P824" s="1118"/>
      <c r="Q824" s="1111"/>
      <c r="R824" s="1111"/>
      <c r="S824" s="1111"/>
      <c r="T824" s="1111"/>
      <c r="U824" s="1111"/>
      <c r="V824" s="1111"/>
      <c r="W824" s="1111"/>
      <c r="X824" s="1111"/>
      <c r="Y824" s="1111"/>
      <c r="Z824" s="1111"/>
      <c r="AA824" s="1111"/>
      <c r="AB824" s="1111"/>
      <c r="AC824" s="1111"/>
      <c r="AD824" s="1111"/>
      <c r="AE824" s="1111"/>
      <c r="AF824" s="1111"/>
      <c r="AG824" s="1111"/>
    </row>
    <row r="825" spans="1:33" s="1295" customFormat="1">
      <c r="A825" s="1264"/>
      <c r="D825" s="1118"/>
      <c r="E825" s="1264"/>
      <c r="F825" s="1118"/>
      <c r="G825" s="1118"/>
      <c r="H825" s="1118"/>
      <c r="I825" s="1118"/>
      <c r="J825" s="1118"/>
      <c r="K825" s="1118"/>
      <c r="L825" s="1118"/>
      <c r="M825" s="1118"/>
      <c r="N825" s="1118"/>
      <c r="O825" s="1118"/>
      <c r="P825" s="1118"/>
      <c r="Q825" s="1111"/>
      <c r="R825" s="1111"/>
      <c r="S825" s="1111"/>
      <c r="T825" s="1111"/>
      <c r="U825" s="1111"/>
      <c r="V825" s="1111"/>
      <c r="W825" s="1111"/>
      <c r="X825" s="1111"/>
      <c r="Y825" s="1111"/>
      <c r="Z825" s="1111"/>
      <c r="AA825" s="1111"/>
      <c r="AB825" s="1111"/>
      <c r="AC825" s="1111"/>
      <c r="AD825" s="1111"/>
      <c r="AE825" s="1111"/>
      <c r="AF825" s="1111"/>
      <c r="AG825" s="1111"/>
    </row>
    <row r="826" spans="1:33" s="1295" customFormat="1">
      <c r="A826" s="1264"/>
      <c r="D826" s="1118"/>
      <c r="E826" s="1264"/>
      <c r="F826" s="1118"/>
      <c r="G826" s="1118"/>
      <c r="H826" s="1118"/>
      <c r="I826" s="1118"/>
      <c r="J826" s="1118"/>
      <c r="K826" s="1118"/>
      <c r="L826" s="1118"/>
      <c r="M826" s="1118"/>
      <c r="N826" s="1118"/>
      <c r="O826" s="1118"/>
      <c r="P826" s="1118"/>
      <c r="Q826" s="1111"/>
      <c r="R826" s="1111"/>
      <c r="S826" s="1111"/>
      <c r="T826" s="1111"/>
      <c r="U826" s="1111"/>
      <c r="V826" s="1111"/>
      <c r="W826" s="1111"/>
      <c r="X826" s="1111"/>
      <c r="Y826" s="1111"/>
      <c r="Z826" s="1111"/>
      <c r="AA826" s="1111"/>
      <c r="AB826" s="1111"/>
      <c r="AC826" s="1111"/>
      <c r="AD826" s="1111"/>
      <c r="AE826" s="1111"/>
      <c r="AF826" s="1111"/>
      <c r="AG826" s="1111"/>
    </row>
    <row r="827" spans="1:33" s="1295" customFormat="1">
      <c r="A827" s="1264"/>
      <c r="D827" s="1118"/>
      <c r="E827" s="1264"/>
      <c r="F827" s="1118"/>
      <c r="G827" s="1118"/>
      <c r="H827" s="1118"/>
      <c r="I827" s="1118"/>
      <c r="J827" s="1118"/>
      <c r="K827" s="1118"/>
      <c r="L827" s="1118"/>
      <c r="M827" s="1118"/>
      <c r="N827" s="1118"/>
      <c r="O827" s="1118"/>
      <c r="P827" s="1118"/>
      <c r="Q827" s="1111"/>
      <c r="R827" s="1111"/>
      <c r="S827" s="1111"/>
      <c r="T827" s="1111"/>
      <c r="U827" s="1111"/>
      <c r="V827" s="1111"/>
      <c r="W827" s="1111"/>
      <c r="X827" s="1111"/>
      <c r="Y827" s="1111"/>
      <c r="Z827" s="1111"/>
      <c r="AA827" s="1111"/>
      <c r="AB827" s="1111"/>
      <c r="AC827" s="1111"/>
      <c r="AD827" s="1111"/>
      <c r="AE827" s="1111"/>
      <c r="AF827" s="1111"/>
      <c r="AG827" s="1111"/>
    </row>
    <row r="828" spans="1:33" s="1295" customFormat="1">
      <c r="A828" s="1264"/>
      <c r="D828" s="1118"/>
      <c r="E828" s="1264"/>
      <c r="F828" s="1118"/>
      <c r="G828" s="1118"/>
      <c r="H828" s="1118"/>
      <c r="I828" s="1118"/>
      <c r="J828" s="1118"/>
      <c r="K828" s="1118"/>
      <c r="L828" s="1118"/>
      <c r="M828" s="1118"/>
      <c r="N828" s="1118"/>
      <c r="O828" s="1118"/>
      <c r="P828" s="1118"/>
      <c r="Q828" s="1111"/>
      <c r="R828" s="1111"/>
      <c r="S828" s="1111"/>
      <c r="T828" s="1111"/>
      <c r="U828" s="1111"/>
      <c r="V828" s="1111"/>
      <c r="W828" s="1111"/>
      <c r="X828" s="1111"/>
      <c r="Y828" s="1111"/>
      <c r="Z828" s="1111"/>
      <c r="AA828" s="1111"/>
      <c r="AB828" s="1111"/>
      <c r="AC828" s="1111"/>
      <c r="AD828" s="1111"/>
      <c r="AE828" s="1111"/>
      <c r="AF828" s="1111"/>
      <c r="AG828" s="1111"/>
    </row>
    <row r="829" spans="1:33" s="1295" customFormat="1">
      <c r="A829" s="1264"/>
      <c r="D829" s="1118"/>
      <c r="E829" s="1264"/>
      <c r="F829" s="1118"/>
      <c r="G829" s="1118"/>
      <c r="H829" s="1118"/>
      <c r="I829" s="1118"/>
      <c r="J829" s="1118"/>
      <c r="K829" s="1118"/>
      <c r="L829" s="1118"/>
      <c r="M829" s="1118"/>
      <c r="N829" s="1118"/>
      <c r="O829" s="1118"/>
      <c r="P829" s="1118"/>
      <c r="Q829" s="1111"/>
      <c r="R829" s="1111"/>
      <c r="S829" s="1111"/>
      <c r="T829" s="1111"/>
      <c r="U829" s="1111"/>
      <c r="V829" s="1111"/>
      <c r="W829" s="1111"/>
      <c r="X829" s="1111"/>
      <c r="Y829" s="1111"/>
      <c r="Z829" s="1111"/>
      <c r="AA829" s="1111"/>
      <c r="AB829" s="1111"/>
      <c r="AC829" s="1111"/>
      <c r="AD829" s="1111"/>
      <c r="AE829" s="1111"/>
      <c r="AF829" s="1111"/>
      <c r="AG829" s="1111"/>
    </row>
    <row r="830" spans="1:33" s="1295" customFormat="1">
      <c r="A830" s="1264"/>
      <c r="D830" s="1118"/>
      <c r="E830" s="1264"/>
      <c r="F830" s="1118"/>
      <c r="G830" s="1118"/>
      <c r="H830" s="1118"/>
      <c r="I830" s="1118"/>
      <c r="J830" s="1118"/>
      <c r="K830" s="1118"/>
      <c r="L830" s="1118"/>
      <c r="M830" s="1118"/>
      <c r="N830" s="1118"/>
      <c r="O830" s="1118"/>
      <c r="P830" s="1118"/>
      <c r="Q830" s="1111"/>
      <c r="R830" s="1111"/>
      <c r="S830" s="1111"/>
      <c r="T830" s="1111"/>
      <c r="U830" s="1111"/>
      <c r="V830" s="1111"/>
      <c r="W830" s="1111"/>
      <c r="X830" s="1111"/>
      <c r="Y830" s="1111"/>
      <c r="Z830" s="1111"/>
      <c r="AA830" s="1111"/>
      <c r="AB830" s="1111"/>
      <c r="AC830" s="1111"/>
      <c r="AD830" s="1111"/>
      <c r="AE830" s="1111"/>
      <c r="AF830" s="1111"/>
      <c r="AG830" s="1111"/>
    </row>
    <row r="831" spans="1:33" s="1295" customFormat="1">
      <c r="A831" s="1264"/>
      <c r="D831" s="1118"/>
      <c r="E831" s="1264"/>
      <c r="F831" s="1118"/>
      <c r="G831" s="1118"/>
      <c r="H831" s="1118"/>
      <c r="I831" s="1118"/>
      <c r="J831" s="1118"/>
      <c r="K831" s="1118"/>
      <c r="L831" s="1118"/>
      <c r="M831" s="1118"/>
      <c r="N831" s="1118"/>
      <c r="O831" s="1118"/>
      <c r="P831" s="1118"/>
      <c r="Q831" s="1111"/>
      <c r="R831" s="1111"/>
      <c r="S831" s="1111"/>
      <c r="T831" s="1111"/>
      <c r="U831" s="1111"/>
      <c r="V831" s="1111"/>
      <c r="W831" s="1111"/>
      <c r="X831" s="1111"/>
      <c r="Y831" s="1111"/>
      <c r="Z831" s="1111"/>
      <c r="AA831" s="1111"/>
      <c r="AB831" s="1111"/>
      <c r="AC831" s="1111"/>
      <c r="AD831" s="1111"/>
      <c r="AE831" s="1111"/>
      <c r="AF831" s="1111"/>
      <c r="AG831" s="1111"/>
    </row>
    <row r="832" spans="1:33" s="1295" customFormat="1">
      <c r="A832" s="1264"/>
      <c r="D832" s="1118"/>
      <c r="E832" s="1264"/>
      <c r="F832" s="1118"/>
      <c r="G832" s="1118"/>
      <c r="H832" s="1118"/>
      <c r="I832" s="1118"/>
      <c r="J832" s="1118"/>
      <c r="K832" s="1118"/>
      <c r="L832" s="1118"/>
      <c r="M832" s="1118"/>
      <c r="N832" s="1118"/>
      <c r="O832" s="1118"/>
      <c r="P832" s="1118"/>
      <c r="Q832" s="1111"/>
      <c r="R832" s="1111"/>
      <c r="S832" s="1111"/>
      <c r="T832" s="1111"/>
      <c r="U832" s="1111"/>
      <c r="V832" s="1111"/>
      <c r="W832" s="1111"/>
      <c r="X832" s="1111"/>
      <c r="Y832" s="1111"/>
      <c r="Z832" s="1111"/>
      <c r="AA832" s="1111"/>
      <c r="AB832" s="1111"/>
      <c r="AC832" s="1111"/>
      <c r="AD832" s="1111"/>
      <c r="AE832" s="1111"/>
      <c r="AF832" s="1111"/>
      <c r="AG832" s="1111"/>
    </row>
    <row r="833" spans="1:33" s="1295" customFormat="1">
      <c r="A833" s="1264"/>
      <c r="D833" s="1118"/>
      <c r="E833" s="1264"/>
      <c r="F833" s="1118"/>
      <c r="G833" s="1118"/>
      <c r="H833" s="1118"/>
      <c r="I833" s="1118"/>
      <c r="J833" s="1118"/>
      <c r="K833" s="1118"/>
      <c r="L833" s="1118"/>
      <c r="M833" s="1118"/>
      <c r="N833" s="1118"/>
      <c r="O833" s="1118"/>
      <c r="P833" s="1118"/>
      <c r="Q833" s="1111"/>
      <c r="R833" s="1111"/>
      <c r="S833" s="1111"/>
      <c r="T833" s="1111"/>
      <c r="U833" s="1111"/>
      <c r="V833" s="1111"/>
      <c r="W833" s="1111"/>
      <c r="X833" s="1111"/>
      <c r="Y833" s="1111"/>
      <c r="Z833" s="1111"/>
      <c r="AA833" s="1111"/>
      <c r="AB833" s="1111"/>
      <c r="AC833" s="1111"/>
      <c r="AD833" s="1111"/>
      <c r="AE833" s="1111"/>
      <c r="AF833" s="1111"/>
      <c r="AG833" s="1111"/>
    </row>
    <row r="834" spans="1:33" s="1295" customFormat="1">
      <c r="A834" s="1264"/>
      <c r="D834" s="1118"/>
      <c r="E834" s="1264"/>
      <c r="F834" s="1118"/>
      <c r="G834" s="1118"/>
      <c r="H834" s="1118"/>
      <c r="I834" s="1118"/>
      <c r="J834" s="1118"/>
      <c r="K834" s="1118"/>
      <c r="L834" s="1118"/>
      <c r="M834" s="1118"/>
      <c r="N834" s="1118"/>
      <c r="O834" s="1118"/>
      <c r="P834" s="1118"/>
      <c r="Q834" s="1111"/>
      <c r="R834" s="1111"/>
      <c r="S834" s="1111"/>
      <c r="T834" s="1111"/>
      <c r="U834" s="1111"/>
      <c r="V834" s="1111"/>
      <c r="W834" s="1111"/>
      <c r="X834" s="1111"/>
      <c r="Y834" s="1111"/>
      <c r="Z834" s="1111"/>
      <c r="AA834" s="1111"/>
      <c r="AB834" s="1111"/>
      <c r="AC834" s="1111"/>
      <c r="AD834" s="1111"/>
      <c r="AE834" s="1111"/>
      <c r="AF834" s="1111"/>
      <c r="AG834" s="1111"/>
    </row>
    <row r="835" spans="1:33" s="1295" customFormat="1">
      <c r="A835" s="1264"/>
      <c r="D835" s="1118"/>
      <c r="E835" s="1264"/>
      <c r="F835" s="1118"/>
      <c r="G835" s="1118"/>
      <c r="H835" s="1118"/>
      <c r="I835" s="1118"/>
      <c r="J835" s="1118"/>
      <c r="K835" s="1118"/>
      <c r="L835" s="1118"/>
      <c r="M835" s="1118"/>
      <c r="N835" s="1118"/>
      <c r="O835" s="1118"/>
      <c r="P835" s="1118"/>
      <c r="Q835" s="1111"/>
      <c r="R835" s="1111"/>
      <c r="S835" s="1111"/>
      <c r="T835" s="1111"/>
      <c r="U835" s="1111"/>
      <c r="V835" s="1111"/>
      <c r="W835" s="1111"/>
      <c r="X835" s="1111"/>
      <c r="Y835" s="1111"/>
      <c r="Z835" s="1111"/>
      <c r="AA835" s="1111"/>
      <c r="AB835" s="1111"/>
      <c r="AC835" s="1111"/>
      <c r="AD835" s="1111"/>
      <c r="AE835" s="1111"/>
      <c r="AF835" s="1111"/>
      <c r="AG835" s="1111"/>
    </row>
    <row r="836" spans="1:33" s="1295" customFormat="1">
      <c r="A836" s="1264"/>
      <c r="D836" s="1118"/>
      <c r="E836" s="1264"/>
      <c r="F836" s="1118"/>
      <c r="G836" s="1118"/>
      <c r="H836" s="1118"/>
      <c r="I836" s="1118"/>
      <c r="J836" s="1118"/>
      <c r="K836" s="1118"/>
      <c r="L836" s="1118"/>
      <c r="M836" s="1118"/>
      <c r="N836" s="1118"/>
      <c r="O836" s="1118"/>
      <c r="P836" s="1118"/>
      <c r="Q836" s="1111"/>
      <c r="R836" s="1111"/>
      <c r="S836" s="1111"/>
      <c r="T836" s="1111"/>
      <c r="U836" s="1111"/>
      <c r="V836" s="1111"/>
      <c r="W836" s="1111"/>
      <c r="X836" s="1111"/>
      <c r="Y836" s="1111"/>
      <c r="Z836" s="1111"/>
      <c r="AA836" s="1111"/>
      <c r="AB836" s="1111"/>
      <c r="AC836" s="1111"/>
      <c r="AD836" s="1111"/>
      <c r="AE836" s="1111"/>
      <c r="AF836" s="1111"/>
      <c r="AG836" s="1111"/>
    </row>
    <row r="837" spans="1:33" s="1295" customFormat="1">
      <c r="A837" s="1264"/>
      <c r="D837" s="1118"/>
      <c r="E837" s="1264"/>
      <c r="F837" s="1118"/>
      <c r="G837" s="1118"/>
      <c r="H837" s="1118"/>
      <c r="I837" s="1118"/>
      <c r="J837" s="1118"/>
      <c r="K837" s="1118"/>
      <c r="L837" s="1118"/>
      <c r="M837" s="1118"/>
      <c r="N837" s="1118"/>
      <c r="O837" s="1118"/>
      <c r="P837" s="1118"/>
      <c r="Q837" s="1111"/>
      <c r="R837" s="1111"/>
      <c r="S837" s="1111"/>
      <c r="T837" s="1111"/>
      <c r="U837" s="1111"/>
      <c r="V837" s="1111"/>
      <c r="W837" s="1111"/>
      <c r="X837" s="1111"/>
      <c r="Y837" s="1111"/>
      <c r="Z837" s="1111"/>
      <c r="AA837" s="1111"/>
      <c r="AB837" s="1111"/>
      <c r="AC837" s="1111"/>
      <c r="AD837" s="1111"/>
      <c r="AE837" s="1111"/>
      <c r="AF837" s="1111"/>
      <c r="AG837" s="1111"/>
    </row>
    <row r="838" spans="1:33" s="1295" customFormat="1">
      <c r="A838" s="1264"/>
      <c r="D838" s="1118"/>
      <c r="E838" s="1264"/>
      <c r="F838" s="1118"/>
      <c r="G838" s="1118"/>
      <c r="H838" s="1118"/>
      <c r="I838" s="1118"/>
      <c r="J838" s="1118"/>
      <c r="K838" s="1118"/>
      <c r="L838" s="1118"/>
      <c r="M838" s="1118"/>
      <c r="N838" s="1118"/>
      <c r="O838" s="1118"/>
      <c r="P838" s="1118"/>
      <c r="Q838" s="1111"/>
      <c r="R838" s="1111"/>
      <c r="S838" s="1111"/>
      <c r="T838" s="1111"/>
      <c r="U838" s="1111"/>
      <c r="V838" s="1111"/>
      <c r="W838" s="1111"/>
      <c r="X838" s="1111"/>
      <c r="Y838" s="1111"/>
      <c r="Z838" s="1111"/>
      <c r="AA838" s="1111"/>
      <c r="AB838" s="1111"/>
      <c r="AC838" s="1111"/>
      <c r="AD838" s="1111"/>
      <c r="AE838" s="1111"/>
      <c r="AF838" s="1111"/>
      <c r="AG838" s="1111"/>
    </row>
    <row r="839" spans="1:33" s="1295" customFormat="1">
      <c r="A839" s="1264"/>
      <c r="D839" s="1118"/>
      <c r="E839" s="1264"/>
      <c r="F839" s="1118"/>
      <c r="G839" s="1118"/>
      <c r="H839" s="1118"/>
      <c r="I839" s="1118"/>
      <c r="J839" s="1118"/>
      <c r="K839" s="1118"/>
      <c r="L839" s="1118"/>
      <c r="M839" s="1118"/>
      <c r="N839" s="1118"/>
      <c r="O839" s="1118"/>
      <c r="P839" s="1118"/>
      <c r="Q839" s="1111"/>
      <c r="R839" s="1111"/>
      <c r="S839" s="1111"/>
      <c r="T839" s="1111"/>
      <c r="U839" s="1111"/>
      <c r="V839" s="1111"/>
      <c r="W839" s="1111"/>
      <c r="X839" s="1111"/>
      <c r="Y839" s="1111"/>
      <c r="Z839" s="1111"/>
      <c r="AA839" s="1111"/>
      <c r="AB839" s="1111"/>
      <c r="AC839" s="1111"/>
      <c r="AD839" s="1111"/>
      <c r="AE839" s="1111"/>
      <c r="AF839" s="1111"/>
      <c r="AG839" s="1111"/>
    </row>
    <row r="840" spans="1:33" s="1295" customFormat="1">
      <c r="A840" s="1264"/>
      <c r="D840" s="1118"/>
      <c r="E840" s="1264"/>
      <c r="F840" s="1118"/>
      <c r="G840" s="1118"/>
      <c r="H840" s="1118"/>
      <c r="I840" s="1118"/>
      <c r="J840" s="1118"/>
      <c r="K840" s="1118"/>
      <c r="L840" s="1118"/>
      <c r="M840" s="1118"/>
      <c r="N840" s="1118"/>
      <c r="O840" s="1118"/>
      <c r="P840" s="1118"/>
      <c r="Q840" s="1111"/>
      <c r="R840" s="1111"/>
      <c r="S840" s="1111"/>
      <c r="T840" s="1111"/>
      <c r="U840" s="1111"/>
      <c r="V840" s="1111"/>
      <c r="W840" s="1111"/>
      <c r="X840" s="1111"/>
      <c r="Y840" s="1111"/>
      <c r="Z840" s="1111"/>
      <c r="AA840" s="1111"/>
      <c r="AB840" s="1111"/>
      <c r="AC840" s="1111"/>
      <c r="AD840" s="1111"/>
      <c r="AE840" s="1111"/>
      <c r="AF840" s="1111"/>
      <c r="AG840" s="1111"/>
    </row>
    <row r="841" spans="1:33" s="1295" customFormat="1">
      <c r="A841" s="1264"/>
      <c r="D841" s="1118"/>
      <c r="E841" s="1264"/>
      <c r="F841" s="1118"/>
      <c r="G841" s="1118"/>
      <c r="H841" s="1118"/>
      <c r="I841" s="1118"/>
      <c r="J841" s="1118"/>
      <c r="K841" s="1118"/>
      <c r="L841" s="1118"/>
      <c r="M841" s="1118"/>
      <c r="N841" s="1118"/>
      <c r="O841" s="1118"/>
      <c r="P841" s="1118"/>
      <c r="Q841" s="1111"/>
      <c r="R841" s="1111"/>
      <c r="S841" s="1111"/>
      <c r="T841" s="1111"/>
      <c r="U841" s="1111"/>
      <c r="V841" s="1111"/>
      <c r="W841" s="1111"/>
      <c r="X841" s="1111"/>
      <c r="Y841" s="1111"/>
      <c r="Z841" s="1111"/>
      <c r="AA841" s="1111"/>
      <c r="AB841" s="1111"/>
      <c r="AC841" s="1111"/>
      <c r="AD841" s="1111"/>
      <c r="AE841" s="1111"/>
      <c r="AF841" s="1111"/>
      <c r="AG841" s="1111"/>
    </row>
    <row r="842" spans="1:33" s="1295" customFormat="1">
      <c r="A842" s="1264"/>
      <c r="D842" s="1118"/>
      <c r="E842" s="1264"/>
      <c r="F842" s="1118"/>
      <c r="G842" s="1118"/>
      <c r="H842" s="1118"/>
      <c r="I842" s="1118"/>
      <c r="J842" s="1118"/>
      <c r="K842" s="1118"/>
      <c r="L842" s="1118"/>
      <c r="M842" s="1118"/>
      <c r="N842" s="1118"/>
      <c r="O842" s="1118"/>
      <c r="P842" s="1118"/>
      <c r="Q842" s="1111"/>
      <c r="R842" s="1111"/>
      <c r="S842" s="1111"/>
      <c r="T842" s="1111"/>
      <c r="U842" s="1111"/>
      <c r="V842" s="1111"/>
      <c r="W842" s="1111"/>
      <c r="X842" s="1111"/>
      <c r="Y842" s="1111"/>
      <c r="Z842" s="1111"/>
      <c r="AA842" s="1111"/>
      <c r="AB842" s="1111"/>
      <c r="AC842" s="1111"/>
      <c r="AD842" s="1111"/>
      <c r="AE842" s="1111"/>
      <c r="AF842" s="1111"/>
      <c r="AG842" s="1111"/>
    </row>
    <row r="843" spans="1:33" s="1295" customFormat="1">
      <c r="A843" s="1264"/>
      <c r="D843" s="1118"/>
      <c r="E843" s="1264"/>
      <c r="F843" s="1118"/>
      <c r="G843" s="1118"/>
      <c r="H843" s="1118"/>
      <c r="I843" s="1118"/>
      <c r="J843" s="1118"/>
      <c r="K843" s="1118"/>
      <c r="L843" s="1118"/>
      <c r="M843" s="1118"/>
      <c r="N843" s="1118"/>
      <c r="O843" s="1118"/>
      <c r="P843" s="1118"/>
      <c r="Q843" s="1111"/>
      <c r="R843" s="1111"/>
      <c r="S843" s="1111"/>
      <c r="T843" s="1111"/>
      <c r="U843" s="1111"/>
      <c r="V843" s="1111"/>
      <c r="W843" s="1111"/>
      <c r="X843" s="1111"/>
      <c r="Y843" s="1111"/>
      <c r="Z843" s="1111"/>
      <c r="AA843" s="1111"/>
      <c r="AB843" s="1111"/>
      <c r="AC843" s="1111"/>
      <c r="AD843" s="1111"/>
      <c r="AE843" s="1111"/>
      <c r="AF843" s="1111"/>
      <c r="AG843" s="1111"/>
    </row>
    <row r="844" spans="1:33" s="1295" customFormat="1">
      <c r="A844" s="1264"/>
      <c r="D844" s="1118"/>
      <c r="E844" s="1264"/>
      <c r="F844" s="1118"/>
      <c r="G844" s="1118"/>
      <c r="H844" s="1118"/>
      <c r="I844" s="1118"/>
      <c r="J844" s="1118"/>
      <c r="K844" s="1118"/>
      <c r="L844" s="1118"/>
      <c r="M844" s="1118"/>
      <c r="N844" s="1118"/>
      <c r="O844" s="1118"/>
      <c r="P844" s="1118"/>
      <c r="Q844" s="1111"/>
      <c r="R844" s="1111"/>
      <c r="S844" s="1111"/>
      <c r="T844" s="1111"/>
      <c r="U844" s="1111"/>
      <c r="V844" s="1111"/>
      <c r="W844" s="1111"/>
      <c r="X844" s="1111"/>
      <c r="Y844" s="1111"/>
      <c r="Z844" s="1111"/>
      <c r="AA844" s="1111"/>
      <c r="AB844" s="1111"/>
      <c r="AC844" s="1111"/>
      <c r="AD844" s="1111"/>
      <c r="AE844" s="1111"/>
      <c r="AF844" s="1111"/>
      <c r="AG844" s="1111"/>
    </row>
    <row r="845" spans="1:33" s="1295" customFormat="1">
      <c r="A845" s="1264"/>
      <c r="D845" s="1118"/>
      <c r="E845" s="1264"/>
      <c r="F845" s="1118"/>
      <c r="G845" s="1118"/>
      <c r="H845" s="1118"/>
      <c r="I845" s="1118"/>
      <c r="J845" s="1118"/>
      <c r="K845" s="1118"/>
      <c r="L845" s="1118"/>
      <c r="M845" s="1118"/>
      <c r="N845" s="1118"/>
      <c r="O845" s="1118"/>
      <c r="P845" s="1118"/>
      <c r="Q845" s="1111"/>
      <c r="R845" s="1111"/>
      <c r="S845" s="1111"/>
      <c r="T845" s="1111"/>
      <c r="U845" s="1111"/>
      <c r="V845" s="1111"/>
      <c r="W845" s="1111"/>
      <c r="X845" s="1111"/>
      <c r="Y845" s="1111"/>
      <c r="Z845" s="1111"/>
      <c r="AA845" s="1111"/>
      <c r="AB845" s="1111"/>
      <c r="AC845" s="1111"/>
      <c r="AD845" s="1111"/>
      <c r="AE845" s="1111"/>
      <c r="AF845" s="1111"/>
      <c r="AG845" s="1111"/>
    </row>
    <row r="846" spans="1:33" s="1295" customFormat="1">
      <c r="A846" s="1264"/>
      <c r="D846" s="1118"/>
      <c r="E846" s="1264"/>
      <c r="F846" s="1118"/>
      <c r="G846" s="1118"/>
      <c r="H846" s="1118"/>
      <c r="I846" s="1118"/>
      <c r="J846" s="1118"/>
      <c r="K846" s="1118"/>
      <c r="L846" s="1118"/>
      <c r="M846" s="1118"/>
      <c r="N846" s="1118"/>
      <c r="O846" s="1118"/>
      <c r="P846" s="1118"/>
      <c r="Q846" s="1111"/>
      <c r="R846" s="1111"/>
      <c r="S846" s="1111"/>
      <c r="T846" s="1111"/>
      <c r="U846" s="1111"/>
      <c r="V846" s="1111"/>
      <c r="W846" s="1111"/>
      <c r="X846" s="1111"/>
      <c r="Y846" s="1111"/>
      <c r="Z846" s="1111"/>
      <c r="AA846" s="1111"/>
      <c r="AB846" s="1111"/>
      <c r="AC846" s="1111"/>
      <c r="AD846" s="1111"/>
      <c r="AE846" s="1111"/>
      <c r="AF846" s="1111"/>
      <c r="AG846" s="1111"/>
    </row>
    <row r="847" spans="1:33" s="1295" customFormat="1">
      <c r="A847" s="1264"/>
      <c r="D847" s="1118"/>
      <c r="E847" s="1264"/>
      <c r="F847" s="1118"/>
      <c r="G847" s="1118"/>
      <c r="H847" s="1118"/>
      <c r="I847" s="1118"/>
      <c r="J847" s="1118"/>
      <c r="K847" s="1118"/>
      <c r="L847" s="1118"/>
      <c r="M847" s="1118"/>
      <c r="N847" s="1118"/>
      <c r="O847" s="1118"/>
      <c r="P847" s="1118"/>
      <c r="Q847" s="1111"/>
      <c r="R847" s="1111"/>
      <c r="S847" s="1111"/>
      <c r="T847" s="1111"/>
      <c r="U847" s="1111"/>
      <c r="V847" s="1111"/>
      <c r="W847" s="1111"/>
      <c r="X847" s="1111"/>
      <c r="Y847" s="1111"/>
      <c r="Z847" s="1111"/>
      <c r="AA847" s="1111"/>
      <c r="AB847" s="1111"/>
      <c r="AC847" s="1111"/>
      <c r="AD847" s="1111"/>
      <c r="AE847" s="1111"/>
      <c r="AF847" s="1111"/>
      <c r="AG847" s="1111"/>
    </row>
    <row r="848" spans="1:33" s="1295" customFormat="1">
      <c r="A848" s="1264"/>
      <c r="D848" s="1118"/>
      <c r="E848" s="1264"/>
      <c r="F848" s="1118"/>
      <c r="G848" s="1118"/>
      <c r="H848" s="1118"/>
      <c r="I848" s="1118"/>
      <c r="J848" s="1118"/>
      <c r="K848" s="1118"/>
      <c r="L848" s="1118"/>
      <c r="M848" s="1118"/>
      <c r="N848" s="1118"/>
      <c r="O848" s="1118"/>
      <c r="P848" s="1118"/>
      <c r="Q848" s="1111"/>
      <c r="R848" s="1111"/>
      <c r="S848" s="1111"/>
      <c r="T848" s="1111"/>
      <c r="U848" s="1111"/>
      <c r="V848" s="1111"/>
      <c r="W848" s="1111"/>
      <c r="X848" s="1111"/>
      <c r="Y848" s="1111"/>
      <c r="Z848" s="1111"/>
      <c r="AA848" s="1111"/>
      <c r="AB848" s="1111"/>
      <c r="AC848" s="1111"/>
      <c r="AD848" s="1111"/>
      <c r="AE848" s="1111"/>
      <c r="AF848" s="1111"/>
      <c r="AG848" s="1111"/>
    </row>
    <row r="849" spans="1:33" s="1295" customFormat="1">
      <c r="A849" s="1264"/>
      <c r="D849" s="1118"/>
      <c r="E849" s="1264"/>
      <c r="F849" s="1118"/>
      <c r="G849" s="1118"/>
      <c r="H849" s="1118"/>
      <c r="I849" s="1118"/>
      <c r="J849" s="1118"/>
      <c r="K849" s="1118"/>
      <c r="L849" s="1118"/>
      <c r="M849" s="1118"/>
      <c r="N849" s="1118"/>
      <c r="O849" s="1118"/>
      <c r="P849" s="1118"/>
      <c r="Q849" s="1111"/>
      <c r="R849" s="1111"/>
      <c r="S849" s="1111"/>
      <c r="T849" s="1111"/>
      <c r="U849" s="1111"/>
      <c r="V849" s="1111"/>
      <c r="W849" s="1111"/>
      <c r="X849" s="1111"/>
      <c r="Y849" s="1111"/>
      <c r="Z849" s="1111"/>
      <c r="AA849" s="1111"/>
      <c r="AB849" s="1111"/>
      <c r="AC849" s="1111"/>
      <c r="AD849" s="1111"/>
      <c r="AE849" s="1111"/>
      <c r="AF849" s="1111"/>
      <c r="AG849" s="1111"/>
    </row>
    <row r="850" spans="1:33" s="1295" customFormat="1">
      <c r="A850" s="1264"/>
      <c r="D850" s="1118"/>
      <c r="E850" s="1264"/>
      <c r="F850" s="1118"/>
      <c r="G850" s="1118"/>
      <c r="H850" s="1118"/>
      <c r="I850" s="1118"/>
      <c r="J850" s="1118"/>
      <c r="K850" s="1118"/>
      <c r="L850" s="1118"/>
      <c r="M850" s="1118"/>
      <c r="N850" s="1118"/>
      <c r="O850" s="1118"/>
      <c r="P850" s="1118"/>
      <c r="Q850" s="1111"/>
      <c r="R850" s="1111"/>
      <c r="S850" s="1111"/>
      <c r="T850" s="1111"/>
      <c r="U850" s="1111"/>
      <c r="V850" s="1111"/>
      <c r="W850" s="1111"/>
      <c r="X850" s="1111"/>
      <c r="Y850" s="1111"/>
      <c r="Z850" s="1111"/>
      <c r="AA850" s="1111"/>
      <c r="AB850" s="1111"/>
      <c r="AC850" s="1111"/>
      <c r="AD850" s="1111"/>
      <c r="AE850" s="1111"/>
      <c r="AF850" s="1111"/>
      <c r="AG850" s="1111"/>
    </row>
    <row r="851" spans="1:33" s="1295" customFormat="1">
      <c r="A851" s="1264"/>
      <c r="D851" s="1118"/>
      <c r="E851" s="1264"/>
      <c r="F851" s="1118"/>
      <c r="G851" s="1118"/>
      <c r="H851" s="1118"/>
      <c r="I851" s="1118"/>
      <c r="J851" s="1118"/>
      <c r="K851" s="1118"/>
      <c r="L851" s="1118"/>
      <c r="M851" s="1118"/>
      <c r="N851" s="1118"/>
      <c r="O851" s="1118"/>
      <c r="P851" s="1118"/>
      <c r="Q851" s="1111"/>
      <c r="R851" s="1111"/>
      <c r="S851" s="1111"/>
      <c r="T851" s="1111"/>
      <c r="U851" s="1111"/>
      <c r="V851" s="1111"/>
      <c r="W851" s="1111"/>
      <c r="X851" s="1111"/>
      <c r="Y851" s="1111"/>
      <c r="Z851" s="1111"/>
      <c r="AA851" s="1111"/>
      <c r="AB851" s="1111"/>
      <c r="AC851" s="1111"/>
      <c r="AD851" s="1111"/>
      <c r="AE851" s="1111"/>
      <c r="AF851" s="1111"/>
      <c r="AG851" s="1111"/>
    </row>
    <row r="852" spans="1:33" s="1295" customFormat="1">
      <c r="A852" s="1264"/>
      <c r="D852" s="1118"/>
      <c r="E852" s="1264"/>
      <c r="F852" s="1118"/>
      <c r="G852" s="1118"/>
      <c r="H852" s="1118"/>
      <c r="I852" s="1118"/>
      <c r="J852" s="1118"/>
      <c r="K852" s="1118"/>
      <c r="L852" s="1118"/>
      <c r="M852" s="1118"/>
      <c r="N852" s="1118"/>
      <c r="O852" s="1118"/>
      <c r="P852" s="1118"/>
      <c r="Q852" s="1111"/>
      <c r="R852" s="1111"/>
      <c r="S852" s="1111"/>
      <c r="T852" s="1111"/>
      <c r="U852" s="1111"/>
      <c r="V852" s="1111"/>
      <c r="W852" s="1111"/>
      <c r="X852" s="1111"/>
      <c r="Y852" s="1111"/>
      <c r="Z852" s="1111"/>
      <c r="AA852" s="1111"/>
      <c r="AB852" s="1111"/>
      <c r="AC852" s="1111"/>
      <c r="AD852" s="1111"/>
      <c r="AE852" s="1111"/>
      <c r="AF852" s="1111"/>
      <c r="AG852" s="1111"/>
    </row>
    <row r="853" spans="1:33" s="1295" customFormat="1">
      <c r="A853" s="1264"/>
      <c r="D853" s="1118"/>
      <c r="E853" s="1264"/>
      <c r="F853" s="1118"/>
      <c r="G853" s="1118"/>
      <c r="H853" s="1118"/>
      <c r="I853" s="1118"/>
      <c r="J853" s="1118"/>
      <c r="K853" s="1118"/>
      <c r="L853" s="1118"/>
      <c r="M853" s="1118"/>
      <c r="N853" s="1118"/>
      <c r="O853" s="1118"/>
      <c r="P853" s="1118"/>
      <c r="Q853" s="1111"/>
      <c r="R853" s="1111"/>
      <c r="S853" s="1111"/>
      <c r="T853" s="1111"/>
      <c r="U853" s="1111"/>
      <c r="V853" s="1111"/>
      <c r="W853" s="1111"/>
      <c r="X853" s="1111"/>
      <c r="Y853" s="1111"/>
      <c r="Z853" s="1111"/>
      <c r="AA853" s="1111"/>
      <c r="AB853" s="1111"/>
      <c r="AC853" s="1111"/>
      <c r="AD853" s="1111"/>
      <c r="AE853" s="1111"/>
      <c r="AF853" s="1111"/>
      <c r="AG853" s="1111"/>
    </row>
    <row r="854" spans="1:33" s="1295" customFormat="1">
      <c r="A854" s="1264"/>
      <c r="D854" s="1118"/>
      <c r="E854" s="1264"/>
      <c r="F854" s="1118"/>
      <c r="G854" s="1118"/>
      <c r="H854" s="1118"/>
      <c r="I854" s="1118"/>
      <c r="J854" s="1118"/>
      <c r="K854" s="1118"/>
      <c r="L854" s="1118"/>
      <c r="M854" s="1118"/>
      <c r="N854" s="1118"/>
      <c r="O854" s="1118"/>
      <c r="P854" s="1118"/>
      <c r="Q854" s="1111"/>
      <c r="R854" s="1111"/>
      <c r="S854" s="1111"/>
      <c r="T854" s="1111"/>
      <c r="U854" s="1111"/>
      <c r="V854" s="1111"/>
      <c r="W854" s="1111"/>
      <c r="X854" s="1111"/>
      <c r="Y854" s="1111"/>
      <c r="Z854" s="1111"/>
      <c r="AA854" s="1111"/>
      <c r="AB854" s="1111"/>
      <c r="AC854" s="1111"/>
      <c r="AD854" s="1111"/>
      <c r="AE854" s="1111"/>
      <c r="AF854" s="1111"/>
      <c r="AG854" s="1111"/>
    </row>
    <row r="855" spans="1:33" s="1295" customFormat="1">
      <c r="A855" s="1264"/>
      <c r="D855" s="1118"/>
      <c r="E855" s="1264"/>
      <c r="F855" s="1118"/>
      <c r="G855" s="1118"/>
      <c r="H855" s="1118"/>
      <c r="I855" s="1118"/>
      <c r="J855" s="1118"/>
      <c r="K855" s="1118"/>
      <c r="L855" s="1118"/>
      <c r="M855" s="1118"/>
      <c r="N855" s="1118"/>
      <c r="O855" s="1118"/>
      <c r="P855" s="1118"/>
      <c r="Q855" s="1111"/>
      <c r="R855" s="1111"/>
      <c r="S855" s="1111"/>
      <c r="T855" s="1111"/>
      <c r="U855" s="1111"/>
      <c r="V855" s="1111"/>
      <c r="W855" s="1111"/>
      <c r="X855" s="1111"/>
      <c r="Y855" s="1111"/>
      <c r="Z855" s="1111"/>
      <c r="AA855" s="1111"/>
      <c r="AB855" s="1111"/>
      <c r="AC855" s="1111"/>
      <c r="AD855" s="1111"/>
      <c r="AE855" s="1111"/>
      <c r="AF855" s="1111"/>
      <c r="AG855" s="1111"/>
    </row>
    <row r="856" spans="1:33" s="1295" customFormat="1">
      <c r="A856" s="1264"/>
      <c r="D856" s="1118"/>
      <c r="E856" s="1264"/>
      <c r="F856" s="1118"/>
      <c r="G856" s="1118"/>
      <c r="H856" s="1118"/>
      <c r="I856" s="1118"/>
      <c r="J856" s="1118"/>
      <c r="K856" s="1118"/>
      <c r="L856" s="1118"/>
      <c r="M856" s="1118"/>
      <c r="N856" s="1118"/>
      <c r="O856" s="1118"/>
      <c r="P856" s="1118"/>
      <c r="Q856" s="1111"/>
      <c r="R856" s="1111"/>
      <c r="S856" s="1111"/>
      <c r="T856" s="1111"/>
      <c r="U856" s="1111"/>
      <c r="V856" s="1111"/>
      <c r="W856" s="1111"/>
      <c r="X856" s="1111"/>
      <c r="Y856" s="1111"/>
      <c r="Z856" s="1111"/>
      <c r="AA856" s="1111"/>
      <c r="AB856" s="1111"/>
      <c r="AC856" s="1111"/>
      <c r="AD856" s="1111"/>
      <c r="AE856" s="1111"/>
      <c r="AF856" s="1111"/>
      <c r="AG856" s="1111"/>
    </row>
    <row r="857" spans="1:33" s="1295" customFormat="1">
      <c r="A857" s="1264"/>
      <c r="D857" s="1118"/>
      <c r="E857" s="1264"/>
      <c r="F857" s="1118"/>
      <c r="G857" s="1118"/>
      <c r="H857" s="1118"/>
      <c r="I857" s="1118"/>
      <c r="J857" s="1118"/>
      <c r="K857" s="1118"/>
      <c r="L857" s="1118"/>
      <c r="M857" s="1118"/>
      <c r="N857" s="1118"/>
      <c r="O857" s="1118"/>
      <c r="P857" s="1118"/>
      <c r="Q857" s="1111"/>
      <c r="R857" s="1111"/>
      <c r="S857" s="1111"/>
      <c r="T857" s="1111"/>
      <c r="U857" s="1111"/>
      <c r="V857" s="1111"/>
      <c r="W857" s="1111"/>
      <c r="X857" s="1111"/>
      <c r="Y857" s="1111"/>
      <c r="Z857" s="1111"/>
      <c r="AA857" s="1111"/>
      <c r="AB857" s="1111"/>
      <c r="AC857" s="1111"/>
      <c r="AD857" s="1111"/>
      <c r="AE857" s="1111"/>
      <c r="AF857" s="1111"/>
      <c r="AG857" s="1111"/>
    </row>
    <row r="858" spans="1:33" s="1295" customFormat="1">
      <c r="A858" s="1264"/>
      <c r="D858" s="1118"/>
      <c r="E858" s="1264"/>
      <c r="F858" s="1118"/>
      <c r="G858" s="1118"/>
      <c r="H858" s="1118"/>
      <c r="I858" s="1118"/>
      <c r="J858" s="1118"/>
      <c r="K858" s="1118"/>
      <c r="L858" s="1118"/>
      <c r="M858" s="1118"/>
      <c r="N858" s="1118"/>
      <c r="O858" s="1118"/>
      <c r="P858" s="1118"/>
      <c r="Q858" s="1111"/>
      <c r="R858" s="1111"/>
      <c r="S858" s="1111"/>
      <c r="T858" s="1111"/>
      <c r="U858" s="1111"/>
      <c r="V858" s="1111"/>
      <c r="W858" s="1111"/>
      <c r="X858" s="1111"/>
      <c r="Y858" s="1111"/>
      <c r="Z858" s="1111"/>
      <c r="AA858" s="1111"/>
      <c r="AB858" s="1111"/>
      <c r="AC858" s="1111"/>
      <c r="AD858" s="1111"/>
      <c r="AE858" s="1111"/>
      <c r="AF858" s="1111"/>
      <c r="AG858" s="1111"/>
    </row>
    <row r="859" spans="1:33" s="1295" customFormat="1">
      <c r="A859" s="1264"/>
      <c r="D859" s="1118"/>
      <c r="E859" s="1264"/>
      <c r="F859" s="1118"/>
      <c r="G859" s="1118"/>
      <c r="H859" s="1118"/>
      <c r="I859" s="1118"/>
      <c r="J859" s="1118"/>
      <c r="K859" s="1118"/>
      <c r="L859" s="1118"/>
      <c r="M859" s="1118"/>
      <c r="N859" s="1118"/>
      <c r="O859" s="1118"/>
      <c r="P859" s="1118"/>
      <c r="Q859" s="1111"/>
      <c r="R859" s="1111"/>
      <c r="S859" s="1111"/>
      <c r="T859" s="1111"/>
      <c r="U859" s="1111"/>
      <c r="V859" s="1111"/>
      <c r="W859" s="1111"/>
      <c r="X859" s="1111"/>
      <c r="Y859" s="1111"/>
      <c r="Z859" s="1111"/>
      <c r="AA859" s="1111"/>
      <c r="AB859" s="1111"/>
      <c r="AC859" s="1111"/>
      <c r="AD859" s="1111"/>
      <c r="AE859" s="1111"/>
      <c r="AF859" s="1111"/>
      <c r="AG859" s="1111"/>
    </row>
    <row r="860" spans="1:33" s="1295" customFormat="1">
      <c r="A860" s="1264"/>
      <c r="D860" s="1118"/>
      <c r="E860" s="1264"/>
      <c r="F860" s="1118"/>
      <c r="G860" s="1118"/>
      <c r="H860" s="1118"/>
      <c r="I860" s="1118"/>
      <c r="J860" s="1118"/>
      <c r="K860" s="1118"/>
      <c r="L860" s="1118"/>
      <c r="M860" s="1118"/>
      <c r="N860" s="1118"/>
      <c r="O860" s="1118"/>
      <c r="P860" s="1118"/>
      <c r="Q860" s="1111"/>
      <c r="R860" s="1111"/>
      <c r="S860" s="1111"/>
      <c r="T860" s="1111"/>
      <c r="U860" s="1111"/>
      <c r="V860" s="1111"/>
      <c r="W860" s="1111"/>
      <c r="X860" s="1111"/>
      <c r="Y860" s="1111"/>
      <c r="Z860" s="1111"/>
      <c r="AA860" s="1111"/>
      <c r="AB860" s="1111"/>
      <c r="AC860" s="1111"/>
      <c r="AD860" s="1111"/>
      <c r="AE860" s="1111"/>
      <c r="AF860" s="1111"/>
      <c r="AG860" s="1111"/>
    </row>
    <row r="861" spans="1:33" s="1295" customFormat="1">
      <c r="A861" s="1264"/>
      <c r="D861" s="1118"/>
      <c r="E861" s="1264"/>
      <c r="F861" s="1118"/>
      <c r="G861" s="1118"/>
      <c r="H861" s="1118"/>
      <c r="I861" s="1118"/>
      <c r="J861" s="1118"/>
      <c r="K861" s="1118"/>
      <c r="L861" s="1118"/>
      <c r="M861" s="1118"/>
      <c r="N861" s="1118"/>
      <c r="O861" s="1118"/>
      <c r="P861" s="1118"/>
      <c r="Q861" s="1111"/>
      <c r="R861" s="1111"/>
      <c r="S861" s="1111"/>
      <c r="T861" s="1111"/>
      <c r="U861" s="1111"/>
      <c r="V861" s="1111"/>
      <c r="W861" s="1111"/>
      <c r="X861" s="1111"/>
      <c r="Y861" s="1111"/>
      <c r="Z861" s="1111"/>
      <c r="AA861" s="1111"/>
      <c r="AB861" s="1111"/>
      <c r="AC861" s="1111"/>
      <c r="AD861" s="1111"/>
      <c r="AE861" s="1111"/>
      <c r="AF861" s="1111"/>
      <c r="AG861" s="1111"/>
    </row>
    <row r="862" spans="1:33" s="1295" customFormat="1">
      <c r="A862" s="1264"/>
      <c r="D862" s="1118"/>
      <c r="E862" s="1264"/>
      <c r="F862" s="1118"/>
      <c r="G862" s="1118"/>
      <c r="H862" s="1118"/>
      <c r="I862" s="1118"/>
      <c r="J862" s="1118"/>
      <c r="K862" s="1118"/>
      <c r="L862" s="1118"/>
      <c r="M862" s="1118"/>
      <c r="N862" s="1118"/>
      <c r="O862" s="1118"/>
      <c r="P862" s="1118"/>
      <c r="Q862" s="1111"/>
      <c r="R862" s="1111"/>
      <c r="S862" s="1111"/>
      <c r="T862" s="1111"/>
      <c r="U862" s="1111"/>
      <c r="V862" s="1111"/>
      <c r="W862" s="1111"/>
      <c r="X862" s="1111"/>
      <c r="Y862" s="1111"/>
      <c r="Z862" s="1111"/>
      <c r="AA862" s="1111"/>
      <c r="AB862" s="1111"/>
      <c r="AC862" s="1111"/>
      <c r="AD862" s="1111"/>
      <c r="AE862" s="1111"/>
      <c r="AF862" s="1111"/>
      <c r="AG862" s="1111"/>
    </row>
    <row r="863" spans="1:33" s="1295" customFormat="1">
      <c r="A863" s="1264"/>
      <c r="D863" s="1118"/>
      <c r="E863" s="1264"/>
      <c r="F863" s="1118"/>
      <c r="G863" s="1118"/>
      <c r="H863" s="1118"/>
      <c r="I863" s="1118"/>
      <c r="J863" s="1118"/>
      <c r="K863" s="1118"/>
      <c r="L863" s="1118"/>
      <c r="M863" s="1118"/>
      <c r="N863" s="1118"/>
      <c r="O863" s="1118"/>
      <c r="P863" s="1118"/>
      <c r="Q863" s="1111"/>
      <c r="R863" s="1111"/>
      <c r="S863" s="1111"/>
      <c r="T863" s="1111"/>
      <c r="U863" s="1111"/>
      <c r="V863" s="1111"/>
      <c r="W863" s="1111"/>
      <c r="X863" s="1111"/>
      <c r="Y863" s="1111"/>
      <c r="Z863" s="1111"/>
      <c r="AA863" s="1111"/>
      <c r="AB863" s="1111"/>
      <c r="AC863" s="1111"/>
      <c r="AD863" s="1111"/>
      <c r="AE863" s="1111"/>
      <c r="AF863" s="1111"/>
      <c r="AG863" s="1111"/>
    </row>
    <row r="864" spans="1:33" s="1295" customFormat="1">
      <c r="A864" s="1264"/>
      <c r="D864" s="1118"/>
      <c r="E864" s="1264"/>
      <c r="F864" s="1118"/>
      <c r="G864" s="1118"/>
      <c r="H864" s="1118"/>
      <c r="I864" s="1118"/>
      <c r="J864" s="1118"/>
      <c r="K864" s="1118"/>
      <c r="L864" s="1118"/>
      <c r="M864" s="1118"/>
      <c r="N864" s="1118"/>
      <c r="O864" s="1118"/>
      <c r="P864" s="1118"/>
      <c r="Q864" s="1111"/>
      <c r="R864" s="1111"/>
      <c r="S864" s="1111"/>
      <c r="T864" s="1111"/>
      <c r="U864" s="1111"/>
      <c r="V864" s="1111"/>
      <c r="W864" s="1111"/>
      <c r="X864" s="1111"/>
      <c r="Y864" s="1111"/>
      <c r="Z864" s="1111"/>
      <c r="AA864" s="1111"/>
      <c r="AB864" s="1111"/>
      <c r="AC864" s="1111"/>
      <c r="AD864" s="1111"/>
      <c r="AE864" s="1111"/>
      <c r="AF864" s="1111"/>
      <c r="AG864" s="1111"/>
    </row>
    <row r="865" spans="1:33" s="1295" customFormat="1">
      <c r="A865" s="1264"/>
      <c r="D865" s="1118"/>
      <c r="E865" s="1264"/>
      <c r="F865" s="1118"/>
      <c r="G865" s="1118"/>
      <c r="H865" s="1118"/>
      <c r="I865" s="1118"/>
      <c r="J865" s="1118"/>
      <c r="K865" s="1118"/>
      <c r="L865" s="1118"/>
      <c r="M865" s="1118"/>
      <c r="N865" s="1118"/>
      <c r="O865" s="1118"/>
      <c r="P865" s="1118"/>
      <c r="Q865" s="1111"/>
      <c r="R865" s="1111"/>
      <c r="S865" s="1111"/>
      <c r="T865" s="1111"/>
      <c r="U865" s="1111"/>
      <c r="V865" s="1111"/>
      <c r="W865" s="1111"/>
      <c r="X865" s="1111"/>
      <c r="Y865" s="1111"/>
      <c r="Z865" s="1111"/>
      <c r="AA865" s="1111"/>
      <c r="AB865" s="1111"/>
      <c r="AC865" s="1111"/>
      <c r="AD865" s="1111"/>
      <c r="AE865" s="1111"/>
      <c r="AF865" s="1111"/>
      <c r="AG865" s="1111"/>
    </row>
    <row r="866" spans="1:33" s="1295" customFormat="1">
      <c r="A866" s="1264"/>
      <c r="D866" s="1118"/>
      <c r="E866" s="1264"/>
      <c r="F866" s="1118"/>
      <c r="G866" s="1118"/>
      <c r="H866" s="1118"/>
      <c r="I866" s="1118"/>
      <c r="J866" s="1118"/>
      <c r="K866" s="1118"/>
      <c r="L866" s="1118"/>
      <c r="M866" s="1118"/>
      <c r="N866" s="1118"/>
      <c r="O866" s="1118"/>
      <c r="P866" s="1118"/>
      <c r="Q866" s="1111"/>
      <c r="R866" s="1111"/>
      <c r="S866" s="1111"/>
      <c r="T866" s="1111"/>
      <c r="U866" s="1111"/>
      <c r="V866" s="1111"/>
      <c r="W866" s="1111"/>
      <c r="X866" s="1111"/>
      <c r="Y866" s="1111"/>
      <c r="Z866" s="1111"/>
      <c r="AA866" s="1111"/>
      <c r="AB866" s="1111"/>
      <c r="AC866" s="1111"/>
      <c r="AD866" s="1111"/>
      <c r="AE866" s="1111"/>
      <c r="AF866" s="1111"/>
      <c r="AG866" s="1111"/>
    </row>
    <row r="867" spans="1:33" s="1295" customFormat="1">
      <c r="A867" s="1264"/>
      <c r="D867" s="1118"/>
      <c r="E867" s="1264"/>
      <c r="F867" s="1118"/>
      <c r="G867" s="1118"/>
      <c r="H867" s="1118"/>
      <c r="I867" s="1118"/>
      <c r="J867" s="1118"/>
      <c r="K867" s="1118"/>
      <c r="L867" s="1118"/>
      <c r="M867" s="1118"/>
      <c r="N867" s="1118"/>
      <c r="O867" s="1118"/>
      <c r="P867" s="1118"/>
      <c r="Q867" s="1111"/>
      <c r="R867" s="1111"/>
      <c r="S867" s="1111"/>
      <c r="T867" s="1111"/>
      <c r="U867" s="1111"/>
      <c r="V867" s="1111"/>
      <c r="W867" s="1111"/>
      <c r="X867" s="1111"/>
      <c r="Y867" s="1111"/>
      <c r="Z867" s="1111"/>
      <c r="AA867" s="1111"/>
      <c r="AB867" s="1111"/>
      <c r="AC867" s="1111"/>
      <c r="AD867" s="1111"/>
      <c r="AE867" s="1111"/>
      <c r="AF867" s="1111"/>
      <c r="AG867" s="1111"/>
    </row>
    <row r="868" spans="1:33" s="1295" customFormat="1">
      <c r="A868" s="1264"/>
      <c r="D868" s="1118"/>
      <c r="E868" s="1264"/>
      <c r="F868" s="1118"/>
      <c r="G868" s="1118"/>
      <c r="H868" s="1118"/>
      <c r="I868" s="1118"/>
      <c r="J868" s="1118"/>
      <c r="K868" s="1118"/>
      <c r="L868" s="1118"/>
      <c r="M868" s="1118"/>
      <c r="N868" s="1118"/>
      <c r="O868" s="1118"/>
      <c r="P868" s="1118"/>
      <c r="Q868" s="1111"/>
      <c r="R868" s="1111"/>
      <c r="S868" s="1111"/>
      <c r="T868" s="1111"/>
      <c r="U868" s="1111"/>
      <c r="V868" s="1111"/>
      <c r="W868" s="1111"/>
      <c r="X868" s="1111"/>
      <c r="Y868" s="1111"/>
      <c r="Z868" s="1111"/>
      <c r="AA868" s="1111"/>
      <c r="AB868" s="1111"/>
      <c r="AC868" s="1111"/>
      <c r="AD868" s="1111"/>
      <c r="AE868" s="1111"/>
      <c r="AF868" s="1111"/>
      <c r="AG868" s="1111"/>
    </row>
    <row r="869" spans="1:33" s="1295" customFormat="1">
      <c r="A869" s="1264"/>
      <c r="D869" s="1118"/>
      <c r="E869" s="1264"/>
      <c r="F869" s="1118"/>
      <c r="G869" s="1118"/>
      <c r="H869" s="1118"/>
      <c r="I869" s="1118"/>
      <c r="J869" s="1118"/>
      <c r="K869" s="1118"/>
      <c r="L869" s="1118"/>
      <c r="M869" s="1118"/>
      <c r="N869" s="1118"/>
      <c r="O869" s="1118"/>
      <c r="P869" s="1118"/>
      <c r="Q869" s="1111"/>
      <c r="R869" s="1111"/>
      <c r="S869" s="1111"/>
      <c r="T869" s="1111"/>
      <c r="U869" s="1111"/>
      <c r="V869" s="1111"/>
      <c r="W869" s="1111"/>
      <c r="X869" s="1111"/>
      <c r="Y869" s="1111"/>
      <c r="Z869" s="1111"/>
      <c r="AA869" s="1111"/>
      <c r="AB869" s="1111"/>
      <c r="AC869" s="1111"/>
      <c r="AD869" s="1111"/>
      <c r="AE869" s="1111"/>
      <c r="AF869" s="1111"/>
      <c r="AG869" s="1111"/>
    </row>
    <row r="870" spans="1:33" s="1295" customFormat="1">
      <c r="A870" s="1264"/>
      <c r="D870" s="1118"/>
      <c r="E870" s="1264"/>
      <c r="F870" s="1118"/>
      <c r="G870" s="1118"/>
      <c r="H870" s="1118"/>
      <c r="I870" s="1118"/>
      <c r="J870" s="1118"/>
      <c r="K870" s="1118"/>
      <c r="L870" s="1118"/>
      <c r="M870" s="1118"/>
      <c r="N870" s="1118"/>
      <c r="O870" s="1118"/>
      <c r="P870" s="1118"/>
      <c r="Q870" s="1111"/>
      <c r="R870" s="1111"/>
      <c r="S870" s="1111"/>
      <c r="T870" s="1111"/>
      <c r="U870" s="1111"/>
      <c r="V870" s="1111"/>
      <c r="W870" s="1111"/>
      <c r="X870" s="1111"/>
      <c r="Y870" s="1111"/>
      <c r="Z870" s="1111"/>
      <c r="AA870" s="1111"/>
      <c r="AB870" s="1111"/>
      <c r="AC870" s="1111"/>
      <c r="AD870" s="1111"/>
      <c r="AE870" s="1111"/>
      <c r="AF870" s="1111"/>
      <c r="AG870" s="1111"/>
    </row>
    <row r="871" spans="1:33" s="1295" customFormat="1">
      <c r="A871" s="1264"/>
      <c r="D871" s="1118"/>
      <c r="E871" s="1264"/>
      <c r="F871" s="1118"/>
      <c r="G871" s="1118"/>
      <c r="H871" s="1118"/>
      <c r="I871" s="1118"/>
      <c r="J871" s="1118"/>
      <c r="K871" s="1118"/>
      <c r="L871" s="1118"/>
      <c r="M871" s="1118"/>
      <c r="N871" s="1118"/>
      <c r="O871" s="1118"/>
      <c r="P871" s="1118"/>
      <c r="Q871" s="1111"/>
      <c r="R871" s="1111"/>
      <c r="S871" s="1111"/>
      <c r="T871" s="1111"/>
      <c r="U871" s="1111"/>
      <c r="V871" s="1111"/>
      <c r="W871" s="1111"/>
      <c r="X871" s="1111"/>
      <c r="Y871" s="1111"/>
      <c r="Z871" s="1111"/>
      <c r="AA871" s="1111"/>
      <c r="AB871" s="1111"/>
      <c r="AC871" s="1111"/>
      <c r="AD871" s="1111"/>
      <c r="AE871" s="1111"/>
      <c r="AF871" s="1111"/>
      <c r="AG871" s="1111"/>
    </row>
    <row r="872" spans="1:33" s="1295" customFormat="1">
      <c r="A872" s="1264"/>
      <c r="D872" s="1118"/>
      <c r="E872" s="1264"/>
      <c r="F872" s="1118"/>
      <c r="G872" s="1118"/>
      <c r="H872" s="1118"/>
      <c r="I872" s="1118"/>
      <c r="J872" s="1118"/>
      <c r="K872" s="1118"/>
      <c r="L872" s="1118"/>
      <c r="M872" s="1118"/>
      <c r="N872" s="1118"/>
      <c r="O872" s="1118"/>
      <c r="P872" s="1118"/>
      <c r="Q872" s="1111"/>
      <c r="R872" s="1111"/>
      <c r="S872" s="1111"/>
      <c r="T872" s="1111"/>
      <c r="U872" s="1111"/>
      <c r="V872" s="1111"/>
      <c r="W872" s="1111"/>
      <c r="X872" s="1111"/>
      <c r="Y872" s="1111"/>
      <c r="Z872" s="1111"/>
      <c r="AA872" s="1111"/>
      <c r="AB872" s="1111"/>
      <c r="AC872" s="1111"/>
      <c r="AD872" s="1111"/>
      <c r="AE872" s="1111"/>
      <c r="AF872" s="1111"/>
      <c r="AG872" s="1111"/>
    </row>
    <row r="873" spans="1:33" s="1295" customFormat="1">
      <c r="A873" s="1264"/>
      <c r="D873" s="1118"/>
      <c r="E873" s="1264"/>
      <c r="F873" s="1118"/>
      <c r="G873" s="1118"/>
      <c r="H873" s="1118"/>
      <c r="I873" s="1118"/>
      <c r="J873" s="1118"/>
      <c r="K873" s="1118"/>
      <c r="L873" s="1118"/>
      <c r="M873" s="1118"/>
      <c r="N873" s="1118"/>
      <c r="O873" s="1118"/>
      <c r="P873" s="1118"/>
      <c r="Q873" s="1111"/>
      <c r="R873" s="1111"/>
      <c r="S873" s="1111"/>
      <c r="T873" s="1111"/>
      <c r="U873" s="1111"/>
      <c r="V873" s="1111"/>
      <c r="W873" s="1111"/>
      <c r="X873" s="1111"/>
      <c r="Y873" s="1111"/>
      <c r="Z873" s="1111"/>
      <c r="AA873" s="1111"/>
      <c r="AB873" s="1111"/>
      <c r="AC873" s="1111"/>
      <c r="AD873" s="1111"/>
      <c r="AE873" s="1111"/>
      <c r="AF873" s="1111"/>
      <c r="AG873" s="1111"/>
    </row>
    <row r="874" spans="1:33" s="1295" customFormat="1">
      <c r="A874" s="1264"/>
      <c r="D874" s="1118"/>
      <c r="E874" s="1264"/>
      <c r="F874" s="1118"/>
      <c r="G874" s="1118"/>
      <c r="H874" s="1118"/>
      <c r="I874" s="1118"/>
      <c r="J874" s="1118"/>
      <c r="K874" s="1118"/>
      <c r="L874" s="1118"/>
      <c r="M874" s="1118"/>
      <c r="N874" s="1118"/>
      <c r="O874" s="1118"/>
      <c r="P874" s="1118"/>
      <c r="Q874" s="1111"/>
      <c r="R874" s="1111"/>
      <c r="S874" s="1111"/>
      <c r="T874" s="1111"/>
      <c r="U874" s="1111"/>
      <c r="V874" s="1111"/>
      <c r="W874" s="1111"/>
      <c r="X874" s="1111"/>
      <c r="Y874" s="1111"/>
      <c r="Z874" s="1111"/>
      <c r="AA874" s="1111"/>
      <c r="AB874" s="1111"/>
      <c r="AC874" s="1111"/>
      <c r="AD874" s="1111"/>
      <c r="AE874" s="1111"/>
      <c r="AF874" s="1111"/>
      <c r="AG874" s="1111"/>
    </row>
    <row r="875" spans="1:33" s="1295" customFormat="1">
      <c r="A875" s="1264"/>
      <c r="D875" s="1118"/>
      <c r="E875" s="1264"/>
      <c r="F875" s="1118"/>
      <c r="G875" s="1118"/>
      <c r="H875" s="1118"/>
      <c r="I875" s="1118"/>
      <c r="J875" s="1118"/>
      <c r="K875" s="1118"/>
      <c r="L875" s="1118"/>
      <c r="M875" s="1118"/>
      <c r="N875" s="1118"/>
      <c r="O875" s="1118"/>
      <c r="P875" s="1118"/>
      <c r="Q875" s="1111"/>
      <c r="R875" s="1111"/>
      <c r="S875" s="1111"/>
      <c r="T875" s="1111"/>
      <c r="U875" s="1111"/>
      <c r="V875" s="1111"/>
      <c r="W875" s="1111"/>
      <c r="X875" s="1111"/>
      <c r="Y875" s="1111"/>
      <c r="Z875" s="1111"/>
      <c r="AA875" s="1111"/>
      <c r="AB875" s="1111"/>
      <c r="AC875" s="1111"/>
      <c r="AD875" s="1111"/>
      <c r="AE875" s="1111"/>
      <c r="AF875" s="1111"/>
      <c r="AG875" s="1111"/>
    </row>
    <row r="876" spans="1:33" s="1295" customFormat="1">
      <c r="A876" s="1264"/>
      <c r="D876" s="1118"/>
      <c r="E876" s="1264"/>
      <c r="F876" s="1118"/>
      <c r="G876" s="1118"/>
      <c r="H876" s="1118"/>
      <c r="I876" s="1118"/>
      <c r="J876" s="1118"/>
      <c r="K876" s="1118"/>
      <c r="L876" s="1118"/>
      <c r="M876" s="1118"/>
      <c r="N876" s="1118"/>
      <c r="O876" s="1118"/>
      <c r="P876" s="1118"/>
      <c r="Q876" s="1111"/>
      <c r="R876" s="1111"/>
      <c r="S876" s="1111"/>
      <c r="T876" s="1111"/>
      <c r="U876" s="1111"/>
      <c r="V876" s="1111"/>
      <c r="W876" s="1111"/>
      <c r="X876" s="1111"/>
      <c r="Y876" s="1111"/>
      <c r="Z876" s="1111"/>
      <c r="AA876" s="1111"/>
      <c r="AB876" s="1111"/>
      <c r="AC876" s="1111"/>
      <c r="AD876" s="1111"/>
      <c r="AE876" s="1111"/>
      <c r="AF876" s="1111"/>
      <c r="AG876" s="1111"/>
    </row>
    <row r="877" spans="1:33" s="1295" customFormat="1">
      <c r="A877" s="1264"/>
      <c r="D877" s="1118"/>
      <c r="E877" s="1264"/>
      <c r="F877" s="1118"/>
      <c r="G877" s="1118"/>
      <c r="H877" s="1118"/>
      <c r="I877" s="1118"/>
      <c r="J877" s="1118"/>
      <c r="K877" s="1118"/>
      <c r="L877" s="1118"/>
      <c r="M877" s="1118"/>
      <c r="N877" s="1118"/>
      <c r="O877" s="1118"/>
      <c r="P877" s="1118"/>
      <c r="Q877" s="1111"/>
      <c r="R877" s="1111"/>
      <c r="S877" s="1111"/>
      <c r="T877" s="1111"/>
      <c r="U877" s="1111"/>
      <c r="V877" s="1111"/>
      <c r="W877" s="1111"/>
      <c r="X877" s="1111"/>
      <c r="Y877" s="1111"/>
      <c r="Z877" s="1111"/>
      <c r="AA877" s="1111"/>
      <c r="AB877" s="1111"/>
      <c r="AC877" s="1111"/>
      <c r="AD877" s="1111"/>
      <c r="AE877" s="1111"/>
      <c r="AF877" s="1111"/>
      <c r="AG877" s="1111"/>
    </row>
    <row r="878" spans="1:33" s="1295" customFormat="1">
      <c r="A878" s="1264"/>
      <c r="D878" s="1118"/>
      <c r="E878" s="1264"/>
      <c r="F878" s="1118"/>
      <c r="G878" s="1118"/>
      <c r="H878" s="1118"/>
      <c r="I878" s="1118"/>
      <c r="J878" s="1118"/>
      <c r="K878" s="1118"/>
      <c r="L878" s="1118"/>
      <c r="M878" s="1118"/>
      <c r="N878" s="1118"/>
      <c r="O878" s="1118"/>
      <c r="P878" s="1118"/>
      <c r="Q878" s="1111"/>
      <c r="R878" s="1111"/>
      <c r="S878" s="1111"/>
      <c r="T878" s="1111"/>
      <c r="U878" s="1111"/>
      <c r="V878" s="1111"/>
      <c r="W878" s="1111"/>
      <c r="X878" s="1111"/>
      <c r="Y878" s="1111"/>
      <c r="Z878" s="1111"/>
      <c r="AA878" s="1111"/>
      <c r="AB878" s="1111"/>
      <c r="AC878" s="1111"/>
      <c r="AD878" s="1111"/>
      <c r="AE878" s="1111"/>
      <c r="AF878" s="1111"/>
      <c r="AG878" s="1111"/>
    </row>
    <row r="879" spans="1:33" s="1295" customFormat="1">
      <c r="A879" s="1264"/>
      <c r="D879" s="1118"/>
      <c r="E879" s="1264"/>
      <c r="F879" s="1118"/>
      <c r="G879" s="1118"/>
      <c r="H879" s="1118"/>
      <c r="I879" s="1118"/>
      <c r="J879" s="1118"/>
      <c r="K879" s="1118"/>
      <c r="L879" s="1118"/>
      <c r="M879" s="1118"/>
      <c r="N879" s="1118"/>
      <c r="O879" s="1118"/>
      <c r="P879" s="1118"/>
      <c r="Q879" s="1111"/>
      <c r="R879" s="1111"/>
      <c r="S879" s="1111"/>
      <c r="T879" s="1111"/>
      <c r="U879" s="1111"/>
      <c r="V879" s="1111"/>
      <c r="W879" s="1111"/>
      <c r="X879" s="1111"/>
      <c r="Y879" s="1111"/>
      <c r="Z879" s="1111"/>
      <c r="AA879" s="1111"/>
      <c r="AB879" s="1111"/>
      <c r="AC879" s="1111"/>
      <c r="AD879" s="1111"/>
      <c r="AE879" s="1111"/>
      <c r="AF879" s="1111"/>
      <c r="AG879" s="1111"/>
    </row>
    <row r="880" spans="1:33" s="1295" customFormat="1">
      <c r="A880" s="1264"/>
      <c r="D880" s="1118"/>
      <c r="E880" s="1264"/>
      <c r="F880" s="1118"/>
      <c r="G880" s="1118"/>
      <c r="H880" s="1118"/>
      <c r="I880" s="1118"/>
      <c r="J880" s="1118"/>
      <c r="K880" s="1118"/>
      <c r="L880" s="1118"/>
      <c r="M880" s="1118"/>
      <c r="N880" s="1118"/>
      <c r="O880" s="1118"/>
      <c r="P880" s="1118"/>
      <c r="Q880" s="1111"/>
      <c r="R880" s="1111"/>
      <c r="S880" s="1111"/>
      <c r="T880" s="1111"/>
      <c r="U880" s="1111"/>
      <c r="V880" s="1111"/>
      <c r="W880" s="1111"/>
      <c r="X880" s="1111"/>
      <c r="Y880" s="1111"/>
      <c r="Z880" s="1111"/>
      <c r="AA880" s="1111"/>
      <c r="AB880" s="1111"/>
      <c r="AC880" s="1111"/>
      <c r="AD880" s="1111"/>
      <c r="AE880" s="1111"/>
      <c r="AF880" s="1111"/>
      <c r="AG880" s="1111"/>
    </row>
    <row r="881" spans="1:33" s="1295" customFormat="1">
      <c r="A881" s="1264"/>
      <c r="D881" s="1118"/>
      <c r="E881" s="1264"/>
      <c r="F881" s="1118"/>
      <c r="G881" s="1118"/>
      <c r="H881" s="1118"/>
      <c r="I881" s="1118"/>
      <c r="J881" s="1118"/>
      <c r="K881" s="1118"/>
      <c r="L881" s="1118"/>
      <c r="M881" s="1118"/>
      <c r="N881" s="1118"/>
      <c r="O881" s="1118"/>
      <c r="P881" s="1118"/>
      <c r="Q881" s="1111"/>
      <c r="R881" s="1111"/>
      <c r="S881" s="1111"/>
      <c r="T881" s="1111"/>
      <c r="U881" s="1111"/>
      <c r="V881" s="1111"/>
      <c r="W881" s="1111"/>
      <c r="X881" s="1111"/>
      <c r="Y881" s="1111"/>
      <c r="Z881" s="1111"/>
      <c r="AA881" s="1111"/>
      <c r="AB881" s="1111"/>
      <c r="AC881" s="1111"/>
      <c r="AD881" s="1111"/>
      <c r="AE881" s="1111"/>
      <c r="AF881" s="1111"/>
      <c r="AG881" s="1111"/>
    </row>
    <row r="882" spans="1:33" s="1295" customFormat="1">
      <c r="A882" s="1264"/>
      <c r="D882" s="1118"/>
      <c r="E882" s="1264"/>
      <c r="F882" s="1118"/>
      <c r="G882" s="1118"/>
      <c r="H882" s="1118"/>
      <c r="I882" s="1118"/>
      <c r="J882" s="1118"/>
      <c r="K882" s="1118"/>
      <c r="L882" s="1118"/>
      <c r="M882" s="1118"/>
      <c r="N882" s="1118"/>
      <c r="O882" s="1118"/>
      <c r="P882" s="1118"/>
      <c r="Q882" s="1111"/>
      <c r="R882" s="1111"/>
      <c r="S882" s="1111"/>
      <c r="T882" s="1111"/>
      <c r="U882" s="1111"/>
      <c r="V882" s="1111"/>
      <c r="W882" s="1111"/>
      <c r="X882" s="1111"/>
      <c r="Y882" s="1111"/>
      <c r="Z882" s="1111"/>
      <c r="AA882" s="1111"/>
      <c r="AB882" s="1111"/>
      <c r="AC882" s="1111"/>
      <c r="AD882" s="1111"/>
      <c r="AE882" s="1111"/>
      <c r="AF882" s="1111"/>
      <c r="AG882" s="1111"/>
    </row>
    <row r="883" spans="1:33" s="1295" customFormat="1">
      <c r="A883" s="1264"/>
      <c r="D883" s="1118"/>
      <c r="E883" s="1264"/>
      <c r="F883" s="1118"/>
      <c r="G883" s="1118"/>
      <c r="H883" s="1118"/>
      <c r="I883" s="1118"/>
      <c r="J883" s="1118"/>
      <c r="K883" s="1118"/>
      <c r="L883" s="1118"/>
      <c r="M883" s="1118"/>
      <c r="N883" s="1118"/>
      <c r="O883" s="1118"/>
      <c r="P883" s="1118"/>
      <c r="Q883" s="1111"/>
      <c r="R883" s="1111"/>
      <c r="S883" s="1111"/>
      <c r="T883" s="1111"/>
      <c r="U883" s="1111"/>
      <c r="V883" s="1111"/>
      <c r="W883" s="1111"/>
      <c r="X883" s="1111"/>
      <c r="Y883" s="1111"/>
      <c r="Z883" s="1111"/>
      <c r="AA883" s="1111"/>
      <c r="AB883" s="1111"/>
      <c r="AC883" s="1111"/>
      <c r="AD883" s="1111"/>
      <c r="AE883" s="1111"/>
      <c r="AF883" s="1111"/>
      <c r="AG883" s="1111"/>
    </row>
    <row r="884" spans="1:33" s="1295" customFormat="1">
      <c r="A884" s="1264"/>
      <c r="D884" s="1118"/>
      <c r="E884" s="1264"/>
      <c r="F884" s="1118"/>
      <c r="G884" s="1118"/>
      <c r="H884" s="1118"/>
      <c r="I884" s="1118"/>
      <c r="J884" s="1118"/>
      <c r="K884" s="1118"/>
      <c r="L884" s="1118"/>
      <c r="M884" s="1118"/>
      <c r="N884" s="1118"/>
      <c r="O884" s="1118"/>
      <c r="P884" s="1118"/>
      <c r="Q884" s="1111"/>
      <c r="R884" s="1111"/>
      <c r="S884" s="1111"/>
      <c r="T884" s="1111"/>
      <c r="U884" s="1111"/>
      <c r="V884" s="1111"/>
      <c r="W884" s="1111"/>
      <c r="X884" s="1111"/>
      <c r="Y884" s="1111"/>
      <c r="Z884" s="1111"/>
      <c r="AA884" s="1111"/>
      <c r="AB884" s="1111"/>
      <c r="AC884" s="1111"/>
      <c r="AD884" s="1111"/>
      <c r="AE884" s="1111"/>
      <c r="AF884" s="1111"/>
      <c r="AG884" s="1111"/>
    </row>
    <row r="885" spans="1:33" s="1295" customFormat="1">
      <c r="A885" s="1264"/>
      <c r="D885" s="1118"/>
      <c r="E885" s="1264"/>
      <c r="F885" s="1118"/>
      <c r="G885" s="1118"/>
      <c r="H885" s="1118"/>
      <c r="I885" s="1118"/>
      <c r="J885" s="1118"/>
      <c r="K885" s="1118"/>
      <c r="L885" s="1118"/>
      <c r="M885" s="1118"/>
      <c r="N885" s="1118"/>
      <c r="O885" s="1118"/>
      <c r="P885" s="1118"/>
      <c r="Q885" s="1111"/>
      <c r="R885" s="1111"/>
      <c r="S885" s="1111"/>
      <c r="T885" s="1111"/>
      <c r="U885" s="1111"/>
      <c r="V885" s="1111"/>
      <c r="W885" s="1111"/>
      <c r="X885" s="1111"/>
      <c r="Y885" s="1111"/>
      <c r="Z885" s="1111"/>
      <c r="AA885" s="1111"/>
      <c r="AB885" s="1111"/>
      <c r="AC885" s="1111"/>
      <c r="AD885" s="1111"/>
      <c r="AE885" s="1111"/>
      <c r="AF885" s="1111"/>
      <c r="AG885" s="1111"/>
    </row>
    <row r="886" spans="1:33" s="1295" customFormat="1">
      <c r="A886" s="1264"/>
      <c r="D886" s="1118"/>
      <c r="E886" s="1264"/>
      <c r="F886" s="1118"/>
      <c r="G886" s="1118"/>
      <c r="H886" s="1118"/>
      <c r="I886" s="1118"/>
      <c r="J886" s="1118"/>
      <c r="K886" s="1118"/>
      <c r="L886" s="1118"/>
      <c r="M886" s="1118"/>
      <c r="N886" s="1118"/>
      <c r="O886" s="1118"/>
      <c r="P886" s="1118"/>
      <c r="Q886" s="1111"/>
      <c r="R886" s="1111"/>
      <c r="S886" s="1111"/>
      <c r="T886" s="1111"/>
      <c r="U886" s="1111"/>
      <c r="V886" s="1111"/>
      <c r="W886" s="1111"/>
      <c r="X886" s="1111"/>
      <c r="Y886" s="1111"/>
      <c r="Z886" s="1111"/>
      <c r="AA886" s="1111"/>
      <c r="AB886" s="1111"/>
      <c r="AC886" s="1111"/>
      <c r="AD886" s="1111"/>
      <c r="AE886" s="1111"/>
      <c r="AF886" s="1111"/>
      <c r="AG886" s="1111"/>
    </row>
    <row r="887" spans="1:33" s="1295" customFormat="1">
      <c r="A887" s="1264"/>
      <c r="D887" s="1118"/>
      <c r="E887" s="1264"/>
      <c r="F887" s="1118"/>
      <c r="G887" s="1118"/>
      <c r="H887" s="1118"/>
      <c r="I887" s="1118"/>
      <c r="J887" s="1118"/>
      <c r="K887" s="1118"/>
      <c r="L887" s="1118"/>
      <c r="M887" s="1118"/>
      <c r="N887" s="1118"/>
      <c r="O887" s="1118"/>
      <c r="P887" s="1118"/>
      <c r="Q887" s="1111"/>
      <c r="R887" s="1111"/>
      <c r="S887" s="1111"/>
      <c r="T887" s="1111"/>
      <c r="U887" s="1111"/>
      <c r="V887" s="1111"/>
      <c r="W887" s="1111"/>
      <c r="X887" s="1111"/>
      <c r="Y887" s="1111"/>
      <c r="Z887" s="1111"/>
      <c r="AA887" s="1111"/>
      <c r="AB887" s="1111"/>
      <c r="AC887" s="1111"/>
      <c r="AD887" s="1111"/>
      <c r="AE887" s="1111"/>
      <c r="AF887" s="1111"/>
      <c r="AG887" s="1111"/>
    </row>
    <row r="888" spans="1:33" s="1295" customFormat="1">
      <c r="A888" s="1264"/>
      <c r="D888" s="1118"/>
      <c r="E888" s="1264"/>
      <c r="F888" s="1118"/>
      <c r="G888" s="1118"/>
      <c r="H888" s="1118"/>
      <c r="I888" s="1118"/>
      <c r="J888" s="1118"/>
      <c r="K888" s="1118"/>
      <c r="L888" s="1118"/>
      <c r="M888" s="1118"/>
      <c r="N888" s="1118"/>
      <c r="O888" s="1118"/>
      <c r="P888" s="1118"/>
      <c r="Q888" s="1111"/>
      <c r="R888" s="1111"/>
      <c r="S888" s="1111"/>
      <c r="T888" s="1111"/>
      <c r="U888" s="1111"/>
      <c r="V888" s="1111"/>
      <c r="W888" s="1111"/>
      <c r="X888" s="1111"/>
      <c r="Y888" s="1111"/>
      <c r="Z888" s="1111"/>
      <c r="AA888" s="1111"/>
      <c r="AB888" s="1111"/>
      <c r="AC888" s="1111"/>
      <c r="AD888" s="1111"/>
      <c r="AE888" s="1111"/>
      <c r="AF888" s="1111"/>
      <c r="AG888" s="1111"/>
    </row>
    <row r="889" spans="1:33" s="1295" customFormat="1">
      <c r="A889" s="1264"/>
      <c r="D889" s="1118"/>
      <c r="E889" s="1264"/>
      <c r="F889" s="1118"/>
      <c r="G889" s="1118"/>
      <c r="H889" s="1118"/>
      <c r="I889" s="1118"/>
      <c r="J889" s="1118"/>
      <c r="K889" s="1118"/>
      <c r="L889" s="1118"/>
      <c r="M889" s="1118"/>
      <c r="N889" s="1118"/>
      <c r="O889" s="1118"/>
      <c r="P889" s="1118"/>
      <c r="Q889" s="1111"/>
      <c r="R889" s="1111"/>
      <c r="S889" s="1111"/>
      <c r="T889" s="1111"/>
      <c r="U889" s="1111"/>
      <c r="V889" s="1111"/>
      <c r="W889" s="1111"/>
      <c r="X889" s="1111"/>
      <c r="Y889" s="1111"/>
      <c r="Z889" s="1111"/>
      <c r="AA889" s="1111"/>
      <c r="AB889" s="1111"/>
      <c r="AC889" s="1111"/>
      <c r="AD889" s="1111"/>
      <c r="AE889" s="1111"/>
      <c r="AF889" s="1111"/>
      <c r="AG889" s="1111"/>
    </row>
    <row r="890" spans="1:33" s="1295" customFormat="1">
      <c r="A890" s="1264"/>
      <c r="D890" s="1118"/>
      <c r="E890" s="1264"/>
      <c r="F890" s="1118"/>
      <c r="G890" s="1118"/>
      <c r="H890" s="1118"/>
      <c r="I890" s="1118"/>
      <c r="J890" s="1118"/>
      <c r="K890" s="1118"/>
      <c r="L890" s="1118"/>
      <c r="M890" s="1118"/>
      <c r="N890" s="1118"/>
      <c r="O890" s="1118"/>
      <c r="P890" s="1118"/>
      <c r="Q890" s="1111"/>
      <c r="R890" s="1111"/>
      <c r="S890" s="1111"/>
      <c r="T890" s="1111"/>
      <c r="U890" s="1111"/>
      <c r="V890" s="1111"/>
      <c r="W890" s="1111"/>
      <c r="X890" s="1111"/>
      <c r="Y890" s="1111"/>
      <c r="Z890" s="1111"/>
      <c r="AA890" s="1111"/>
      <c r="AB890" s="1111"/>
      <c r="AC890" s="1111"/>
      <c r="AD890" s="1111"/>
      <c r="AE890" s="1111"/>
      <c r="AF890" s="1111"/>
      <c r="AG890" s="1111"/>
    </row>
    <row r="891" spans="1:33" s="1295" customFormat="1">
      <c r="A891" s="1264"/>
      <c r="D891" s="1118"/>
      <c r="E891" s="1264"/>
      <c r="F891" s="1118"/>
      <c r="G891" s="1118"/>
      <c r="H891" s="1118"/>
      <c r="I891" s="1118"/>
      <c r="J891" s="1118"/>
      <c r="K891" s="1118"/>
      <c r="L891" s="1118"/>
      <c r="M891" s="1118"/>
      <c r="N891" s="1118"/>
      <c r="O891" s="1118"/>
      <c r="P891" s="1118"/>
      <c r="Q891" s="1111"/>
      <c r="R891" s="1111"/>
      <c r="S891" s="1111"/>
      <c r="T891" s="1111"/>
      <c r="U891" s="1111"/>
      <c r="V891" s="1111"/>
      <c r="W891" s="1111"/>
      <c r="X891" s="1111"/>
      <c r="Y891" s="1111"/>
      <c r="Z891" s="1111"/>
      <c r="AA891" s="1111"/>
      <c r="AB891" s="1111"/>
      <c r="AC891" s="1111"/>
      <c r="AD891" s="1111"/>
      <c r="AE891" s="1111"/>
      <c r="AF891" s="1111"/>
      <c r="AG891" s="1111"/>
    </row>
    <row r="892" spans="1:33" s="1295" customFormat="1">
      <c r="A892" s="1264"/>
      <c r="D892" s="1118"/>
      <c r="E892" s="1264"/>
      <c r="F892" s="1118"/>
      <c r="G892" s="1118"/>
      <c r="H892" s="1118"/>
      <c r="I892" s="1118"/>
      <c r="J892" s="1118"/>
      <c r="K892" s="1118"/>
      <c r="L892" s="1118"/>
      <c r="M892" s="1118"/>
      <c r="N892" s="1118"/>
      <c r="O892" s="1118"/>
      <c r="P892" s="1118"/>
      <c r="Q892" s="1111"/>
      <c r="R892" s="1111"/>
      <c r="S892" s="1111"/>
      <c r="T892" s="1111"/>
      <c r="U892" s="1111"/>
      <c r="V892" s="1111"/>
      <c r="W892" s="1111"/>
      <c r="X892" s="1111"/>
      <c r="Y892" s="1111"/>
      <c r="Z892" s="1111"/>
      <c r="AA892" s="1111"/>
      <c r="AB892" s="1111"/>
      <c r="AC892" s="1111"/>
      <c r="AD892" s="1111"/>
      <c r="AE892" s="1111"/>
      <c r="AF892" s="1111"/>
      <c r="AG892" s="1111"/>
    </row>
    <row r="893" spans="1:33" s="1295" customFormat="1">
      <c r="A893" s="1264"/>
      <c r="D893" s="1118"/>
      <c r="E893" s="1264"/>
      <c r="F893" s="1118"/>
      <c r="G893" s="1118"/>
      <c r="H893" s="1118"/>
      <c r="I893" s="1118"/>
      <c r="J893" s="1118"/>
      <c r="K893" s="1118"/>
      <c r="L893" s="1118"/>
      <c r="M893" s="1118"/>
      <c r="N893" s="1118"/>
      <c r="O893" s="1118"/>
      <c r="P893" s="1118"/>
      <c r="Q893" s="1111"/>
      <c r="R893" s="1111"/>
      <c r="S893" s="1111"/>
      <c r="T893" s="1111"/>
      <c r="U893" s="1111"/>
      <c r="V893" s="1111"/>
      <c r="W893" s="1111"/>
      <c r="X893" s="1111"/>
      <c r="Y893" s="1111"/>
      <c r="Z893" s="1111"/>
      <c r="AA893" s="1111"/>
      <c r="AB893" s="1111"/>
      <c r="AC893" s="1111"/>
      <c r="AD893" s="1111"/>
      <c r="AE893" s="1111"/>
      <c r="AF893" s="1111"/>
      <c r="AG893" s="1111"/>
    </row>
    <row r="894" spans="1:33" s="1295" customFormat="1">
      <c r="A894" s="1264"/>
      <c r="D894" s="1118"/>
      <c r="E894" s="1264"/>
      <c r="F894" s="1118"/>
      <c r="G894" s="1118"/>
      <c r="H894" s="1118"/>
      <c r="I894" s="1118"/>
      <c r="J894" s="1118"/>
      <c r="K894" s="1118"/>
      <c r="L894" s="1118"/>
      <c r="M894" s="1118"/>
      <c r="N894" s="1118"/>
      <c r="O894" s="1118"/>
      <c r="P894" s="1118"/>
      <c r="Q894" s="1111"/>
      <c r="R894" s="1111"/>
      <c r="S894" s="1111"/>
      <c r="T894" s="1111"/>
      <c r="U894" s="1111"/>
      <c r="V894" s="1111"/>
      <c r="W894" s="1111"/>
      <c r="X894" s="1111"/>
      <c r="Y894" s="1111"/>
      <c r="Z894" s="1111"/>
      <c r="AA894" s="1111"/>
      <c r="AB894" s="1111"/>
      <c r="AC894" s="1111"/>
      <c r="AD894" s="1111"/>
      <c r="AE894" s="1111"/>
      <c r="AF894" s="1111"/>
      <c r="AG894" s="1111"/>
    </row>
    <row r="895" spans="1:33" s="1295" customFormat="1">
      <c r="A895" s="1264"/>
      <c r="D895" s="1118"/>
      <c r="E895" s="1264"/>
      <c r="F895" s="1118"/>
      <c r="G895" s="1118"/>
      <c r="H895" s="1118"/>
      <c r="I895" s="1118"/>
      <c r="J895" s="1118"/>
      <c r="K895" s="1118"/>
      <c r="L895" s="1118"/>
      <c r="M895" s="1118"/>
      <c r="N895" s="1118"/>
      <c r="O895" s="1118"/>
      <c r="P895" s="1118"/>
      <c r="Q895" s="1111"/>
      <c r="R895" s="1111"/>
      <c r="S895" s="1111"/>
      <c r="T895" s="1111"/>
      <c r="U895" s="1111"/>
      <c r="V895" s="1111"/>
      <c r="W895" s="1111"/>
      <c r="X895" s="1111"/>
      <c r="Y895" s="1111"/>
      <c r="Z895" s="1111"/>
      <c r="AA895" s="1111"/>
      <c r="AB895" s="1111"/>
      <c r="AC895" s="1111"/>
      <c r="AD895" s="1111"/>
      <c r="AE895" s="1111"/>
      <c r="AF895" s="1111"/>
      <c r="AG895" s="1111"/>
    </row>
    <row r="896" spans="1:33" s="1295" customFormat="1">
      <c r="A896" s="1264"/>
      <c r="D896" s="1118"/>
      <c r="E896" s="1264"/>
      <c r="F896" s="1118"/>
      <c r="G896" s="1118"/>
      <c r="H896" s="1118"/>
      <c r="I896" s="1118"/>
      <c r="J896" s="1118"/>
      <c r="K896" s="1118"/>
      <c r="L896" s="1118"/>
      <c r="M896" s="1118"/>
      <c r="N896" s="1118"/>
      <c r="O896" s="1118"/>
      <c r="P896" s="1118"/>
      <c r="Q896" s="1111"/>
      <c r="R896" s="1111"/>
      <c r="S896" s="1111"/>
      <c r="T896" s="1111"/>
      <c r="U896" s="1111"/>
      <c r="V896" s="1111"/>
      <c r="W896" s="1111"/>
      <c r="X896" s="1111"/>
      <c r="Y896" s="1111"/>
      <c r="Z896" s="1111"/>
      <c r="AA896" s="1111"/>
      <c r="AB896" s="1111"/>
      <c r="AC896" s="1111"/>
      <c r="AD896" s="1111"/>
      <c r="AE896" s="1111"/>
      <c r="AF896" s="1111"/>
      <c r="AG896" s="1111"/>
    </row>
    <row r="897" spans="1:33" s="1295" customFormat="1">
      <c r="A897" s="1264"/>
      <c r="D897" s="1118"/>
      <c r="E897" s="1264"/>
      <c r="F897" s="1118"/>
      <c r="G897" s="1118"/>
      <c r="H897" s="1118"/>
      <c r="I897" s="1118"/>
      <c r="J897" s="1118"/>
      <c r="K897" s="1118"/>
      <c r="L897" s="1118"/>
      <c r="M897" s="1118"/>
      <c r="N897" s="1118"/>
      <c r="O897" s="1118"/>
      <c r="P897" s="1118"/>
      <c r="Q897" s="1111"/>
      <c r="R897" s="1111"/>
      <c r="S897" s="1111"/>
      <c r="T897" s="1111"/>
      <c r="U897" s="1111"/>
      <c r="V897" s="1111"/>
      <c r="W897" s="1111"/>
      <c r="X897" s="1111"/>
      <c r="Y897" s="1111"/>
      <c r="Z897" s="1111"/>
      <c r="AA897" s="1111"/>
      <c r="AB897" s="1111"/>
      <c r="AC897" s="1111"/>
      <c r="AD897" s="1111"/>
      <c r="AE897" s="1111"/>
      <c r="AF897" s="1111"/>
      <c r="AG897" s="1111"/>
    </row>
    <row r="898" spans="1:33" s="1295" customFormat="1">
      <c r="A898" s="1264"/>
      <c r="D898" s="1118"/>
      <c r="E898" s="1264"/>
      <c r="F898" s="1118"/>
      <c r="G898" s="1118"/>
      <c r="H898" s="1118"/>
      <c r="I898" s="1118"/>
      <c r="J898" s="1118"/>
      <c r="K898" s="1118"/>
      <c r="L898" s="1118"/>
      <c r="M898" s="1118"/>
      <c r="N898" s="1118"/>
      <c r="O898" s="1118"/>
      <c r="P898" s="1118"/>
      <c r="Q898" s="1111"/>
      <c r="R898" s="1111"/>
      <c r="S898" s="1111"/>
      <c r="T898" s="1111"/>
      <c r="U898" s="1111"/>
      <c r="V898" s="1111"/>
      <c r="W898" s="1111"/>
      <c r="X898" s="1111"/>
      <c r="Y898" s="1111"/>
      <c r="Z898" s="1111"/>
      <c r="AA898" s="1111"/>
      <c r="AB898" s="1111"/>
      <c r="AC898" s="1111"/>
      <c r="AD898" s="1111"/>
      <c r="AE898" s="1111"/>
      <c r="AF898" s="1111"/>
      <c r="AG898" s="1111"/>
    </row>
    <row r="899" spans="1:33" s="1295" customFormat="1">
      <c r="A899" s="1264"/>
      <c r="D899" s="1118"/>
      <c r="E899" s="1264"/>
      <c r="F899" s="1118"/>
      <c r="G899" s="1118"/>
      <c r="H899" s="1118"/>
      <c r="I899" s="1118"/>
      <c r="J899" s="1118"/>
      <c r="K899" s="1118"/>
      <c r="L899" s="1118"/>
      <c r="M899" s="1118"/>
      <c r="N899" s="1118"/>
      <c r="O899" s="1118"/>
      <c r="P899" s="1118"/>
      <c r="Q899" s="1111"/>
      <c r="R899" s="1111"/>
      <c r="S899" s="1111"/>
      <c r="T899" s="1111"/>
      <c r="U899" s="1111"/>
      <c r="V899" s="1111"/>
      <c r="W899" s="1111"/>
      <c r="X899" s="1111"/>
      <c r="Y899" s="1111"/>
      <c r="Z899" s="1111"/>
      <c r="AA899" s="1111"/>
      <c r="AB899" s="1111"/>
      <c r="AC899" s="1111"/>
      <c r="AD899" s="1111"/>
      <c r="AE899" s="1111"/>
      <c r="AF899" s="1111"/>
      <c r="AG899" s="1111"/>
    </row>
    <row r="900" spans="1:33" s="1295" customFormat="1">
      <c r="A900" s="1264"/>
      <c r="D900" s="1118"/>
      <c r="E900" s="1264"/>
      <c r="F900" s="1118"/>
      <c r="G900" s="1118"/>
      <c r="H900" s="1118"/>
      <c r="I900" s="1118"/>
      <c r="J900" s="1118"/>
      <c r="K900" s="1118"/>
      <c r="L900" s="1118"/>
      <c r="M900" s="1118"/>
      <c r="N900" s="1118"/>
      <c r="O900" s="1118"/>
      <c r="P900" s="1118"/>
      <c r="Q900" s="1111"/>
      <c r="R900" s="1111"/>
      <c r="S900" s="1111"/>
      <c r="T900" s="1111"/>
      <c r="U900" s="1111"/>
      <c r="V900" s="1111"/>
      <c r="W900" s="1111"/>
      <c r="X900" s="1111"/>
      <c r="Y900" s="1111"/>
      <c r="Z900" s="1111"/>
      <c r="AA900" s="1111"/>
      <c r="AB900" s="1111"/>
      <c r="AC900" s="1111"/>
      <c r="AD900" s="1111"/>
      <c r="AE900" s="1111"/>
      <c r="AF900" s="1111"/>
      <c r="AG900" s="1111"/>
    </row>
    <row r="901" spans="1:33" s="1295" customFormat="1">
      <c r="A901" s="1264"/>
      <c r="D901" s="1118"/>
      <c r="E901" s="1264"/>
      <c r="F901" s="1118"/>
      <c r="G901" s="1118"/>
      <c r="H901" s="1118"/>
      <c r="I901" s="1118"/>
      <c r="J901" s="1118"/>
      <c r="K901" s="1118"/>
      <c r="L901" s="1118"/>
      <c r="M901" s="1118"/>
      <c r="N901" s="1118"/>
      <c r="O901" s="1118"/>
      <c r="P901" s="1118"/>
      <c r="Q901" s="1111"/>
      <c r="R901" s="1111"/>
      <c r="S901" s="1111"/>
      <c r="T901" s="1111"/>
      <c r="U901" s="1111"/>
      <c r="V901" s="1111"/>
      <c r="W901" s="1111"/>
      <c r="X901" s="1111"/>
      <c r="Y901" s="1111"/>
      <c r="Z901" s="1111"/>
      <c r="AA901" s="1111"/>
      <c r="AB901" s="1111"/>
      <c r="AC901" s="1111"/>
      <c r="AD901" s="1111"/>
      <c r="AE901" s="1111"/>
      <c r="AF901" s="1111"/>
      <c r="AG901" s="1111"/>
    </row>
    <row r="902" spans="1:33" s="1295" customFormat="1">
      <c r="A902" s="1264"/>
      <c r="D902" s="1118"/>
      <c r="E902" s="1264"/>
      <c r="F902" s="1118"/>
      <c r="G902" s="1118"/>
      <c r="H902" s="1118"/>
      <c r="I902" s="1118"/>
      <c r="J902" s="1118"/>
      <c r="K902" s="1118"/>
      <c r="L902" s="1118"/>
      <c r="M902" s="1118"/>
      <c r="N902" s="1118"/>
      <c r="O902" s="1118"/>
      <c r="P902" s="1118"/>
      <c r="Q902" s="1111"/>
      <c r="R902" s="1111"/>
      <c r="S902" s="1111"/>
      <c r="T902" s="1111"/>
      <c r="U902" s="1111"/>
      <c r="V902" s="1111"/>
      <c r="W902" s="1111"/>
      <c r="X902" s="1111"/>
      <c r="Y902" s="1111"/>
      <c r="Z902" s="1111"/>
      <c r="AA902" s="1111"/>
      <c r="AB902" s="1111"/>
      <c r="AC902" s="1111"/>
      <c r="AD902" s="1111"/>
      <c r="AE902" s="1111"/>
      <c r="AF902" s="1111"/>
      <c r="AG902" s="1111"/>
    </row>
    <row r="903" spans="1:33" s="1295" customFormat="1">
      <c r="A903" s="1264"/>
      <c r="D903" s="1118"/>
      <c r="E903" s="1264"/>
      <c r="F903" s="1118"/>
      <c r="G903" s="1118"/>
      <c r="H903" s="1118"/>
      <c r="I903" s="1118"/>
      <c r="J903" s="1118"/>
      <c r="K903" s="1118"/>
      <c r="L903" s="1118"/>
      <c r="M903" s="1118"/>
      <c r="N903" s="1118"/>
      <c r="O903" s="1118"/>
      <c r="P903" s="1118"/>
      <c r="Q903" s="1111"/>
      <c r="R903" s="1111"/>
      <c r="S903" s="1111"/>
      <c r="T903" s="1111"/>
      <c r="U903" s="1111"/>
      <c r="V903" s="1111"/>
      <c r="W903" s="1111"/>
      <c r="X903" s="1111"/>
      <c r="Y903" s="1111"/>
      <c r="Z903" s="1111"/>
      <c r="AA903" s="1111"/>
      <c r="AB903" s="1111"/>
      <c r="AC903" s="1111"/>
      <c r="AD903" s="1111"/>
      <c r="AE903" s="1111"/>
      <c r="AF903" s="1111"/>
      <c r="AG903" s="1111"/>
    </row>
    <row r="904" spans="1:33" s="1295" customFormat="1">
      <c r="A904" s="1264"/>
      <c r="D904" s="1118"/>
      <c r="E904" s="1264"/>
      <c r="F904" s="1118"/>
      <c r="G904" s="1118"/>
      <c r="H904" s="1118"/>
      <c r="I904" s="1118"/>
      <c r="J904" s="1118"/>
      <c r="K904" s="1118"/>
      <c r="L904" s="1118"/>
      <c r="M904" s="1118"/>
      <c r="N904" s="1118"/>
      <c r="O904" s="1118"/>
      <c r="P904" s="1118"/>
      <c r="Q904" s="1111"/>
      <c r="R904" s="1111"/>
      <c r="S904" s="1111"/>
      <c r="T904" s="1111"/>
      <c r="U904" s="1111"/>
      <c r="V904" s="1111"/>
      <c r="W904" s="1111"/>
      <c r="X904" s="1111"/>
      <c r="Y904" s="1111"/>
      <c r="Z904" s="1111"/>
      <c r="AA904" s="1111"/>
      <c r="AB904" s="1111"/>
      <c r="AC904" s="1111"/>
      <c r="AD904" s="1111"/>
      <c r="AE904" s="1111"/>
      <c r="AF904" s="1111"/>
      <c r="AG904" s="1111"/>
    </row>
    <row r="905" spans="1:33" s="1295" customFormat="1">
      <c r="A905" s="1264"/>
      <c r="D905" s="1118"/>
      <c r="E905" s="1264"/>
      <c r="F905" s="1118"/>
      <c r="G905" s="1118"/>
      <c r="H905" s="1118"/>
      <c r="I905" s="1118"/>
      <c r="J905" s="1118"/>
      <c r="K905" s="1118"/>
      <c r="L905" s="1118"/>
      <c r="M905" s="1118"/>
      <c r="N905" s="1118"/>
      <c r="O905" s="1118"/>
      <c r="P905" s="1118"/>
      <c r="Q905" s="1111"/>
      <c r="R905" s="1111"/>
      <c r="S905" s="1111"/>
      <c r="T905" s="1111"/>
      <c r="U905" s="1111"/>
      <c r="V905" s="1111"/>
      <c r="W905" s="1111"/>
      <c r="X905" s="1111"/>
      <c r="Y905" s="1111"/>
      <c r="Z905" s="1111"/>
      <c r="AA905" s="1111"/>
      <c r="AB905" s="1111"/>
      <c r="AC905" s="1111"/>
      <c r="AD905" s="1111"/>
      <c r="AE905" s="1111"/>
      <c r="AF905" s="1111"/>
      <c r="AG905" s="1111"/>
    </row>
    <row r="906" spans="1:33" s="1295" customFormat="1">
      <c r="A906" s="1264"/>
      <c r="D906" s="1118"/>
      <c r="E906" s="1264"/>
      <c r="F906" s="1118"/>
      <c r="G906" s="1118"/>
      <c r="H906" s="1118"/>
      <c r="I906" s="1118"/>
      <c r="J906" s="1118"/>
      <c r="K906" s="1118"/>
      <c r="L906" s="1118"/>
      <c r="M906" s="1118"/>
      <c r="N906" s="1118"/>
      <c r="O906" s="1118"/>
      <c r="P906" s="1118"/>
      <c r="Q906" s="1111"/>
      <c r="R906" s="1111"/>
      <c r="S906" s="1111"/>
      <c r="T906" s="1111"/>
      <c r="U906" s="1111"/>
      <c r="V906" s="1111"/>
      <c r="W906" s="1111"/>
      <c r="X906" s="1111"/>
      <c r="Y906" s="1111"/>
      <c r="Z906" s="1111"/>
      <c r="AA906" s="1111"/>
      <c r="AB906" s="1111"/>
      <c r="AC906" s="1111"/>
      <c r="AD906" s="1111"/>
      <c r="AE906" s="1111"/>
      <c r="AF906" s="1111"/>
      <c r="AG906" s="1111"/>
    </row>
    <row r="907" spans="1:33" s="1295" customFormat="1">
      <c r="A907" s="1264"/>
      <c r="D907" s="1118"/>
      <c r="E907" s="1264"/>
      <c r="F907" s="1118"/>
      <c r="G907" s="1118"/>
      <c r="H907" s="1118"/>
      <c r="I907" s="1118"/>
      <c r="J907" s="1118"/>
      <c r="K907" s="1118"/>
      <c r="L907" s="1118"/>
      <c r="M907" s="1118"/>
      <c r="N907" s="1118"/>
      <c r="O907" s="1118"/>
      <c r="P907" s="1118"/>
      <c r="Q907" s="1111"/>
      <c r="R907" s="1111"/>
      <c r="S907" s="1111"/>
      <c r="T907" s="1111"/>
      <c r="U907" s="1111"/>
      <c r="V907" s="1111"/>
      <c r="W907" s="1111"/>
      <c r="X907" s="1111"/>
      <c r="Y907" s="1111"/>
      <c r="Z907" s="1111"/>
      <c r="AA907" s="1111"/>
      <c r="AB907" s="1111"/>
      <c r="AC907" s="1111"/>
      <c r="AD907" s="1111"/>
      <c r="AE907" s="1111"/>
      <c r="AF907" s="1111"/>
      <c r="AG907" s="1111"/>
    </row>
    <row r="908" spans="1:33" s="1295" customFormat="1">
      <c r="A908" s="1264"/>
      <c r="D908" s="1118"/>
      <c r="E908" s="1264"/>
      <c r="F908" s="1118"/>
      <c r="G908" s="1118"/>
      <c r="H908" s="1118"/>
      <c r="I908" s="1118"/>
      <c r="J908" s="1118"/>
      <c r="K908" s="1118"/>
      <c r="L908" s="1118"/>
      <c r="M908" s="1118"/>
      <c r="N908" s="1118"/>
      <c r="O908" s="1118"/>
      <c r="P908" s="1118"/>
      <c r="Q908" s="1111"/>
      <c r="R908" s="1111"/>
      <c r="S908" s="1111"/>
      <c r="T908" s="1111"/>
      <c r="U908" s="1111"/>
      <c r="V908" s="1111"/>
      <c r="W908" s="1111"/>
      <c r="X908" s="1111"/>
      <c r="Y908" s="1111"/>
      <c r="Z908" s="1111"/>
      <c r="AA908" s="1111"/>
      <c r="AB908" s="1111"/>
      <c r="AC908" s="1111"/>
      <c r="AD908" s="1111"/>
      <c r="AE908" s="1111"/>
      <c r="AF908" s="1111"/>
      <c r="AG908" s="1111"/>
    </row>
    <row r="909" spans="1:33" s="1295" customFormat="1">
      <c r="A909" s="1264"/>
      <c r="D909" s="1118"/>
      <c r="E909" s="1264"/>
      <c r="F909" s="1118"/>
      <c r="G909" s="1118"/>
      <c r="H909" s="1118"/>
      <c r="I909" s="1118"/>
      <c r="J909" s="1118"/>
      <c r="K909" s="1118"/>
      <c r="L909" s="1118"/>
      <c r="M909" s="1118"/>
      <c r="N909" s="1118"/>
      <c r="O909" s="1118"/>
      <c r="P909" s="1118"/>
      <c r="Q909" s="1111"/>
      <c r="R909" s="1111"/>
      <c r="S909" s="1111"/>
      <c r="T909" s="1111"/>
      <c r="U909" s="1111"/>
      <c r="V909" s="1111"/>
      <c r="W909" s="1111"/>
      <c r="X909" s="1111"/>
      <c r="Y909" s="1111"/>
      <c r="Z909" s="1111"/>
      <c r="AA909" s="1111"/>
      <c r="AB909" s="1111"/>
      <c r="AC909" s="1111"/>
      <c r="AD909" s="1111"/>
      <c r="AE909" s="1111"/>
      <c r="AF909" s="1111"/>
      <c r="AG909" s="1111"/>
    </row>
    <row r="910" spans="1:33" s="1295" customFormat="1">
      <c r="A910" s="1264"/>
      <c r="D910" s="1118"/>
      <c r="E910" s="1264"/>
      <c r="F910" s="1118"/>
      <c r="G910" s="1118"/>
      <c r="H910" s="1118"/>
      <c r="I910" s="1118"/>
      <c r="J910" s="1118"/>
      <c r="K910" s="1118"/>
      <c r="L910" s="1118"/>
      <c r="M910" s="1118"/>
      <c r="N910" s="1118"/>
      <c r="O910" s="1118"/>
      <c r="P910" s="1118"/>
      <c r="Q910" s="1111"/>
      <c r="R910" s="1111"/>
      <c r="S910" s="1111"/>
      <c r="T910" s="1111"/>
      <c r="U910" s="1111"/>
      <c r="V910" s="1111"/>
      <c r="W910" s="1111"/>
      <c r="X910" s="1111"/>
      <c r="Y910" s="1111"/>
      <c r="Z910" s="1111"/>
      <c r="AA910" s="1111"/>
      <c r="AB910" s="1111"/>
      <c r="AC910" s="1111"/>
      <c r="AD910" s="1111"/>
      <c r="AE910" s="1111"/>
      <c r="AF910" s="1111"/>
      <c r="AG910" s="1111"/>
    </row>
    <row r="911" spans="1:33" s="1295" customFormat="1">
      <c r="A911" s="1264"/>
      <c r="D911" s="1118"/>
      <c r="E911" s="1264"/>
      <c r="F911" s="1118"/>
      <c r="G911" s="1118"/>
      <c r="H911" s="1118"/>
      <c r="I911" s="1118"/>
      <c r="J911" s="1118"/>
      <c r="K911" s="1118"/>
      <c r="L911" s="1118"/>
      <c r="M911" s="1118"/>
      <c r="N911" s="1118"/>
      <c r="O911" s="1118"/>
      <c r="P911" s="1118"/>
      <c r="Q911" s="1111"/>
      <c r="R911" s="1111"/>
      <c r="S911" s="1111"/>
      <c r="T911" s="1111"/>
      <c r="U911" s="1111"/>
      <c r="V911" s="1111"/>
      <c r="W911" s="1111"/>
      <c r="X911" s="1111"/>
      <c r="Y911" s="1111"/>
      <c r="Z911" s="1111"/>
      <c r="AA911" s="1111"/>
      <c r="AB911" s="1111"/>
      <c r="AC911" s="1111"/>
      <c r="AD911" s="1111"/>
      <c r="AE911" s="1111"/>
      <c r="AF911" s="1111"/>
      <c r="AG911" s="1111"/>
    </row>
    <row r="912" spans="1:33" s="1295" customFormat="1">
      <c r="A912" s="1264"/>
      <c r="D912" s="1118"/>
      <c r="E912" s="1264"/>
      <c r="F912" s="1118"/>
      <c r="G912" s="1118"/>
      <c r="H912" s="1118"/>
      <c r="I912" s="1118"/>
      <c r="J912" s="1118"/>
      <c r="K912" s="1118"/>
      <c r="L912" s="1118"/>
      <c r="M912" s="1118"/>
      <c r="N912" s="1118"/>
      <c r="O912" s="1118"/>
      <c r="P912" s="1118"/>
      <c r="Q912" s="1111"/>
      <c r="R912" s="1111"/>
      <c r="S912" s="1111"/>
      <c r="T912" s="1111"/>
      <c r="U912" s="1111"/>
      <c r="V912" s="1111"/>
      <c r="W912" s="1111"/>
      <c r="X912" s="1111"/>
      <c r="Y912" s="1111"/>
      <c r="Z912" s="1111"/>
      <c r="AA912" s="1111"/>
      <c r="AB912" s="1111"/>
      <c r="AC912" s="1111"/>
      <c r="AD912" s="1111"/>
      <c r="AE912" s="1111"/>
      <c r="AF912" s="1111"/>
      <c r="AG912" s="1111"/>
    </row>
    <row r="913" spans="1:33" s="1295" customFormat="1">
      <c r="A913" s="1264"/>
      <c r="D913" s="1118"/>
      <c r="E913" s="1264"/>
      <c r="F913" s="1118"/>
      <c r="G913" s="1118"/>
      <c r="H913" s="1118"/>
      <c r="I913" s="1118"/>
      <c r="J913" s="1118"/>
      <c r="K913" s="1118"/>
      <c r="L913" s="1118"/>
      <c r="M913" s="1118"/>
      <c r="N913" s="1118"/>
      <c r="O913" s="1118"/>
      <c r="P913" s="1118"/>
      <c r="Q913" s="1111"/>
      <c r="R913" s="1111"/>
      <c r="S913" s="1111"/>
      <c r="T913" s="1111"/>
      <c r="U913" s="1111"/>
      <c r="V913" s="1111"/>
      <c r="W913" s="1111"/>
      <c r="X913" s="1111"/>
      <c r="Y913" s="1111"/>
      <c r="Z913" s="1111"/>
      <c r="AA913" s="1111"/>
      <c r="AB913" s="1111"/>
      <c r="AC913" s="1111"/>
      <c r="AD913" s="1111"/>
      <c r="AE913" s="1111"/>
      <c r="AF913" s="1111"/>
      <c r="AG913" s="1111"/>
    </row>
    <row r="914" spans="1:33" s="1295" customFormat="1">
      <c r="A914" s="1264"/>
      <c r="D914" s="1118"/>
      <c r="E914" s="1264"/>
      <c r="F914" s="1118"/>
      <c r="G914" s="1118"/>
      <c r="H914" s="1118"/>
      <c r="I914" s="1118"/>
      <c r="J914" s="1118"/>
      <c r="K914" s="1118"/>
      <c r="L914" s="1118"/>
      <c r="M914" s="1118"/>
      <c r="N914" s="1118"/>
      <c r="O914" s="1118"/>
      <c r="P914" s="1118"/>
      <c r="Q914" s="1111"/>
      <c r="R914" s="1111"/>
      <c r="S914" s="1111"/>
      <c r="T914" s="1111"/>
      <c r="U914" s="1111"/>
      <c r="V914" s="1111"/>
      <c r="W914" s="1111"/>
      <c r="X914" s="1111"/>
      <c r="Y914" s="1111"/>
      <c r="Z914" s="1111"/>
      <c r="AA914" s="1111"/>
      <c r="AB914" s="1111"/>
      <c r="AC914" s="1111"/>
      <c r="AD914" s="1111"/>
      <c r="AE914" s="1111"/>
      <c r="AF914" s="1111"/>
      <c r="AG914" s="1111"/>
    </row>
    <row r="915" spans="1:33" s="1295" customFormat="1">
      <c r="A915" s="1264"/>
      <c r="D915" s="1118"/>
      <c r="E915" s="1264"/>
      <c r="F915" s="1118"/>
      <c r="G915" s="1118"/>
      <c r="H915" s="1118"/>
      <c r="I915" s="1118"/>
      <c r="J915" s="1118"/>
      <c r="K915" s="1118"/>
      <c r="L915" s="1118"/>
      <c r="M915" s="1118"/>
      <c r="N915" s="1118"/>
      <c r="O915" s="1118"/>
      <c r="P915" s="1118"/>
      <c r="Q915" s="1111"/>
      <c r="R915" s="1111"/>
      <c r="S915" s="1111"/>
      <c r="T915" s="1111"/>
      <c r="U915" s="1111"/>
      <c r="V915" s="1111"/>
      <c r="W915" s="1111"/>
      <c r="X915" s="1111"/>
      <c r="Y915" s="1111"/>
      <c r="Z915" s="1111"/>
      <c r="AA915" s="1111"/>
      <c r="AB915" s="1111"/>
      <c r="AC915" s="1111"/>
      <c r="AD915" s="1111"/>
      <c r="AE915" s="1111"/>
      <c r="AF915" s="1111"/>
      <c r="AG915" s="1111"/>
    </row>
    <row r="916" spans="1:33" s="1295" customFormat="1">
      <c r="A916" s="1264"/>
      <c r="D916" s="1118"/>
      <c r="E916" s="1264"/>
      <c r="F916" s="1118"/>
      <c r="G916" s="1118"/>
      <c r="H916" s="1118"/>
      <c r="I916" s="1118"/>
      <c r="J916" s="1118"/>
      <c r="K916" s="1118"/>
      <c r="L916" s="1118"/>
      <c r="M916" s="1118"/>
      <c r="N916" s="1118"/>
      <c r="O916" s="1118"/>
      <c r="P916" s="1118"/>
      <c r="Q916" s="1111"/>
      <c r="R916" s="1111"/>
      <c r="S916" s="1111"/>
      <c r="T916" s="1111"/>
      <c r="U916" s="1111"/>
      <c r="V916" s="1111"/>
      <c r="W916" s="1111"/>
      <c r="X916" s="1111"/>
      <c r="Y916" s="1111"/>
      <c r="Z916" s="1111"/>
      <c r="AA916" s="1111"/>
      <c r="AB916" s="1111"/>
      <c r="AC916" s="1111"/>
      <c r="AD916" s="1111"/>
      <c r="AE916" s="1111"/>
      <c r="AF916" s="1111"/>
      <c r="AG916" s="1111"/>
    </row>
    <row r="917" spans="1:33" s="1295" customFormat="1">
      <c r="A917" s="1264"/>
      <c r="D917" s="1118"/>
      <c r="E917" s="1264"/>
      <c r="F917" s="1118"/>
      <c r="G917" s="1118"/>
      <c r="H917" s="1118"/>
      <c r="I917" s="1118"/>
      <c r="J917" s="1118"/>
      <c r="K917" s="1118"/>
      <c r="L917" s="1118"/>
      <c r="M917" s="1118"/>
      <c r="N917" s="1118"/>
      <c r="O917" s="1118"/>
      <c r="P917" s="1118"/>
      <c r="Q917" s="1111"/>
      <c r="R917" s="1111"/>
      <c r="S917" s="1111"/>
      <c r="T917" s="1111"/>
      <c r="U917" s="1111"/>
      <c r="V917" s="1111"/>
      <c r="W917" s="1111"/>
      <c r="X917" s="1111"/>
      <c r="Y917" s="1111"/>
      <c r="Z917" s="1111"/>
      <c r="AA917" s="1111"/>
      <c r="AB917" s="1111"/>
      <c r="AC917" s="1111"/>
      <c r="AD917" s="1111"/>
      <c r="AE917" s="1111"/>
      <c r="AF917" s="1111"/>
      <c r="AG917" s="1111"/>
    </row>
    <row r="918" spans="1:33" s="1295" customFormat="1">
      <c r="A918" s="1264"/>
      <c r="D918" s="1118"/>
      <c r="E918" s="1264"/>
      <c r="F918" s="1118"/>
      <c r="G918" s="1118"/>
      <c r="H918" s="1118"/>
      <c r="I918" s="1118"/>
      <c r="J918" s="1118"/>
      <c r="K918" s="1118"/>
      <c r="L918" s="1118"/>
      <c r="M918" s="1118"/>
      <c r="N918" s="1118"/>
      <c r="O918" s="1118"/>
      <c r="P918" s="1118"/>
      <c r="Q918" s="1111"/>
      <c r="R918" s="1111"/>
      <c r="S918" s="1111"/>
      <c r="T918" s="1111"/>
      <c r="U918" s="1111"/>
      <c r="V918" s="1111"/>
      <c r="W918" s="1111"/>
      <c r="X918" s="1111"/>
      <c r="Y918" s="1111"/>
      <c r="Z918" s="1111"/>
      <c r="AA918" s="1111"/>
      <c r="AB918" s="1111"/>
      <c r="AC918" s="1111"/>
      <c r="AD918" s="1111"/>
      <c r="AE918" s="1111"/>
      <c r="AF918" s="1111"/>
      <c r="AG918" s="1111"/>
    </row>
    <row r="919" spans="1:33" s="1295" customFormat="1">
      <c r="A919" s="1264"/>
      <c r="D919" s="1118"/>
      <c r="E919" s="1264"/>
      <c r="F919" s="1118"/>
      <c r="G919" s="1118"/>
      <c r="H919" s="1118"/>
      <c r="I919" s="1118"/>
      <c r="J919" s="1118"/>
      <c r="K919" s="1118"/>
      <c r="L919" s="1118"/>
      <c r="M919" s="1118"/>
      <c r="N919" s="1118"/>
      <c r="O919" s="1118"/>
      <c r="P919" s="1118"/>
      <c r="Q919" s="1111"/>
      <c r="R919" s="1111"/>
      <c r="S919" s="1111"/>
      <c r="T919" s="1111"/>
      <c r="U919" s="1111"/>
      <c r="V919" s="1111"/>
      <c r="W919" s="1111"/>
      <c r="X919" s="1111"/>
      <c r="Y919" s="1111"/>
      <c r="Z919" s="1111"/>
      <c r="AA919" s="1111"/>
      <c r="AB919" s="1111"/>
      <c r="AC919" s="1111"/>
      <c r="AD919" s="1111"/>
      <c r="AE919" s="1111"/>
      <c r="AF919" s="1111"/>
      <c r="AG919" s="1111"/>
    </row>
    <row r="920" spans="1:33" s="1295" customFormat="1">
      <c r="A920" s="1264"/>
      <c r="D920" s="1118"/>
      <c r="E920" s="1264"/>
      <c r="F920" s="1118"/>
      <c r="G920" s="1118"/>
      <c r="H920" s="1118"/>
      <c r="I920" s="1118"/>
      <c r="J920" s="1118"/>
      <c r="K920" s="1118"/>
      <c r="L920" s="1118"/>
      <c r="M920" s="1118"/>
      <c r="N920" s="1118"/>
      <c r="O920" s="1118"/>
      <c r="P920" s="1118"/>
      <c r="Q920" s="1111"/>
      <c r="R920" s="1111"/>
      <c r="S920" s="1111"/>
      <c r="T920" s="1111"/>
      <c r="U920" s="1111"/>
      <c r="V920" s="1111"/>
      <c r="W920" s="1111"/>
      <c r="X920" s="1111"/>
      <c r="Y920" s="1111"/>
      <c r="Z920" s="1111"/>
      <c r="AA920" s="1111"/>
      <c r="AB920" s="1111"/>
      <c r="AC920" s="1111"/>
      <c r="AD920" s="1111"/>
      <c r="AE920" s="1111"/>
      <c r="AF920" s="1111"/>
      <c r="AG920" s="1111"/>
    </row>
    <row r="921" spans="1:33" s="1295" customFormat="1">
      <c r="A921" s="1264"/>
      <c r="D921" s="1118"/>
      <c r="E921" s="1264"/>
      <c r="F921" s="1118"/>
      <c r="G921" s="1118"/>
      <c r="H921" s="1118"/>
      <c r="I921" s="1118"/>
      <c r="J921" s="1118"/>
      <c r="K921" s="1118"/>
      <c r="L921" s="1118"/>
      <c r="M921" s="1118"/>
      <c r="N921" s="1118"/>
      <c r="O921" s="1118"/>
      <c r="P921" s="1118"/>
      <c r="Q921" s="1111"/>
      <c r="R921" s="1111"/>
      <c r="S921" s="1111"/>
      <c r="T921" s="1111"/>
      <c r="U921" s="1111"/>
      <c r="V921" s="1111"/>
      <c r="W921" s="1111"/>
      <c r="X921" s="1111"/>
      <c r="Y921" s="1111"/>
      <c r="Z921" s="1111"/>
      <c r="AA921" s="1111"/>
      <c r="AB921" s="1111"/>
      <c r="AC921" s="1111"/>
      <c r="AD921" s="1111"/>
      <c r="AE921" s="1111"/>
      <c r="AF921" s="1111"/>
      <c r="AG921" s="1111"/>
    </row>
    <row r="922" spans="1:33" s="1295" customFormat="1">
      <c r="A922" s="1264"/>
      <c r="D922" s="1118"/>
      <c r="E922" s="1264"/>
      <c r="F922" s="1118"/>
      <c r="G922" s="1118"/>
      <c r="H922" s="1118"/>
      <c r="I922" s="1118"/>
      <c r="J922" s="1118"/>
      <c r="K922" s="1118"/>
      <c r="L922" s="1118"/>
      <c r="M922" s="1118"/>
      <c r="N922" s="1118"/>
      <c r="O922" s="1118"/>
      <c r="P922" s="1118"/>
      <c r="Q922" s="1111"/>
      <c r="R922" s="1111"/>
      <c r="S922" s="1111"/>
      <c r="T922" s="1111"/>
      <c r="U922" s="1111"/>
      <c r="V922" s="1111"/>
      <c r="W922" s="1111"/>
      <c r="X922" s="1111"/>
      <c r="Y922" s="1111"/>
      <c r="Z922" s="1111"/>
      <c r="AA922" s="1111"/>
      <c r="AB922" s="1111"/>
      <c r="AC922" s="1111"/>
      <c r="AD922" s="1111"/>
      <c r="AE922" s="1111"/>
      <c r="AF922" s="1111"/>
      <c r="AG922" s="1111"/>
    </row>
    <row r="923" spans="1:33" s="1295" customFormat="1">
      <c r="A923" s="1264"/>
      <c r="D923" s="1118"/>
      <c r="E923" s="1264"/>
      <c r="F923" s="1118"/>
      <c r="G923" s="1118"/>
      <c r="H923" s="1118"/>
      <c r="I923" s="1118"/>
      <c r="J923" s="1118"/>
      <c r="K923" s="1118"/>
      <c r="L923" s="1118"/>
      <c r="M923" s="1118"/>
      <c r="N923" s="1118"/>
      <c r="O923" s="1118"/>
      <c r="P923" s="1118"/>
      <c r="Q923" s="1111"/>
      <c r="R923" s="1111"/>
      <c r="S923" s="1111"/>
      <c r="T923" s="1111"/>
      <c r="U923" s="1111"/>
      <c r="V923" s="1111"/>
      <c r="W923" s="1111"/>
      <c r="X923" s="1111"/>
      <c r="Y923" s="1111"/>
      <c r="Z923" s="1111"/>
      <c r="AA923" s="1111"/>
      <c r="AB923" s="1111"/>
      <c r="AC923" s="1111"/>
      <c r="AD923" s="1111"/>
      <c r="AE923" s="1111"/>
      <c r="AF923" s="1111"/>
      <c r="AG923" s="1111"/>
    </row>
    <row r="924" spans="1:33" s="1295" customFormat="1">
      <c r="A924" s="1264"/>
      <c r="D924" s="1118"/>
      <c r="E924" s="1264"/>
      <c r="F924" s="1118"/>
      <c r="G924" s="1118"/>
      <c r="H924" s="1118"/>
      <c r="I924" s="1118"/>
      <c r="J924" s="1118"/>
      <c r="K924" s="1118"/>
      <c r="L924" s="1118"/>
      <c r="M924" s="1118"/>
      <c r="N924" s="1118"/>
      <c r="O924" s="1118"/>
      <c r="P924" s="1118"/>
      <c r="Q924" s="1111"/>
      <c r="R924" s="1111"/>
      <c r="S924" s="1111"/>
      <c r="T924" s="1111"/>
      <c r="U924" s="1111"/>
      <c r="V924" s="1111"/>
      <c r="W924" s="1111"/>
      <c r="X924" s="1111"/>
      <c r="Y924" s="1111"/>
      <c r="Z924" s="1111"/>
      <c r="AA924" s="1111"/>
      <c r="AB924" s="1111"/>
      <c r="AC924" s="1111"/>
      <c r="AD924" s="1111"/>
      <c r="AE924" s="1111"/>
      <c r="AF924" s="1111"/>
      <c r="AG924" s="1111"/>
    </row>
    <row r="925" spans="1:33" s="1295" customFormat="1">
      <c r="A925" s="1264"/>
      <c r="D925" s="1118"/>
      <c r="E925" s="1264"/>
      <c r="F925" s="1118"/>
      <c r="G925" s="1118"/>
      <c r="H925" s="1118"/>
      <c r="I925" s="1118"/>
      <c r="J925" s="1118"/>
      <c r="K925" s="1118"/>
      <c r="L925" s="1118"/>
      <c r="M925" s="1118"/>
      <c r="N925" s="1118"/>
      <c r="O925" s="1118"/>
      <c r="P925" s="1118"/>
      <c r="Q925" s="1111"/>
      <c r="R925" s="1111"/>
      <c r="S925" s="1111"/>
      <c r="T925" s="1111"/>
      <c r="U925" s="1111"/>
      <c r="V925" s="1111"/>
      <c r="W925" s="1111"/>
      <c r="X925" s="1111"/>
      <c r="Y925" s="1111"/>
      <c r="Z925" s="1111"/>
      <c r="AA925" s="1111"/>
      <c r="AB925" s="1111"/>
      <c r="AC925" s="1111"/>
      <c r="AD925" s="1111"/>
      <c r="AE925" s="1111"/>
      <c r="AF925" s="1111"/>
      <c r="AG925" s="1111"/>
    </row>
    <row r="926" spans="1:33" s="1295" customFormat="1">
      <c r="A926" s="1264"/>
      <c r="D926" s="1118"/>
      <c r="E926" s="1264"/>
      <c r="F926" s="1118"/>
      <c r="G926" s="1118"/>
      <c r="H926" s="1118"/>
      <c r="I926" s="1118"/>
      <c r="J926" s="1118"/>
      <c r="K926" s="1118"/>
      <c r="L926" s="1118"/>
      <c r="M926" s="1118"/>
      <c r="N926" s="1118"/>
      <c r="O926" s="1118"/>
      <c r="P926" s="1118"/>
      <c r="Q926" s="1111"/>
      <c r="R926" s="1111"/>
      <c r="S926" s="1111"/>
      <c r="T926" s="1111"/>
      <c r="U926" s="1111"/>
      <c r="V926" s="1111"/>
      <c r="W926" s="1111"/>
      <c r="X926" s="1111"/>
      <c r="Y926" s="1111"/>
      <c r="Z926" s="1111"/>
      <c r="AA926" s="1111"/>
      <c r="AB926" s="1111"/>
      <c r="AC926" s="1111"/>
      <c r="AD926" s="1111"/>
      <c r="AE926" s="1111"/>
      <c r="AF926" s="1111"/>
      <c r="AG926" s="1111"/>
    </row>
    <row r="927" spans="1:33" s="1295" customFormat="1">
      <c r="A927" s="1264"/>
      <c r="D927" s="1118"/>
      <c r="E927" s="1264"/>
      <c r="F927" s="1118"/>
      <c r="G927" s="1118"/>
      <c r="H927" s="1118"/>
      <c r="I927" s="1118"/>
      <c r="J927" s="1118"/>
      <c r="K927" s="1118"/>
      <c r="L927" s="1118"/>
      <c r="M927" s="1118"/>
      <c r="N927" s="1118"/>
      <c r="O927" s="1118"/>
      <c r="P927" s="1118"/>
      <c r="Q927" s="1111"/>
      <c r="R927" s="1111"/>
      <c r="S927" s="1111"/>
      <c r="T927" s="1111"/>
      <c r="U927" s="1111"/>
      <c r="V927" s="1111"/>
      <c r="W927" s="1111"/>
      <c r="X927" s="1111"/>
      <c r="Y927" s="1111"/>
      <c r="Z927" s="1111"/>
      <c r="AA927" s="1111"/>
      <c r="AB927" s="1111"/>
      <c r="AC927" s="1111"/>
      <c r="AD927" s="1111"/>
      <c r="AE927" s="1111"/>
      <c r="AF927" s="1111"/>
      <c r="AG927" s="1111"/>
    </row>
    <row r="928" spans="1:33" s="1295" customFormat="1">
      <c r="A928" s="1264"/>
      <c r="D928" s="1118"/>
      <c r="E928" s="1264"/>
      <c r="F928" s="1118"/>
      <c r="G928" s="1118"/>
      <c r="H928" s="1118"/>
      <c r="I928" s="1118"/>
      <c r="J928" s="1118"/>
      <c r="K928" s="1118"/>
      <c r="L928" s="1118"/>
      <c r="M928" s="1118"/>
      <c r="N928" s="1118"/>
      <c r="O928" s="1118"/>
      <c r="P928" s="1118"/>
      <c r="Q928" s="1111"/>
      <c r="R928" s="1111"/>
      <c r="S928" s="1111"/>
      <c r="T928" s="1111"/>
      <c r="U928" s="1111"/>
      <c r="V928" s="1111"/>
      <c r="W928" s="1111"/>
      <c r="X928" s="1111"/>
      <c r="Y928" s="1111"/>
      <c r="Z928" s="1111"/>
      <c r="AA928" s="1111"/>
      <c r="AB928" s="1111"/>
      <c r="AC928" s="1111"/>
      <c r="AD928" s="1111"/>
      <c r="AE928" s="1111"/>
      <c r="AF928" s="1111"/>
      <c r="AG928" s="1111"/>
    </row>
    <row r="929" spans="1:33" s="1295" customFormat="1">
      <c r="A929" s="1264"/>
      <c r="D929" s="1118"/>
      <c r="E929" s="1264"/>
      <c r="F929" s="1118"/>
      <c r="G929" s="1118"/>
      <c r="H929" s="1118"/>
      <c r="I929" s="1118"/>
      <c r="J929" s="1118"/>
      <c r="K929" s="1118"/>
      <c r="L929" s="1118"/>
      <c r="M929" s="1118"/>
      <c r="N929" s="1118"/>
      <c r="O929" s="1118"/>
      <c r="P929" s="1118"/>
      <c r="Q929" s="1111"/>
      <c r="R929" s="1111"/>
      <c r="S929" s="1111"/>
      <c r="T929" s="1111"/>
      <c r="U929" s="1111"/>
      <c r="V929" s="1111"/>
      <c r="W929" s="1111"/>
      <c r="X929" s="1111"/>
      <c r="Y929" s="1111"/>
      <c r="Z929" s="1111"/>
      <c r="AA929" s="1111"/>
      <c r="AB929" s="1111"/>
      <c r="AC929" s="1111"/>
      <c r="AD929" s="1111"/>
      <c r="AE929" s="1111"/>
      <c r="AF929" s="1111"/>
      <c r="AG929" s="1111"/>
    </row>
    <row r="930" spans="1:33" s="1295" customFormat="1">
      <c r="A930" s="1264"/>
      <c r="D930" s="1118"/>
      <c r="E930" s="1264"/>
      <c r="F930" s="1118"/>
      <c r="G930" s="1118"/>
      <c r="H930" s="1118"/>
      <c r="I930" s="1118"/>
      <c r="J930" s="1118"/>
      <c r="K930" s="1118"/>
      <c r="L930" s="1118"/>
      <c r="M930" s="1118"/>
      <c r="N930" s="1118"/>
      <c r="O930" s="1118"/>
      <c r="P930" s="1118"/>
      <c r="Q930" s="1111"/>
      <c r="R930" s="1111"/>
      <c r="S930" s="1111"/>
      <c r="T930" s="1111"/>
      <c r="U930" s="1111"/>
      <c r="V930" s="1111"/>
      <c r="W930" s="1111"/>
      <c r="X930" s="1111"/>
      <c r="Y930" s="1111"/>
      <c r="Z930" s="1111"/>
      <c r="AA930" s="1111"/>
      <c r="AB930" s="1111"/>
      <c r="AC930" s="1111"/>
      <c r="AD930" s="1111"/>
      <c r="AE930" s="1111"/>
      <c r="AF930" s="1111"/>
      <c r="AG930" s="1111"/>
    </row>
    <row r="931" spans="1:33" s="1295" customFormat="1">
      <c r="A931" s="1264"/>
      <c r="D931" s="1118"/>
      <c r="E931" s="1264"/>
      <c r="F931" s="1118"/>
      <c r="G931" s="1118"/>
      <c r="H931" s="1118"/>
      <c r="I931" s="1118"/>
      <c r="J931" s="1118"/>
      <c r="K931" s="1118"/>
      <c r="L931" s="1118"/>
      <c r="M931" s="1118"/>
      <c r="N931" s="1118"/>
      <c r="O931" s="1118"/>
      <c r="P931" s="1118"/>
      <c r="Q931" s="1111"/>
      <c r="R931" s="1111"/>
      <c r="S931" s="1111"/>
      <c r="T931" s="1111"/>
      <c r="U931" s="1111"/>
      <c r="V931" s="1111"/>
      <c r="W931" s="1111"/>
      <c r="X931" s="1111"/>
      <c r="Y931" s="1111"/>
      <c r="Z931" s="1111"/>
      <c r="AA931" s="1111"/>
      <c r="AB931" s="1111"/>
      <c r="AC931" s="1111"/>
      <c r="AD931" s="1111"/>
      <c r="AE931" s="1111"/>
      <c r="AF931" s="1111"/>
      <c r="AG931" s="1111"/>
    </row>
    <row r="932" spans="1:33" s="1295" customFormat="1">
      <c r="A932" s="1264"/>
      <c r="D932" s="1118"/>
      <c r="E932" s="1264"/>
      <c r="F932" s="1118"/>
      <c r="G932" s="1118"/>
      <c r="H932" s="1118"/>
      <c r="I932" s="1118"/>
      <c r="J932" s="1118"/>
      <c r="K932" s="1118"/>
      <c r="L932" s="1118"/>
      <c r="M932" s="1118"/>
      <c r="N932" s="1118"/>
      <c r="O932" s="1118"/>
      <c r="P932" s="1118"/>
      <c r="Q932" s="1111"/>
      <c r="R932" s="1111"/>
      <c r="S932" s="1111"/>
      <c r="T932" s="1111"/>
      <c r="U932" s="1111"/>
      <c r="V932" s="1111"/>
      <c r="W932" s="1111"/>
      <c r="X932" s="1111"/>
      <c r="Y932" s="1111"/>
      <c r="Z932" s="1111"/>
      <c r="AA932" s="1111"/>
      <c r="AB932" s="1111"/>
      <c r="AC932" s="1111"/>
      <c r="AD932" s="1111"/>
      <c r="AE932" s="1111"/>
      <c r="AF932" s="1111"/>
      <c r="AG932" s="1111"/>
    </row>
    <row r="933" spans="1:33" s="1295" customFormat="1">
      <c r="A933" s="1264"/>
      <c r="D933" s="1118"/>
      <c r="E933" s="1264"/>
      <c r="F933" s="1118"/>
      <c r="G933" s="1118"/>
      <c r="H933" s="1118"/>
      <c r="I933" s="1118"/>
      <c r="J933" s="1118"/>
      <c r="K933" s="1118"/>
      <c r="L933" s="1118"/>
      <c r="M933" s="1118"/>
      <c r="N933" s="1118"/>
      <c r="O933" s="1118"/>
      <c r="P933" s="1118"/>
      <c r="Q933" s="1111"/>
      <c r="R933" s="1111"/>
      <c r="S933" s="1111"/>
      <c r="T933" s="1111"/>
      <c r="U933" s="1111"/>
      <c r="V933" s="1111"/>
      <c r="W933" s="1111"/>
      <c r="X933" s="1111"/>
      <c r="Y933" s="1111"/>
      <c r="Z933" s="1111"/>
      <c r="AA933" s="1111"/>
      <c r="AB933" s="1111"/>
      <c r="AC933" s="1111"/>
      <c r="AD933" s="1111"/>
      <c r="AE933" s="1111"/>
      <c r="AF933" s="1111"/>
      <c r="AG933" s="1111"/>
    </row>
    <row r="934" spans="1:33" s="1295" customFormat="1">
      <c r="A934" s="1264"/>
      <c r="D934" s="1118"/>
      <c r="E934" s="1264"/>
      <c r="F934" s="1118"/>
      <c r="G934" s="1118"/>
      <c r="H934" s="1118"/>
      <c r="I934" s="1118"/>
      <c r="J934" s="1118"/>
      <c r="K934" s="1118"/>
      <c r="L934" s="1118"/>
      <c r="M934" s="1118"/>
      <c r="N934" s="1118"/>
      <c r="O934" s="1118"/>
      <c r="P934" s="1118"/>
      <c r="Q934" s="1111"/>
      <c r="R934" s="1111"/>
      <c r="S934" s="1111"/>
      <c r="T934" s="1111"/>
      <c r="U934" s="1111"/>
      <c r="V934" s="1111"/>
      <c r="W934" s="1111"/>
      <c r="X934" s="1111"/>
      <c r="Y934" s="1111"/>
      <c r="Z934" s="1111"/>
      <c r="AA934" s="1111"/>
      <c r="AB934" s="1111"/>
      <c r="AC934" s="1111"/>
      <c r="AD934" s="1111"/>
      <c r="AE934" s="1111"/>
      <c r="AF934" s="1111"/>
      <c r="AG934" s="1111"/>
    </row>
    <row r="935" spans="1:33" s="1295" customFormat="1">
      <c r="A935" s="1264"/>
      <c r="D935" s="1118"/>
      <c r="E935" s="1264"/>
      <c r="F935" s="1118"/>
      <c r="G935" s="1118"/>
      <c r="H935" s="1118"/>
      <c r="I935" s="1118"/>
      <c r="J935" s="1118"/>
      <c r="K935" s="1118"/>
      <c r="L935" s="1118"/>
      <c r="M935" s="1118"/>
      <c r="N935" s="1118"/>
      <c r="O935" s="1118"/>
      <c r="P935" s="1118"/>
      <c r="Q935" s="1111"/>
      <c r="R935" s="1111"/>
      <c r="S935" s="1111"/>
      <c r="T935" s="1111"/>
      <c r="U935" s="1111"/>
      <c r="V935" s="1111"/>
      <c r="W935" s="1111"/>
      <c r="X935" s="1111"/>
      <c r="Y935" s="1111"/>
      <c r="Z935" s="1111"/>
      <c r="AA935" s="1111"/>
      <c r="AB935" s="1111"/>
      <c r="AC935" s="1111"/>
      <c r="AD935" s="1111"/>
      <c r="AE935" s="1111"/>
      <c r="AF935" s="1111"/>
      <c r="AG935" s="1111"/>
    </row>
    <row r="936" spans="1:33" s="1295" customFormat="1">
      <c r="A936" s="1264"/>
      <c r="D936" s="1118"/>
      <c r="E936" s="1264"/>
      <c r="F936" s="1118"/>
      <c r="G936" s="1118"/>
      <c r="H936" s="1118"/>
      <c r="I936" s="1118"/>
      <c r="J936" s="1118"/>
      <c r="K936" s="1118"/>
      <c r="L936" s="1118"/>
      <c r="M936" s="1118"/>
      <c r="N936" s="1118"/>
      <c r="O936" s="1118"/>
      <c r="P936" s="1118"/>
      <c r="Q936" s="1111"/>
      <c r="R936" s="1111"/>
      <c r="S936" s="1111"/>
      <c r="T936" s="1111"/>
      <c r="U936" s="1111"/>
      <c r="V936" s="1111"/>
      <c r="W936" s="1111"/>
      <c r="X936" s="1111"/>
      <c r="Y936" s="1111"/>
      <c r="Z936" s="1111"/>
      <c r="AA936" s="1111"/>
      <c r="AB936" s="1111"/>
      <c r="AC936" s="1111"/>
      <c r="AD936" s="1111"/>
      <c r="AE936" s="1111"/>
      <c r="AF936" s="1111"/>
      <c r="AG936" s="1111"/>
    </row>
    <row r="937" spans="1:33" s="1295" customFormat="1">
      <c r="A937" s="1264"/>
      <c r="D937" s="1118"/>
      <c r="E937" s="1264"/>
      <c r="F937" s="1118"/>
      <c r="G937" s="1118"/>
      <c r="H937" s="1118"/>
      <c r="I937" s="1118"/>
      <c r="J937" s="1118"/>
      <c r="K937" s="1118"/>
      <c r="L937" s="1118"/>
      <c r="M937" s="1118"/>
      <c r="N937" s="1118"/>
      <c r="O937" s="1118"/>
      <c r="P937" s="1118"/>
      <c r="Q937" s="1111"/>
      <c r="R937" s="1111"/>
      <c r="S937" s="1111"/>
      <c r="T937" s="1111"/>
      <c r="U937" s="1111"/>
      <c r="V937" s="1111"/>
      <c r="W937" s="1111"/>
      <c r="X937" s="1111"/>
      <c r="Y937" s="1111"/>
      <c r="Z937" s="1111"/>
      <c r="AA937" s="1111"/>
      <c r="AB937" s="1111"/>
      <c r="AC937" s="1111"/>
      <c r="AD937" s="1111"/>
      <c r="AE937" s="1111"/>
      <c r="AF937" s="1111"/>
      <c r="AG937" s="1111"/>
    </row>
    <row r="938" spans="1:33" s="1295" customFormat="1">
      <c r="A938" s="1264"/>
      <c r="D938" s="1118"/>
      <c r="E938" s="1264"/>
      <c r="F938" s="1118"/>
      <c r="G938" s="1118"/>
      <c r="H938" s="1118"/>
      <c r="I938" s="1118"/>
      <c r="J938" s="1118"/>
      <c r="K938" s="1118"/>
      <c r="L938" s="1118"/>
      <c r="M938" s="1118"/>
      <c r="N938" s="1118"/>
      <c r="O938" s="1118"/>
      <c r="P938" s="1118"/>
      <c r="Q938" s="1111"/>
      <c r="R938" s="1111"/>
      <c r="S938" s="1111"/>
      <c r="T938" s="1111"/>
      <c r="U938" s="1111"/>
      <c r="V938" s="1111"/>
      <c r="W938" s="1111"/>
      <c r="X938" s="1111"/>
      <c r="Y938" s="1111"/>
      <c r="Z938" s="1111"/>
      <c r="AA938" s="1111"/>
      <c r="AB938" s="1111"/>
      <c r="AC938" s="1111"/>
      <c r="AD938" s="1111"/>
      <c r="AE938" s="1111"/>
      <c r="AF938" s="1111"/>
      <c r="AG938" s="1111"/>
    </row>
    <row r="939" spans="1:33" s="1295" customFormat="1">
      <c r="A939" s="1264"/>
      <c r="D939" s="1118"/>
      <c r="E939" s="1264"/>
      <c r="F939" s="1118"/>
      <c r="G939" s="1118"/>
      <c r="H939" s="1118"/>
      <c r="I939" s="1118"/>
      <c r="J939" s="1118"/>
      <c r="K939" s="1118"/>
      <c r="L939" s="1118"/>
      <c r="M939" s="1118"/>
      <c r="N939" s="1118"/>
      <c r="O939" s="1118"/>
      <c r="P939" s="1118"/>
      <c r="Q939" s="1111"/>
      <c r="R939" s="1111"/>
      <c r="S939" s="1111"/>
      <c r="T939" s="1111"/>
      <c r="U939" s="1111"/>
      <c r="V939" s="1111"/>
      <c r="W939" s="1111"/>
      <c r="X939" s="1111"/>
      <c r="Y939" s="1111"/>
      <c r="Z939" s="1111"/>
      <c r="AA939" s="1111"/>
      <c r="AB939" s="1111"/>
      <c r="AC939" s="1111"/>
      <c r="AD939" s="1111"/>
      <c r="AE939" s="1111"/>
      <c r="AF939" s="1111"/>
      <c r="AG939" s="1111"/>
    </row>
    <row r="940" spans="1:33" s="1295" customFormat="1">
      <c r="A940" s="1264"/>
      <c r="D940" s="1118"/>
      <c r="E940" s="1264"/>
      <c r="F940" s="1118"/>
      <c r="G940" s="1118"/>
      <c r="H940" s="1118"/>
      <c r="I940" s="1118"/>
      <c r="J940" s="1118"/>
      <c r="K940" s="1118"/>
      <c r="L940" s="1118"/>
      <c r="M940" s="1118"/>
      <c r="N940" s="1118"/>
      <c r="O940" s="1118"/>
      <c r="P940" s="1118"/>
      <c r="Q940" s="1111"/>
      <c r="R940" s="1111"/>
      <c r="S940" s="1111"/>
      <c r="T940" s="1111"/>
      <c r="U940" s="1111"/>
      <c r="V940" s="1111"/>
      <c r="W940" s="1111"/>
      <c r="X940" s="1111"/>
      <c r="Y940" s="1111"/>
      <c r="Z940" s="1111"/>
      <c r="AA940" s="1111"/>
      <c r="AB940" s="1111"/>
      <c r="AC940" s="1111"/>
      <c r="AD940" s="1111"/>
      <c r="AE940" s="1111"/>
      <c r="AF940" s="1111"/>
      <c r="AG940" s="1111"/>
    </row>
    <row r="941" spans="1:33" s="1295" customFormat="1">
      <c r="A941" s="1264"/>
      <c r="D941" s="1118"/>
      <c r="E941" s="1264"/>
      <c r="F941" s="1118"/>
      <c r="G941" s="1118"/>
      <c r="H941" s="1118"/>
      <c r="I941" s="1118"/>
      <c r="J941" s="1118"/>
      <c r="K941" s="1118"/>
      <c r="L941" s="1118"/>
      <c r="M941" s="1118"/>
      <c r="N941" s="1118"/>
      <c r="O941" s="1118"/>
      <c r="P941" s="1118"/>
      <c r="Q941" s="1111"/>
      <c r="R941" s="1111"/>
      <c r="S941" s="1111"/>
      <c r="T941" s="1111"/>
      <c r="U941" s="1111"/>
      <c r="V941" s="1111"/>
      <c r="W941" s="1111"/>
      <c r="X941" s="1111"/>
      <c r="Y941" s="1111"/>
      <c r="Z941" s="1111"/>
      <c r="AA941" s="1111"/>
      <c r="AB941" s="1111"/>
      <c r="AC941" s="1111"/>
      <c r="AD941" s="1111"/>
      <c r="AE941" s="1111"/>
      <c r="AF941" s="1111"/>
      <c r="AG941" s="1111"/>
    </row>
    <row r="942" spans="1:33" s="1295" customFormat="1">
      <c r="A942" s="1264"/>
      <c r="D942" s="1118"/>
      <c r="E942" s="1264"/>
      <c r="F942" s="1118"/>
      <c r="G942" s="1118"/>
      <c r="H942" s="1118"/>
      <c r="I942" s="1118"/>
      <c r="J942" s="1118"/>
      <c r="K942" s="1118"/>
      <c r="L942" s="1118"/>
      <c r="M942" s="1118"/>
      <c r="N942" s="1118"/>
      <c r="O942" s="1118"/>
      <c r="P942" s="1118"/>
      <c r="Q942" s="1111"/>
      <c r="R942" s="1111"/>
      <c r="S942" s="1111"/>
      <c r="T942" s="1111"/>
      <c r="U942" s="1111"/>
      <c r="V942" s="1111"/>
      <c r="W942" s="1111"/>
      <c r="X942" s="1111"/>
      <c r="Y942" s="1111"/>
      <c r="Z942" s="1111"/>
      <c r="AA942" s="1111"/>
      <c r="AB942" s="1111"/>
      <c r="AC942" s="1111"/>
      <c r="AD942" s="1111"/>
      <c r="AE942" s="1111"/>
      <c r="AF942" s="1111"/>
      <c r="AG942" s="1111"/>
    </row>
    <row r="943" spans="1:33" s="1295" customFormat="1">
      <c r="A943" s="1264"/>
      <c r="D943" s="1118"/>
      <c r="E943" s="1264"/>
      <c r="F943" s="1118"/>
      <c r="G943" s="1118"/>
      <c r="H943" s="1118"/>
      <c r="I943" s="1118"/>
      <c r="J943" s="1118"/>
      <c r="K943" s="1118"/>
      <c r="L943" s="1118"/>
      <c r="M943" s="1118"/>
      <c r="N943" s="1118"/>
      <c r="O943" s="1118"/>
      <c r="P943" s="1118"/>
      <c r="Q943" s="1111"/>
      <c r="R943" s="1111"/>
      <c r="S943" s="1111"/>
      <c r="T943" s="1111"/>
      <c r="U943" s="1111"/>
      <c r="V943" s="1111"/>
      <c r="W943" s="1111"/>
      <c r="X943" s="1111"/>
      <c r="Y943" s="1111"/>
      <c r="Z943" s="1111"/>
      <c r="AA943" s="1111"/>
      <c r="AB943" s="1111"/>
      <c r="AC943" s="1111"/>
      <c r="AD943" s="1111"/>
      <c r="AE943" s="1111"/>
      <c r="AF943" s="1111"/>
      <c r="AG943" s="1111"/>
    </row>
    <row r="944" spans="1:33" s="1295" customFormat="1">
      <c r="A944" s="1264"/>
      <c r="D944" s="1118"/>
      <c r="E944" s="1264"/>
      <c r="F944" s="1118"/>
      <c r="G944" s="1118"/>
      <c r="H944" s="1118"/>
      <c r="I944" s="1118"/>
      <c r="J944" s="1118"/>
      <c r="K944" s="1118"/>
      <c r="L944" s="1118"/>
      <c r="M944" s="1118"/>
      <c r="N944" s="1118"/>
      <c r="O944" s="1118"/>
      <c r="P944" s="1118"/>
      <c r="Q944" s="1111"/>
      <c r="R944" s="1111"/>
      <c r="S944" s="1111"/>
      <c r="T944" s="1111"/>
      <c r="U944" s="1111"/>
      <c r="V944" s="1111"/>
      <c r="W944" s="1111"/>
      <c r="X944" s="1111"/>
      <c r="Y944" s="1111"/>
      <c r="Z944" s="1111"/>
      <c r="AA944" s="1111"/>
      <c r="AB944" s="1111"/>
      <c r="AC944" s="1111"/>
      <c r="AD944" s="1111"/>
      <c r="AE944" s="1111"/>
      <c r="AF944" s="1111"/>
      <c r="AG944" s="1111"/>
    </row>
    <row r="945" spans="1:33" s="1295" customFormat="1">
      <c r="A945" s="1264"/>
      <c r="D945" s="1118"/>
      <c r="E945" s="1264"/>
      <c r="F945" s="1118"/>
      <c r="G945" s="1118"/>
      <c r="H945" s="1118"/>
      <c r="I945" s="1118"/>
      <c r="J945" s="1118"/>
      <c r="K945" s="1118"/>
      <c r="L945" s="1118"/>
      <c r="M945" s="1118"/>
      <c r="N945" s="1118"/>
      <c r="O945" s="1118"/>
      <c r="P945" s="1118"/>
      <c r="Q945" s="1111"/>
      <c r="R945" s="1111"/>
      <c r="S945" s="1111"/>
      <c r="T945" s="1111"/>
      <c r="U945" s="1111"/>
      <c r="V945" s="1111"/>
      <c r="W945" s="1111"/>
      <c r="X945" s="1111"/>
      <c r="Y945" s="1111"/>
      <c r="Z945" s="1111"/>
      <c r="AA945" s="1111"/>
      <c r="AB945" s="1111"/>
      <c r="AC945" s="1111"/>
      <c r="AD945" s="1111"/>
      <c r="AE945" s="1111"/>
      <c r="AF945" s="1111"/>
      <c r="AG945" s="1111"/>
    </row>
    <row r="946" spans="1:33" s="1295" customFormat="1">
      <c r="A946" s="1264"/>
      <c r="D946" s="1118"/>
      <c r="E946" s="1264"/>
      <c r="F946" s="1118"/>
      <c r="G946" s="1118"/>
      <c r="H946" s="1118"/>
      <c r="I946" s="1118"/>
      <c r="J946" s="1118"/>
      <c r="K946" s="1118"/>
      <c r="L946" s="1118"/>
      <c r="M946" s="1118"/>
      <c r="N946" s="1118"/>
      <c r="O946" s="1118"/>
      <c r="P946" s="1118"/>
      <c r="Q946" s="1111"/>
      <c r="R946" s="1111"/>
      <c r="S946" s="1111"/>
      <c r="T946" s="1111"/>
      <c r="U946" s="1111"/>
      <c r="V946" s="1111"/>
      <c r="W946" s="1111"/>
      <c r="X946" s="1111"/>
      <c r="Y946" s="1111"/>
      <c r="Z946" s="1111"/>
      <c r="AA946" s="1111"/>
      <c r="AB946" s="1111"/>
      <c r="AC946" s="1111"/>
      <c r="AD946" s="1111"/>
      <c r="AE946" s="1111"/>
      <c r="AF946" s="1111"/>
      <c r="AG946" s="1111"/>
    </row>
    <row r="947" spans="1:33" s="1295" customFormat="1">
      <c r="A947" s="1264"/>
      <c r="D947" s="1118"/>
      <c r="E947" s="1264"/>
      <c r="F947" s="1118"/>
      <c r="G947" s="1118"/>
      <c r="H947" s="1118"/>
      <c r="I947" s="1118"/>
      <c r="J947" s="1118"/>
      <c r="K947" s="1118"/>
      <c r="L947" s="1118"/>
      <c r="M947" s="1118"/>
      <c r="N947" s="1118"/>
      <c r="O947" s="1118"/>
      <c r="P947" s="1118"/>
      <c r="Q947" s="1111"/>
      <c r="R947" s="1111"/>
      <c r="S947" s="1111"/>
      <c r="T947" s="1111"/>
      <c r="U947" s="1111"/>
      <c r="V947" s="1111"/>
      <c r="W947" s="1111"/>
      <c r="X947" s="1111"/>
      <c r="Y947" s="1111"/>
      <c r="Z947" s="1111"/>
      <c r="AA947" s="1111"/>
      <c r="AB947" s="1111"/>
      <c r="AC947" s="1111"/>
      <c r="AD947" s="1111"/>
      <c r="AE947" s="1111"/>
      <c r="AF947" s="1111"/>
      <c r="AG947" s="1111"/>
    </row>
    <row r="948" spans="1:33" s="1295" customFormat="1">
      <c r="A948" s="1264"/>
      <c r="D948" s="1118"/>
      <c r="E948" s="1264"/>
      <c r="F948" s="1118"/>
      <c r="G948" s="1118"/>
      <c r="H948" s="1118"/>
      <c r="I948" s="1118"/>
      <c r="J948" s="1118"/>
      <c r="K948" s="1118"/>
      <c r="L948" s="1118"/>
      <c r="M948" s="1118"/>
      <c r="N948" s="1118"/>
      <c r="O948" s="1118"/>
      <c r="P948" s="1118"/>
      <c r="Q948" s="1111"/>
      <c r="R948" s="1111"/>
      <c r="S948" s="1111"/>
      <c r="T948" s="1111"/>
      <c r="U948" s="1111"/>
      <c r="V948" s="1111"/>
      <c r="W948" s="1111"/>
      <c r="X948" s="1111"/>
      <c r="Y948" s="1111"/>
      <c r="Z948" s="1111"/>
      <c r="AA948" s="1111"/>
      <c r="AB948" s="1111"/>
      <c r="AC948" s="1111"/>
      <c r="AD948" s="1111"/>
      <c r="AE948" s="1111"/>
      <c r="AF948" s="1111"/>
      <c r="AG948" s="1111"/>
    </row>
    <row r="949" spans="1:33" s="1295" customFormat="1">
      <c r="A949" s="1264"/>
      <c r="D949" s="1118"/>
      <c r="E949" s="1264"/>
      <c r="F949" s="1118"/>
      <c r="G949" s="1118"/>
      <c r="H949" s="1118"/>
      <c r="I949" s="1118"/>
      <c r="J949" s="1118"/>
      <c r="K949" s="1118"/>
      <c r="L949" s="1118"/>
      <c r="M949" s="1118"/>
      <c r="N949" s="1118"/>
      <c r="O949" s="1118"/>
      <c r="P949" s="1118"/>
      <c r="Q949" s="1111"/>
      <c r="R949" s="1111"/>
      <c r="S949" s="1111"/>
      <c r="T949" s="1111"/>
      <c r="U949" s="1111"/>
      <c r="V949" s="1111"/>
      <c r="W949" s="1111"/>
      <c r="X949" s="1111"/>
      <c r="Y949" s="1111"/>
      <c r="Z949" s="1111"/>
      <c r="AA949" s="1111"/>
      <c r="AB949" s="1111"/>
      <c r="AC949" s="1111"/>
      <c r="AD949" s="1111"/>
      <c r="AE949" s="1111"/>
      <c r="AF949" s="1111"/>
      <c r="AG949" s="1111"/>
    </row>
    <row r="950" spans="1:33" s="1295" customFormat="1">
      <c r="A950" s="1264"/>
      <c r="D950" s="1118"/>
      <c r="E950" s="1264"/>
      <c r="F950" s="1118"/>
      <c r="G950" s="1118"/>
      <c r="H950" s="1118"/>
      <c r="I950" s="1118"/>
      <c r="J950" s="1118"/>
      <c r="K950" s="1118"/>
      <c r="L950" s="1118"/>
      <c r="M950" s="1118"/>
      <c r="N950" s="1118"/>
      <c r="O950" s="1118"/>
      <c r="P950" s="1118"/>
      <c r="Q950" s="1111"/>
      <c r="R950" s="1111"/>
      <c r="S950" s="1111"/>
      <c r="T950" s="1111"/>
      <c r="U950" s="1111"/>
      <c r="V950" s="1111"/>
      <c r="W950" s="1111"/>
      <c r="X950" s="1111"/>
      <c r="Y950" s="1111"/>
      <c r="Z950" s="1111"/>
      <c r="AA950" s="1111"/>
      <c r="AB950" s="1111"/>
      <c r="AC950" s="1111"/>
      <c r="AD950" s="1111"/>
      <c r="AE950" s="1111"/>
      <c r="AF950" s="1111"/>
      <c r="AG950" s="1111"/>
    </row>
    <row r="951" spans="1:33" s="1295" customFormat="1">
      <c r="A951" s="1264"/>
      <c r="D951" s="1118"/>
      <c r="E951" s="1264"/>
      <c r="F951" s="1118"/>
      <c r="G951" s="1118"/>
      <c r="H951" s="1118"/>
      <c r="I951" s="1118"/>
      <c r="J951" s="1118"/>
      <c r="K951" s="1118"/>
      <c r="L951" s="1118"/>
      <c r="M951" s="1118"/>
      <c r="N951" s="1118"/>
      <c r="O951" s="1118"/>
      <c r="P951" s="1118"/>
      <c r="Q951" s="1111"/>
      <c r="R951" s="1111"/>
      <c r="S951" s="1111"/>
      <c r="T951" s="1111"/>
      <c r="U951" s="1111"/>
      <c r="V951" s="1111"/>
      <c r="W951" s="1111"/>
      <c r="X951" s="1111"/>
      <c r="Y951" s="1111"/>
      <c r="Z951" s="1111"/>
      <c r="AA951" s="1111"/>
      <c r="AB951" s="1111"/>
      <c r="AC951" s="1111"/>
      <c r="AD951" s="1111"/>
      <c r="AE951" s="1111"/>
      <c r="AF951" s="1111"/>
      <c r="AG951" s="1111"/>
    </row>
    <row r="952" spans="1:33" s="1295" customFormat="1">
      <c r="A952" s="1264"/>
      <c r="D952" s="1118"/>
      <c r="E952" s="1264"/>
      <c r="F952" s="1118"/>
      <c r="G952" s="1118"/>
      <c r="H952" s="1118"/>
      <c r="I952" s="1118"/>
      <c r="J952" s="1118"/>
      <c r="K952" s="1118"/>
      <c r="L952" s="1118"/>
      <c r="M952" s="1118"/>
      <c r="N952" s="1118"/>
      <c r="O952" s="1118"/>
      <c r="P952" s="1118"/>
      <c r="Q952" s="1111"/>
      <c r="R952" s="1111"/>
      <c r="S952" s="1111"/>
      <c r="T952" s="1111"/>
      <c r="U952" s="1111"/>
      <c r="V952" s="1111"/>
      <c r="W952" s="1111"/>
      <c r="X952" s="1111"/>
      <c r="Y952" s="1111"/>
      <c r="Z952" s="1111"/>
      <c r="AA952" s="1111"/>
      <c r="AB952" s="1111"/>
      <c r="AC952" s="1111"/>
      <c r="AD952" s="1111"/>
      <c r="AE952" s="1111"/>
      <c r="AF952" s="1111"/>
      <c r="AG952" s="1111"/>
    </row>
    <row r="953" spans="1:33" s="1295" customFormat="1">
      <c r="A953" s="1264"/>
      <c r="D953" s="1118"/>
      <c r="E953" s="1264"/>
      <c r="F953" s="1118"/>
      <c r="G953" s="1118"/>
      <c r="H953" s="1118"/>
      <c r="I953" s="1118"/>
      <c r="J953" s="1118"/>
      <c r="K953" s="1118"/>
      <c r="L953" s="1118"/>
      <c r="M953" s="1118"/>
      <c r="N953" s="1118"/>
      <c r="O953" s="1118"/>
      <c r="P953" s="1118"/>
      <c r="Q953" s="1111"/>
      <c r="R953" s="1111"/>
      <c r="S953" s="1111"/>
      <c r="T953" s="1111"/>
      <c r="U953" s="1111"/>
      <c r="V953" s="1111"/>
      <c r="W953" s="1111"/>
      <c r="X953" s="1111"/>
      <c r="Y953" s="1111"/>
      <c r="Z953" s="1111"/>
      <c r="AA953" s="1111"/>
      <c r="AB953" s="1111"/>
      <c r="AC953" s="1111"/>
      <c r="AD953" s="1111"/>
      <c r="AE953" s="1111"/>
      <c r="AF953" s="1111"/>
      <c r="AG953" s="1111"/>
    </row>
    <row r="954" spans="1:33" s="1295" customFormat="1">
      <c r="A954" s="1264"/>
      <c r="D954" s="1118"/>
      <c r="E954" s="1264"/>
      <c r="F954" s="1118"/>
      <c r="G954" s="1118"/>
      <c r="H954" s="1118"/>
      <c r="I954" s="1118"/>
      <c r="J954" s="1118"/>
      <c r="K954" s="1118"/>
      <c r="L954" s="1118"/>
      <c r="M954" s="1118"/>
      <c r="N954" s="1118"/>
      <c r="O954" s="1118"/>
      <c r="P954" s="1118"/>
      <c r="Q954" s="1111"/>
      <c r="R954" s="1111"/>
      <c r="S954" s="1111"/>
      <c r="T954" s="1111"/>
      <c r="U954" s="1111"/>
      <c r="V954" s="1111"/>
      <c r="W954" s="1111"/>
      <c r="X954" s="1111"/>
      <c r="Y954" s="1111"/>
      <c r="Z954" s="1111"/>
      <c r="AA954" s="1111"/>
      <c r="AB954" s="1111"/>
      <c r="AC954" s="1111"/>
      <c r="AD954" s="1111"/>
      <c r="AE954" s="1111"/>
      <c r="AF954" s="1111"/>
      <c r="AG954" s="1111"/>
    </row>
    <row r="955" spans="1:33" s="1295" customFormat="1">
      <c r="A955" s="1264"/>
      <c r="D955" s="1118"/>
      <c r="E955" s="1264"/>
      <c r="F955" s="1118"/>
      <c r="G955" s="1118"/>
      <c r="H955" s="1118"/>
      <c r="I955" s="1118"/>
      <c r="J955" s="1118"/>
      <c r="K955" s="1118"/>
      <c r="L955" s="1118"/>
      <c r="M955" s="1118"/>
      <c r="N955" s="1118"/>
      <c r="O955" s="1118"/>
      <c r="P955" s="1118"/>
      <c r="Q955" s="1111"/>
      <c r="R955" s="1111"/>
      <c r="S955" s="1111"/>
      <c r="T955" s="1111"/>
      <c r="U955" s="1111"/>
      <c r="V955" s="1111"/>
      <c r="W955" s="1111"/>
      <c r="X955" s="1111"/>
      <c r="Y955" s="1111"/>
      <c r="Z955" s="1111"/>
      <c r="AA955" s="1111"/>
      <c r="AB955" s="1111"/>
      <c r="AC955" s="1111"/>
      <c r="AD955" s="1111"/>
      <c r="AE955" s="1111"/>
      <c r="AF955" s="1111"/>
      <c r="AG955" s="1111"/>
    </row>
    <row r="956" spans="1:33" s="1295" customFormat="1">
      <c r="A956" s="1264"/>
      <c r="D956" s="1118"/>
      <c r="E956" s="1264"/>
      <c r="F956" s="1118"/>
      <c r="G956" s="1118"/>
      <c r="H956" s="1118"/>
      <c r="I956" s="1118"/>
      <c r="J956" s="1118"/>
      <c r="K956" s="1118"/>
      <c r="L956" s="1118"/>
      <c r="M956" s="1118"/>
      <c r="N956" s="1118"/>
      <c r="O956" s="1118"/>
      <c r="P956" s="1118"/>
      <c r="Q956" s="1111"/>
      <c r="R956" s="1111"/>
      <c r="S956" s="1111"/>
      <c r="T956" s="1111"/>
      <c r="U956" s="1111"/>
      <c r="V956" s="1111"/>
      <c r="W956" s="1111"/>
      <c r="X956" s="1111"/>
      <c r="Y956" s="1111"/>
      <c r="Z956" s="1111"/>
      <c r="AA956" s="1111"/>
      <c r="AB956" s="1111"/>
      <c r="AC956" s="1111"/>
      <c r="AD956" s="1111"/>
      <c r="AE956" s="1111"/>
      <c r="AF956" s="1111"/>
      <c r="AG956" s="1111"/>
    </row>
    <row r="957" spans="1:33" s="1295" customFormat="1">
      <c r="A957" s="1264"/>
      <c r="D957" s="1118"/>
      <c r="E957" s="1264"/>
      <c r="F957" s="1118"/>
      <c r="G957" s="1118"/>
      <c r="H957" s="1118"/>
      <c r="I957" s="1118"/>
      <c r="J957" s="1118"/>
      <c r="K957" s="1118"/>
      <c r="L957" s="1118"/>
      <c r="M957" s="1118"/>
      <c r="N957" s="1118"/>
      <c r="O957" s="1118"/>
      <c r="P957" s="1118"/>
      <c r="Q957" s="1111"/>
      <c r="R957" s="1111"/>
      <c r="S957" s="1111"/>
      <c r="T957" s="1111"/>
      <c r="U957" s="1111"/>
      <c r="V957" s="1111"/>
      <c r="W957" s="1111"/>
      <c r="X957" s="1111"/>
      <c r="Y957" s="1111"/>
      <c r="Z957" s="1111"/>
      <c r="AA957" s="1111"/>
      <c r="AB957" s="1111"/>
      <c r="AC957" s="1111"/>
      <c r="AD957" s="1111"/>
      <c r="AE957" s="1111"/>
      <c r="AF957" s="1111"/>
      <c r="AG957" s="1111"/>
    </row>
    <row r="958" spans="1:33" s="1295" customFormat="1">
      <c r="A958" s="1264"/>
      <c r="D958" s="1118"/>
      <c r="E958" s="1264"/>
      <c r="F958" s="1118"/>
      <c r="G958" s="1118"/>
      <c r="H958" s="1118"/>
      <c r="I958" s="1118"/>
      <c r="J958" s="1118"/>
      <c r="K958" s="1118"/>
      <c r="L958" s="1118"/>
      <c r="M958" s="1118"/>
      <c r="N958" s="1118"/>
      <c r="O958" s="1118"/>
      <c r="P958" s="1118"/>
      <c r="Q958" s="1111"/>
      <c r="R958" s="1111"/>
      <c r="S958" s="1111"/>
      <c r="T958" s="1111"/>
      <c r="U958" s="1111"/>
      <c r="V958" s="1111"/>
      <c r="W958" s="1111"/>
      <c r="X958" s="1111"/>
      <c r="Y958" s="1111"/>
      <c r="Z958" s="1111"/>
      <c r="AA958" s="1111"/>
      <c r="AB958" s="1111"/>
      <c r="AC958" s="1111"/>
      <c r="AD958" s="1111"/>
      <c r="AE958" s="1111"/>
      <c r="AF958" s="1111"/>
      <c r="AG958" s="1111"/>
    </row>
    <row r="959" spans="1:33" s="1295" customFormat="1">
      <c r="A959" s="1264"/>
      <c r="D959" s="1118"/>
      <c r="E959" s="1264"/>
      <c r="F959" s="1118"/>
      <c r="G959" s="1118"/>
      <c r="H959" s="1118"/>
      <c r="I959" s="1118"/>
      <c r="J959" s="1118"/>
      <c r="K959" s="1118"/>
      <c r="L959" s="1118"/>
      <c r="M959" s="1118"/>
      <c r="N959" s="1118"/>
      <c r="O959" s="1118"/>
      <c r="P959" s="1118"/>
      <c r="Q959" s="1111"/>
      <c r="R959" s="1111"/>
      <c r="S959" s="1111"/>
      <c r="T959" s="1111"/>
      <c r="U959" s="1111"/>
      <c r="V959" s="1111"/>
      <c r="W959" s="1111"/>
      <c r="X959" s="1111"/>
      <c r="Y959" s="1111"/>
      <c r="Z959" s="1111"/>
      <c r="AA959" s="1111"/>
      <c r="AB959" s="1111"/>
      <c r="AC959" s="1111"/>
      <c r="AD959" s="1111"/>
      <c r="AE959" s="1111"/>
      <c r="AF959" s="1111"/>
      <c r="AG959" s="1111"/>
    </row>
    <row r="960" spans="1:33" s="1295" customFormat="1">
      <c r="A960" s="1264"/>
      <c r="D960" s="1118"/>
      <c r="E960" s="1264"/>
      <c r="F960" s="1118"/>
      <c r="G960" s="1118"/>
      <c r="H960" s="1118"/>
      <c r="I960" s="1118"/>
      <c r="J960" s="1118"/>
      <c r="K960" s="1118"/>
      <c r="L960" s="1118"/>
      <c r="M960" s="1118"/>
      <c r="N960" s="1118"/>
      <c r="O960" s="1118"/>
      <c r="P960" s="1118"/>
      <c r="Q960" s="1111"/>
      <c r="R960" s="1111"/>
      <c r="S960" s="1111"/>
      <c r="T960" s="1111"/>
      <c r="U960" s="1111"/>
      <c r="V960" s="1111"/>
      <c r="W960" s="1111"/>
      <c r="X960" s="1111"/>
      <c r="Y960" s="1111"/>
      <c r="Z960" s="1111"/>
      <c r="AA960" s="1111"/>
      <c r="AB960" s="1111"/>
      <c r="AC960" s="1111"/>
      <c r="AD960" s="1111"/>
      <c r="AE960" s="1111"/>
      <c r="AF960" s="1111"/>
      <c r="AG960" s="1111"/>
    </row>
    <row r="961" spans="1:33" s="1295" customFormat="1">
      <c r="A961" s="1264"/>
      <c r="D961" s="1118"/>
      <c r="E961" s="1264"/>
      <c r="F961" s="1118"/>
      <c r="G961" s="1118"/>
      <c r="H961" s="1118"/>
      <c r="I961" s="1118"/>
      <c r="J961" s="1118"/>
      <c r="K961" s="1118"/>
      <c r="L961" s="1118"/>
      <c r="M961" s="1118"/>
      <c r="N961" s="1118"/>
      <c r="O961" s="1118"/>
      <c r="P961" s="1118"/>
      <c r="Q961" s="1111"/>
      <c r="R961" s="1111"/>
      <c r="S961" s="1111"/>
      <c r="T961" s="1111"/>
      <c r="U961" s="1111"/>
      <c r="V961" s="1111"/>
      <c r="W961" s="1111"/>
      <c r="X961" s="1111"/>
      <c r="Y961" s="1111"/>
      <c r="Z961" s="1111"/>
      <c r="AA961" s="1111"/>
      <c r="AB961" s="1111"/>
      <c r="AC961" s="1111"/>
      <c r="AD961" s="1111"/>
      <c r="AE961" s="1111"/>
      <c r="AF961" s="1111"/>
      <c r="AG961" s="1111"/>
    </row>
    <row r="962" spans="1:33" s="1295" customFormat="1">
      <c r="A962" s="1264"/>
      <c r="D962" s="1118"/>
      <c r="E962" s="1264"/>
      <c r="F962" s="1118"/>
      <c r="G962" s="1118"/>
      <c r="H962" s="1118"/>
      <c r="I962" s="1118"/>
      <c r="J962" s="1118"/>
      <c r="K962" s="1118"/>
      <c r="L962" s="1118"/>
      <c r="M962" s="1118"/>
      <c r="N962" s="1118"/>
      <c r="O962" s="1118"/>
      <c r="P962" s="1118"/>
      <c r="Q962" s="1111"/>
      <c r="R962" s="1111"/>
      <c r="S962" s="1111"/>
      <c r="T962" s="1111"/>
      <c r="U962" s="1111"/>
      <c r="V962" s="1111"/>
      <c r="W962" s="1111"/>
      <c r="X962" s="1111"/>
      <c r="Y962" s="1111"/>
      <c r="Z962" s="1111"/>
      <c r="AA962" s="1111"/>
      <c r="AB962" s="1111"/>
      <c r="AC962" s="1111"/>
      <c r="AD962" s="1111"/>
      <c r="AE962" s="1111"/>
      <c r="AF962" s="1111"/>
      <c r="AG962" s="1111"/>
    </row>
    <row r="963" spans="1:33" s="1295" customFormat="1">
      <c r="A963" s="1264"/>
      <c r="D963" s="1118"/>
      <c r="E963" s="1264"/>
      <c r="F963" s="1118"/>
      <c r="G963" s="1118"/>
      <c r="H963" s="1118"/>
      <c r="I963" s="1118"/>
      <c r="J963" s="1118"/>
      <c r="K963" s="1118"/>
      <c r="L963" s="1118"/>
      <c r="M963" s="1118"/>
      <c r="N963" s="1118"/>
      <c r="O963" s="1118"/>
      <c r="P963" s="1118"/>
      <c r="Q963" s="1111"/>
      <c r="R963" s="1111"/>
      <c r="S963" s="1111"/>
      <c r="T963" s="1111"/>
      <c r="U963" s="1111"/>
      <c r="V963" s="1111"/>
      <c r="W963" s="1111"/>
      <c r="X963" s="1111"/>
      <c r="Y963" s="1111"/>
      <c r="Z963" s="1111"/>
      <c r="AA963" s="1111"/>
      <c r="AB963" s="1111"/>
      <c r="AC963" s="1111"/>
      <c r="AD963" s="1111"/>
      <c r="AE963" s="1111"/>
      <c r="AF963" s="1111"/>
      <c r="AG963" s="1111"/>
    </row>
    <row r="964" spans="1:33" s="1295" customFormat="1">
      <c r="A964" s="1264"/>
      <c r="D964" s="1118"/>
      <c r="E964" s="1264"/>
      <c r="F964" s="1118"/>
      <c r="G964" s="1118"/>
      <c r="H964" s="1118"/>
      <c r="I964" s="1118"/>
      <c r="J964" s="1118"/>
      <c r="K964" s="1118"/>
      <c r="L964" s="1118"/>
      <c r="M964" s="1118"/>
      <c r="N964" s="1118"/>
      <c r="O964" s="1118"/>
      <c r="P964" s="1118"/>
      <c r="Q964" s="1111"/>
      <c r="R964" s="1111"/>
      <c r="S964" s="1111"/>
      <c r="T964" s="1111"/>
      <c r="U964" s="1111"/>
      <c r="V964" s="1111"/>
      <c r="W964" s="1111"/>
      <c r="X964" s="1111"/>
      <c r="Y964" s="1111"/>
      <c r="Z964" s="1111"/>
      <c r="AA964" s="1111"/>
      <c r="AB964" s="1111"/>
      <c r="AC964" s="1111"/>
      <c r="AD964" s="1111"/>
      <c r="AE964" s="1111"/>
      <c r="AF964" s="1111"/>
      <c r="AG964" s="1111"/>
    </row>
    <row r="965" spans="1:33" s="1295" customFormat="1">
      <c r="A965" s="1264"/>
      <c r="D965" s="1118"/>
      <c r="E965" s="1264"/>
      <c r="F965" s="1118"/>
      <c r="G965" s="1118"/>
      <c r="H965" s="1118"/>
      <c r="I965" s="1118"/>
      <c r="J965" s="1118"/>
      <c r="K965" s="1118"/>
      <c r="L965" s="1118"/>
      <c r="M965" s="1118"/>
      <c r="N965" s="1118"/>
      <c r="O965" s="1118"/>
      <c r="P965" s="1118"/>
      <c r="Q965" s="1111"/>
      <c r="R965" s="1111"/>
      <c r="S965" s="1111"/>
      <c r="T965" s="1111"/>
      <c r="U965" s="1111"/>
      <c r="V965" s="1111"/>
      <c r="W965" s="1111"/>
      <c r="X965" s="1111"/>
      <c r="Y965" s="1111"/>
      <c r="Z965" s="1111"/>
      <c r="AA965" s="1111"/>
      <c r="AB965" s="1111"/>
      <c r="AC965" s="1111"/>
      <c r="AD965" s="1111"/>
      <c r="AE965" s="1111"/>
      <c r="AF965" s="1111"/>
      <c r="AG965" s="1111"/>
    </row>
    <row r="966" spans="1:33" s="1295" customFormat="1">
      <c r="A966" s="1264"/>
      <c r="D966" s="1118"/>
      <c r="E966" s="1264"/>
      <c r="F966" s="1118"/>
      <c r="G966" s="1118"/>
      <c r="H966" s="1118"/>
      <c r="I966" s="1118"/>
      <c r="J966" s="1118"/>
      <c r="K966" s="1118"/>
      <c r="L966" s="1118"/>
      <c r="M966" s="1118"/>
      <c r="N966" s="1118"/>
      <c r="O966" s="1118"/>
      <c r="P966" s="1118"/>
      <c r="Q966" s="1111"/>
      <c r="R966" s="1111"/>
      <c r="S966" s="1111"/>
      <c r="T966" s="1111"/>
      <c r="U966" s="1111"/>
      <c r="V966" s="1111"/>
      <c r="W966" s="1111"/>
      <c r="X966" s="1111"/>
      <c r="Y966" s="1111"/>
      <c r="Z966" s="1111"/>
      <c r="AA966" s="1111"/>
      <c r="AB966" s="1111"/>
      <c r="AC966" s="1111"/>
      <c r="AD966" s="1111"/>
      <c r="AE966" s="1111"/>
      <c r="AF966" s="1111"/>
      <c r="AG966" s="1111"/>
    </row>
    <row r="967" spans="1:33" s="1295" customFormat="1">
      <c r="A967" s="1264"/>
      <c r="D967" s="1118"/>
      <c r="E967" s="1264"/>
      <c r="F967" s="1118"/>
      <c r="G967" s="1118"/>
      <c r="H967" s="1118"/>
      <c r="I967" s="1118"/>
      <c r="J967" s="1118"/>
      <c r="K967" s="1118"/>
      <c r="L967" s="1118"/>
      <c r="M967" s="1118"/>
      <c r="N967" s="1118"/>
      <c r="O967" s="1118"/>
      <c r="P967" s="1118"/>
      <c r="Q967" s="1111"/>
      <c r="R967" s="1111"/>
      <c r="S967" s="1111"/>
      <c r="T967" s="1111"/>
      <c r="U967" s="1111"/>
      <c r="V967" s="1111"/>
      <c r="W967" s="1111"/>
      <c r="X967" s="1111"/>
      <c r="Y967" s="1111"/>
      <c r="Z967" s="1111"/>
      <c r="AA967" s="1111"/>
      <c r="AB967" s="1111"/>
      <c r="AC967" s="1111"/>
      <c r="AD967" s="1111"/>
      <c r="AE967" s="1111"/>
      <c r="AF967" s="1111"/>
      <c r="AG967" s="1111"/>
    </row>
    <row r="968" spans="1:33" s="1295" customFormat="1">
      <c r="A968" s="1264"/>
      <c r="D968" s="1118"/>
      <c r="E968" s="1264"/>
      <c r="F968" s="1118"/>
      <c r="G968" s="1118"/>
      <c r="H968" s="1118"/>
      <c r="I968" s="1118"/>
      <c r="J968" s="1118"/>
      <c r="K968" s="1118"/>
      <c r="L968" s="1118"/>
      <c r="M968" s="1118"/>
      <c r="N968" s="1118"/>
      <c r="O968" s="1118"/>
      <c r="P968" s="1118"/>
      <c r="Q968" s="1111"/>
      <c r="R968" s="1111"/>
      <c r="S968" s="1111"/>
      <c r="T968" s="1111"/>
      <c r="U968" s="1111"/>
      <c r="V968" s="1111"/>
      <c r="W968" s="1111"/>
      <c r="X968" s="1111"/>
      <c r="Y968" s="1111"/>
      <c r="Z968" s="1111"/>
      <c r="AA968" s="1111"/>
      <c r="AB968" s="1111"/>
      <c r="AC968" s="1111"/>
      <c r="AD968" s="1111"/>
      <c r="AE968" s="1111"/>
      <c r="AF968" s="1111"/>
      <c r="AG968" s="1111"/>
    </row>
    <row r="969" spans="1:33" s="1295" customFormat="1">
      <c r="A969" s="1264"/>
      <c r="D969" s="1118"/>
      <c r="E969" s="1264"/>
      <c r="F969" s="1118"/>
      <c r="G969" s="1118"/>
      <c r="H969" s="1118"/>
      <c r="I969" s="1118"/>
      <c r="J969" s="1118"/>
      <c r="K969" s="1118"/>
      <c r="L969" s="1118"/>
      <c r="M969" s="1118"/>
      <c r="N969" s="1118"/>
      <c r="O969" s="1118"/>
      <c r="P969" s="1118"/>
      <c r="Q969" s="1111"/>
      <c r="R969" s="1111"/>
      <c r="S969" s="1111"/>
      <c r="T969" s="1111"/>
      <c r="U969" s="1111"/>
      <c r="V969" s="1111"/>
      <c r="W969" s="1111"/>
      <c r="X969" s="1111"/>
      <c r="Y969" s="1111"/>
      <c r="Z969" s="1111"/>
      <c r="AA969" s="1111"/>
      <c r="AB969" s="1111"/>
      <c r="AC969" s="1111"/>
      <c r="AD969" s="1111"/>
      <c r="AE969" s="1111"/>
      <c r="AF969" s="1111"/>
      <c r="AG969" s="1111"/>
    </row>
    <row r="970" spans="1:33" s="1295" customFormat="1">
      <c r="A970" s="1264"/>
      <c r="D970" s="1118"/>
      <c r="E970" s="1264"/>
      <c r="F970" s="1118"/>
      <c r="G970" s="1118"/>
      <c r="H970" s="1118"/>
      <c r="I970" s="1118"/>
      <c r="J970" s="1118"/>
      <c r="K970" s="1118"/>
      <c r="L970" s="1118"/>
      <c r="M970" s="1118"/>
      <c r="N970" s="1118"/>
      <c r="O970" s="1118"/>
      <c r="P970" s="1118"/>
      <c r="Q970" s="1111"/>
      <c r="R970" s="1111"/>
      <c r="S970" s="1111"/>
      <c r="T970" s="1111"/>
      <c r="U970" s="1111"/>
      <c r="V970" s="1111"/>
      <c r="W970" s="1111"/>
      <c r="X970" s="1111"/>
      <c r="Y970" s="1111"/>
      <c r="Z970" s="1111"/>
      <c r="AA970" s="1111"/>
      <c r="AB970" s="1111"/>
      <c r="AC970" s="1111"/>
      <c r="AD970" s="1111"/>
      <c r="AE970" s="1111"/>
      <c r="AF970" s="1111"/>
      <c r="AG970" s="1111"/>
    </row>
    <row r="971" spans="1:33" s="1295" customFormat="1">
      <c r="A971" s="1264"/>
      <c r="D971" s="1118"/>
      <c r="E971" s="1264"/>
      <c r="F971" s="1118"/>
      <c r="G971" s="1118"/>
      <c r="H971" s="1118"/>
      <c r="I971" s="1118"/>
      <c r="J971" s="1118"/>
      <c r="K971" s="1118"/>
      <c r="L971" s="1118"/>
      <c r="M971" s="1118"/>
      <c r="N971" s="1118"/>
      <c r="O971" s="1118"/>
      <c r="P971" s="1118"/>
      <c r="Q971" s="1111"/>
      <c r="R971" s="1111"/>
      <c r="S971" s="1111"/>
      <c r="T971" s="1111"/>
      <c r="U971" s="1111"/>
      <c r="V971" s="1111"/>
      <c r="W971" s="1111"/>
      <c r="X971" s="1111"/>
      <c r="Y971" s="1111"/>
      <c r="Z971" s="1111"/>
      <c r="AA971" s="1111"/>
      <c r="AB971" s="1111"/>
      <c r="AC971" s="1111"/>
      <c r="AD971" s="1111"/>
      <c r="AE971" s="1111"/>
      <c r="AF971" s="1111"/>
      <c r="AG971" s="1111"/>
    </row>
    <row r="972" spans="1:33" s="1295" customFormat="1">
      <c r="A972" s="1264"/>
      <c r="D972" s="1118"/>
      <c r="E972" s="1264"/>
      <c r="F972" s="1118"/>
      <c r="G972" s="1118"/>
      <c r="H972" s="1118"/>
      <c r="I972" s="1118"/>
      <c r="J972" s="1118"/>
      <c r="K972" s="1118"/>
      <c r="L972" s="1118"/>
      <c r="M972" s="1118"/>
      <c r="N972" s="1118"/>
      <c r="O972" s="1118"/>
      <c r="P972" s="1118"/>
      <c r="Q972" s="1111"/>
      <c r="R972" s="1111"/>
      <c r="S972" s="1111"/>
      <c r="T972" s="1111"/>
      <c r="U972" s="1111"/>
      <c r="V972" s="1111"/>
      <c r="W972" s="1111"/>
      <c r="X972" s="1111"/>
      <c r="Y972" s="1111"/>
      <c r="Z972" s="1111"/>
      <c r="AA972" s="1111"/>
      <c r="AB972" s="1111"/>
      <c r="AC972" s="1111"/>
      <c r="AD972" s="1111"/>
      <c r="AE972" s="1111"/>
      <c r="AF972" s="1111"/>
      <c r="AG972" s="1111"/>
    </row>
    <row r="973" spans="1:33" s="1295" customFormat="1">
      <c r="A973" s="1264"/>
      <c r="D973" s="1118"/>
      <c r="E973" s="1264"/>
      <c r="F973" s="1118"/>
      <c r="G973" s="1118"/>
      <c r="H973" s="1118"/>
      <c r="I973" s="1118"/>
      <c r="J973" s="1118"/>
      <c r="K973" s="1118"/>
      <c r="L973" s="1118"/>
      <c r="M973" s="1118"/>
      <c r="N973" s="1118"/>
      <c r="O973" s="1118"/>
      <c r="P973" s="1118"/>
      <c r="Q973" s="1111"/>
      <c r="R973" s="1111"/>
      <c r="S973" s="1111"/>
      <c r="T973" s="1111"/>
      <c r="U973" s="1111"/>
      <c r="V973" s="1111"/>
      <c r="W973" s="1111"/>
      <c r="X973" s="1111"/>
      <c r="Y973" s="1111"/>
      <c r="Z973" s="1111"/>
      <c r="AA973" s="1111"/>
      <c r="AB973" s="1111"/>
      <c r="AC973" s="1111"/>
      <c r="AD973" s="1111"/>
      <c r="AE973" s="1111"/>
      <c r="AF973" s="1111"/>
      <c r="AG973" s="1111"/>
    </row>
    <row r="974" spans="1:33" s="1295" customFormat="1">
      <c r="A974" s="1264"/>
      <c r="D974" s="1118"/>
      <c r="E974" s="1264"/>
      <c r="F974" s="1118"/>
      <c r="G974" s="1118"/>
      <c r="H974" s="1118"/>
      <c r="I974" s="1118"/>
      <c r="J974" s="1118"/>
      <c r="K974" s="1118"/>
      <c r="L974" s="1118"/>
      <c r="M974" s="1118"/>
      <c r="N974" s="1118"/>
      <c r="O974" s="1118"/>
      <c r="P974" s="1118"/>
      <c r="Q974" s="1111"/>
      <c r="R974" s="1111"/>
      <c r="S974" s="1111"/>
      <c r="T974" s="1111"/>
      <c r="U974" s="1111"/>
      <c r="V974" s="1111"/>
      <c r="W974" s="1111"/>
      <c r="X974" s="1111"/>
      <c r="Y974" s="1111"/>
      <c r="Z974" s="1111"/>
      <c r="AA974" s="1111"/>
      <c r="AB974" s="1111"/>
      <c r="AC974" s="1111"/>
      <c r="AD974" s="1111"/>
      <c r="AE974" s="1111"/>
      <c r="AF974" s="1111"/>
      <c r="AG974" s="1111"/>
    </row>
    <row r="975" spans="1:33" s="1295" customFormat="1">
      <c r="A975" s="1264"/>
      <c r="D975" s="1118"/>
      <c r="E975" s="1264"/>
      <c r="F975" s="1118"/>
      <c r="G975" s="1118"/>
      <c r="H975" s="1118"/>
      <c r="I975" s="1118"/>
      <c r="J975" s="1118"/>
      <c r="K975" s="1118"/>
      <c r="L975" s="1118"/>
      <c r="M975" s="1118"/>
      <c r="N975" s="1118"/>
      <c r="O975" s="1118"/>
      <c r="P975" s="1118"/>
      <c r="Q975" s="1111"/>
      <c r="R975" s="1111"/>
      <c r="S975" s="1111"/>
      <c r="T975" s="1111"/>
      <c r="U975" s="1111"/>
      <c r="V975" s="1111"/>
      <c r="W975" s="1111"/>
      <c r="X975" s="1111"/>
      <c r="Y975" s="1111"/>
      <c r="Z975" s="1111"/>
      <c r="AA975" s="1111"/>
      <c r="AB975" s="1111"/>
      <c r="AC975" s="1111"/>
      <c r="AD975" s="1111"/>
      <c r="AE975" s="1111"/>
      <c r="AF975" s="1111"/>
      <c r="AG975" s="1111"/>
    </row>
    <row r="976" spans="1:33" s="1295" customFormat="1">
      <c r="A976" s="1264"/>
      <c r="D976" s="1118"/>
      <c r="E976" s="1264"/>
      <c r="F976" s="1118"/>
      <c r="G976" s="1118"/>
      <c r="H976" s="1118"/>
      <c r="I976" s="1118"/>
      <c r="J976" s="1118"/>
      <c r="K976" s="1118"/>
      <c r="L976" s="1118"/>
      <c r="M976" s="1118"/>
      <c r="N976" s="1118"/>
      <c r="O976" s="1118"/>
      <c r="P976" s="1118"/>
      <c r="Q976" s="1111"/>
      <c r="R976" s="1111"/>
      <c r="S976" s="1111"/>
      <c r="T976" s="1111"/>
      <c r="U976" s="1111"/>
      <c r="V976" s="1111"/>
      <c r="W976" s="1111"/>
      <c r="X976" s="1111"/>
      <c r="Y976" s="1111"/>
      <c r="Z976" s="1111"/>
      <c r="AA976" s="1111"/>
      <c r="AB976" s="1111"/>
      <c r="AC976" s="1111"/>
      <c r="AD976" s="1111"/>
      <c r="AE976" s="1111"/>
      <c r="AF976" s="1111"/>
      <c r="AG976" s="1111"/>
    </row>
    <row r="977" spans="1:33" s="1295" customFormat="1">
      <c r="A977" s="1264"/>
      <c r="D977" s="1118"/>
      <c r="E977" s="1264"/>
      <c r="F977" s="1118"/>
      <c r="G977" s="1118"/>
      <c r="H977" s="1118"/>
      <c r="I977" s="1118"/>
      <c r="J977" s="1118"/>
      <c r="K977" s="1118"/>
      <c r="L977" s="1118"/>
      <c r="M977" s="1118"/>
      <c r="N977" s="1118"/>
      <c r="O977" s="1118"/>
      <c r="P977" s="1118"/>
      <c r="Q977" s="1111"/>
      <c r="R977" s="1111"/>
      <c r="S977" s="1111"/>
      <c r="T977" s="1111"/>
      <c r="U977" s="1111"/>
      <c r="V977" s="1111"/>
      <c r="W977" s="1111"/>
      <c r="X977" s="1111"/>
      <c r="Y977" s="1111"/>
      <c r="Z977" s="1111"/>
      <c r="AA977" s="1111"/>
      <c r="AB977" s="1111"/>
      <c r="AC977" s="1111"/>
      <c r="AD977" s="1111"/>
      <c r="AE977" s="1111"/>
      <c r="AF977" s="1111"/>
      <c r="AG977" s="1111"/>
    </row>
    <row r="978" spans="1:33" s="1295" customFormat="1">
      <c r="A978" s="1264"/>
      <c r="D978" s="1118"/>
      <c r="E978" s="1264"/>
      <c r="F978" s="1118"/>
      <c r="G978" s="1118"/>
      <c r="H978" s="1118"/>
      <c r="I978" s="1118"/>
      <c r="J978" s="1118"/>
      <c r="K978" s="1118"/>
      <c r="L978" s="1118"/>
      <c r="M978" s="1118"/>
      <c r="N978" s="1118"/>
      <c r="O978" s="1118"/>
      <c r="P978" s="1118"/>
      <c r="Q978" s="1111"/>
      <c r="R978" s="1111"/>
      <c r="S978" s="1111"/>
      <c r="T978" s="1111"/>
      <c r="U978" s="1111"/>
      <c r="V978" s="1111"/>
      <c r="W978" s="1111"/>
      <c r="X978" s="1111"/>
      <c r="Y978" s="1111"/>
      <c r="Z978" s="1111"/>
      <c r="AA978" s="1111"/>
      <c r="AB978" s="1111"/>
      <c r="AC978" s="1111"/>
      <c r="AD978" s="1111"/>
      <c r="AE978" s="1111"/>
      <c r="AF978" s="1111"/>
      <c r="AG978" s="1111"/>
    </row>
    <row r="979" spans="1:33" s="1295" customFormat="1">
      <c r="A979" s="1264"/>
      <c r="D979" s="1118"/>
      <c r="E979" s="1264"/>
      <c r="F979" s="1118"/>
      <c r="G979" s="1118"/>
      <c r="H979" s="1118"/>
      <c r="I979" s="1118"/>
      <c r="J979" s="1118"/>
      <c r="K979" s="1118"/>
      <c r="L979" s="1118"/>
      <c r="M979" s="1118"/>
      <c r="N979" s="1118"/>
      <c r="O979" s="1118"/>
      <c r="P979" s="1118"/>
      <c r="Q979" s="1111"/>
      <c r="R979" s="1111"/>
      <c r="S979" s="1111"/>
      <c r="T979" s="1111"/>
      <c r="U979" s="1111"/>
      <c r="V979" s="1111"/>
      <c r="W979" s="1111"/>
      <c r="X979" s="1111"/>
      <c r="Y979" s="1111"/>
      <c r="Z979" s="1111"/>
      <c r="AA979" s="1111"/>
      <c r="AB979" s="1111"/>
      <c r="AC979" s="1111"/>
      <c r="AD979" s="1111"/>
      <c r="AE979" s="1111"/>
      <c r="AF979" s="1111"/>
      <c r="AG979" s="1111"/>
    </row>
    <row r="980" spans="1:33" s="1295" customFormat="1">
      <c r="A980" s="1264"/>
      <c r="D980" s="1118"/>
      <c r="E980" s="1264"/>
      <c r="F980" s="1118"/>
      <c r="G980" s="1118"/>
      <c r="H980" s="1118"/>
      <c r="I980" s="1118"/>
      <c r="J980" s="1118"/>
      <c r="K980" s="1118"/>
      <c r="L980" s="1118"/>
      <c r="M980" s="1118"/>
      <c r="N980" s="1118"/>
      <c r="O980" s="1118"/>
      <c r="P980" s="1118"/>
      <c r="Q980" s="1111"/>
      <c r="R980" s="1111"/>
      <c r="S980" s="1111"/>
      <c r="T980" s="1111"/>
      <c r="U980" s="1111"/>
      <c r="V980" s="1111"/>
      <c r="W980" s="1111"/>
      <c r="X980" s="1111"/>
      <c r="Y980" s="1111"/>
      <c r="Z980" s="1111"/>
      <c r="AA980" s="1111"/>
      <c r="AB980" s="1111"/>
      <c r="AC980" s="1111"/>
      <c r="AD980" s="1111"/>
      <c r="AE980" s="1111"/>
      <c r="AF980" s="1111"/>
      <c r="AG980" s="1111"/>
    </row>
    <row r="981" spans="1:33" s="1295" customFormat="1">
      <c r="A981" s="1264"/>
      <c r="D981" s="1118"/>
      <c r="E981" s="1264"/>
      <c r="F981" s="1118"/>
      <c r="G981" s="1118"/>
      <c r="H981" s="1118"/>
      <c r="I981" s="1118"/>
      <c r="J981" s="1118"/>
      <c r="K981" s="1118"/>
      <c r="L981" s="1118"/>
      <c r="M981" s="1118"/>
      <c r="N981" s="1118"/>
      <c r="O981" s="1118"/>
      <c r="P981" s="1118"/>
      <c r="Q981" s="1111"/>
      <c r="R981" s="1111"/>
      <c r="S981" s="1111"/>
      <c r="T981" s="1111"/>
      <c r="U981" s="1111"/>
      <c r="V981" s="1111"/>
      <c r="W981" s="1111"/>
      <c r="X981" s="1111"/>
      <c r="Y981" s="1111"/>
      <c r="Z981" s="1111"/>
      <c r="AA981" s="1111"/>
      <c r="AB981" s="1111"/>
      <c r="AC981" s="1111"/>
      <c r="AD981" s="1111"/>
      <c r="AE981" s="1111"/>
      <c r="AF981" s="1111"/>
      <c r="AG981" s="1111"/>
    </row>
    <row r="982" spans="1:33" s="1295" customFormat="1">
      <c r="A982" s="1264"/>
      <c r="D982" s="1118"/>
      <c r="E982" s="1264"/>
      <c r="F982" s="1118"/>
      <c r="G982" s="1118"/>
      <c r="H982" s="1118"/>
      <c r="I982" s="1118"/>
      <c r="J982" s="1118"/>
      <c r="K982" s="1118"/>
      <c r="L982" s="1118"/>
      <c r="M982" s="1118"/>
      <c r="N982" s="1118"/>
      <c r="O982" s="1118"/>
      <c r="P982" s="1118"/>
      <c r="Q982" s="1111"/>
      <c r="R982" s="1111"/>
      <c r="S982" s="1111"/>
      <c r="T982" s="1111"/>
      <c r="U982" s="1111"/>
      <c r="V982" s="1111"/>
      <c r="W982" s="1111"/>
      <c r="X982" s="1111"/>
      <c r="Y982" s="1111"/>
      <c r="Z982" s="1111"/>
      <c r="AA982" s="1111"/>
      <c r="AB982" s="1111"/>
      <c r="AC982" s="1111"/>
      <c r="AD982" s="1111"/>
      <c r="AE982" s="1111"/>
      <c r="AF982" s="1111"/>
      <c r="AG982" s="1111"/>
    </row>
    <row r="983" spans="1:33" s="1295" customFormat="1">
      <c r="A983" s="1264"/>
      <c r="D983" s="1118"/>
      <c r="E983" s="1264"/>
      <c r="F983" s="1118"/>
      <c r="G983" s="1118"/>
      <c r="H983" s="1118"/>
      <c r="I983" s="1118"/>
      <c r="J983" s="1118"/>
      <c r="K983" s="1118"/>
      <c r="L983" s="1118"/>
      <c r="M983" s="1118"/>
      <c r="N983" s="1118"/>
      <c r="O983" s="1118"/>
      <c r="P983" s="1118"/>
      <c r="Q983" s="1111"/>
      <c r="R983" s="1111"/>
      <c r="S983" s="1111"/>
      <c r="T983" s="1111"/>
      <c r="U983" s="1111"/>
      <c r="V983" s="1111"/>
      <c r="W983" s="1111"/>
      <c r="X983" s="1111"/>
      <c r="Y983" s="1111"/>
      <c r="Z983" s="1111"/>
      <c r="AA983" s="1111"/>
      <c r="AB983" s="1111"/>
      <c r="AC983" s="1111"/>
      <c r="AD983" s="1111"/>
      <c r="AE983" s="1111"/>
      <c r="AF983" s="1111"/>
      <c r="AG983" s="1111"/>
    </row>
    <row r="984" spans="1:33" s="1295" customFormat="1">
      <c r="A984" s="1264"/>
      <c r="D984" s="1118"/>
      <c r="E984" s="1264"/>
      <c r="F984" s="1118"/>
      <c r="G984" s="1118"/>
      <c r="H984" s="1118"/>
      <c r="I984" s="1118"/>
      <c r="J984" s="1118"/>
      <c r="K984" s="1118"/>
      <c r="L984" s="1118"/>
      <c r="M984" s="1118"/>
      <c r="N984" s="1118"/>
      <c r="O984" s="1118"/>
      <c r="P984" s="1118"/>
      <c r="Q984" s="1111"/>
      <c r="R984" s="1111"/>
      <c r="S984" s="1111"/>
      <c r="T984" s="1111"/>
      <c r="U984" s="1111"/>
      <c r="V984" s="1111"/>
      <c r="W984" s="1111"/>
      <c r="X984" s="1111"/>
      <c r="Y984" s="1111"/>
      <c r="Z984" s="1111"/>
      <c r="AA984" s="1111"/>
      <c r="AB984" s="1111"/>
      <c r="AC984" s="1111"/>
      <c r="AD984" s="1111"/>
      <c r="AE984" s="1111"/>
      <c r="AF984" s="1111"/>
      <c r="AG984" s="1111"/>
    </row>
    <row r="985" spans="1:33" s="1295" customFormat="1">
      <c r="A985" s="1264"/>
      <c r="D985" s="1118"/>
      <c r="E985" s="1264"/>
      <c r="F985" s="1118"/>
      <c r="G985" s="1118"/>
      <c r="H985" s="1118"/>
      <c r="I985" s="1118"/>
      <c r="J985" s="1118"/>
      <c r="K985" s="1118"/>
      <c r="L985" s="1118"/>
      <c r="M985" s="1118"/>
      <c r="N985" s="1118"/>
      <c r="O985" s="1118"/>
      <c r="P985" s="1118"/>
      <c r="Q985" s="1111"/>
      <c r="R985" s="1111"/>
      <c r="S985" s="1111"/>
      <c r="T985" s="1111"/>
      <c r="U985" s="1111"/>
      <c r="V985" s="1111"/>
      <c r="W985" s="1111"/>
      <c r="X985" s="1111"/>
      <c r="Y985" s="1111"/>
      <c r="Z985" s="1111"/>
      <c r="AA985" s="1111"/>
      <c r="AB985" s="1111"/>
      <c r="AC985" s="1111"/>
      <c r="AD985" s="1111"/>
      <c r="AE985" s="1111"/>
      <c r="AF985" s="1111"/>
      <c r="AG985" s="1111"/>
    </row>
    <row r="986" spans="1:33" s="1295" customFormat="1">
      <c r="A986" s="1264"/>
      <c r="D986" s="1118"/>
      <c r="E986" s="1264"/>
      <c r="F986" s="1118"/>
      <c r="G986" s="1118"/>
      <c r="H986" s="1118"/>
      <c r="I986" s="1118"/>
      <c r="J986" s="1118"/>
      <c r="K986" s="1118"/>
      <c r="L986" s="1118"/>
      <c r="M986" s="1118"/>
      <c r="N986" s="1118"/>
      <c r="O986" s="1118"/>
      <c r="P986" s="1118"/>
      <c r="Q986" s="1111"/>
      <c r="R986" s="1111"/>
      <c r="S986" s="1111"/>
      <c r="T986" s="1111"/>
      <c r="U986" s="1111"/>
      <c r="V986" s="1111"/>
      <c r="W986" s="1111"/>
      <c r="X986" s="1111"/>
      <c r="Y986" s="1111"/>
      <c r="Z986" s="1111"/>
      <c r="AA986" s="1111"/>
      <c r="AB986" s="1111"/>
      <c r="AC986" s="1111"/>
      <c r="AD986" s="1111"/>
      <c r="AE986" s="1111"/>
      <c r="AF986" s="1111"/>
      <c r="AG986" s="1111"/>
    </row>
    <row r="987" spans="1:33" s="1295" customFormat="1">
      <c r="A987" s="1264"/>
      <c r="D987" s="1118"/>
      <c r="E987" s="1264"/>
      <c r="F987" s="1118"/>
      <c r="G987" s="1118"/>
      <c r="H987" s="1118"/>
      <c r="I987" s="1118"/>
      <c r="J987" s="1118"/>
      <c r="K987" s="1118"/>
      <c r="L987" s="1118"/>
      <c r="M987" s="1118"/>
      <c r="N987" s="1118"/>
      <c r="O987" s="1118"/>
      <c r="P987" s="1118"/>
      <c r="Q987" s="1111"/>
      <c r="R987" s="1111"/>
      <c r="S987" s="1111"/>
      <c r="T987" s="1111"/>
      <c r="U987" s="1111"/>
      <c r="V987" s="1111"/>
      <c r="W987" s="1111"/>
      <c r="X987" s="1111"/>
      <c r="Y987" s="1111"/>
      <c r="Z987" s="1111"/>
      <c r="AA987" s="1111"/>
      <c r="AB987" s="1111"/>
      <c r="AC987" s="1111"/>
      <c r="AD987" s="1111"/>
      <c r="AE987" s="1111"/>
      <c r="AF987" s="1111"/>
      <c r="AG987" s="1111"/>
    </row>
    <row r="988" spans="1:33" s="1295" customFormat="1">
      <c r="A988" s="1264"/>
      <c r="D988" s="1118"/>
      <c r="E988" s="1264"/>
      <c r="F988" s="1118"/>
      <c r="G988" s="1118"/>
      <c r="H988" s="1118"/>
      <c r="I988" s="1118"/>
      <c r="J988" s="1118"/>
      <c r="K988" s="1118"/>
      <c r="L988" s="1118"/>
      <c r="M988" s="1118"/>
      <c r="N988" s="1118"/>
      <c r="O988" s="1118"/>
      <c r="P988" s="1118"/>
      <c r="Q988" s="1111"/>
      <c r="R988" s="1111"/>
      <c r="S988" s="1111"/>
      <c r="T988" s="1111"/>
      <c r="U988" s="1111"/>
      <c r="V988" s="1111"/>
      <c r="W988" s="1111"/>
      <c r="X988" s="1111"/>
      <c r="Y988" s="1111"/>
      <c r="Z988" s="1111"/>
      <c r="AA988" s="1111"/>
      <c r="AB988" s="1111"/>
      <c r="AC988" s="1111"/>
      <c r="AD988" s="1111"/>
      <c r="AE988" s="1111"/>
      <c r="AF988" s="1111"/>
      <c r="AG988" s="1111"/>
    </row>
    <row r="989" spans="1:33" s="1295" customFormat="1">
      <c r="A989" s="1264"/>
      <c r="D989" s="1118"/>
      <c r="E989" s="1264"/>
      <c r="F989" s="1118"/>
      <c r="G989" s="1118"/>
      <c r="H989" s="1118"/>
      <c r="I989" s="1118"/>
      <c r="J989" s="1118"/>
      <c r="K989" s="1118"/>
      <c r="L989" s="1118"/>
      <c r="M989" s="1118"/>
      <c r="N989" s="1118"/>
      <c r="O989" s="1118"/>
      <c r="P989" s="1118"/>
      <c r="Q989" s="1111"/>
      <c r="R989" s="1111"/>
      <c r="S989" s="1111"/>
      <c r="T989" s="1111"/>
      <c r="U989" s="1111"/>
      <c r="V989" s="1111"/>
      <c r="W989" s="1111"/>
      <c r="X989" s="1111"/>
      <c r="Y989" s="1111"/>
      <c r="Z989" s="1111"/>
      <c r="AA989" s="1111"/>
      <c r="AB989" s="1111"/>
      <c r="AC989" s="1111"/>
      <c r="AD989" s="1111"/>
      <c r="AE989" s="1111"/>
      <c r="AF989" s="1111"/>
      <c r="AG989" s="1111"/>
    </row>
    <row r="990" spans="1:33" s="1295" customFormat="1">
      <c r="A990" s="1264"/>
      <c r="D990" s="1118"/>
      <c r="E990" s="1264"/>
      <c r="F990" s="1118"/>
      <c r="G990" s="1118"/>
      <c r="H990" s="1118"/>
      <c r="I990" s="1118"/>
      <c r="J990" s="1118"/>
      <c r="K990" s="1118"/>
      <c r="L990" s="1118"/>
      <c r="M990" s="1118"/>
      <c r="N990" s="1118"/>
      <c r="O990" s="1118"/>
      <c r="P990" s="1118"/>
      <c r="Q990" s="1111"/>
      <c r="R990" s="1111"/>
      <c r="S990" s="1111"/>
      <c r="T990" s="1111"/>
      <c r="U990" s="1111"/>
      <c r="V990" s="1111"/>
      <c r="W990" s="1111"/>
      <c r="X990" s="1111"/>
      <c r="Y990" s="1111"/>
      <c r="Z990" s="1111"/>
      <c r="AA990" s="1111"/>
      <c r="AB990" s="1111"/>
      <c r="AC990" s="1111"/>
      <c r="AD990" s="1111"/>
      <c r="AE990" s="1111"/>
      <c r="AF990" s="1111"/>
      <c r="AG990" s="1111"/>
    </row>
    <row r="991" spans="1:33" s="1295" customFormat="1">
      <c r="A991" s="1264"/>
      <c r="D991" s="1118"/>
      <c r="E991" s="1264"/>
      <c r="F991" s="1118"/>
      <c r="G991" s="1118"/>
      <c r="H991" s="1118"/>
      <c r="I991" s="1118"/>
      <c r="J991" s="1118"/>
      <c r="K991" s="1118"/>
      <c r="L991" s="1118"/>
      <c r="M991" s="1118"/>
      <c r="N991" s="1118"/>
      <c r="O991" s="1118"/>
      <c r="P991" s="1118"/>
      <c r="Q991" s="1111"/>
      <c r="R991" s="1111"/>
      <c r="S991" s="1111"/>
      <c r="T991" s="1111"/>
      <c r="U991" s="1111"/>
      <c r="V991" s="1111"/>
      <c r="W991" s="1111"/>
      <c r="X991" s="1111"/>
      <c r="Y991" s="1111"/>
      <c r="Z991" s="1111"/>
      <c r="AA991" s="1111"/>
      <c r="AB991" s="1111"/>
      <c r="AC991" s="1111"/>
      <c r="AD991" s="1111"/>
      <c r="AE991" s="1111"/>
      <c r="AF991" s="1111"/>
      <c r="AG991" s="1111"/>
    </row>
    <row r="992" spans="1:33" s="1295" customFormat="1">
      <c r="A992" s="1264"/>
      <c r="D992" s="1118"/>
      <c r="E992" s="1264"/>
      <c r="F992" s="1118"/>
      <c r="G992" s="1118"/>
      <c r="H992" s="1118"/>
      <c r="I992" s="1118"/>
      <c r="J992" s="1118"/>
      <c r="K992" s="1118"/>
      <c r="L992" s="1118"/>
      <c r="M992" s="1118"/>
      <c r="N992" s="1118"/>
      <c r="O992" s="1118"/>
      <c r="P992" s="1118"/>
      <c r="Q992" s="1111"/>
      <c r="R992" s="1111"/>
      <c r="S992" s="1111"/>
      <c r="T992" s="1111"/>
      <c r="U992" s="1111"/>
      <c r="V992" s="1111"/>
      <c r="W992" s="1111"/>
      <c r="X992" s="1111"/>
      <c r="Y992" s="1111"/>
      <c r="Z992" s="1111"/>
      <c r="AA992" s="1111"/>
      <c r="AB992" s="1111"/>
      <c r="AC992" s="1111"/>
      <c r="AD992" s="1111"/>
      <c r="AE992" s="1111"/>
      <c r="AF992" s="1111"/>
      <c r="AG992" s="1111"/>
    </row>
    <row r="993" spans="1:33" s="1295" customFormat="1">
      <c r="A993" s="1264"/>
      <c r="D993" s="1118"/>
      <c r="E993" s="1264"/>
      <c r="F993" s="1118"/>
      <c r="G993" s="1118"/>
      <c r="H993" s="1118"/>
      <c r="I993" s="1118"/>
      <c r="J993" s="1118"/>
      <c r="K993" s="1118"/>
      <c r="L993" s="1118"/>
      <c r="M993" s="1118"/>
      <c r="N993" s="1118"/>
      <c r="O993" s="1118"/>
      <c r="P993" s="1118"/>
      <c r="Q993" s="1111"/>
      <c r="R993" s="1111"/>
      <c r="S993" s="1111"/>
      <c r="T993" s="1111"/>
      <c r="U993" s="1111"/>
      <c r="V993" s="1111"/>
      <c r="W993" s="1111"/>
      <c r="X993" s="1111"/>
      <c r="Y993" s="1111"/>
      <c r="Z993" s="1111"/>
      <c r="AA993" s="1111"/>
      <c r="AB993" s="1111"/>
      <c r="AC993" s="1111"/>
      <c r="AD993" s="1111"/>
      <c r="AE993" s="1111"/>
      <c r="AF993" s="1111"/>
      <c r="AG993" s="1111"/>
    </row>
    <row r="994" spans="1:33" s="1295" customFormat="1">
      <c r="A994" s="1264"/>
      <c r="D994" s="1118"/>
      <c r="E994" s="1264"/>
      <c r="F994" s="1118"/>
      <c r="G994" s="1118"/>
      <c r="H994" s="1118"/>
      <c r="I994" s="1118"/>
      <c r="J994" s="1118"/>
      <c r="K994" s="1118"/>
      <c r="L994" s="1118"/>
      <c r="M994" s="1118"/>
      <c r="N994" s="1118"/>
      <c r="O994" s="1118"/>
      <c r="P994" s="1118"/>
      <c r="Q994" s="1111"/>
      <c r="R994" s="1111"/>
      <c r="S994" s="1111"/>
      <c r="T994" s="1111"/>
      <c r="U994" s="1111"/>
      <c r="V994" s="1111"/>
      <c r="W994" s="1111"/>
      <c r="X994" s="1111"/>
      <c r="Y994" s="1111"/>
      <c r="Z994" s="1111"/>
      <c r="AA994" s="1111"/>
      <c r="AB994" s="1111"/>
      <c r="AC994" s="1111"/>
      <c r="AD994" s="1111"/>
      <c r="AE994" s="1111"/>
      <c r="AF994" s="1111"/>
      <c r="AG994" s="1111"/>
    </row>
    <row r="995" spans="1:33" s="1295" customFormat="1">
      <c r="A995" s="1264"/>
      <c r="D995" s="1118"/>
      <c r="E995" s="1264"/>
      <c r="F995" s="1118"/>
      <c r="G995" s="1118"/>
      <c r="H995" s="1118"/>
      <c r="I995" s="1118"/>
      <c r="J995" s="1118"/>
      <c r="K995" s="1118"/>
      <c r="L995" s="1118"/>
      <c r="M995" s="1118"/>
      <c r="N995" s="1118"/>
      <c r="O995" s="1118"/>
      <c r="P995" s="1118"/>
      <c r="Q995" s="1111"/>
      <c r="R995" s="1111"/>
      <c r="S995" s="1111"/>
      <c r="T995" s="1111"/>
      <c r="U995" s="1111"/>
      <c r="V995" s="1111"/>
      <c r="W995" s="1111"/>
      <c r="X995" s="1111"/>
      <c r="Y995" s="1111"/>
      <c r="Z995" s="1111"/>
      <c r="AA995" s="1111"/>
      <c r="AB995" s="1111"/>
      <c r="AC995" s="1111"/>
      <c r="AD995" s="1111"/>
      <c r="AE995" s="1111"/>
      <c r="AF995" s="1111"/>
      <c r="AG995" s="1111"/>
    </row>
    <row r="996" spans="1:33" s="1295" customFormat="1">
      <c r="A996" s="1264"/>
      <c r="D996" s="1118"/>
      <c r="E996" s="1264"/>
      <c r="F996" s="1118"/>
      <c r="G996" s="1118"/>
      <c r="H996" s="1118"/>
      <c r="I996" s="1118"/>
      <c r="J996" s="1118"/>
      <c r="K996" s="1118"/>
      <c r="L996" s="1118"/>
      <c r="M996" s="1118"/>
      <c r="N996" s="1118"/>
      <c r="O996" s="1118"/>
      <c r="P996" s="1118"/>
      <c r="Q996" s="1111"/>
      <c r="R996" s="1111"/>
      <c r="S996" s="1111"/>
      <c r="T996" s="1111"/>
      <c r="U996" s="1111"/>
      <c r="V996" s="1111"/>
      <c r="W996" s="1111"/>
      <c r="X996" s="1111"/>
      <c r="Y996" s="1111"/>
      <c r="Z996" s="1111"/>
      <c r="AA996" s="1111"/>
      <c r="AB996" s="1111"/>
      <c r="AC996" s="1111"/>
      <c r="AD996" s="1111"/>
      <c r="AE996" s="1111"/>
      <c r="AF996" s="1111"/>
      <c r="AG996" s="1111"/>
    </row>
    <row r="997" spans="1:33" s="1295" customFormat="1">
      <c r="A997" s="1264"/>
      <c r="D997" s="1118"/>
      <c r="E997" s="1264"/>
      <c r="F997" s="1118"/>
      <c r="G997" s="1118"/>
      <c r="H997" s="1118"/>
      <c r="I997" s="1118"/>
      <c r="J997" s="1118"/>
      <c r="K997" s="1118"/>
      <c r="L997" s="1118"/>
      <c r="M997" s="1118"/>
      <c r="N997" s="1118"/>
      <c r="O997" s="1118"/>
      <c r="P997" s="1118"/>
      <c r="Q997" s="1111"/>
      <c r="R997" s="1111"/>
      <c r="S997" s="1111"/>
      <c r="T997" s="1111"/>
      <c r="U997" s="1111"/>
      <c r="V997" s="1111"/>
      <c r="W997" s="1111"/>
      <c r="X997" s="1111"/>
      <c r="Y997" s="1111"/>
      <c r="Z997" s="1111"/>
      <c r="AA997" s="1111"/>
      <c r="AB997" s="1111"/>
      <c r="AC997" s="1111"/>
      <c r="AD997" s="1111"/>
      <c r="AE997" s="1111"/>
      <c r="AF997" s="1111"/>
      <c r="AG997" s="1111"/>
    </row>
    <row r="998" spans="1:33" s="1295" customFormat="1">
      <c r="A998" s="1264"/>
      <c r="D998" s="1118"/>
      <c r="E998" s="1264"/>
      <c r="F998" s="1118"/>
      <c r="G998" s="1118"/>
      <c r="H998" s="1118"/>
      <c r="I998" s="1118"/>
      <c r="J998" s="1118"/>
      <c r="K998" s="1118"/>
      <c r="L998" s="1118"/>
      <c r="M998" s="1118"/>
      <c r="N998" s="1118"/>
      <c r="O998" s="1118"/>
      <c r="P998" s="1118"/>
      <c r="Q998" s="1111"/>
      <c r="R998" s="1111"/>
      <c r="S998" s="1111"/>
      <c r="T998" s="1111"/>
      <c r="U998" s="1111"/>
      <c r="V998" s="1111"/>
      <c r="W998" s="1111"/>
      <c r="X998" s="1111"/>
      <c r="Y998" s="1111"/>
      <c r="Z998" s="1111"/>
      <c r="AA998" s="1111"/>
      <c r="AB998" s="1111"/>
      <c r="AC998" s="1111"/>
      <c r="AD998" s="1111"/>
      <c r="AE998" s="1111"/>
      <c r="AF998" s="1111"/>
      <c r="AG998" s="1111"/>
    </row>
    <row r="999" spans="1:33" s="1295" customFormat="1">
      <c r="A999" s="1264"/>
      <c r="D999" s="1118"/>
      <c r="E999" s="1264"/>
      <c r="F999" s="1118"/>
      <c r="G999" s="1118"/>
      <c r="H999" s="1118"/>
      <c r="I999" s="1118"/>
      <c r="J999" s="1118"/>
      <c r="K999" s="1118"/>
      <c r="L999" s="1118"/>
      <c r="M999" s="1118"/>
      <c r="N999" s="1118"/>
      <c r="O999" s="1118"/>
      <c r="P999" s="1118"/>
      <c r="Q999" s="1111"/>
      <c r="R999" s="1111"/>
      <c r="S999" s="1111"/>
      <c r="T999" s="1111"/>
      <c r="U999" s="1111"/>
      <c r="V999" s="1111"/>
      <c r="W999" s="1111"/>
      <c r="X999" s="1111"/>
      <c r="Y999" s="1111"/>
      <c r="Z999" s="1111"/>
      <c r="AA999" s="1111"/>
      <c r="AB999" s="1111"/>
      <c r="AC999" s="1111"/>
      <c r="AD999" s="1111"/>
      <c r="AE999" s="1111"/>
      <c r="AF999" s="1111"/>
      <c r="AG999" s="1111"/>
    </row>
    <row r="1000" spans="1:33" s="1295" customFormat="1">
      <c r="A1000" s="1264"/>
      <c r="D1000" s="1118"/>
      <c r="E1000" s="1264"/>
      <c r="F1000" s="1118"/>
      <c r="G1000" s="1118"/>
      <c r="H1000" s="1118"/>
      <c r="I1000" s="1118"/>
      <c r="J1000" s="1118"/>
      <c r="K1000" s="1118"/>
      <c r="L1000" s="1118"/>
      <c r="M1000" s="1118"/>
      <c r="N1000" s="1118"/>
      <c r="O1000" s="1118"/>
      <c r="P1000" s="1118"/>
      <c r="Q1000" s="1111"/>
      <c r="R1000" s="1111"/>
      <c r="S1000" s="1111"/>
      <c r="T1000" s="1111"/>
      <c r="U1000" s="1111"/>
      <c r="V1000" s="1111"/>
      <c r="W1000" s="1111"/>
      <c r="X1000" s="1111"/>
      <c r="Y1000" s="1111"/>
      <c r="Z1000" s="1111"/>
      <c r="AA1000" s="1111"/>
      <c r="AB1000" s="1111"/>
      <c r="AC1000" s="1111"/>
      <c r="AD1000" s="1111"/>
      <c r="AE1000" s="1111"/>
      <c r="AF1000" s="1111"/>
      <c r="AG1000" s="1111"/>
    </row>
    <row r="1001" spans="1:33" s="1295" customFormat="1">
      <c r="A1001" s="1264"/>
      <c r="D1001" s="1118"/>
      <c r="E1001" s="1264"/>
      <c r="F1001" s="1118"/>
      <c r="G1001" s="1118"/>
      <c r="H1001" s="1118"/>
      <c r="I1001" s="1118"/>
      <c r="J1001" s="1118"/>
      <c r="K1001" s="1118"/>
      <c r="L1001" s="1118"/>
      <c r="M1001" s="1118"/>
      <c r="N1001" s="1118"/>
      <c r="O1001" s="1118"/>
      <c r="P1001" s="1118"/>
      <c r="Q1001" s="1111"/>
      <c r="R1001" s="1111"/>
      <c r="S1001" s="1111"/>
      <c r="T1001" s="1111"/>
      <c r="U1001" s="1111"/>
      <c r="V1001" s="1111"/>
      <c r="W1001" s="1111"/>
      <c r="X1001" s="1111"/>
      <c r="Y1001" s="1111"/>
      <c r="Z1001" s="1111"/>
      <c r="AA1001" s="1111"/>
      <c r="AB1001" s="1111"/>
      <c r="AC1001" s="1111"/>
      <c r="AD1001" s="1111"/>
      <c r="AE1001" s="1111"/>
      <c r="AF1001" s="1111"/>
      <c r="AG1001" s="1111"/>
    </row>
    <row r="1002" spans="1:33" s="1295" customFormat="1">
      <c r="A1002" s="1264"/>
      <c r="D1002" s="1118"/>
      <c r="E1002" s="1264"/>
      <c r="F1002" s="1118"/>
      <c r="G1002" s="1118"/>
      <c r="H1002" s="1118"/>
      <c r="I1002" s="1118"/>
      <c r="J1002" s="1118"/>
      <c r="K1002" s="1118"/>
      <c r="L1002" s="1118"/>
      <c r="M1002" s="1118"/>
      <c r="N1002" s="1118"/>
      <c r="O1002" s="1118"/>
      <c r="P1002" s="1118"/>
      <c r="Q1002" s="1111"/>
      <c r="R1002" s="1111"/>
      <c r="S1002" s="1111"/>
      <c r="T1002" s="1111"/>
      <c r="U1002" s="1111"/>
      <c r="V1002" s="1111"/>
      <c r="W1002" s="1111"/>
      <c r="X1002" s="1111"/>
      <c r="Y1002" s="1111"/>
      <c r="Z1002" s="1111"/>
      <c r="AA1002" s="1111"/>
      <c r="AB1002" s="1111"/>
      <c r="AC1002" s="1111"/>
      <c r="AD1002" s="1111"/>
      <c r="AE1002" s="1111"/>
      <c r="AF1002" s="1111"/>
      <c r="AG1002" s="1111"/>
    </row>
    <row r="1003" spans="1:33" s="1295" customFormat="1">
      <c r="A1003" s="1264"/>
      <c r="D1003" s="1118"/>
      <c r="E1003" s="1264"/>
      <c r="F1003" s="1118"/>
      <c r="G1003" s="1118"/>
      <c r="H1003" s="1118"/>
      <c r="I1003" s="1118"/>
      <c r="J1003" s="1118"/>
      <c r="K1003" s="1118"/>
      <c r="L1003" s="1118"/>
      <c r="M1003" s="1118"/>
      <c r="N1003" s="1118"/>
      <c r="O1003" s="1118"/>
      <c r="P1003" s="1118"/>
      <c r="Q1003" s="1111"/>
      <c r="R1003" s="1111"/>
      <c r="S1003" s="1111"/>
      <c r="T1003" s="1111"/>
      <c r="U1003" s="1111"/>
      <c r="V1003" s="1111"/>
      <c r="W1003" s="1111"/>
      <c r="X1003" s="1111"/>
      <c r="Y1003" s="1111"/>
      <c r="Z1003" s="1111"/>
      <c r="AA1003" s="1111"/>
      <c r="AB1003" s="1111"/>
      <c r="AC1003" s="1111"/>
      <c r="AD1003" s="1111"/>
      <c r="AE1003" s="1111"/>
      <c r="AF1003" s="1111"/>
      <c r="AG1003" s="1111"/>
    </row>
    <row r="1004" spans="1:33" s="1295" customFormat="1">
      <c r="A1004" s="1264"/>
      <c r="D1004" s="1118"/>
      <c r="E1004" s="1264"/>
      <c r="F1004" s="1118"/>
      <c r="G1004" s="1118"/>
      <c r="H1004" s="1118"/>
      <c r="I1004" s="1118"/>
      <c r="J1004" s="1118"/>
      <c r="K1004" s="1118"/>
      <c r="L1004" s="1118"/>
      <c r="M1004" s="1118"/>
      <c r="N1004" s="1118"/>
      <c r="O1004" s="1118"/>
      <c r="P1004" s="1118"/>
      <c r="Q1004" s="1111"/>
      <c r="R1004" s="1111"/>
      <c r="S1004" s="1111"/>
      <c r="T1004" s="1111"/>
      <c r="U1004" s="1111"/>
      <c r="V1004" s="1111"/>
      <c r="W1004" s="1111"/>
      <c r="X1004" s="1111"/>
      <c r="Y1004" s="1111"/>
      <c r="Z1004" s="1111"/>
      <c r="AA1004" s="1111"/>
      <c r="AB1004" s="1111"/>
      <c r="AC1004" s="1111"/>
      <c r="AD1004" s="1111"/>
      <c r="AE1004" s="1111"/>
      <c r="AF1004" s="1111"/>
      <c r="AG1004" s="1111"/>
    </row>
    <row r="1005" spans="1:33" s="1295" customFormat="1">
      <c r="A1005" s="1264"/>
      <c r="D1005" s="1118"/>
      <c r="E1005" s="1264"/>
      <c r="F1005" s="1118"/>
      <c r="G1005" s="1118"/>
      <c r="H1005" s="1118"/>
      <c r="I1005" s="1118"/>
      <c r="J1005" s="1118"/>
      <c r="K1005" s="1118"/>
      <c r="L1005" s="1118"/>
      <c r="M1005" s="1118"/>
      <c r="N1005" s="1118"/>
      <c r="O1005" s="1118"/>
      <c r="P1005" s="1118"/>
      <c r="Q1005" s="1111"/>
      <c r="R1005" s="1111"/>
      <c r="S1005" s="1111"/>
      <c r="T1005" s="1111"/>
      <c r="U1005" s="1111"/>
      <c r="V1005" s="1111"/>
      <c r="W1005" s="1111"/>
      <c r="X1005" s="1111"/>
      <c r="Y1005" s="1111"/>
      <c r="Z1005" s="1111"/>
      <c r="AA1005" s="1111"/>
      <c r="AB1005" s="1111"/>
      <c r="AC1005" s="1111"/>
      <c r="AD1005" s="1111"/>
      <c r="AE1005" s="1111"/>
      <c r="AF1005" s="1111"/>
      <c r="AG1005" s="1111"/>
    </row>
    <row r="1006" spans="1:33" s="1295" customFormat="1">
      <c r="A1006" s="1264"/>
      <c r="D1006" s="1118"/>
      <c r="E1006" s="1264"/>
      <c r="F1006" s="1118"/>
      <c r="G1006" s="1118"/>
      <c r="H1006" s="1118"/>
      <c r="I1006" s="1118"/>
      <c r="J1006" s="1118"/>
      <c r="K1006" s="1118"/>
      <c r="L1006" s="1118"/>
      <c r="M1006" s="1118"/>
      <c r="N1006" s="1118"/>
      <c r="O1006" s="1118"/>
      <c r="P1006" s="1118"/>
      <c r="Q1006" s="1111"/>
      <c r="R1006" s="1111"/>
      <c r="S1006" s="1111"/>
      <c r="T1006" s="1111"/>
      <c r="U1006" s="1111"/>
      <c r="V1006" s="1111"/>
      <c r="W1006" s="1111"/>
      <c r="X1006" s="1111"/>
      <c r="Y1006" s="1111"/>
      <c r="Z1006" s="1111"/>
      <c r="AA1006" s="1111"/>
      <c r="AB1006" s="1111"/>
      <c r="AC1006" s="1111"/>
      <c r="AD1006" s="1111"/>
      <c r="AE1006" s="1111"/>
      <c r="AF1006" s="1111"/>
      <c r="AG1006" s="1111"/>
    </row>
    <row r="1007" spans="1:33" s="1295" customFormat="1">
      <c r="A1007" s="1264"/>
      <c r="D1007" s="1118"/>
      <c r="E1007" s="1264"/>
      <c r="F1007" s="1118"/>
      <c r="G1007" s="1118"/>
      <c r="H1007" s="1118"/>
      <c r="I1007" s="1118"/>
      <c r="J1007" s="1118"/>
      <c r="K1007" s="1118"/>
      <c r="L1007" s="1118"/>
      <c r="M1007" s="1118"/>
      <c r="N1007" s="1118"/>
      <c r="O1007" s="1118"/>
      <c r="P1007" s="1118"/>
      <c r="Q1007" s="1111"/>
      <c r="R1007" s="1111"/>
      <c r="S1007" s="1111"/>
      <c r="T1007" s="1111"/>
      <c r="U1007" s="1111"/>
      <c r="V1007" s="1111"/>
      <c r="W1007" s="1111"/>
      <c r="X1007" s="1111"/>
      <c r="Y1007" s="1111"/>
      <c r="Z1007" s="1111"/>
      <c r="AA1007" s="1111"/>
      <c r="AB1007" s="1111"/>
      <c r="AC1007" s="1111"/>
      <c r="AD1007" s="1111"/>
      <c r="AE1007" s="1111"/>
      <c r="AF1007" s="1111"/>
      <c r="AG1007" s="1111"/>
    </row>
    <row r="1008" spans="1:33" s="1295" customFormat="1">
      <c r="A1008" s="1264"/>
      <c r="D1008" s="1118"/>
      <c r="E1008" s="1264"/>
      <c r="F1008" s="1118"/>
      <c r="G1008" s="1118"/>
      <c r="H1008" s="1118"/>
      <c r="I1008" s="1118"/>
      <c r="J1008" s="1118"/>
      <c r="K1008" s="1118"/>
      <c r="L1008" s="1118"/>
      <c r="M1008" s="1118"/>
      <c r="N1008" s="1118"/>
      <c r="O1008" s="1118"/>
      <c r="P1008" s="1118"/>
      <c r="Q1008" s="1111"/>
      <c r="R1008" s="1111"/>
      <c r="S1008" s="1111"/>
      <c r="T1008" s="1111"/>
      <c r="U1008" s="1111"/>
      <c r="V1008" s="1111"/>
      <c r="W1008" s="1111"/>
      <c r="X1008" s="1111"/>
      <c r="Y1008" s="1111"/>
      <c r="Z1008" s="1111"/>
      <c r="AA1008" s="1111"/>
      <c r="AB1008" s="1111"/>
      <c r="AC1008" s="1111"/>
      <c r="AD1008" s="1111"/>
      <c r="AE1008" s="1111"/>
      <c r="AF1008" s="1111"/>
      <c r="AG1008" s="1111"/>
    </row>
    <row r="1009" spans="1:33" s="1295" customFormat="1">
      <c r="A1009" s="1264"/>
      <c r="D1009" s="1118"/>
      <c r="E1009" s="1264"/>
      <c r="F1009" s="1118"/>
      <c r="G1009" s="1118"/>
      <c r="H1009" s="1118"/>
      <c r="I1009" s="1118"/>
      <c r="J1009" s="1118"/>
      <c r="K1009" s="1118"/>
      <c r="L1009" s="1118"/>
      <c r="M1009" s="1118"/>
      <c r="N1009" s="1118"/>
      <c r="O1009" s="1118"/>
      <c r="P1009" s="1118"/>
      <c r="Q1009" s="1111"/>
      <c r="R1009" s="1111"/>
      <c r="S1009" s="1111"/>
      <c r="T1009" s="1111"/>
      <c r="U1009" s="1111"/>
      <c r="V1009" s="1111"/>
      <c r="W1009" s="1111"/>
      <c r="X1009" s="1111"/>
      <c r="Y1009" s="1111"/>
      <c r="Z1009" s="1111"/>
      <c r="AA1009" s="1111"/>
      <c r="AB1009" s="1111"/>
      <c r="AC1009" s="1111"/>
      <c r="AD1009" s="1111"/>
      <c r="AE1009" s="1111"/>
      <c r="AF1009" s="1111"/>
      <c r="AG1009" s="1111"/>
    </row>
    <row r="1010" spans="1:33" s="1295" customFormat="1">
      <c r="A1010" s="1264"/>
      <c r="D1010" s="1118"/>
      <c r="E1010" s="1264"/>
      <c r="F1010" s="1118"/>
      <c r="G1010" s="1118"/>
      <c r="H1010" s="1118"/>
      <c r="I1010" s="1118"/>
      <c r="J1010" s="1118"/>
      <c r="K1010" s="1118"/>
      <c r="L1010" s="1118"/>
      <c r="M1010" s="1118"/>
      <c r="N1010" s="1118"/>
      <c r="O1010" s="1118"/>
      <c r="P1010" s="1118"/>
      <c r="Q1010" s="1111"/>
      <c r="R1010" s="1111"/>
      <c r="S1010" s="1111"/>
      <c r="T1010" s="1111"/>
      <c r="U1010" s="1111"/>
      <c r="V1010" s="1111"/>
      <c r="W1010" s="1111"/>
      <c r="X1010" s="1111"/>
      <c r="Y1010" s="1111"/>
      <c r="Z1010" s="1111"/>
      <c r="AA1010" s="1111"/>
      <c r="AB1010" s="1111"/>
      <c r="AC1010" s="1111"/>
      <c r="AD1010" s="1111"/>
      <c r="AE1010" s="1111"/>
      <c r="AF1010" s="1111"/>
      <c r="AG1010" s="1111"/>
    </row>
    <row r="1011" spans="1:33" s="1295" customFormat="1">
      <c r="A1011" s="1264"/>
      <c r="D1011" s="1118"/>
      <c r="E1011" s="1264"/>
      <c r="F1011" s="1118"/>
      <c r="G1011" s="1118"/>
      <c r="H1011" s="1118"/>
      <c r="I1011" s="1118"/>
      <c r="J1011" s="1118"/>
      <c r="K1011" s="1118"/>
      <c r="L1011" s="1118"/>
      <c r="M1011" s="1118"/>
      <c r="N1011" s="1118"/>
      <c r="O1011" s="1118"/>
      <c r="P1011" s="1118"/>
      <c r="Q1011" s="1111"/>
      <c r="R1011" s="1111"/>
      <c r="S1011" s="1111"/>
      <c r="T1011" s="1111"/>
      <c r="U1011" s="1111"/>
      <c r="V1011" s="1111"/>
      <c r="W1011" s="1111"/>
      <c r="X1011" s="1111"/>
      <c r="Y1011" s="1111"/>
      <c r="Z1011" s="1111"/>
      <c r="AA1011" s="1111"/>
      <c r="AB1011" s="1111"/>
      <c r="AC1011" s="1111"/>
      <c r="AD1011" s="1111"/>
      <c r="AE1011" s="1111"/>
      <c r="AF1011" s="1111"/>
      <c r="AG1011" s="1111"/>
    </row>
    <row r="1012" spans="1:33" s="1295" customFormat="1">
      <c r="A1012" s="1264"/>
      <c r="D1012" s="1118"/>
      <c r="E1012" s="1264"/>
      <c r="F1012" s="1118"/>
      <c r="G1012" s="1118"/>
      <c r="H1012" s="1118"/>
      <c r="I1012" s="1118"/>
      <c r="J1012" s="1118"/>
      <c r="K1012" s="1118"/>
      <c r="L1012" s="1118"/>
      <c r="M1012" s="1118"/>
      <c r="N1012" s="1118"/>
      <c r="O1012" s="1118"/>
      <c r="P1012" s="1118"/>
      <c r="Q1012" s="1111"/>
      <c r="R1012" s="1111"/>
      <c r="S1012" s="1111"/>
      <c r="T1012" s="1111"/>
      <c r="U1012" s="1111"/>
      <c r="V1012" s="1111"/>
      <c r="W1012" s="1111"/>
      <c r="X1012" s="1111"/>
      <c r="Y1012" s="1111"/>
      <c r="Z1012" s="1111"/>
      <c r="AA1012" s="1111"/>
      <c r="AB1012" s="1111"/>
      <c r="AC1012" s="1111"/>
      <c r="AD1012" s="1111"/>
      <c r="AE1012" s="1111"/>
      <c r="AF1012" s="1111"/>
      <c r="AG1012" s="1111"/>
    </row>
    <row r="1013" spans="1:33" s="1295" customFormat="1">
      <c r="A1013" s="1264"/>
      <c r="D1013" s="1118"/>
      <c r="E1013" s="1264"/>
      <c r="F1013" s="1118"/>
      <c r="G1013" s="1118"/>
      <c r="H1013" s="1118"/>
      <c r="I1013" s="1118"/>
      <c r="J1013" s="1118"/>
      <c r="K1013" s="1118"/>
      <c r="L1013" s="1118"/>
      <c r="M1013" s="1118"/>
      <c r="N1013" s="1118"/>
      <c r="O1013" s="1118"/>
      <c r="P1013" s="1118"/>
      <c r="Q1013" s="1111"/>
      <c r="R1013" s="1111"/>
      <c r="S1013" s="1111"/>
      <c r="T1013" s="1111"/>
      <c r="U1013" s="1111"/>
      <c r="V1013" s="1111"/>
      <c r="W1013" s="1111"/>
      <c r="X1013" s="1111"/>
      <c r="Y1013" s="1111"/>
      <c r="Z1013" s="1111"/>
      <c r="AA1013" s="1111"/>
      <c r="AB1013" s="1111"/>
      <c r="AC1013" s="1111"/>
      <c r="AD1013" s="1111"/>
      <c r="AE1013" s="1111"/>
      <c r="AF1013" s="1111"/>
      <c r="AG1013" s="1111"/>
    </row>
    <row r="1014" spans="1:33" s="1295" customFormat="1">
      <c r="A1014" s="1264"/>
      <c r="D1014" s="1118"/>
      <c r="E1014" s="1264"/>
      <c r="F1014" s="1118"/>
      <c r="G1014" s="1118"/>
      <c r="H1014" s="1118"/>
      <c r="I1014" s="1118"/>
      <c r="J1014" s="1118"/>
      <c r="K1014" s="1118"/>
      <c r="L1014" s="1118"/>
      <c r="M1014" s="1118"/>
      <c r="N1014" s="1118"/>
      <c r="O1014" s="1118"/>
      <c r="P1014" s="1118"/>
      <c r="Q1014" s="1111"/>
      <c r="R1014" s="1111"/>
      <c r="S1014" s="1111"/>
      <c r="T1014" s="1111"/>
      <c r="U1014" s="1111"/>
      <c r="V1014" s="1111"/>
      <c r="W1014" s="1111"/>
      <c r="X1014" s="1111"/>
      <c r="Y1014" s="1111"/>
      <c r="Z1014" s="1111"/>
      <c r="AA1014" s="1111"/>
      <c r="AB1014" s="1111"/>
      <c r="AC1014" s="1111"/>
      <c r="AD1014" s="1111"/>
      <c r="AE1014" s="1111"/>
      <c r="AF1014" s="1111"/>
      <c r="AG1014" s="1111"/>
    </row>
    <row r="1015" spans="1:33" s="1295" customFormat="1">
      <c r="A1015" s="1264"/>
      <c r="D1015" s="1118"/>
      <c r="E1015" s="1264"/>
      <c r="F1015" s="1118"/>
      <c r="G1015" s="1118"/>
      <c r="H1015" s="1118"/>
      <c r="I1015" s="1118"/>
      <c r="J1015" s="1118"/>
      <c r="K1015" s="1118"/>
      <c r="L1015" s="1118"/>
      <c r="M1015" s="1118"/>
      <c r="N1015" s="1118"/>
      <c r="O1015" s="1118"/>
      <c r="P1015" s="1118"/>
      <c r="Q1015" s="1111"/>
      <c r="R1015" s="1111"/>
      <c r="S1015" s="1111"/>
      <c r="T1015" s="1111"/>
      <c r="U1015" s="1111"/>
      <c r="V1015" s="1111"/>
      <c r="W1015" s="1111"/>
      <c r="X1015" s="1111"/>
      <c r="Y1015" s="1111"/>
      <c r="Z1015" s="1111"/>
      <c r="AA1015" s="1111"/>
      <c r="AB1015" s="1111"/>
      <c r="AC1015" s="1111"/>
      <c r="AD1015" s="1111"/>
      <c r="AE1015" s="1111"/>
      <c r="AF1015" s="1111"/>
      <c r="AG1015" s="1111"/>
    </row>
    <row r="1016" spans="1:33" s="1295" customFormat="1">
      <c r="A1016" s="1264"/>
      <c r="D1016" s="1118"/>
      <c r="E1016" s="1264"/>
      <c r="F1016" s="1118"/>
      <c r="G1016" s="1118"/>
      <c r="H1016" s="1118"/>
      <c r="I1016" s="1118"/>
      <c r="J1016" s="1118"/>
      <c r="K1016" s="1118"/>
      <c r="L1016" s="1118"/>
      <c r="M1016" s="1118"/>
      <c r="N1016" s="1118"/>
      <c r="O1016" s="1118"/>
      <c r="P1016" s="1118"/>
      <c r="Q1016" s="1111"/>
      <c r="R1016" s="1111"/>
      <c r="S1016" s="1111"/>
      <c r="T1016" s="1111"/>
      <c r="U1016" s="1111"/>
      <c r="V1016" s="1111"/>
      <c r="W1016" s="1111"/>
      <c r="X1016" s="1111"/>
      <c r="Y1016" s="1111"/>
      <c r="Z1016" s="1111"/>
      <c r="AA1016" s="1111"/>
      <c r="AB1016" s="1111"/>
      <c r="AC1016" s="1111"/>
      <c r="AD1016" s="1111"/>
      <c r="AE1016" s="1111"/>
      <c r="AF1016" s="1111"/>
      <c r="AG1016" s="1111"/>
    </row>
    <row r="1017" spans="1:33" s="1295" customFormat="1">
      <c r="A1017" s="1264"/>
      <c r="D1017" s="1118"/>
      <c r="E1017" s="1264"/>
      <c r="F1017" s="1118"/>
      <c r="G1017" s="1118"/>
      <c r="H1017" s="1118"/>
      <c r="I1017" s="1118"/>
      <c r="J1017" s="1118"/>
      <c r="K1017" s="1118"/>
      <c r="L1017" s="1118"/>
      <c r="M1017" s="1118"/>
      <c r="N1017" s="1118"/>
      <c r="O1017" s="1118"/>
      <c r="P1017" s="1118"/>
      <c r="Q1017" s="1111"/>
      <c r="R1017" s="1111"/>
      <c r="S1017" s="1111"/>
      <c r="T1017" s="1111"/>
      <c r="U1017" s="1111"/>
      <c r="V1017" s="1111"/>
      <c r="W1017" s="1111"/>
      <c r="X1017" s="1111"/>
      <c r="Y1017" s="1111"/>
      <c r="Z1017" s="1111"/>
      <c r="AA1017" s="1111"/>
      <c r="AB1017" s="1111"/>
      <c r="AC1017" s="1111"/>
      <c r="AD1017" s="1111"/>
      <c r="AE1017" s="1111"/>
      <c r="AF1017" s="1111"/>
      <c r="AG1017" s="1111"/>
    </row>
    <row r="1018" spans="1:33" s="1295" customFormat="1">
      <c r="A1018" s="1264"/>
      <c r="D1018" s="1118"/>
      <c r="E1018" s="1264"/>
      <c r="F1018" s="1118"/>
      <c r="G1018" s="1118"/>
      <c r="H1018" s="1118"/>
      <c r="I1018" s="1118"/>
      <c r="J1018" s="1118"/>
      <c r="K1018" s="1118"/>
      <c r="L1018" s="1118"/>
      <c r="M1018" s="1118"/>
      <c r="N1018" s="1118"/>
      <c r="O1018" s="1118"/>
      <c r="P1018" s="1118"/>
      <c r="Q1018" s="1111"/>
      <c r="R1018" s="1111"/>
      <c r="S1018" s="1111"/>
      <c r="T1018" s="1111"/>
      <c r="U1018" s="1111"/>
      <c r="V1018" s="1111"/>
      <c r="W1018" s="1111"/>
      <c r="X1018" s="1111"/>
      <c r="Y1018" s="1111"/>
      <c r="Z1018" s="1111"/>
      <c r="AA1018" s="1111"/>
      <c r="AB1018" s="1111"/>
      <c r="AC1018" s="1111"/>
      <c r="AD1018" s="1111"/>
      <c r="AE1018" s="1111"/>
      <c r="AF1018" s="1111"/>
      <c r="AG1018" s="1111"/>
    </row>
    <row r="1019" spans="1:33" s="1295" customFormat="1">
      <c r="A1019" s="1264"/>
      <c r="D1019" s="1118"/>
      <c r="E1019" s="1264"/>
      <c r="F1019" s="1118"/>
      <c r="G1019" s="1118"/>
      <c r="H1019" s="1118"/>
      <c r="I1019" s="1118"/>
      <c r="J1019" s="1118"/>
      <c r="K1019" s="1118"/>
      <c r="L1019" s="1118"/>
      <c r="M1019" s="1118"/>
      <c r="N1019" s="1118"/>
      <c r="O1019" s="1118"/>
      <c r="P1019" s="1118"/>
      <c r="Q1019" s="1111"/>
      <c r="R1019" s="1111"/>
      <c r="S1019" s="1111"/>
      <c r="T1019" s="1111"/>
      <c r="U1019" s="1111"/>
      <c r="V1019" s="1111"/>
      <c r="W1019" s="1111"/>
      <c r="X1019" s="1111"/>
      <c r="Y1019" s="1111"/>
      <c r="Z1019" s="1111"/>
      <c r="AA1019" s="1111"/>
      <c r="AB1019" s="1111"/>
      <c r="AC1019" s="1111"/>
      <c r="AD1019" s="1111"/>
      <c r="AE1019" s="1111"/>
      <c r="AF1019" s="1111"/>
      <c r="AG1019" s="1111"/>
    </row>
    <row r="1020" spans="1:33" s="1295" customFormat="1">
      <c r="A1020" s="1264"/>
      <c r="D1020" s="1118"/>
      <c r="E1020" s="1264"/>
      <c r="F1020" s="1118"/>
      <c r="G1020" s="1118"/>
      <c r="H1020" s="1118"/>
      <c r="I1020" s="1118"/>
      <c r="J1020" s="1118"/>
      <c r="K1020" s="1118"/>
      <c r="L1020" s="1118"/>
      <c r="M1020" s="1118"/>
      <c r="N1020" s="1118"/>
      <c r="O1020" s="1118"/>
      <c r="P1020" s="1118"/>
      <c r="Q1020" s="1111"/>
      <c r="R1020" s="1111"/>
      <c r="S1020" s="1111"/>
      <c r="T1020" s="1111"/>
      <c r="U1020" s="1111"/>
      <c r="V1020" s="1111"/>
      <c r="W1020" s="1111"/>
      <c r="X1020" s="1111"/>
      <c r="Y1020" s="1111"/>
      <c r="Z1020" s="1111"/>
      <c r="AA1020" s="1111"/>
      <c r="AB1020" s="1111"/>
      <c r="AC1020" s="1111"/>
      <c r="AD1020" s="1111"/>
      <c r="AE1020" s="1111"/>
      <c r="AF1020" s="1111"/>
      <c r="AG1020" s="1111"/>
    </row>
    <row r="1021" spans="1:33" s="1295" customFormat="1">
      <c r="A1021" s="1264"/>
      <c r="D1021" s="1118"/>
      <c r="E1021" s="1264"/>
      <c r="F1021" s="1118"/>
      <c r="G1021" s="1118"/>
      <c r="H1021" s="1118"/>
      <c r="I1021" s="1118"/>
      <c r="J1021" s="1118"/>
      <c r="K1021" s="1118"/>
      <c r="L1021" s="1118"/>
      <c r="M1021" s="1118"/>
      <c r="N1021" s="1118"/>
      <c r="O1021" s="1118"/>
      <c r="P1021" s="1118"/>
      <c r="Q1021" s="1111"/>
      <c r="R1021" s="1111"/>
      <c r="S1021" s="1111"/>
      <c r="T1021" s="1111"/>
      <c r="U1021" s="1111"/>
      <c r="V1021" s="1111"/>
      <c r="W1021" s="1111"/>
      <c r="X1021" s="1111"/>
      <c r="Y1021" s="1111"/>
      <c r="Z1021" s="1111"/>
      <c r="AA1021" s="1111"/>
      <c r="AB1021" s="1111"/>
      <c r="AC1021" s="1111"/>
      <c r="AD1021" s="1111"/>
      <c r="AE1021" s="1111"/>
      <c r="AF1021" s="1111"/>
      <c r="AG1021" s="1111"/>
    </row>
    <row r="1022" spans="1:33" s="1295" customFormat="1">
      <c r="A1022" s="1264"/>
      <c r="D1022" s="1118"/>
      <c r="E1022" s="1264"/>
      <c r="F1022" s="1118"/>
      <c r="G1022" s="1118"/>
      <c r="H1022" s="1118"/>
      <c r="I1022" s="1118"/>
      <c r="J1022" s="1118"/>
      <c r="K1022" s="1118"/>
      <c r="L1022" s="1118"/>
      <c r="M1022" s="1118"/>
      <c r="N1022" s="1118"/>
      <c r="O1022" s="1118"/>
      <c r="P1022" s="1118"/>
      <c r="Q1022" s="1111"/>
      <c r="R1022" s="1111"/>
      <c r="S1022" s="1111"/>
      <c r="T1022" s="1111"/>
      <c r="U1022" s="1111"/>
      <c r="V1022" s="1111"/>
      <c r="W1022" s="1111"/>
      <c r="X1022" s="1111"/>
      <c r="Y1022" s="1111"/>
      <c r="Z1022" s="1111"/>
      <c r="AA1022" s="1111"/>
      <c r="AB1022" s="1111"/>
      <c r="AC1022" s="1111"/>
      <c r="AD1022" s="1111"/>
      <c r="AE1022" s="1111"/>
      <c r="AF1022" s="1111"/>
      <c r="AG1022" s="1111"/>
    </row>
    <row r="1023" spans="1:33" s="1295" customFormat="1">
      <c r="A1023" s="1264"/>
      <c r="D1023" s="1118"/>
      <c r="E1023" s="1264"/>
      <c r="F1023" s="1118"/>
      <c r="G1023" s="1118"/>
      <c r="H1023" s="1118"/>
      <c r="I1023" s="1118"/>
      <c r="J1023" s="1118"/>
      <c r="K1023" s="1118"/>
      <c r="L1023" s="1118"/>
      <c r="M1023" s="1118"/>
      <c r="N1023" s="1118"/>
      <c r="O1023" s="1118"/>
      <c r="P1023" s="1118"/>
      <c r="Q1023" s="1111"/>
      <c r="R1023" s="1111"/>
      <c r="S1023" s="1111"/>
      <c r="T1023" s="1111"/>
      <c r="U1023" s="1111"/>
      <c r="V1023" s="1111"/>
      <c r="W1023" s="1111"/>
      <c r="X1023" s="1111"/>
      <c r="Y1023" s="1111"/>
      <c r="Z1023" s="1111"/>
      <c r="AA1023" s="1111"/>
      <c r="AB1023" s="1111"/>
      <c r="AC1023" s="1111"/>
      <c r="AD1023" s="1111"/>
      <c r="AE1023" s="1111"/>
      <c r="AF1023" s="1111"/>
      <c r="AG1023" s="1111"/>
    </row>
    <row r="1024" spans="1:33" s="1295" customFormat="1">
      <c r="A1024" s="1264"/>
      <c r="D1024" s="1118"/>
      <c r="E1024" s="1264"/>
      <c r="F1024" s="1118"/>
      <c r="G1024" s="1118"/>
      <c r="H1024" s="1118"/>
      <c r="I1024" s="1118"/>
      <c r="J1024" s="1118"/>
      <c r="K1024" s="1118"/>
      <c r="L1024" s="1118"/>
      <c r="M1024" s="1118"/>
      <c r="N1024" s="1118"/>
      <c r="O1024" s="1118"/>
      <c r="P1024" s="1118"/>
      <c r="Q1024" s="1111"/>
      <c r="R1024" s="1111"/>
      <c r="S1024" s="1111"/>
      <c r="T1024" s="1111"/>
      <c r="U1024" s="1111"/>
      <c r="V1024" s="1111"/>
      <c r="W1024" s="1111"/>
      <c r="X1024" s="1111"/>
      <c r="Y1024" s="1111"/>
      <c r="Z1024" s="1111"/>
      <c r="AA1024" s="1111"/>
      <c r="AB1024" s="1111"/>
      <c r="AC1024" s="1111"/>
      <c r="AD1024" s="1111"/>
      <c r="AE1024" s="1111"/>
      <c r="AF1024" s="1111"/>
      <c r="AG1024" s="1111"/>
    </row>
    <row r="1025" spans="1:33" s="1295" customFormat="1">
      <c r="A1025" s="1264"/>
      <c r="D1025" s="1118"/>
      <c r="E1025" s="1264"/>
      <c r="F1025" s="1118"/>
      <c r="G1025" s="1118"/>
      <c r="H1025" s="1118"/>
      <c r="I1025" s="1118"/>
      <c r="J1025" s="1118"/>
      <c r="K1025" s="1118"/>
      <c r="L1025" s="1118"/>
      <c r="M1025" s="1118"/>
      <c r="N1025" s="1118"/>
      <c r="O1025" s="1118"/>
      <c r="P1025" s="1118"/>
      <c r="Q1025" s="1111"/>
      <c r="R1025" s="1111"/>
      <c r="S1025" s="1111"/>
      <c r="T1025" s="1111"/>
      <c r="U1025" s="1111"/>
      <c r="V1025" s="1111"/>
      <c r="W1025" s="1111"/>
      <c r="X1025" s="1111"/>
      <c r="Y1025" s="1111"/>
      <c r="Z1025" s="1111"/>
      <c r="AA1025" s="1111"/>
      <c r="AB1025" s="1111"/>
      <c r="AC1025" s="1111"/>
      <c r="AD1025" s="1111"/>
      <c r="AE1025" s="1111"/>
      <c r="AF1025" s="1111"/>
      <c r="AG1025" s="1111"/>
    </row>
    <row r="1026" spans="1:33" s="1295" customFormat="1">
      <c r="A1026" s="1264"/>
      <c r="D1026" s="1118"/>
      <c r="E1026" s="1264"/>
      <c r="F1026" s="1118"/>
      <c r="G1026" s="1118"/>
      <c r="H1026" s="1118"/>
      <c r="I1026" s="1118"/>
      <c r="J1026" s="1118"/>
      <c r="K1026" s="1118"/>
      <c r="L1026" s="1118"/>
      <c r="M1026" s="1118"/>
      <c r="N1026" s="1118"/>
      <c r="O1026" s="1118"/>
      <c r="P1026" s="1118"/>
      <c r="Q1026" s="1111"/>
      <c r="R1026" s="1111"/>
      <c r="S1026" s="1111"/>
      <c r="T1026" s="1111"/>
      <c r="U1026" s="1111"/>
      <c r="V1026" s="1111"/>
      <c r="W1026" s="1111"/>
      <c r="X1026" s="1111"/>
      <c r="Y1026" s="1111"/>
      <c r="Z1026" s="1111"/>
      <c r="AA1026" s="1111"/>
      <c r="AB1026" s="1111"/>
      <c r="AC1026" s="1111"/>
      <c r="AD1026" s="1111"/>
      <c r="AE1026" s="1111"/>
      <c r="AF1026" s="1111"/>
      <c r="AG1026" s="1111"/>
    </row>
    <row r="1027" spans="1:33" s="1295" customFormat="1">
      <c r="A1027" s="1264"/>
      <c r="D1027" s="1118"/>
      <c r="E1027" s="1264"/>
      <c r="F1027" s="1118"/>
      <c r="G1027" s="1118"/>
      <c r="H1027" s="1118"/>
      <c r="I1027" s="1118"/>
      <c r="J1027" s="1118"/>
      <c r="K1027" s="1118"/>
      <c r="L1027" s="1118"/>
      <c r="M1027" s="1118"/>
      <c r="N1027" s="1118"/>
      <c r="O1027" s="1118"/>
      <c r="P1027" s="1118"/>
      <c r="Q1027" s="1111"/>
      <c r="R1027" s="1111"/>
      <c r="S1027" s="1111"/>
      <c r="T1027" s="1111"/>
      <c r="U1027" s="1111"/>
      <c r="V1027" s="1111"/>
      <c r="W1027" s="1111"/>
      <c r="X1027" s="1111"/>
      <c r="Y1027" s="1111"/>
      <c r="Z1027" s="1111"/>
      <c r="AA1027" s="1111"/>
      <c r="AB1027" s="1111"/>
      <c r="AC1027" s="1111"/>
      <c r="AD1027" s="1111"/>
      <c r="AE1027" s="1111"/>
      <c r="AF1027" s="1111"/>
      <c r="AG1027" s="1111"/>
    </row>
    <row r="1028" spans="1:33" s="1295" customFormat="1">
      <c r="A1028" s="1264"/>
      <c r="D1028" s="1118"/>
      <c r="E1028" s="1264"/>
      <c r="F1028" s="1118"/>
      <c r="G1028" s="1118"/>
      <c r="H1028" s="1118"/>
      <c r="I1028" s="1118"/>
      <c r="J1028" s="1118"/>
      <c r="K1028" s="1118"/>
      <c r="L1028" s="1118"/>
      <c r="M1028" s="1118"/>
      <c r="N1028" s="1118"/>
      <c r="O1028" s="1118"/>
      <c r="P1028" s="1118"/>
      <c r="Q1028" s="1111"/>
      <c r="R1028" s="1111"/>
      <c r="S1028" s="1111"/>
      <c r="T1028" s="1111"/>
      <c r="U1028" s="1111"/>
      <c r="V1028" s="1111"/>
      <c r="W1028" s="1111"/>
      <c r="X1028" s="1111"/>
      <c r="Y1028" s="1111"/>
      <c r="Z1028" s="1111"/>
      <c r="AA1028" s="1111"/>
      <c r="AB1028" s="1111"/>
      <c r="AC1028" s="1111"/>
      <c r="AD1028" s="1111"/>
      <c r="AE1028" s="1111"/>
      <c r="AF1028" s="1111"/>
      <c r="AG1028" s="1111"/>
    </row>
    <row r="1029" spans="1:33" s="1295" customFormat="1">
      <c r="A1029" s="1264"/>
      <c r="D1029" s="1118"/>
      <c r="E1029" s="1264"/>
      <c r="F1029" s="1118"/>
      <c r="G1029" s="1118"/>
      <c r="H1029" s="1118"/>
      <c r="I1029" s="1118"/>
      <c r="J1029" s="1118"/>
      <c r="K1029" s="1118"/>
      <c r="L1029" s="1118"/>
      <c r="M1029" s="1118"/>
      <c r="N1029" s="1118"/>
      <c r="O1029" s="1118"/>
      <c r="P1029" s="1118"/>
      <c r="Q1029" s="1111"/>
      <c r="R1029" s="1111"/>
      <c r="S1029" s="1111"/>
      <c r="T1029" s="1111"/>
      <c r="U1029" s="1111"/>
      <c r="V1029" s="1111"/>
      <c r="W1029" s="1111"/>
      <c r="X1029" s="1111"/>
      <c r="Y1029" s="1111"/>
      <c r="Z1029" s="1111"/>
      <c r="AA1029" s="1111"/>
      <c r="AB1029" s="1111"/>
      <c r="AC1029" s="1111"/>
      <c r="AD1029" s="1111"/>
      <c r="AE1029" s="1111"/>
      <c r="AF1029" s="1111"/>
      <c r="AG1029" s="1111"/>
    </row>
    <row r="1030" spans="1:33" s="1295" customFormat="1">
      <c r="A1030" s="1264"/>
      <c r="D1030" s="1118"/>
      <c r="E1030" s="1264"/>
      <c r="F1030" s="1118"/>
      <c r="G1030" s="1118"/>
      <c r="H1030" s="1118"/>
      <c r="I1030" s="1118"/>
      <c r="J1030" s="1118"/>
      <c r="K1030" s="1118"/>
      <c r="L1030" s="1118"/>
      <c r="M1030" s="1118"/>
      <c r="N1030" s="1118"/>
      <c r="O1030" s="1118"/>
      <c r="P1030" s="1118"/>
      <c r="Q1030" s="1111"/>
      <c r="R1030" s="1111"/>
      <c r="S1030" s="1111"/>
      <c r="T1030" s="1111"/>
      <c r="U1030" s="1111"/>
      <c r="V1030" s="1111"/>
      <c r="W1030" s="1111"/>
      <c r="X1030" s="1111"/>
      <c r="Y1030" s="1111"/>
      <c r="Z1030" s="1111"/>
      <c r="AA1030" s="1111"/>
      <c r="AB1030" s="1111"/>
      <c r="AC1030" s="1111"/>
      <c r="AD1030" s="1111"/>
      <c r="AE1030" s="1111"/>
      <c r="AF1030" s="1111"/>
      <c r="AG1030" s="1111"/>
    </row>
    <row r="1031" spans="1:33" s="1295" customFormat="1">
      <c r="A1031" s="1264"/>
      <c r="D1031" s="1118"/>
      <c r="E1031" s="1264"/>
      <c r="F1031" s="1118"/>
      <c r="G1031" s="1118"/>
      <c r="H1031" s="1118"/>
      <c r="I1031" s="1118"/>
      <c r="J1031" s="1118"/>
      <c r="K1031" s="1118"/>
      <c r="L1031" s="1118"/>
      <c r="M1031" s="1118"/>
      <c r="N1031" s="1118"/>
      <c r="O1031" s="1118"/>
      <c r="P1031" s="1118"/>
      <c r="Q1031" s="1111"/>
      <c r="R1031" s="1111"/>
      <c r="S1031" s="1111"/>
      <c r="T1031" s="1111"/>
      <c r="U1031" s="1111"/>
      <c r="V1031" s="1111"/>
      <c r="W1031" s="1111"/>
      <c r="X1031" s="1111"/>
      <c r="Y1031" s="1111"/>
      <c r="Z1031" s="1111"/>
      <c r="AA1031" s="1111"/>
      <c r="AB1031" s="1111"/>
      <c r="AC1031" s="1111"/>
      <c r="AD1031" s="1111"/>
      <c r="AE1031" s="1111"/>
      <c r="AF1031" s="1111"/>
      <c r="AG1031" s="1111"/>
    </row>
    <row r="1032" spans="1:33" s="1295" customFormat="1">
      <c r="A1032" s="1264"/>
      <c r="D1032" s="1118"/>
      <c r="E1032" s="1264"/>
      <c r="F1032" s="1118"/>
      <c r="G1032" s="1118"/>
      <c r="H1032" s="1118"/>
      <c r="I1032" s="1118"/>
      <c r="J1032" s="1118"/>
      <c r="K1032" s="1118"/>
      <c r="L1032" s="1118"/>
      <c r="M1032" s="1118"/>
      <c r="N1032" s="1118"/>
      <c r="O1032" s="1118"/>
      <c r="P1032" s="1118"/>
      <c r="Q1032" s="1111"/>
      <c r="R1032" s="1111"/>
      <c r="S1032" s="1111"/>
      <c r="T1032" s="1111"/>
      <c r="U1032" s="1111"/>
      <c r="V1032" s="1111"/>
      <c r="W1032" s="1111"/>
      <c r="X1032" s="1111"/>
      <c r="Y1032" s="1111"/>
      <c r="Z1032" s="1111"/>
      <c r="AA1032" s="1111"/>
      <c r="AB1032" s="1111"/>
      <c r="AC1032" s="1111"/>
      <c r="AD1032" s="1111"/>
      <c r="AE1032" s="1111"/>
      <c r="AF1032" s="1111"/>
      <c r="AG1032" s="1111"/>
    </row>
    <row r="1033" spans="1:33" s="1295" customFormat="1">
      <c r="A1033" s="1264"/>
      <c r="D1033" s="1118"/>
      <c r="E1033" s="1264"/>
      <c r="F1033" s="1118"/>
      <c r="G1033" s="1118"/>
      <c r="H1033" s="1118"/>
      <c r="I1033" s="1118"/>
      <c r="J1033" s="1118"/>
      <c r="K1033" s="1118"/>
      <c r="L1033" s="1118"/>
      <c r="M1033" s="1118"/>
      <c r="N1033" s="1118"/>
      <c r="O1033" s="1118"/>
      <c r="P1033" s="1118"/>
      <c r="Q1033" s="1111"/>
      <c r="R1033" s="1111"/>
      <c r="S1033" s="1111"/>
      <c r="T1033" s="1111"/>
      <c r="U1033" s="1111"/>
      <c r="V1033" s="1111"/>
      <c r="W1033" s="1111"/>
      <c r="X1033" s="1111"/>
      <c r="Y1033" s="1111"/>
      <c r="Z1033" s="1111"/>
      <c r="AA1033" s="1111"/>
      <c r="AB1033" s="1111"/>
      <c r="AC1033" s="1111"/>
      <c r="AD1033" s="1111"/>
      <c r="AE1033" s="1111"/>
      <c r="AF1033" s="1111"/>
      <c r="AG1033" s="1111"/>
    </row>
    <row r="1034" spans="1:33" s="1295" customFormat="1">
      <c r="A1034" s="1264"/>
      <c r="D1034" s="1118"/>
      <c r="E1034" s="1264"/>
      <c r="F1034" s="1118"/>
      <c r="G1034" s="1118"/>
      <c r="H1034" s="1118"/>
      <c r="I1034" s="1118"/>
      <c r="J1034" s="1118"/>
      <c r="K1034" s="1118"/>
      <c r="L1034" s="1118"/>
      <c r="M1034" s="1118"/>
      <c r="N1034" s="1118"/>
      <c r="O1034" s="1118"/>
      <c r="P1034" s="1118"/>
      <c r="Q1034" s="1111"/>
      <c r="R1034" s="1111"/>
      <c r="S1034" s="1111"/>
      <c r="T1034" s="1111"/>
      <c r="U1034" s="1111"/>
      <c r="V1034" s="1111"/>
      <c r="W1034" s="1111"/>
      <c r="X1034" s="1111"/>
      <c r="Y1034" s="1111"/>
      <c r="Z1034" s="1111"/>
      <c r="AA1034" s="1111"/>
      <c r="AB1034" s="1111"/>
      <c r="AC1034" s="1111"/>
      <c r="AD1034" s="1111"/>
      <c r="AE1034" s="1111"/>
      <c r="AF1034" s="1111"/>
      <c r="AG1034" s="1111"/>
    </row>
    <row r="1035" spans="1:33" s="1295" customFormat="1">
      <c r="A1035" s="1264"/>
      <c r="D1035" s="1118"/>
      <c r="E1035" s="1264"/>
      <c r="F1035" s="1118"/>
      <c r="G1035" s="1118"/>
      <c r="H1035" s="1118"/>
      <c r="I1035" s="1118"/>
      <c r="J1035" s="1118"/>
      <c r="K1035" s="1118"/>
      <c r="L1035" s="1118"/>
      <c r="M1035" s="1118"/>
      <c r="N1035" s="1118"/>
      <c r="O1035" s="1118"/>
      <c r="P1035" s="1118"/>
      <c r="Q1035" s="1111"/>
      <c r="R1035" s="1111"/>
      <c r="S1035" s="1111"/>
      <c r="T1035" s="1111"/>
      <c r="U1035" s="1111"/>
      <c r="V1035" s="1111"/>
      <c r="W1035" s="1111"/>
      <c r="X1035" s="1111"/>
      <c r="Y1035" s="1111"/>
      <c r="Z1035" s="1111"/>
      <c r="AA1035" s="1111"/>
      <c r="AB1035" s="1111"/>
      <c r="AC1035" s="1111"/>
      <c r="AD1035" s="1111"/>
      <c r="AE1035" s="1111"/>
      <c r="AF1035" s="1111"/>
      <c r="AG1035" s="1111"/>
    </row>
    <row r="1036" spans="1:33" s="1295" customFormat="1">
      <c r="A1036" s="1264"/>
      <c r="D1036" s="1118"/>
      <c r="E1036" s="1264"/>
      <c r="F1036" s="1118"/>
      <c r="G1036" s="1118"/>
      <c r="H1036" s="1118"/>
      <c r="I1036" s="1118"/>
      <c r="J1036" s="1118"/>
      <c r="K1036" s="1118"/>
      <c r="L1036" s="1118"/>
      <c r="M1036" s="1118"/>
      <c r="N1036" s="1118"/>
      <c r="O1036" s="1118"/>
      <c r="P1036" s="1118"/>
      <c r="Q1036" s="1111"/>
      <c r="R1036" s="1111"/>
      <c r="S1036" s="1111"/>
      <c r="T1036" s="1111"/>
      <c r="U1036" s="1111"/>
      <c r="V1036" s="1111"/>
      <c r="W1036" s="1111"/>
      <c r="X1036" s="1111"/>
      <c r="Y1036" s="1111"/>
      <c r="Z1036" s="1111"/>
      <c r="AA1036" s="1111"/>
      <c r="AB1036" s="1111"/>
      <c r="AC1036" s="1111"/>
      <c r="AD1036" s="1111"/>
      <c r="AE1036" s="1111"/>
      <c r="AF1036" s="1111"/>
      <c r="AG1036" s="1111"/>
    </row>
    <row r="1037" spans="1:33" s="1295" customFormat="1">
      <c r="A1037" s="1264"/>
      <c r="D1037" s="1118"/>
      <c r="E1037" s="1264"/>
      <c r="F1037" s="1118"/>
      <c r="G1037" s="1118"/>
      <c r="H1037" s="1118"/>
      <c r="I1037" s="1118"/>
      <c r="J1037" s="1118"/>
      <c r="K1037" s="1118"/>
      <c r="L1037" s="1118"/>
      <c r="M1037" s="1118"/>
      <c r="N1037" s="1118"/>
      <c r="O1037" s="1118"/>
      <c r="P1037" s="1118"/>
      <c r="Q1037" s="1111"/>
      <c r="R1037" s="1111"/>
      <c r="S1037" s="1111"/>
      <c r="T1037" s="1111"/>
      <c r="U1037" s="1111"/>
      <c r="V1037" s="1111"/>
      <c r="W1037" s="1111"/>
      <c r="X1037" s="1111"/>
      <c r="Y1037" s="1111"/>
      <c r="Z1037" s="1111"/>
      <c r="AA1037" s="1111"/>
      <c r="AB1037" s="1111"/>
      <c r="AC1037" s="1111"/>
      <c r="AD1037" s="1111"/>
      <c r="AE1037" s="1111"/>
      <c r="AF1037" s="1111"/>
      <c r="AG1037" s="1111"/>
    </row>
    <row r="1038" spans="1:33" s="1295" customFormat="1">
      <c r="A1038" s="1264"/>
      <c r="D1038" s="1118"/>
      <c r="E1038" s="1264"/>
      <c r="F1038" s="1118"/>
      <c r="G1038" s="1118"/>
      <c r="H1038" s="1118"/>
      <c r="I1038" s="1118"/>
      <c r="J1038" s="1118"/>
      <c r="K1038" s="1118"/>
      <c r="L1038" s="1118"/>
      <c r="M1038" s="1118"/>
      <c r="N1038" s="1118"/>
      <c r="O1038" s="1118"/>
      <c r="P1038" s="1118"/>
      <c r="Q1038" s="1111"/>
      <c r="R1038" s="1111"/>
      <c r="S1038" s="1111"/>
      <c r="T1038" s="1111"/>
      <c r="U1038" s="1111"/>
      <c r="V1038" s="1111"/>
      <c r="W1038" s="1111"/>
      <c r="X1038" s="1111"/>
      <c r="Y1038" s="1111"/>
      <c r="Z1038" s="1111"/>
      <c r="AA1038" s="1111"/>
      <c r="AB1038" s="1111"/>
      <c r="AC1038" s="1111"/>
      <c r="AD1038" s="1111"/>
      <c r="AE1038" s="1111"/>
      <c r="AF1038" s="1111"/>
      <c r="AG1038" s="1111"/>
    </row>
    <row r="1039" spans="1:33" s="1295" customFormat="1">
      <c r="A1039" s="1264"/>
      <c r="D1039" s="1118"/>
      <c r="E1039" s="1264"/>
      <c r="F1039" s="1118"/>
      <c r="G1039" s="1118"/>
      <c r="H1039" s="1118"/>
      <c r="I1039" s="1118"/>
      <c r="J1039" s="1118"/>
      <c r="K1039" s="1118"/>
      <c r="L1039" s="1118"/>
      <c r="M1039" s="1118"/>
      <c r="N1039" s="1118"/>
      <c r="O1039" s="1118"/>
      <c r="P1039" s="1118"/>
      <c r="Q1039" s="1111"/>
      <c r="R1039" s="1111"/>
      <c r="S1039" s="1111"/>
      <c r="T1039" s="1111"/>
      <c r="U1039" s="1111"/>
      <c r="V1039" s="1111"/>
      <c r="W1039" s="1111"/>
      <c r="X1039" s="1111"/>
      <c r="Y1039" s="1111"/>
      <c r="Z1039" s="1111"/>
      <c r="AA1039" s="1111"/>
      <c r="AB1039" s="1111"/>
      <c r="AC1039" s="1111"/>
      <c r="AD1039" s="1111"/>
      <c r="AE1039" s="1111"/>
      <c r="AF1039" s="1111"/>
      <c r="AG1039" s="1111"/>
    </row>
    <row r="1040" spans="1:33" s="1295" customFormat="1">
      <c r="A1040" s="1264"/>
      <c r="D1040" s="1118"/>
      <c r="E1040" s="1264"/>
      <c r="F1040" s="1118"/>
      <c r="G1040" s="1118"/>
      <c r="H1040" s="1118"/>
      <c r="I1040" s="1118"/>
      <c r="J1040" s="1118"/>
      <c r="K1040" s="1118"/>
      <c r="L1040" s="1118"/>
      <c r="M1040" s="1118"/>
      <c r="N1040" s="1118"/>
      <c r="O1040" s="1118"/>
      <c r="P1040" s="1118"/>
      <c r="Q1040" s="1111"/>
      <c r="R1040" s="1111"/>
      <c r="S1040" s="1111"/>
      <c r="T1040" s="1111"/>
      <c r="U1040" s="1111"/>
      <c r="V1040" s="1111"/>
      <c r="W1040" s="1111"/>
      <c r="X1040" s="1111"/>
      <c r="Y1040" s="1111"/>
      <c r="Z1040" s="1111"/>
      <c r="AA1040" s="1111"/>
      <c r="AB1040" s="1111"/>
      <c r="AC1040" s="1111"/>
      <c r="AD1040" s="1111"/>
      <c r="AE1040" s="1111"/>
      <c r="AF1040" s="1111"/>
      <c r="AG1040" s="1111"/>
    </row>
    <row r="1041" spans="1:33" s="1295" customFormat="1">
      <c r="A1041" s="1264"/>
      <c r="D1041" s="1118"/>
      <c r="E1041" s="1264"/>
      <c r="F1041" s="1118"/>
      <c r="G1041" s="1118"/>
      <c r="H1041" s="1118"/>
      <c r="I1041" s="1118"/>
      <c r="J1041" s="1118"/>
      <c r="K1041" s="1118"/>
      <c r="L1041" s="1118"/>
      <c r="M1041" s="1118"/>
      <c r="N1041" s="1118"/>
      <c r="O1041" s="1118"/>
      <c r="P1041" s="1118"/>
      <c r="Q1041" s="1111"/>
      <c r="R1041" s="1111"/>
      <c r="S1041" s="1111"/>
      <c r="T1041" s="1111"/>
      <c r="U1041" s="1111"/>
      <c r="V1041" s="1111"/>
      <c r="W1041" s="1111"/>
      <c r="X1041" s="1111"/>
      <c r="Y1041" s="1111"/>
      <c r="Z1041" s="1111"/>
      <c r="AA1041" s="1111"/>
      <c r="AB1041" s="1111"/>
      <c r="AC1041" s="1111"/>
      <c r="AD1041" s="1111"/>
      <c r="AE1041" s="1111"/>
      <c r="AF1041" s="1111"/>
      <c r="AG1041" s="1111"/>
    </row>
    <row r="1042" spans="1:33" s="1295" customFormat="1">
      <c r="A1042" s="1264"/>
      <c r="D1042" s="1118"/>
      <c r="E1042" s="1264"/>
      <c r="F1042" s="1118"/>
      <c r="G1042" s="1118"/>
      <c r="H1042" s="1118"/>
      <c r="I1042" s="1118"/>
      <c r="J1042" s="1118"/>
      <c r="K1042" s="1118"/>
      <c r="L1042" s="1118"/>
      <c r="M1042" s="1118"/>
      <c r="N1042" s="1118"/>
      <c r="O1042" s="1118"/>
      <c r="P1042" s="1118"/>
      <c r="Q1042" s="1111"/>
      <c r="R1042" s="1111"/>
      <c r="S1042" s="1111"/>
      <c r="T1042" s="1111"/>
      <c r="U1042" s="1111"/>
      <c r="V1042" s="1111"/>
      <c r="W1042" s="1111"/>
      <c r="X1042" s="1111"/>
      <c r="Y1042" s="1111"/>
      <c r="Z1042" s="1111"/>
      <c r="AA1042" s="1111"/>
      <c r="AB1042" s="1111"/>
      <c r="AC1042" s="1111"/>
      <c r="AD1042" s="1111"/>
      <c r="AE1042" s="1111"/>
      <c r="AF1042" s="1111"/>
      <c r="AG1042" s="1111"/>
    </row>
    <row r="1043" spans="1:33" s="1295" customFormat="1">
      <c r="A1043" s="1264"/>
      <c r="D1043" s="1118"/>
      <c r="E1043" s="1264"/>
      <c r="F1043" s="1118"/>
      <c r="G1043" s="1118"/>
      <c r="H1043" s="1118"/>
      <c r="I1043" s="1118"/>
      <c r="J1043" s="1118"/>
      <c r="K1043" s="1118"/>
      <c r="L1043" s="1118"/>
      <c r="M1043" s="1118"/>
      <c r="N1043" s="1118"/>
      <c r="O1043" s="1118"/>
      <c r="P1043" s="1118"/>
      <c r="Q1043" s="1111"/>
      <c r="R1043" s="1111"/>
      <c r="S1043" s="1111"/>
      <c r="T1043" s="1111"/>
      <c r="U1043" s="1111"/>
      <c r="V1043" s="1111"/>
      <c r="W1043" s="1111"/>
      <c r="X1043" s="1111"/>
      <c r="Y1043" s="1111"/>
      <c r="Z1043" s="1111"/>
      <c r="AA1043" s="1111"/>
      <c r="AB1043" s="1111"/>
      <c r="AC1043" s="1111"/>
      <c r="AD1043" s="1111"/>
      <c r="AE1043" s="1111"/>
      <c r="AF1043" s="1111"/>
      <c r="AG1043" s="1111"/>
    </row>
    <row r="1044" spans="1:33" s="1295" customFormat="1">
      <c r="A1044" s="1264"/>
      <c r="D1044" s="1118"/>
      <c r="E1044" s="1264"/>
      <c r="F1044" s="1118"/>
      <c r="G1044" s="1118"/>
      <c r="H1044" s="1118"/>
      <c r="I1044" s="1118"/>
      <c r="J1044" s="1118"/>
      <c r="K1044" s="1118"/>
      <c r="L1044" s="1118"/>
      <c r="M1044" s="1118"/>
      <c r="N1044" s="1118"/>
      <c r="O1044" s="1118"/>
      <c r="P1044" s="1118"/>
      <c r="Q1044" s="1111"/>
      <c r="R1044" s="1111"/>
      <c r="S1044" s="1111"/>
      <c r="T1044" s="1111"/>
      <c r="U1044" s="1111"/>
      <c r="V1044" s="1111"/>
      <c r="W1044" s="1111"/>
      <c r="X1044" s="1111"/>
      <c r="Y1044" s="1111"/>
      <c r="Z1044" s="1111"/>
      <c r="AA1044" s="1111"/>
      <c r="AB1044" s="1111"/>
      <c r="AC1044" s="1111"/>
      <c r="AD1044" s="1111"/>
      <c r="AE1044" s="1111"/>
      <c r="AF1044" s="1111"/>
      <c r="AG1044" s="1111"/>
    </row>
    <row r="1045" spans="1:33" s="1295" customFormat="1">
      <c r="A1045" s="1264"/>
      <c r="D1045" s="1118"/>
      <c r="E1045" s="1264"/>
      <c r="F1045" s="1118"/>
      <c r="G1045" s="1118"/>
      <c r="H1045" s="1118"/>
      <c r="I1045" s="1118"/>
      <c r="J1045" s="1118"/>
      <c r="K1045" s="1118"/>
      <c r="L1045" s="1118"/>
      <c r="M1045" s="1118"/>
      <c r="N1045" s="1118"/>
      <c r="O1045" s="1118"/>
      <c r="P1045" s="1118"/>
      <c r="Q1045" s="1111"/>
      <c r="R1045" s="1111"/>
      <c r="S1045" s="1111"/>
      <c r="T1045" s="1111"/>
      <c r="U1045" s="1111"/>
      <c r="V1045" s="1111"/>
      <c r="W1045" s="1111"/>
      <c r="X1045" s="1111"/>
      <c r="Y1045" s="1111"/>
      <c r="Z1045" s="1111"/>
      <c r="AA1045" s="1111"/>
      <c r="AB1045" s="1111"/>
      <c r="AC1045" s="1111"/>
      <c r="AD1045" s="1111"/>
      <c r="AE1045" s="1111"/>
      <c r="AF1045" s="1111"/>
      <c r="AG1045" s="1111"/>
    </row>
    <row r="1046" spans="1:33" s="1295" customFormat="1">
      <c r="A1046" s="1264"/>
      <c r="D1046" s="1118"/>
      <c r="E1046" s="1264"/>
      <c r="F1046" s="1118"/>
      <c r="G1046" s="1118"/>
      <c r="H1046" s="1118"/>
      <c r="I1046" s="1118"/>
      <c r="J1046" s="1118"/>
      <c r="K1046" s="1118"/>
      <c r="L1046" s="1118"/>
      <c r="M1046" s="1118"/>
      <c r="N1046" s="1118"/>
      <c r="O1046" s="1118"/>
      <c r="P1046" s="1118"/>
      <c r="Q1046" s="1111"/>
      <c r="R1046" s="1111"/>
      <c r="S1046" s="1111"/>
      <c r="T1046" s="1111"/>
      <c r="U1046" s="1111"/>
      <c r="V1046" s="1111"/>
      <c r="W1046" s="1111"/>
      <c r="X1046" s="1111"/>
      <c r="Y1046" s="1111"/>
      <c r="Z1046" s="1111"/>
      <c r="AA1046" s="1111"/>
      <c r="AB1046" s="1111"/>
      <c r="AC1046" s="1111"/>
      <c r="AD1046" s="1111"/>
      <c r="AE1046" s="1111"/>
      <c r="AF1046" s="1111"/>
      <c r="AG1046" s="1111"/>
    </row>
    <row r="1047" spans="1:33" s="1295" customFormat="1">
      <c r="A1047" s="1264"/>
      <c r="D1047" s="1118"/>
      <c r="E1047" s="1264"/>
      <c r="F1047" s="1118"/>
      <c r="G1047" s="1118"/>
      <c r="H1047" s="1118"/>
      <c r="I1047" s="1118"/>
      <c r="J1047" s="1118"/>
      <c r="K1047" s="1118"/>
      <c r="L1047" s="1118"/>
      <c r="M1047" s="1118"/>
      <c r="N1047" s="1118"/>
      <c r="O1047" s="1118"/>
      <c r="P1047" s="1118"/>
      <c r="Q1047" s="1111"/>
      <c r="R1047" s="1111"/>
      <c r="S1047" s="1111"/>
      <c r="T1047" s="1111"/>
      <c r="U1047" s="1111"/>
      <c r="V1047" s="1111"/>
      <c r="W1047" s="1111"/>
      <c r="X1047" s="1111"/>
      <c r="Y1047" s="1111"/>
      <c r="Z1047" s="1111"/>
      <c r="AA1047" s="1111"/>
      <c r="AB1047" s="1111"/>
      <c r="AC1047" s="1111"/>
      <c r="AD1047" s="1111"/>
      <c r="AE1047" s="1111"/>
      <c r="AF1047" s="1111"/>
      <c r="AG1047" s="1111"/>
    </row>
    <row r="1048" spans="1:33" s="1295" customFormat="1">
      <c r="A1048" s="1264"/>
      <c r="D1048" s="1118"/>
      <c r="E1048" s="1264"/>
      <c r="F1048" s="1118"/>
      <c r="G1048" s="1118"/>
      <c r="H1048" s="1118"/>
      <c r="I1048" s="1118"/>
      <c r="J1048" s="1118"/>
      <c r="K1048" s="1118"/>
      <c r="L1048" s="1118"/>
      <c r="M1048" s="1118"/>
      <c r="N1048" s="1118"/>
      <c r="O1048" s="1118"/>
      <c r="P1048" s="1118"/>
      <c r="Q1048" s="1111"/>
      <c r="R1048" s="1111"/>
      <c r="S1048" s="1111"/>
      <c r="T1048" s="1111"/>
      <c r="U1048" s="1111"/>
      <c r="V1048" s="1111"/>
      <c r="W1048" s="1111"/>
      <c r="X1048" s="1111"/>
      <c r="Y1048" s="1111"/>
      <c r="Z1048" s="1111"/>
      <c r="AA1048" s="1111"/>
      <c r="AB1048" s="1111"/>
      <c r="AC1048" s="1111"/>
      <c r="AD1048" s="1111"/>
      <c r="AE1048" s="1111"/>
      <c r="AF1048" s="1111"/>
      <c r="AG1048" s="1111"/>
    </row>
    <row r="1049" spans="1:33" s="1295" customFormat="1">
      <c r="A1049" s="1264"/>
      <c r="D1049" s="1118"/>
      <c r="E1049" s="1264"/>
      <c r="F1049" s="1118"/>
      <c r="G1049" s="1118"/>
      <c r="H1049" s="1118"/>
      <c r="I1049" s="1118"/>
      <c r="J1049" s="1118"/>
      <c r="K1049" s="1118"/>
      <c r="L1049" s="1118"/>
      <c r="M1049" s="1118"/>
      <c r="N1049" s="1118"/>
      <c r="O1049" s="1118"/>
      <c r="P1049" s="1118"/>
      <c r="Q1049" s="1111"/>
      <c r="R1049" s="1111"/>
      <c r="S1049" s="1111"/>
      <c r="T1049" s="1111"/>
      <c r="U1049" s="1111"/>
      <c r="V1049" s="1111"/>
      <c r="W1049" s="1111"/>
      <c r="X1049" s="1111"/>
      <c r="Y1049" s="1111"/>
      <c r="Z1049" s="1111"/>
      <c r="AA1049" s="1111"/>
      <c r="AB1049" s="1111"/>
      <c r="AC1049" s="1111"/>
      <c r="AD1049" s="1111"/>
      <c r="AE1049" s="1111"/>
      <c r="AF1049" s="1111"/>
      <c r="AG1049" s="1111"/>
    </row>
    <row r="1050" spans="1:33" s="1295" customFormat="1">
      <c r="A1050" s="1264"/>
      <c r="D1050" s="1118"/>
      <c r="E1050" s="1264"/>
      <c r="F1050" s="1118"/>
      <c r="G1050" s="1118"/>
      <c r="H1050" s="1118"/>
      <c r="I1050" s="1118"/>
      <c r="J1050" s="1118"/>
      <c r="K1050" s="1118"/>
      <c r="L1050" s="1118"/>
      <c r="M1050" s="1118"/>
      <c r="N1050" s="1118"/>
      <c r="O1050" s="1118"/>
      <c r="P1050" s="1118"/>
      <c r="Q1050" s="1111"/>
      <c r="R1050" s="1111"/>
      <c r="S1050" s="1111"/>
      <c r="T1050" s="1111"/>
      <c r="U1050" s="1111"/>
      <c r="V1050" s="1111"/>
      <c r="W1050" s="1111"/>
      <c r="X1050" s="1111"/>
      <c r="Y1050" s="1111"/>
      <c r="Z1050" s="1111"/>
      <c r="AA1050" s="1111"/>
      <c r="AB1050" s="1111"/>
      <c r="AC1050" s="1111"/>
      <c r="AD1050" s="1111"/>
      <c r="AE1050" s="1111"/>
      <c r="AF1050" s="1111"/>
      <c r="AG1050" s="1111"/>
    </row>
    <row r="1051" spans="1:33" s="1295" customFormat="1">
      <c r="A1051" s="1264"/>
      <c r="D1051" s="1118"/>
      <c r="E1051" s="1264"/>
      <c r="F1051" s="1118"/>
      <c r="G1051" s="1118"/>
      <c r="H1051" s="1118"/>
      <c r="I1051" s="1118"/>
      <c r="J1051" s="1118"/>
      <c r="K1051" s="1118"/>
      <c r="L1051" s="1118"/>
      <c r="M1051" s="1118"/>
      <c r="N1051" s="1118"/>
      <c r="O1051" s="1118"/>
      <c r="P1051" s="1118"/>
      <c r="Q1051" s="1111"/>
      <c r="R1051" s="1111"/>
      <c r="S1051" s="1111"/>
      <c r="T1051" s="1111"/>
      <c r="U1051" s="1111"/>
      <c r="V1051" s="1111"/>
      <c r="W1051" s="1111"/>
      <c r="X1051" s="1111"/>
      <c r="Y1051" s="1111"/>
      <c r="Z1051" s="1111"/>
      <c r="AA1051" s="1111"/>
      <c r="AB1051" s="1111"/>
      <c r="AC1051" s="1111"/>
      <c r="AD1051" s="1111"/>
      <c r="AE1051" s="1111"/>
      <c r="AF1051" s="1111"/>
      <c r="AG1051" s="1111"/>
    </row>
    <row r="1052" spans="1:33" s="1295" customFormat="1">
      <c r="A1052" s="1264"/>
      <c r="D1052" s="1118"/>
      <c r="E1052" s="1264"/>
      <c r="F1052" s="1118"/>
      <c r="G1052" s="1118"/>
      <c r="H1052" s="1118"/>
      <c r="I1052" s="1118"/>
      <c r="J1052" s="1118"/>
      <c r="K1052" s="1118"/>
      <c r="L1052" s="1118"/>
      <c r="M1052" s="1118"/>
      <c r="N1052" s="1118"/>
      <c r="O1052" s="1118"/>
      <c r="P1052" s="1118"/>
      <c r="Q1052" s="1111"/>
      <c r="R1052" s="1111"/>
      <c r="S1052" s="1111"/>
      <c r="T1052" s="1111"/>
      <c r="U1052" s="1111"/>
      <c r="V1052" s="1111"/>
      <c r="W1052" s="1111"/>
      <c r="X1052" s="1111"/>
      <c r="Y1052" s="1111"/>
      <c r="Z1052" s="1111"/>
      <c r="AA1052" s="1111"/>
      <c r="AB1052" s="1111"/>
      <c r="AC1052" s="1111"/>
      <c r="AD1052" s="1111"/>
      <c r="AE1052" s="1111"/>
      <c r="AF1052" s="1111"/>
      <c r="AG1052" s="1111"/>
    </row>
    <row r="1053" spans="1:33" s="1295" customFormat="1">
      <c r="A1053" s="1264"/>
      <c r="D1053" s="1118"/>
      <c r="E1053" s="1264"/>
      <c r="F1053" s="1118"/>
      <c r="G1053" s="1118"/>
      <c r="H1053" s="1118"/>
      <c r="I1053" s="1118"/>
      <c r="J1053" s="1118"/>
      <c r="K1053" s="1118"/>
      <c r="L1053" s="1118"/>
      <c r="M1053" s="1118"/>
      <c r="N1053" s="1118"/>
      <c r="O1053" s="1118"/>
      <c r="P1053" s="1118"/>
      <c r="Q1053" s="1111"/>
      <c r="R1053" s="1111"/>
      <c r="S1053" s="1111"/>
      <c r="T1053" s="1111"/>
      <c r="U1053" s="1111"/>
      <c r="V1053" s="1111"/>
      <c r="W1053" s="1111"/>
      <c r="X1053" s="1111"/>
      <c r="Y1053" s="1111"/>
      <c r="Z1053" s="1111"/>
      <c r="AA1053" s="1111"/>
      <c r="AB1053" s="1111"/>
      <c r="AC1053" s="1111"/>
      <c r="AD1053" s="1111"/>
      <c r="AE1053" s="1111"/>
      <c r="AF1053" s="1111"/>
      <c r="AG1053" s="1111"/>
    </row>
    <row r="1054" spans="1:33" s="1295" customFormat="1">
      <c r="A1054" s="1264"/>
      <c r="D1054" s="1118"/>
      <c r="E1054" s="1264"/>
      <c r="F1054" s="1118"/>
      <c r="G1054" s="1118"/>
      <c r="H1054" s="1118"/>
      <c r="I1054" s="1118"/>
      <c r="J1054" s="1118"/>
      <c r="K1054" s="1118"/>
      <c r="L1054" s="1118"/>
      <c r="M1054" s="1118"/>
      <c r="N1054" s="1118"/>
      <c r="O1054" s="1118"/>
      <c r="P1054" s="1118"/>
      <c r="Q1054" s="1111"/>
      <c r="R1054" s="1111"/>
      <c r="S1054" s="1111"/>
      <c r="T1054" s="1111"/>
      <c r="U1054" s="1111"/>
      <c r="V1054" s="1111"/>
      <c r="W1054" s="1111"/>
      <c r="X1054" s="1111"/>
      <c r="Y1054" s="1111"/>
      <c r="Z1054" s="1111"/>
      <c r="AA1054" s="1111"/>
      <c r="AB1054" s="1111"/>
      <c r="AC1054" s="1111"/>
      <c r="AD1054" s="1111"/>
      <c r="AE1054" s="1111"/>
      <c r="AF1054" s="1111"/>
      <c r="AG1054" s="1111"/>
    </row>
    <row r="1055" spans="1:33" s="1295" customFormat="1">
      <c r="A1055" s="1264"/>
      <c r="D1055" s="1118"/>
      <c r="E1055" s="1264"/>
      <c r="F1055" s="1118"/>
      <c r="G1055" s="1118"/>
      <c r="H1055" s="1118"/>
      <c r="I1055" s="1118"/>
      <c r="J1055" s="1118"/>
      <c r="K1055" s="1118"/>
      <c r="L1055" s="1118"/>
      <c r="M1055" s="1118"/>
      <c r="N1055" s="1118"/>
      <c r="O1055" s="1118"/>
      <c r="P1055" s="1118"/>
      <c r="Q1055" s="1111"/>
      <c r="R1055" s="1111"/>
      <c r="S1055" s="1111"/>
      <c r="T1055" s="1111"/>
      <c r="U1055" s="1111"/>
      <c r="V1055" s="1111"/>
      <c r="W1055" s="1111"/>
      <c r="X1055" s="1111"/>
      <c r="Y1055" s="1111"/>
      <c r="Z1055" s="1111"/>
      <c r="AA1055" s="1111"/>
      <c r="AB1055" s="1111"/>
      <c r="AC1055" s="1111"/>
      <c r="AD1055" s="1111"/>
      <c r="AE1055" s="1111"/>
      <c r="AF1055" s="1111"/>
      <c r="AG1055" s="1111"/>
    </row>
    <row r="1056" spans="1:33" s="1295" customFormat="1">
      <c r="A1056" s="1264"/>
      <c r="D1056" s="1118"/>
      <c r="E1056" s="1264"/>
      <c r="F1056" s="1118"/>
      <c r="G1056" s="1118"/>
      <c r="H1056" s="1118"/>
      <c r="I1056" s="1118"/>
      <c r="J1056" s="1118"/>
      <c r="K1056" s="1118"/>
      <c r="L1056" s="1118"/>
      <c r="M1056" s="1118"/>
      <c r="N1056" s="1118"/>
      <c r="O1056" s="1118"/>
      <c r="P1056" s="1118"/>
      <c r="Q1056" s="1111"/>
      <c r="R1056" s="1111"/>
      <c r="S1056" s="1111"/>
      <c r="T1056" s="1111"/>
      <c r="U1056" s="1111"/>
      <c r="V1056" s="1111"/>
      <c r="W1056" s="1111"/>
      <c r="X1056" s="1111"/>
      <c r="Y1056" s="1111"/>
      <c r="Z1056" s="1111"/>
      <c r="AA1056" s="1111"/>
      <c r="AB1056" s="1111"/>
      <c r="AC1056" s="1111"/>
      <c r="AD1056" s="1111"/>
      <c r="AE1056" s="1111"/>
      <c r="AF1056" s="1111"/>
      <c r="AG1056" s="1111"/>
    </row>
    <row r="1057" spans="1:33" s="1295" customFormat="1">
      <c r="A1057" s="1264"/>
      <c r="D1057" s="1118"/>
      <c r="E1057" s="1264"/>
      <c r="F1057" s="1118"/>
      <c r="G1057" s="1118"/>
      <c r="H1057" s="1118"/>
      <c r="I1057" s="1118"/>
      <c r="J1057" s="1118"/>
      <c r="K1057" s="1118"/>
      <c r="L1057" s="1118"/>
      <c r="M1057" s="1118"/>
      <c r="N1057" s="1118"/>
      <c r="O1057" s="1118"/>
      <c r="P1057" s="1118"/>
      <c r="Q1057" s="1111"/>
      <c r="R1057" s="1111"/>
      <c r="S1057" s="1111"/>
      <c r="T1057" s="1111"/>
      <c r="U1057" s="1111"/>
      <c r="V1057" s="1111"/>
      <c r="W1057" s="1111"/>
      <c r="X1057" s="1111"/>
      <c r="Y1057" s="1111"/>
      <c r="Z1057" s="1111"/>
      <c r="AA1057" s="1111"/>
      <c r="AB1057" s="1111"/>
      <c r="AC1057" s="1111"/>
      <c r="AD1057" s="1111"/>
      <c r="AE1057" s="1111"/>
      <c r="AF1057" s="1111"/>
      <c r="AG1057" s="1111"/>
    </row>
    <row r="1058" spans="1:33" s="1295" customFormat="1">
      <c r="A1058" s="1264"/>
      <c r="D1058" s="1118"/>
      <c r="E1058" s="1264"/>
      <c r="F1058" s="1118"/>
      <c r="G1058" s="1118"/>
      <c r="H1058" s="1118"/>
      <c r="I1058" s="1118"/>
      <c r="J1058" s="1118"/>
      <c r="K1058" s="1118"/>
      <c r="L1058" s="1118"/>
      <c r="M1058" s="1118"/>
      <c r="N1058" s="1118"/>
      <c r="O1058" s="1118"/>
      <c r="P1058" s="1118"/>
      <c r="Q1058" s="1111"/>
      <c r="R1058" s="1111"/>
      <c r="S1058" s="1111"/>
      <c r="T1058" s="1111"/>
      <c r="U1058" s="1111"/>
      <c r="V1058" s="1111"/>
      <c r="W1058" s="1111"/>
      <c r="X1058" s="1111"/>
      <c r="Y1058" s="1111"/>
      <c r="Z1058" s="1111"/>
      <c r="AA1058" s="1111"/>
      <c r="AB1058" s="1111"/>
      <c r="AC1058" s="1111"/>
      <c r="AD1058" s="1111"/>
      <c r="AE1058" s="1111"/>
      <c r="AF1058" s="1111"/>
      <c r="AG1058" s="1111"/>
    </row>
    <row r="1059" spans="1:33" s="1295" customFormat="1">
      <c r="A1059" s="1264"/>
      <c r="D1059" s="1118"/>
      <c r="E1059" s="1264"/>
      <c r="F1059" s="1118"/>
      <c r="G1059" s="1118"/>
      <c r="H1059" s="1118"/>
      <c r="I1059" s="1118"/>
      <c r="J1059" s="1118"/>
      <c r="K1059" s="1118"/>
      <c r="L1059" s="1118"/>
      <c r="M1059" s="1118"/>
      <c r="N1059" s="1118"/>
      <c r="O1059" s="1118"/>
      <c r="P1059" s="1118"/>
      <c r="Q1059" s="1111"/>
      <c r="R1059" s="1111"/>
      <c r="S1059" s="1111"/>
      <c r="T1059" s="1111"/>
      <c r="U1059" s="1111"/>
      <c r="V1059" s="1111"/>
      <c r="W1059" s="1111"/>
      <c r="X1059" s="1111"/>
      <c r="Y1059" s="1111"/>
      <c r="Z1059" s="1111"/>
      <c r="AA1059" s="1111"/>
      <c r="AB1059" s="1111"/>
      <c r="AC1059" s="1111"/>
      <c r="AD1059" s="1111"/>
      <c r="AE1059" s="1111"/>
      <c r="AF1059" s="1111"/>
      <c r="AG1059" s="1111"/>
    </row>
    <row r="1060" spans="1:33" s="1295" customFormat="1">
      <c r="A1060" s="1264"/>
      <c r="D1060" s="1118"/>
      <c r="E1060" s="1264"/>
      <c r="F1060" s="1118"/>
      <c r="G1060" s="1118"/>
      <c r="H1060" s="1118"/>
      <c r="I1060" s="1118"/>
      <c r="J1060" s="1118"/>
      <c r="K1060" s="1118"/>
      <c r="L1060" s="1118"/>
      <c r="M1060" s="1118"/>
      <c r="N1060" s="1118"/>
      <c r="O1060" s="1118"/>
      <c r="P1060" s="1118"/>
      <c r="Q1060" s="1111"/>
      <c r="R1060" s="1111"/>
      <c r="S1060" s="1111"/>
      <c r="T1060" s="1111"/>
      <c r="U1060" s="1111"/>
      <c r="V1060" s="1111"/>
      <c r="W1060" s="1111"/>
      <c r="X1060" s="1111"/>
      <c r="Y1060" s="1111"/>
      <c r="Z1060" s="1111"/>
      <c r="AA1060" s="1111"/>
      <c r="AB1060" s="1111"/>
      <c r="AC1060" s="1111"/>
      <c r="AD1060" s="1111"/>
      <c r="AE1060" s="1111"/>
      <c r="AF1060" s="1111"/>
      <c r="AG1060" s="1111"/>
    </row>
    <row r="1061" spans="1:33" s="1295" customFormat="1">
      <c r="A1061" s="1264"/>
      <c r="D1061" s="1118"/>
      <c r="E1061" s="1264"/>
      <c r="F1061" s="1118"/>
      <c r="G1061" s="1118"/>
      <c r="H1061" s="1118"/>
      <c r="I1061" s="1118"/>
      <c r="J1061" s="1118"/>
      <c r="K1061" s="1118"/>
      <c r="L1061" s="1118"/>
      <c r="M1061" s="1118"/>
      <c r="N1061" s="1118"/>
      <c r="O1061" s="1118"/>
      <c r="P1061" s="1118"/>
      <c r="Q1061" s="1111"/>
      <c r="R1061" s="1111"/>
      <c r="S1061" s="1111"/>
      <c r="T1061" s="1111"/>
      <c r="U1061" s="1111"/>
      <c r="V1061" s="1111"/>
      <c r="W1061" s="1111"/>
      <c r="X1061" s="1111"/>
      <c r="Y1061" s="1111"/>
      <c r="Z1061" s="1111"/>
      <c r="AA1061" s="1111"/>
      <c r="AB1061" s="1111"/>
      <c r="AC1061" s="1111"/>
      <c r="AD1061" s="1111"/>
      <c r="AE1061" s="1111"/>
      <c r="AF1061" s="1111"/>
      <c r="AG1061" s="1111"/>
    </row>
    <row r="1062" spans="1:33" s="1295" customFormat="1">
      <c r="A1062" s="1264"/>
      <c r="D1062" s="1118"/>
      <c r="E1062" s="1264"/>
      <c r="F1062" s="1118"/>
      <c r="G1062" s="1118"/>
      <c r="H1062" s="1118"/>
      <c r="I1062" s="1118"/>
      <c r="J1062" s="1118"/>
      <c r="K1062" s="1118"/>
      <c r="L1062" s="1118"/>
      <c r="M1062" s="1118"/>
      <c r="N1062" s="1118"/>
      <c r="O1062" s="1118"/>
      <c r="P1062" s="1118"/>
      <c r="Q1062" s="1111"/>
      <c r="R1062" s="1111"/>
      <c r="S1062" s="1111"/>
      <c r="T1062" s="1111"/>
      <c r="U1062" s="1111"/>
      <c r="V1062" s="1111"/>
      <c r="W1062" s="1111"/>
      <c r="X1062" s="1111"/>
      <c r="Y1062" s="1111"/>
      <c r="Z1062" s="1111"/>
      <c r="AA1062" s="1111"/>
      <c r="AB1062" s="1111"/>
      <c r="AC1062" s="1111"/>
      <c r="AD1062" s="1111"/>
      <c r="AE1062" s="1111"/>
      <c r="AF1062" s="1111"/>
      <c r="AG1062" s="1111"/>
    </row>
    <row r="1063" spans="1:33" s="1295" customFormat="1">
      <c r="A1063" s="1264"/>
      <c r="D1063" s="1118"/>
      <c r="E1063" s="1264"/>
      <c r="F1063" s="1118"/>
      <c r="G1063" s="1118"/>
      <c r="H1063" s="1118"/>
      <c r="I1063" s="1118"/>
      <c r="J1063" s="1118"/>
      <c r="K1063" s="1118"/>
      <c r="L1063" s="1118"/>
      <c r="M1063" s="1118"/>
      <c r="N1063" s="1118"/>
      <c r="O1063" s="1118"/>
      <c r="P1063" s="1118"/>
      <c r="Q1063" s="1111"/>
      <c r="R1063" s="1111"/>
      <c r="S1063" s="1111"/>
      <c r="T1063" s="1111"/>
      <c r="U1063" s="1111"/>
      <c r="V1063" s="1111"/>
      <c r="W1063" s="1111"/>
      <c r="X1063" s="1111"/>
      <c r="Y1063" s="1111"/>
      <c r="Z1063" s="1111"/>
      <c r="AA1063" s="1111"/>
      <c r="AB1063" s="1111"/>
      <c r="AC1063" s="1111"/>
      <c r="AD1063" s="1111"/>
      <c r="AE1063" s="1111"/>
      <c r="AF1063" s="1111"/>
      <c r="AG1063" s="1111"/>
    </row>
    <row r="1064" spans="1:33" s="1295" customFormat="1">
      <c r="A1064" s="1264"/>
      <c r="D1064" s="1118"/>
      <c r="E1064" s="1264"/>
      <c r="F1064" s="1118"/>
      <c r="G1064" s="1118"/>
      <c r="H1064" s="1118"/>
      <c r="I1064" s="1118"/>
      <c r="J1064" s="1118"/>
      <c r="K1064" s="1118"/>
      <c r="L1064" s="1118"/>
      <c r="M1064" s="1118"/>
      <c r="N1064" s="1118"/>
      <c r="O1064" s="1118"/>
      <c r="P1064" s="1118"/>
      <c r="Q1064" s="1111"/>
      <c r="R1064" s="1111"/>
      <c r="S1064" s="1111"/>
      <c r="T1064" s="1111"/>
      <c r="U1064" s="1111"/>
      <c r="V1064" s="1111"/>
      <c r="W1064" s="1111"/>
      <c r="X1064" s="1111"/>
      <c r="Y1064" s="1111"/>
      <c r="Z1064" s="1111"/>
      <c r="AA1064" s="1111"/>
      <c r="AB1064" s="1111"/>
      <c r="AC1064" s="1111"/>
      <c r="AD1064" s="1111"/>
      <c r="AE1064" s="1111"/>
      <c r="AF1064" s="1111"/>
      <c r="AG1064" s="1111"/>
    </row>
    <row r="1065" spans="1:33" s="1295" customFormat="1">
      <c r="A1065" s="1264"/>
      <c r="D1065" s="1118"/>
      <c r="E1065" s="1264"/>
      <c r="F1065" s="1118"/>
      <c r="G1065" s="1118"/>
      <c r="H1065" s="1118"/>
      <c r="I1065" s="1118"/>
      <c r="J1065" s="1118"/>
      <c r="K1065" s="1118"/>
      <c r="L1065" s="1118"/>
      <c r="M1065" s="1118"/>
      <c r="N1065" s="1118"/>
      <c r="O1065" s="1118"/>
      <c r="P1065" s="1118"/>
      <c r="Q1065" s="1111"/>
      <c r="R1065" s="1111"/>
      <c r="S1065" s="1111"/>
      <c r="T1065" s="1111"/>
      <c r="U1065" s="1111"/>
      <c r="V1065" s="1111"/>
      <c r="W1065" s="1111"/>
      <c r="X1065" s="1111"/>
      <c r="Y1065" s="1111"/>
      <c r="Z1065" s="1111"/>
      <c r="AA1065" s="1111"/>
      <c r="AB1065" s="1111"/>
      <c r="AC1065" s="1111"/>
      <c r="AD1065" s="1111"/>
      <c r="AE1065" s="1111"/>
      <c r="AF1065" s="1111"/>
      <c r="AG1065" s="1111"/>
    </row>
    <row r="1066" spans="1:33" s="1295" customFormat="1">
      <c r="A1066" s="1264"/>
      <c r="D1066" s="1118"/>
      <c r="E1066" s="1264"/>
      <c r="F1066" s="1118"/>
      <c r="G1066" s="1118"/>
      <c r="H1066" s="1118"/>
      <c r="I1066" s="1118"/>
      <c r="J1066" s="1118"/>
      <c r="K1066" s="1118"/>
      <c r="L1066" s="1118"/>
      <c r="M1066" s="1118"/>
      <c r="N1066" s="1118"/>
      <c r="O1066" s="1118"/>
      <c r="P1066" s="1118"/>
      <c r="Q1066" s="1111"/>
      <c r="R1066" s="1111"/>
      <c r="S1066" s="1111"/>
      <c r="T1066" s="1111"/>
      <c r="U1066" s="1111"/>
      <c r="V1066" s="1111"/>
      <c r="W1066" s="1111"/>
      <c r="X1066" s="1111"/>
      <c r="Y1066" s="1111"/>
      <c r="Z1066" s="1111"/>
      <c r="AA1066" s="1111"/>
      <c r="AB1066" s="1111"/>
      <c r="AC1066" s="1111"/>
      <c r="AD1066" s="1111"/>
      <c r="AE1066" s="1111"/>
      <c r="AF1066" s="1111"/>
      <c r="AG1066" s="1111"/>
    </row>
    <row r="1067" spans="1:33" s="1295" customFormat="1">
      <c r="A1067" s="1264"/>
      <c r="D1067" s="1118"/>
      <c r="E1067" s="1264"/>
      <c r="F1067" s="1118"/>
      <c r="G1067" s="1118"/>
      <c r="H1067" s="1118"/>
      <c r="I1067" s="1118"/>
      <c r="J1067" s="1118"/>
      <c r="K1067" s="1118"/>
      <c r="L1067" s="1118"/>
      <c r="M1067" s="1118"/>
      <c r="N1067" s="1118"/>
      <c r="O1067" s="1118"/>
      <c r="P1067" s="1118"/>
      <c r="Q1067" s="1111"/>
      <c r="R1067" s="1111"/>
      <c r="S1067" s="1111"/>
      <c r="T1067" s="1111"/>
      <c r="U1067" s="1111"/>
      <c r="V1067" s="1111"/>
      <c r="W1067" s="1111"/>
      <c r="X1067" s="1111"/>
      <c r="Y1067" s="1111"/>
      <c r="Z1067" s="1111"/>
      <c r="AA1067" s="1111"/>
      <c r="AB1067" s="1111"/>
      <c r="AC1067" s="1111"/>
      <c r="AD1067" s="1111"/>
      <c r="AE1067" s="1111"/>
      <c r="AF1067" s="1111"/>
      <c r="AG1067" s="1111"/>
    </row>
    <row r="1068" spans="1:33" s="1295" customFormat="1">
      <c r="A1068" s="1264"/>
      <c r="D1068" s="1118"/>
      <c r="E1068" s="1264"/>
      <c r="F1068" s="1118"/>
      <c r="G1068" s="1118"/>
      <c r="H1068" s="1118"/>
      <c r="I1068" s="1118"/>
      <c r="J1068" s="1118"/>
      <c r="K1068" s="1118"/>
      <c r="L1068" s="1118"/>
      <c r="M1068" s="1118"/>
      <c r="N1068" s="1118"/>
      <c r="O1068" s="1118"/>
      <c r="P1068" s="1118"/>
      <c r="Q1068" s="1111"/>
      <c r="R1068" s="1111"/>
      <c r="S1068" s="1111"/>
      <c r="T1068" s="1111"/>
      <c r="U1068" s="1111"/>
      <c r="V1068" s="1111"/>
      <c r="W1068" s="1111"/>
      <c r="X1068" s="1111"/>
      <c r="Y1068" s="1111"/>
      <c r="Z1068" s="1111"/>
      <c r="AA1068" s="1111"/>
      <c r="AB1068" s="1111"/>
      <c r="AC1068" s="1111"/>
      <c r="AD1068" s="1111"/>
      <c r="AE1068" s="1111"/>
      <c r="AF1068" s="1111"/>
      <c r="AG1068" s="1111"/>
    </row>
    <row r="1069" spans="1:33" s="1295" customFormat="1">
      <c r="A1069" s="1264"/>
      <c r="D1069" s="1118"/>
      <c r="E1069" s="1264"/>
      <c r="F1069" s="1118"/>
      <c r="G1069" s="1118"/>
      <c r="H1069" s="1118"/>
      <c r="I1069" s="1118"/>
      <c r="J1069" s="1118"/>
      <c r="K1069" s="1118"/>
      <c r="L1069" s="1118"/>
      <c r="M1069" s="1118"/>
      <c r="N1069" s="1118"/>
      <c r="O1069" s="1118"/>
      <c r="P1069" s="1118"/>
      <c r="Q1069" s="1111"/>
      <c r="R1069" s="1111"/>
      <c r="S1069" s="1111"/>
      <c r="T1069" s="1111"/>
      <c r="U1069" s="1111"/>
      <c r="V1069" s="1111"/>
      <c r="W1069" s="1111"/>
      <c r="X1069" s="1111"/>
      <c r="Y1069" s="1111"/>
      <c r="Z1069" s="1111"/>
      <c r="AA1069" s="1111"/>
      <c r="AB1069" s="1111"/>
      <c r="AC1069" s="1111"/>
      <c r="AD1069" s="1111"/>
      <c r="AE1069" s="1111"/>
      <c r="AF1069" s="1111"/>
      <c r="AG1069" s="1111"/>
    </row>
    <row r="1070" spans="1:33" s="1295" customFormat="1">
      <c r="A1070" s="1264"/>
      <c r="D1070" s="1118"/>
      <c r="E1070" s="1264"/>
      <c r="F1070" s="1118"/>
      <c r="G1070" s="1118"/>
      <c r="H1070" s="1118"/>
      <c r="I1070" s="1118"/>
      <c r="J1070" s="1118"/>
      <c r="K1070" s="1118"/>
      <c r="L1070" s="1118"/>
      <c r="M1070" s="1118"/>
      <c r="N1070" s="1118"/>
      <c r="O1070" s="1118"/>
      <c r="P1070" s="1118"/>
      <c r="Q1070" s="1111"/>
      <c r="R1070" s="1111"/>
      <c r="S1070" s="1111"/>
      <c r="T1070" s="1111"/>
      <c r="U1070" s="1111"/>
      <c r="V1070" s="1111"/>
      <c r="W1070" s="1111"/>
      <c r="X1070" s="1111"/>
      <c r="Y1070" s="1111"/>
      <c r="Z1070" s="1111"/>
      <c r="AA1070" s="1111"/>
      <c r="AB1070" s="1111"/>
      <c r="AC1070" s="1111"/>
      <c r="AD1070" s="1111"/>
      <c r="AE1070" s="1111"/>
      <c r="AF1070" s="1111"/>
      <c r="AG1070" s="1111"/>
    </row>
    <row r="1071" spans="1:33" s="1295" customFormat="1">
      <c r="A1071" s="1264"/>
      <c r="D1071" s="1118"/>
      <c r="E1071" s="1264"/>
      <c r="F1071" s="1118"/>
      <c r="G1071" s="1118"/>
      <c r="H1071" s="1118"/>
      <c r="I1071" s="1118"/>
      <c r="J1071" s="1118"/>
      <c r="K1071" s="1118"/>
      <c r="L1071" s="1118"/>
      <c r="M1071" s="1118"/>
      <c r="N1071" s="1118"/>
      <c r="O1071" s="1118"/>
      <c r="P1071" s="1118"/>
      <c r="Q1071" s="1111"/>
      <c r="R1071" s="1111"/>
      <c r="S1071" s="1111"/>
      <c r="T1071" s="1111"/>
      <c r="U1071" s="1111"/>
      <c r="V1071" s="1111"/>
      <c r="W1071" s="1111"/>
      <c r="X1071" s="1111"/>
      <c r="Y1071" s="1111"/>
      <c r="Z1071" s="1111"/>
      <c r="AA1071" s="1111"/>
      <c r="AB1071" s="1111"/>
      <c r="AC1071" s="1111"/>
      <c r="AD1071" s="1111"/>
      <c r="AE1071" s="1111"/>
      <c r="AF1071" s="1111"/>
      <c r="AG1071" s="1111"/>
    </row>
    <row r="1072" spans="1:33" s="1295" customFormat="1">
      <c r="A1072" s="1264"/>
      <c r="D1072" s="1118"/>
      <c r="E1072" s="1264"/>
      <c r="F1072" s="1118"/>
      <c r="G1072" s="1118"/>
      <c r="H1072" s="1118"/>
      <c r="I1072" s="1118"/>
      <c r="J1072" s="1118"/>
      <c r="K1072" s="1118"/>
      <c r="L1072" s="1118"/>
      <c r="M1072" s="1118"/>
      <c r="N1072" s="1118"/>
      <c r="O1072" s="1118"/>
      <c r="P1072" s="1118"/>
      <c r="Q1072" s="1111"/>
      <c r="R1072" s="1111"/>
      <c r="S1072" s="1111"/>
      <c r="T1072" s="1111"/>
      <c r="U1072" s="1111"/>
      <c r="V1072" s="1111"/>
      <c r="W1072" s="1111"/>
      <c r="X1072" s="1111"/>
      <c r="Y1072" s="1111"/>
      <c r="Z1072" s="1111"/>
      <c r="AA1072" s="1111"/>
      <c r="AB1072" s="1111"/>
      <c r="AC1072" s="1111"/>
      <c r="AD1072" s="1111"/>
      <c r="AE1072" s="1111"/>
      <c r="AF1072" s="1111"/>
      <c r="AG1072" s="1111"/>
    </row>
    <row r="1073" spans="1:33" s="1295" customFormat="1">
      <c r="A1073" s="1264"/>
      <c r="D1073" s="1118"/>
      <c r="E1073" s="1264"/>
      <c r="F1073" s="1118"/>
      <c r="G1073" s="1118"/>
      <c r="H1073" s="1118"/>
      <c r="I1073" s="1118"/>
      <c r="J1073" s="1118"/>
      <c r="K1073" s="1118"/>
      <c r="L1073" s="1118"/>
      <c r="M1073" s="1118"/>
      <c r="N1073" s="1118"/>
      <c r="O1073" s="1118"/>
      <c r="P1073" s="1118"/>
      <c r="Q1073" s="1111"/>
      <c r="R1073" s="1111"/>
      <c r="S1073" s="1111"/>
      <c r="T1073" s="1111"/>
      <c r="U1073" s="1111"/>
      <c r="V1073" s="1111"/>
      <c r="W1073" s="1111"/>
      <c r="X1073" s="1111"/>
      <c r="Y1073" s="1111"/>
      <c r="Z1073" s="1111"/>
      <c r="AA1073" s="1111"/>
      <c r="AB1073" s="1111"/>
      <c r="AC1073" s="1111"/>
      <c r="AD1073" s="1111"/>
      <c r="AE1073" s="1111"/>
      <c r="AF1073" s="1111"/>
      <c r="AG1073" s="1111"/>
    </row>
    <row r="1074" spans="1:33" s="1295" customFormat="1">
      <c r="A1074" s="1264"/>
      <c r="D1074" s="1118"/>
      <c r="E1074" s="1264"/>
      <c r="F1074" s="1118"/>
      <c r="G1074" s="1118"/>
      <c r="H1074" s="1118"/>
      <c r="I1074" s="1118"/>
      <c r="J1074" s="1118"/>
      <c r="K1074" s="1118"/>
      <c r="L1074" s="1118"/>
      <c r="M1074" s="1118"/>
      <c r="N1074" s="1118"/>
      <c r="O1074" s="1118"/>
      <c r="P1074" s="1118"/>
      <c r="Q1074" s="1111"/>
      <c r="R1074" s="1111"/>
      <c r="S1074" s="1111"/>
      <c r="T1074" s="1111"/>
      <c r="U1074" s="1111"/>
      <c r="V1074" s="1111"/>
      <c r="W1074" s="1111"/>
      <c r="X1074" s="1111"/>
      <c r="Y1074" s="1111"/>
      <c r="Z1074" s="1111"/>
      <c r="AA1074" s="1111"/>
      <c r="AB1074" s="1111"/>
      <c r="AC1074" s="1111"/>
      <c r="AD1074" s="1111"/>
      <c r="AE1074" s="1111"/>
      <c r="AF1074" s="1111"/>
      <c r="AG1074" s="1111"/>
    </row>
    <row r="1075" spans="1:33" s="1295" customFormat="1">
      <c r="A1075" s="1264"/>
      <c r="D1075" s="1118"/>
      <c r="E1075" s="1264"/>
      <c r="F1075" s="1118"/>
      <c r="G1075" s="1118"/>
      <c r="H1075" s="1118"/>
      <c r="I1075" s="1118"/>
      <c r="J1075" s="1118"/>
      <c r="K1075" s="1118"/>
      <c r="L1075" s="1118"/>
      <c r="M1075" s="1118"/>
      <c r="N1075" s="1118"/>
      <c r="O1075" s="1118"/>
      <c r="P1075" s="1118"/>
      <c r="Q1075" s="1111"/>
      <c r="R1075" s="1111"/>
      <c r="S1075" s="1111"/>
      <c r="T1075" s="1111"/>
      <c r="U1075" s="1111"/>
      <c r="V1075" s="1111"/>
      <c r="W1075" s="1111"/>
      <c r="X1075" s="1111"/>
      <c r="Y1075" s="1111"/>
      <c r="Z1075" s="1111"/>
      <c r="AA1075" s="1111"/>
      <c r="AB1075" s="1111"/>
      <c r="AC1075" s="1111"/>
      <c r="AD1075" s="1111"/>
      <c r="AE1075" s="1111"/>
      <c r="AF1075" s="1111"/>
      <c r="AG1075" s="1111"/>
    </row>
    <row r="1076" spans="1:33" s="1295" customFormat="1">
      <c r="A1076" s="1264"/>
      <c r="D1076" s="1118"/>
      <c r="E1076" s="1264"/>
      <c r="F1076" s="1118"/>
      <c r="G1076" s="1118"/>
      <c r="H1076" s="1118"/>
      <c r="I1076" s="1118"/>
      <c r="J1076" s="1118"/>
      <c r="K1076" s="1118"/>
      <c r="L1076" s="1118"/>
      <c r="M1076" s="1118"/>
      <c r="N1076" s="1118"/>
      <c r="O1076" s="1118"/>
      <c r="P1076" s="1118"/>
      <c r="Q1076" s="1111"/>
      <c r="R1076" s="1111"/>
      <c r="S1076" s="1111"/>
      <c r="T1076" s="1111"/>
      <c r="U1076" s="1111"/>
      <c r="V1076" s="1111"/>
      <c r="W1076" s="1111"/>
      <c r="X1076" s="1111"/>
      <c r="Y1076" s="1111"/>
      <c r="Z1076" s="1111"/>
      <c r="AA1076" s="1111"/>
      <c r="AB1076" s="1111"/>
      <c r="AC1076" s="1111"/>
      <c r="AD1076" s="1111"/>
      <c r="AE1076" s="1111"/>
      <c r="AF1076" s="1111"/>
      <c r="AG1076" s="1111"/>
    </row>
    <row r="1077" spans="1:33" s="1295" customFormat="1">
      <c r="A1077" s="1264"/>
      <c r="D1077" s="1118"/>
      <c r="E1077" s="1264"/>
      <c r="F1077" s="1118"/>
      <c r="G1077" s="1118"/>
      <c r="H1077" s="1118"/>
      <c r="I1077" s="1118"/>
      <c r="J1077" s="1118"/>
      <c r="K1077" s="1118"/>
      <c r="L1077" s="1118"/>
      <c r="M1077" s="1118"/>
      <c r="N1077" s="1118"/>
      <c r="O1077" s="1118"/>
      <c r="P1077" s="1118"/>
      <c r="Q1077" s="1111"/>
      <c r="R1077" s="1111"/>
      <c r="S1077" s="1111"/>
      <c r="T1077" s="1111"/>
      <c r="U1077" s="1111"/>
      <c r="V1077" s="1111"/>
      <c r="W1077" s="1111"/>
      <c r="X1077" s="1111"/>
      <c r="Y1077" s="1111"/>
      <c r="Z1077" s="1111"/>
      <c r="AA1077" s="1111"/>
      <c r="AB1077" s="1111"/>
      <c r="AC1077" s="1111"/>
      <c r="AD1077" s="1111"/>
      <c r="AE1077" s="1111"/>
      <c r="AF1077" s="1111"/>
      <c r="AG1077" s="1111"/>
    </row>
    <row r="1078" spans="1:33" s="1295" customFormat="1">
      <c r="A1078" s="1264"/>
      <c r="D1078" s="1118"/>
      <c r="E1078" s="1264"/>
      <c r="F1078" s="1118"/>
      <c r="G1078" s="1118"/>
      <c r="H1078" s="1118"/>
      <c r="I1078" s="1118"/>
      <c r="J1078" s="1118"/>
      <c r="K1078" s="1118"/>
      <c r="L1078" s="1118"/>
      <c r="M1078" s="1118"/>
      <c r="N1078" s="1118"/>
      <c r="O1078" s="1118"/>
      <c r="P1078" s="1118"/>
      <c r="Q1078" s="1111"/>
      <c r="R1078" s="1111"/>
      <c r="S1078" s="1111"/>
      <c r="T1078" s="1111"/>
      <c r="U1078" s="1111"/>
      <c r="V1078" s="1111"/>
      <c r="W1078" s="1111"/>
      <c r="X1078" s="1111"/>
      <c r="Y1078" s="1111"/>
      <c r="Z1078" s="1111"/>
      <c r="AA1078" s="1111"/>
      <c r="AB1078" s="1111"/>
      <c r="AC1078" s="1111"/>
      <c r="AD1078" s="1111"/>
      <c r="AE1078" s="1111"/>
      <c r="AF1078" s="1111"/>
      <c r="AG1078" s="1111"/>
    </row>
    <row r="1079" spans="1:33" s="1295" customFormat="1">
      <c r="A1079" s="1264"/>
      <c r="D1079" s="1118"/>
      <c r="E1079" s="1264"/>
      <c r="F1079" s="1118"/>
      <c r="G1079" s="1118"/>
      <c r="H1079" s="1118"/>
      <c r="I1079" s="1118"/>
      <c r="J1079" s="1118"/>
      <c r="K1079" s="1118"/>
      <c r="L1079" s="1118"/>
      <c r="M1079" s="1118"/>
      <c r="N1079" s="1118"/>
      <c r="O1079" s="1118"/>
      <c r="P1079" s="1118"/>
      <c r="Q1079" s="1111"/>
      <c r="R1079" s="1111"/>
      <c r="S1079" s="1111"/>
      <c r="T1079" s="1111"/>
      <c r="U1079" s="1111"/>
      <c r="V1079" s="1111"/>
      <c r="W1079" s="1111"/>
      <c r="X1079" s="1111"/>
      <c r="Y1079" s="1111"/>
      <c r="Z1079" s="1111"/>
      <c r="AA1079" s="1111"/>
      <c r="AB1079" s="1111"/>
      <c r="AC1079" s="1111"/>
      <c r="AD1079" s="1111"/>
      <c r="AE1079" s="1111"/>
      <c r="AF1079" s="1111"/>
      <c r="AG1079" s="1111"/>
    </row>
    <row r="1080" spans="1:33" s="1295" customFormat="1">
      <c r="A1080" s="1264"/>
      <c r="D1080" s="1118"/>
      <c r="E1080" s="1264"/>
      <c r="F1080" s="1118"/>
      <c r="G1080" s="1118"/>
      <c r="H1080" s="1118"/>
      <c r="I1080" s="1118"/>
      <c r="J1080" s="1118"/>
      <c r="K1080" s="1118"/>
      <c r="L1080" s="1118"/>
      <c r="M1080" s="1118"/>
      <c r="N1080" s="1118"/>
      <c r="O1080" s="1118"/>
      <c r="P1080" s="1118"/>
      <c r="Q1080" s="1111"/>
      <c r="R1080" s="1111"/>
      <c r="S1080" s="1111"/>
      <c r="T1080" s="1111"/>
      <c r="U1080" s="1111"/>
      <c r="V1080" s="1111"/>
      <c r="W1080" s="1111"/>
      <c r="X1080" s="1111"/>
      <c r="Y1080" s="1111"/>
      <c r="Z1080" s="1111"/>
      <c r="AA1080" s="1111"/>
      <c r="AB1080" s="1111"/>
      <c r="AC1080" s="1111"/>
      <c r="AD1080" s="1111"/>
      <c r="AE1080" s="1111"/>
      <c r="AF1080" s="1111"/>
      <c r="AG1080" s="1111"/>
    </row>
    <row r="1081" spans="1:33" s="1295" customFormat="1">
      <c r="A1081" s="1264"/>
      <c r="D1081" s="1118"/>
      <c r="E1081" s="1264"/>
      <c r="F1081" s="1118"/>
      <c r="G1081" s="1118"/>
      <c r="H1081" s="1118"/>
      <c r="I1081" s="1118"/>
      <c r="J1081" s="1118"/>
      <c r="K1081" s="1118"/>
      <c r="L1081" s="1118"/>
      <c r="M1081" s="1118"/>
      <c r="N1081" s="1118"/>
      <c r="O1081" s="1118"/>
      <c r="P1081" s="1118"/>
      <c r="Q1081" s="1111"/>
      <c r="R1081" s="1111"/>
      <c r="S1081" s="1111"/>
      <c r="T1081" s="1111"/>
      <c r="U1081" s="1111"/>
      <c r="V1081" s="1111"/>
      <c r="W1081" s="1111"/>
      <c r="X1081" s="1111"/>
      <c r="Y1081" s="1111"/>
      <c r="Z1081" s="1111"/>
      <c r="AA1081" s="1111"/>
      <c r="AB1081" s="1111"/>
      <c r="AC1081" s="1111"/>
      <c r="AD1081" s="1111"/>
      <c r="AE1081" s="1111"/>
      <c r="AF1081" s="1111"/>
      <c r="AG1081" s="1111"/>
    </row>
    <row r="1082" spans="1:33" s="1295" customFormat="1">
      <c r="A1082" s="1264"/>
      <c r="D1082" s="1118"/>
      <c r="E1082" s="1264"/>
      <c r="F1082" s="1118"/>
      <c r="G1082" s="1118"/>
      <c r="H1082" s="1118"/>
      <c r="I1082" s="1118"/>
      <c r="J1082" s="1118"/>
      <c r="K1082" s="1118"/>
      <c r="L1082" s="1118"/>
      <c r="M1082" s="1118"/>
      <c r="N1082" s="1118"/>
      <c r="O1082" s="1118"/>
      <c r="P1082" s="1118"/>
      <c r="Q1082" s="1111"/>
      <c r="R1082" s="1111"/>
      <c r="S1082" s="1111"/>
      <c r="T1082" s="1111"/>
      <c r="U1082" s="1111"/>
      <c r="V1082" s="1111"/>
      <c r="W1082" s="1111"/>
      <c r="X1082" s="1111"/>
      <c r="Y1082" s="1111"/>
      <c r="Z1082" s="1111"/>
      <c r="AA1082" s="1111"/>
      <c r="AB1082" s="1111"/>
      <c r="AC1082" s="1111"/>
      <c r="AD1082" s="1111"/>
      <c r="AE1082" s="1111"/>
      <c r="AF1082" s="1111"/>
      <c r="AG1082" s="1111"/>
    </row>
    <row r="1083" spans="1:33" s="1295" customFormat="1">
      <c r="A1083" s="1264"/>
      <c r="D1083" s="1118"/>
      <c r="E1083" s="1264"/>
      <c r="F1083" s="1118"/>
      <c r="G1083" s="1118"/>
      <c r="H1083" s="1118"/>
      <c r="I1083" s="1118"/>
      <c r="J1083" s="1118"/>
      <c r="K1083" s="1118"/>
      <c r="L1083" s="1118"/>
      <c r="M1083" s="1118"/>
      <c r="N1083" s="1118"/>
      <c r="O1083" s="1118"/>
      <c r="P1083" s="1118"/>
      <c r="Q1083" s="1111"/>
      <c r="R1083" s="1111"/>
      <c r="S1083" s="1111"/>
      <c r="T1083" s="1111"/>
      <c r="U1083" s="1111"/>
      <c r="V1083" s="1111"/>
      <c r="W1083" s="1111"/>
      <c r="X1083" s="1111"/>
      <c r="Y1083" s="1111"/>
      <c r="Z1083" s="1111"/>
      <c r="AA1083" s="1111"/>
      <c r="AB1083" s="1111"/>
      <c r="AC1083" s="1111"/>
      <c r="AD1083" s="1111"/>
      <c r="AE1083" s="1111"/>
      <c r="AF1083" s="1111"/>
      <c r="AG1083" s="1111"/>
    </row>
    <row r="1084" spans="1:33" s="1295" customFormat="1">
      <c r="A1084" s="1264"/>
      <c r="D1084" s="1118"/>
      <c r="E1084" s="1264"/>
      <c r="F1084" s="1118"/>
      <c r="G1084" s="1118"/>
      <c r="H1084" s="1118"/>
      <c r="I1084" s="1118"/>
      <c r="J1084" s="1118"/>
      <c r="K1084" s="1118"/>
      <c r="L1084" s="1118"/>
      <c r="M1084" s="1118"/>
      <c r="N1084" s="1118"/>
      <c r="O1084" s="1118"/>
      <c r="P1084" s="1118"/>
      <c r="Q1084" s="1111"/>
      <c r="R1084" s="1111"/>
      <c r="S1084" s="1111"/>
      <c r="T1084" s="1111"/>
      <c r="U1084" s="1111"/>
      <c r="V1084" s="1111"/>
      <c r="W1084" s="1111"/>
      <c r="X1084" s="1111"/>
      <c r="Y1084" s="1111"/>
      <c r="Z1084" s="1111"/>
      <c r="AA1084" s="1111"/>
      <c r="AB1084" s="1111"/>
      <c r="AC1084" s="1111"/>
      <c r="AD1084" s="1111"/>
      <c r="AE1084" s="1111"/>
      <c r="AF1084" s="1111"/>
      <c r="AG1084" s="1111"/>
    </row>
    <row r="1085" spans="1:33" s="1295" customFormat="1">
      <c r="A1085" s="1264"/>
      <c r="D1085" s="1118"/>
      <c r="E1085" s="1264"/>
      <c r="F1085" s="1118"/>
      <c r="G1085" s="1118"/>
      <c r="H1085" s="1118"/>
      <c r="I1085" s="1118"/>
      <c r="J1085" s="1118"/>
      <c r="K1085" s="1118"/>
      <c r="L1085" s="1118"/>
      <c r="M1085" s="1118"/>
      <c r="N1085" s="1118"/>
      <c r="O1085" s="1118"/>
      <c r="P1085" s="1118"/>
      <c r="Q1085" s="1111"/>
      <c r="R1085" s="1111"/>
      <c r="S1085" s="1111"/>
      <c r="T1085" s="1111"/>
      <c r="U1085" s="1111"/>
      <c r="V1085" s="1111"/>
      <c r="W1085" s="1111"/>
      <c r="X1085" s="1111"/>
      <c r="Y1085" s="1111"/>
      <c r="Z1085" s="1111"/>
      <c r="AA1085" s="1111"/>
      <c r="AB1085" s="1111"/>
      <c r="AC1085" s="1111"/>
      <c r="AD1085" s="1111"/>
      <c r="AE1085" s="1111"/>
      <c r="AF1085" s="1111"/>
      <c r="AG1085" s="1111"/>
    </row>
    <row r="1086" spans="1:33" s="1295" customFormat="1">
      <c r="A1086" s="1264"/>
      <c r="D1086" s="1118"/>
      <c r="E1086" s="1264"/>
      <c r="F1086" s="1118"/>
      <c r="G1086" s="1118"/>
      <c r="H1086" s="1118"/>
      <c r="I1086" s="1118"/>
      <c r="J1086" s="1118"/>
      <c r="K1086" s="1118"/>
      <c r="L1086" s="1118"/>
      <c r="M1086" s="1118"/>
      <c r="N1086" s="1118"/>
      <c r="O1086" s="1118"/>
      <c r="P1086" s="1118"/>
      <c r="Q1086" s="1111"/>
      <c r="R1086" s="1111"/>
      <c r="S1086" s="1111"/>
      <c r="T1086" s="1111"/>
      <c r="U1086" s="1111"/>
      <c r="V1086" s="1111"/>
      <c r="W1086" s="1111"/>
      <c r="X1086" s="1111"/>
      <c r="Y1086" s="1111"/>
      <c r="Z1086" s="1111"/>
      <c r="AA1086" s="1111"/>
      <c r="AB1086" s="1111"/>
      <c r="AC1086" s="1111"/>
      <c r="AD1086" s="1111"/>
      <c r="AE1086" s="1111"/>
      <c r="AF1086" s="1111"/>
      <c r="AG1086" s="1111"/>
    </row>
    <row r="1087" spans="1:33" s="1295" customFormat="1">
      <c r="A1087" s="1264"/>
      <c r="D1087" s="1118"/>
      <c r="E1087" s="1264"/>
      <c r="F1087" s="1118"/>
      <c r="G1087" s="1118"/>
      <c r="H1087" s="1118"/>
      <c r="I1087" s="1118"/>
      <c r="J1087" s="1118"/>
      <c r="K1087" s="1118"/>
      <c r="L1087" s="1118"/>
      <c r="M1087" s="1118"/>
      <c r="N1087" s="1118"/>
      <c r="O1087" s="1118"/>
      <c r="P1087" s="1118"/>
      <c r="Q1087" s="1111"/>
      <c r="R1087" s="1111"/>
      <c r="S1087" s="1111"/>
      <c r="T1087" s="1111"/>
      <c r="U1087" s="1111"/>
      <c r="V1087" s="1111"/>
      <c r="W1087" s="1111"/>
      <c r="X1087" s="1111"/>
      <c r="Y1087" s="1111"/>
      <c r="Z1087" s="1111"/>
      <c r="AA1087" s="1111"/>
      <c r="AB1087" s="1111"/>
      <c r="AC1087" s="1111"/>
      <c r="AD1087" s="1111"/>
      <c r="AE1087" s="1111"/>
      <c r="AF1087" s="1111"/>
      <c r="AG1087" s="1111"/>
    </row>
    <row r="1088" spans="1:33" s="1295" customFormat="1">
      <c r="A1088" s="1264"/>
      <c r="D1088" s="1118"/>
      <c r="E1088" s="1264"/>
      <c r="F1088" s="1118"/>
      <c r="G1088" s="1118"/>
      <c r="H1088" s="1118"/>
      <c r="I1088" s="1118"/>
      <c r="J1088" s="1118"/>
      <c r="K1088" s="1118"/>
      <c r="L1088" s="1118"/>
      <c r="M1088" s="1118"/>
      <c r="N1088" s="1118"/>
      <c r="O1088" s="1118"/>
      <c r="P1088" s="1118"/>
      <c r="Q1088" s="1111"/>
      <c r="R1088" s="1111"/>
      <c r="S1088" s="1111"/>
      <c r="T1088" s="1111"/>
      <c r="U1088" s="1111"/>
      <c r="V1088" s="1111"/>
      <c r="W1088" s="1111"/>
      <c r="X1088" s="1111"/>
      <c r="Y1088" s="1111"/>
      <c r="Z1088" s="1111"/>
      <c r="AA1088" s="1111"/>
      <c r="AB1088" s="1111"/>
      <c r="AC1088" s="1111"/>
      <c r="AD1088" s="1111"/>
      <c r="AE1088" s="1111"/>
      <c r="AF1088" s="1111"/>
      <c r="AG1088" s="1111"/>
    </row>
    <row r="1089" spans="1:33" s="1295" customFormat="1">
      <c r="A1089" s="1264"/>
      <c r="D1089" s="1118"/>
      <c r="E1089" s="1264"/>
      <c r="F1089" s="1118"/>
      <c r="G1089" s="1118"/>
      <c r="H1089" s="1118"/>
      <c r="I1089" s="1118"/>
      <c r="J1089" s="1118"/>
      <c r="K1089" s="1118"/>
      <c r="L1089" s="1118"/>
      <c r="M1089" s="1118"/>
      <c r="N1089" s="1118"/>
      <c r="O1089" s="1118"/>
      <c r="P1089" s="1118"/>
      <c r="Q1089" s="1111"/>
      <c r="R1089" s="1111"/>
      <c r="S1089" s="1111"/>
      <c r="T1089" s="1111"/>
      <c r="U1089" s="1111"/>
      <c r="V1089" s="1111"/>
      <c r="W1089" s="1111"/>
      <c r="X1089" s="1111"/>
      <c r="Y1089" s="1111"/>
      <c r="Z1089" s="1111"/>
      <c r="AA1089" s="1111"/>
      <c r="AB1089" s="1111"/>
      <c r="AC1089" s="1111"/>
      <c r="AD1089" s="1111"/>
      <c r="AE1089" s="1111"/>
      <c r="AF1089" s="1111"/>
      <c r="AG1089" s="1111"/>
    </row>
    <row r="1090" spans="1:33" s="1295" customFormat="1">
      <c r="A1090" s="1264"/>
      <c r="D1090" s="1118"/>
      <c r="E1090" s="1264"/>
      <c r="F1090" s="1118"/>
      <c r="G1090" s="1118"/>
      <c r="H1090" s="1118"/>
      <c r="I1090" s="1118"/>
      <c r="J1090" s="1118"/>
      <c r="K1090" s="1118"/>
      <c r="L1090" s="1118"/>
      <c r="M1090" s="1118"/>
      <c r="N1090" s="1118"/>
      <c r="O1090" s="1118"/>
      <c r="P1090" s="1118"/>
      <c r="Q1090" s="1111"/>
      <c r="R1090" s="1111"/>
      <c r="S1090" s="1111"/>
      <c r="T1090" s="1111"/>
      <c r="U1090" s="1111"/>
      <c r="V1090" s="1111"/>
      <c r="W1090" s="1111"/>
      <c r="X1090" s="1111"/>
      <c r="Y1090" s="1111"/>
      <c r="Z1090" s="1111"/>
      <c r="AA1090" s="1111"/>
      <c r="AB1090" s="1111"/>
      <c r="AC1090" s="1111"/>
      <c r="AD1090" s="1111"/>
      <c r="AE1090" s="1111"/>
      <c r="AF1090" s="1111"/>
      <c r="AG1090" s="1111"/>
    </row>
    <row r="1091" spans="1:33" s="1295" customFormat="1">
      <c r="A1091" s="1264"/>
      <c r="D1091" s="1118"/>
      <c r="E1091" s="1264"/>
      <c r="F1091" s="1118"/>
      <c r="G1091" s="1118"/>
      <c r="H1091" s="1118"/>
      <c r="I1091" s="1118"/>
      <c r="J1091" s="1118"/>
      <c r="K1091" s="1118"/>
      <c r="L1091" s="1118"/>
      <c r="M1091" s="1118"/>
      <c r="N1091" s="1118"/>
      <c r="O1091" s="1118"/>
      <c r="P1091" s="1118"/>
      <c r="Q1091" s="1111"/>
      <c r="R1091" s="1111"/>
      <c r="S1091" s="1111"/>
      <c r="T1091" s="1111"/>
      <c r="U1091" s="1111"/>
      <c r="V1091" s="1111"/>
      <c r="W1091" s="1111"/>
      <c r="X1091" s="1111"/>
      <c r="Y1091" s="1111"/>
      <c r="Z1091" s="1111"/>
      <c r="AA1091" s="1111"/>
      <c r="AB1091" s="1111"/>
      <c r="AC1091" s="1111"/>
      <c r="AD1091" s="1111"/>
      <c r="AE1091" s="1111"/>
      <c r="AF1091" s="1111"/>
      <c r="AG1091" s="1111"/>
    </row>
    <row r="1092" spans="1:33" s="1295" customFormat="1">
      <c r="A1092" s="1264"/>
      <c r="D1092" s="1118"/>
      <c r="E1092" s="1264"/>
      <c r="F1092" s="1118"/>
      <c r="G1092" s="1118"/>
      <c r="H1092" s="1118"/>
      <c r="I1092" s="1118"/>
      <c r="J1092" s="1118"/>
      <c r="K1092" s="1118"/>
      <c r="L1092" s="1118"/>
      <c r="M1092" s="1118"/>
      <c r="N1092" s="1118"/>
      <c r="O1092" s="1118"/>
      <c r="P1092" s="1118"/>
      <c r="Q1092" s="1111"/>
      <c r="R1092" s="1111"/>
      <c r="S1092" s="1111"/>
      <c r="T1092" s="1111"/>
      <c r="U1092" s="1111"/>
      <c r="V1092" s="1111"/>
      <c r="W1092" s="1111"/>
      <c r="X1092" s="1111"/>
      <c r="Y1092" s="1111"/>
      <c r="Z1092" s="1111"/>
      <c r="AA1092" s="1111"/>
      <c r="AB1092" s="1111"/>
      <c r="AC1092" s="1111"/>
      <c r="AD1092" s="1111"/>
      <c r="AE1092" s="1111"/>
      <c r="AF1092" s="1111"/>
      <c r="AG1092" s="1111"/>
    </row>
    <row r="1093" spans="1:33" s="1295" customFormat="1">
      <c r="A1093" s="1264"/>
      <c r="D1093" s="1118"/>
      <c r="E1093" s="1264"/>
      <c r="F1093" s="1118"/>
      <c r="G1093" s="1118"/>
      <c r="H1093" s="1118"/>
      <c r="I1093" s="1118"/>
      <c r="J1093" s="1118"/>
      <c r="K1093" s="1118"/>
      <c r="L1093" s="1118"/>
      <c r="M1093" s="1118"/>
      <c r="N1093" s="1118"/>
      <c r="O1093" s="1118"/>
      <c r="P1093" s="1118"/>
      <c r="Q1093" s="1111"/>
      <c r="R1093" s="1111"/>
      <c r="S1093" s="1111"/>
      <c r="T1093" s="1111"/>
      <c r="U1093" s="1111"/>
      <c r="V1093" s="1111"/>
      <c r="W1093" s="1111"/>
      <c r="X1093" s="1111"/>
      <c r="Y1093" s="1111"/>
      <c r="Z1093" s="1111"/>
      <c r="AA1093" s="1111"/>
      <c r="AB1093" s="1111"/>
      <c r="AC1093" s="1111"/>
      <c r="AD1093" s="1111"/>
      <c r="AE1093" s="1111"/>
      <c r="AF1093" s="1111"/>
      <c r="AG1093" s="1111"/>
    </row>
    <row r="1094" spans="1:33" s="1295" customFormat="1">
      <c r="A1094" s="1264"/>
      <c r="D1094" s="1118"/>
      <c r="E1094" s="1264"/>
      <c r="F1094" s="1118"/>
      <c r="G1094" s="1118"/>
      <c r="H1094" s="1118"/>
      <c r="I1094" s="1118"/>
      <c r="J1094" s="1118"/>
      <c r="K1094" s="1118"/>
      <c r="L1094" s="1118"/>
      <c r="M1094" s="1118"/>
      <c r="N1094" s="1118"/>
      <c r="O1094" s="1118"/>
      <c r="P1094" s="1118"/>
      <c r="Q1094" s="1111"/>
      <c r="R1094" s="1111"/>
      <c r="S1094" s="1111"/>
      <c r="T1094" s="1111"/>
      <c r="U1094" s="1111"/>
      <c r="V1094" s="1111"/>
      <c r="W1094" s="1111"/>
      <c r="X1094" s="1111"/>
      <c r="Y1094" s="1111"/>
      <c r="Z1094" s="1111"/>
      <c r="AA1094" s="1111"/>
      <c r="AB1094" s="1111"/>
      <c r="AC1094" s="1111"/>
      <c r="AD1094" s="1111"/>
      <c r="AE1094" s="1111"/>
      <c r="AF1094" s="1111"/>
      <c r="AG1094" s="1111"/>
    </row>
    <row r="1095" spans="1:33" s="1295" customFormat="1">
      <c r="A1095" s="1264"/>
      <c r="D1095" s="1118"/>
      <c r="E1095" s="1264"/>
      <c r="F1095" s="1118"/>
      <c r="G1095" s="1118"/>
      <c r="H1095" s="1118"/>
      <c r="I1095" s="1118"/>
      <c r="J1095" s="1118"/>
      <c r="K1095" s="1118"/>
      <c r="L1095" s="1118"/>
      <c r="M1095" s="1118"/>
      <c r="N1095" s="1118"/>
      <c r="O1095" s="1118"/>
      <c r="P1095" s="1118"/>
      <c r="Q1095" s="1111"/>
      <c r="R1095" s="1111"/>
      <c r="S1095" s="1111"/>
      <c r="T1095" s="1111"/>
      <c r="U1095" s="1111"/>
      <c r="V1095" s="1111"/>
      <c r="W1095" s="1111"/>
      <c r="X1095" s="1111"/>
      <c r="Y1095" s="1111"/>
      <c r="Z1095" s="1111"/>
      <c r="AA1095" s="1111"/>
      <c r="AB1095" s="1111"/>
      <c r="AC1095" s="1111"/>
      <c r="AD1095" s="1111"/>
      <c r="AE1095" s="1111"/>
      <c r="AF1095" s="1111"/>
      <c r="AG1095" s="1111"/>
    </row>
    <row r="1096" spans="1:33" s="1295" customFormat="1">
      <c r="A1096" s="1264"/>
      <c r="D1096" s="1118"/>
      <c r="E1096" s="1264"/>
      <c r="F1096" s="1118"/>
      <c r="G1096" s="1118"/>
      <c r="H1096" s="1118"/>
      <c r="I1096" s="1118"/>
      <c r="J1096" s="1118"/>
      <c r="K1096" s="1118"/>
      <c r="L1096" s="1118"/>
      <c r="M1096" s="1118"/>
      <c r="N1096" s="1118"/>
      <c r="O1096" s="1118"/>
      <c r="P1096" s="1118"/>
      <c r="Q1096" s="1111"/>
      <c r="R1096" s="1111"/>
      <c r="S1096" s="1111"/>
      <c r="T1096" s="1111"/>
      <c r="U1096" s="1111"/>
      <c r="V1096" s="1111"/>
      <c r="W1096" s="1111"/>
      <c r="X1096" s="1111"/>
      <c r="Y1096" s="1111"/>
      <c r="Z1096" s="1111"/>
      <c r="AA1096" s="1111"/>
      <c r="AB1096" s="1111"/>
      <c r="AC1096" s="1111"/>
      <c r="AD1096" s="1111"/>
      <c r="AE1096" s="1111"/>
      <c r="AF1096" s="1111"/>
      <c r="AG1096" s="1111"/>
    </row>
    <row r="1097" spans="1:33" s="1295" customFormat="1">
      <c r="A1097" s="1264"/>
      <c r="D1097" s="1118"/>
      <c r="E1097" s="1264"/>
      <c r="F1097" s="1118"/>
      <c r="G1097" s="1118"/>
      <c r="H1097" s="1118"/>
      <c r="I1097" s="1118"/>
      <c r="J1097" s="1118"/>
      <c r="K1097" s="1118"/>
      <c r="L1097" s="1118"/>
      <c r="M1097" s="1118"/>
      <c r="N1097" s="1118"/>
      <c r="O1097" s="1118"/>
      <c r="P1097" s="1118"/>
      <c r="Q1097" s="1111"/>
      <c r="R1097" s="1111"/>
      <c r="S1097" s="1111"/>
      <c r="T1097" s="1111"/>
      <c r="U1097" s="1111"/>
      <c r="V1097" s="1111"/>
      <c r="W1097" s="1111"/>
      <c r="X1097" s="1111"/>
      <c r="Y1097" s="1111"/>
      <c r="Z1097" s="1111"/>
      <c r="AA1097" s="1111"/>
      <c r="AB1097" s="1111"/>
      <c r="AC1097" s="1111"/>
      <c r="AD1097" s="1111"/>
      <c r="AE1097" s="1111"/>
      <c r="AF1097" s="1111"/>
      <c r="AG1097" s="1111"/>
    </row>
    <row r="1098" spans="1:33" s="1295" customFormat="1">
      <c r="A1098" s="1264"/>
      <c r="D1098" s="1118"/>
      <c r="E1098" s="1264"/>
      <c r="F1098" s="1118"/>
      <c r="G1098" s="1118"/>
      <c r="H1098" s="1118"/>
      <c r="I1098" s="1118"/>
      <c r="J1098" s="1118"/>
      <c r="K1098" s="1118"/>
      <c r="L1098" s="1118"/>
      <c r="M1098" s="1118"/>
      <c r="N1098" s="1118"/>
      <c r="O1098" s="1118"/>
      <c r="P1098" s="1118"/>
      <c r="Q1098" s="1111"/>
      <c r="R1098" s="1111"/>
      <c r="S1098" s="1111"/>
      <c r="T1098" s="1111"/>
      <c r="U1098" s="1111"/>
      <c r="V1098" s="1111"/>
      <c r="W1098" s="1111"/>
      <c r="X1098" s="1111"/>
      <c r="Y1098" s="1111"/>
      <c r="Z1098" s="1111"/>
      <c r="AA1098" s="1111"/>
      <c r="AB1098" s="1111"/>
      <c r="AC1098" s="1111"/>
      <c r="AD1098" s="1111"/>
      <c r="AE1098" s="1111"/>
      <c r="AF1098" s="1111"/>
      <c r="AG1098" s="1111"/>
    </row>
    <row r="1099" spans="1:33" s="1295" customFormat="1">
      <c r="A1099" s="1264"/>
      <c r="D1099" s="1118"/>
      <c r="E1099" s="1264"/>
      <c r="F1099" s="1118"/>
      <c r="G1099" s="1118"/>
      <c r="H1099" s="1118"/>
      <c r="I1099" s="1118"/>
      <c r="J1099" s="1118"/>
      <c r="K1099" s="1118"/>
      <c r="L1099" s="1118"/>
      <c r="M1099" s="1118"/>
      <c r="N1099" s="1118"/>
      <c r="O1099" s="1118"/>
      <c r="P1099" s="1118"/>
      <c r="Q1099" s="1111"/>
      <c r="R1099" s="1111"/>
      <c r="S1099" s="1111"/>
      <c r="T1099" s="1111"/>
      <c r="U1099" s="1111"/>
      <c r="V1099" s="1111"/>
      <c r="W1099" s="1111"/>
      <c r="X1099" s="1111"/>
      <c r="Y1099" s="1111"/>
      <c r="Z1099" s="1111"/>
      <c r="AA1099" s="1111"/>
      <c r="AB1099" s="1111"/>
      <c r="AC1099" s="1111"/>
      <c r="AD1099" s="1111"/>
      <c r="AE1099" s="1111"/>
      <c r="AF1099" s="1111"/>
      <c r="AG1099" s="1111"/>
    </row>
    <row r="1100" spans="1:33" s="1295" customFormat="1">
      <c r="A1100" s="1264"/>
      <c r="D1100" s="1118"/>
      <c r="E1100" s="1264"/>
      <c r="F1100" s="1118"/>
      <c r="G1100" s="1118"/>
      <c r="H1100" s="1118"/>
      <c r="I1100" s="1118"/>
      <c r="J1100" s="1118"/>
      <c r="K1100" s="1118"/>
      <c r="L1100" s="1118"/>
      <c r="M1100" s="1118"/>
      <c r="N1100" s="1118"/>
      <c r="O1100" s="1118"/>
      <c r="P1100" s="1118"/>
      <c r="Q1100" s="1111"/>
      <c r="R1100" s="1111"/>
      <c r="S1100" s="1111"/>
      <c r="T1100" s="1111"/>
      <c r="U1100" s="1111"/>
      <c r="V1100" s="1111"/>
      <c r="W1100" s="1111"/>
      <c r="X1100" s="1111"/>
      <c r="Y1100" s="1111"/>
      <c r="Z1100" s="1111"/>
      <c r="AA1100" s="1111"/>
      <c r="AB1100" s="1111"/>
      <c r="AC1100" s="1111"/>
      <c r="AD1100" s="1111"/>
      <c r="AE1100" s="1111"/>
      <c r="AF1100" s="1111"/>
      <c r="AG1100" s="1111"/>
    </row>
    <row r="1101" spans="1:33" s="1295" customFormat="1">
      <c r="A1101" s="1264"/>
      <c r="D1101" s="1118"/>
      <c r="E1101" s="1264"/>
      <c r="F1101" s="1118"/>
      <c r="G1101" s="1118"/>
      <c r="H1101" s="1118"/>
      <c r="I1101" s="1118"/>
      <c r="J1101" s="1118"/>
      <c r="K1101" s="1118"/>
      <c r="L1101" s="1118"/>
      <c r="M1101" s="1118"/>
      <c r="N1101" s="1118"/>
      <c r="O1101" s="1118"/>
      <c r="P1101" s="1118"/>
      <c r="Q1101" s="1111"/>
      <c r="R1101" s="1111"/>
      <c r="S1101" s="1111"/>
      <c r="T1101" s="1111"/>
      <c r="U1101" s="1111"/>
      <c r="V1101" s="1111"/>
      <c r="W1101" s="1111"/>
      <c r="X1101" s="1111"/>
      <c r="Y1101" s="1111"/>
      <c r="Z1101" s="1111"/>
      <c r="AA1101" s="1111"/>
      <c r="AB1101" s="1111"/>
      <c r="AC1101" s="1111"/>
      <c r="AD1101" s="1111"/>
      <c r="AE1101" s="1111"/>
      <c r="AF1101" s="1111"/>
      <c r="AG1101" s="1111"/>
    </row>
    <row r="1102" spans="1:33" s="1295" customFormat="1">
      <c r="A1102" s="1264"/>
      <c r="D1102" s="1118"/>
      <c r="E1102" s="1264"/>
      <c r="F1102" s="1118"/>
      <c r="G1102" s="1118"/>
      <c r="H1102" s="1118"/>
      <c r="I1102" s="1118"/>
      <c r="J1102" s="1118"/>
      <c r="K1102" s="1118"/>
      <c r="L1102" s="1118"/>
      <c r="M1102" s="1118"/>
      <c r="N1102" s="1118"/>
      <c r="O1102" s="1118"/>
      <c r="P1102" s="1118"/>
      <c r="Q1102" s="1111"/>
      <c r="R1102" s="1111"/>
      <c r="S1102" s="1111"/>
      <c r="T1102" s="1111"/>
      <c r="U1102" s="1111"/>
      <c r="V1102" s="1111"/>
      <c r="W1102" s="1111"/>
      <c r="X1102" s="1111"/>
      <c r="Y1102" s="1111"/>
      <c r="Z1102" s="1111"/>
      <c r="AA1102" s="1111"/>
      <c r="AB1102" s="1111"/>
      <c r="AC1102" s="1111"/>
      <c r="AD1102" s="1111"/>
      <c r="AE1102" s="1111"/>
      <c r="AF1102" s="1111"/>
      <c r="AG1102" s="1111"/>
    </row>
    <row r="1103" spans="1:33" s="1295" customFormat="1">
      <c r="A1103" s="1264"/>
      <c r="D1103" s="1118"/>
      <c r="E1103" s="1264"/>
      <c r="F1103" s="1118"/>
      <c r="G1103" s="1118"/>
      <c r="H1103" s="1118"/>
      <c r="I1103" s="1118"/>
      <c r="J1103" s="1118"/>
      <c r="K1103" s="1118"/>
      <c r="L1103" s="1118"/>
      <c r="M1103" s="1118"/>
      <c r="N1103" s="1118"/>
      <c r="O1103" s="1118"/>
      <c r="P1103" s="1118"/>
      <c r="Q1103" s="1111"/>
      <c r="R1103" s="1111"/>
      <c r="S1103" s="1111"/>
      <c r="T1103" s="1111"/>
      <c r="U1103" s="1111"/>
      <c r="V1103" s="1111"/>
      <c r="W1103" s="1111"/>
      <c r="X1103" s="1111"/>
      <c r="Y1103" s="1111"/>
      <c r="Z1103" s="1111"/>
      <c r="AA1103" s="1111"/>
      <c r="AB1103" s="1111"/>
      <c r="AC1103" s="1111"/>
      <c r="AD1103" s="1111"/>
      <c r="AE1103" s="1111"/>
      <c r="AF1103" s="1111"/>
      <c r="AG1103" s="1111"/>
    </row>
    <row r="1104" spans="1:33" s="1295" customFormat="1">
      <c r="A1104" s="1264"/>
      <c r="D1104" s="1118"/>
      <c r="E1104" s="1264"/>
      <c r="F1104" s="1118"/>
      <c r="G1104" s="1118"/>
      <c r="H1104" s="1118"/>
      <c r="I1104" s="1118"/>
      <c r="J1104" s="1118"/>
      <c r="K1104" s="1118"/>
      <c r="L1104" s="1118"/>
      <c r="M1104" s="1118"/>
      <c r="N1104" s="1118"/>
      <c r="O1104" s="1118"/>
      <c r="P1104" s="1118"/>
      <c r="Q1104" s="1111"/>
      <c r="R1104" s="1111"/>
      <c r="S1104" s="1111"/>
      <c r="T1104" s="1111"/>
      <c r="U1104" s="1111"/>
      <c r="V1104" s="1111"/>
      <c r="W1104" s="1111"/>
      <c r="X1104" s="1111"/>
      <c r="Y1104" s="1111"/>
      <c r="Z1104" s="1111"/>
      <c r="AA1104" s="1111"/>
      <c r="AB1104" s="1111"/>
      <c r="AC1104" s="1111"/>
      <c r="AD1104" s="1111"/>
      <c r="AE1104" s="1111"/>
      <c r="AF1104" s="1111"/>
      <c r="AG1104" s="1111"/>
    </row>
    <row r="1105" spans="1:33" s="1295" customFormat="1">
      <c r="A1105" s="1264"/>
      <c r="D1105" s="1118"/>
      <c r="E1105" s="1264"/>
      <c r="F1105" s="1118"/>
      <c r="G1105" s="1118"/>
      <c r="H1105" s="1118"/>
      <c r="I1105" s="1118"/>
      <c r="J1105" s="1118"/>
      <c r="K1105" s="1118"/>
      <c r="L1105" s="1118"/>
      <c r="M1105" s="1118"/>
      <c r="N1105" s="1118"/>
      <c r="O1105" s="1118"/>
      <c r="P1105" s="1118"/>
      <c r="Q1105" s="1111"/>
      <c r="R1105" s="1111"/>
      <c r="S1105" s="1111"/>
      <c r="T1105" s="1111"/>
      <c r="U1105" s="1111"/>
      <c r="V1105" s="1111"/>
      <c r="W1105" s="1111"/>
      <c r="X1105" s="1111"/>
      <c r="Y1105" s="1111"/>
      <c r="Z1105" s="1111"/>
      <c r="AA1105" s="1111"/>
      <c r="AB1105" s="1111"/>
      <c r="AC1105" s="1111"/>
      <c r="AD1105" s="1111"/>
      <c r="AE1105" s="1111"/>
      <c r="AF1105" s="1111"/>
      <c r="AG1105" s="1111"/>
    </row>
    <row r="1106" spans="1:33" s="1295" customFormat="1">
      <c r="A1106" s="1264"/>
      <c r="D1106" s="1118"/>
      <c r="E1106" s="1264"/>
      <c r="F1106" s="1118"/>
      <c r="G1106" s="1118"/>
      <c r="H1106" s="1118"/>
      <c r="I1106" s="1118"/>
      <c r="J1106" s="1118"/>
      <c r="K1106" s="1118"/>
      <c r="L1106" s="1118"/>
      <c r="M1106" s="1118"/>
      <c r="N1106" s="1118"/>
      <c r="O1106" s="1118"/>
      <c r="P1106" s="1118"/>
      <c r="Q1106" s="1111"/>
      <c r="R1106" s="1111"/>
      <c r="S1106" s="1111"/>
      <c r="T1106" s="1111"/>
      <c r="U1106" s="1111"/>
      <c r="V1106" s="1111"/>
      <c r="W1106" s="1111"/>
      <c r="X1106" s="1111"/>
      <c r="Y1106" s="1111"/>
      <c r="Z1106" s="1111"/>
      <c r="AA1106" s="1111"/>
      <c r="AB1106" s="1111"/>
      <c r="AC1106" s="1111"/>
      <c r="AD1106" s="1111"/>
      <c r="AE1106" s="1111"/>
      <c r="AF1106" s="1111"/>
      <c r="AG1106" s="1111"/>
    </row>
    <row r="1107" spans="1:33" s="1295" customFormat="1">
      <c r="A1107" s="1264"/>
      <c r="D1107" s="1118"/>
      <c r="E1107" s="1264"/>
      <c r="F1107" s="1118"/>
      <c r="G1107" s="1118"/>
      <c r="H1107" s="1118"/>
      <c r="I1107" s="1118"/>
      <c r="J1107" s="1118"/>
      <c r="K1107" s="1118"/>
      <c r="L1107" s="1118"/>
      <c r="M1107" s="1118"/>
      <c r="N1107" s="1118"/>
      <c r="O1107" s="1118"/>
      <c r="P1107" s="1118"/>
      <c r="Q1107" s="1111"/>
      <c r="R1107" s="1111"/>
      <c r="S1107" s="1111"/>
      <c r="T1107" s="1111"/>
      <c r="U1107" s="1111"/>
      <c r="V1107" s="1111"/>
      <c r="W1107" s="1111"/>
      <c r="X1107" s="1111"/>
      <c r="Y1107" s="1111"/>
      <c r="Z1107" s="1111"/>
      <c r="AA1107" s="1111"/>
      <c r="AB1107" s="1111"/>
      <c r="AC1107" s="1111"/>
      <c r="AD1107" s="1111"/>
      <c r="AE1107" s="1111"/>
      <c r="AF1107" s="1111"/>
      <c r="AG1107" s="1111"/>
    </row>
    <row r="1108" spans="1:33" s="1295" customFormat="1">
      <c r="A1108" s="1264"/>
      <c r="D1108" s="1118"/>
      <c r="E1108" s="1264"/>
      <c r="F1108" s="1118"/>
      <c r="G1108" s="1118"/>
      <c r="H1108" s="1118"/>
      <c r="I1108" s="1118"/>
      <c r="J1108" s="1118"/>
      <c r="K1108" s="1118"/>
      <c r="L1108" s="1118"/>
      <c r="M1108" s="1118"/>
      <c r="N1108" s="1118"/>
      <c r="O1108" s="1118"/>
      <c r="P1108" s="1118"/>
      <c r="Q1108" s="1111"/>
      <c r="R1108" s="1111"/>
      <c r="S1108" s="1111"/>
      <c r="T1108" s="1111"/>
      <c r="U1108" s="1111"/>
      <c r="V1108" s="1111"/>
      <c r="W1108" s="1111"/>
      <c r="X1108" s="1111"/>
      <c r="Y1108" s="1111"/>
      <c r="Z1108" s="1111"/>
      <c r="AA1108" s="1111"/>
      <c r="AB1108" s="1111"/>
      <c r="AC1108" s="1111"/>
      <c r="AD1108" s="1111"/>
      <c r="AE1108" s="1111"/>
      <c r="AF1108" s="1111"/>
      <c r="AG1108" s="1111"/>
    </row>
    <row r="1109" spans="1:33" s="1295" customFormat="1">
      <c r="A1109" s="1264"/>
      <c r="D1109" s="1118"/>
      <c r="E1109" s="1264"/>
      <c r="F1109" s="1118"/>
      <c r="G1109" s="1118"/>
      <c r="H1109" s="1118"/>
      <c r="I1109" s="1118"/>
      <c r="J1109" s="1118"/>
      <c r="K1109" s="1118"/>
      <c r="L1109" s="1118"/>
      <c r="M1109" s="1118"/>
      <c r="N1109" s="1118"/>
      <c r="O1109" s="1118"/>
      <c r="P1109" s="1118"/>
      <c r="Q1109" s="1111"/>
      <c r="R1109" s="1111"/>
      <c r="S1109" s="1111"/>
      <c r="T1109" s="1111"/>
      <c r="U1109" s="1111"/>
      <c r="V1109" s="1111"/>
      <c r="W1109" s="1111"/>
      <c r="X1109" s="1111"/>
      <c r="Y1109" s="1111"/>
      <c r="Z1109" s="1111"/>
      <c r="AA1109" s="1111"/>
      <c r="AB1109" s="1111"/>
      <c r="AC1109" s="1111"/>
      <c r="AD1109" s="1111"/>
      <c r="AE1109" s="1111"/>
      <c r="AF1109" s="1111"/>
      <c r="AG1109" s="1111"/>
    </row>
    <row r="1110" spans="1:33" s="1295" customFormat="1">
      <c r="A1110" s="1264"/>
      <c r="D1110" s="1118"/>
      <c r="E1110" s="1264"/>
      <c r="F1110" s="1118"/>
      <c r="G1110" s="1118"/>
      <c r="H1110" s="1118"/>
      <c r="I1110" s="1118"/>
      <c r="J1110" s="1118"/>
      <c r="K1110" s="1118"/>
      <c r="L1110" s="1118"/>
      <c r="M1110" s="1118"/>
      <c r="N1110" s="1118"/>
      <c r="O1110" s="1118"/>
      <c r="P1110" s="1118"/>
      <c r="Q1110" s="1111"/>
      <c r="R1110" s="1111"/>
      <c r="S1110" s="1111"/>
      <c r="T1110" s="1111"/>
      <c r="U1110" s="1111"/>
      <c r="V1110" s="1111"/>
      <c r="W1110" s="1111"/>
      <c r="X1110" s="1111"/>
      <c r="Y1110" s="1111"/>
      <c r="Z1110" s="1111"/>
      <c r="AA1110" s="1111"/>
      <c r="AB1110" s="1111"/>
      <c r="AC1110" s="1111"/>
      <c r="AD1110" s="1111"/>
      <c r="AE1110" s="1111"/>
      <c r="AF1110" s="1111"/>
      <c r="AG1110" s="1111"/>
    </row>
    <row r="1111" spans="1:33" s="1295" customFormat="1">
      <c r="A1111" s="1264"/>
      <c r="D1111" s="1118"/>
      <c r="E1111" s="1264"/>
      <c r="F1111" s="1118"/>
      <c r="G1111" s="1118"/>
      <c r="H1111" s="1118"/>
      <c r="I1111" s="1118"/>
      <c r="J1111" s="1118"/>
      <c r="K1111" s="1118"/>
      <c r="L1111" s="1118"/>
      <c r="M1111" s="1118"/>
      <c r="N1111" s="1118"/>
      <c r="O1111" s="1118"/>
      <c r="P1111" s="1118"/>
      <c r="Q1111" s="1111"/>
      <c r="R1111" s="1111"/>
      <c r="S1111" s="1111"/>
      <c r="T1111" s="1111"/>
      <c r="U1111" s="1111"/>
      <c r="V1111" s="1111"/>
      <c r="W1111" s="1111"/>
      <c r="X1111" s="1111"/>
      <c r="Y1111" s="1111"/>
      <c r="Z1111" s="1111"/>
      <c r="AA1111" s="1111"/>
      <c r="AB1111" s="1111"/>
      <c r="AC1111" s="1111"/>
      <c r="AD1111" s="1111"/>
      <c r="AE1111" s="1111"/>
      <c r="AF1111" s="1111"/>
      <c r="AG1111" s="1111"/>
    </row>
    <row r="1112" spans="1:33" s="1295" customFormat="1">
      <c r="A1112" s="1264"/>
      <c r="D1112" s="1118"/>
      <c r="E1112" s="1264"/>
      <c r="F1112" s="1118"/>
      <c r="G1112" s="1118"/>
      <c r="H1112" s="1118"/>
      <c r="I1112" s="1118"/>
      <c r="J1112" s="1118"/>
      <c r="K1112" s="1118"/>
      <c r="L1112" s="1118"/>
      <c r="M1112" s="1118"/>
      <c r="N1112" s="1118"/>
      <c r="O1112" s="1118"/>
      <c r="P1112" s="1118"/>
      <c r="Q1112" s="1111"/>
      <c r="R1112" s="1111"/>
      <c r="S1112" s="1111"/>
      <c r="T1112" s="1111"/>
      <c r="U1112" s="1111"/>
      <c r="V1112" s="1111"/>
      <c r="W1112" s="1111"/>
      <c r="X1112" s="1111"/>
      <c r="Y1112" s="1111"/>
      <c r="Z1112" s="1111"/>
      <c r="AA1112" s="1111"/>
      <c r="AB1112" s="1111"/>
      <c r="AC1112" s="1111"/>
      <c r="AD1112" s="1111"/>
      <c r="AE1112" s="1111"/>
      <c r="AF1112" s="1111"/>
      <c r="AG1112" s="1111"/>
    </row>
    <row r="1113" spans="1:33" s="1295" customFormat="1">
      <c r="A1113" s="1264"/>
      <c r="D1113" s="1118"/>
      <c r="E1113" s="1264"/>
      <c r="F1113" s="1118"/>
      <c r="G1113" s="1118"/>
      <c r="H1113" s="1118"/>
      <c r="I1113" s="1118"/>
      <c r="J1113" s="1118"/>
      <c r="K1113" s="1118"/>
      <c r="L1113" s="1118"/>
      <c r="M1113" s="1118"/>
      <c r="N1113" s="1118"/>
      <c r="O1113" s="1118"/>
      <c r="P1113" s="1118"/>
      <c r="Q1113" s="1111"/>
      <c r="R1113" s="1111"/>
      <c r="S1113" s="1111"/>
      <c r="T1113" s="1111"/>
      <c r="U1113" s="1111"/>
      <c r="V1113" s="1111"/>
      <c r="W1113" s="1111"/>
      <c r="X1113" s="1111"/>
      <c r="Y1113" s="1111"/>
      <c r="Z1113" s="1111"/>
      <c r="AA1113" s="1111"/>
      <c r="AB1113" s="1111"/>
      <c r="AC1113" s="1111"/>
      <c r="AD1113" s="1111"/>
      <c r="AE1113" s="1111"/>
      <c r="AF1113" s="1111"/>
      <c r="AG1113" s="1111"/>
    </row>
    <row r="1114" spans="1:33" s="1295" customFormat="1">
      <c r="A1114" s="1264"/>
      <c r="D1114" s="1118"/>
      <c r="E1114" s="1264"/>
      <c r="F1114" s="1118"/>
      <c r="G1114" s="1118"/>
      <c r="H1114" s="1118"/>
      <c r="I1114" s="1118"/>
      <c r="J1114" s="1118"/>
      <c r="K1114" s="1118"/>
      <c r="L1114" s="1118"/>
      <c r="M1114" s="1118"/>
      <c r="N1114" s="1118"/>
      <c r="O1114" s="1118"/>
      <c r="P1114" s="1118"/>
      <c r="Q1114" s="1111"/>
      <c r="R1114" s="1111"/>
      <c r="S1114" s="1111"/>
      <c r="T1114" s="1111"/>
      <c r="U1114" s="1111"/>
      <c r="V1114" s="1111"/>
      <c r="W1114" s="1111"/>
      <c r="X1114" s="1111"/>
      <c r="Y1114" s="1111"/>
      <c r="Z1114" s="1111"/>
      <c r="AA1114" s="1111"/>
      <c r="AB1114" s="1111"/>
      <c r="AC1114" s="1111"/>
      <c r="AD1114" s="1111"/>
      <c r="AE1114" s="1111"/>
      <c r="AF1114" s="1111"/>
      <c r="AG1114" s="1111"/>
    </row>
    <row r="1115" spans="1:33" s="1295" customFormat="1">
      <c r="A1115" s="1264"/>
      <c r="D1115" s="1118"/>
      <c r="E1115" s="1264"/>
      <c r="F1115" s="1118"/>
      <c r="G1115" s="1118"/>
      <c r="H1115" s="1118"/>
      <c r="I1115" s="1118"/>
      <c r="J1115" s="1118"/>
      <c r="K1115" s="1118"/>
      <c r="L1115" s="1118"/>
      <c r="M1115" s="1118"/>
      <c r="N1115" s="1118"/>
      <c r="O1115" s="1118"/>
      <c r="P1115" s="1118"/>
      <c r="Q1115" s="1111"/>
      <c r="R1115" s="1111"/>
      <c r="S1115" s="1111"/>
      <c r="T1115" s="1111"/>
      <c r="U1115" s="1111"/>
      <c r="V1115" s="1111"/>
      <c r="W1115" s="1111"/>
      <c r="X1115" s="1111"/>
      <c r="Y1115" s="1111"/>
      <c r="Z1115" s="1111"/>
      <c r="AA1115" s="1111"/>
      <c r="AB1115" s="1111"/>
      <c r="AC1115" s="1111"/>
      <c r="AD1115" s="1111"/>
      <c r="AE1115" s="1111"/>
      <c r="AF1115" s="1111"/>
      <c r="AG1115" s="1111"/>
    </row>
    <row r="1116" spans="1:33" s="1295" customFormat="1">
      <c r="A1116" s="1264"/>
      <c r="D1116" s="1118"/>
      <c r="E1116" s="1264"/>
      <c r="F1116" s="1118"/>
      <c r="G1116" s="1118"/>
      <c r="H1116" s="1118"/>
      <c r="I1116" s="1118"/>
      <c r="J1116" s="1118"/>
      <c r="K1116" s="1118"/>
      <c r="L1116" s="1118"/>
      <c r="M1116" s="1118"/>
      <c r="N1116" s="1118"/>
      <c r="O1116" s="1118"/>
      <c r="P1116" s="1118"/>
      <c r="Q1116" s="1111"/>
      <c r="R1116" s="1111"/>
      <c r="S1116" s="1111"/>
      <c r="T1116" s="1111"/>
      <c r="U1116" s="1111"/>
      <c r="V1116" s="1111"/>
      <c r="W1116" s="1111"/>
      <c r="X1116" s="1111"/>
      <c r="Y1116" s="1111"/>
      <c r="Z1116" s="1111"/>
      <c r="AA1116" s="1111"/>
      <c r="AB1116" s="1111"/>
      <c r="AC1116" s="1111"/>
      <c r="AD1116" s="1111"/>
      <c r="AE1116" s="1111"/>
      <c r="AF1116" s="1111"/>
      <c r="AG1116" s="1111"/>
    </row>
    <row r="1117" spans="1:33" s="1295" customFormat="1">
      <c r="A1117" s="1264"/>
      <c r="D1117" s="1118"/>
      <c r="E1117" s="1264"/>
      <c r="F1117" s="1118"/>
      <c r="G1117" s="1118"/>
      <c r="H1117" s="1118"/>
      <c r="I1117" s="1118"/>
      <c r="J1117" s="1118"/>
      <c r="K1117" s="1118"/>
      <c r="L1117" s="1118"/>
      <c r="M1117" s="1118"/>
      <c r="N1117" s="1118"/>
      <c r="O1117" s="1118"/>
      <c r="P1117" s="1118"/>
      <c r="Q1117" s="1111"/>
      <c r="R1117" s="1111"/>
      <c r="S1117" s="1111"/>
      <c r="T1117" s="1111"/>
      <c r="U1117" s="1111"/>
      <c r="V1117" s="1111"/>
      <c r="W1117" s="1111"/>
      <c r="X1117" s="1111"/>
      <c r="Y1117" s="1111"/>
      <c r="Z1117" s="1111"/>
      <c r="AA1117" s="1111"/>
      <c r="AB1117" s="1111"/>
      <c r="AC1117" s="1111"/>
      <c r="AD1117" s="1111"/>
      <c r="AE1117" s="1111"/>
      <c r="AF1117" s="1111"/>
      <c r="AG1117" s="1111"/>
    </row>
    <row r="1118" spans="1:33" s="1295" customFormat="1">
      <c r="A1118" s="1264"/>
      <c r="D1118" s="1118"/>
      <c r="E1118" s="1264"/>
      <c r="F1118" s="1118"/>
      <c r="G1118" s="1118"/>
      <c r="H1118" s="1118"/>
      <c r="I1118" s="1118"/>
      <c r="J1118" s="1118"/>
      <c r="K1118" s="1118"/>
      <c r="L1118" s="1118"/>
      <c r="M1118" s="1118"/>
      <c r="N1118" s="1118"/>
      <c r="O1118" s="1118"/>
      <c r="P1118" s="1118"/>
      <c r="Q1118" s="1111"/>
      <c r="R1118" s="1111"/>
      <c r="S1118" s="1111"/>
      <c r="T1118" s="1111"/>
      <c r="U1118" s="1111"/>
      <c r="V1118" s="1111"/>
      <c r="W1118" s="1111"/>
      <c r="X1118" s="1111"/>
      <c r="Y1118" s="1111"/>
      <c r="Z1118" s="1111"/>
      <c r="AA1118" s="1111"/>
      <c r="AB1118" s="1111"/>
      <c r="AC1118" s="1111"/>
      <c r="AD1118" s="1111"/>
      <c r="AE1118" s="1111"/>
      <c r="AF1118" s="1111"/>
      <c r="AG1118" s="1111"/>
    </row>
    <row r="1119" spans="1:33" s="1295" customFormat="1">
      <c r="A1119" s="1264"/>
      <c r="D1119" s="1118"/>
      <c r="E1119" s="1264"/>
      <c r="F1119" s="1118"/>
      <c r="G1119" s="1118"/>
      <c r="H1119" s="1118"/>
      <c r="I1119" s="1118"/>
      <c r="J1119" s="1118"/>
      <c r="K1119" s="1118"/>
      <c r="L1119" s="1118"/>
      <c r="M1119" s="1118"/>
      <c r="N1119" s="1118"/>
      <c r="O1119" s="1118"/>
      <c r="P1119" s="1118"/>
      <c r="Q1119" s="1111"/>
      <c r="R1119" s="1111"/>
      <c r="S1119" s="1111"/>
      <c r="T1119" s="1111"/>
      <c r="U1119" s="1111"/>
      <c r="V1119" s="1111"/>
      <c r="W1119" s="1111"/>
      <c r="X1119" s="1111"/>
      <c r="Y1119" s="1111"/>
      <c r="Z1119" s="1111"/>
      <c r="AA1119" s="1111"/>
      <c r="AB1119" s="1111"/>
      <c r="AC1119" s="1111"/>
      <c r="AD1119" s="1111"/>
      <c r="AE1119" s="1111"/>
      <c r="AF1119" s="1111"/>
      <c r="AG1119" s="1111"/>
    </row>
    <row r="1120" spans="1:33" s="1295" customFormat="1">
      <c r="A1120" s="1264"/>
      <c r="D1120" s="1118"/>
      <c r="E1120" s="1264"/>
      <c r="F1120" s="1118"/>
      <c r="G1120" s="1118"/>
      <c r="H1120" s="1118"/>
      <c r="I1120" s="1118"/>
      <c r="J1120" s="1118"/>
      <c r="K1120" s="1118"/>
      <c r="L1120" s="1118"/>
      <c r="M1120" s="1118"/>
      <c r="N1120" s="1118"/>
      <c r="O1120" s="1118"/>
      <c r="P1120" s="1118"/>
      <c r="Q1120" s="1111"/>
      <c r="R1120" s="1111"/>
      <c r="S1120" s="1111"/>
      <c r="T1120" s="1111"/>
      <c r="U1120" s="1111"/>
      <c r="V1120" s="1111"/>
      <c r="W1120" s="1111"/>
      <c r="X1120" s="1111"/>
      <c r="Y1120" s="1111"/>
      <c r="Z1120" s="1111"/>
      <c r="AA1120" s="1111"/>
      <c r="AB1120" s="1111"/>
      <c r="AC1120" s="1111"/>
      <c r="AD1120" s="1111"/>
      <c r="AE1120" s="1111"/>
      <c r="AF1120" s="1111"/>
      <c r="AG1120" s="1111"/>
    </row>
    <row r="1121" spans="1:33" s="1295" customFormat="1">
      <c r="A1121" s="1264"/>
      <c r="D1121" s="1118"/>
      <c r="E1121" s="1264"/>
      <c r="F1121" s="1118"/>
      <c r="G1121" s="1118"/>
      <c r="H1121" s="1118"/>
      <c r="I1121" s="1118"/>
      <c r="J1121" s="1118"/>
      <c r="K1121" s="1118"/>
      <c r="L1121" s="1118"/>
      <c r="M1121" s="1118"/>
      <c r="N1121" s="1118"/>
      <c r="O1121" s="1118"/>
      <c r="P1121" s="1118"/>
      <c r="Q1121" s="1111"/>
      <c r="R1121" s="1111"/>
      <c r="S1121" s="1111"/>
      <c r="T1121" s="1111"/>
      <c r="U1121" s="1111"/>
      <c r="V1121" s="1111"/>
      <c r="W1121" s="1111"/>
      <c r="X1121" s="1111"/>
      <c r="Y1121" s="1111"/>
      <c r="Z1121" s="1111"/>
      <c r="AA1121" s="1111"/>
      <c r="AB1121" s="1111"/>
      <c r="AC1121" s="1111"/>
      <c r="AD1121" s="1111"/>
      <c r="AE1121" s="1111"/>
      <c r="AF1121" s="1111"/>
      <c r="AG1121" s="1111"/>
    </row>
    <row r="1122" spans="1:33" s="1295" customFormat="1">
      <c r="A1122" s="1264"/>
      <c r="D1122" s="1118"/>
      <c r="E1122" s="1264"/>
      <c r="F1122" s="1118"/>
      <c r="G1122" s="1118"/>
      <c r="H1122" s="1118"/>
      <c r="I1122" s="1118"/>
      <c r="J1122" s="1118"/>
      <c r="K1122" s="1118"/>
      <c r="L1122" s="1118"/>
      <c r="M1122" s="1118"/>
      <c r="N1122" s="1118"/>
      <c r="O1122" s="1118"/>
      <c r="P1122" s="1118"/>
      <c r="Q1122" s="1111"/>
      <c r="R1122" s="1111"/>
      <c r="S1122" s="1111"/>
      <c r="T1122" s="1111"/>
      <c r="U1122" s="1111"/>
      <c r="V1122" s="1111"/>
      <c r="W1122" s="1111"/>
      <c r="X1122" s="1111"/>
      <c r="Y1122" s="1111"/>
      <c r="Z1122" s="1111"/>
      <c r="AA1122" s="1111"/>
      <c r="AB1122" s="1111"/>
      <c r="AC1122" s="1111"/>
      <c r="AD1122" s="1111"/>
      <c r="AE1122" s="1111"/>
      <c r="AF1122" s="1111"/>
      <c r="AG1122" s="1111"/>
    </row>
    <row r="1123" spans="1:33" s="1295" customFormat="1">
      <c r="A1123" s="1264"/>
      <c r="D1123" s="1118"/>
      <c r="E1123" s="1264"/>
      <c r="F1123" s="1118"/>
      <c r="G1123" s="1118"/>
      <c r="H1123" s="1118"/>
      <c r="I1123" s="1118"/>
      <c r="J1123" s="1118"/>
      <c r="K1123" s="1118"/>
      <c r="L1123" s="1118"/>
      <c r="M1123" s="1118"/>
      <c r="N1123" s="1118"/>
      <c r="O1123" s="1118"/>
      <c r="P1123" s="1118"/>
      <c r="Q1123" s="1111"/>
      <c r="R1123" s="1111"/>
      <c r="S1123" s="1111"/>
      <c r="T1123" s="1111"/>
      <c r="U1123" s="1111"/>
      <c r="V1123" s="1111"/>
      <c r="W1123" s="1111"/>
      <c r="X1123" s="1111"/>
      <c r="Y1123" s="1111"/>
      <c r="Z1123" s="1111"/>
      <c r="AA1123" s="1111"/>
      <c r="AB1123" s="1111"/>
      <c r="AC1123" s="1111"/>
      <c r="AD1123" s="1111"/>
      <c r="AE1123" s="1111"/>
      <c r="AF1123" s="1111"/>
      <c r="AG1123" s="1111"/>
    </row>
    <row r="1124" spans="1:33" s="1295" customFormat="1">
      <c r="A1124" s="1264"/>
      <c r="D1124" s="1118"/>
      <c r="E1124" s="1264"/>
      <c r="F1124" s="1118"/>
      <c r="G1124" s="1118"/>
      <c r="H1124" s="1118"/>
      <c r="I1124" s="1118"/>
      <c r="J1124" s="1118"/>
      <c r="K1124" s="1118"/>
      <c r="L1124" s="1118"/>
      <c r="M1124" s="1118"/>
      <c r="N1124" s="1118"/>
      <c r="O1124" s="1118"/>
      <c r="P1124" s="1118"/>
      <c r="Q1124" s="1111"/>
      <c r="R1124" s="1111"/>
      <c r="S1124" s="1111"/>
      <c r="T1124" s="1111"/>
      <c r="U1124" s="1111"/>
      <c r="V1124" s="1111"/>
      <c r="W1124" s="1111"/>
      <c r="X1124" s="1111"/>
      <c r="Y1124" s="1111"/>
      <c r="Z1124" s="1111"/>
      <c r="AA1124" s="1111"/>
      <c r="AB1124" s="1111"/>
      <c r="AC1124" s="1111"/>
      <c r="AD1124" s="1111"/>
      <c r="AE1124" s="1111"/>
      <c r="AF1124" s="1111"/>
      <c r="AG1124" s="1111"/>
    </row>
    <row r="1125" spans="1:33" s="1295" customFormat="1">
      <c r="A1125" s="1264"/>
      <c r="D1125" s="1118"/>
      <c r="E1125" s="1264"/>
      <c r="F1125" s="1118"/>
      <c r="G1125" s="1118"/>
      <c r="H1125" s="1118"/>
      <c r="I1125" s="1118"/>
      <c r="J1125" s="1118"/>
      <c r="K1125" s="1118"/>
      <c r="L1125" s="1118"/>
      <c r="M1125" s="1118"/>
      <c r="N1125" s="1118"/>
      <c r="O1125" s="1118"/>
      <c r="P1125" s="1118"/>
      <c r="Q1125" s="1111"/>
      <c r="R1125" s="1111"/>
      <c r="S1125" s="1111"/>
      <c r="T1125" s="1111"/>
      <c r="U1125" s="1111"/>
      <c r="V1125" s="1111"/>
      <c r="W1125" s="1111"/>
      <c r="X1125" s="1111"/>
      <c r="Y1125" s="1111"/>
      <c r="Z1125" s="1111"/>
      <c r="AA1125" s="1111"/>
      <c r="AB1125" s="1111"/>
      <c r="AC1125" s="1111"/>
      <c r="AD1125" s="1111"/>
      <c r="AE1125" s="1111"/>
      <c r="AF1125" s="1111"/>
      <c r="AG1125" s="1111"/>
    </row>
    <row r="1126" spans="1:33" s="1295" customFormat="1">
      <c r="A1126" s="1264"/>
      <c r="D1126" s="1118"/>
      <c r="E1126" s="1264"/>
      <c r="F1126" s="1118"/>
      <c r="G1126" s="1118"/>
      <c r="H1126" s="1118"/>
      <c r="I1126" s="1118"/>
      <c r="J1126" s="1118"/>
      <c r="K1126" s="1118"/>
      <c r="L1126" s="1118"/>
      <c r="M1126" s="1118"/>
      <c r="N1126" s="1118"/>
      <c r="O1126" s="1118"/>
      <c r="P1126" s="1118"/>
      <c r="Q1126" s="1111"/>
      <c r="R1126" s="1111"/>
      <c r="S1126" s="1111"/>
      <c r="T1126" s="1111"/>
      <c r="U1126" s="1111"/>
      <c r="V1126" s="1111"/>
      <c r="W1126" s="1111"/>
      <c r="X1126" s="1111"/>
      <c r="Y1126" s="1111"/>
      <c r="Z1126" s="1111"/>
      <c r="AA1126" s="1111"/>
      <c r="AB1126" s="1111"/>
      <c r="AC1126" s="1111"/>
      <c r="AD1126" s="1111"/>
      <c r="AE1126" s="1111"/>
      <c r="AF1126" s="1111"/>
      <c r="AG1126" s="1111"/>
    </row>
    <row r="1127" spans="1:33" s="1295" customFormat="1">
      <c r="A1127" s="1264"/>
      <c r="D1127" s="1118"/>
      <c r="E1127" s="1264"/>
      <c r="F1127" s="1118"/>
      <c r="G1127" s="1118"/>
      <c r="H1127" s="1118"/>
      <c r="I1127" s="1118"/>
      <c r="J1127" s="1118"/>
      <c r="K1127" s="1118"/>
      <c r="L1127" s="1118"/>
      <c r="M1127" s="1118"/>
      <c r="N1127" s="1118"/>
      <c r="O1127" s="1118"/>
      <c r="P1127" s="1118"/>
      <c r="Q1127" s="1111"/>
      <c r="R1127" s="1111"/>
      <c r="S1127" s="1111"/>
      <c r="T1127" s="1111"/>
      <c r="U1127" s="1111"/>
      <c r="V1127" s="1111"/>
      <c r="W1127" s="1111"/>
      <c r="X1127" s="1111"/>
      <c r="Y1127" s="1111"/>
      <c r="Z1127" s="1111"/>
      <c r="AA1127" s="1111"/>
      <c r="AB1127" s="1111"/>
      <c r="AC1127" s="1111"/>
      <c r="AD1127" s="1111"/>
      <c r="AE1127" s="1111"/>
      <c r="AF1127" s="1111"/>
      <c r="AG1127" s="1111"/>
    </row>
    <row r="1128" spans="1:33" s="1295" customFormat="1">
      <c r="A1128" s="1264"/>
      <c r="D1128" s="1118"/>
      <c r="E1128" s="1264"/>
      <c r="F1128" s="1118"/>
      <c r="G1128" s="1118"/>
      <c r="H1128" s="1118"/>
      <c r="I1128" s="1118"/>
      <c r="J1128" s="1118"/>
      <c r="K1128" s="1118"/>
      <c r="L1128" s="1118"/>
      <c r="M1128" s="1118"/>
      <c r="N1128" s="1118"/>
      <c r="O1128" s="1118"/>
      <c r="P1128" s="1118"/>
      <c r="Q1128" s="1111"/>
      <c r="R1128" s="1111"/>
      <c r="S1128" s="1111"/>
      <c r="T1128" s="1111"/>
      <c r="U1128" s="1111"/>
      <c r="V1128" s="1111"/>
      <c r="W1128" s="1111"/>
      <c r="X1128" s="1111"/>
      <c r="Y1128" s="1111"/>
      <c r="Z1128" s="1111"/>
      <c r="AA1128" s="1111"/>
      <c r="AB1128" s="1111"/>
      <c r="AC1128" s="1111"/>
      <c r="AD1128" s="1111"/>
      <c r="AE1128" s="1111"/>
      <c r="AF1128" s="1111"/>
      <c r="AG1128" s="1111"/>
    </row>
    <row r="1129" spans="1:33" s="1295" customFormat="1">
      <c r="A1129" s="1264"/>
      <c r="D1129" s="1118"/>
      <c r="E1129" s="1264"/>
      <c r="F1129" s="1118"/>
      <c r="G1129" s="1118"/>
      <c r="H1129" s="1118"/>
      <c r="I1129" s="1118"/>
      <c r="J1129" s="1118"/>
      <c r="K1129" s="1118"/>
      <c r="L1129" s="1118"/>
      <c r="M1129" s="1118"/>
      <c r="N1129" s="1118"/>
      <c r="O1129" s="1118"/>
      <c r="P1129" s="1118"/>
      <c r="Q1129" s="1111"/>
      <c r="R1129" s="1111"/>
      <c r="S1129" s="1111"/>
      <c r="T1129" s="1111"/>
      <c r="U1129" s="1111"/>
      <c r="V1129" s="1111"/>
      <c r="W1129" s="1111"/>
      <c r="X1129" s="1111"/>
      <c r="Y1129" s="1111"/>
      <c r="Z1129" s="1111"/>
      <c r="AA1129" s="1111"/>
      <c r="AB1129" s="1111"/>
      <c r="AC1129" s="1111"/>
      <c r="AD1129" s="1111"/>
      <c r="AE1129" s="1111"/>
      <c r="AF1129" s="1111"/>
      <c r="AG1129" s="1111"/>
    </row>
    <row r="1130" spans="1:33" s="1295" customFormat="1">
      <c r="A1130" s="1264"/>
      <c r="D1130" s="1118"/>
      <c r="E1130" s="1264"/>
      <c r="F1130" s="1118"/>
      <c r="G1130" s="1118"/>
      <c r="H1130" s="1118"/>
      <c r="I1130" s="1118"/>
      <c r="J1130" s="1118"/>
      <c r="K1130" s="1118"/>
      <c r="L1130" s="1118"/>
      <c r="M1130" s="1118"/>
      <c r="N1130" s="1118"/>
      <c r="O1130" s="1118"/>
      <c r="P1130" s="1118"/>
      <c r="Q1130" s="1111"/>
      <c r="R1130" s="1111"/>
      <c r="S1130" s="1111"/>
      <c r="T1130" s="1111"/>
      <c r="U1130" s="1111"/>
      <c r="V1130" s="1111"/>
      <c r="W1130" s="1111"/>
      <c r="X1130" s="1111"/>
      <c r="Y1130" s="1111"/>
      <c r="Z1130" s="1111"/>
      <c r="AA1130" s="1111"/>
      <c r="AB1130" s="1111"/>
      <c r="AC1130" s="1111"/>
      <c r="AD1130" s="1111"/>
      <c r="AE1130" s="1111"/>
      <c r="AF1130" s="1111"/>
      <c r="AG1130" s="1111"/>
    </row>
    <row r="1131" spans="1:33" s="1295" customFormat="1">
      <c r="A1131" s="1264"/>
      <c r="D1131" s="1118"/>
      <c r="E1131" s="1264"/>
      <c r="F1131" s="1118"/>
      <c r="G1131" s="1118"/>
      <c r="H1131" s="1118"/>
      <c r="I1131" s="1118"/>
      <c r="J1131" s="1118"/>
      <c r="K1131" s="1118"/>
      <c r="L1131" s="1118"/>
      <c r="M1131" s="1118"/>
      <c r="N1131" s="1118"/>
      <c r="O1131" s="1118"/>
      <c r="P1131" s="1118"/>
      <c r="Q1131" s="1111"/>
      <c r="R1131" s="1111"/>
      <c r="S1131" s="1111"/>
      <c r="T1131" s="1111"/>
      <c r="U1131" s="1111"/>
      <c r="V1131" s="1111"/>
      <c r="W1131" s="1111"/>
      <c r="X1131" s="1111"/>
      <c r="Y1131" s="1111"/>
      <c r="Z1131" s="1111"/>
      <c r="AA1131" s="1111"/>
      <c r="AB1131" s="1111"/>
      <c r="AC1131" s="1111"/>
      <c r="AD1131" s="1111"/>
      <c r="AE1131" s="1111"/>
      <c r="AF1131" s="1111"/>
      <c r="AG1131" s="1111"/>
    </row>
    <row r="1132" spans="1:33" s="1295" customFormat="1">
      <c r="A1132" s="1264"/>
      <c r="D1132" s="1118"/>
      <c r="E1132" s="1264"/>
      <c r="F1132" s="1118"/>
      <c r="G1132" s="1118"/>
      <c r="H1132" s="1118"/>
      <c r="I1132" s="1118"/>
      <c r="J1132" s="1118"/>
      <c r="K1132" s="1118"/>
      <c r="L1132" s="1118"/>
      <c r="M1132" s="1118"/>
      <c r="N1132" s="1118"/>
      <c r="O1132" s="1118"/>
      <c r="P1132" s="1118"/>
      <c r="Q1132" s="1111"/>
      <c r="R1132" s="1111"/>
      <c r="S1132" s="1111"/>
      <c r="T1132" s="1111"/>
      <c r="U1132" s="1111"/>
      <c r="V1132" s="1111"/>
      <c r="W1132" s="1111"/>
      <c r="X1132" s="1111"/>
      <c r="Y1132" s="1111"/>
      <c r="Z1132" s="1111"/>
      <c r="AA1132" s="1111"/>
      <c r="AB1132" s="1111"/>
      <c r="AC1132" s="1111"/>
      <c r="AD1132" s="1111"/>
      <c r="AE1132" s="1111"/>
      <c r="AF1132" s="1111"/>
      <c r="AG1132" s="1111"/>
    </row>
    <row r="1133" spans="1:33" s="1295" customFormat="1">
      <c r="A1133" s="1264"/>
      <c r="D1133" s="1118"/>
      <c r="E1133" s="1264"/>
      <c r="F1133" s="1118"/>
      <c r="G1133" s="1118"/>
      <c r="H1133" s="1118"/>
      <c r="I1133" s="1118"/>
      <c r="J1133" s="1118"/>
      <c r="K1133" s="1118"/>
      <c r="L1133" s="1118"/>
      <c r="M1133" s="1118"/>
      <c r="N1133" s="1118"/>
      <c r="O1133" s="1118"/>
      <c r="P1133" s="1118"/>
      <c r="Q1133" s="1111"/>
      <c r="R1133" s="1111"/>
      <c r="S1133" s="1111"/>
      <c r="T1133" s="1111"/>
      <c r="U1133" s="1111"/>
      <c r="V1133" s="1111"/>
      <c r="W1133" s="1111"/>
      <c r="X1133" s="1111"/>
      <c r="Y1133" s="1111"/>
      <c r="Z1133" s="1111"/>
      <c r="AA1133" s="1111"/>
      <c r="AB1133" s="1111"/>
      <c r="AC1133" s="1111"/>
      <c r="AD1133" s="1111"/>
      <c r="AE1133" s="1111"/>
      <c r="AF1133" s="1111"/>
      <c r="AG1133" s="1111"/>
    </row>
    <row r="1134" spans="1:33" s="1295" customFormat="1">
      <c r="A1134" s="1264"/>
      <c r="D1134" s="1118"/>
      <c r="E1134" s="1264"/>
      <c r="F1134" s="1118"/>
      <c r="G1134" s="1118"/>
      <c r="H1134" s="1118"/>
      <c r="I1134" s="1118"/>
      <c r="J1134" s="1118"/>
      <c r="K1134" s="1118"/>
      <c r="L1134" s="1118"/>
      <c r="M1134" s="1118"/>
      <c r="N1134" s="1118"/>
      <c r="O1134" s="1118"/>
      <c r="P1134" s="1118"/>
      <c r="Q1134" s="1111"/>
      <c r="R1134" s="1111"/>
      <c r="S1134" s="1111"/>
      <c r="T1134" s="1111"/>
      <c r="U1134" s="1111"/>
      <c r="V1134" s="1111"/>
      <c r="W1134" s="1111"/>
      <c r="X1134" s="1111"/>
      <c r="Y1134" s="1111"/>
      <c r="Z1134" s="1111"/>
      <c r="AA1134" s="1111"/>
      <c r="AB1134" s="1111"/>
      <c r="AC1134" s="1111"/>
      <c r="AD1134" s="1111"/>
      <c r="AE1134" s="1111"/>
      <c r="AF1134" s="1111"/>
      <c r="AG1134" s="1111"/>
    </row>
    <row r="1135" spans="1:33" s="1295" customFormat="1">
      <c r="A1135" s="1264"/>
      <c r="D1135" s="1118"/>
      <c r="E1135" s="1264"/>
      <c r="F1135" s="1118"/>
      <c r="G1135" s="1118"/>
      <c r="H1135" s="1118"/>
      <c r="I1135" s="1118"/>
      <c r="J1135" s="1118"/>
      <c r="K1135" s="1118"/>
      <c r="L1135" s="1118"/>
      <c r="M1135" s="1118"/>
      <c r="N1135" s="1118"/>
      <c r="O1135" s="1118"/>
      <c r="P1135" s="1118"/>
      <c r="Q1135" s="1111"/>
      <c r="R1135" s="1111"/>
      <c r="S1135" s="1111"/>
      <c r="T1135" s="1111"/>
      <c r="U1135" s="1111"/>
      <c r="V1135" s="1111"/>
      <c r="W1135" s="1111"/>
      <c r="X1135" s="1111"/>
      <c r="Y1135" s="1111"/>
      <c r="Z1135" s="1111"/>
      <c r="AA1135" s="1111"/>
      <c r="AB1135" s="1111"/>
      <c r="AC1135" s="1111"/>
      <c r="AD1135" s="1111"/>
      <c r="AE1135" s="1111"/>
      <c r="AF1135" s="1111"/>
      <c r="AG1135" s="1111"/>
    </row>
    <row r="1136" spans="1:33" s="1295" customFormat="1">
      <c r="A1136" s="1264"/>
      <c r="D1136" s="1118"/>
      <c r="E1136" s="1264"/>
      <c r="F1136" s="1118"/>
      <c r="G1136" s="1118"/>
      <c r="H1136" s="1118"/>
      <c r="I1136" s="1118"/>
      <c r="J1136" s="1118"/>
      <c r="K1136" s="1118"/>
      <c r="L1136" s="1118"/>
      <c r="M1136" s="1118"/>
      <c r="N1136" s="1118"/>
      <c r="O1136" s="1118"/>
      <c r="P1136" s="1118"/>
      <c r="Q1136" s="1111"/>
      <c r="R1136" s="1111"/>
      <c r="S1136" s="1111"/>
      <c r="T1136" s="1111"/>
      <c r="U1136" s="1111"/>
      <c r="V1136" s="1111"/>
      <c r="W1136" s="1111"/>
      <c r="X1136" s="1111"/>
      <c r="Y1136" s="1111"/>
      <c r="Z1136" s="1111"/>
      <c r="AA1136" s="1111"/>
      <c r="AB1136" s="1111"/>
      <c r="AC1136" s="1111"/>
      <c r="AD1136" s="1111"/>
      <c r="AE1136" s="1111"/>
      <c r="AF1136" s="1111"/>
      <c r="AG1136" s="1111"/>
    </row>
    <row r="1137" spans="1:33" s="1295" customFormat="1">
      <c r="A1137" s="1264"/>
      <c r="D1137" s="1118"/>
      <c r="E1137" s="1264"/>
      <c r="F1137" s="1118"/>
      <c r="G1137" s="1118"/>
      <c r="H1137" s="1118"/>
      <c r="I1137" s="1118"/>
      <c r="J1137" s="1118"/>
      <c r="K1137" s="1118"/>
      <c r="L1137" s="1118"/>
      <c r="M1137" s="1118"/>
      <c r="N1137" s="1118"/>
      <c r="O1137" s="1118"/>
      <c r="P1137" s="1118"/>
      <c r="Q1137" s="1111"/>
      <c r="R1137" s="1111"/>
      <c r="S1137" s="1111"/>
      <c r="T1137" s="1111"/>
      <c r="U1137" s="1111"/>
      <c r="V1137" s="1111"/>
      <c r="W1137" s="1111"/>
      <c r="X1137" s="1111"/>
      <c r="Y1137" s="1111"/>
      <c r="Z1137" s="1111"/>
      <c r="AA1137" s="1111"/>
      <c r="AB1137" s="1111"/>
      <c r="AC1137" s="1111"/>
      <c r="AD1137" s="1111"/>
      <c r="AE1137" s="1111"/>
      <c r="AF1137" s="1111"/>
      <c r="AG1137" s="1111"/>
    </row>
    <row r="1138" spans="1:33" s="1295" customFormat="1">
      <c r="A1138" s="1264"/>
      <c r="D1138" s="1118"/>
      <c r="E1138" s="1264"/>
      <c r="F1138" s="1118"/>
      <c r="G1138" s="1118"/>
      <c r="H1138" s="1118"/>
      <c r="I1138" s="1118"/>
      <c r="J1138" s="1118"/>
      <c r="K1138" s="1118"/>
      <c r="L1138" s="1118"/>
      <c r="M1138" s="1118"/>
      <c r="N1138" s="1118"/>
      <c r="O1138" s="1118"/>
      <c r="P1138" s="1118"/>
      <c r="Q1138" s="1111"/>
      <c r="R1138" s="1111"/>
      <c r="S1138" s="1111"/>
      <c r="T1138" s="1111"/>
      <c r="U1138" s="1111"/>
      <c r="V1138" s="1111"/>
      <c r="W1138" s="1111"/>
      <c r="X1138" s="1111"/>
      <c r="Y1138" s="1111"/>
      <c r="Z1138" s="1111"/>
      <c r="AA1138" s="1111"/>
      <c r="AB1138" s="1111"/>
      <c r="AC1138" s="1111"/>
      <c r="AD1138" s="1111"/>
      <c r="AE1138" s="1111"/>
      <c r="AF1138" s="1111"/>
      <c r="AG1138" s="1111"/>
    </row>
    <row r="1139" spans="1:33" s="1295" customFormat="1">
      <c r="A1139" s="1264"/>
      <c r="D1139" s="1118"/>
      <c r="E1139" s="1264"/>
      <c r="F1139" s="1118"/>
      <c r="G1139" s="1118"/>
      <c r="H1139" s="1118"/>
      <c r="I1139" s="1118"/>
      <c r="J1139" s="1118"/>
      <c r="K1139" s="1118"/>
      <c r="L1139" s="1118"/>
      <c r="M1139" s="1118"/>
      <c r="N1139" s="1118"/>
      <c r="O1139" s="1118"/>
      <c r="P1139" s="1118"/>
      <c r="Q1139" s="1111"/>
      <c r="R1139" s="1111"/>
      <c r="S1139" s="1111"/>
      <c r="T1139" s="1111"/>
      <c r="U1139" s="1111"/>
      <c r="V1139" s="1111"/>
      <c r="W1139" s="1111"/>
      <c r="X1139" s="1111"/>
      <c r="Y1139" s="1111"/>
      <c r="Z1139" s="1111"/>
      <c r="AA1139" s="1111"/>
      <c r="AB1139" s="1111"/>
      <c r="AC1139" s="1111"/>
      <c r="AD1139" s="1111"/>
      <c r="AE1139" s="1111"/>
      <c r="AF1139" s="1111"/>
      <c r="AG1139" s="1111"/>
    </row>
    <row r="1140" spans="1:33" s="1295" customFormat="1">
      <c r="A1140" s="1264"/>
      <c r="D1140" s="1118"/>
      <c r="E1140" s="1264"/>
      <c r="F1140" s="1118"/>
      <c r="G1140" s="1118"/>
      <c r="H1140" s="1118"/>
      <c r="I1140" s="1118"/>
      <c r="J1140" s="1118"/>
      <c r="K1140" s="1118"/>
      <c r="L1140" s="1118"/>
      <c r="M1140" s="1118"/>
      <c r="N1140" s="1118"/>
      <c r="O1140" s="1118"/>
      <c r="P1140" s="1118"/>
      <c r="Q1140" s="1111"/>
      <c r="R1140" s="1111"/>
      <c r="S1140" s="1111"/>
      <c r="T1140" s="1111"/>
      <c r="U1140" s="1111"/>
      <c r="V1140" s="1111"/>
      <c r="W1140" s="1111"/>
      <c r="X1140" s="1111"/>
      <c r="Y1140" s="1111"/>
      <c r="Z1140" s="1111"/>
      <c r="AA1140" s="1111"/>
      <c r="AB1140" s="1111"/>
      <c r="AC1140" s="1111"/>
      <c r="AD1140" s="1111"/>
      <c r="AE1140" s="1111"/>
      <c r="AF1140" s="1111"/>
      <c r="AG1140" s="1111"/>
    </row>
    <row r="1141" spans="1:33" s="1295" customFormat="1">
      <c r="A1141" s="1264"/>
      <c r="D1141" s="1118"/>
      <c r="E1141" s="1264"/>
      <c r="F1141" s="1118"/>
      <c r="G1141" s="1118"/>
      <c r="H1141" s="1118"/>
      <c r="I1141" s="1118"/>
      <c r="J1141" s="1118"/>
      <c r="K1141" s="1118"/>
      <c r="L1141" s="1118"/>
      <c r="M1141" s="1118"/>
      <c r="N1141" s="1118"/>
      <c r="O1141" s="1118"/>
      <c r="P1141" s="1118"/>
      <c r="Q1141" s="1111"/>
      <c r="R1141" s="1111"/>
      <c r="S1141" s="1111"/>
      <c r="T1141" s="1111"/>
      <c r="U1141" s="1111"/>
      <c r="V1141" s="1111"/>
      <c r="W1141" s="1111"/>
      <c r="X1141" s="1111"/>
      <c r="Y1141" s="1111"/>
      <c r="Z1141" s="1111"/>
      <c r="AA1141" s="1111"/>
      <c r="AB1141" s="1111"/>
      <c r="AC1141" s="1111"/>
      <c r="AD1141" s="1111"/>
      <c r="AE1141" s="1111"/>
      <c r="AF1141" s="1111"/>
      <c r="AG1141" s="1111"/>
    </row>
    <row r="1142" spans="1:33" s="1295" customFormat="1">
      <c r="A1142" s="1264"/>
      <c r="D1142" s="1118"/>
      <c r="E1142" s="1264"/>
      <c r="F1142" s="1118"/>
      <c r="G1142" s="1118"/>
      <c r="H1142" s="1118"/>
      <c r="I1142" s="1118"/>
      <c r="J1142" s="1118"/>
      <c r="K1142" s="1118"/>
      <c r="L1142" s="1118"/>
      <c r="M1142" s="1118"/>
      <c r="N1142" s="1118"/>
      <c r="O1142" s="1118"/>
      <c r="P1142" s="1118"/>
      <c r="Q1142" s="1111"/>
      <c r="R1142" s="1111"/>
      <c r="S1142" s="1111"/>
      <c r="T1142" s="1111"/>
      <c r="U1142" s="1111"/>
      <c r="V1142" s="1111"/>
      <c r="W1142" s="1111"/>
      <c r="X1142" s="1111"/>
      <c r="Y1142" s="1111"/>
      <c r="Z1142" s="1111"/>
      <c r="AA1142" s="1111"/>
      <c r="AB1142" s="1111"/>
      <c r="AC1142" s="1111"/>
      <c r="AD1142" s="1111"/>
      <c r="AE1142" s="1111"/>
      <c r="AF1142" s="1111"/>
      <c r="AG1142" s="1111"/>
    </row>
    <row r="1143" spans="1:33" s="1295" customFormat="1">
      <c r="A1143" s="1264"/>
      <c r="D1143" s="1118"/>
      <c r="E1143" s="1264"/>
      <c r="F1143" s="1118"/>
      <c r="G1143" s="1118"/>
      <c r="H1143" s="1118"/>
      <c r="I1143" s="1118"/>
      <c r="J1143" s="1118"/>
      <c r="K1143" s="1118"/>
      <c r="L1143" s="1118"/>
      <c r="M1143" s="1118"/>
      <c r="N1143" s="1118"/>
      <c r="O1143" s="1118"/>
      <c r="P1143" s="1118"/>
      <c r="Q1143" s="1111"/>
      <c r="R1143" s="1111"/>
      <c r="S1143" s="1111"/>
      <c r="T1143" s="1111"/>
      <c r="U1143" s="1111"/>
      <c r="V1143" s="1111"/>
      <c r="W1143" s="1111"/>
      <c r="X1143" s="1111"/>
      <c r="Y1143" s="1111"/>
      <c r="Z1143" s="1111"/>
      <c r="AA1143" s="1111"/>
      <c r="AB1143" s="1111"/>
      <c r="AC1143" s="1111"/>
      <c r="AD1143" s="1111"/>
      <c r="AE1143" s="1111"/>
      <c r="AF1143" s="1111"/>
      <c r="AG1143" s="1111"/>
    </row>
    <row r="1144" spans="1:33" s="1295" customFormat="1">
      <c r="A1144" s="1264"/>
      <c r="D1144" s="1118"/>
      <c r="E1144" s="1264"/>
      <c r="F1144" s="1118"/>
      <c r="G1144" s="1118"/>
      <c r="H1144" s="1118"/>
      <c r="I1144" s="1118"/>
      <c r="J1144" s="1118"/>
      <c r="K1144" s="1118"/>
      <c r="L1144" s="1118"/>
      <c r="M1144" s="1118"/>
      <c r="N1144" s="1118"/>
      <c r="O1144" s="1118"/>
      <c r="P1144" s="1118"/>
      <c r="Q1144" s="1111"/>
      <c r="R1144" s="1111"/>
      <c r="S1144" s="1111"/>
      <c r="T1144" s="1111"/>
      <c r="U1144" s="1111"/>
      <c r="V1144" s="1111"/>
      <c r="W1144" s="1111"/>
      <c r="X1144" s="1111"/>
      <c r="Y1144" s="1111"/>
      <c r="Z1144" s="1111"/>
      <c r="AA1144" s="1111"/>
      <c r="AB1144" s="1111"/>
      <c r="AC1144" s="1111"/>
      <c r="AD1144" s="1111"/>
      <c r="AE1144" s="1111"/>
      <c r="AF1144" s="1111"/>
      <c r="AG1144" s="1111"/>
    </row>
    <row r="1145" spans="1:33" s="1295" customFormat="1">
      <c r="A1145" s="1264"/>
      <c r="D1145" s="1118"/>
      <c r="E1145" s="1264"/>
      <c r="F1145" s="1118"/>
      <c r="G1145" s="1118"/>
      <c r="H1145" s="1118"/>
      <c r="I1145" s="1118"/>
      <c r="J1145" s="1118"/>
      <c r="K1145" s="1118"/>
      <c r="L1145" s="1118"/>
      <c r="M1145" s="1118"/>
      <c r="N1145" s="1118"/>
      <c r="O1145" s="1118"/>
      <c r="P1145" s="1118"/>
      <c r="Q1145" s="1111"/>
      <c r="R1145" s="1111"/>
      <c r="S1145" s="1111"/>
      <c r="T1145" s="1111"/>
      <c r="U1145" s="1111"/>
      <c r="V1145" s="1111"/>
      <c r="W1145" s="1111"/>
      <c r="X1145" s="1111"/>
      <c r="Y1145" s="1111"/>
      <c r="Z1145" s="1111"/>
      <c r="AA1145" s="1111"/>
      <c r="AB1145" s="1111"/>
      <c r="AC1145" s="1111"/>
      <c r="AD1145" s="1111"/>
      <c r="AE1145" s="1111"/>
      <c r="AF1145" s="1111"/>
      <c r="AG1145" s="1111"/>
    </row>
    <row r="1146" spans="1:33" s="1295" customFormat="1">
      <c r="A1146" s="1264"/>
      <c r="D1146" s="1118"/>
      <c r="E1146" s="1264"/>
      <c r="F1146" s="1118"/>
      <c r="G1146" s="1118"/>
      <c r="H1146" s="1118"/>
      <c r="I1146" s="1118"/>
      <c r="J1146" s="1118"/>
      <c r="K1146" s="1118"/>
      <c r="L1146" s="1118"/>
      <c r="M1146" s="1118"/>
      <c r="N1146" s="1118"/>
      <c r="O1146" s="1118"/>
      <c r="P1146" s="1118"/>
      <c r="Q1146" s="1111"/>
      <c r="R1146" s="1111"/>
      <c r="S1146" s="1111"/>
      <c r="T1146" s="1111"/>
      <c r="U1146" s="1111"/>
      <c r="V1146" s="1111"/>
      <c r="W1146" s="1111"/>
      <c r="X1146" s="1111"/>
      <c r="Y1146" s="1111"/>
      <c r="Z1146" s="1111"/>
      <c r="AA1146" s="1111"/>
      <c r="AB1146" s="1111"/>
      <c r="AC1146" s="1111"/>
      <c r="AD1146" s="1111"/>
      <c r="AE1146" s="1111"/>
      <c r="AF1146" s="1111"/>
      <c r="AG1146" s="1111"/>
    </row>
    <row r="1147" spans="1:33" s="1295" customFormat="1">
      <c r="A1147" s="1264"/>
      <c r="D1147" s="1118"/>
      <c r="E1147" s="1264"/>
      <c r="F1147" s="1118"/>
      <c r="G1147" s="1118"/>
      <c r="H1147" s="1118"/>
      <c r="I1147" s="1118"/>
      <c r="J1147" s="1118"/>
      <c r="K1147" s="1118"/>
      <c r="L1147" s="1118"/>
      <c r="M1147" s="1118"/>
      <c r="N1147" s="1118"/>
      <c r="O1147" s="1118"/>
      <c r="P1147" s="1118"/>
      <c r="Q1147" s="1111"/>
      <c r="R1147" s="1111"/>
      <c r="S1147" s="1111"/>
      <c r="T1147" s="1111"/>
      <c r="U1147" s="1111"/>
      <c r="V1147" s="1111"/>
      <c r="W1147" s="1111"/>
      <c r="X1147" s="1111"/>
      <c r="Y1147" s="1111"/>
      <c r="Z1147" s="1111"/>
      <c r="AA1147" s="1111"/>
      <c r="AB1147" s="1111"/>
      <c r="AC1147" s="1111"/>
      <c r="AD1147" s="1111"/>
      <c r="AE1147" s="1111"/>
      <c r="AF1147" s="1111"/>
      <c r="AG1147" s="1111"/>
    </row>
    <row r="1148" spans="1:33" s="1295" customFormat="1">
      <c r="A1148" s="1264"/>
      <c r="D1148" s="1118"/>
      <c r="E1148" s="1264"/>
      <c r="F1148" s="1118"/>
      <c r="G1148" s="1118"/>
      <c r="H1148" s="1118"/>
      <c r="I1148" s="1118"/>
      <c r="J1148" s="1118"/>
      <c r="K1148" s="1118"/>
      <c r="L1148" s="1118"/>
      <c r="M1148" s="1118"/>
      <c r="N1148" s="1118"/>
      <c r="O1148" s="1118"/>
      <c r="P1148" s="1118"/>
      <c r="Q1148" s="1111"/>
      <c r="R1148" s="1111"/>
      <c r="S1148" s="1111"/>
      <c r="T1148" s="1111"/>
      <c r="U1148" s="1111"/>
      <c r="V1148" s="1111"/>
      <c r="W1148" s="1111"/>
      <c r="X1148" s="1111"/>
      <c r="Y1148" s="1111"/>
      <c r="Z1148" s="1111"/>
      <c r="AA1148" s="1111"/>
      <c r="AB1148" s="1111"/>
      <c r="AC1148" s="1111"/>
      <c r="AD1148" s="1111"/>
      <c r="AE1148" s="1111"/>
      <c r="AF1148" s="1111"/>
      <c r="AG1148" s="1111"/>
    </row>
    <row r="1149" spans="1:33" s="1295" customFormat="1">
      <c r="A1149" s="1264"/>
      <c r="D1149" s="1118"/>
      <c r="E1149" s="1264"/>
      <c r="F1149" s="1118"/>
      <c r="G1149" s="1118"/>
      <c r="H1149" s="1118"/>
      <c r="I1149" s="1118"/>
      <c r="J1149" s="1118"/>
      <c r="K1149" s="1118"/>
      <c r="L1149" s="1118"/>
      <c r="M1149" s="1118"/>
      <c r="N1149" s="1118"/>
      <c r="O1149" s="1118"/>
      <c r="P1149" s="1118"/>
      <c r="Q1149" s="1111"/>
      <c r="R1149" s="1111"/>
      <c r="S1149" s="1111"/>
      <c r="T1149" s="1111"/>
      <c r="U1149" s="1111"/>
      <c r="V1149" s="1111"/>
      <c r="W1149" s="1111"/>
      <c r="X1149" s="1111"/>
      <c r="Y1149" s="1111"/>
      <c r="Z1149" s="1111"/>
      <c r="AA1149" s="1111"/>
      <c r="AB1149" s="1111"/>
      <c r="AC1149" s="1111"/>
      <c r="AD1149" s="1111"/>
      <c r="AE1149" s="1111"/>
      <c r="AF1149" s="1111"/>
      <c r="AG1149" s="1111"/>
    </row>
    <row r="1150" spans="1:33" s="1295" customFormat="1">
      <c r="A1150" s="1264"/>
      <c r="D1150" s="1118"/>
      <c r="E1150" s="1264"/>
      <c r="F1150" s="1118"/>
      <c r="G1150" s="1118"/>
      <c r="H1150" s="1118"/>
      <c r="I1150" s="1118"/>
      <c r="J1150" s="1118"/>
      <c r="K1150" s="1118"/>
      <c r="L1150" s="1118"/>
      <c r="M1150" s="1118"/>
      <c r="N1150" s="1118"/>
      <c r="O1150" s="1118"/>
      <c r="P1150" s="1118"/>
      <c r="Q1150" s="1111"/>
      <c r="R1150" s="1111"/>
      <c r="S1150" s="1111"/>
      <c r="T1150" s="1111"/>
      <c r="U1150" s="1111"/>
      <c r="V1150" s="1111"/>
      <c r="W1150" s="1111"/>
      <c r="X1150" s="1111"/>
      <c r="Y1150" s="1111"/>
      <c r="Z1150" s="1111"/>
      <c r="AA1150" s="1111"/>
      <c r="AB1150" s="1111"/>
      <c r="AC1150" s="1111"/>
      <c r="AD1150" s="1111"/>
      <c r="AE1150" s="1111"/>
      <c r="AF1150" s="1111"/>
      <c r="AG1150" s="1111"/>
    </row>
    <row r="1151" spans="1:33" s="1295" customFormat="1">
      <c r="A1151" s="1264"/>
      <c r="D1151" s="1118"/>
      <c r="E1151" s="1264"/>
      <c r="F1151" s="1118"/>
      <c r="G1151" s="1118"/>
      <c r="H1151" s="1118"/>
      <c r="I1151" s="1118"/>
      <c r="J1151" s="1118"/>
      <c r="K1151" s="1118"/>
      <c r="L1151" s="1118"/>
      <c r="M1151" s="1118"/>
      <c r="N1151" s="1118"/>
      <c r="O1151" s="1118"/>
      <c r="P1151" s="1118"/>
      <c r="Q1151" s="1111"/>
      <c r="R1151" s="1111"/>
      <c r="S1151" s="1111"/>
      <c r="T1151" s="1111"/>
      <c r="U1151" s="1111"/>
      <c r="V1151" s="1111"/>
      <c r="W1151" s="1111"/>
      <c r="X1151" s="1111"/>
      <c r="Y1151" s="1111"/>
      <c r="Z1151" s="1111"/>
      <c r="AA1151" s="1111"/>
      <c r="AB1151" s="1111"/>
      <c r="AC1151" s="1111"/>
      <c r="AD1151" s="1111"/>
      <c r="AE1151" s="1111"/>
      <c r="AF1151" s="1111"/>
      <c r="AG1151" s="1111"/>
    </row>
    <row r="1152" spans="1:33" s="1295" customFormat="1">
      <c r="A1152" s="1264"/>
      <c r="D1152" s="1118"/>
      <c r="E1152" s="1264"/>
      <c r="F1152" s="1118"/>
      <c r="G1152" s="1118"/>
      <c r="H1152" s="1118"/>
      <c r="I1152" s="1118"/>
      <c r="J1152" s="1118"/>
      <c r="K1152" s="1118"/>
      <c r="L1152" s="1118"/>
      <c r="M1152" s="1118"/>
      <c r="N1152" s="1118"/>
      <c r="O1152" s="1118"/>
      <c r="P1152" s="1118"/>
      <c r="Q1152" s="1111"/>
      <c r="R1152" s="1111"/>
      <c r="S1152" s="1111"/>
      <c r="T1152" s="1111"/>
      <c r="U1152" s="1111"/>
      <c r="V1152" s="1111"/>
      <c r="W1152" s="1111"/>
      <c r="X1152" s="1111"/>
      <c r="Y1152" s="1111"/>
      <c r="Z1152" s="1111"/>
      <c r="AA1152" s="1111"/>
      <c r="AB1152" s="1111"/>
      <c r="AC1152" s="1111"/>
      <c r="AD1152" s="1111"/>
      <c r="AE1152" s="1111"/>
      <c r="AF1152" s="1111"/>
      <c r="AG1152" s="1111"/>
    </row>
    <row r="1153" spans="1:33" s="1295" customFormat="1">
      <c r="A1153" s="1264"/>
      <c r="D1153" s="1118"/>
      <c r="E1153" s="1264"/>
      <c r="F1153" s="1118"/>
      <c r="G1153" s="1118"/>
      <c r="H1153" s="1118"/>
      <c r="I1153" s="1118"/>
      <c r="J1153" s="1118"/>
      <c r="K1153" s="1118"/>
      <c r="L1153" s="1118"/>
      <c r="M1153" s="1118"/>
      <c r="N1153" s="1118"/>
      <c r="O1153" s="1118"/>
      <c r="P1153" s="1118"/>
      <c r="Q1153" s="1111"/>
      <c r="R1153" s="1111"/>
      <c r="S1153" s="1111"/>
      <c r="T1153" s="1111"/>
      <c r="U1153" s="1111"/>
      <c r="V1153" s="1111"/>
      <c r="W1153" s="1111"/>
      <c r="X1153" s="1111"/>
      <c r="Y1153" s="1111"/>
      <c r="Z1153" s="1111"/>
      <c r="AA1153" s="1111"/>
      <c r="AB1153" s="1111"/>
      <c r="AC1153" s="1111"/>
      <c r="AD1153" s="1111"/>
      <c r="AE1153" s="1111"/>
      <c r="AF1153" s="1111"/>
      <c r="AG1153" s="1111"/>
    </row>
    <row r="1154" spans="1:33" s="1295" customFormat="1">
      <c r="A1154" s="1264"/>
      <c r="D1154" s="1118"/>
      <c r="E1154" s="1264"/>
      <c r="F1154" s="1118"/>
      <c r="G1154" s="1118"/>
      <c r="H1154" s="1118"/>
      <c r="I1154" s="1118"/>
      <c r="J1154" s="1118"/>
      <c r="K1154" s="1118"/>
      <c r="L1154" s="1118"/>
      <c r="M1154" s="1118"/>
      <c r="N1154" s="1118"/>
      <c r="O1154" s="1118"/>
      <c r="P1154" s="1118"/>
      <c r="Q1154" s="1111"/>
      <c r="R1154" s="1111"/>
      <c r="S1154" s="1111"/>
      <c r="T1154" s="1111"/>
      <c r="U1154" s="1111"/>
      <c r="V1154" s="1111"/>
      <c r="W1154" s="1111"/>
      <c r="X1154" s="1111"/>
      <c r="Y1154" s="1111"/>
      <c r="Z1154" s="1111"/>
      <c r="AA1154" s="1111"/>
      <c r="AB1154" s="1111"/>
      <c r="AC1154" s="1111"/>
      <c r="AD1154" s="1111"/>
      <c r="AE1154" s="1111"/>
      <c r="AF1154" s="1111"/>
      <c r="AG1154" s="1111"/>
    </row>
    <row r="1155" spans="1:33" s="1295" customFormat="1">
      <c r="A1155" s="1264"/>
      <c r="D1155" s="1118"/>
      <c r="E1155" s="1264"/>
      <c r="F1155" s="1118"/>
      <c r="G1155" s="1118"/>
      <c r="H1155" s="1118"/>
      <c r="I1155" s="1118"/>
      <c r="J1155" s="1118"/>
      <c r="K1155" s="1118"/>
      <c r="L1155" s="1118"/>
      <c r="M1155" s="1118"/>
      <c r="N1155" s="1118"/>
      <c r="O1155" s="1118"/>
      <c r="P1155" s="1118"/>
      <c r="Q1155" s="1111"/>
      <c r="R1155" s="1111"/>
      <c r="S1155" s="1111"/>
      <c r="T1155" s="1111"/>
      <c r="U1155" s="1111"/>
      <c r="V1155" s="1111"/>
      <c r="W1155" s="1111"/>
      <c r="X1155" s="1111"/>
      <c r="Y1155" s="1111"/>
      <c r="Z1155" s="1111"/>
      <c r="AA1155" s="1111"/>
      <c r="AB1155" s="1111"/>
      <c r="AC1155" s="1111"/>
      <c r="AD1155" s="1111"/>
      <c r="AE1155" s="1111"/>
      <c r="AF1155" s="1111"/>
      <c r="AG1155" s="1111"/>
    </row>
    <row r="1156" spans="1:33" s="1295" customFormat="1">
      <c r="A1156" s="1264"/>
      <c r="D1156" s="1118"/>
      <c r="E1156" s="1264"/>
      <c r="F1156" s="1118"/>
      <c r="G1156" s="1118"/>
      <c r="H1156" s="1118"/>
      <c r="I1156" s="1118"/>
      <c r="J1156" s="1118"/>
      <c r="K1156" s="1118"/>
      <c r="L1156" s="1118"/>
      <c r="M1156" s="1118"/>
      <c r="N1156" s="1118"/>
      <c r="O1156" s="1118"/>
      <c r="P1156" s="1118"/>
      <c r="Q1156" s="1111"/>
      <c r="R1156" s="1111"/>
      <c r="S1156" s="1111"/>
      <c r="T1156" s="1111"/>
      <c r="U1156" s="1111"/>
      <c r="V1156" s="1111"/>
      <c r="W1156" s="1111"/>
      <c r="X1156" s="1111"/>
      <c r="Y1156" s="1111"/>
      <c r="Z1156" s="1111"/>
      <c r="AA1156" s="1111"/>
      <c r="AB1156" s="1111"/>
      <c r="AC1156" s="1111"/>
      <c r="AD1156" s="1111"/>
      <c r="AE1156" s="1111"/>
      <c r="AF1156" s="1111"/>
      <c r="AG1156" s="1111"/>
    </row>
    <row r="1157" spans="1:33" s="1295" customFormat="1">
      <c r="A1157" s="1264"/>
      <c r="D1157" s="1118"/>
      <c r="E1157" s="1264"/>
      <c r="F1157" s="1118"/>
      <c r="G1157" s="1118"/>
      <c r="H1157" s="1118"/>
      <c r="I1157" s="1118"/>
      <c r="J1157" s="1118"/>
      <c r="K1157" s="1118"/>
      <c r="L1157" s="1118"/>
      <c r="M1157" s="1118"/>
      <c r="N1157" s="1118"/>
      <c r="O1157" s="1118"/>
      <c r="P1157" s="1118"/>
      <c r="Q1157" s="1111"/>
      <c r="R1157" s="1111"/>
      <c r="S1157" s="1111"/>
      <c r="T1157" s="1111"/>
      <c r="U1157" s="1111"/>
      <c r="V1157" s="1111"/>
      <c r="W1157" s="1111"/>
      <c r="X1157" s="1111"/>
      <c r="Y1157" s="1111"/>
      <c r="Z1157" s="1111"/>
      <c r="AA1157" s="1111"/>
      <c r="AB1157" s="1111"/>
      <c r="AC1157" s="1111"/>
      <c r="AD1157" s="1111"/>
      <c r="AE1157" s="1111"/>
      <c r="AF1157" s="1111"/>
      <c r="AG1157" s="1111"/>
    </row>
    <row r="1158" spans="1:33" s="1295" customFormat="1">
      <c r="A1158" s="1264"/>
      <c r="D1158" s="1118"/>
      <c r="E1158" s="1264"/>
      <c r="F1158" s="1118"/>
      <c r="G1158" s="1118"/>
      <c r="H1158" s="1118"/>
      <c r="I1158" s="1118"/>
      <c r="J1158" s="1118"/>
      <c r="K1158" s="1118"/>
      <c r="L1158" s="1118"/>
      <c r="M1158" s="1118"/>
      <c r="N1158" s="1118"/>
      <c r="O1158" s="1118"/>
      <c r="P1158" s="1118"/>
      <c r="Q1158" s="1111"/>
      <c r="R1158" s="1111"/>
      <c r="S1158" s="1111"/>
      <c r="T1158" s="1111"/>
      <c r="U1158" s="1111"/>
      <c r="V1158" s="1111"/>
      <c r="W1158" s="1111"/>
      <c r="X1158" s="1111"/>
      <c r="Y1158" s="1111"/>
      <c r="Z1158" s="1111"/>
      <c r="AA1158" s="1111"/>
      <c r="AB1158" s="1111"/>
      <c r="AC1158" s="1111"/>
      <c r="AD1158" s="1111"/>
      <c r="AE1158" s="1111"/>
      <c r="AF1158" s="1111"/>
      <c r="AG1158" s="1111"/>
    </row>
    <row r="1159" spans="1:33" s="1295" customFormat="1">
      <c r="A1159" s="1264"/>
      <c r="D1159" s="1118"/>
      <c r="E1159" s="1264"/>
      <c r="F1159" s="1118"/>
      <c r="G1159" s="1118"/>
      <c r="H1159" s="1118"/>
      <c r="I1159" s="1118"/>
      <c r="J1159" s="1118"/>
      <c r="K1159" s="1118"/>
      <c r="L1159" s="1118"/>
      <c r="M1159" s="1118"/>
      <c r="N1159" s="1118"/>
      <c r="O1159" s="1118"/>
      <c r="P1159" s="1118"/>
      <c r="Q1159" s="1111"/>
      <c r="R1159" s="1111"/>
      <c r="S1159" s="1111"/>
      <c r="T1159" s="1111"/>
      <c r="U1159" s="1111"/>
      <c r="V1159" s="1111"/>
      <c r="W1159" s="1111"/>
      <c r="X1159" s="1111"/>
      <c r="Y1159" s="1111"/>
      <c r="Z1159" s="1111"/>
      <c r="AA1159" s="1111"/>
      <c r="AB1159" s="1111"/>
      <c r="AC1159" s="1111"/>
      <c r="AD1159" s="1111"/>
      <c r="AE1159" s="1111"/>
      <c r="AF1159" s="1111"/>
      <c r="AG1159" s="1111"/>
    </row>
    <row r="1160" spans="1:33" s="1295" customFormat="1">
      <c r="A1160" s="1264"/>
      <c r="D1160" s="1118"/>
      <c r="E1160" s="1264"/>
      <c r="F1160" s="1118"/>
      <c r="G1160" s="1118"/>
      <c r="H1160" s="1118"/>
      <c r="I1160" s="1118"/>
      <c r="J1160" s="1118"/>
      <c r="K1160" s="1118"/>
      <c r="L1160" s="1118"/>
      <c r="M1160" s="1118"/>
      <c r="N1160" s="1118"/>
      <c r="O1160" s="1118"/>
      <c r="P1160" s="1118"/>
      <c r="Q1160" s="1111"/>
      <c r="R1160" s="1111"/>
      <c r="S1160" s="1111"/>
      <c r="T1160" s="1111"/>
      <c r="U1160" s="1111"/>
      <c r="V1160" s="1111"/>
      <c r="W1160" s="1111"/>
      <c r="X1160" s="1111"/>
      <c r="Y1160" s="1111"/>
      <c r="Z1160" s="1111"/>
      <c r="AA1160" s="1111"/>
      <c r="AB1160" s="1111"/>
      <c r="AC1160" s="1111"/>
      <c r="AD1160" s="1111"/>
      <c r="AE1160" s="1111"/>
      <c r="AF1160" s="1111"/>
      <c r="AG1160" s="1111"/>
    </row>
    <row r="1161" spans="1:33" s="1295" customFormat="1">
      <c r="A1161" s="1264"/>
      <c r="D1161" s="1118"/>
      <c r="E1161" s="1264"/>
      <c r="F1161" s="1118"/>
      <c r="G1161" s="1118"/>
      <c r="H1161" s="1118"/>
      <c r="I1161" s="1118"/>
      <c r="J1161" s="1118"/>
      <c r="K1161" s="1118"/>
      <c r="L1161" s="1118"/>
      <c r="M1161" s="1118"/>
      <c r="N1161" s="1118"/>
      <c r="O1161" s="1118"/>
      <c r="P1161" s="1118"/>
      <c r="Q1161" s="1111"/>
      <c r="R1161" s="1111"/>
      <c r="S1161" s="1111"/>
      <c r="T1161" s="1111"/>
      <c r="U1161" s="1111"/>
      <c r="V1161" s="1111"/>
      <c r="W1161" s="1111"/>
      <c r="X1161" s="1111"/>
      <c r="Y1161" s="1111"/>
      <c r="Z1161" s="1111"/>
      <c r="AA1161" s="1111"/>
      <c r="AB1161" s="1111"/>
      <c r="AC1161" s="1111"/>
      <c r="AD1161" s="1111"/>
      <c r="AE1161" s="1111"/>
      <c r="AF1161" s="1111"/>
      <c r="AG1161" s="1111"/>
    </row>
    <row r="1162" spans="1:33" s="1295" customFormat="1">
      <c r="A1162" s="1264"/>
      <c r="D1162" s="1118"/>
      <c r="E1162" s="1264"/>
      <c r="F1162" s="1118"/>
      <c r="G1162" s="1118"/>
      <c r="H1162" s="1118"/>
      <c r="I1162" s="1118"/>
      <c r="J1162" s="1118"/>
      <c r="K1162" s="1118"/>
      <c r="L1162" s="1118"/>
      <c r="M1162" s="1118"/>
      <c r="N1162" s="1118"/>
      <c r="O1162" s="1118"/>
      <c r="P1162" s="1118"/>
      <c r="Q1162" s="1111"/>
      <c r="R1162" s="1111"/>
      <c r="S1162" s="1111"/>
      <c r="T1162" s="1111"/>
      <c r="U1162" s="1111"/>
      <c r="V1162" s="1111"/>
      <c r="W1162" s="1111"/>
      <c r="X1162" s="1111"/>
      <c r="Y1162" s="1111"/>
      <c r="Z1162" s="1111"/>
      <c r="AA1162" s="1111"/>
      <c r="AB1162" s="1111"/>
      <c r="AC1162" s="1111"/>
      <c r="AD1162" s="1111"/>
      <c r="AE1162" s="1111"/>
      <c r="AF1162" s="1111"/>
      <c r="AG1162" s="1111"/>
    </row>
    <row r="1163" spans="1:33" s="1295" customFormat="1">
      <c r="A1163" s="1264"/>
      <c r="D1163" s="1118"/>
      <c r="E1163" s="1264"/>
      <c r="F1163" s="1118"/>
      <c r="G1163" s="1118"/>
      <c r="H1163" s="1118"/>
      <c r="I1163" s="1118"/>
      <c r="J1163" s="1118"/>
      <c r="K1163" s="1118"/>
      <c r="L1163" s="1118"/>
      <c r="M1163" s="1118"/>
      <c r="N1163" s="1118"/>
      <c r="O1163" s="1118"/>
      <c r="P1163" s="1118"/>
      <c r="Q1163" s="1111"/>
      <c r="R1163" s="1111"/>
      <c r="S1163" s="1111"/>
      <c r="T1163" s="1111"/>
      <c r="U1163" s="1111"/>
      <c r="V1163" s="1111"/>
      <c r="W1163" s="1111"/>
      <c r="X1163" s="1111"/>
      <c r="Y1163" s="1111"/>
      <c r="Z1163" s="1111"/>
      <c r="AA1163" s="1111"/>
      <c r="AB1163" s="1111"/>
      <c r="AC1163" s="1111"/>
      <c r="AD1163" s="1111"/>
      <c r="AE1163" s="1111"/>
      <c r="AF1163" s="1111"/>
      <c r="AG1163" s="1111"/>
    </row>
    <row r="1164" spans="1:33" s="1295" customFormat="1">
      <c r="A1164" s="1264"/>
      <c r="D1164" s="1118"/>
      <c r="E1164" s="1264"/>
      <c r="F1164" s="1118"/>
      <c r="G1164" s="1118"/>
      <c r="H1164" s="1118"/>
      <c r="I1164" s="1118"/>
      <c r="J1164" s="1118"/>
      <c r="K1164" s="1118"/>
      <c r="L1164" s="1118"/>
      <c r="M1164" s="1118"/>
      <c r="N1164" s="1118"/>
      <c r="O1164" s="1118"/>
      <c r="P1164" s="1118"/>
      <c r="Q1164" s="1111"/>
      <c r="R1164" s="1111"/>
      <c r="S1164" s="1111"/>
      <c r="T1164" s="1111"/>
      <c r="U1164" s="1111"/>
      <c r="V1164" s="1111"/>
      <c r="W1164" s="1111"/>
      <c r="X1164" s="1111"/>
      <c r="Y1164" s="1111"/>
      <c r="Z1164" s="1111"/>
      <c r="AA1164" s="1111"/>
      <c r="AB1164" s="1111"/>
      <c r="AC1164" s="1111"/>
      <c r="AD1164" s="1111"/>
      <c r="AE1164" s="1111"/>
      <c r="AF1164" s="1111"/>
      <c r="AG1164" s="1111"/>
    </row>
    <row r="1165" spans="1:33" s="1295" customFormat="1">
      <c r="A1165" s="1264"/>
      <c r="D1165" s="1118"/>
      <c r="E1165" s="1264"/>
      <c r="F1165" s="1118"/>
      <c r="G1165" s="1118"/>
      <c r="H1165" s="1118"/>
      <c r="I1165" s="1118"/>
      <c r="J1165" s="1118"/>
      <c r="K1165" s="1118"/>
      <c r="L1165" s="1118"/>
      <c r="M1165" s="1118"/>
      <c r="N1165" s="1118"/>
      <c r="O1165" s="1118"/>
      <c r="P1165" s="1118"/>
      <c r="Q1165" s="1111"/>
      <c r="R1165" s="1111"/>
      <c r="S1165" s="1111"/>
      <c r="T1165" s="1111"/>
      <c r="U1165" s="1111"/>
      <c r="V1165" s="1111"/>
      <c r="W1165" s="1111"/>
      <c r="X1165" s="1111"/>
      <c r="Y1165" s="1111"/>
      <c r="Z1165" s="1111"/>
      <c r="AA1165" s="1111"/>
      <c r="AB1165" s="1111"/>
      <c r="AC1165" s="1111"/>
      <c r="AD1165" s="1111"/>
      <c r="AE1165" s="1111"/>
      <c r="AF1165" s="1111"/>
      <c r="AG1165" s="1111"/>
    </row>
    <row r="1166" spans="1:33" s="1295" customFormat="1">
      <c r="A1166" s="1264"/>
      <c r="D1166" s="1118"/>
      <c r="E1166" s="1264"/>
      <c r="F1166" s="1118"/>
      <c r="G1166" s="1118"/>
      <c r="H1166" s="1118"/>
      <c r="I1166" s="1118"/>
      <c r="J1166" s="1118"/>
      <c r="K1166" s="1118"/>
      <c r="L1166" s="1118"/>
      <c r="M1166" s="1118"/>
      <c r="N1166" s="1118"/>
      <c r="O1166" s="1118"/>
      <c r="P1166" s="1118"/>
      <c r="Q1166" s="1111"/>
      <c r="R1166" s="1111"/>
      <c r="S1166" s="1111"/>
      <c r="T1166" s="1111"/>
      <c r="U1166" s="1111"/>
      <c r="V1166" s="1111"/>
      <c r="W1166" s="1111"/>
      <c r="X1166" s="1111"/>
      <c r="Y1166" s="1111"/>
      <c r="Z1166" s="1111"/>
      <c r="AA1166" s="1111"/>
      <c r="AB1166" s="1111"/>
      <c r="AC1166" s="1111"/>
      <c r="AD1166" s="1111"/>
      <c r="AE1166" s="1111"/>
      <c r="AF1166" s="1111"/>
      <c r="AG1166" s="1111"/>
    </row>
    <row r="1167" spans="1:33" s="1295" customFormat="1">
      <c r="A1167" s="1264"/>
      <c r="D1167" s="1118"/>
      <c r="E1167" s="1264"/>
      <c r="F1167" s="1118"/>
      <c r="G1167" s="1118"/>
      <c r="H1167" s="1118"/>
      <c r="I1167" s="1118"/>
      <c r="J1167" s="1118"/>
      <c r="K1167" s="1118"/>
      <c r="L1167" s="1118"/>
      <c r="M1167" s="1118"/>
      <c r="N1167" s="1118"/>
      <c r="O1167" s="1118"/>
      <c r="P1167" s="1118"/>
      <c r="Q1167" s="1111"/>
      <c r="R1167" s="1111"/>
      <c r="S1167" s="1111"/>
      <c r="T1167" s="1111"/>
      <c r="U1167" s="1111"/>
      <c r="V1167" s="1111"/>
      <c r="W1167" s="1111"/>
      <c r="X1167" s="1111"/>
      <c r="Y1167" s="1111"/>
      <c r="Z1167" s="1111"/>
      <c r="AA1167" s="1111"/>
      <c r="AB1167" s="1111"/>
      <c r="AC1167" s="1111"/>
      <c r="AD1167" s="1111"/>
      <c r="AE1167" s="1111"/>
      <c r="AF1167" s="1111"/>
      <c r="AG1167" s="1111"/>
    </row>
    <row r="1168" spans="1:33" s="1295" customFormat="1">
      <c r="A1168" s="1264"/>
      <c r="D1168" s="1118"/>
      <c r="E1168" s="1264"/>
      <c r="F1168" s="1118"/>
      <c r="G1168" s="1118"/>
      <c r="H1168" s="1118"/>
      <c r="I1168" s="1118"/>
      <c r="J1168" s="1118"/>
      <c r="K1168" s="1118"/>
      <c r="L1168" s="1118"/>
      <c r="M1168" s="1118"/>
      <c r="N1168" s="1118"/>
      <c r="O1168" s="1118"/>
      <c r="P1168" s="1118"/>
      <c r="Q1168" s="1111"/>
      <c r="R1168" s="1111"/>
      <c r="S1168" s="1111"/>
      <c r="T1168" s="1111"/>
      <c r="U1168" s="1111"/>
      <c r="V1168" s="1111"/>
      <c r="W1168" s="1111"/>
      <c r="X1168" s="1111"/>
      <c r="Y1168" s="1111"/>
      <c r="Z1168" s="1111"/>
      <c r="AA1168" s="1111"/>
      <c r="AB1168" s="1111"/>
      <c r="AC1168" s="1111"/>
      <c r="AD1168" s="1111"/>
      <c r="AE1168" s="1111"/>
      <c r="AF1168" s="1111"/>
      <c r="AG1168" s="1111"/>
    </row>
    <row r="1169" spans="1:33" s="1295" customFormat="1">
      <c r="A1169" s="1264"/>
      <c r="D1169" s="1118"/>
      <c r="E1169" s="1264"/>
      <c r="F1169" s="1118"/>
      <c r="G1169" s="1118"/>
      <c r="H1169" s="1118"/>
      <c r="I1169" s="1118"/>
      <c r="J1169" s="1118"/>
      <c r="K1169" s="1118"/>
      <c r="L1169" s="1118"/>
      <c r="M1169" s="1118"/>
      <c r="N1169" s="1118"/>
      <c r="O1169" s="1118"/>
      <c r="P1169" s="1118"/>
      <c r="Q1169" s="1111"/>
      <c r="R1169" s="1111"/>
      <c r="S1169" s="1111"/>
      <c r="T1169" s="1111"/>
      <c r="U1169" s="1111"/>
      <c r="V1169" s="1111"/>
      <c r="W1169" s="1111"/>
      <c r="X1169" s="1111"/>
      <c r="Y1169" s="1111"/>
      <c r="Z1169" s="1111"/>
      <c r="AA1169" s="1111"/>
      <c r="AB1169" s="1111"/>
      <c r="AC1169" s="1111"/>
      <c r="AD1169" s="1111"/>
      <c r="AE1169" s="1111"/>
      <c r="AF1169" s="1111"/>
      <c r="AG1169" s="1111"/>
    </row>
    <row r="1170" spans="1:33" s="1295" customFormat="1">
      <c r="A1170" s="1264"/>
      <c r="D1170" s="1118"/>
      <c r="E1170" s="1264"/>
      <c r="F1170" s="1118"/>
      <c r="G1170" s="1118"/>
      <c r="H1170" s="1118"/>
      <c r="I1170" s="1118"/>
      <c r="J1170" s="1118"/>
      <c r="K1170" s="1118"/>
      <c r="L1170" s="1118"/>
      <c r="M1170" s="1118"/>
      <c r="N1170" s="1118"/>
      <c r="O1170" s="1118"/>
      <c r="P1170" s="1118"/>
      <c r="Q1170" s="1111"/>
      <c r="R1170" s="1111"/>
      <c r="S1170" s="1111"/>
      <c r="T1170" s="1111"/>
      <c r="U1170" s="1111"/>
      <c r="V1170" s="1111"/>
      <c r="W1170" s="1111"/>
      <c r="X1170" s="1111"/>
      <c r="Y1170" s="1111"/>
      <c r="Z1170" s="1111"/>
      <c r="AA1170" s="1111"/>
      <c r="AB1170" s="1111"/>
      <c r="AC1170" s="1111"/>
      <c r="AD1170" s="1111"/>
      <c r="AE1170" s="1111"/>
      <c r="AF1170" s="1111"/>
      <c r="AG1170" s="1111"/>
    </row>
    <row r="1171" spans="1:33" s="1295" customFormat="1">
      <c r="A1171" s="1264"/>
      <c r="D1171" s="1118"/>
      <c r="E1171" s="1264"/>
      <c r="F1171" s="1118"/>
      <c r="G1171" s="1118"/>
      <c r="H1171" s="1118"/>
      <c r="I1171" s="1118"/>
      <c r="J1171" s="1118"/>
      <c r="K1171" s="1118"/>
      <c r="L1171" s="1118"/>
      <c r="M1171" s="1118"/>
      <c r="N1171" s="1118"/>
      <c r="O1171" s="1118"/>
      <c r="P1171" s="1118"/>
      <c r="Q1171" s="1111"/>
      <c r="R1171" s="1111"/>
      <c r="S1171" s="1111"/>
      <c r="T1171" s="1111"/>
      <c r="U1171" s="1111"/>
      <c r="V1171" s="1111"/>
      <c r="W1171" s="1111"/>
      <c r="X1171" s="1111"/>
      <c r="Y1171" s="1111"/>
      <c r="Z1171" s="1111"/>
      <c r="AA1171" s="1111"/>
      <c r="AB1171" s="1111"/>
      <c r="AC1171" s="1111"/>
      <c r="AD1171" s="1111"/>
      <c r="AE1171" s="1111"/>
      <c r="AF1171" s="1111"/>
      <c r="AG1171" s="1111"/>
    </row>
    <row r="1172" spans="1:33" s="1295" customFormat="1">
      <c r="A1172" s="1264"/>
      <c r="D1172" s="1118"/>
      <c r="E1172" s="1264"/>
      <c r="F1172" s="1118"/>
      <c r="G1172" s="1118"/>
      <c r="H1172" s="1118"/>
      <c r="I1172" s="1118"/>
      <c r="J1172" s="1118"/>
      <c r="K1172" s="1118"/>
      <c r="L1172" s="1118"/>
      <c r="M1172" s="1118"/>
      <c r="N1172" s="1118"/>
      <c r="O1172" s="1118"/>
      <c r="P1172" s="1118"/>
      <c r="Q1172" s="1111"/>
      <c r="R1172" s="1111"/>
      <c r="S1172" s="1111"/>
      <c r="T1172" s="1111"/>
      <c r="U1172" s="1111"/>
      <c r="V1172" s="1111"/>
      <c r="W1172" s="1111"/>
      <c r="X1172" s="1111"/>
      <c r="Y1172" s="1111"/>
      <c r="Z1172" s="1111"/>
      <c r="AA1172" s="1111"/>
      <c r="AB1172" s="1111"/>
      <c r="AC1172" s="1111"/>
      <c r="AD1172" s="1111"/>
      <c r="AE1172" s="1111"/>
      <c r="AF1172" s="1111"/>
      <c r="AG1172" s="1111"/>
    </row>
    <row r="1173" spans="1:33" s="1295" customFormat="1">
      <c r="A1173" s="1264"/>
      <c r="D1173" s="1118"/>
      <c r="E1173" s="1264"/>
      <c r="F1173" s="1118"/>
      <c r="G1173" s="1118"/>
      <c r="H1173" s="1118"/>
      <c r="I1173" s="1118"/>
      <c r="J1173" s="1118"/>
      <c r="K1173" s="1118"/>
      <c r="L1173" s="1118"/>
      <c r="M1173" s="1118"/>
      <c r="N1173" s="1118"/>
      <c r="O1173" s="1118"/>
      <c r="P1173" s="1118"/>
      <c r="Q1173" s="1111"/>
      <c r="R1173" s="1111"/>
      <c r="S1173" s="1111"/>
      <c r="T1173" s="1111"/>
      <c r="U1173" s="1111"/>
      <c r="V1173" s="1111"/>
      <c r="W1173" s="1111"/>
      <c r="X1173" s="1111"/>
      <c r="Y1173" s="1111"/>
      <c r="Z1173" s="1111"/>
      <c r="AA1173" s="1111"/>
      <c r="AB1173" s="1111"/>
      <c r="AC1173" s="1111"/>
      <c r="AD1173" s="1111"/>
      <c r="AE1173" s="1111"/>
      <c r="AF1173" s="1111"/>
      <c r="AG1173" s="1111"/>
    </row>
    <row r="1174" spans="1:33" s="1295" customFormat="1">
      <c r="A1174" s="1264"/>
      <c r="D1174" s="1118"/>
      <c r="E1174" s="1264"/>
      <c r="F1174" s="1118"/>
      <c r="G1174" s="1118"/>
      <c r="H1174" s="1118"/>
      <c r="I1174" s="1118"/>
      <c r="J1174" s="1118"/>
      <c r="K1174" s="1118"/>
      <c r="L1174" s="1118"/>
      <c r="M1174" s="1118"/>
      <c r="N1174" s="1118"/>
      <c r="O1174" s="1118"/>
      <c r="P1174" s="1118"/>
      <c r="Q1174" s="1111"/>
      <c r="R1174" s="1111"/>
      <c r="S1174" s="1111"/>
      <c r="T1174" s="1111"/>
      <c r="U1174" s="1111"/>
      <c r="V1174" s="1111"/>
      <c r="W1174" s="1111"/>
      <c r="X1174" s="1111"/>
      <c r="Y1174" s="1111"/>
      <c r="Z1174" s="1111"/>
      <c r="AA1174" s="1111"/>
      <c r="AB1174" s="1111"/>
      <c r="AC1174" s="1111"/>
      <c r="AD1174" s="1111"/>
      <c r="AE1174" s="1111"/>
      <c r="AF1174" s="1111"/>
      <c r="AG1174" s="1111"/>
    </row>
    <row r="1175" spans="1:33" s="1295" customFormat="1">
      <c r="A1175" s="1264"/>
      <c r="D1175" s="1118"/>
      <c r="E1175" s="1264"/>
      <c r="F1175" s="1118"/>
      <c r="G1175" s="1118"/>
      <c r="H1175" s="1118"/>
      <c r="I1175" s="1118"/>
      <c r="J1175" s="1118"/>
      <c r="K1175" s="1118"/>
      <c r="L1175" s="1118"/>
      <c r="M1175" s="1118"/>
      <c r="N1175" s="1118"/>
      <c r="O1175" s="1118"/>
      <c r="P1175" s="1118"/>
      <c r="Q1175" s="1111"/>
      <c r="R1175" s="1111"/>
      <c r="S1175" s="1111"/>
      <c r="T1175" s="1111"/>
      <c r="U1175" s="1111"/>
      <c r="V1175" s="1111"/>
      <c r="W1175" s="1111"/>
      <c r="X1175" s="1111"/>
      <c r="Y1175" s="1111"/>
      <c r="Z1175" s="1111"/>
      <c r="AA1175" s="1111"/>
      <c r="AB1175" s="1111"/>
      <c r="AC1175" s="1111"/>
      <c r="AD1175" s="1111"/>
      <c r="AE1175" s="1111"/>
      <c r="AF1175" s="1111"/>
      <c r="AG1175" s="1111"/>
    </row>
    <row r="1176" spans="1:33" s="1295" customFormat="1">
      <c r="A1176" s="1264"/>
      <c r="D1176" s="1118"/>
      <c r="E1176" s="1264"/>
      <c r="F1176" s="1118"/>
      <c r="G1176" s="1118"/>
      <c r="H1176" s="1118"/>
      <c r="I1176" s="1118"/>
      <c r="J1176" s="1118"/>
      <c r="K1176" s="1118"/>
      <c r="L1176" s="1118"/>
      <c r="M1176" s="1118"/>
      <c r="N1176" s="1118"/>
      <c r="O1176" s="1118"/>
      <c r="P1176" s="1118"/>
      <c r="Q1176" s="1111"/>
      <c r="R1176" s="1111"/>
      <c r="S1176" s="1111"/>
      <c r="T1176" s="1111"/>
      <c r="U1176" s="1111"/>
      <c r="V1176" s="1111"/>
      <c r="W1176" s="1111"/>
      <c r="X1176" s="1111"/>
      <c r="Y1176" s="1111"/>
      <c r="Z1176" s="1111"/>
      <c r="AA1176" s="1111"/>
      <c r="AB1176" s="1111"/>
      <c r="AC1176" s="1111"/>
      <c r="AD1176" s="1111"/>
      <c r="AE1176" s="1111"/>
      <c r="AF1176" s="1111"/>
      <c r="AG1176" s="1111"/>
    </row>
    <row r="1177" spans="1:33" s="1295" customFormat="1">
      <c r="A1177" s="1264"/>
      <c r="D1177" s="1118"/>
      <c r="E1177" s="1264"/>
      <c r="F1177" s="1118"/>
      <c r="G1177" s="1118"/>
      <c r="H1177" s="1118"/>
      <c r="I1177" s="1118"/>
      <c r="J1177" s="1118"/>
      <c r="K1177" s="1118"/>
      <c r="L1177" s="1118"/>
      <c r="M1177" s="1118"/>
      <c r="N1177" s="1118"/>
      <c r="O1177" s="1118"/>
      <c r="P1177" s="1118"/>
      <c r="Q1177" s="1111"/>
      <c r="R1177" s="1111"/>
      <c r="S1177" s="1111"/>
      <c r="T1177" s="1111"/>
      <c r="U1177" s="1111"/>
      <c r="V1177" s="1111"/>
      <c r="W1177" s="1111"/>
      <c r="X1177" s="1111"/>
      <c r="Y1177" s="1111"/>
      <c r="Z1177" s="1111"/>
      <c r="AA1177" s="1111"/>
      <c r="AB1177" s="1111"/>
      <c r="AC1177" s="1111"/>
      <c r="AD1177" s="1111"/>
      <c r="AE1177" s="1111"/>
      <c r="AF1177" s="1111"/>
      <c r="AG1177" s="1111"/>
    </row>
    <row r="1178" spans="1:33" s="1295" customFormat="1">
      <c r="A1178" s="1264"/>
      <c r="D1178" s="1118"/>
      <c r="E1178" s="1264"/>
      <c r="F1178" s="1118"/>
      <c r="G1178" s="1118"/>
      <c r="H1178" s="1118"/>
      <c r="I1178" s="1118"/>
      <c r="J1178" s="1118"/>
      <c r="K1178" s="1118"/>
      <c r="L1178" s="1118"/>
      <c r="M1178" s="1118"/>
      <c r="N1178" s="1118"/>
      <c r="O1178" s="1118"/>
      <c r="P1178" s="1118"/>
      <c r="Q1178" s="1111"/>
      <c r="R1178" s="1111"/>
      <c r="S1178" s="1111"/>
      <c r="T1178" s="1111"/>
      <c r="U1178" s="1111"/>
      <c r="V1178" s="1111"/>
      <c r="W1178" s="1111"/>
      <c r="X1178" s="1111"/>
      <c r="Y1178" s="1111"/>
      <c r="Z1178" s="1111"/>
      <c r="AA1178" s="1111"/>
      <c r="AB1178" s="1111"/>
      <c r="AC1178" s="1111"/>
      <c r="AD1178" s="1111"/>
      <c r="AE1178" s="1111"/>
      <c r="AF1178" s="1111"/>
      <c r="AG1178" s="1111"/>
    </row>
    <row r="1179" spans="1:33" s="1295" customFormat="1">
      <c r="A1179" s="1264"/>
      <c r="D1179" s="1118"/>
      <c r="E1179" s="1264"/>
      <c r="F1179" s="1118"/>
      <c r="G1179" s="1118"/>
      <c r="H1179" s="1118"/>
      <c r="I1179" s="1118"/>
      <c r="J1179" s="1118"/>
      <c r="K1179" s="1118"/>
      <c r="L1179" s="1118"/>
      <c r="M1179" s="1118"/>
      <c r="N1179" s="1118"/>
      <c r="O1179" s="1118"/>
      <c r="P1179" s="1118"/>
      <c r="Q1179" s="1111"/>
      <c r="R1179" s="1111"/>
      <c r="S1179" s="1111"/>
      <c r="T1179" s="1111"/>
      <c r="U1179" s="1111"/>
      <c r="V1179" s="1111"/>
      <c r="W1179" s="1111"/>
      <c r="X1179" s="1111"/>
      <c r="Y1179" s="1111"/>
      <c r="Z1179" s="1111"/>
      <c r="AA1179" s="1111"/>
      <c r="AB1179" s="1111"/>
      <c r="AC1179" s="1111"/>
      <c r="AD1179" s="1111"/>
      <c r="AE1179" s="1111"/>
      <c r="AF1179" s="1111"/>
      <c r="AG1179" s="1111"/>
    </row>
    <row r="1180" spans="1:33" s="1295" customFormat="1">
      <c r="A1180" s="1264"/>
      <c r="D1180" s="1118"/>
      <c r="E1180" s="1264"/>
      <c r="F1180" s="1118"/>
      <c r="G1180" s="1118"/>
      <c r="H1180" s="1118"/>
      <c r="I1180" s="1118"/>
      <c r="J1180" s="1118"/>
      <c r="K1180" s="1118"/>
      <c r="L1180" s="1118"/>
      <c r="M1180" s="1118"/>
      <c r="N1180" s="1118"/>
      <c r="O1180" s="1118"/>
      <c r="P1180" s="1118"/>
      <c r="Q1180" s="1111"/>
      <c r="R1180" s="1111"/>
      <c r="S1180" s="1111"/>
      <c r="T1180" s="1111"/>
      <c r="U1180" s="1111"/>
      <c r="V1180" s="1111"/>
      <c r="W1180" s="1111"/>
      <c r="X1180" s="1111"/>
      <c r="Y1180" s="1111"/>
      <c r="Z1180" s="1111"/>
      <c r="AA1180" s="1111"/>
      <c r="AB1180" s="1111"/>
      <c r="AC1180" s="1111"/>
      <c r="AD1180" s="1111"/>
      <c r="AE1180" s="1111"/>
      <c r="AF1180" s="1111"/>
      <c r="AG1180" s="1111"/>
    </row>
    <row r="1181" spans="1:33" s="1295" customFormat="1">
      <c r="A1181" s="1264"/>
      <c r="D1181" s="1118"/>
      <c r="E1181" s="1264"/>
      <c r="F1181" s="1118"/>
      <c r="G1181" s="1118"/>
      <c r="H1181" s="1118"/>
      <c r="I1181" s="1118"/>
      <c r="J1181" s="1118"/>
      <c r="K1181" s="1118"/>
      <c r="L1181" s="1118"/>
      <c r="M1181" s="1118"/>
      <c r="N1181" s="1118"/>
      <c r="O1181" s="1118"/>
      <c r="P1181" s="1118"/>
      <c r="Q1181" s="1111"/>
      <c r="R1181" s="1111"/>
      <c r="S1181" s="1111"/>
      <c r="T1181" s="1111"/>
      <c r="U1181" s="1111"/>
      <c r="V1181" s="1111"/>
      <c r="W1181" s="1111"/>
      <c r="X1181" s="1111"/>
      <c r="Y1181" s="1111"/>
      <c r="Z1181" s="1111"/>
      <c r="AA1181" s="1111"/>
      <c r="AB1181" s="1111"/>
      <c r="AC1181" s="1111"/>
      <c r="AD1181" s="1111"/>
      <c r="AE1181" s="1111"/>
      <c r="AF1181" s="1111"/>
      <c r="AG1181" s="1111"/>
    </row>
    <row r="1182" spans="1:33" s="1295" customFormat="1">
      <c r="A1182" s="1264"/>
      <c r="D1182" s="1118"/>
      <c r="E1182" s="1264"/>
      <c r="F1182" s="1118"/>
      <c r="G1182" s="1118"/>
      <c r="H1182" s="1118"/>
      <c r="I1182" s="1118"/>
      <c r="J1182" s="1118"/>
      <c r="K1182" s="1118"/>
      <c r="L1182" s="1118"/>
      <c r="M1182" s="1118"/>
      <c r="N1182" s="1118"/>
      <c r="O1182" s="1118"/>
      <c r="P1182" s="1118"/>
      <c r="Q1182" s="1111"/>
      <c r="R1182" s="1111"/>
      <c r="S1182" s="1111"/>
      <c r="T1182" s="1111"/>
      <c r="U1182" s="1111"/>
      <c r="V1182" s="1111"/>
      <c r="W1182" s="1111"/>
      <c r="X1182" s="1111"/>
      <c r="Y1182" s="1111"/>
      <c r="Z1182" s="1111"/>
      <c r="AA1182" s="1111"/>
      <c r="AB1182" s="1111"/>
      <c r="AC1182" s="1111"/>
      <c r="AD1182" s="1111"/>
      <c r="AE1182" s="1111"/>
      <c r="AF1182" s="1111"/>
      <c r="AG1182" s="1111"/>
    </row>
    <row r="1183" spans="1:33" s="1295" customFormat="1">
      <c r="A1183" s="1264"/>
      <c r="D1183" s="1118"/>
      <c r="E1183" s="1264"/>
      <c r="F1183" s="1118"/>
      <c r="G1183" s="1118"/>
      <c r="H1183" s="1118"/>
      <c r="I1183" s="1118"/>
      <c r="J1183" s="1118"/>
      <c r="K1183" s="1118"/>
      <c r="L1183" s="1118"/>
      <c r="M1183" s="1118"/>
      <c r="N1183" s="1118"/>
      <c r="O1183" s="1118"/>
      <c r="P1183" s="1118"/>
      <c r="Q1183" s="1111"/>
      <c r="R1183" s="1111"/>
      <c r="S1183" s="1111"/>
      <c r="T1183" s="1111"/>
      <c r="U1183" s="1111"/>
      <c r="V1183" s="1111"/>
      <c r="W1183" s="1111"/>
      <c r="X1183" s="1111"/>
      <c r="Y1183" s="1111"/>
      <c r="Z1183" s="1111"/>
      <c r="AA1183" s="1111"/>
      <c r="AB1183" s="1111"/>
      <c r="AC1183" s="1111"/>
      <c r="AD1183" s="1111"/>
      <c r="AE1183" s="1111"/>
      <c r="AF1183" s="1111"/>
      <c r="AG1183" s="1111"/>
    </row>
    <row r="1184" spans="1:33" s="1295" customFormat="1">
      <c r="A1184" s="1264"/>
      <c r="D1184" s="1118"/>
      <c r="E1184" s="1264"/>
      <c r="F1184" s="1118"/>
      <c r="G1184" s="1118"/>
      <c r="H1184" s="1118"/>
      <c r="I1184" s="1118"/>
      <c r="J1184" s="1118"/>
      <c r="K1184" s="1118"/>
      <c r="L1184" s="1118"/>
      <c r="M1184" s="1118"/>
      <c r="N1184" s="1118"/>
      <c r="O1184" s="1118"/>
      <c r="P1184" s="1118"/>
      <c r="Q1184" s="1111"/>
      <c r="R1184" s="1111"/>
      <c r="S1184" s="1111"/>
      <c r="T1184" s="1111"/>
      <c r="U1184" s="1111"/>
      <c r="V1184" s="1111"/>
      <c r="W1184" s="1111"/>
      <c r="X1184" s="1111"/>
      <c r="Y1184" s="1111"/>
      <c r="Z1184" s="1111"/>
      <c r="AA1184" s="1111"/>
      <c r="AB1184" s="1111"/>
      <c r="AC1184" s="1111"/>
      <c r="AD1184" s="1111"/>
      <c r="AE1184" s="1111"/>
      <c r="AF1184" s="1111"/>
      <c r="AG1184" s="1111"/>
    </row>
    <row r="1185" spans="1:33" s="1295" customFormat="1">
      <c r="A1185" s="1264"/>
      <c r="D1185" s="1118"/>
      <c r="E1185" s="1264"/>
      <c r="F1185" s="1118"/>
      <c r="G1185" s="1118"/>
      <c r="H1185" s="1118"/>
      <c r="I1185" s="1118"/>
      <c r="J1185" s="1118"/>
      <c r="K1185" s="1118"/>
      <c r="L1185" s="1118"/>
      <c r="M1185" s="1118"/>
      <c r="N1185" s="1118"/>
      <c r="O1185" s="1118"/>
      <c r="P1185" s="1118"/>
      <c r="Q1185" s="1111"/>
      <c r="R1185" s="1111"/>
      <c r="S1185" s="1111"/>
      <c r="T1185" s="1111"/>
      <c r="U1185" s="1111"/>
      <c r="V1185" s="1111"/>
      <c r="W1185" s="1111"/>
      <c r="X1185" s="1111"/>
      <c r="Y1185" s="1111"/>
      <c r="Z1185" s="1111"/>
      <c r="AA1185" s="1111"/>
      <c r="AB1185" s="1111"/>
      <c r="AC1185" s="1111"/>
      <c r="AD1185" s="1111"/>
      <c r="AE1185" s="1111"/>
      <c r="AF1185" s="1111"/>
      <c r="AG1185" s="1111"/>
    </row>
    <row r="1186" spans="1:33" s="1295" customFormat="1">
      <c r="A1186" s="1264"/>
      <c r="D1186" s="1118"/>
      <c r="E1186" s="1264"/>
      <c r="F1186" s="1118"/>
      <c r="G1186" s="1118"/>
      <c r="H1186" s="1118"/>
      <c r="I1186" s="1118"/>
      <c r="J1186" s="1118"/>
      <c r="K1186" s="1118"/>
      <c r="L1186" s="1118"/>
      <c r="M1186" s="1118"/>
      <c r="N1186" s="1118"/>
      <c r="O1186" s="1118"/>
      <c r="P1186" s="1118"/>
      <c r="Q1186" s="1111"/>
      <c r="R1186" s="1111"/>
      <c r="S1186" s="1111"/>
      <c r="T1186" s="1111"/>
      <c r="U1186" s="1111"/>
      <c r="V1186" s="1111"/>
      <c r="W1186" s="1111"/>
      <c r="X1186" s="1111"/>
      <c r="Y1186" s="1111"/>
      <c r="Z1186" s="1111"/>
      <c r="AA1186" s="1111"/>
      <c r="AB1186" s="1111"/>
      <c r="AC1186" s="1111"/>
      <c r="AD1186" s="1111"/>
      <c r="AE1186" s="1111"/>
      <c r="AF1186" s="1111"/>
      <c r="AG1186" s="1111"/>
    </row>
    <row r="1187" spans="1:33" s="1295" customFormat="1">
      <c r="A1187" s="1264"/>
      <c r="D1187" s="1118"/>
      <c r="E1187" s="1264"/>
      <c r="F1187" s="1118"/>
      <c r="G1187" s="1118"/>
      <c r="H1187" s="1118"/>
      <c r="I1187" s="1118"/>
      <c r="J1187" s="1118"/>
      <c r="K1187" s="1118"/>
      <c r="L1187" s="1118"/>
      <c r="M1187" s="1118"/>
      <c r="N1187" s="1118"/>
      <c r="O1187" s="1118"/>
      <c r="P1187" s="1118"/>
      <c r="Q1187" s="1111"/>
      <c r="R1187" s="1111"/>
      <c r="S1187" s="1111"/>
      <c r="T1187" s="1111"/>
      <c r="U1187" s="1111"/>
      <c r="V1187" s="1111"/>
      <c r="W1187" s="1111"/>
      <c r="X1187" s="1111"/>
      <c r="Y1187" s="1111"/>
      <c r="Z1187" s="1111"/>
      <c r="AA1187" s="1111"/>
      <c r="AB1187" s="1111"/>
      <c r="AC1187" s="1111"/>
      <c r="AD1187" s="1111"/>
      <c r="AE1187" s="1111"/>
      <c r="AF1187" s="1111"/>
      <c r="AG1187" s="1111"/>
    </row>
    <row r="1188" spans="1:33" s="1295" customFormat="1">
      <c r="A1188" s="1264"/>
      <c r="D1188" s="1118"/>
      <c r="E1188" s="1264"/>
      <c r="F1188" s="1118"/>
      <c r="G1188" s="1118"/>
      <c r="H1188" s="1118"/>
      <c r="I1188" s="1118"/>
      <c r="J1188" s="1118"/>
      <c r="K1188" s="1118"/>
      <c r="L1188" s="1118"/>
      <c r="M1188" s="1118"/>
      <c r="N1188" s="1118"/>
      <c r="O1188" s="1118"/>
      <c r="P1188" s="1118"/>
      <c r="Q1188" s="1111"/>
      <c r="R1188" s="1111"/>
      <c r="S1188" s="1111"/>
      <c r="T1188" s="1111"/>
      <c r="U1188" s="1111"/>
      <c r="V1188" s="1111"/>
      <c r="W1188" s="1111"/>
      <c r="X1188" s="1111"/>
      <c r="Y1188" s="1111"/>
      <c r="Z1188" s="1111"/>
      <c r="AA1188" s="1111"/>
      <c r="AB1188" s="1111"/>
      <c r="AC1188" s="1111"/>
      <c r="AD1188" s="1111"/>
      <c r="AE1188" s="1111"/>
      <c r="AF1188" s="1111"/>
      <c r="AG1188" s="1111"/>
    </row>
    <row r="1189" spans="1:33" s="1295" customFormat="1">
      <c r="A1189" s="1264"/>
      <c r="D1189" s="1118"/>
      <c r="E1189" s="1264"/>
      <c r="F1189" s="1118"/>
      <c r="G1189" s="1118"/>
      <c r="H1189" s="1118"/>
      <c r="I1189" s="1118"/>
      <c r="J1189" s="1118"/>
      <c r="K1189" s="1118"/>
      <c r="L1189" s="1118"/>
      <c r="M1189" s="1118"/>
      <c r="N1189" s="1118"/>
      <c r="O1189" s="1118"/>
      <c r="P1189" s="1118"/>
      <c r="Q1189" s="1111"/>
      <c r="R1189" s="1111"/>
      <c r="S1189" s="1111"/>
      <c r="T1189" s="1111"/>
      <c r="U1189" s="1111"/>
      <c r="V1189" s="1111"/>
      <c r="W1189" s="1111"/>
      <c r="X1189" s="1111"/>
      <c r="Y1189" s="1111"/>
      <c r="Z1189" s="1111"/>
      <c r="AA1189" s="1111"/>
      <c r="AB1189" s="1111"/>
      <c r="AC1189" s="1111"/>
      <c r="AD1189" s="1111"/>
      <c r="AE1189" s="1111"/>
      <c r="AF1189" s="1111"/>
      <c r="AG1189" s="1111"/>
    </row>
    <row r="1190" spans="1:33" s="1295" customFormat="1">
      <c r="A1190" s="1264"/>
      <c r="D1190" s="1118"/>
      <c r="E1190" s="1264"/>
      <c r="F1190" s="1118"/>
      <c r="G1190" s="1118"/>
      <c r="H1190" s="1118"/>
      <c r="I1190" s="1118"/>
      <c r="J1190" s="1118"/>
      <c r="K1190" s="1118"/>
      <c r="L1190" s="1118"/>
      <c r="M1190" s="1118"/>
      <c r="N1190" s="1118"/>
      <c r="O1190" s="1118"/>
      <c r="P1190" s="1118"/>
      <c r="Q1190" s="1111"/>
      <c r="R1190" s="1111"/>
      <c r="S1190" s="1111"/>
      <c r="T1190" s="1111"/>
      <c r="U1190" s="1111"/>
      <c r="V1190" s="1111"/>
      <c r="W1190" s="1111"/>
      <c r="X1190" s="1111"/>
      <c r="Y1190" s="1111"/>
      <c r="Z1190" s="1111"/>
      <c r="AA1190" s="1111"/>
      <c r="AB1190" s="1111"/>
      <c r="AC1190" s="1111"/>
      <c r="AD1190" s="1111"/>
      <c r="AE1190" s="1111"/>
      <c r="AF1190" s="1111"/>
      <c r="AG1190" s="1111"/>
    </row>
    <row r="1191" spans="1:33" s="1295" customFormat="1">
      <c r="A1191" s="1264"/>
      <c r="D1191" s="1118"/>
      <c r="E1191" s="1264"/>
      <c r="F1191" s="1118"/>
      <c r="G1191" s="1118"/>
      <c r="H1191" s="1118"/>
      <c r="I1191" s="1118"/>
      <c r="J1191" s="1118"/>
      <c r="K1191" s="1118"/>
      <c r="L1191" s="1118"/>
      <c r="M1191" s="1118"/>
      <c r="N1191" s="1118"/>
      <c r="O1191" s="1118"/>
      <c r="P1191" s="1118"/>
      <c r="Q1191" s="1111"/>
      <c r="R1191" s="1111"/>
      <c r="S1191" s="1111"/>
      <c r="T1191" s="1111"/>
      <c r="U1191" s="1111"/>
      <c r="V1191" s="1111"/>
      <c r="W1191" s="1111"/>
      <c r="X1191" s="1111"/>
      <c r="Y1191" s="1111"/>
      <c r="Z1191" s="1111"/>
      <c r="AA1191" s="1111"/>
      <c r="AB1191" s="1111"/>
      <c r="AC1191" s="1111"/>
      <c r="AD1191" s="1111"/>
      <c r="AE1191" s="1111"/>
      <c r="AF1191" s="1111"/>
      <c r="AG1191" s="1111"/>
    </row>
    <row r="1192" spans="1:33" s="1295" customFormat="1">
      <c r="A1192" s="1264"/>
      <c r="D1192" s="1118"/>
      <c r="E1192" s="1264"/>
      <c r="F1192" s="1118"/>
      <c r="G1192" s="1118"/>
      <c r="H1192" s="1118"/>
      <c r="I1192" s="1118"/>
      <c r="J1192" s="1118"/>
      <c r="K1192" s="1118"/>
      <c r="L1192" s="1118"/>
      <c r="M1192" s="1118"/>
      <c r="N1192" s="1118"/>
      <c r="O1192" s="1118"/>
      <c r="P1192" s="1118"/>
      <c r="Q1192" s="1111"/>
      <c r="R1192" s="1111"/>
      <c r="S1192" s="1111"/>
      <c r="T1192" s="1111"/>
      <c r="U1192" s="1111"/>
      <c r="V1192" s="1111"/>
      <c r="W1192" s="1111"/>
      <c r="X1192" s="1111"/>
      <c r="Y1192" s="1111"/>
      <c r="Z1192" s="1111"/>
      <c r="AA1192" s="1111"/>
      <c r="AB1192" s="1111"/>
      <c r="AC1192" s="1111"/>
      <c r="AD1192" s="1111"/>
      <c r="AE1192" s="1111"/>
      <c r="AF1192" s="1111"/>
      <c r="AG1192" s="1111"/>
    </row>
    <row r="1193" spans="1:33" s="1295" customFormat="1">
      <c r="A1193" s="1264"/>
      <c r="D1193" s="1118"/>
      <c r="E1193" s="1264"/>
      <c r="F1193" s="1118"/>
      <c r="G1193" s="1118"/>
      <c r="H1193" s="1118"/>
      <c r="I1193" s="1118"/>
      <c r="J1193" s="1118"/>
      <c r="K1193" s="1118"/>
      <c r="L1193" s="1118"/>
      <c r="M1193" s="1118"/>
      <c r="N1193" s="1118"/>
      <c r="O1193" s="1118"/>
      <c r="P1193" s="1118"/>
      <c r="Q1193" s="1111"/>
      <c r="R1193" s="1111"/>
      <c r="S1193" s="1111"/>
      <c r="T1193" s="1111"/>
      <c r="U1193" s="1111"/>
      <c r="V1193" s="1111"/>
      <c r="W1193" s="1111"/>
      <c r="X1193" s="1111"/>
      <c r="Y1193" s="1111"/>
      <c r="Z1193" s="1111"/>
      <c r="AA1193" s="1111"/>
      <c r="AB1193" s="1111"/>
      <c r="AC1193" s="1111"/>
      <c r="AD1193" s="1111"/>
      <c r="AE1193" s="1111"/>
      <c r="AF1193" s="1111"/>
      <c r="AG1193" s="1111"/>
    </row>
    <row r="1194" spans="1:33" s="1295" customFormat="1">
      <c r="A1194" s="1264"/>
      <c r="D1194" s="1118"/>
      <c r="E1194" s="1264"/>
      <c r="F1194" s="1118"/>
      <c r="G1194" s="1118"/>
      <c r="H1194" s="1118"/>
      <c r="I1194" s="1118"/>
      <c r="J1194" s="1118"/>
      <c r="K1194" s="1118"/>
      <c r="L1194" s="1118"/>
      <c r="M1194" s="1118"/>
      <c r="N1194" s="1118"/>
      <c r="O1194" s="1118"/>
      <c r="P1194" s="1118"/>
      <c r="Q1194" s="1111"/>
      <c r="R1194" s="1111"/>
      <c r="S1194" s="1111"/>
      <c r="T1194" s="1111"/>
      <c r="U1194" s="1111"/>
      <c r="V1194" s="1111"/>
      <c r="W1194" s="1111"/>
      <c r="X1194" s="1111"/>
      <c r="Y1194" s="1111"/>
      <c r="Z1194" s="1111"/>
      <c r="AA1194" s="1111"/>
      <c r="AB1194" s="1111"/>
      <c r="AC1194" s="1111"/>
      <c r="AD1194" s="1111"/>
      <c r="AE1194" s="1111"/>
      <c r="AF1194" s="1111"/>
      <c r="AG1194" s="1111"/>
    </row>
    <row r="1195" spans="1:33" s="1295" customFormat="1">
      <c r="A1195" s="1264"/>
      <c r="D1195" s="1118"/>
      <c r="E1195" s="1264"/>
      <c r="F1195" s="1118"/>
      <c r="G1195" s="1118"/>
      <c r="H1195" s="1118"/>
      <c r="I1195" s="1118"/>
      <c r="J1195" s="1118"/>
      <c r="K1195" s="1118"/>
      <c r="L1195" s="1118"/>
      <c r="M1195" s="1118"/>
      <c r="N1195" s="1118"/>
      <c r="O1195" s="1118"/>
      <c r="P1195" s="1118"/>
      <c r="Q1195" s="1111"/>
      <c r="R1195" s="1111"/>
      <c r="S1195" s="1111"/>
      <c r="T1195" s="1111"/>
      <c r="U1195" s="1111"/>
      <c r="V1195" s="1111"/>
      <c r="W1195" s="1111"/>
      <c r="X1195" s="1111"/>
      <c r="Y1195" s="1111"/>
      <c r="Z1195" s="1111"/>
      <c r="AA1195" s="1111"/>
      <c r="AB1195" s="1111"/>
      <c r="AC1195" s="1111"/>
      <c r="AD1195" s="1111"/>
      <c r="AE1195" s="1111"/>
      <c r="AF1195" s="1111"/>
      <c r="AG1195" s="1111"/>
    </row>
    <row r="1196" spans="1:33" s="1295" customFormat="1">
      <c r="A1196" s="1264"/>
      <c r="D1196" s="1118"/>
      <c r="E1196" s="1264"/>
      <c r="F1196" s="1118"/>
      <c r="G1196" s="1118"/>
      <c r="H1196" s="1118"/>
      <c r="I1196" s="1118"/>
      <c r="J1196" s="1118"/>
      <c r="K1196" s="1118"/>
      <c r="L1196" s="1118"/>
      <c r="M1196" s="1118"/>
      <c r="N1196" s="1118"/>
      <c r="O1196" s="1118"/>
      <c r="P1196" s="1118"/>
      <c r="Q1196" s="1111"/>
      <c r="R1196" s="1111"/>
      <c r="S1196" s="1111"/>
      <c r="T1196" s="1111"/>
      <c r="U1196" s="1111"/>
      <c r="V1196" s="1111"/>
      <c r="W1196" s="1111"/>
      <c r="X1196" s="1111"/>
      <c r="Y1196" s="1111"/>
      <c r="Z1196" s="1111"/>
      <c r="AA1196" s="1111"/>
      <c r="AB1196" s="1111"/>
      <c r="AC1196" s="1111"/>
      <c r="AD1196" s="1111"/>
      <c r="AE1196" s="1111"/>
      <c r="AF1196" s="1111"/>
      <c r="AG1196" s="1111"/>
    </row>
    <row r="1197" spans="1:33" s="1295" customFormat="1">
      <c r="A1197" s="1264"/>
      <c r="D1197" s="1118"/>
      <c r="E1197" s="1264"/>
      <c r="F1197" s="1118"/>
      <c r="G1197" s="1118"/>
      <c r="H1197" s="1118"/>
      <c r="I1197" s="1118"/>
      <c r="J1197" s="1118"/>
      <c r="K1197" s="1118"/>
      <c r="L1197" s="1118"/>
      <c r="M1197" s="1118"/>
      <c r="N1197" s="1118"/>
      <c r="O1197" s="1118"/>
      <c r="P1197" s="1118"/>
      <c r="Q1197" s="1111"/>
      <c r="R1197" s="1111"/>
      <c r="S1197" s="1111"/>
      <c r="T1197" s="1111"/>
      <c r="U1197" s="1111"/>
      <c r="V1197" s="1111"/>
      <c r="W1197" s="1111"/>
      <c r="X1197" s="1111"/>
      <c r="Y1197" s="1111"/>
      <c r="Z1197" s="1111"/>
      <c r="AA1197" s="1111"/>
      <c r="AB1197" s="1111"/>
      <c r="AC1197" s="1111"/>
      <c r="AD1197" s="1111"/>
      <c r="AE1197" s="1111"/>
      <c r="AF1197" s="1111"/>
      <c r="AG1197" s="1111"/>
    </row>
    <row r="1198" spans="1:33" s="1295" customFormat="1">
      <c r="A1198" s="1264"/>
      <c r="D1198" s="1118"/>
      <c r="E1198" s="1264"/>
      <c r="F1198" s="1118"/>
      <c r="G1198" s="1118"/>
      <c r="H1198" s="1118"/>
      <c r="I1198" s="1118"/>
      <c r="J1198" s="1118"/>
      <c r="K1198" s="1118"/>
      <c r="L1198" s="1118"/>
      <c r="M1198" s="1118"/>
      <c r="N1198" s="1118"/>
      <c r="O1198" s="1118"/>
      <c r="P1198" s="1118"/>
      <c r="Q1198" s="1111"/>
      <c r="R1198" s="1111"/>
      <c r="S1198" s="1111"/>
      <c r="T1198" s="1111"/>
      <c r="U1198" s="1111"/>
      <c r="V1198" s="1111"/>
      <c r="W1198" s="1111"/>
      <c r="X1198" s="1111"/>
      <c r="Y1198" s="1111"/>
      <c r="Z1198" s="1111"/>
      <c r="AA1198" s="1111"/>
      <c r="AB1198" s="1111"/>
      <c r="AC1198" s="1111"/>
      <c r="AD1198" s="1111"/>
      <c r="AE1198" s="1111"/>
      <c r="AF1198" s="1111"/>
      <c r="AG1198" s="1111"/>
    </row>
    <row r="1199" spans="1:33" s="1295" customFormat="1">
      <c r="A1199" s="1264"/>
      <c r="D1199" s="1118"/>
      <c r="E1199" s="1264"/>
      <c r="F1199" s="1118"/>
      <c r="G1199" s="1118"/>
      <c r="H1199" s="1118"/>
      <c r="I1199" s="1118"/>
      <c r="J1199" s="1118"/>
      <c r="K1199" s="1118"/>
      <c r="L1199" s="1118"/>
      <c r="M1199" s="1118"/>
      <c r="N1199" s="1118"/>
      <c r="O1199" s="1118"/>
      <c r="P1199" s="1118"/>
      <c r="Q1199" s="1111"/>
      <c r="R1199" s="1111"/>
      <c r="S1199" s="1111"/>
      <c r="T1199" s="1111"/>
      <c r="U1199" s="1111"/>
      <c r="V1199" s="1111"/>
      <c r="W1199" s="1111"/>
      <c r="X1199" s="1111"/>
      <c r="Y1199" s="1111"/>
      <c r="Z1199" s="1111"/>
      <c r="AA1199" s="1111"/>
      <c r="AB1199" s="1111"/>
      <c r="AC1199" s="1111"/>
      <c r="AD1199" s="1111"/>
      <c r="AE1199" s="1111"/>
      <c r="AF1199" s="1111"/>
      <c r="AG1199" s="1111"/>
    </row>
    <row r="1200" spans="1:33" s="1295" customFormat="1">
      <c r="A1200" s="1264"/>
      <c r="D1200" s="1118"/>
      <c r="E1200" s="1264"/>
      <c r="F1200" s="1118"/>
      <c r="G1200" s="1118"/>
      <c r="H1200" s="1118"/>
      <c r="I1200" s="1118"/>
      <c r="J1200" s="1118"/>
      <c r="K1200" s="1118"/>
      <c r="L1200" s="1118"/>
      <c r="M1200" s="1118"/>
      <c r="N1200" s="1118"/>
      <c r="O1200" s="1118"/>
      <c r="P1200" s="1118"/>
      <c r="Q1200" s="1111"/>
      <c r="R1200" s="1111"/>
      <c r="S1200" s="1111"/>
      <c r="T1200" s="1111"/>
      <c r="U1200" s="1111"/>
      <c r="V1200" s="1111"/>
      <c r="W1200" s="1111"/>
      <c r="X1200" s="1111"/>
      <c r="Y1200" s="1111"/>
      <c r="Z1200" s="1111"/>
      <c r="AA1200" s="1111"/>
      <c r="AB1200" s="1111"/>
      <c r="AC1200" s="1111"/>
      <c r="AD1200" s="1111"/>
      <c r="AE1200" s="1111"/>
      <c r="AF1200" s="1111"/>
      <c r="AG1200" s="1111"/>
    </row>
    <row r="1201" spans="1:33" s="1295" customFormat="1">
      <c r="A1201" s="1264"/>
      <c r="D1201" s="1118"/>
      <c r="E1201" s="1264"/>
      <c r="F1201" s="1118"/>
      <c r="G1201" s="1118"/>
      <c r="H1201" s="1118"/>
      <c r="I1201" s="1118"/>
      <c r="J1201" s="1118"/>
      <c r="K1201" s="1118"/>
      <c r="L1201" s="1118"/>
      <c r="M1201" s="1118"/>
      <c r="N1201" s="1118"/>
      <c r="O1201" s="1118"/>
      <c r="P1201" s="1118"/>
      <c r="Q1201" s="1111"/>
      <c r="R1201" s="1111"/>
      <c r="S1201" s="1111"/>
      <c r="T1201" s="1111"/>
      <c r="U1201" s="1111"/>
      <c r="V1201" s="1111"/>
      <c r="W1201" s="1111"/>
      <c r="X1201" s="1111"/>
      <c r="Y1201" s="1111"/>
      <c r="Z1201" s="1111"/>
      <c r="AA1201" s="1111"/>
      <c r="AB1201" s="1111"/>
      <c r="AC1201" s="1111"/>
      <c r="AD1201" s="1111"/>
      <c r="AE1201" s="1111"/>
      <c r="AF1201" s="1111"/>
      <c r="AG1201" s="1111"/>
    </row>
    <row r="1202" spans="1:33" s="1295" customFormat="1">
      <c r="A1202" s="1264"/>
      <c r="D1202" s="1118"/>
      <c r="E1202" s="1264"/>
      <c r="F1202" s="1118"/>
      <c r="G1202" s="1118"/>
      <c r="H1202" s="1118"/>
      <c r="I1202" s="1118"/>
      <c r="J1202" s="1118"/>
      <c r="K1202" s="1118"/>
      <c r="L1202" s="1118"/>
      <c r="M1202" s="1118"/>
      <c r="N1202" s="1118"/>
      <c r="O1202" s="1118"/>
      <c r="P1202" s="1118"/>
      <c r="Q1202" s="1111"/>
      <c r="R1202" s="1111"/>
      <c r="S1202" s="1111"/>
      <c r="T1202" s="1111"/>
      <c r="U1202" s="1111"/>
      <c r="V1202" s="1111"/>
      <c r="W1202" s="1111"/>
      <c r="X1202" s="1111"/>
      <c r="Y1202" s="1111"/>
      <c r="Z1202" s="1111"/>
      <c r="AA1202" s="1111"/>
      <c r="AB1202" s="1111"/>
      <c r="AC1202" s="1111"/>
      <c r="AD1202" s="1111"/>
      <c r="AE1202" s="1111"/>
      <c r="AF1202" s="1111"/>
      <c r="AG1202" s="1111"/>
    </row>
    <row r="1203" spans="1:33" s="1295" customFormat="1">
      <c r="A1203" s="1264"/>
      <c r="D1203" s="1118"/>
      <c r="E1203" s="1264"/>
      <c r="F1203" s="1118"/>
      <c r="G1203" s="1118"/>
      <c r="H1203" s="1118"/>
      <c r="I1203" s="1118"/>
      <c r="J1203" s="1118"/>
      <c r="K1203" s="1118"/>
      <c r="L1203" s="1118"/>
      <c r="M1203" s="1118"/>
      <c r="N1203" s="1118"/>
      <c r="O1203" s="1118"/>
      <c r="P1203" s="1118"/>
      <c r="Q1203" s="1111"/>
      <c r="R1203" s="1111"/>
      <c r="S1203" s="1111"/>
      <c r="T1203" s="1111"/>
      <c r="U1203" s="1111"/>
      <c r="V1203" s="1111"/>
      <c r="W1203" s="1111"/>
      <c r="X1203" s="1111"/>
      <c r="Y1203" s="1111"/>
      <c r="Z1203" s="1111"/>
      <c r="AA1203" s="1111"/>
      <c r="AB1203" s="1111"/>
      <c r="AC1203" s="1111"/>
      <c r="AD1203" s="1111"/>
      <c r="AE1203" s="1111"/>
      <c r="AF1203" s="1111"/>
      <c r="AG1203" s="1111"/>
    </row>
    <row r="1204" spans="1:33" s="1295" customFormat="1">
      <c r="A1204" s="1264"/>
      <c r="D1204" s="1118"/>
      <c r="E1204" s="1264"/>
      <c r="F1204" s="1118"/>
      <c r="G1204" s="1118"/>
      <c r="H1204" s="1118"/>
      <c r="I1204" s="1118"/>
      <c r="J1204" s="1118"/>
      <c r="K1204" s="1118"/>
      <c r="L1204" s="1118"/>
      <c r="M1204" s="1118"/>
      <c r="N1204" s="1118"/>
      <c r="O1204" s="1118"/>
      <c r="P1204" s="1118"/>
      <c r="Q1204" s="1111"/>
      <c r="R1204" s="1111"/>
      <c r="S1204" s="1111"/>
      <c r="T1204" s="1111"/>
      <c r="U1204" s="1111"/>
      <c r="V1204" s="1111"/>
      <c r="W1204" s="1111"/>
      <c r="X1204" s="1111"/>
      <c r="Y1204" s="1111"/>
      <c r="Z1204" s="1111"/>
      <c r="AA1204" s="1111"/>
      <c r="AB1204" s="1111"/>
      <c r="AC1204" s="1111"/>
      <c r="AD1204" s="1111"/>
      <c r="AE1204" s="1111"/>
      <c r="AF1204" s="1111"/>
      <c r="AG1204" s="1111"/>
    </row>
    <row r="1205" spans="1:33" s="1295" customFormat="1">
      <c r="A1205" s="1264"/>
      <c r="D1205" s="1118"/>
      <c r="E1205" s="1264"/>
      <c r="F1205" s="1118"/>
      <c r="G1205" s="1118"/>
      <c r="H1205" s="1118"/>
      <c r="I1205" s="1118"/>
      <c r="J1205" s="1118"/>
      <c r="K1205" s="1118"/>
      <c r="L1205" s="1118"/>
      <c r="M1205" s="1118"/>
      <c r="N1205" s="1118"/>
      <c r="O1205" s="1118"/>
      <c r="P1205" s="1118"/>
      <c r="Q1205" s="1111"/>
      <c r="R1205" s="1111"/>
      <c r="S1205" s="1111"/>
      <c r="T1205" s="1111"/>
      <c r="U1205" s="1111"/>
      <c r="V1205" s="1111"/>
      <c r="W1205" s="1111"/>
      <c r="X1205" s="1111"/>
      <c r="Y1205" s="1111"/>
      <c r="Z1205" s="1111"/>
      <c r="AA1205" s="1111"/>
      <c r="AB1205" s="1111"/>
      <c r="AC1205" s="1111"/>
      <c r="AD1205" s="1111"/>
      <c r="AE1205" s="1111"/>
      <c r="AF1205" s="1111"/>
      <c r="AG1205" s="1111"/>
    </row>
    <row r="1206" spans="1:33" s="1295" customFormat="1">
      <c r="A1206" s="1264"/>
      <c r="D1206" s="1118"/>
      <c r="E1206" s="1264"/>
      <c r="F1206" s="1118"/>
      <c r="G1206" s="1118"/>
      <c r="H1206" s="1118"/>
      <c r="I1206" s="1118"/>
      <c r="J1206" s="1118"/>
      <c r="K1206" s="1118"/>
      <c r="L1206" s="1118"/>
      <c r="M1206" s="1118"/>
      <c r="N1206" s="1118"/>
      <c r="O1206" s="1118"/>
      <c r="P1206" s="1118"/>
      <c r="Q1206" s="1111"/>
      <c r="R1206" s="1111"/>
      <c r="S1206" s="1111"/>
      <c r="T1206" s="1111"/>
      <c r="U1206" s="1111"/>
      <c r="V1206" s="1111"/>
      <c r="W1206" s="1111"/>
      <c r="X1206" s="1111"/>
      <c r="Y1206" s="1111"/>
      <c r="Z1206" s="1111"/>
      <c r="AA1206" s="1111"/>
      <c r="AB1206" s="1111"/>
      <c r="AC1206" s="1111"/>
      <c r="AD1206" s="1111"/>
      <c r="AE1206" s="1111"/>
      <c r="AF1206" s="1111"/>
      <c r="AG1206" s="1111"/>
    </row>
    <row r="1207" spans="1:33" s="1295" customFormat="1">
      <c r="A1207" s="1264"/>
      <c r="D1207" s="1118"/>
      <c r="E1207" s="1264"/>
      <c r="F1207" s="1118"/>
      <c r="G1207" s="1118"/>
      <c r="H1207" s="1118"/>
      <c r="I1207" s="1118"/>
      <c r="J1207" s="1118"/>
      <c r="K1207" s="1118"/>
      <c r="L1207" s="1118"/>
      <c r="M1207" s="1118"/>
      <c r="N1207" s="1118"/>
      <c r="O1207" s="1118"/>
      <c r="P1207" s="1118"/>
      <c r="Q1207" s="1111"/>
      <c r="R1207" s="1111"/>
      <c r="S1207" s="1111"/>
      <c r="T1207" s="1111"/>
      <c r="U1207" s="1111"/>
      <c r="V1207" s="1111"/>
      <c r="W1207" s="1111"/>
      <c r="X1207" s="1111"/>
      <c r="Y1207" s="1111"/>
      <c r="Z1207" s="1111"/>
      <c r="AA1207" s="1111"/>
      <c r="AB1207" s="1111"/>
      <c r="AC1207" s="1111"/>
      <c r="AD1207" s="1111"/>
      <c r="AE1207" s="1111"/>
      <c r="AF1207" s="1111"/>
      <c r="AG1207" s="1111"/>
    </row>
    <row r="1208" spans="1:33" s="1295" customFormat="1">
      <c r="A1208" s="1264"/>
      <c r="D1208" s="1118"/>
      <c r="E1208" s="1264"/>
      <c r="F1208" s="1118"/>
      <c r="G1208" s="1118"/>
      <c r="H1208" s="1118"/>
      <c r="I1208" s="1118"/>
      <c r="J1208" s="1118"/>
      <c r="K1208" s="1118"/>
      <c r="L1208" s="1118"/>
      <c r="M1208" s="1118"/>
      <c r="N1208" s="1118"/>
      <c r="O1208" s="1118"/>
      <c r="P1208" s="1118"/>
      <c r="Q1208" s="1111"/>
      <c r="R1208" s="1111"/>
      <c r="S1208" s="1111"/>
      <c r="T1208" s="1111"/>
      <c r="U1208" s="1111"/>
      <c r="V1208" s="1111"/>
      <c r="W1208" s="1111"/>
      <c r="X1208" s="1111"/>
      <c r="Y1208" s="1111"/>
      <c r="Z1208" s="1111"/>
      <c r="AA1208" s="1111"/>
      <c r="AB1208" s="1111"/>
      <c r="AC1208" s="1111"/>
      <c r="AD1208" s="1111"/>
      <c r="AE1208" s="1111"/>
      <c r="AF1208" s="1111"/>
      <c r="AG1208" s="1111"/>
    </row>
    <row r="1209" spans="1:33" s="1295" customFormat="1">
      <c r="A1209" s="1264"/>
      <c r="D1209" s="1118"/>
      <c r="E1209" s="1264"/>
      <c r="F1209" s="1118"/>
      <c r="G1209" s="1118"/>
      <c r="H1209" s="1118"/>
      <c r="I1209" s="1118"/>
      <c r="J1209" s="1118"/>
      <c r="K1209" s="1118"/>
      <c r="L1209" s="1118"/>
      <c r="M1209" s="1118"/>
      <c r="N1209" s="1118"/>
      <c r="O1209" s="1118"/>
      <c r="P1209" s="1118"/>
      <c r="Q1209" s="1111"/>
      <c r="R1209" s="1111"/>
      <c r="S1209" s="1111"/>
      <c r="T1209" s="1111"/>
      <c r="U1209" s="1111"/>
      <c r="V1209" s="1111"/>
      <c r="W1209" s="1111"/>
      <c r="X1209" s="1111"/>
      <c r="Y1209" s="1111"/>
      <c r="Z1209" s="1111"/>
      <c r="AA1209" s="1111"/>
      <c r="AB1209" s="1111"/>
      <c r="AC1209" s="1111"/>
      <c r="AD1209" s="1111"/>
      <c r="AE1209" s="1111"/>
      <c r="AF1209" s="1111"/>
      <c r="AG1209" s="1111"/>
    </row>
    <row r="1210" spans="1:33" s="1295" customFormat="1">
      <c r="A1210" s="1264"/>
      <c r="D1210" s="1118"/>
      <c r="E1210" s="1264"/>
      <c r="F1210" s="1118"/>
      <c r="G1210" s="1118"/>
      <c r="H1210" s="1118"/>
      <c r="I1210" s="1118"/>
      <c r="J1210" s="1118"/>
      <c r="K1210" s="1118"/>
      <c r="L1210" s="1118"/>
      <c r="M1210" s="1118"/>
      <c r="N1210" s="1118"/>
      <c r="O1210" s="1118"/>
      <c r="P1210" s="1118"/>
      <c r="Q1210" s="1111"/>
      <c r="R1210" s="1111"/>
      <c r="S1210" s="1111"/>
      <c r="T1210" s="1111"/>
      <c r="U1210" s="1111"/>
      <c r="V1210" s="1111"/>
      <c r="W1210" s="1111"/>
      <c r="X1210" s="1111"/>
      <c r="Y1210" s="1111"/>
      <c r="Z1210" s="1111"/>
      <c r="AA1210" s="1111"/>
      <c r="AB1210" s="1111"/>
      <c r="AC1210" s="1111"/>
      <c r="AD1210" s="1111"/>
      <c r="AE1210" s="1111"/>
      <c r="AF1210" s="1111"/>
      <c r="AG1210" s="1111"/>
    </row>
    <row r="1211" spans="1:33" s="1295" customFormat="1">
      <c r="A1211" s="1264"/>
      <c r="D1211" s="1118"/>
      <c r="E1211" s="1264"/>
      <c r="F1211" s="1118"/>
      <c r="G1211" s="1118"/>
      <c r="H1211" s="1118"/>
      <c r="I1211" s="1118"/>
      <c r="J1211" s="1118"/>
      <c r="K1211" s="1118"/>
      <c r="L1211" s="1118"/>
      <c r="M1211" s="1118"/>
      <c r="N1211" s="1118"/>
      <c r="O1211" s="1118"/>
      <c r="P1211" s="1118"/>
      <c r="Q1211" s="1111"/>
      <c r="R1211" s="1111"/>
      <c r="S1211" s="1111"/>
      <c r="T1211" s="1111"/>
      <c r="U1211" s="1111"/>
      <c r="V1211" s="1111"/>
      <c r="W1211" s="1111"/>
      <c r="X1211" s="1111"/>
      <c r="Y1211" s="1111"/>
      <c r="Z1211" s="1111"/>
      <c r="AA1211" s="1111"/>
      <c r="AB1211" s="1111"/>
      <c r="AC1211" s="1111"/>
      <c r="AD1211" s="1111"/>
      <c r="AE1211" s="1111"/>
      <c r="AF1211" s="1111"/>
      <c r="AG1211" s="1111"/>
    </row>
    <row r="1212" spans="1:33" s="1295" customFormat="1">
      <c r="A1212" s="1264"/>
      <c r="D1212" s="1118"/>
      <c r="E1212" s="1264"/>
      <c r="F1212" s="1118"/>
      <c r="G1212" s="1118"/>
      <c r="H1212" s="1118"/>
      <c r="I1212" s="1118"/>
      <c r="J1212" s="1118"/>
      <c r="K1212" s="1118"/>
      <c r="L1212" s="1118"/>
      <c r="M1212" s="1118"/>
      <c r="N1212" s="1118"/>
      <c r="O1212" s="1118"/>
      <c r="P1212" s="1118"/>
      <c r="Q1212" s="1111"/>
      <c r="R1212" s="1111"/>
      <c r="S1212" s="1111"/>
      <c r="T1212" s="1111"/>
      <c r="U1212" s="1111"/>
      <c r="V1212" s="1111"/>
      <c r="W1212" s="1111"/>
      <c r="X1212" s="1111"/>
      <c r="Y1212" s="1111"/>
      <c r="Z1212" s="1111"/>
      <c r="AA1212" s="1111"/>
      <c r="AB1212" s="1111"/>
      <c r="AC1212" s="1111"/>
      <c r="AD1212" s="1111"/>
      <c r="AE1212" s="1111"/>
      <c r="AF1212" s="1111"/>
      <c r="AG1212" s="1111"/>
    </row>
    <row r="1213" spans="1:33" s="1295" customFormat="1">
      <c r="A1213" s="1264"/>
      <c r="D1213" s="1118"/>
      <c r="E1213" s="1264"/>
      <c r="F1213" s="1118"/>
      <c r="G1213" s="1118"/>
      <c r="H1213" s="1118"/>
      <c r="I1213" s="1118"/>
      <c r="J1213" s="1118"/>
      <c r="K1213" s="1118"/>
      <c r="L1213" s="1118"/>
      <c r="M1213" s="1118"/>
      <c r="N1213" s="1118"/>
      <c r="O1213" s="1118"/>
      <c r="P1213" s="1118"/>
      <c r="Q1213" s="1111"/>
      <c r="R1213" s="1111"/>
      <c r="S1213" s="1111"/>
      <c r="T1213" s="1111"/>
      <c r="U1213" s="1111"/>
      <c r="V1213" s="1111"/>
      <c r="W1213" s="1111"/>
      <c r="X1213" s="1111"/>
      <c r="Y1213" s="1111"/>
      <c r="Z1213" s="1111"/>
      <c r="AA1213" s="1111"/>
      <c r="AB1213" s="1111"/>
      <c r="AC1213" s="1111"/>
      <c r="AD1213" s="1111"/>
      <c r="AE1213" s="1111"/>
      <c r="AF1213" s="1111"/>
      <c r="AG1213" s="1111"/>
    </row>
    <row r="1214" spans="1:33" s="1295" customFormat="1">
      <c r="A1214" s="1264"/>
      <c r="D1214" s="1118"/>
      <c r="E1214" s="1264"/>
      <c r="F1214" s="1118"/>
      <c r="G1214" s="1118"/>
      <c r="H1214" s="1118"/>
      <c r="I1214" s="1118"/>
      <c r="J1214" s="1118"/>
      <c r="K1214" s="1118"/>
      <c r="L1214" s="1118"/>
      <c r="M1214" s="1118"/>
      <c r="N1214" s="1118"/>
      <c r="O1214" s="1118"/>
      <c r="P1214" s="1118"/>
      <c r="Q1214" s="1111"/>
      <c r="R1214" s="1111"/>
      <c r="S1214" s="1111"/>
      <c r="T1214" s="1111"/>
      <c r="U1214" s="1111"/>
      <c r="V1214" s="1111"/>
      <c r="W1214" s="1111"/>
      <c r="X1214" s="1111"/>
      <c r="Y1214" s="1111"/>
      <c r="Z1214" s="1111"/>
      <c r="AA1214" s="1111"/>
      <c r="AB1214" s="1111"/>
      <c r="AC1214" s="1111"/>
      <c r="AD1214" s="1111"/>
      <c r="AE1214" s="1111"/>
      <c r="AF1214" s="1111"/>
      <c r="AG1214" s="1111"/>
    </row>
    <row r="1215" spans="1:33" s="1295" customFormat="1">
      <c r="A1215" s="1264"/>
      <c r="D1215" s="1118"/>
      <c r="E1215" s="1264"/>
      <c r="F1215" s="1118"/>
      <c r="G1215" s="1118"/>
      <c r="H1215" s="1118"/>
      <c r="I1215" s="1118"/>
      <c r="J1215" s="1118"/>
      <c r="K1215" s="1118"/>
      <c r="L1215" s="1118"/>
      <c r="M1215" s="1118"/>
      <c r="N1215" s="1118"/>
      <c r="O1215" s="1118"/>
      <c r="P1215" s="1118"/>
      <c r="Q1215" s="1111"/>
      <c r="R1215" s="1111"/>
      <c r="S1215" s="1111"/>
      <c r="T1215" s="1111"/>
      <c r="U1215" s="1111"/>
      <c r="V1215" s="1111"/>
      <c r="W1215" s="1111"/>
      <c r="X1215" s="1111"/>
      <c r="Y1215" s="1111"/>
      <c r="Z1215" s="1111"/>
      <c r="AA1215" s="1111"/>
      <c r="AB1215" s="1111"/>
      <c r="AC1215" s="1111"/>
      <c r="AD1215" s="1111"/>
      <c r="AE1215" s="1111"/>
      <c r="AF1215" s="1111"/>
      <c r="AG1215" s="1111"/>
    </row>
    <row r="1216" spans="1:33" s="1295" customFormat="1">
      <c r="A1216" s="1264"/>
      <c r="D1216" s="1118"/>
      <c r="E1216" s="1264"/>
      <c r="F1216" s="1118"/>
      <c r="G1216" s="1118"/>
      <c r="H1216" s="1118"/>
      <c r="I1216" s="1118"/>
      <c r="J1216" s="1118"/>
      <c r="K1216" s="1118"/>
      <c r="L1216" s="1118"/>
      <c r="M1216" s="1118"/>
      <c r="N1216" s="1118"/>
      <c r="O1216" s="1118"/>
      <c r="P1216" s="1118"/>
      <c r="Q1216" s="1111"/>
      <c r="R1216" s="1111"/>
      <c r="S1216" s="1111"/>
      <c r="T1216" s="1111"/>
      <c r="U1216" s="1111"/>
      <c r="V1216" s="1111"/>
      <c r="W1216" s="1111"/>
      <c r="X1216" s="1111"/>
      <c r="Y1216" s="1111"/>
      <c r="Z1216" s="1111"/>
      <c r="AA1216" s="1111"/>
      <c r="AB1216" s="1111"/>
      <c r="AC1216" s="1111"/>
      <c r="AD1216" s="1111"/>
      <c r="AE1216" s="1111"/>
      <c r="AF1216" s="1111"/>
      <c r="AG1216" s="1111"/>
    </row>
    <row r="1217" spans="1:33" s="1295" customFormat="1">
      <c r="A1217" s="1264"/>
      <c r="D1217" s="1118"/>
      <c r="E1217" s="1264"/>
      <c r="F1217" s="1118"/>
      <c r="G1217" s="1118"/>
      <c r="H1217" s="1118"/>
      <c r="I1217" s="1118"/>
      <c r="J1217" s="1118"/>
      <c r="K1217" s="1118"/>
      <c r="L1217" s="1118"/>
      <c r="M1217" s="1118"/>
      <c r="N1217" s="1118"/>
      <c r="O1217" s="1118"/>
      <c r="P1217" s="1118"/>
      <c r="Q1217" s="1111"/>
      <c r="R1217" s="1111"/>
      <c r="S1217" s="1111"/>
      <c r="T1217" s="1111"/>
      <c r="U1217" s="1111"/>
      <c r="V1217" s="1111"/>
      <c r="W1217" s="1111"/>
      <c r="X1217" s="1111"/>
      <c r="Y1217" s="1111"/>
      <c r="Z1217" s="1111"/>
      <c r="AA1217" s="1111"/>
      <c r="AB1217" s="1111"/>
      <c r="AC1217" s="1111"/>
      <c r="AD1217" s="1111"/>
      <c r="AE1217" s="1111"/>
      <c r="AF1217" s="1111"/>
      <c r="AG1217" s="1111"/>
    </row>
    <row r="1218" spans="1:33" s="1295" customFormat="1">
      <c r="A1218" s="1264"/>
      <c r="D1218" s="1118"/>
      <c r="E1218" s="1264"/>
      <c r="F1218" s="1118"/>
      <c r="G1218" s="1118"/>
      <c r="H1218" s="1118"/>
      <c r="I1218" s="1118"/>
      <c r="J1218" s="1118"/>
      <c r="K1218" s="1118"/>
      <c r="L1218" s="1118"/>
      <c r="M1218" s="1118"/>
      <c r="N1218" s="1118"/>
      <c r="O1218" s="1118"/>
      <c r="P1218" s="1118"/>
      <c r="Q1218" s="1111"/>
      <c r="R1218" s="1111"/>
      <c r="S1218" s="1111"/>
      <c r="T1218" s="1111"/>
      <c r="U1218" s="1111"/>
      <c r="V1218" s="1111"/>
      <c r="W1218" s="1111"/>
      <c r="X1218" s="1111"/>
      <c r="Y1218" s="1111"/>
      <c r="Z1218" s="1111"/>
      <c r="AA1218" s="1111"/>
      <c r="AB1218" s="1111"/>
      <c r="AC1218" s="1111"/>
      <c r="AD1218" s="1111"/>
      <c r="AE1218" s="1111"/>
      <c r="AF1218" s="1111"/>
      <c r="AG1218" s="1111"/>
    </row>
    <row r="1219" spans="1:33" s="1295" customFormat="1">
      <c r="A1219" s="1264"/>
      <c r="D1219" s="1118"/>
      <c r="E1219" s="1264"/>
      <c r="F1219" s="1118"/>
      <c r="G1219" s="1118"/>
      <c r="H1219" s="1118"/>
      <c r="I1219" s="1118"/>
      <c r="J1219" s="1118"/>
      <c r="K1219" s="1118"/>
      <c r="L1219" s="1118"/>
      <c r="M1219" s="1118"/>
      <c r="N1219" s="1118"/>
      <c r="O1219" s="1118"/>
      <c r="P1219" s="1118"/>
      <c r="Q1219" s="1111"/>
      <c r="R1219" s="1111"/>
      <c r="S1219" s="1111"/>
      <c r="T1219" s="1111"/>
      <c r="U1219" s="1111"/>
      <c r="V1219" s="1111"/>
      <c r="W1219" s="1111"/>
      <c r="X1219" s="1111"/>
      <c r="Y1219" s="1111"/>
      <c r="Z1219" s="1111"/>
      <c r="AA1219" s="1111"/>
      <c r="AB1219" s="1111"/>
      <c r="AC1219" s="1111"/>
      <c r="AD1219" s="1111"/>
      <c r="AE1219" s="1111"/>
      <c r="AF1219" s="1111"/>
      <c r="AG1219" s="1111"/>
    </row>
    <row r="1220" spans="1:33" s="1295" customFormat="1">
      <c r="A1220" s="1264"/>
      <c r="D1220" s="1118"/>
      <c r="E1220" s="1264"/>
      <c r="F1220" s="1118"/>
      <c r="G1220" s="1118"/>
      <c r="H1220" s="1118"/>
      <c r="I1220" s="1118"/>
      <c r="J1220" s="1118"/>
      <c r="K1220" s="1118"/>
      <c r="L1220" s="1118"/>
      <c r="M1220" s="1118"/>
      <c r="N1220" s="1118"/>
      <c r="O1220" s="1118"/>
      <c r="P1220" s="1118"/>
      <c r="Q1220" s="1111"/>
      <c r="R1220" s="1111"/>
      <c r="S1220" s="1111"/>
      <c r="T1220" s="1111"/>
      <c r="U1220" s="1111"/>
      <c r="V1220" s="1111"/>
      <c r="W1220" s="1111"/>
      <c r="X1220" s="1111"/>
      <c r="Y1220" s="1111"/>
      <c r="Z1220" s="1111"/>
      <c r="AA1220" s="1111"/>
      <c r="AB1220" s="1111"/>
      <c r="AC1220" s="1111"/>
      <c r="AD1220" s="1111"/>
      <c r="AE1220" s="1111"/>
      <c r="AF1220" s="1111"/>
      <c r="AG1220" s="1111"/>
    </row>
    <row r="1221" spans="1:33" s="1295" customFormat="1">
      <c r="A1221" s="1264"/>
      <c r="D1221" s="1118"/>
      <c r="E1221" s="1264"/>
      <c r="F1221" s="1118"/>
      <c r="G1221" s="1118"/>
      <c r="H1221" s="1118"/>
      <c r="I1221" s="1118"/>
      <c r="J1221" s="1118"/>
      <c r="K1221" s="1118"/>
      <c r="L1221" s="1118"/>
      <c r="M1221" s="1118"/>
      <c r="N1221" s="1118"/>
      <c r="O1221" s="1118"/>
      <c r="P1221" s="1118"/>
      <c r="Q1221" s="1111"/>
      <c r="R1221" s="1111"/>
      <c r="S1221" s="1111"/>
      <c r="T1221" s="1111"/>
      <c r="U1221" s="1111"/>
      <c r="V1221" s="1111"/>
      <c r="W1221" s="1111"/>
      <c r="X1221" s="1111"/>
      <c r="Y1221" s="1111"/>
      <c r="Z1221" s="1111"/>
      <c r="AA1221" s="1111"/>
      <c r="AB1221" s="1111"/>
      <c r="AC1221" s="1111"/>
      <c r="AD1221" s="1111"/>
      <c r="AE1221" s="1111"/>
      <c r="AF1221" s="1111"/>
      <c r="AG1221" s="1111"/>
    </row>
    <row r="1222" spans="1:33" s="1295" customFormat="1">
      <c r="A1222" s="1264"/>
      <c r="D1222" s="1118"/>
      <c r="E1222" s="1264"/>
      <c r="F1222" s="1118"/>
      <c r="G1222" s="1118"/>
      <c r="H1222" s="1118"/>
      <c r="I1222" s="1118"/>
      <c r="J1222" s="1118"/>
      <c r="K1222" s="1118"/>
      <c r="L1222" s="1118"/>
      <c r="M1222" s="1118"/>
      <c r="N1222" s="1118"/>
      <c r="O1222" s="1118"/>
      <c r="P1222" s="1118"/>
      <c r="Q1222" s="1111"/>
      <c r="R1222" s="1111"/>
      <c r="S1222" s="1111"/>
      <c r="T1222" s="1111"/>
      <c r="U1222" s="1111"/>
      <c r="V1222" s="1111"/>
      <c r="W1222" s="1111"/>
      <c r="X1222" s="1111"/>
      <c r="Y1222" s="1111"/>
      <c r="Z1222" s="1111"/>
      <c r="AA1222" s="1111"/>
      <c r="AB1222" s="1111"/>
      <c r="AC1222" s="1111"/>
      <c r="AD1222" s="1111"/>
      <c r="AE1222" s="1111"/>
      <c r="AF1222" s="1111"/>
      <c r="AG1222" s="1111"/>
    </row>
    <row r="1223" spans="1:33" s="1295" customFormat="1">
      <c r="A1223" s="1264"/>
      <c r="D1223" s="1118"/>
      <c r="E1223" s="1264"/>
      <c r="F1223" s="1118"/>
      <c r="G1223" s="1118"/>
      <c r="H1223" s="1118"/>
      <c r="I1223" s="1118"/>
      <c r="J1223" s="1118"/>
      <c r="K1223" s="1118"/>
      <c r="L1223" s="1118"/>
      <c r="M1223" s="1118"/>
      <c r="N1223" s="1118"/>
      <c r="O1223" s="1118"/>
      <c r="P1223" s="1118"/>
      <c r="Q1223" s="1111"/>
      <c r="R1223" s="1111"/>
      <c r="S1223" s="1111"/>
      <c r="T1223" s="1111"/>
      <c r="U1223" s="1111"/>
      <c r="V1223" s="1111"/>
      <c r="W1223" s="1111"/>
      <c r="X1223" s="1111"/>
      <c r="Y1223" s="1111"/>
      <c r="Z1223" s="1111"/>
      <c r="AA1223" s="1111"/>
      <c r="AB1223" s="1111"/>
      <c r="AC1223" s="1111"/>
      <c r="AD1223" s="1111"/>
      <c r="AE1223" s="1111"/>
      <c r="AF1223" s="1111"/>
      <c r="AG1223" s="1111"/>
    </row>
    <row r="1224" spans="1:33" s="1295" customFormat="1">
      <c r="A1224" s="1264"/>
      <c r="D1224" s="1118"/>
      <c r="E1224" s="1264"/>
      <c r="F1224" s="1118"/>
      <c r="G1224" s="1118"/>
      <c r="H1224" s="1118"/>
      <c r="I1224" s="1118"/>
      <c r="J1224" s="1118"/>
      <c r="K1224" s="1118"/>
      <c r="L1224" s="1118"/>
      <c r="M1224" s="1118"/>
      <c r="N1224" s="1118"/>
      <c r="O1224" s="1118"/>
      <c r="P1224" s="1118"/>
      <c r="Q1224" s="1111"/>
      <c r="R1224" s="1111"/>
      <c r="S1224" s="1111"/>
      <c r="T1224" s="1111"/>
      <c r="U1224" s="1111"/>
      <c r="V1224" s="1111"/>
      <c r="W1224" s="1111"/>
      <c r="X1224" s="1111"/>
      <c r="Y1224" s="1111"/>
      <c r="Z1224" s="1111"/>
      <c r="AA1224" s="1111"/>
      <c r="AB1224" s="1111"/>
      <c r="AC1224" s="1111"/>
      <c r="AD1224" s="1111"/>
      <c r="AE1224" s="1111"/>
      <c r="AF1224" s="1111"/>
      <c r="AG1224" s="1111"/>
    </row>
    <row r="1225" spans="1:33" s="1295" customFormat="1">
      <c r="A1225" s="1264"/>
      <c r="D1225" s="1118"/>
      <c r="E1225" s="1264"/>
      <c r="F1225" s="1118"/>
      <c r="G1225" s="1118"/>
      <c r="H1225" s="1118"/>
      <c r="I1225" s="1118"/>
      <c r="J1225" s="1118"/>
      <c r="K1225" s="1118"/>
      <c r="L1225" s="1118"/>
      <c r="M1225" s="1118"/>
      <c r="N1225" s="1118"/>
      <c r="O1225" s="1118"/>
      <c r="P1225" s="1118"/>
      <c r="Q1225" s="1111"/>
      <c r="R1225" s="1111"/>
      <c r="S1225" s="1111"/>
      <c r="T1225" s="1111"/>
      <c r="U1225" s="1111"/>
      <c r="V1225" s="1111"/>
      <c r="W1225" s="1111"/>
      <c r="X1225" s="1111"/>
      <c r="Y1225" s="1111"/>
      <c r="Z1225" s="1111"/>
      <c r="AA1225" s="1111"/>
      <c r="AB1225" s="1111"/>
      <c r="AC1225" s="1111"/>
      <c r="AD1225" s="1111"/>
      <c r="AE1225" s="1111"/>
      <c r="AF1225" s="1111"/>
      <c r="AG1225" s="1111"/>
    </row>
    <row r="1226" spans="1:33" s="1295" customFormat="1">
      <c r="A1226" s="1264"/>
      <c r="D1226" s="1118"/>
      <c r="E1226" s="1264"/>
      <c r="F1226" s="1118"/>
      <c r="G1226" s="1118"/>
      <c r="H1226" s="1118"/>
      <c r="I1226" s="1118"/>
      <c r="J1226" s="1118"/>
      <c r="K1226" s="1118"/>
      <c r="L1226" s="1118"/>
      <c r="M1226" s="1118"/>
      <c r="N1226" s="1118"/>
      <c r="O1226" s="1118"/>
      <c r="P1226" s="1118"/>
      <c r="Q1226" s="1111"/>
      <c r="R1226" s="1111"/>
      <c r="S1226" s="1111"/>
      <c r="T1226" s="1111"/>
      <c r="U1226" s="1111"/>
      <c r="V1226" s="1111"/>
      <c r="W1226" s="1111"/>
      <c r="X1226" s="1111"/>
      <c r="Y1226" s="1111"/>
      <c r="Z1226" s="1111"/>
      <c r="AA1226" s="1111"/>
      <c r="AB1226" s="1111"/>
      <c r="AC1226" s="1111"/>
      <c r="AD1226" s="1111"/>
      <c r="AE1226" s="1111"/>
      <c r="AF1226" s="1111"/>
      <c r="AG1226" s="1111"/>
    </row>
    <row r="1227" spans="1:33" s="1295" customFormat="1">
      <c r="A1227" s="1264"/>
      <c r="D1227" s="1118"/>
      <c r="E1227" s="1264"/>
      <c r="F1227" s="1118"/>
      <c r="G1227" s="1118"/>
      <c r="H1227" s="1118"/>
      <c r="I1227" s="1118"/>
      <c r="J1227" s="1118"/>
      <c r="K1227" s="1118"/>
      <c r="L1227" s="1118"/>
      <c r="M1227" s="1118"/>
      <c r="N1227" s="1118"/>
      <c r="O1227" s="1118"/>
      <c r="P1227" s="1118"/>
      <c r="Q1227" s="1111"/>
      <c r="R1227" s="1111"/>
      <c r="S1227" s="1111"/>
      <c r="T1227" s="1111"/>
      <c r="U1227" s="1111"/>
      <c r="V1227" s="1111"/>
      <c r="W1227" s="1111"/>
      <c r="X1227" s="1111"/>
      <c r="Y1227" s="1111"/>
      <c r="Z1227" s="1111"/>
      <c r="AA1227" s="1111"/>
      <c r="AB1227" s="1111"/>
      <c r="AC1227" s="1111"/>
      <c r="AD1227" s="1111"/>
      <c r="AE1227" s="1111"/>
      <c r="AF1227" s="1111"/>
      <c r="AG1227" s="1111"/>
    </row>
    <row r="1228" spans="1:33" s="1295" customFormat="1">
      <c r="A1228" s="1264"/>
      <c r="D1228" s="1118"/>
      <c r="E1228" s="1264"/>
      <c r="F1228" s="1118"/>
      <c r="G1228" s="1118"/>
      <c r="H1228" s="1118"/>
      <c r="I1228" s="1118"/>
      <c r="J1228" s="1118"/>
      <c r="K1228" s="1118"/>
      <c r="L1228" s="1118"/>
      <c r="M1228" s="1118"/>
      <c r="N1228" s="1118"/>
      <c r="O1228" s="1118"/>
      <c r="P1228" s="1118"/>
      <c r="Q1228" s="1111"/>
      <c r="R1228" s="1111"/>
      <c r="S1228" s="1111"/>
      <c r="T1228" s="1111"/>
      <c r="U1228" s="1111"/>
      <c r="V1228" s="1111"/>
      <c r="W1228" s="1111"/>
      <c r="X1228" s="1111"/>
      <c r="Y1228" s="1111"/>
      <c r="Z1228" s="1111"/>
      <c r="AA1228" s="1111"/>
      <c r="AB1228" s="1111"/>
      <c r="AC1228" s="1111"/>
      <c r="AD1228" s="1111"/>
      <c r="AE1228" s="1111"/>
      <c r="AF1228" s="1111"/>
      <c r="AG1228" s="1111"/>
    </row>
    <row r="1229" spans="1:33" s="1295" customFormat="1">
      <c r="A1229" s="1264"/>
      <c r="D1229" s="1118"/>
      <c r="E1229" s="1264"/>
      <c r="F1229" s="1118"/>
      <c r="G1229" s="1118"/>
      <c r="H1229" s="1118"/>
      <c r="I1229" s="1118"/>
      <c r="J1229" s="1118"/>
      <c r="K1229" s="1118"/>
      <c r="L1229" s="1118"/>
      <c r="M1229" s="1118"/>
      <c r="N1229" s="1118"/>
      <c r="O1229" s="1118"/>
      <c r="P1229" s="1118"/>
      <c r="Q1229" s="1111"/>
      <c r="R1229" s="1111"/>
      <c r="S1229" s="1111"/>
      <c r="T1229" s="1111"/>
      <c r="U1229" s="1111"/>
      <c r="V1229" s="1111"/>
      <c r="W1229" s="1111"/>
      <c r="X1229" s="1111"/>
      <c r="Y1229" s="1111"/>
      <c r="Z1229" s="1111"/>
      <c r="AA1229" s="1111"/>
      <c r="AB1229" s="1111"/>
      <c r="AC1229" s="1111"/>
      <c r="AD1229" s="1111"/>
      <c r="AE1229" s="1111"/>
      <c r="AF1229" s="1111"/>
      <c r="AG1229" s="1111"/>
    </row>
    <row r="1230" spans="1:33" s="1295" customFormat="1">
      <c r="A1230" s="1264"/>
      <c r="D1230" s="1118"/>
      <c r="E1230" s="1264"/>
      <c r="F1230" s="1118"/>
      <c r="G1230" s="1118"/>
      <c r="H1230" s="1118"/>
      <c r="I1230" s="1118"/>
      <c r="J1230" s="1118"/>
      <c r="K1230" s="1118"/>
      <c r="L1230" s="1118"/>
      <c r="M1230" s="1118"/>
      <c r="N1230" s="1118"/>
      <c r="O1230" s="1118"/>
      <c r="P1230" s="1118"/>
      <c r="Q1230" s="1111"/>
      <c r="R1230" s="1111"/>
      <c r="S1230" s="1111"/>
      <c r="T1230" s="1111"/>
      <c r="U1230" s="1111"/>
      <c r="V1230" s="1111"/>
      <c r="W1230" s="1111"/>
      <c r="X1230" s="1111"/>
      <c r="Y1230" s="1111"/>
      <c r="Z1230" s="1111"/>
      <c r="AA1230" s="1111"/>
      <c r="AB1230" s="1111"/>
      <c r="AC1230" s="1111"/>
      <c r="AD1230" s="1111"/>
      <c r="AE1230" s="1111"/>
      <c r="AF1230" s="1111"/>
      <c r="AG1230" s="1111"/>
    </row>
    <row r="1231" spans="1:33" s="1295" customFormat="1">
      <c r="A1231" s="1264"/>
      <c r="D1231" s="1118"/>
      <c r="E1231" s="1264"/>
      <c r="F1231" s="1118"/>
      <c r="G1231" s="1118"/>
      <c r="H1231" s="1118"/>
      <c r="I1231" s="1118"/>
      <c r="J1231" s="1118"/>
      <c r="K1231" s="1118"/>
      <c r="L1231" s="1118"/>
      <c r="M1231" s="1118"/>
      <c r="N1231" s="1118"/>
      <c r="O1231" s="1118"/>
      <c r="P1231" s="1118"/>
      <c r="Q1231" s="1111"/>
      <c r="R1231" s="1111"/>
      <c r="S1231" s="1111"/>
      <c r="T1231" s="1111"/>
      <c r="U1231" s="1111"/>
      <c r="V1231" s="1111"/>
      <c r="W1231" s="1111"/>
      <c r="X1231" s="1111"/>
      <c r="Y1231" s="1111"/>
      <c r="Z1231" s="1111"/>
      <c r="AA1231" s="1111"/>
      <c r="AB1231" s="1111"/>
      <c r="AC1231" s="1111"/>
      <c r="AD1231" s="1111"/>
      <c r="AE1231" s="1111"/>
      <c r="AF1231" s="1111"/>
      <c r="AG1231" s="1111"/>
    </row>
    <row r="1232" spans="1:33" s="1295" customFormat="1">
      <c r="A1232" s="1264"/>
      <c r="D1232" s="1118"/>
      <c r="E1232" s="1264"/>
      <c r="F1232" s="1118"/>
      <c r="G1232" s="1118"/>
      <c r="H1232" s="1118"/>
      <c r="I1232" s="1118"/>
      <c r="J1232" s="1118"/>
      <c r="K1232" s="1118"/>
      <c r="L1232" s="1118"/>
      <c r="M1232" s="1118"/>
      <c r="N1232" s="1118"/>
      <c r="O1232" s="1118"/>
      <c r="P1232" s="1118"/>
      <c r="Q1232" s="1111"/>
      <c r="R1232" s="1111"/>
      <c r="S1232" s="1111"/>
      <c r="T1232" s="1111"/>
      <c r="U1232" s="1111"/>
      <c r="V1232" s="1111"/>
      <c r="W1232" s="1111"/>
      <c r="X1232" s="1111"/>
      <c r="Y1232" s="1111"/>
      <c r="Z1232" s="1111"/>
      <c r="AA1232" s="1111"/>
      <c r="AB1232" s="1111"/>
      <c r="AC1232" s="1111"/>
      <c r="AD1232" s="1111"/>
      <c r="AE1232" s="1111"/>
      <c r="AF1232" s="1111"/>
      <c r="AG1232" s="1111"/>
    </row>
    <row r="1233" spans="1:33" s="1295" customFormat="1">
      <c r="A1233" s="1264"/>
      <c r="D1233" s="1118"/>
      <c r="E1233" s="1264"/>
      <c r="F1233" s="1118"/>
      <c r="G1233" s="1118"/>
      <c r="H1233" s="1118"/>
      <c r="I1233" s="1118"/>
      <c r="J1233" s="1118"/>
      <c r="K1233" s="1118"/>
      <c r="L1233" s="1118"/>
      <c r="M1233" s="1118"/>
      <c r="N1233" s="1118"/>
      <c r="O1233" s="1118"/>
      <c r="P1233" s="1118"/>
      <c r="Q1233" s="1111"/>
      <c r="R1233" s="1111"/>
      <c r="S1233" s="1111"/>
      <c r="T1233" s="1111"/>
      <c r="U1233" s="1111"/>
      <c r="V1233" s="1111"/>
      <c r="W1233" s="1111"/>
      <c r="X1233" s="1111"/>
      <c r="Y1233" s="1111"/>
      <c r="Z1233" s="1111"/>
      <c r="AA1233" s="1111"/>
      <c r="AB1233" s="1111"/>
      <c r="AC1233" s="1111"/>
      <c r="AD1233" s="1111"/>
      <c r="AE1233" s="1111"/>
      <c r="AF1233" s="1111"/>
      <c r="AG1233" s="1111"/>
    </row>
    <row r="1234" spans="1:33" s="1295" customFormat="1">
      <c r="A1234" s="1264"/>
      <c r="D1234" s="1118"/>
      <c r="E1234" s="1264"/>
      <c r="F1234" s="1118"/>
      <c r="G1234" s="1118"/>
      <c r="H1234" s="1118"/>
      <c r="I1234" s="1118"/>
      <c r="J1234" s="1118"/>
      <c r="K1234" s="1118"/>
      <c r="L1234" s="1118"/>
      <c r="M1234" s="1118"/>
      <c r="N1234" s="1118"/>
      <c r="O1234" s="1118"/>
      <c r="P1234" s="1118"/>
      <c r="Q1234" s="1111"/>
      <c r="R1234" s="1111"/>
      <c r="S1234" s="1111"/>
      <c r="T1234" s="1111"/>
      <c r="U1234" s="1111"/>
      <c r="V1234" s="1111"/>
      <c r="W1234" s="1111"/>
      <c r="X1234" s="1111"/>
      <c r="Y1234" s="1111"/>
      <c r="Z1234" s="1111"/>
      <c r="AA1234" s="1111"/>
      <c r="AB1234" s="1111"/>
      <c r="AC1234" s="1111"/>
      <c r="AD1234" s="1111"/>
      <c r="AE1234" s="1111"/>
      <c r="AF1234" s="1111"/>
      <c r="AG1234" s="1111"/>
    </row>
    <row r="1235" spans="1:33" s="1295" customFormat="1">
      <c r="A1235" s="1264"/>
      <c r="D1235" s="1118"/>
      <c r="E1235" s="1264"/>
      <c r="F1235" s="1118"/>
      <c r="G1235" s="1118"/>
      <c r="H1235" s="1118"/>
      <c r="I1235" s="1118"/>
      <c r="J1235" s="1118"/>
      <c r="K1235" s="1118"/>
      <c r="L1235" s="1118"/>
      <c r="M1235" s="1118"/>
      <c r="N1235" s="1118"/>
      <c r="O1235" s="1118"/>
      <c r="P1235" s="1118"/>
      <c r="Q1235" s="1111"/>
      <c r="R1235" s="1111"/>
      <c r="S1235" s="1111"/>
      <c r="T1235" s="1111"/>
      <c r="U1235" s="1111"/>
      <c r="V1235" s="1111"/>
      <c r="W1235" s="1111"/>
      <c r="X1235" s="1111"/>
      <c r="Y1235" s="1111"/>
      <c r="Z1235" s="1111"/>
      <c r="AA1235" s="1111"/>
      <c r="AB1235" s="1111"/>
      <c r="AC1235" s="1111"/>
      <c r="AD1235" s="1111"/>
      <c r="AE1235" s="1111"/>
      <c r="AF1235" s="1111"/>
      <c r="AG1235" s="1111"/>
    </row>
    <row r="1236" spans="1:33" s="1295" customFormat="1">
      <c r="A1236" s="1264"/>
      <c r="D1236" s="1118"/>
      <c r="E1236" s="1264"/>
      <c r="F1236" s="1118"/>
      <c r="G1236" s="1118"/>
      <c r="H1236" s="1118"/>
      <c r="I1236" s="1118"/>
      <c r="J1236" s="1118"/>
      <c r="K1236" s="1118"/>
      <c r="L1236" s="1118"/>
      <c r="M1236" s="1118"/>
      <c r="N1236" s="1118"/>
      <c r="O1236" s="1118"/>
      <c r="P1236" s="1118"/>
      <c r="Q1236" s="1111"/>
      <c r="R1236" s="1111"/>
      <c r="S1236" s="1111"/>
      <c r="T1236" s="1111"/>
      <c r="U1236" s="1111"/>
      <c r="V1236" s="1111"/>
      <c r="W1236" s="1111"/>
      <c r="X1236" s="1111"/>
      <c r="Y1236" s="1111"/>
      <c r="Z1236" s="1111"/>
      <c r="AA1236" s="1111"/>
      <c r="AB1236" s="1111"/>
      <c r="AC1236" s="1111"/>
      <c r="AD1236" s="1111"/>
      <c r="AE1236" s="1111"/>
      <c r="AF1236" s="1111"/>
      <c r="AG1236" s="1111"/>
    </row>
    <row r="1237" spans="1:33" s="1295" customFormat="1">
      <c r="A1237" s="1264"/>
      <c r="D1237" s="1118"/>
      <c r="E1237" s="1264"/>
      <c r="F1237" s="1118"/>
      <c r="G1237" s="1118"/>
      <c r="H1237" s="1118"/>
      <c r="I1237" s="1118"/>
      <c r="J1237" s="1118"/>
      <c r="K1237" s="1118"/>
      <c r="L1237" s="1118"/>
      <c r="M1237" s="1118"/>
      <c r="N1237" s="1118"/>
      <c r="O1237" s="1118"/>
      <c r="P1237" s="1118"/>
      <c r="Q1237" s="1111"/>
      <c r="R1237" s="1111"/>
      <c r="S1237" s="1111"/>
      <c r="T1237" s="1111"/>
      <c r="U1237" s="1111"/>
      <c r="V1237" s="1111"/>
      <c r="W1237" s="1111"/>
      <c r="X1237" s="1111"/>
      <c r="Y1237" s="1111"/>
      <c r="Z1237" s="1111"/>
      <c r="AA1237" s="1111"/>
      <c r="AB1237" s="1111"/>
      <c r="AC1237" s="1111"/>
      <c r="AD1237" s="1111"/>
      <c r="AE1237" s="1111"/>
      <c r="AF1237" s="1111"/>
      <c r="AG1237" s="1111"/>
    </row>
    <row r="1238" spans="1:33" s="1295" customFormat="1">
      <c r="A1238" s="1264"/>
      <c r="D1238" s="1118"/>
      <c r="E1238" s="1264"/>
      <c r="F1238" s="1118"/>
      <c r="G1238" s="1118"/>
      <c r="H1238" s="1118"/>
      <c r="I1238" s="1118"/>
      <c r="J1238" s="1118"/>
      <c r="K1238" s="1118"/>
      <c r="L1238" s="1118"/>
      <c r="M1238" s="1118"/>
      <c r="N1238" s="1118"/>
      <c r="O1238" s="1118"/>
      <c r="P1238" s="1118"/>
      <c r="Q1238" s="1111"/>
      <c r="R1238" s="1111"/>
      <c r="S1238" s="1111"/>
      <c r="T1238" s="1111"/>
      <c r="U1238" s="1111"/>
      <c r="V1238" s="1111"/>
      <c r="W1238" s="1111"/>
      <c r="X1238" s="1111"/>
      <c r="Y1238" s="1111"/>
      <c r="Z1238" s="1111"/>
      <c r="AA1238" s="1111"/>
      <c r="AB1238" s="1111"/>
      <c r="AC1238" s="1111"/>
      <c r="AD1238" s="1111"/>
      <c r="AE1238" s="1111"/>
      <c r="AF1238" s="1111"/>
      <c r="AG1238" s="1111"/>
    </row>
    <row r="1239" spans="1:33" s="1295" customFormat="1">
      <c r="A1239" s="1264"/>
      <c r="D1239" s="1118"/>
      <c r="E1239" s="1264"/>
      <c r="F1239" s="1118"/>
      <c r="G1239" s="1118"/>
      <c r="H1239" s="1118"/>
      <c r="I1239" s="1118"/>
      <c r="J1239" s="1118"/>
      <c r="K1239" s="1118"/>
      <c r="L1239" s="1118"/>
      <c r="M1239" s="1118"/>
      <c r="N1239" s="1118"/>
      <c r="O1239" s="1118"/>
      <c r="P1239" s="1118"/>
      <c r="Q1239" s="1111"/>
      <c r="R1239" s="1111"/>
      <c r="S1239" s="1111"/>
      <c r="T1239" s="1111"/>
      <c r="U1239" s="1111"/>
      <c r="V1239" s="1111"/>
      <c r="W1239" s="1111"/>
      <c r="X1239" s="1111"/>
      <c r="Y1239" s="1111"/>
      <c r="Z1239" s="1111"/>
      <c r="AA1239" s="1111"/>
      <c r="AB1239" s="1111"/>
      <c r="AC1239" s="1111"/>
      <c r="AD1239" s="1111"/>
      <c r="AE1239" s="1111"/>
      <c r="AF1239" s="1111"/>
      <c r="AG1239" s="1111"/>
    </row>
    <row r="1240" spans="1:33" s="1295" customFormat="1">
      <c r="A1240" s="1264"/>
      <c r="D1240" s="1118"/>
      <c r="E1240" s="1264"/>
      <c r="F1240" s="1118"/>
      <c r="G1240" s="1118"/>
      <c r="H1240" s="1118"/>
      <c r="I1240" s="1118"/>
      <c r="J1240" s="1118"/>
      <c r="K1240" s="1118"/>
      <c r="L1240" s="1118"/>
      <c r="M1240" s="1118"/>
      <c r="N1240" s="1118"/>
      <c r="O1240" s="1118"/>
      <c r="P1240" s="1118"/>
      <c r="Q1240" s="1111"/>
      <c r="R1240" s="1111"/>
      <c r="S1240" s="1111"/>
      <c r="T1240" s="1111"/>
      <c r="U1240" s="1111"/>
      <c r="V1240" s="1111"/>
      <c r="W1240" s="1111"/>
      <c r="X1240" s="1111"/>
      <c r="Y1240" s="1111"/>
      <c r="Z1240" s="1111"/>
      <c r="AA1240" s="1111"/>
      <c r="AB1240" s="1111"/>
      <c r="AC1240" s="1111"/>
      <c r="AD1240" s="1111"/>
      <c r="AE1240" s="1111"/>
      <c r="AF1240" s="1111"/>
      <c r="AG1240" s="1111"/>
    </row>
    <row r="1241" spans="1:33" s="1295" customFormat="1">
      <c r="A1241" s="1264"/>
      <c r="D1241" s="1118"/>
      <c r="E1241" s="1264"/>
      <c r="F1241" s="1118"/>
      <c r="G1241" s="1118"/>
      <c r="H1241" s="1118"/>
      <c r="I1241" s="1118"/>
      <c r="J1241" s="1118"/>
      <c r="K1241" s="1118"/>
      <c r="L1241" s="1118"/>
      <c r="M1241" s="1118"/>
      <c r="N1241" s="1118"/>
      <c r="O1241" s="1118"/>
      <c r="P1241" s="1118"/>
      <c r="Q1241" s="1111"/>
      <c r="R1241" s="1111"/>
      <c r="S1241" s="1111"/>
      <c r="T1241" s="1111"/>
      <c r="U1241" s="1111"/>
      <c r="V1241" s="1111"/>
      <c r="W1241" s="1111"/>
      <c r="X1241" s="1111"/>
      <c r="Y1241" s="1111"/>
      <c r="Z1241" s="1111"/>
      <c r="AA1241" s="1111"/>
      <c r="AB1241" s="1111"/>
      <c r="AC1241" s="1111"/>
      <c r="AD1241" s="1111"/>
      <c r="AE1241" s="1111"/>
      <c r="AF1241" s="1111"/>
      <c r="AG1241" s="1111"/>
    </row>
    <row r="1242" spans="1:33" s="1295" customFormat="1">
      <c r="A1242" s="1264"/>
      <c r="D1242" s="1118"/>
      <c r="E1242" s="1264"/>
      <c r="F1242" s="1118"/>
      <c r="G1242" s="1118"/>
      <c r="H1242" s="1118"/>
      <c r="I1242" s="1118"/>
      <c r="J1242" s="1118"/>
      <c r="K1242" s="1118"/>
      <c r="L1242" s="1118"/>
      <c r="M1242" s="1118"/>
      <c r="N1242" s="1118"/>
      <c r="O1242" s="1118"/>
      <c r="P1242" s="1118"/>
      <c r="Q1242" s="1111"/>
      <c r="R1242" s="1111"/>
      <c r="S1242" s="1111"/>
      <c r="T1242" s="1111"/>
      <c r="U1242" s="1111"/>
      <c r="V1242" s="1111"/>
      <c r="W1242" s="1111"/>
      <c r="X1242" s="1111"/>
      <c r="Y1242" s="1111"/>
      <c r="Z1242" s="1111"/>
      <c r="AA1242" s="1111"/>
      <c r="AB1242" s="1111"/>
      <c r="AC1242" s="1111"/>
      <c r="AD1242" s="1111"/>
      <c r="AE1242" s="1111"/>
      <c r="AF1242" s="1111"/>
      <c r="AG1242" s="1111"/>
    </row>
    <row r="1243" spans="1:33" s="1295" customFormat="1">
      <c r="A1243" s="1264"/>
      <c r="D1243" s="1118"/>
      <c r="E1243" s="1264"/>
      <c r="F1243" s="1118"/>
      <c r="G1243" s="1118"/>
      <c r="H1243" s="1118"/>
      <c r="I1243" s="1118"/>
      <c r="J1243" s="1118"/>
      <c r="K1243" s="1118"/>
      <c r="L1243" s="1118"/>
      <c r="M1243" s="1118"/>
      <c r="N1243" s="1118"/>
      <c r="O1243" s="1118"/>
      <c r="P1243" s="1118"/>
      <c r="Q1243" s="1111"/>
      <c r="R1243" s="1111"/>
      <c r="S1243" s="1111"/>
      <c r="T1243" s="1111"/>
      <c r="U1243" s="1111"/>
      <c r="V1243" s="1111"/>
      <c r="W1243" s="1111"/>
      <c r="X1243" s="1111"/>
      <c r="Y1243" s="1111"/>
      <c r="Z1243" s="1111"/>
      <c r="AA1243" s="1111"/>
      <c r="AB1243" s="1111"/>
      <c r="AC1243" s="1111"/>
      <c r="AD1243" s="1111"/>
      <c r="AE1243" s="1111"/>
      <c r="AF1243" s="1111"/>
      <c r="AG1243" s="1111"/>
    </row>
    <row r="1244" spans="1:33" s="1295" customFormat="1">
      <c r="A1244" s="1264"/>
      <c r="D1244" s="1118"/>
      <c r="E1244" s="1264"/>
      <c r="F1244" s="1118"/>
      <c r="G1244" s="1118"/>
      <c r="H1244" s="1118"/>
      <c r="I1244" s="1118"/>
      <c r="J1244" s="1118"/>
      <c r="K1244" s="1118"/>
      <c r="L1244" s="1118"/>
      <c r="M1244" s="1118"/>
      <c r="N1244" s="1118"/>
      <c r="O1244" s="1118"/>
      <c r="P1244" s="1118"/>
      <c r="Q1244" s="1111"/>
      <c r="R1244" s="1111"/>
      <c r="S1244" s="1111"/>
      <c r="T1244" s="1111"/>
      <c r="U1244" s="1111"/>
      <c r="V1244" s="1111"/>
      <c r="W1244" s="1111"/>
      <c r="X1244" s="1111"/>
      <c r="Y1244" s="1111"/>
      <c r="Z1244" s="1111"/>
      <c r="AA1244" s="1111"/>
      <c r="AB1244" s="1111"/>
      <c r="AC1244" s="1111"/>
      <c r="AD1244" s="1111"/>
      <c r="AE1244" s="1111"/>
      <c r="AF1244" s="1111"/>
      <c r="AG1244" s="1111"/>
    </row>
    <row r="1245" spans="1:33" s="1295" customFormat="1">
      <c r="A1245" s="1264"/>
      <c r="D1245" s="1118"/>
      <c r="E1245" s="1264"/>
      <c r="F1245" s="1118"/>
      <c r="G1245" s="1118"/>
      <c r="H1245" s="1118"/>
      <c r="I1245" s="1118"/>
      <c r="J1245" s="1118"/>
      <c r="K1245" s="1118"/>
      <c r="L1245" s="1118"/>
      <c r="M1245" s="1118"/>
      <c r="N1245" s="1118"/>
      <c r="O1245" s="1118"/>
      <c r="P1245" s="1118"/>
      <c r="Q1245" s="1111"/>
      <c r="R1245" s="1111"/>
      <c r="S1245" s="1111"/>
      <c r="T1245" s="1111"/>
      <c r="U1245" s="1111"/>
      <c r="V1245" s="1111"/>
      <c r="W1245" s="1111"/>
      <c r="X1245" s="1111"/>
      <c r="Y1245" s="1111"/>
      <c r="Z1245" s="1111"/>
      <c r="AA1245" s="1111"/>
      <c r="AB1245" s="1111"/>
      <c r="AC1245" s="1111"/>
      <c r="AD1245" s="1111"/>
      <c r="AE1245" s="1111"/>
      <c r="AF1245" s="1111"/>
      <c r="AG1245" s="1111"/>
    </row>
    <row r="1246" spans="1:33" s="1295" customFormat="1">
      <c r="A1246" s="1264"/>
      <c r="D1246" s="1118"/>
      <c r="E1246" s="1264"/>
      <c r="F1246" s="1118"/>
      <c r="G1246" s="1118"/>
      <c r="H1246" s="1118"/>
      <c r="I1246" s="1118"/>
      <c r="J1246" s="1118"/>
      <c r="K1246" s="1118"/>
      <c r="L1246" s="1118"/>
      <c r="M1246" s="1118"/>
      <c r="N1246" s="1118"/>
      <c r="O1246" s="1118"/>
      <c r="P1246" s="1118"/>
      <c r="Q1246" s="1111"/>
      <c r="R1246" s="1111"/>
      <c r="S1246" s="1111"/>
      <c r="T1246" s="1111"/>
      <c r="U1246" s="1111"/>
      <c r="V1246" s="1111"/>
      <c r="W1246" s="1111"/>
      <c r="X1246" s="1111"/>
      <c r="Y1246" s="1111"/>
      <c r="Z1246" s="1111"/>
      <c r="AA1246" s="1111"/>
      <c r="AB1246" s="1111"/>
      <c r="AC1246" s="1111"/>
      <c r="AD1246" s="1111"/>
      <c r="AE1246" s="1111"/>
      <c r="AF1246" s="1111"/>
      <c r="AG1246" s="1111"/>
    </row>
    <row r="1247" spans="1:33" s="1295" customFormat="1">
      <c r="A1247" s="1264"/>
      <c r="D1247" s="1118"/>
      <c r="E1247" s="1264"/>
      <c r="F1247" s="1118"/>
      <c r="G1247" s="1118"/>
      <c r="H1247" s="1118"/>
      <c r="I1247" s="1118"/>
      <c r="J1247" s="1118"/>
      <c r="K1247" s="1118"/>
      <c r="L1247" s="1118"/>
      <c r="M1247" s="1118"/>
      <c r="N1247" s="1118"/>
      <c r="O1247" s="1118"/>
      <c r="P1247" s="1118"/>
      <c r="Q1247" s="1111"/>
      <c r="R1247" s="1111"/>
      <c r="S1247" s="1111"/>
      <c r="T1247" s="1111"/>
      <c r="U1247" s="1111"/>
      <c r="V1247" s="1111"/>
      <c r="W1247" s="1111"/>
      <c r="X1247" s="1111"/>
      <c r="Y1247" s="1111"/>
      <c r="Z1247" s="1111"/>
      <c r="AA1247" s="1111"/>
      <c r="AB1247" s="1111"/>
      <c r="AC1247" s="1111"/>
      <c r="AD1247" s="1111"/>
      <c r="AE1247" s="1111"/>
      <c r="AF1247" s="1111"/>
      <c r="AG1247" s="1111"/>
    </row>
    <row r="1248" spans="1:33" s="1295" customFormat="1">
      <c r="A1248" s="1264"/>
      <c r="D1248" s="1118"/>
      <c r="E1248" s="1264"/>
      <c r="F1248" s="1118"/>
      <c r="G1248" s="1118"/>
      <c r="H1248" s="1118"/>
      <c r="I1248" s="1118"/>
      <c r="J1248" s="1118"/>
      <c r="K1248" s="1118"/>
      <c r="L1248" s="1118"/>
      <c r="M1248" s="1118"/>
      <c r="N1248" s="1118"/>
      <c r="O1248" s="1118"/>
      <c r="P1248" s="1118"/>
      <c r="Q1248" s="1111"/>
      <c r="R1248" s="1111"/>
      <c r="S1248" s="1111"/>
      <c r="T1248" s="1111"/>
      <c r="U1248" s="1111"/>
      <c r="V1248" s="1111"/>
      <c r="W1248" s="1111"/>
      <c r="X1248" s="1111"/>
      <c r="Y1248" s="1111"/>
      <c r="Z1248" s="1111"/>
      <c r="AA1248" s="1111"/>
      <c r="AB1248" s="1111"/>
      <c r="AC1248" s="1111"/>
      <c r="AD1248" s="1111"/>
      <c r="AE1248" s="1111"/>
      <c r="AF1248" s="1111"/>
      <c r="AG1248" s="1111"/>
    </row>
    <row r="1249" spans="1:33" s="1295" customFormat="1">
      <c r="A1249" s="1264"/>
      <c r="D1249" s="1118"/>
      <c r="E1249" s="1264"/>
      <c r="F1249" s="1118"/>
      <c r="G1249" s="1118"/>
      <c r="H1249" s="1118"/>
      <c r="I1249" s="1118"/>
      <c r="J1249" s="1118"/>
      <c r="K1249" s="1118"/>
      <c r="L1249" s="1118"/>
      <c r="M1249" s="1118"/>
      <c r="N1249" s="1118"/>
      <c r="O1249" s="1118"/>
      <c r="P1249" s="1118"/>
      <c r="Q1249" s="1111"/>
      <c r="R1249" s="1111"/>
      <c r="S1249" s="1111"/>
      <c r="T1249" s="1111"/>
      <c r="U1249" s="1111"/>
      <c r="V1249" s="1111"/>
      <c r="W1249" s="1111"/>
      <c r="X1249" s="1111"/>
      <c r="Y1249" s="1111"/>
      <c r="Z1249" s="1111"/>
      <c r="AA1249" s="1111"/>
      <c r="AB1249" s="1111"/>
      <c r="AC1249" s="1111"/>
      <c r="AD1249" s="1111"/>
      <c r="AE1249" s="1111"/>
      <c r="AF1249" s="1111"/>
      <c r="AG1249" s="1111"/>
    </row>
    <row r="1250" spans="1:33" s="1295" customFormat="1">
      <c r="A1250" s="1264"/>
      <c r="D1250" s="1118"/>
      <c r="E1250" s="1264"/>
      <c r="F1250" s="1118"/>
      <c r="G1250" s="1118"/>
      <c r="H1250" s="1118"/>
      <c r="I1250" s="1118"/>
      <c r="J1250" s="1118"/>
      <c r="K1250" s="1118"/>
      <c r="L1250" s="1118"/>
      <c r="M1250" s="1118"/>
      <c r="N1250" s="1118"/>
      <c r="O1250" s="1118"/>
      <c r="P1250" s="1118"/>
      <c r="Q1250" s="1111"/>
      <c r="R1250" s="1111"/>
      <c r="S1250" s="1111"/>
      <c r="T1250" s="1111"/>
      <c r="U1250" s="1111"/>
      <c r="V1250" s="1111"/>
      <c r="W1250" s="1111"/>
      <c r="X1250" s="1111"/>
      <c r="Y1250" s="1111"/>
      <c r="Z1250" s="1111"/>
      <c r="AA1250" s="1111"/>
      <c r="AB1250" s="1111"/>
      <c r="AC1250" s="1111"/>
      <c r="AD1250" s="1111"/>
      <c r="AE1250" s="1111"/>
      <c r="AF1250" s="1111"/>
      <c r="AG1250" s="1111"/>
    </row>
    <row r="1251" spans="1:33" s="1295" customFormat="1">
      <c r="A1251" s="1264"/>
      <c r="D1251" s="1118"/>
      <c r="E1251" s="1264"/>
      <c r="F1251" s="1118"/>
      <c r="G1251" s="1118"/>
      <c r="H1251" s="1118"/>
      <c r="I1251" s="1118"/>
      <c r="J1251" s="1118"/>
      <c r="K1251" s="1118"/>
      <c r="L1251" s="1118"/>
      <c r="M1251" s="1118"/>
      <c r="N1251" s="1118"/>
      <c r="O1251" s="1118"/>
      <c r="P1251" s="1118"/>
      <c r="Q1251" s="1111"/>
      <c r="R1251" s="1111"/>
      <c r="S1251" s="1111"/>
      <c r="T1251" s="1111"/>
      <c r="U1251" s="1111"/>
      <c r="V1251" s="1111"/>
      <c r="W1251" s="1111"/>
      <c r="X1251" s="1111"/>
      <c r="Y1251" s="1111"/>
      <c r="Z1251" s="1111"/>
      <c r="AA1251" s="1111"/>
      <c r="AB1251" s="1111"/>
      <c r="AC1251" s="1111"/>
      <c r="AD1251" s="1111"/>
      <c r="AE1251" s="1111"/>
      <c r="AF1251" s="1111"/>
      <c r="AG1251" s="1111"/>
    </row>
    <row r="1252" spans="1:33" s="1295" customFormat="1">
      <c r="A1252" s="1264"/>
      <c r="D1252" s="1118"/>
      <c r="E1252" s="1264"/>
      <c r="F1252" s="1118"/>
      <c r="G1252" s="1118"/>
      <c r="H1252" s="1118"/>
      <c r="I1252" s="1118"/>
      <c r="J1252" s="1118"/>
      <c r="K1252" s="1118"/>
      <c r="L1252" s="1118"/>
      <c r="M1252" s="1118"/>
      <c r="N1252" s="1118"/>
      <c r="O1252" s="1118"/>
      <c r="P1252" s="1118"/>
      <c r="Q1252" s="1111"/>
      <c r="R1252" s="1111"/>
      <c r="S1252" s="1111"/>
      <c r="T1252" s="1111"/>
      <c r="U1252" s="1111"/>
      <c r="V1252" s="1111"/>
      <c r="W1252" s="1111"/>
      <c r="X1252" s="1111"/>
      <c r="Y1252" s="1111"/>
      <c r="Z1252" s="1111"/>
      <c r="AA1252" s="1111"/>
      <c r="AB1252" s="1111"/>
      <c r="AC1252" s="1111"/>
      <c r="AD1252" s="1111"/>
      <c r="AE1252" s="1111"/>
      <c r="AF1252" s="1111"/>
      <c r="AG1252" s="1111"/>
    </row>
    <row r="1253" spans="1:33" s="1295" customFormat="1">
      <c r="A1253" s="1264"/>
      <c r="D1253" s="1118"/>
      <c r="E1253" s="1264"/>
      <c r="F1253" s="1118"/>
      <c r="G1253" s="1118"/>
      <c r="H1253" s="1118"/>
      <c r="I1253" s="1118"/>
      <c r="J1253" s="1118"/>
      <c r="K1253" s="1118"/>
      <c r="L1253" s="1118"/>
      <c r="M1253" s="1118"/>
      <c r="N1253" s="1118"/>
      <c r="O1253" s="1118"/>
      <c r="P1253" s="1118"/>
      <c r="Q1253" s="1111"/>
      <c r="R1253" s="1111"/>
      <c r="S1253" s="1111"/>
      <c r="T1253" s="1111"/>
      <c r="U1253" s="1111"/>
      <c r="V1253" s="1111"/>
      <c r="W1253" s="1111"/>
      <c r="X1253" s="1111"/>
      <c r="Y1253" s="1111"/>
      <c r="Z1253" s="1111"/>
      <c r="AA1253" s="1111"/>
      <c r="AB1253" s="1111"/>
      <c r="AC1253" s="1111"/>
      <c r="AD1253" s="1111"/>
      <c r="AE1253" s="1111"/>
      <c r="AF1253" s="1111"/>
      <c r="AG1253" s="1111"/>
    </row>
    <row r="1254" spans="1:33" s="1295" customFormat="1">
      <c r="A1254" s="1264"/>
      <c r="D1254" s="1118"/>
      <c r="E1254" s="1264"/>
      <c r="F1254" s="1118"/>
      <c r="G1254" s="1118"/>
      <c r="H1254" s="1118"/>
      <c r="I1254" s="1118"/>
      <c r="J1254" s="1118"/>
      <c r="K1254" s="1118"/>
      <c r="L1254" s="1118"/>
      <c r="M1254" s="1118"/>
      <c r="N1254" s="1118"/>
      <c r="O1254" s="1118"/>
      <c r="P1254" s="1118"/>
      <c r="Q1254" s="1111"/>
      <c r="R1254" s="1111"/>
      <c r="S1254" s="1111"/>
      <c r="T1254" s="1111"/>
      <c r="U1254" s="1111"/>
      <c r="V1254" s="1111"/>
      <c r="W1254" s="1111"/>
      <c r="X1254" s="1111"/>
      <c r="Y1254" s="1111"/>
      <c r="Z1254" s="1111"/>
      <c r="AA1254" s="1111"/>
      <c r="AB1254" s="1111"/>
      <c r="AC1254" s="1111"/>
      <c r="AD1254" s="1111"/>
      <c r="AE1254" s="1111"/>
      <c r="AF1254" s="1111"/>
      <c r="AG1254" s="1111"/>
    </row>
    <row r="1255" spans="1:33" s="1295" customFormat="1">
      <c r="A1255" s="1264"/>
      <c r="D1255" s="1118"/>
      <c r="E1255" s="1264"/>
      <c r="F1255" s="1118"/>
      <c r="G1255" s="1118"/>
      <c r="H1255" s="1118"/>
      <c r="I1255" s="1118"/>
      <c r="J1255" s="1118"/>
      <c r="K1255" s="1118"/>
      <c r="L1255" s="1118"/>
      <c r="M1255" s="1118"/>
      <c r="N1255" s="1118"/>
      <c r="O1255" s="1118"/>
      <c r="P1255" s="1118"/>
      <c r="Q1255" s="1111"/>
      <c r="R1255" s="1111"/>
      <c r="S1255" s="1111"/>
      <c r="T1255" s="1111"/>
      <c r="U1255" s="1111"/>
      <c r="V1255" s="1111"/>
      <c r="W1255" s="1111"/>
      <c r="X1255" s="1111"/>
      <c r="Y1255" s="1111"/>
      <c r="Z1255" s="1111"/>
      <c r="AA1255" s="1111"/>
      <c r="AB1255" s="1111"/>
      <c r="AC1255" s="1111"/>
      <c r="AD1255" s="1111"/>
      <c r="AE1255" s="1111"/>
      <c r="AF1255" s="1111"/>
      <c r="AG1255" s="1111"/>
    </row>
    <row r="1256" spans="1:33" s="1295" customFormat="1">
      <c r="A1256" s="1264"/>
      <c r="D1256" s="1118"/>
      <c r="E1256" s="1264"/>
      <c r="F1256" s="1118"/>
      <c r="G1256" s="1118"/>
      <c r="H1256" s="1118"/>
      <c r="I1256" s="1118"/>
      <c r="J1256" s="1118"/>
      <c r="K1256" s="1118"/>
      <c r="L1256" s="1118"/>
      <c r="M1256" s="1118"/>
      <c r="N1256" s="1118"/>
      <c r="O1256" s="1118"/>
      <c r="P1256" s="1118"/>
      <c r="Q1256" s="1111"/>
      <c r="R1256" s="1111"/>
      <c r="S1256" s="1111"/>
      <c r="T1256" s="1111"/>
      <c r="U1256" s="1111"/>
      <c r="V1256" s="1111"/>
      <c r="W1256" s="1111"/>
      <c r="X1256" s="1111"/>
      <c r="Y1256" s="1111"/>
      <c r="Z1256" s="1111"/>
      <c r="AA1256" s="1111"/>
      <c r="AB1256" s="1111"/>
      <c r="AC1256" s="1111"/>
      <c r="AD1256" s="1111"/>
      <c r="AE1256" s="1111"/>
      <c r="AF1256" s="1111"/>
      <c r="AG1256" s="1111"/>
    </row>
    <row r="1257" spans="1:33" s="1295" customFormat="1">
      <c r="A1257" s="1264"/>
      <c r="D1257" s="1118"/>
      <c r="E1257" s="1264"/>
      <c r="F1257" s="1118"/>
      <c r="G1257" s="1118"/>
      <c r="H1257" s="1118"/>
      <c r="I1257" s="1118"/>
      <c r="J1257" s="1118"/>
      <c r="K1257" s="1118"/>
      <c r="L1257" s="1118"/>
      <c r="M1257" s="1118"/>
      <c r="N1257" s="1118"/>
      <c r="O1257" s="1118"/>
      <c r="P1257" s="1118"/>
      <c r="Q1257" s="1111"/>
      <c r="R1257" s="1111"/>
      <c r="S1257" s="1111"/>
      <c r="T1257" s="1111"/>
      <c r="U1257" s="1111"/>
      <c r="V1257" s="1111"/>
      <c r="W1257" s="1111"/>
      <c r="X1257" s="1111"/>
      <c r="Y1257" s="1111"/>
      <c r="Z1257" s="1111"/>
      <c r="AA1257" s="1111"/>
      <c r="AB1257" s="1111"/>
      <c r="AC1257" s="1111"/>
      <c r="AD1257" s="1111"/>
      <c r="AE1257" s="1111"/>
      <c r="AF1257" s="1111"/>
      <c r="AG1257" s="1111"/>
    </row>
    <row r="1258" spans="1:33" s="1295" customFormat="1">
      <c r="A1258" s="1264"/>
      <c r="D1258" s="1118"/>
      <c r="E1258" s="1264"/>
      <c r="F1258" s="1118"/>
      <c r="G1258" s="1118"/>
      <c r="H1258" s="1118"/>
      <c r="I1258" s="1118"/>
      <c r="J1258" s="1118"/>
      <c r="K1258" s="1118"/>
      <c r="L1258" s="1118"/>
      <c r="M1258" s="1118"/>
      <c r="N1258" s="1118"/>
      <c r="O1258" s="1118"/>
      <c r="P1258" s="1118"/>
      <c r="Q1258" s="1111"/>
      <c r="R1258" s="1111"/>
      <c r="S1258" s="1111"/>
      <c r="T1258" s="1111"/>
      <c r="U1258" s="1111"/>
      <c r="V1258" s="1111"/>
      <c r="W1258" s="1111"/>
      <c r="X1258" s="1111"/>
      <c r="Y1258" s="1111"/>
      <c r="Z1258" s="1111"/>
      <c r="AA1258" s="1111"/>
      <c r="AB1258" s="1111"/>
      <c r="AC1258" s="1111"/>
      <c r="AD1258" s="1111"/>
      <c r="AE1258" s="1111"/>
      <c r="AF1258" s="1111"/>
      <c r="AG1258" s="1111"/>
    </row>
    <row r="1259" spans="1:33" s="1295" customFormat="1">
      <c r="A1259" s="1264"/>
      <c r="D1259" s="1118"/>
      <c r="E1259" s="1264"/>
      <c r="F1259" s="1118"/>
      <c r="G1259" s="1118"/>
      <c r="H1259" s="1118"/>
      <c r="I1259" s="1118"/>
      <c r="J1259" s="1118"/>
      <c r="K1259" s="1118"/>
      <c r="L1259" s="1118"/>
      <c r="M1259" s="1118"/>
      <c r="N1259" s="1118"/>
      <c r="O1259" s="1118"/>
      <c r="P1259" s="1118"/>
      <c r="Q1259" s="1111"/>
      <c r="R1259" s="1111"/>
      <c r="S1259" s="1111"/>
      <c r="T1259" s="1111"/>
      <c r="U1259" s="1111"/>
      <c r="V1259" s="1111"/>
      <c r="W1259" s="1111"/>
      <c r="X1259" s="1111"/>
      <c r="Y1259" s="1111"/>
      <c r="Z1259" s="1111"/>
      <c r="AA1259" s="1111"/>
      <c r="AB1259" s="1111"/>
      <c r="AC1259" s="1111"/>
      <c r="AD1259" s="1111"/>
      <c r="AE1259" s="1111"/>
      <c r="AF1259" s="1111"/>
      <c r="AG1259" s="1111"/>
    </row>
    <row r="1260" spans="1:33" s="1295" customFormat="1">
      <c r="A1260" s="1264"/>
      <c r="D1260" s="1118"/>
      <c r="E1260" s="1264"/>
      <c r="F1260" s="1118"/>
      <c r="G1260" s="1118"/>
      <c r="H1260" s="1118"/>
      <c r="I1260" s="1118"/>
      <c r="J1260" s="1118"/>
      <c r="K1260" s="1118"/>
      <c r="L1260" s="1118"/>
      <c r="M1260" s="1118"/>
      <c r="N1260" s="1118"/>
      <c r="O1260" s="1118"/>
      <c r="P1260" s="1118"/>
      <c r="Q1260" s="1111"/>
      <c r="R1260" s="1111"/>
      <c r="S1260" s="1111"/>
      <c r="T1260" s="1111"/>
      <c r="U1260" s="1111"/>
      <c r="V1260" s="1111"/>
      <c r="W1260" s="1111"/>
      <c r="X1260" s="1111"/>
      <c r="Y1260" s="1111"/>
      <c r="Z1260" s="1111"/>
      <c r="AA1260" s="1111"/>
      <c r="AB1260" s="1111"/>
      <c r="AC1260" s="1111"/>
      <c r="AD1260" s="1111"/>
      <c r="AE1260" s="1111"/>
      <c r="AF1260" s="1111"/>
      <c r="AG1260" s="1111"/>
    </row>
    <row r="1261" spans="1:33" s="1295" customFormat="1">
      <c r="A1261" s="1264"/>
      <c r="D1261" s="1118"/>
      <c r="E1261" s="1264"/>
      <c r="F1261" s="1118"/>
      <c r="G1261" s="1118"/>
      <c r="H1261" s="1118"/>
      <c r="I1261" s="1118"/>
      <c r="J1261" s="1118"/>
      <c r="K1261" s="1118"/>
      <c r="L1261" s="1118"/>
      <c r="M1261" s="1118"/>
      <c r="N1261" s="1118"/>
      <c r="O1261" s="1118"/>
      <c r="P1261" s="1118"/>
      <c r="Q1261" s="1111"/>
      <c r="R1261" s="1111"/>
      <c r="S1261" s="1111"/>
      <c r="T1261" s="1111"/>
      <c r="U1261" s="1111"/>
      <c r="V1261" s="1111"/>
      <c r="W1261" s="1111"/>
      <c r="X1261" s="1111"/>
      <c r="Y1261" s="1111"/>
      <c r="Z1261" s="1111"/>
      <c r="AA1261" s="1111"/>
      <c r="AB1261" s="1111"/>
      <c r="AC1261" s="1111"/>
      <c r="AD1261" s="1111"/>
      <c r="AE1261" s="1111"/>
      <c r="AF1261" s="1111"/>
      <c r="AG1261" s="1111"/>
    </row>
    <row r="1262" spans="1:33" s="1295" customFormat="1">
      <c r="A1262" s="1264"/>
      <c r="D1262" s="1118"/>
      <c r="E1262" s="1264"/>
      <c r="F1262" s="1118"/>
      <c r="G1262" s="1118"/>
      <c r="H1262" s="1118"/>
      <c r="I1262" s="1118"/>
      <c r="J1262" s="1118"/>
      <c r="K1262" s="1118"/>
      <c r="L1262" s="1118"/>
      <c r="M1262" s="1118"/>
      <c r="N1262" s="1118"/>
      <c r="O1262" s="1118"/>
      <c r="P1262" s="1118"/>
      <c r="Q1262" s="1111"/>
      <c r="R1262" s="1111"/>
      <c r="S1262" s="1111"/>
      <c r="T1262" s="1111"/>
      <c r="U1262" s="1111"/>
      <c r="V1262" s="1111"/>
      <c r="W1262" s="1111"/>
      <c r="X1262" s="1111"/>
      <c r="Y1262" s="1111"/>
      <c r="Z1262" s="1111"/>
      <c r="AA1262" s="1111"/>
      <c r="AB1262" s="1111"/>
      <c r="AC1262" s="1111"/>
      <c r="AD1262" s="1111"/>
      <c r="AE1262" s="1111"/>
      <c r="AF1262" s="1111"/>
      <c r="AG1262" s="1111"/>
    </row>
    <row r="1263" spans="1:33" s="1295" customFormat="1">
      <c r="A1263" s="1264"/>
      <c r="D1263" s="1118"/>
      <c r="E1263" s="1264"/>
      <c r="F1263" s="1118"/>
      <c r="G1263" s="1118"/>
      <c r="H1263" s="1118"/>
      <c r="I1263" s="1118"/>
      <c r="J1263" s="1118"/>
      <c r="K1263" s="1118"/>
      <c r="L1263" s="1118"/>
      <c r="M1263" s="1118"/>
      <c r="N1263" s="1118"/>
      <c r="O1263" s="1118"/>
      <c r="P1263" s="1118"/>
      <c r="Q1263" s="1111"/>
      <c r="R1263" s="1111"/>
      <c r="S1263" s="1111"/>
      <c r="T1263" s="1111"/>
      <c r="U1263" s="1111"/>
      <c r="V1263" s="1111"/>
      <c r="W1263" s="1111"/>
      <c r="X1263" s="1111"/>
      <c r="Y1263" s="1111"/>
      <c r="Z1263" s="1111"/>
      <c r="AA1263" s="1111"/>
      <c r="AB1263" s="1111"/>
      <c r="AC1263" s="1111"/>
      <c r="AD1263" s="1111"/>
      <c r="AE1263" s="1111"/>
      <c r="AF1263" s="1111"/>
      <c r="AG1263" s="1111"/>
    </row>
    <row r="1264" spans="1:33" s="1295" customFormat="1">
      <c r="A1264" s="1264"/>
      <c r="D1264" s="1118"/>
      <c r="E1264" s="1264"/>
      <c r="F1264" s="1118"/>
      <c r="G1264" s="1118"/>
      <c r="H1264" s="1118"/>
      <c r="I1264" s="1118"/>
      <c r="J1264" s="1118"/>
      <c r="K1264" s="1118"/>
      <c r="L1264" s="1118"/>
      <c r="M1264" s="1118"/>
      <c r="N1264" s="1118"/>
      <c r="O1264" s="1118"/>
      <c r="P1264" s="1118"/>
      <c r="Q1264" s="1111"/>
      <c r="R1264" s="1111"/>
      <c r="S1264" s="1111"/>
      <c r="T1264" s="1111"/>
      <c r="U1264" s="1111"/>
      <c r="V1264" s="1111"/>
      <c r="W1264" s="1111"/>
      <c r="X1264" s="1111"/>
      <c r="Y1264" s="1111"/>
      <c r="Z1264" s="1111"/>
      <c r="AA1264" s="1111"/>
      <c r="AB1264" s="1111"/>
      <c r="AC1264" s="1111"/>
      <c r="AD1264" s="1111"/>
      <c r="AE1264" s="1111"/>
      <c r="AF1264" s="1111"/>
      <c r="AG1264" s="1111"/>
    </row>
    <row r="1265" spans="1:33" s="1295" customFormat="1">
      <c r="A1265" s="1264"/>
      <c r="D1265" s="1118"/>
      <c r="E1265" s="1264"/>
      <c r="F1265" s="1118"/>
      <c r="G1265" s="1118"/>
      <c r="H1265" s="1118"/>
      <c r="I1265" s="1118"/>
      <c r="J1265" s="1118"/>
      <c r="K1265" s="1118"/>
      <c r="L1265" s="1118"/>
      <c r="M1265" s="1118"/>
      <c r="N1265" s="1118"/>
      <c r="O1265" s="1118"/>
      <c r="P1265" s="1118"/>
      <c r="Q1265" s="1111"/>
      <c r="R1265" s="1111"/>
      <c r="S1265" s="1111"/>
      <c r="T1265" s="1111"/>
      <c r="U1265" s="1111"/>
      <c r="V1265" s="1111"/>
      <c r="W1265" s="1111"/>
      <c r="X1265" s="1111"/>
      <c r="Y1265" s="1111"/>
      <c r="Z1265" s="1111"/>
      <c r="AA1265" s="1111"/>
      <c r="AB1265" s="1111"/>
      <c r="AC1265" s="1111"/>
      <c r="AD1265" s="1111"/>
      <c r="AE1265" s="1111"/>
      <c r="AF1265" s="1111"/>
      <c r="AG1265" s="1111"/>
    </row>
    <row r="1266" spans="1:33" s="1295" customFormat="1">
      <c r="A1266" s="1264"/>
      <c r="D1266" s="1118"/>
      <c r="E1266" s="1264"/>
      <c r="F1266" s="1118"/>
      <c r="G1266" s="1118"/>
      <c r="H1266" s="1118"/>
      <c r="I1266" s="1118"/>
      <c r="J1266" s="1118"/>
      <c r="K1266" s="1118"/>
      <c r="L1266" s="1118"/>
      <c r="M1266" s="1118"/>
      <c r="N1266" s="1118"/>
      <c r="O1266" s="1118"/>
      <c r="P1266" s="1118"/>
      <c r="Q1266" s="1111"/>
      <c r="R1266" s="1111"/>
      <c r="S1266" s="1111"/>
      <c r="T1266" s="1111"/>
      <c r="U1266" s="1111"/>
      <c r="V1266" s="1111"/>
      <c r="W1266" s="1111"/>
      <c r="X1266" s="1111"/>
      <c r="Y1266" s="1111"/>
      <c r="Z1266" s="1111"/>
      <c r="AA1266" s="1111"/>
      <c r="AB1266" s="1111"/>
      <c r="AC1266" s="1111"/>
      <c r="AD1266" s="1111"/>
      <c r="AE1266" s="1111"/>
      <c r="AF1266" s="1111"/>
      <c r="AG1266" s="1111"/>
    </row>
    <row r="1267" spans="1:33" s="1295" customFormat="1">
      <c r="A1267" s="1264"/>
      <c r="D1267" s="1118"/>
      <c r="E1267" s="1264"/>
      <c r="F1267" s="1118"/>
      <c r="G1267" s="1118"/>
      <c r="H1267" s="1118"/>
      <c r="I1267" s="1118"/>
      <c r="J1267" s="1118"/>
      <c r="K1267" s="1118"/>
      <c r="L1267" s="1118"/>
      <c r="M1267" s="1118"/>
      <c r="N1267" s="1118"/>
      <c r="O1267" s="1118"/>
      <c r="P1267" s="1118"/>
      <c r="Q1267" s="1111"/>
      <c r="R1267" s="1111"/>
      <c r="S1267" s="1111"/>
      <c r="T1267" s="1111"/>
      <c r="U1267" s="1111"/>
      <c r="V1267" s="1111"/>
      <c r="W1267" s="1111"/>
      <c r="X1267" s="1111"/>
      <c r="Y1267" s="1111"/>
      <c r="Z1267" s="1111"/>
      <c r="AA1267" s="1111"/>
      <c r="AB1267" s="1111"/>
      <c r="AC1267" s="1111"/>
      <c r="AD1267" s="1111"/>
      <c r="AE1267" s="1111"/>
      <c r="AF1267" s="1111"/>
      <c r="AG1267" s="1111"/>
    </row>
    <row r="1268" spans="1:33" s="1295" customFormat="1">
      <c r="A1268" s="1264"/>
      <c r="D1268" s="1118"/>
      <c r="E1268" s="1264"/>
      <c r="F1268" s="1118"/>
      <c r="G1268" s="1118"/>
      <c r="H1268" s="1118"/>
      <c r="I1268" s="1118"/>
      <c r="J1268" s="1118"/>
      <c r="K1268" s="1118"/>
      <c r="L1268" s="1118"/>
      <c r="M1268" s="1118"/>
      <c r="N1268" s="1118"/>
      <c r="O1268" s="1118"/>
      <c r="P1268" s="1118"/>
      <c r="Q1268" s="1111"/>
      <c r="R1268" s="1111"/>
      <c r="S1268" s="1111"/>
      <c r="T1268" s="1111"/>
      <c r="U1268" s="1111"/>
      <c r="V1268" s="1111"/>
      <c r="W1268" s="1111"/>
      <c r="X1268" s="1111"/>
      <c r="Y1268" s="1111"/>
      <c r="Z1268" s="1111"/>
      <c r="AA1268" s="1111"/>
      <c r="AB1268" s="1111"/>
      <c r="AC1268" s="1111"/>
      <c r="AD1268" s="1111"/>
      <c r="AE1268" s="1111"/>
      <c r="AF1268" s="1111"/>
      <c r="AG1268" s="1111"/>
    </row>
    <row r="1269" spans="1:33" s="1295" customFormat="1">
      <c r="A1269" s="1264"/>
      <c r="D1269" s="1118"/>
      <c r="E1269" s="1264"/>
      <c r="F1269" s="1118"/>
      <c r="G1269" s="1118"/>
      <c r="H1269" s="1118"/>
      <c r="I1269" s="1118"/>
      <c r="J1269" s="1118"/>
      <c r="K1269" s="1118"/>
      <c r="L1269" s="1118"/>
      <c r="M1269" s="1118"/>
      <c r="N1269" s="1118"/>
      <c r="O1269" s="1118"/>
      <c r="P1269" s="1118"/>
      <c r="Q1269" s="1111"/>
      <c r="R1269" s="1111"/>
      <c r="S1269" s="1111"/>
      <c r="T1269" s="1111"/>
      <c r="U1269" s="1111"/>
      <c r="V1269" s="1111"/>
      <c r="W1269" s="1111"/>
      <c r="X1269" s="1111"/>
      <c r="Y1269" s="1111"/>
      <c r="Z1269" s="1111"/>
      <c r="AA1269" s="1111"/>
      <c r="AB1269" s="1111"/>
      <c r="AC1269" s="1111"/>
      <c r="AD1269" s="1111"/>
      <c r="AE1269" s="1111"/>
      <c r="AF1269" s="1111"/>
      <c r="AG1269" s="1111"/>
    </row>
    <row r="1270" spans="1:33" s="1295" customFormat="1">
      <c r="A1270" s="1264"/>
      <c r="D1270" s="1118"/>
      <c r="E1270" s="1264"/>
      <c r="F1270" s="1118"/>
      <c r="G1270" s="1118"/>
      <c r="H1270" s="1118"/>
      <c r="I1270" s="1118"/>
      <c r="J1270" s="1118"/>
      <c r="K1270" s="1118"/>
      <c r="L1270" s="1118"/>
      <c r="M1270" s="1118"/>
      <c r="N1270" s="1118"/>
      <c r="O1270" s="1118"/>
      <c r="P1270" s="1118"/>
      <c r="Q1270" s="1111"/>
      <c r="R1270" s="1111"/>
      <c r="S1270" s="1111"/>
      <c r="T1270" s="1111"/>
      <c r="U1270" s="1111"/>
      <c r="V1270" s="1111"/>
      <c r="W1270" s="1111"/>
      <c r="X1270" s="1111"/>
      <c r="Y1270" s="1111"/>
      <c r="Z1270" s="1111"/>
      <c r="AA1270" s="1111"/>
      <c r="AB1270" s="1111"/>
      <c r="AC1270" s="1111"/>
      <c r="AD1270" s="1111"/>
      <c r="AE1270" s="1111"/>
      <c r="AF1270" s="1111"/>
      <c r="AG1270" s="1111"/>
    </row>
    <row r="1271" spans="1:33" s="1295" customFormat="1">
      <c r="A1271" s="1264"/>
      <c r="D1271" s="1118"/>
      <c r="E1271" s="1264"/>
      <c r="F1271" s="1118"/>
      <c r="G1271" s="1118"/>
      <c r="H1271" s="1118"/>
      <c r="I1271" s="1118"/>
      <c r="J1271" s="1118"/>
      <c r="K1271" s="1118"/>
      <c r="L1271" s="1118"/>
      <c r="M1271" s="1118"/>
      <c r="N1271" s="1118"/>
      <c r="O1271" s="1118"/>
      <c r="P1271" s="1118"/>
      <c r="Q1271" s="1111"/>
      <c r="R1271" s="1111"/>
      <c r="S1271" s="1111"/>
      <c r="T1271" s="1111"/>
      <c r="U1271" s="1111"/>
      <c r="V1271" s="1111"/>
      <c r="W1271" s="1111"/>
      <c r="X1271" s="1111"/>
      <c r="Y1271" s="1111"/>
      <c r="Z1271" s="1111"/>
      <c r="AA1271" s="1111"/>
      <c r="AB1271" s="1111"/>
      <c r="AC1271" s="1111"/>
      <c r="AD1271" s="1111"/>
      <c r="AE1271" s="1111"/>
      <c r="AF1271" s="1111"/>
      <c r="AG1271" s="1111"/>
    </row>
    <row r="1272" spans="1:33" s="1295" customFormat="1">
      <c r="A1272" s="1264"/>
      <c r="D1272" s="1118"/>
      <c r="E1272" s="1264"/>
      <c r="F1272" s="1118"/>
      <c r="G1272" s="1118"/>
      <c r="H1272" s="1118"/>
      <c r="I1272" s="1118"/>
      <c r="J1272" s="1118"/>
      <c r="K1272" s="1118"/>
      <c r="L1272" s="1118"/>
      <c r="M1272" s="1118"/>
      <c r="N1272" s="1118"/>
      <c r="O1272" s="1118"/>
      <c r="P1272" s="1118"/>
      <c r="Q1272" s="1111"/>
      <c r="R1272" s="1111"/>
      <c r="S1272" s="1111"/>
      <c r="T1272" s="1111"/>
      <c r="U1272" s="1111"/>
      <c r="V1272" s="1111"/>
      <c r="W1272" s="1111"/>
      <c r="X1272" s="1111"/>
      <c r="Y1272" s="1111"/>
      <c r="Z1272" s="1111"/>
      <c r="AA1272" s="1111"/>
      <c r="AB1272" s="1111"/>
      <c r="AC1272" s="1111"/>
      <c r="AD1272" s="1111"/>
      <c r="AE1272" s="1111"/>
      <c r="AF1272" s="1111"/>
      <c r="AG1272" s="1111"/>
    </row>
    <row r="1273" spans="1:33" s="1295" customFormat="1">
      <c r="A1273" s="1264"/>
      <c r="D1273" s="1118"/>
      <c r="E1273" s="1264"/>
      <c r="F1273" s="1118"/>
      <c r="G1273" s="1118"/>
      <c r="H1273" s="1118"/>
      <c r="I1273" s="1118"/>
      <c r="J1273" s="1118"/>
      <c r="K1273" s="1118"/>
      <c r="L1273" s="1118"/>
      <c r="M1273" s="1118"/>
      <c r="N1273" s="1118"/>
      <c r="O1273" s="1118"/>
      <c r="P1273" s="1118"/>
      <c r="Q1273" s="1111"/>
      <c r="R1273" s="1111"/>
      <c r="S1273" s="1111"/>
      <c r="T1273" s="1111"/>
      <c r="U1273" s="1111"/>
      <c r="V1273" s="1111"/>
      <c r="W1273" s="1111"/>
      <c r="X1273" s="1111"/>
      <c r="Y1273" s="1111"/>
      <c r="Z1273" s="1111"/>
      <c r="AA1273" s="1111"/>
      <c r="AB1273" s="1111"/>
      <c r="AC1273" s="1111"/>
      <c r="AD1273" s="1111"/>
      <c r="AE1273" s="1111"/>
      <c r="AF1273" s="1111"/>
      <c r="AG1273" s="1111"/>
    </row>
    <row r="1274" spans="1:33" s="1295" customFormat="1">
      <c r="A1274" s="1264"/>
      <c r="D1274" s="1118"/>
      <c r="E1274" s="1264"/>
      <c r="F1274" s="1118"/>
      <c r="G1274" s="1118"/>
      <c r="H1274" s="1118"/>
      <c r="I1274" s="1118"/>
      <c r="J1274" s="1118"/>
      <c r="K1274" s="1118"/>
      <c r="L1274" s="1118"/>
      <c r="M1274" s="1118"/>
      <c r="N1274" s="1118"/>
      <c r="O1274" s="1118"/>
      <c r="P1274" s="1118"/>
      <c r="Q1274" s="1111"/>
      <c r="R1274" s="1111"/>
      <c r="S1274" s="1111"/>
      <c r="T1274" s="1111"/>
      <c r="U1274" s="1111"/>
      <c r="V1274" s="1111"/>
      <c r="W1274" s="1111"/>
      <c r="X1274" s="1111"/>
      <c r="Y1274" s="1111"/>
      <c r="Z1274" s="1111"/>
      <c r="AA1274" s="1111"/>
      <c r="AB1274" s="1111"/>
      <c r="AC1274" s="1111"/>
      <c r="AD1274" s="1111"/>
      <c r="AE1274" s="1111"/>
      <c r="AF1274" s="1111"/>
      <c r="AG1274" s="1111"/>
    </row>
    <row r="1275" spans="1:33" s="1295" customFormat="1">
      <c r="A1275" s="1264"/>
      <c r="D1275" s="1118"/>
      <c r="E1275" s="1264"/>
      <c r="F1275" s="1118"/>
      <c r="G1275" s="1118"/>
      <c r="H1275" s="1118"/>
      <c r="I1275" s="1118"/>
      <c r="J1275" s="1118"/>
      <c r="K1275" s="1118"/>
      <c r="L1275" s="1118"/>
      <c r="M1275" s="1118"/>
      <c r="N1275" s="1118"/>
      <c r="O1275" s="1118"/>
      <c r="P1275" s="1118"/>
      <c r="Q1275" s="1111"/>
      <c r="R1275" s="1111"/>
      <c r="S1275" s="1111"/>
      <c r="T1275" s="1111"/>
      <c r="U1275" s="1111"/>
      <c r="V1275" s="1111"/>
      <c r="W1275" s="1111"/>
      <c r="X1275" s="1111"/>
      <c r="Y1275" s="1111"/>
      <c r="Z1275" s="1111"/>
      <c r="AA1275" s="1111"/>
      <c r="AB1275" s="1111"/>
      <c r="AC1275" s="1111"/>
      <c r="AD1275" s="1111"/>
      <c r="AE1275" s="1111"/>
      <c r="AF1275" s="1111"/>
      <c r="AG1275" s="1111"/>
    </row>
    <row r="1276" spans="1:33" s="1295" customFormat="1">
      <c r="A1276" s="1264"/>
      <c r="D1276" s="1118"/>
      <c r="E1276" s="1264"/>
      <c r="F1276" s="1118"/>
      <c r="G1276" s="1118"/>
      <c r="H1276" s="1118"/>
      <c r="I1276" s="1118"/>
      <c r="J1276" s="1118"/>
      <c r="K1276" s="1118"/>
      <c r="L1276" s="1118"/>
      <c r="M1276" s="1118"/>
      <c r="N1276" s="1118"/>
      <c r="O1276" s="1118"/>
      <c r="P1276" s="1118"/>
      <c r="Q1276" s="1111"/>
      <c r="R1276" s="1111"/>
      <c r="S1276" s="1111"/>
      <c r="T1276" s="1111"/>
      <c r="U1276" s="1111"/>
      <c r="V1276" s="1111"/>
      <c r="W1276" s="1111"/>
      <c r="X1276" s="1111"/>
      <c r="Y1276" s="1111"/>
      <c r="Z1276" s="1111"/>
      <c r="AA1276" s="1111"/>
      <c r="AB1276" s="1111"/>
      <c r="AC1276" s="1111"/>
      <c r="AD1276" s="1111"/>
      <c r="AE1276" s="1111"/>
      <c r="AF1276" s="1111"/>
      <c r="AG1276" s="1111"/>
    </row>
    <row r="1277" spans="1:33" s="1295" customFormat="1">
      <c r="A1277" s="1264"/>
      <c r="D1277" s="1118"/>
      <c r="E1277" s="1264"/>
      <c r="F1277" s="1118"/>
      <c r="G1277" s="1118"/>
      <c r="H1277" s="1118"/>
      <c r="I1277" s="1118"/>
      <c r="J1277" s="1118"/>
      <c r="K1277" s="1118"/>
      <c r="L1277" s="1118"/>
      <c r="M1277" s="1118"/>
      <c r="N1277" s="1118"/>
      <c r="O1277" s="1118"/>
      <c r="P1277" s="1118"/>
      <c r="Q1277" s="1111"/>
      <c r="R1277" s="1111"/>
      <c r="S1277" s="1111"/>
      <c r="T1277" s="1111"/>
      <c r="U1277" s="1111"/>
      <c r="V1277" s="1111"/>
      <c r="W1277" s="1111"/>
      <c r="X1277" s="1111"/>
      <c r="Y1277" s="1111"/>
      <c r="Z1277" s="1111"/>
      <c r="AA1277" s="1111"/>
      <c r="AB1277" s="1111"/>
      <c r="AC1277" s="1111"/>
      <c r="AD1277" s="1111"/>
      <c r="AE1277" s="1111"/>
      <c r="AF1277" s="1111"/>
      <c r="AG1277" s="1111"/>
    </row>
    <row r="1278" spans="1:33" s="1295" customFormat="1">
      <c r="A1278" s="1264"/>
      <c r="D1278" s="1118"/>
      <c r="E1278" s="1264"/>
      <c r="F1278" s="1118"/>
      <c r="G1278" s="1118"/>
      <c r="H1278" s="1118"/>
      <c r="I1278" s="1118"/>
      <c r="J1278" s="1118"/>
      <c r="K1278" s="1118"/>
      <c r="L1278" s="1118"/>
      <c r="M1278" s="1118"/>
      <c r="N1278" s="1118"/>
      <c r="O1278" s="1118"/>
      <c r="P1278" s="1118"/>
      <c r="Q1278" s="1111"/>
      <c r="R1278" s="1111"/>
      <c r="S1278" s="1111"/>
      <c r="T1278" s="1111"/>
      <c r="U1278" s="1111"/>
      <c r="V1278" s="1111"/>
      <c r="W1278" s="1111"/>
      <c r="X1278" s="1111"/>
      <c r="Y1278" s="1111"/>
      <c r="Z1278" s="1111"/>
      <c r="AA1278" s="1111"/>
      <c r="AB1278" s="1111"/>
      <c r="AC1278" s="1111"/>
      <c r="AD1278" s="1111"/>
      <c r="AE1278" s="1111"/>
      <c r="AF1278" s="1111"/>
      <c r="AG1278" s="1111"/>
    </row>
    <row r="1279" spans="1:33" s="1295" customFormat="1">
      <c r="A1279" s="1264"/>
      <c r="D1279" s="1118"/>
      <c r="E1279" s="1264"/>
      <c r="F1279" s="1118"/>
      <c r="G1279" s="1118"/>
      <c r="H1279" s="1118"/>
      <c r="I1279" s="1118"/>
      <c r="J1279" s="1118"/>
      <c r="K1279" s="1118"/>
      <c r="L1279" s="1118"/>
      <c r="M1279" s="1118"/>
      <c r="N1279" s="1118"/>
      <c r="O1279" s="1118"/>
      <c r="P1279" s="1118"/>
      <c r="Q1279" s="1111"/>
      <c r="R1279" s="1111"/>
      <c r="S1279" s="1111"/>
      <c r="T1279" s="1111"/>
      <c r="U1279" s="1111"/>
      <c r="V1279" s="1111"/>
      <c r="W1279" s="1111"/>
      <c r="X1279" s="1111"/>
      <c r="Y1279" s="1111"/>
      <c r="Z1279" s="1111"/>
      <c r="AA1279" s="1111"/>
      <c r="AB1279" s="1111"/>
      <c r="AC1279" s="1111"/>
      <c r="AD1279" s="1111"/>
      <c r="AE1279" s="1111"/>
      <c r="AF1279" s="1111"/>
      <c r="AG1279" s="1111"/>
    </row>
    <row r="1280" spans="1:33" s="1295" customFormat="1">
      <c r="A1280" s="1264"/>
      <c r="D1280" s="1118"/>
      <c r="E1280" s="1264"/>
      <c r="F1280" s="1118"/>
      <c r="G1280" s="1118"/>
      <c r="H1280" s="1118"/>
      <c r="I1280" s="1118"/>
      <c r="J1280" s="1118"/>
      <c r="K1280" s="1118"/>
      <c r="L1280" s="1118"/>
      <c r="M1280" s="1118"/>
      <c r="N1280" s="1118"/>
      <c r="O1280" s="1118"/>
      <c r="P1280" s="1118"/>
      <c r="Q1280" s="1111"/>
      <c r="R1280" s="1111"/>
      <c r="S1280" s="1111"/>
      <c r="T1280" s="1111"/>
      <c r="U1280" s="1111"/>
      <c r="V1280" s="1111"/>
      <c r="W1280" s="1111"/>
      <c r="X1280" s="1111"/>
      <c r="Y1280" s="1111"/>
      <c r="Z1280" s="1111"/>
      <c r="AA1280" s="1111"/>
      <c r="AB1280" s="1111"/>
      <c r="AC1280" s="1111"/>
      <c r="AD1280" s="1111"/>
      <c r="AE1280" s="1111"/>
      <c r="AF1280" s="1111"/>
      <c r="AG1280" s="1111"/>
    </row>
    <row r="1281" spans="1:33" s="1295" customFormat="1">
      <c r="A1281" s="1264"/>
      <c r="D1281" s="1118"/>
      <c r="E1281" s="1264"/>
      <c r="F1281" s="1118"/>
      <c r="G1281" s="1118"/>
      <c r="H1281" s="1118"/>
      <c r="I1281" s="1118"/>
      <c r="J1281" s="1118"/>
      <c r="K1281" s="1118"/>
      <c r="L1281" s="1118"/>
      <c r="M1281" s="1118"/>
      <c r="N1281" s="1118"/>
      <c r="O1281" s="1118"/>
      <c r="P1281" s="1118"/>
      <c r="Q1281" s="1111"/>
      <c r="R1281" s="1111"/>
      <c r="S1281" s="1111"/>
      <c r="T1281" s="1111"/>
      <c r="U1281" s="1111"/>
      <c r="V1281" s="1111"/>
      <c r="W1281" s="1111"/>
      <c r="X1281" s="1111"/>
      <c r="Y1281" s="1111"/>
      <c r="Z1281" s="1111"/>
      <c r="AA1281" s="1111"/>
      <c r="AB1281" s="1111"/>
      <c r="AC1281" s="1111"/>
      <c r="AD1281" s="1111"/>
      <c r="AE1281" s="1111"/>
      <c r="AF1281" s="1111"/>
      <c r="AG1281" s="1111"/>
    </row>
    <row r="1282" spans="1:33" s="1295" customFormat="1">
      <c r="A1282" s="1264"/>
      <c r="D1282" s="1118"/>
      <c r="E1282" s="1264"/>
      <c r="F1282" s="1118"/>
      <c r="G1282" s="1118"/>
      <c r="H1282" s="1118"/>
      <c r="I1282" s="1118"/>
      <c r="J1282" s="1118"/>
      <c r="K1282" s="1118"/>
      <c r="L1282" s="1118"/>
      <c r="M1282" s="1118"/>
      <c r="N1282" s="1118"/>
      <c r="O1282" s="1118"/>
      <c r="P1282" s="1118"/>
      <c r="Q1282" s="1111"/>
      <c r="R1282" s="1111"/>
      <c r="S1282" s="1111"/>
      <c r="T1282" s="1111"/>
      <c r="U1282" s="1111"/>
      <c r="V1282" s="1111"/>
      <c r="W1282" s="1111"/>
      <c r="X1282" s="1111"/>
      <c r="Y1282" s="1111"/>
      <c r="Z1282" s="1111"/>
      <c r="AA1282" s="1111"/>
      <c r="AB1282" s="1111"/>
      <c r="AC1282" s="1111"/>
      <c r="AD1282" s="1111"/>
      <c r="AE1282" s="1111"/>
      <c r="AF1282" s="1111"/>
      <c r="AG1282" s="1111"/>
    </row>
    <row r="1283" spans="1:33" s="1295" customFormat="1">
      <c r="A1283" s="1264"/>
      <c r="D1283" s="1118"/>
      <c r="E1283" s="1264"/>
      <c r="F1283" s="1118"/>
      <c r="G1283" s="1118"/>
      <c r="H1283" s="1118"/>
      <c r="I1283" s="1118"/>
      <c r="J1283" s="1118"/>
      <c r="K1283" s="1118"/>
      <c r="L1283" s="1118"/>
      <c r="M1283" s="1118"/>
      <c r="N1283" s="1118"/>
      <c r="O1283" s="1118"/>
      <c r="P1283" s="1118"/>
      <c r="Q1283" s="1111"/>
      <c r="R1283" s="1111"/>
      <c r="S1283" s="1111"/>
      <c r="T1283" s="1111"/>
      <c r="U1283" s="1111"/>
      <c r="V1283" s="1111"/>
      <c r="W1283" s="1111"/>
      <c r="X1283" s="1111"/>
      <c r="Y1283" s="1111"/>
      <c r="Z1283" s="1111"/>
      <c r="AA1283" s="1111"/>
      <c r="AB1283" s="1111"/>
      <c r="AC1283" s="1111"/>
      <c r="AD1283" s="1111"/>
      <c r="AE1283" s="1111"/>
      <c r="AF1283" s="1111"/>
      <c r="AG1283" s="1111"/>
    </row>
    <row r="1284" spans="1:33" s="1295" customFormat="1">
      <c r="A1284" s="1264"/>
      <c r="D1284" s="1118"/>
      <c r="E1284" s="1264"/>
      <c r="F1284" s="1118"/>
      <c r="G1284" s="1118"/>
      <c r="H1284" s="1118"/>
      <c r="I1284" s="1118"/>
      <c r="J1284" s="1118"/>
      <c r="K1284" s="1118"/>
      <c r="L1284" s="1118"/>
      <c r="M1284" s="1118"/>
      <c r="N1284" s="1118"/>
      <c r="O1284" s="1118"/>
      <c r="P1284" s="1118"/>
      <c r="Q1284" s="1111"/>
      <c r="R1284" s="1111"/>
      <c r="S1284" s="1111"/>
      <c r="T1284" s="1111"/>
      <c r="U1284" s="1111"/>
      <c r="V1284" s="1111"/>
      <c r="W1284" s="1111"/>
      <c r="X1284" s="1111"/>
      <c r="Y1284" s="1111"/>
      <c r="Z1284" s="1111"/>
      <c r="AA1284" s="1111"/>
      <c r="AB1284" s="1111"/>
      <c r="AC1284" s="1111"/>
      <c r="AD1284" s="1111"/>
      <c r="AE1284" s="1111"/>
      <c r="AF1284" s="1111"/>
      <c r="AG1284" s="1111"/>
    </row>
    <row r="1285" spans="1:33" s="1295" customFormat="1">
      <c r="A1285" s="1264"/>
      <c r="D1285" s="1118"/>
      <c r="E1285" s="1264"/>
      <c r="F1285" s="1118"/>
      <c r="G1285" s="1118"/>
      <c r="H1285" s="1118"/>
      <c r="I1285" s="1118"/>
      <c r="J1285" s="1118"/>
      <c r="K1285" s="1118"/>
      <c r="L1285" s="1118"/>
      <c r="M1285" s="1118"/>
      <c r="N1285" s="1118"/>
      <c r="O1285" s="1118"/>
      <c r="P1285" s="1118"/>
      <c r="Q1285" s="1111"/>
      <c r="R1285" s="1111"/>
      <c r="S1285" s="1111"/>
      <c r="T1285" s="1111"/>
      <c r="U1285" s="1111"/>
      <c r="V1285" s="1111"/>
      <c r="W1285" s="1111"/>
      <c r="X1285" s="1111"/>
      <c r="Y1285" s="1111"/>
      <c r="Z1285" s="1111"/>
      <c r="AA1285" s="1111"/>
      <c r="AB1285" s="1111"/>
      <c r="AC1285" s="1111"/>
      <c r="AD1285" s="1111"/>
      <c r="AE1285" s="1111"/>
      <c r="AF1285" s="1111"/>
      <c r="AG1285" s="1111"/>
    </row>
    <row r="1286" spans="1:33" s="1295" customFormat="1">
      <c r="A1286" s="1264"/>
      <c r="D1286" s="1118"/>
      <c r="E1286" s="1264"/>
      <c r="F1286" s="1118"/>
      <c r="G1286" s="1118"/>
      <c r="H1286" s="1118"/>
      <c r="I1286" s="1118"/>
      <c r="J1286" s="1118"/>
      <c r="K1286" s="1118"/>
      <c r="L1286" s="1118"/>
      <c r="M1286" s="1118"/>
      <c r="N1286" s="1118"/>
      <c r="O1286" s="1118"/>
      <c r="P1286" s="1118"/>
      <c r="Q1286" s="1111"/>
      <c r="R1286" s="1111"/>
      <c r="S1286" s="1111"/>
      <c r="T1286" s="1111"/>
      <c r="U1286" s="1111"/>
      <c r="V1286" s="1111"/>
      <c r="W1286" s="1111"/>
      <c r="X1286" s="1111"/>
      <c r="Y1286" s="1111"/>
      <c r="Z1286" s="1111"/>
      <c r="AA1286" s="1111"/>
      <c r="AB1286" s="1111"/>
      <c r="AC1286" s="1111"/>
      <c r="AD1286" s="1111"/>
      <c r="AE1286" s="1111"/>
      <c r="AF1286" s="1111"/>
      <c r="AG1286" s="1111"/>
    </row>
    <row r="1287" spans="1:33" s="1295" customFormat="1">
      <c r="A1287" s="1264"/>
      <c r="D1287" s="1118"/>
      <c r="E1287" s="1264"/>
      <c r="F1287" s="1118"/>
      <c r="G1287" s="1118"/>
      <c r="H1287" s="1118"/>
      <c r="I1287" s="1118"/>
      <c r="J1287" s="1118"/>
      <c r="K1287" s="1118"/>
      <c r="L1287" s="1118"/>
      <c r="M1287" s="1118"/>
      <c r="N1287" s="1118"/>
      <c r="O1287" s="1118"/>
      <c r="P1287" s="1118"/>
      <c r="Q1287" s="1111"/>
      <c r="R1287" s="1111"/>
      <c r="S1287" s="1111"/>
      <c r="T1287" s="1111"/>
      <c r="U1287" s="1111"/>
      <c r="V1287" s="1111"/>
      <c r="W1287" s="1111"/>
      <c r="X1287" s="1111"/>
      <c r="Y1287" s="1111"/>
      <c r="Z1287" s="1111"/>
      <c r="AA1287" s="1111"/>
      <c r="AB1287" s="1111"/>
      <c r="AC1287" s="1111"/>
      <c r="AD1287" s="1111"/>
      <c r="AE1287" s="1111"/>
      <c r="AF1287" s="1111"/>
      <c r="AG1287" s="1111"/>
    </row>
    <row r="1288" spans="1:33" s="1295" customFormat="1">
      <c r="A1288" s="1264"/>
      <c r="D1288" s="1118"/>
      <c r="E1288" s="1264"/>
      <c r="F1288" s="1118"/>
      <c r="G1288" s="1118"/>
      <c r="H1288" s="1118"/>
      <c r="I1288" s="1118"/>
      <c r="J1288" s="1118"/>
      <c r="K1288" s="1118"/>
      <c r="L1288" s="1118"/>
      <c r="M1288" s="1118"/>
      <c r="N1288" s="1118"/>
      <c r="O1288" s="1118"/>
      <c r="P1288" s="1118"/>
      <c r="Q1288" s="1111"/>
      <c r="R1288" s="1111"/>
      <c r="S1288" s="1111"/>
      <c r="T1288" s="1111"/>
      <c r="U1288" s="1111"/>
      <c r="V1288" s="1111"/>
      <c r="W1288" s="1111"/>
      <c r="X1288" s="1111"/>
      <c r="Y1288" s="1111"/>
      <c r="Z1288" s="1111"/>
      <c r="AA1288" s="1111"/>
      <c r="AB1288" s="1111"/>
      <c r="AC1288" s="1111"/>
      <c r="AD1288" s="1111"/>
      <c r="AE1288" s="1111"/>
      <c r="AF1288" s="1111"/>
      <c r="AG1288" s="1111"/>
    </row>
    <row r="1289" spans="1:33" s="1295" customFormat="1">
      <c r="A1289" s="1264"/>
      <c r="D1289" s="1118"/>
      <c r="E1289" s="1264"/>
      <c r="F1289" s="1118"/>
      <c r="G1289" s="1118"/>
      <c r="H1289" s="1118"/>
      <c r="I1289" s="1118"/>
      <c r="J1289" s="1118"/>
      <c r="K1289" s="1118"/>
      <c r="L1289" s="1118"/>
      <c r="M1289" s="1118"/>
      <c r="N1289" s="1118"/>
      <c r="O1289" s="1118"/>
      <c r="P1289" s="1118"/>
      <c r="Q1289" s="1111"/>
      <c r="R1289" s="1111"/>
      <c r="S1289" s="1111"/>
      <c r="T1289" s="1111"/>
      <c r="U1289" s="1111"/>
      <c r="V1289" s="1111"/>
      <c r="W1289" s="1111"/>
      <c r="X1289" s="1111"/>
      <c r="Y1289" s="1111"/>
      <c r="Z1289" s="1111"/>
      <c r="AA1289" s="1111"/>
      <c r="AB1289" s="1111"/>
      <c r="AC1289" s="1111"/>
      <c r="AD1289" s="1111"/>
      <c r="AE1289" s="1111"/>
      <c r="AF1289" s="1111"/>
      <c r="AG1289" s="1111"/>
    </row>
    <row r="1290" spans="1:33" s="1295" customFormat="1">
      <c r="A1290" s="1264"/>
      <c r="D1290" s="1118"/>
      <c r="E1290" s="1264"/>
      <c r="F1290" s="1118"/>
      <c r="G1290" s="1118"/>
      <c r="H1290" s="1118"/>
      <c r="I1290" s="1118"/>
      <c r="J1290" s="1118"/>
      <c r="K1290" s="1118"/>
      <c r="L1290" s="1118"/>
      <c r="M1290" s="1118"/>
      <c r="N1290" s="1118"/>
      <c r="O1290" s="1118"/>
      <c r="P1290" s="1118"/>
      <c r="Q1290" s="1111"/>
      <c r="R1290" s="1111"/>
      <c r="S1290" s="1111"/>
      <c r="T1290" s="1111"/>
      <c r="U1290" s="1111"/>
      <c r="V1290" s="1111"/>
      <c r="W1290" s="1111"/>
      <c r="X1290" s="1111"/>
      <c r="Y1290" s="1111"/>
      <c r="Z1290" s="1111"/>
      <c r="AA1290" s="1111"/>
      <c r="AB1290" s="1111"/>
      <c r="AC1290" s="1111"/>
      <c r="AD1290" s="1111"/>
      <c r="AE1290" s="1111"/>
      <c r="AF1290" s="1111"/>
      <c r="AG1290" s="1111"/>
    </row>
    <row r="1291" spans="1:33" s="1295" customFormat="1">
      <c r="A1291" s="1264"/>
      <c r="D1291" s="1118"/>
      <c r="E1291" s="1264"/>
      <c r="F1291" s="1118"/>
      <c r="G1291" s="1118"/>
      <c r="H1291" s="1118"/>
      <c r="I1291" s="1118"/>
      <c r="J1291" s="1118"/>
      <c r="K1291" s="1118"/>
      <c r="L1291" s="1118"/>
      <c r="M1291" s="1118"/>
      <c r="N1291" s="1118"/>
      <c r="O1291" s="1118"/>
      <c r="P1291" s="1118"/>
      <c r="Q1291" s="1111"/>
      <c r="R1291" s="1111"/>
      <c r="S1291" s="1111"/>
      <c r="T1291" s="1111"/>
      <c r="U1291" s="1111"/>
      <c r="V1291" s="1111"/>
      <c r="W1291" s="1111"/>
      <c r="X1291" s="1111"/>
      <c r="Y1291" s="1111"/>
      <c r="Z1291" s="1111"/>
      <c r="AA1291" s="1111"/>
      <c r="AB1291" s="1111"/>
      <c r="AC1291" s="1111"/>
      <c r="AD1291" s="1111"/>
      <c r="AE1291" s="1111"/>
      <c r="AF1291" s="1111"/>
      <c r="AG1291" s="1111"/>
    </row>
    <row r="1292" spans="1:33" s="1295" customFormat="1">
      <c r="A1292" s="1264"/>
      <c r="D1292" s="1118"/>
      <c r="E1292" s="1264"/>
      <c r="F1292" s="1118"/>
      <c r="G1292" s="1118"/>
      <c r="H1292" s="1118"/>
      <c r="I1292" s="1118"/>
      <c r="J1292" s="1118"/>
      <c r="K1292" s="1118"/>
      <c r="L1292" s="1118"/>
      <c r="M1292" s="1118"/>
      <c r="N1292" s="1118"/>
      <c r="O1292" s="1118"/>
      <c r="P1292" s="1118"/>
      <c r="Q1292" s="1111"/>
      <c r="R1292" s="1111"/>
      <c r="S1292" s="1111"/>
      <c r="T1292" s="1111"/>
      <c r="U1292" s="1111"/>
      <c r="V1292" s="1111"/>
      <c r="W1292" s="1111"/>
      <c r="X1292" s="1111"/>
      <c r="Y1292" s="1111"/>
      <c r="Z1292" s="1111"/>
      <c r="AA1292" s="1111"/>
      <c r="AB1292" s="1111"/>
      <c r="AC1292" s="1111"/>
      <c r="AD1292" s="1111"/>
      <c r="AE1292" s="1111"/>
      <c r="AF1292" s="1111"/>
      <c r="AG1292" s="1111"/>
    </row>
    <row r="1293" spans="1:33" s="1295" customFormat="1">
      <c r="A1293" s="1264"/>
      <c r="D1293" s="1118"/>
      <c r="E1293" s="1264"/>
      <c r="F1293" s="1118"/>
      <c r="G1293" s="1118"/>
      <c r="H1293" s="1118"/>
      <c r="I1293" s="1118"/>
      <c r="J1293" s="1118"/>
      <c r="K1293" s="1118"/>
      <c r="L1293" s="1118"/>
      <c r="M1293" s="1118"/>
      <c r="N1293" s="1118"/>
      <c r="O1293" s="1118"/>
      <c r="P1293" s="1118"/>
      <c r="Q1293" s="1111"/>
      <c r="R1293" s="1111"/>
      <c r="S1293" s="1111"/>
      <c r="T1293" s="1111"/>
      <c r="U1293" s="1111"/>
      <c r="V1293" s="1111"/>
      <c r="W1293" s="1111"/>
      <c r="X1293" s="1111"/>
      <c r="Y1293" s="1111"/>
      <c r="Z1293" s="1111"/>
      <c r="AA1293" s="1111"/>
      <c r="AB1293" s="1111"/>
      <c r="AC1293" s="1111"/>
      <c r="AD1293" s="1111"/>
      <c r="AE1293" s="1111"/>
      <c r="AF1293" s="1111"/>
      <c r="AG1293" s="1111"/>
    </row>
    <row r="1294" spans="1:33" s="1295" customFormat="1">
      <c r="A1294" s="1264"/>
      <c r="D1294" s="1118"/>
      <c r="E1294" s="1264"/>
      <c r="F1294" s="1118"/>
      <c r="G1294" s="1118"/>
      <c r="H1294" s="1118"/>
      <c r="I1294" s="1118"/>
      <c r="J1294" s="1118"/>
      <c r="K1294" s="1118"/>
      <c r="L1294" s="1118"/>
      <c r="M1294" s="1118"/>
      <c r="N1294" s="1118"/>
      <c r="O1294" s="1118"/>
      <c r="P1294" s="1118"/>
      <c r="Q1294" s="1111"/>
      <c r="R1294" s="1111"/>
      <c r="S1294" s="1111"/>
      <c r="T1294" s="1111"/>
      <c r="U1294" s="1111"/>
      <c r="V1294" s="1111"/>
      <c r="W1294" s="1111"/>
      <c r="X1294" s="1111"/>
      <c r="Y1294" s="1111"/>
      <c r="Z1294" s="1111"/>
      <c r="AA1294" s="1111"/>
      <c r="AB1294" s="1111"/>
      <c r="AC1294" s="1111"/>
      <c r="AD1294" s="1111"/>
      <c r="AE1294" s="1111"/>
      <c r="AF1294" s="1111"/>
      <c r="AG1294" s="1111"/>
    </row>
    <row r="1295" spans="1:33" s="1295" customFormat="1">
      <c r="A1295" s="1264"/>
      <c r="D1295" s="1118"/>
      <c r="E1295" s="1264"/>
      <c r="F1295" s="1118"/>
      <c r="G1295" s="1118"/>
      <c r="H1295" s="1118"/>
      <c r="I1295" s="1118"/>
      <c r="J1295" s="1118"/>
      <c r="K1295" s="1118"/>
      <c r="L1295" s="1118"/>
      <c r="M1295" s="1118"/>
      <c r="N1295" s="1118"/>
      <c r="O1295" s="1118"/>
      <c r="P1295" s="1118"/>
      <c r="Q1295" s="1111"/>
      <c r="R1295" s="1111"/>
      <c r="S1295" s="1111"/>
      <c r="T1295" s="1111"/>
      <c r="U1295" s="1111"/>
      <c r="V1295" s="1111"/>
      <c r="W1295" s="1111"/>
      <c r="X1295" s="1111"/>
      <c r="Y1295" s="1111"/>
      <c r="Z1295" s="1111"/>
      <c r="AA1295" s="1111"/>
      <c r="AB1295" s="1111"/>
      <c r="AC1295" s="1111"/>
      <c r="AD1295" s="1111"/>
      <c r="AE1295" s="1111"/>
      <c r="AF1295" s="1111"/>
      <c r="AG1295" s="1111"/>
    </row>
    <row r="1296" spans="1:33" s="1295" customFormat="1">
      <c r="A1296" s="1264"/>
      <c r="D1296" s="1118"/>
      <c r="E1296" s="1264"/>
      <c r="F1296" s="1118"/>
      <c r="G1296" s="1118"/>
      <c r="H1296" s="1118"/>
      <c r="I1296" s="1118"/>
      <c r="J1296" s="1118"/>
      <c r="K1296" s="1118"/>
      <c r="L1296" s="1118"/>
      <c r="M1296" s="1118"/>
      <c r="N1296" s="1118"/>
      <c r="O1296" s="1118"/>
      <c r="P1296" s="1118"/>
      <c r="Q1296" s="1111"/>
      <c r="R1296" s="1111"/>
      <c r="S1296" s="1111"/>
      <c r="T1296" s="1111"/>
      <c r="U1296" s="1111"/>
      <c r="V1296" s="1111"/>
      <c r="W1296" s="1111"/>
      <c r="X1296" s="1111"/>
      <c r="Y1296" s="1111"/>
      <c r="Z1296" s="1111"/>
      <c r="AA1296" s="1111"/>
      <c r="AB1296" s="1111"/>
      <c r="AC1296" s="1111"/>
      <c r="AD1296" s="1111"/>
      <c r="AE1296" s="1111"/>
      <c r="AF1296" s="1111"/>
      <c r="AG1296" s="1111"/>
    </row>
    <row r="1297" spans="1:33" s="1295" customFormat="1">
      <c r="A1297" s="1264"/>
      <c r="D1297" s="1118"/>
      <c r="E1297" s="1264"/>
      <c r="F1297" s="1118"/>
      <c r="G1297" s="1118"/>
      <c r="H1297" s="1118"/>
      <c r="I1297" s="1118"/>
      <c r="J1297" s="1118"/>
      <c r="K1297" s="1118"/>
      <c r="L1297" s="1118"/>
      <c r="M1297" s="1118"/>
      <c r="N1297" s="1118"/>
      <c r="O1297" s="1118"/>
      <c r="P1297" s="1118"/>
      <c r="Q1297" s="1111"/>
      <c r="R1297" s="1111"/>
      <c r="S1297" s="1111"/>
      <c r="T1297" s="1111"/>
      <c r="U1297" s="1111"/>
      <c r="V1297" s="1111"/>
      <c r="W1297" s="1111"/>
      <c r="X1297" s="1111"/>
      <c r="Y1297" s="1111"/>
      <c r="Z1297" s="1111"/>
      <c r="AA1297" s="1111"/>
      <c r="AB1297" s="1111"/>
      <c r="AC1297" s="1111"/>
      <c r="AD1297" s="1111"/>
      <c r="AE1297" s="1111"/>
      <c r="AF1297" s="1111"/>
      <c r="AG1297" s="1111"/>
    </row>
    <row r="1298" spans="1:33" s="1295" customFormat="1">
      <c r="A1298" s="1264"/>
      <c r="D1298" s="1118"/>
      <c r="E1298" s="1264"/>
      <c r="F1298" s="1118"/>
      <c r="G1298" s="1118"/>
      <c r="H1298" s="1118"/>
      <c r="I1298" s="1118"/>
      <c r="J1298" s="1118"/>
      <c r="K1298" s="1118"/>
      <c r="L1298" s="1118"/>
      <c r="M1298" s="1118"/>
      <c r="N1298" s="1118"/>
      <c r="O1298" s="1118"/>
      <c r="P1298" s="1118"/>
      <c r="Q1298" s="1111"/>
      <c r="R1298" s="1111"/>
      <c r="S1298" s="1111"/>
      <c r="T1298" s="1111"/>
      <c r="U1298" s="1111"/>
      <c r="V1298" s="1111"/>
      <c r="W1298" s="1111"/>
      <c r="X1298" s="1111"/>
      <c r="Y1298" s="1111"/>
      <c r="Z1298" s="1111"/>
      <c r="AA1298" s="1111"/>
      <c r="AB1298" s="1111"/>
      <c r="AC1298" s="1111"/>
      <c r="AD1298" s="1111"/>
      <c r="AE1298" s="1111"/>
      <c r="AF1298" s="1111"/>
      <c r="AG1298" s="1111"/>
    </row>
    <row r="1299" spans="1:33" s="1295" customFormat="1">
      <c r="A1299" s="1264"/>
      <c r="D1299" s="1118"/>
      <c r="E1299" s="1264"/>
      <c r="F1299" s="1118"/>
      <c r="G1299" s="1118"/>
      <c r="H1299" s="1118"/>
      <c r="I1299" s="1118"/>
      <c r="J1299" s="1118"/>
      <c r="K1299" s="1118"/>
      <c r="L1299" s="1118"/>
      <c r="M1299" s="1118"/>
      <c r="N1299" s="1118"/>
      <c r="O1299" s="1118"/>
      <c r="P1299" s="1118"/>
      <c r="Q1299" s="1111"/>
      <c r="R1299" s="1111"/>
      <c r="S1299" s="1111"/>
      <c r="T1299" s="1111"/>
      <c r="U1299" s="1111"/>
      <c r="V1299" s="1111"/>
      <c r="W1299" s="1111"/>
      <c r="X1299" s="1111"/>
      <c r="Y1299" s="1111"/>
      <c r="Z1299" s="1111"/>
      <c r="AA1299" s="1111"/>
      <c r="AB1299" s="1111"/>
      <c r="AC1299" s="1111"/>
      <c r="AD1299" s="1111"/>
      <c r="AE1299" s="1111"/>
      <c r="AF1299" s="1111"/>
      <c r="AG1299" s="1111"/>
    </row>
    <row r="1300" spans="1:33" s="1295" customFormat="1">
      <c r="A1300" s="1264"/>
      <c r="D1300" s="1118"/>
      <c r="E1300" s="1264"/>
      <c r="F1300" s="1118"/>
      <c r="G1300" s="1118"/>
      <c r="H1300" s="1118"/>
      <c r="I1300" s="1118"/>
      <c r="J1300" s="1118"/>
      <c r="K1300" s="1118"/>
      <c r="L1300" s="1118"/>
      <c r="M1300" s="1118"/>
      <c r="N1300" s="1118"/>
      <c r="O1300" s="1118"/>
      <c r="P1300" s="1118"/>
      <c r="Q1300" s="1111"/>
      <c r="R1300" s="1111"/>
      <c r="S1300" s="1111"/>
      <c r="T1300" s="1111"/>
      <c r="U1300" s="1111"/>
      <c r="V1300" s="1111"/>
      <c r="W1300" s="1111"/>
      <c r="X1300" s="1111"/>
      <c r="Y1300" s="1111"/>
      <c r="Z1300" s="1111"/>
      <c r="AA1300" s="1111"/>
      <c r="AB1300" s="1111"/>
      <c r="AC1300" s="1111"/>
      <c r="AD1300" s="1111"/>
      <c r="AE1300" s="1111"/>
      <c r="AF1300" s="1111"/>
      <c r="AG1300" s="1111"/>
    </row>
    <row r="1301" spans="1:33" s="1295" customFormat="1">
      <c r="A1301" s="1264"/>
      <c r="D1301" s="1118"/>
      <c r="E1301" s="1264"/>
      <c r="F1301" s="1118"/>
      <c r="G1301" s="1118"/>
      <c r="H1301" s="1118"/>
      <c r="I1301" s="1118"/>
      <c r="J1301" s="1118"/>
      <c r="K1301" s="1118"/>
      <c r="L1301" s="1118"/>
      <c r="M1301" s="1118"/>
      <c r="N1301" s="1118"/>
      <c r="O1301" s="1118"/>
      <c r="P1301" s="1118"/>
      <c r="Q1301" s="1111"/>
      <c r="R1301" s="1111"/>
      <c r="S1301" s="1111"/>
      <c r="T1301" s="1111"/>
      <c r="U1301" s="1111"/>
      <c r="V1301" s="1111"/>
      <c r="W1301" s="1111"/>
      <c r="X1301" s="1111"/>
      <c r="Y1301" s="1111"/>
      <c r="Z1301" s="1111"/>
      <c r="AA1301" s="1111"/>
      <c r="AB1301" s="1111"/>
      <c r="AC1301" s="1111"/>
      <c r="AD1301" s="1111"/>
      <c r="AE1301" s="1111"/>
      <c r="AF1301" s="1111"/>
      <c r="AG1301" s="1111"/>
    </row>
    <row r="1302" spans="1:33" s="1295" customFormat="1">
      <c r="A1302" s="1264"/>
      <c r="D1302" s="1118"/>
      <c r="E1302" s="1264"/>
      <c r="F1302" s="1118"/>
      <c r="G1302" s="1118"/>
      <c r="H1302" s="1118"/>
      <c r="I1302" s="1118"/>
      <c r="J1302" s="1118"/>
      <c r="K1302" s="1118"/>
      <c r="L1302" s="1118"/>
      <c r="M1302" s="1118"/>
      <c r="N1302" s="1118"/>
      <c r="O1302" s="1118"/>
      <c r="P1302" s="1118"/>
      <c r="Q1302" s="1111"/>
      <c r="R1302" s="1111"/>
      <c r="S1302" s="1111"/>
      <c r="T1302" s="1111"/>
      <c r="U1302" s="1111"/>
      <c r="V1302" s="1111"/>
      <c r="W1302" s="1111"/>
      <c r="X1302" s="1111"/>
      <c r="Y1302" s="1111"/>
      <c r="Z1302" s="1111"/>
      <c r="AA1302" s="1111"/>
      <c r="AB1302" s="1111"/>
      <c r="AC1302" s="1111"/>
      <c r="AD1302" s="1111"/>
      <c r="AE1302" s="1111"/>
      <c r="AF1302" s="1111"/>
      <c r="AG1302" s="1111"/>
    </row>
    <row r="1303" spans="1:33" s="1295" customFormat="1">
      <c r="A1303" s="1264"/>
      <c r="D1303" s="1118"/>
      <c r="E1303" s="1264"/>
      <c r="F1303" s="1118"/>
      <c r="G1303" s="1118"/>
      <c r="H1303" s="1118"/>
      <c r="I1303" s="1118"/>
      <c r="J1303" s="1118"/>
      <c r="K1303" s="1118"/>
      <c r="L1303" s="1118"/>
      <c r="M1303" s="1118"/>
      <c r="N1303" s="1118"/>
      <c r="O1303" s="1118"/>
      <c r="P1303" s="1118"/>
      <c r="Q1303" s="1111"/>
      <c r="R1303" s="1111"/>
      <c r="S1303" s="1111"/>
      <c r="T1303" s="1111"/>
      <c r="U1303" s="1111"/>
      <c r="V1303" s="1111"/>
      <c r="W1303" s="1111"/>
      <c r="X1303" s="1111"/>
      <c r="Y1303" s="1111"/>
      <c r="Z1303" s="1111"/>
      <c r="AA1303" s="1111"/>
      <c r="AB1303" s="1111"/>
      <c r="AC1303" s="1111"/>
      <c r="AD1303" s="1111"/>
      <c r="AE1303" s="1111"/>
      <c r="AF1303" s="1111"/>
      <c r="AG1303" s="1111"/>
    </row>
    <row r="1304" spans="1:33" s="1295" customFormat="1">
      <c r="A1304" s="1264"/>
      <c r="D1304" s="1118"/>
      <c r="E1304" s="1264"/>
      <c r="F1304" s="1118"/>
      <c r="G1304" s="1118"/>
      <c r="H1304" s="1118"/>
      <c r="I1304" s="1118"/>
      <c r="J1304" s="1118"/>
      <c r="K1304" s="1118"/>
      <c r="L1304" s="1118"/>
      <c r="M1304" s="1118"/>
      <c r="N1304" s="1118"/>
      <c r="O1304" s="1118"/>
      <c r="P1304" s="1118"/>
      <c r="Q1304" s="1111"/>
      <c r="R1304" s="1111"/>
      <c r="S1304" s="1111"/>
      <c r="T1304" s="1111"/>
      <c r="U1304" s="1111"/>
      <c r="V1304" s="1111"/>
      <c r="W1304" s="1111"/>
      <c r="X1304" s="1111"/>
      <c r="Y1304" s="1111"/>
      <c r="Z1304" s="1111"/>
      <c r="AA1304" s="1111"/>
      <c r="AB1304" s="1111"/>
      <c r="AC1304" s="1111"/>
      <c r="AD1304" s="1111"/>
      <c r="AE1304" s="1111"/>
      <c r="AF1304" s="1111"/>
      <c r="AG1304" s="1111"/>
    </row>
    <row r="1305" spans="1:33" s="1295" customFormat="1">
      <c r="A1305" s="1264"/>
      <c r="D1305" s="1118"/>
      <c r="E1305" s="1264"/>
      <c r="F1305" s="1118"/>
      <c r="G1305" s="1118"/>
      <c r="H1305" s="1118"/>
      <c r="I1305" s="1118"/>
      <c r="J1305" s="1118"/>
      <c r="K1305" s="1118"/>
      <c r="L1305" s="1118"/>
      <c r="M1305" s="1118"/>
      <c r="N1305" s="1118"/>
      <c r="O1305" s="1118"/>
      <c r="P1305" s="1118"/>
      <c r="Q1305" s="1111"/>
      <c r="R1305" s="1111"/>
      <c r="S1305" s="1111"/>
      <c r="T1305" s="1111"/>
      <c r="U1305" s="1111"/>
      <c r="V1305" s="1111"/>
      <c r="W1305" s="1111"/>
      <c r="X1305" s="1111"/>
      <c r="Y1305" s="1111"/>
      <c r="Z1305" s="1111"/>
      <c r="AA1305" s="1111"/>
      <c r="AB1305" s="1111"/>
      <c r="AC1305" s="1111"/>
      <c r="AD1305" s="1111"/>
      <c r="AE1305" s="1111"/>
      <c r="AF1305" s="1111"/>
      <c r="AG1305" s="1111"/>
    </row>
    <row r="1306" spans="1:33" s="1295" customFormat="1">
      <c r="A1306" s="1264"/>
      <c r="D1306" s="1118"/>
      <c r="E1306" s="1264"/>
      <c r="F1306" s="1118"/>
      <c r="G1306" s="1118"/>
      <c r="H1306" s="1118"/>
      <c r="I1306" s="1118"/>
      <c r="J1306" s="1118"/>
      <c r="K1306" s="1118"/>
      <c r="L1306" s="1118"/>
      <c r="M1306" s="1118"/>
      <c r="N1306" s="1118"/>
      <c r="O1306" s="1118"/>
      <c r="P1306" s="1118"/>
      <c r="Q1306" s="1111"/>
      <c r="R1306" s="1111"/>
      <c r="S1306" s="1111"/>
      <c r="T1306" s="1111"/>
      <c r="U1306" s="1111"/>
      <c r="V1306" s="1111"/>
      <c r="W1306" s="1111"/>
      <c r="X1306" s="1111"/>
      <c r="Y1306" s="1111"/>
      <c r="Z1306" s="1111"/>
      <c r="AA1306" s="1111"/>
      <c r="AB1306" s="1111"/>
      <c r="AC1306" s="1111"/>
      <c r="AD1306" s="1111"/>
      <c r="AE1306" s="1111"/>
      <c r="AF1306" s="1111"/>
      <c r="AG1306" s="1111"/>
    </row>
    <row r="1307" spans="1:33" s="1295" customFormat="1">
      <c r="A1307" s="1264"/>
      <c r="D1307" s="1118"/>
      <c r="E1307" s="1264"/>
      <c r="F1307" s="1118"/>
      <c r="G1307" s="1118"/>
      <c r="H1307" s="1118"/>
      <c r="I1307" s="1118"/>
      <c r="J1307" s="1118"/>
      <c r="K1307" s="1118"/>
      <c r="L1307" s="1118"/>
      <c r="M1307" s="1118"/>
      <c r="N1307" s="1118"/>
      <c r="O1307" s="1118"/>
      <c r="P1307" s="1118"/>
      <c r="Q1307" s="1111"/>
      <c r="R1307" s="1111"/>
      <c r="S1307" s="1111"/>
      <c r="T1307" s="1111"/>
      <c r="U1307" s="1111"/>
      <c r="V1307" s="1111"/>
      <c r="W1307" s="1111"/>
      <c r="X1307" s="1111"/>
      <c r="Y1307" s="1111"/>
      <c r="Z1307" s="1111"/>
      <c r="AA1307" s="1111"/>
      <c r="AB1307" s="1111"/>
      <c r="AC1307" s="1111"/>
      <c r="AD1307" s="1111"/>
      <c r="AE1307" s="1111"/>
      <c r="AF1307" s="1111"/>
      <c r="AG1307" s="1111"/>
    </row>
  </sheetData>
  <mergeCells count="72">
    <mergeCell ref="A173:AG173"/>
    <mergeCell ref="D181:D184"/>
    <mergeCell ref="A140:AG140"/>
    <mergeCell ref="A143:AG143"/>
    <mergeCell ref="D144:D158"/>
    <mergeCell ref="D159:D166"/>
    <mergeCell ref="D167:D168"/>
    <mergeCell ref="A170:AG170"/>
    <mergeCell ref="A139:AG139"/>
    <mergeCell ref="D87:D88"/>
    <mergeCell ref="D89:D90"/>
    <mergeCell ref="D93:D94"/>
    <mergeCell ref="D95:D103"/>
    <mergeCell ref="A105:AG105"/>
    <mergeCell ref="A110:AG110"/>
    <mergeCell ref="D116:D117"/>
    <mergeCell ref="D119:D120"/>
    <mergeCell ref="D122:D123"/>
    <mergeCell ref="D124:D125"/>
    <mergeCell ref="D126:D137"/>
    <mergeCell ref="A41:AG41"/>
    <mergeCell ref="D42:D45"/>
    <mergeCell ref="D46:D50"/>
    <mergeCell ref="D51:D58"/>
    <mergeCell ref="D59:D79"/>
    <mergeCell ref="D81:D84"/>
    <mergeCell ref="AG16:AG17"/>
    <mergeCell ref="A18:AG18"/>
    <mergeCell ref="D20:D21"/>
    <mergeCell ref="D22:D23"/>
    <mergeCell ref="D27:D28"/>
    <mergeCell ref="D32:D33"/>
    <mergeCell ref="AA16:AA17"/>
    <mergeCell ref="AB16:AB17"/>
    <mergeCell ref="AC16:AC17"/>
    <mergeCell ref="AD16:AD17"/>
    <mergeCell ref="AE16:AE17"/>
    <mergeCell ref="AF16:AF17"/>
    <mergeCell ref="U16:U17"/>
    <mergeCell ref="V16:V17"/>
    <mergeCell ref="W16:W17"/>
    <mergeCell ref="X16:X17"/>
    <mergeCell ref="Y16:Y17"/>
    <mergeCell ref="Z16:Z17"/>
    <mergeCell ref="O16:O17"/>
    <mergeCell ref="P16:P17"/>
    <mergeCell ref="Q16:Q17"/>
    <mergeCell ref="R16:R17"/>
    <mergeCell ref="S16:S17"/>
    <mergeCell ref="T16:T17"/>
    <mergeCell ref="N16:N17"/>
    <mergeCell ref="A13:P13"/>
    <mergeCell ref="A15:P15"/>
    <mergeCell ref="A16:A17"/>
    <mergeCell ref="B16:B17"/>
    <mergeCell ref="C16:C17"/>
    <mergeCell ref="D16:D17"/>
    <mergeCell ref="E16:E17"/>
    <mergeCell ref="F16:F17"/>
    <mergeCell ref="G16:G17"/>
    <mergeCell ref="H16:H17"/>
    <mergeCell ref="I16:I17"/>
    <mergeCell ref="J16:J17"/>
    <mergeCell ref="K16:K17"/>
    <mergeCell ref="L16:L17"/>
    <mergeCell ref="M16:M17"/>
    <mergeCell ref="A12:P12"/>
    <mergeCell ref="I5:P5"/>
    <mergeCell ref="I6:P6"/>
    <mergeCell ref="I7:P7"/>
    <mergeCell ref="A10:P10"/>
    <mergeCell ref="A11:P11"/>
  </mergeCells>
  <pageMargins left="0.23622047244094491" right="0.19685039370078738" top="0.35433070866141736" bottom="0.43307086614173229" header="0.31496062992125984" footer="0.31496062992125984"/>
  <pageSetup paperSize="9" scale="55" firstPageNumber="4294967295"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AE647-7BB9-48B0-8351-6A9F9C78D262}">
  <dimension ref="A1:AI1291"/>
  <sheetViews>
    <sheetView topLeftCell="A13" zoomScale="70" zoomScaleNormal="70" workbookViewId="0">
      <pane xSplit="2" ySplit="6" topLeftCell="O163" activePane="bottomRight" state="frozen"/>
      <selection activeCell="D175" sqref="D175"/>
      <selection pane="topRight" activeCell="D175" sqref="D175"/>
      <selection pane="bottomLeft" activeCell="D175" sqref="D175"/>
      <selection pane="bottomRight" activeCell="D175" sqref="D175"/>
    </sheetView>
  </sheetViews>
  <sheetFormatPr defaultColWidth="9.140625" defaultRowHeight="15.75"/>
  <cols>
    <col min="1" max="1" width="6" style="1175" customWidth="1"/>
    <col min="2" max="2" width="35.5703125" style="1295" customWidth="1"/>
    <col min="3" max="3" width="35.28515625" style="1295" customWidth="1"/>
    <col min="4" max="4" width="8.140625" style="1118" customWidth="1"/>
    <col min="5" max="5" width="10.7109375" style="1264" customWidth="1"/>
    <col min="6" max="6" width="10.5703125" style="1118" hidden="1" customWidth="1"/>
    <col min="7" max="7" width="13.42578125" style="1118" customWidth="1"/>
    <col min="8" max="8" width="10.28515625" style="1118" customWidth="1"/>
    <col min="9" max="9" width="15.140625" style="1118" customWidth="1"/>
    <col min="10" max="10" width="15.5703125" style="1118" customWidth="1"/>
    <col min="11" max="11" width="19.140625" style="1118" customWidth="1"/>
    <col min="12" max="12" width="26.7109375" style="1118" customWidth="1"/>
    <col min="13" max="13" width="26.28515625" style="1118" customWidth="1"/>
    <col min="14" max="14" width="29.42578125" style="1118" customWidth="1"/>
    <col min="15" max="15" width="25.140625" style="1118" customWidth="1"/>
    <col min="16" max="16" width="28.7109375" style="1118" customWidth="1"/>
    <col min="17" max="17" width="24.42578125" style="1111" customWidth="1"/>
    <col min="18" max="18" width="25.28515625" style="1111" customWidth="1"/>
    <col min="19" max="19" width="18.28515625" style="1111" bestFit="1" customWidth="1"/>
    <col min="20" max="20" width="17.7109375" style="1111" customWidth="1"/>
    <col min="21" max="23" width="14.42578125" style="1111" bestFit="1" customWidth="1"/>
    <col min="24" max="24" width="16.7109375" style="1111" bestFit="1" customWidth="1"/>
    <col min="25" max="25" width="16.5703125" style="1111" customWidth="1"/>
    <col min="26" max="26" width="17.28515625" style="1111" customWidth="1"/>
    <col min="27" max="27" width="16.5703125" style="1111" customWidth="1"/>
    <col min="28" max="28" width="15.7109375" style="1111" bestFit="1" customWidth="1"/>
    <col min="29" max="29" width="16" style="1111" customWidth="1"/>
    <col min="30" max="30" width="15.42578125" style="1111" customWidth="1"/>
    <col min="31" max="31" width="15.7109375" style="1111" bestFit="1" customWidth="1"/>
    <col min="32" max="32" width="18.85546875" style="1111" customWidth="1"/>
    <col min="33" max="33" width="11.85546875" style="1111" customWidth="1"/>
    <col min="34" max="34" width="16.85546875" style="1111" bestFit="1" customWidth="1"/>
    <col min="35" max="35" width="17.7109375" style="1111" customWidth="1"/>
    <col min="36" max="16384" width="9.140625" style="1111"/>
  </cols>
  <sheetData>
    <row r="1" spans="1:33" ht="15.75" customHeight="1">
      <c r="A1" s="1109"/>
      <c r="B1" s="1109"/>
      <c r="C1" s="1109"/>
      <c r="D1" s="1109"/>
      <c r="E1" s="1109"/>
      <c r="F1" s="1109"/>
      <c r="G1" s="1109"/>
      <c r="H1" s="1110"/>
      <c r="I1" s="1110"/>
      <c r="J1" s="1110"/>
      <c r="K1" s="1111"/>
      <c r="L1" s="1111"/>
      <c r="M1" s="1111"/>
      <c r="N1" s="1109"/>
      <c r="O1" s="1109"/>
      <c r="P1" s="1109"/>
      <c r="Q1" s="1109"/>
      <c r="R1" s="1109"/>
      <c r="S1" s="1109"/>
      <c r="T1" s="1109"/>
      <c r="U1" s="1109"/>
      <c r="V1" s="1109"/>
      <c r="W1" s="1109"/>
      <c r="X1" s="1109"/>
      <c r="Y1" s="1109"/>
      <c r="Z1" s="1109"/>
      <c r="AA1" s="1109"/>
      <c r="AB1" s="1109"/>
      <c r="AC1" s="1109"/>
      <c r="AD1" s="1109"/>
      <c r="AE1" s="1109"/>
      <c r="AF1" s="1109"/>
      <c r="AG1" s="1109"/>
    </row>
    <row r="2" spans="1:33" ht="15.75" customHeight="1">
      <c r="A2" s="1109"/>
      <c r="B2" s="1109"/>
      <c r="C2" s="1109"/>
      <c r="D2" s="1109"/>
      <c r="E2" s="1109"/>
      <c r="F2" s="1109"/>
      <c r="G2" s="1109"/>
      <c r="H2" s="1110"/>
      <c r="I2" s="1110"/>
      <c r="J2" s="1110"/>
      <c r="K2" s="1111"/>
      <c r="L2" s="1111"/>
      <c r="M2" s="1111"/>
      <c r="N2" s="1109"/>
      <c r="O2" s="1109"/>
      <c r="P2" s="1109"/>
      <c r="Q2" s="1109"/>
      <c r="R2" s="1109"/>
      <c r="S2" s="1109"/>
      <c r="T2" s="1109"/>
      <c r="U2" s="1109"/>
      <c r="V2" s="1109"/>
      <c r="W2" s="1109"/>
      <c r="X2" s="1109"/>
      <c r="Y2" s="1109"/>
      <c r="Z2" s="1109"/>
      <c r="AA2" s="1109"/>
      <c r="AB2" s="1109"/>
      <c r="AC2" s="1109"/>
      <c r="AD2" s="1109"/>
      <c r="AE2" s="1109"/>
      <c r="AF2" s="1109"/>
      <c r="AG2" s="1109"/>
    </row>
    <row r="3" spans="1:33" ht="15.75" customHeight="1">
      <c r="A3" s="1109"/>
      <c r="B3" s="1109"/>
      <c r="C3" s="1109"/>
      <c r="D3" s="1109"/>
      <c r="E3" s="1109"/>
      <c r="F3" s="1109"/>
      <c r="G3" s="1109"/>
      <c r="H3" s="1110"/>
      <c r="I3" s="1110"/>
      <c r="J3" s="1110"/>
      <c r="K3" s="1111"/>
      <c r="L3" s="1111"/>
      <c r="M3" s="1111"/>
      <c r="N3" s="1109"/>
      <c r="O3" s="1109"/>
      <c r="P3" s="1109"/>
      <c r="Q3" s="1109"/>
      <c r="R3" s="1109"/>
      <c r="S3" s="1109"/>
      <c r="T3" s="1109"/>
      <c r="U3" s="1109"/>
      <c r="V3" s="1109"/>
      <c r="W3" s="1109"/>
      <c r="X3" s="1109"/>
      <c r="Y3" s="1109"/>
      <c r="Z3" s="1109"/>
      <c r="AA3" s="1109"/>
      <c r="AB3" s="1109"/>
      <c r="AC3" s="1109"/>
      <c r="AD3" s="1109"/>
      <c r="AE3" s="1109"/>
      <c r="AF3" s="1109"/>
      <c r="AG3" s="1109"/>
    </row>
    <row r="4" spans="1:33" ht="15.75" customHeight="1">
      <c r="A4" s="1109"/>
      <c r="B4" s="1109"/>
      <c r="C4" s="1109"/>
      <c r="D4" s="1109"/>
      <c r="E4" s="1109"/>
      <c r="F4" s="1109"/>
      <c r="G4" s="1109"/>
      <c r="H4" s="1110"/>
      <c r="I4" s="1110"/>
      <c r="J4" s="1110"/>
      <c r="K4" s="1111"/>
      <c r="L4" s="1111"/>
      <c r="M4" s="1111"/>
      <c r="N4" s="1109"/>
      <c r="O4" s="1109"/>
      <c r="P4" s="1109"/>
      <c r="Q4" s="1109"/>
      <c r="R4" s="1109"/>
      <c r="S4" s="1109"/>
      <c r="T4" s="1109"/>
      <c r="U4" s="1109"/>
      <c r="V4" s="1109"/>
      <c r="W4" s="1109"/>
      <c r="X4" s="1109"/>
      <c r="Y4" s="1109"/>
      <c r="Z4" s="1109"/>
      <c r="AA4" s="1109"/>
      <c r="AB4" s="1109"/>
      <c r="AC4" s="1109"/>
      <c r="AD4" s="1109"/>
      <c r="AE4" s="1109"/>
      <c r="AF4" s="1109"/>
      <c r="AG4" s="1109"/>
    </row>
    <row r="5" spans="1:33" ht="27" customHeight="1">
      <c r="A5" s="1109"/>
      <c r="B5" s="1109"/>
      <c r="C5" s="1109"/>
      <c r="D5" s="1109"/>
      <c r="E5" s="1109"/>
      <c r="F5" s="1109"/>
      <c r="G5" s="1109"/>
      <c r="H5" s="1110"/>
      <c r="I5" s="1458" t="s">
        <v>889</v>
      </c>
      <c r="J5" s="1458"/>
      <c r="K5" s="1458"/>
      <c r="L5" s="1458"/>
      <c r="M5" s="1458"/>
      <c r="N5" s="1458"/>
      <c r="O5" s="1458"/>
      <c r="P5" s="1458"/>
      <c r="Q5" s="323"/>
      <c r="R5" s="323"/>
      <c r="S5" s="323"/>
      <c r="T5" s="323"/>
      <c r="U5" s="323"/>
      <c r="V5" s="323"/>
      <c r="W5" s="323"/>
      <c r="X5" s="323"/>
      <c r="Y5" s="323"/>
      <c r="Z5" s="323"/>
      <c r="AA5" s="323"/>
      <c r="AB5" s="323"/>
      <c r="AC5" s="1109"/>
      <c r="AD5" s="1109"/>
      <c r="AE5" s="1109"/>
      <c r="AF5" s="1109"/>
      <c r="AG5" s="1109"/>
    </row>
    <row r="6" spans="1:33" ht="29.25" customHeight="1">
      <c r="A6" s="1109"/>
      <c r="B6" s="1109"/>
      <c r="C6" s="1109"/>
      <c r="D6" s="1109"/>
      <c r="E6" s="1109"/>
      <c r="F6" s="1109"/>
      <c r="G6" s="1109"/>
      <c r="H6" s="1110"/>
      <c r="I6" s="1459" t="s">
        <v>890</v>
      </c>
      <c r="J6" s="1459"/>
      <c r="K6" s="1459"/>
      <c r="L6" s="1459"/>
      <c r="M6" s="1459"/>
      <c r="N6" s="1459"/>
      <c r="O6" s="1459"/>
      <c r="P6" s="1459"/>
      <c r="Q6" s="323"/>
      <c r="R6" s="323"/>
      <c r="S6" s="323"/>
      <c r="T6" s="323"/>
      <c r="U6" s="323"/>
      <c r="V6" s="323"/>
      <c r="W6" s="323"/>
      <c r="X6" s="323"/>
      <c r="Y6" s="323"/>
      <c r="Z6" s="323"/>
      <c r="AA6" s="323"/>
      <c r="AB6" s="323"/>
      <c r="AC6" s="1109"/>
      <c r="AD6" s="1109"/>
      <c r="AE6" s="1109"/>
      <c r="AF6" s="1109"/>
      <c r="AG6" s="1109"/>
    </row>
    <row r="7" spans="1:33" ht="28.5" customHeight="1">
      <c r="A7" s="1112"/>
      <c r="B7" s="1113"/>
      <c r="C7" s="1114"/>
      <c r="D7" s="1115"/>
      <c r="E7" s="1116"/>
      <c r="F7" s="1116"/>
      <c r="G7" s="1116"/>
      <c r="H7" s="1116"/>
      <c r="I7" s="1459" t="s">
        <v>891</v>
      </c>
      <c r="J7" s="1459"/>
      <c r="K7" s="1459"/>
      <c r="L7" s="1459"/>
      <c r="M7" s="1459"/>
      <c r="N7" s="1459"/>
      <c r="O7" s="1459"/>
      <c r="P7" s="1459"/>
      <c r="Q7" s="323"/>
      <c r="R7" s="323"/>
      <c r="S7" s="323"/>
      <c r="T7" s="323"/>
      <c r="U7" s="323"/>
      <c r="V7" s="323"/>
      <c r="W7" s="323"/>
      <c r="X7" s="323"/>
      <c r="Y7" s="323"/>
      <c r="Z7" s="323"/>
      <c r="AA7" s="323"/>
      <c r="AB7" s="323"/>
      <c r="AD7" s="1117"/>
      <c r="AE7" s="1117"/>
      <c r="AG7" s="1117"/>
    </row>
    <row r="8" spans="1:33" ht="28.5" customHeight="1">
      <c r="A8" s="1112"/>
      <c r="B8" s="1113"/>
      <c r="C8" s="1114"/>
      <c r="D8" s="1115"/>
      <c r="E8" s="1116"/>
      <c r="F8" s="1116"/>
      <c r="G8" s="1116"/>
      <c r="H8" s="1116"/>
      <c r="I8" s="1105"/>
      <c r="J8" s="1105"/>
      <c r="K8" s="1105"/>
      <c r="L8" s="1105"/>
      <c r="M8" s="1105"/>
      <c r="N8" s="1105"/>
      <c r="O8" s="1105"/>
      <c r="P8" s="1105"/>
      <c r="Q8" s="323"/>
      <c r="R8" s="323"/>
      <c r="S8" s="323"/>
      <c r="T8" s="323"/>
      <c r="U8" s="323"/>
      <c r="V8" s="323"/>
      <c r="W8" s="323"/>
      <c r="X8" s="323"/>
      <c r="Y8" s="323"/>
      <c r="Z8" s="323"/>
      <c r="AA8" s="323"/>
      <c r="AB8" s="323"/>
      <c r="AD8" s="1117"/>
      <c r="AE8" s="1117"/>
      <c r="AG8" s="1117"/>
    </row>
    <row r="9" spans="1:33" ht="21" customHeight="1">
      <c r="A9" s="1112"/>
      <c r="B9" s="1113"/>
      <c r="C9" s="1114"/>
      <c r="D9" s="1115"/>
      <c r="E9" s="1116"/>
      <c r="F9" s="1116"/>
      <c r="G9" s="1116"/>
      <c r="H9" s="1116"/>
      <c r="I9" s="1116"/>
      <c r="J9" s="1116"/>
      <c r="K9" s="1116"/>
      <c r="L9" s="1116"/>
      <c r="M9" s="1116"/>
      <c r="O9" s="324"/>
      <c r="P9" s="323"/>
      <c r="Q9" s="323"/>
      <c r="R9" s="323"/>
      <c r="S9" s="323"/>
      <c r="T9" s="323"/>
      <c r="U9" s="323"/>
      <c r="V9" s="323"/>
      <c r="W9" s="323"/>
      <c r="X9" s="323"/>
      <c r="Y9" s="323"/>
      <c r="Z9" s="323"/>
      <c r="AA9" s="323"/>
      <c r="AB9" s="323"/>
      <c r="AG9" s="1117"/>
    </row>
    <row r="10" spans="1:33" ht="20.25">
      <c r="A10" s="1457" t="s">
        <v>159</v>
      </c>
      <c r="B10" s="1457"/>
      <c r="C10" s="1457"/>
      <c r="D10" s="1457"/>
      <c r="E10" s="1457"/>
      <c r="F10" s="1457"/>
      <c r="G10" s="1457"/>
      <c r="H10" s="1457"/>
      <c r="I10" s="1457"/>
      <c r="J10" s="1457"/>
      <c r="K10" s="1457"/>
      <c r="L10" s="1457"/>
      <c r="M10" s="1457"/>
      <c r="N10" s="1457"/>
      <c r="O10" s="1457"/>
      <c r="P10" s="1457"/>
      <c r="Q10" s="1119"/>
      <c r="R10" s="1119"/>
      <c r="S10" s="1119"/>
      <c r="T10" s="1119"/>
      <c r="U10" s="1119"/>
      <c r="V10" s="1119"/>
      <c r="W10" s="1119"/>
      <c r="X10" s="1119"/>
      <c r="Y10" s="1119"/>
      <c r="Z10" s="1119"/>
      <c r="AA10" s="1119"/>
      <c r="AB10" s="1119"/>
      <c r="AC10" s="1119"/>
      <c r="AD10" s="1119"/>
      <c r="AE10" s="1119"/>
      <c r="AF10" s="1119"/>
      <c r="AG10" s="1119"/>
    </row>
    <row r="11" spans="1:33" ht="20.25">
      <c r="A11" s="1457" t="s">
        <v>886</v>
      </c>
      <c r="B11" s="1457"/>
      <c r="C11" s="1457"/>
      <c r="D11" s="1457"/>
      <c r="E11" s="1457"/>
      <c r="F11" s="1457"/>
      <c r="G11" s="1457"/>
      <c r="H11" s="1457"/>
      <c r="I11" s="1457"/>
      <c r="J11" s="1457"/>
      <c r="K11" s="1457"/>
      <c r="L11" s="1457"/>
      <c r="M11" s="1457"/>
      <c r="N11" s="1457"/>
      <c r="O11" s="1457"/>
      <c r="P11" s="1457"/>
      <c r="Q11" s="1119"/>
      <c r="R11" s="1119"/>
      <c r="S11" s="1119"/>
      <c r="T11" s="1119"/>
      <c r="U11" s="1119"/>
      <c r="V11" s="1119"/>
      <c r="W11" s="1119"/>
      <c r="X11" s="1119"/>
      <c r="Y11" s="1119"/>
      <c r="Z11" s="1119"/>
      <c r="AA11" s="1119"/>
      <c r="AB11" s="1119"/>
      <c r="AC11" s="1119"/>
      <c r="AD11" s="1119"/>
      <c r="AE11" s="1119"/>
      <c r="AF11" s="1119"/>
      <c r="AG11" s="1119"/>
    </row>
    <row r="12" spans="1:33" ht="20.25">
      <c r="A12" s="1457" t="s">
        <v>803</v>
      </c>
      <c r="B12" s="1457"/>
      <c r="C12" s="1457"/>
      <c r="D12" s="1457"/>
      <c r="E12" s="1457"/>
      <c r="F12" s="1457"/>
      <c r="G12" s="1457"/>
      <c r="H12" s="1457"/>
      <c r="I12" s="1457"/>
      <c r="J12" s="1457"/>
      <c r="K12" s="1457"/>
      <c r="L12" s="1457"/>
      <c r="M12" s="1457"/>
      <c r="N12" s="1457"/>
      <c r="O12" s="1457"/>
      <c r="P12" s="1457"/>
      <c r="Q12" s="1119"/>
      <c r="R12" s="1119"/>
      <c r="S12" s="1119"/>
      <c r="T12" s="1119"/>
      <c r="U12" s="1119"/>
      <c r="V12" s="1119"/>
      <c r="W12" s="1119"/>
      <c r="X12" s="1119"/>
      <c r="Y12" s="1119"/>
      <c r="Z12" s="1119"/>
      <c r="AA12" s="1119"/>
      <c r="AB12" s="1119"/>
      <c r="AC12" s="1119"/>
      <c r="AD12" s="1119"/>
      <c r="AE12" s="1119"/>
      <c r="AF12" s="1119"/>
      <c r="AG12" s="1119"/>
    </row>
    <row r="13" spans="1:33" ht="27.75" customHeight="1">
      <c r="A13" s="1461"/>
      <c r="B13" s="1461"/>
      <c r="C13" s="1461"/>
      <c r="D13" s="1461"/>
      <c r="E13" s="1461"/>
      <c r="F13" s="1461"/>
      <c r="G13" s="1461"/>
      <c r="H13" s="1461"/>
      <c r="I13" s="1461"/>
      <c r="J13" s="1461"/>
      <c r="K13" s="1461"/>
      <c r="L13" s="1461"/>
      <c r="M13" s="1461"/>
      <c r="N13" s="1461"/>
      <c r="O13" s="1461"/>
      <c r="P13" s="1461"/>
    </row>
    <row r="14" spans="1:33" ht="27.75" customHeight="1">
      <c r="A14" s="1120"/>
      <c r="B14" s="1120"/>
      <c r="C14" s="1120"/>
      <c r="D14" s="1120"/>
      <c r="E14" s="1120"/>
      <c r="F14" s="1121"/>
      <c r="G14" s="1122"/>
      <c r="H14" s="1122"/>
      <c r="I14" s="1122"/>
      <c r="J14" s="1122"/>
      <c r="K14" s="1122"/>
      <c r="L14" s="1122"/>
      <c r="M14" s="1122"/>
      <c r="N14" s="1122"/>
      <c r="O14" s="1122"/>
      <c r="P14" s="1122"/>
      <c r="R14" s="1123"/>
      <c r="S14" s="1123"/>
      <c r="T14" s="1123"/>
      <c r="U14" s="1123"/>
      <c r="V14" s="1123"/>
      <c r="W14" s="1123"/>
      <c r="X14" s="1123"/>
      <c r="Y14" s="1123"/>
      <c r="Z14" s="1123"/>
      <c r="AA14" s="1123"/>
      <c r="AB14" s="1123"/>
      <c r="AC14" s="1123"/>
      <c r="AD14" s="1123"/>
      <c r="AE14" s="1123"/>
      <c r="AF14" s="1123"/>
      <c r="AG14" s="1123"/>
    </row>
    <row r="15" spans="1:33" ht="52.5" customHeight="1">
      <c r="A15" s="1462" t="s">
        <v>804</v>
      </c>
      <c r="B15" s="1462"/>
      <c r="C15" s="1462"/>
      <c r="D15" s="1462"/>
      <c r="E15" s="1462"/>
      <c r="F15" s="1462"/>
      <c r="G15" s="1462"/>
      <c r="H15" s="1462"/>
      <c r="I15" s="1462"/>
      <c r="J15" s="1462"/>
      <c r="K15" s="1462"/>
      <c r="L15" s="1462"/>
      <c r="M15" s="1462"/>
      <c r="N15" s="1462"/>
      <c r="O15" s="1462"/>
      <c r="P15" s="1462"/>
      <c r="Q15" s="1124"/>
      <c r="R15" s="1124"/>
      <c r="S15" s="1124"/>
      <c r="T15" s="1124"/>
      <c r="U15" s="1124"/>
      <c r="V15" s="1124"/>
      <c r="W15" s="1124"/>
      <c r="X15" s="1124"/>
      <c r="Y15" s="1124"/>
      <c r="Z15" s="1124"/>
      <c r="AA15" s="1124"/>
      <c r="AB15" s="1124"/>
      <c r="AC15" s="1124"/>
      <c r="AD15" s="1124"/>
      <c r="AE15" s="1124"/>
      <c r="AF15" s="1124"/>
      <c r="AG15" s="1125"/>
    </row>
    <row r="16" spans="1:33" ht="15.75" customHeight="1">
      <c r="A16" s="1460" t="s">
        <v>7</v>
      </c>
      <c r="B16" s="1463" t="s">
        <v>9</v>
      </c>
      <c r="C16" s="1460" t="s">
        <v>111</v>
      </c>
      <c r="D16" s="1460" t="s">
        <v>805</v>
      </c>
      <c r="E16" s="1460" t="s">
        <v>806</v>
      </c>
      <c r="F16" s="1460" t="s">
        <v>807</v>
      </c>
      <c r="G16" s="1460" t="s">
        <v>808</v>
      </c>
      <c r="H16" s="1464" t="s">
        <v>809</v>
      </c>
      <c r="I16" s="1466" t="s">
        <v>810</v>
      </c>
      <c r="J16" s="1466" t="s">
        <v>811</v>
      </c>
      <c r="K16" s="1464" t="s">
        <v>812</v>
      </c>
      <c r="L16" s="1464" t="s">
        <v>813</v>
      </c>
      <c r="M16" s="1460" t="s">
        <v>814</v>
      </c>
      <c r="N16" s="1460" t="s">
        <v>815</v>
      </c>
      <c r="O16" s="1460" t="s">
        <v>816</v>
      </c>
      <c r="P16" s="1460" t="s">
        <v>817</v>
      </c>
      <c r="Q16" s="1460" t="s">
        <v>818</v>
      </c>
      <c r="R16" s="1460" t="s">
        <v>819</v>
      </c>
      <c r="S16" s="1466" t="s">
        <v>192</v>
      </c>
      <c r="T16" s="1466" t="s">
        <v>11</v>
      </c>
      <c r="U16" s="1466" t="s">
        <v>426</v>
      </c>
      <c r="V16" s="1466" t="s">
        <v>4</v>
      </c>
      <c r="W16" s="1466" t="s">
        <v>820</v>
      </c>
      <c r="X16" s="1466" t="s">
        <v>427</v>
      </c>
      <c r="Y16" s="1466" t="s">
        <v>248</v>
      </c>
      <c r="Z16" s="1466" t="s">
        <v>193</v>
      </c>
      <c r="AA16" s="1466" t="s">
        <v>186</v>
      </c>
      <c r="AB16" s="1466" t="s">
        <v>1395</v>
      </c>
      <c r="AC16" s="1466" t="s">
        <v>187</v>
      </c>
      <c r="AD16" s="1466" t="s">
        <v>857</v>
      </c>
      <c r="AE16" s="1466" t="s">
        <v>821</v>
      </c>
      <c r="AF16" s="1466" t="s">
        <v>822</v>
      </c>
      <c r="AG16" s="1469" t="s">
        <v>823</v>
      </c>
    </row>
    <row r="17" spans="1:33" ht="243.75" customHeight="1">
      <c r="A17" s="1460"/>
      <c r="B17" s="1463"/>
      <c r="C17" s="1460"/>
      <c r="D17" s="1460"/>
      <c r="E17" s="1460"/>
      <c r="F17" s="1460"/>
      <c r="G17" s="1460"/>
      <c r="H17" s="1465"/>
      <c r="I17" s="1467"/>
      <c r="J17" s="1467"/>
      <c r="K17" s="1465"/>
      <c r="L17" s="1465"/>
      <c r="M17" s="1460"/>
      <c r="N17" s="1460"/>
      <c r="O17" s="1460"/>
      <c r="P17" s="1460"/>
      <c r="Q17" s="1460"/>
      <c r="R17" s="1460"/>
      <c r="S17" s="1467"/>
      <c r="T17" s="1467"/>
      <c r="U17" s="1467"/>
      <c r="V17" s="1467"/>
      <c r="W17" s="1467"/>
      <c r="X17" s="1467"/>
      <c r="Y17" s="1467"/>
      <c r="Z17" s="1467"/>
      <c r="AA17" s="1467"/>
      <c r="AB17" s="1467"/>
      <c r="AC17" s="1467"/>
      <c r="AD17" s="1467"/>
      <c r="AE17" s="1467"/>
      <c r="AF17" s="1467"/>
      <c r="AG17" s="1469"/>
    </row>
    <row r="18" spans="1:33" ht="22.5" customHeight="1">
      <c r="A18" s="1470" t="s">
        <v>824</v>
      </c>
      <c r="B18" s="1471"/>
      <c r="C18" s="1471"/>
      <c r="D18" s="1471"/>
      <c r="E18" s="1471"/>
      <c r="F18" s="1471"/>
      <c r="G18" s="1471"/>
      <c r="H18" s="1471"/>
      <c r="I18" s="1471"/>
      <c r="J18" s="1471"/>
      <c r="K18" s="1471"/>
      <c r="L18" s="1471"/>
      <c r="M18" s="1471"/>
      <c r="N18" s="1471"/>
      <c r="O18" s="1471"/>
      <c r="P18" s="1471"/>
      <c r="Q18" s="1471"/>
      <c r="R18" s="1471"/>
      <c r="S18" s="1471"/>
      <c r="T18" s="1471"/>
      <c r="U18" s="1471"/>
      <c r="V18" s="1471"/>
      <c r="W18" s="1471"/>
      <c r="X18" s="1471"/>
      <c r="Y18" s="1471"/>
      <c r="Z18" s="1471"/>
      <c r="AA18" s="1471"/>
      <c r="AB18" s="1471"/>
      <c r="AC18" s="1471"/>
      <c r="AD18" s="1471"/>
      <c r="AE18" s="1471"/>
      <c r="AF18" s="1471"/>
      <c r="AG18" s="1471"/>
    </row>
    <row r="19" spans="1:33" ht="21.75" customHeight="1">
      <c r="A19" s="1126">
        <v>1</v>
      </c>
      <c r="B19" s="1127" t="s">
        <v>12</v>
      </c>
      <c r="C19" s="1128" t="s">
        <v>428</v>
      </c>
      <c r="D19" s="1126">
        <v>1</v>
      </c>
      <c r="E19" s="1126">
        <v>1</v>
      </c>
      <c r="F19" s="1126"/>
      <c r="G19" s="1129">
        <v>45146</v>
      </c>
      <c r="H19" s="1130">
        <v>80</v>
      </c>
      <c r="I19" s="1131">
        <f t="shared" ref="I19:I38" si="0">H19*17697</f>
        <v>1415760</v>
      </c>
      <c r="J19" s="1131">
        <f t="shared" ref="J19:J38" si="1">I19*10%</f>
        <v>141576</v>
      </c>
      <c r="K19" s="1131"/>
      <c r="L19" s="1131"/>
      <c r="M19" s="1131"/>
      <c r="N19" s="1131"/>
      <c r="O19" s="1131"/>
      <c r="P19" s="1131"/>
      <c r="Q19" s="1132"/>
      <c r="R19" s="1132"/>
      <c r="S19" s="1133">
        <f t="shared" ref="S19:S25" si="2">SUM(J19:R19)</f>
        <v>141576</v>
      </c>
      <c r="T19" s="1133">
        <f t="shared" ref="T19:T25" si="3">I19+S19</f>
        <v>1557336</v>
      </c>
      <c r="U19" s="1133">
        <f t="shared" ref="U19:U25" si="4">T19*10%</f>
        <v>155733.6</v>
      </c>
      <c r="V19" s="1133">
        <f t="shared" ref="V19:V25" si="5">((T19-U19-W19)-(14*4325))*10%</f>
        <v>130990.568</v>
      </c>
      <c r="W19" s="1133">
        <f t="shared" ref="W19:W25" si="6">T19*2%</f>
        <v>31146.720000000001</v>
      </c>
      <c r="X19" s="1133">
        <f t="shared" ref="X19:X25" si="7">T19-U19-V19-W19</f>
        <v>1239465.112</v>
      </c>
      <c r="Y19" s="1133">
        <f t="shared" ref="Y19:Y25" si="8">T19*12</f>
        <v>18688032</v>
      </c>
      <c r="Z19" s="1133">
        <f t="shared" ref="Z19:Z25" si="9">I19*2</f>
        <v>2831520</v>
      </c>
      <c r="AA19" s="1133">
        <f t="shared" ref="AA19:AA25" si="10">Y19+Z19</f>
        <v>21519552</v>
      </c>
      <c r="AB19" s="1133">
        <f t="shared" ref="AB19:AB25" si="11">AA19*3.5%</f>
        <v>753184.32000000007</v>
      </c>
      <c r="AC19" s="1133">
        <f>(AA19*0.9-(W19*12))*11%-AD19</f>
        <v>1120942.1376</v>
      </c>
      <c r="AD19" s="1133">
        <f>AA19*0.9*5%</f>
        <v>968379.84000000008</v>
      </c>
      <c r="AE19" s="1133">
        <f>AA19*3%</f>
        <v>645586.55999999994</v>
      </c>
      <c r="AF19" s="1133">
        <f>AA19+AC19+AD19+AE19+AB19</f>
        <v>25007644.8576</v>
      </c>
      <c r="AG19" s="1133" t="s">
        <v>3</v>
      </c>
    </row>
    <row r="20" spans="1:33" ht="31.5">
      <c r="A20" s="1126">
        <f>A19+1</f>
        <v>2</v>
      </c>
      <c r="B20" s="1134" t="s">
        <v>56</v>
      </c>
      <c r="C20" s="1135" t="s">
        <v>188</v>
      </c>
      <c r="D20" s="1472">
        <v>2</v>
      </c>
      <c r="E20" s="1126">
        <v>1</v>
      </c>
      <c r="F20" s="1126"/>
      <c r="G20" s="1129">
        <v>43395</v>
      </c>
      <c r="H20" s="1136">
        <v>32</v>
      </c>
      <c r="I20" s="1131">
        <f t="shared" si="0"/>
        <v>566304</v>
      </c>
      <c r="J20" s="1131">
        <f t="shared" si="1"/>
        <v>56630.400000000001</v>
      </c>
      <c r="K20" s="1131"/>
      <c r="L20" s="1131"/>
      <c r="M20" s="1131"/>
      <c r="N20" s="1131"/>
      <c r="O20" s="1131"/>
      <c r="P20" s="1131"/>
      <c r="Q20" s="1132"/>
      <c r="R20" s="1132"/>
      <c r="S20" s="1133">
        <f t="shared" si="2"/>
        <v>56630.400000000001</v>
      </c>
      <c r="T20" s="1133">
        <f t="shared" si="3"/>
        <v>622934.4</v>
      </c>
      <c r="U20" s="1133">
        <f t="shared" si="4"/>
        <v>62293.440000000002</v>
      </c>
      <c r="V20" s="1133">
        <f t="shared" si="5"/>
        <v>48763.227200000001</v>
      </c>
      <c r="W20" s="1133">
        <f t="shared" si="6"/>
        <v>12458.688</v>
      </c>
      <c r="X20" s="1133">
        <f t="shared" si="7"/>
        <v>499419.04479999992</v>
      </c>
      <c r="Y20" s="1133">
        <f t="shared" si="8"/>
        <v>7475212.8000000007</v>
      </c>
      <c r="Z20" s="1133">
        <f t="shared" si="9"/>
        <v>1132608</v>
      </c>
      <c r="AA20" s="1133">
        <f t="shared" si="10"/>
        <v>8607820.8000000007</v>
      </c>
      <c r="AB20" s="1133">
        <f t="shared" si="11"/>
        <v>301273.72800000006</v>
      </c>
      <c r="AC20" s="1133">
        <f t="shared" ref="AC20:AC25" si="12">(AA20*0.9-(W20*12))*11%-AD20</f>
        <v>448376.85503999999</v>
      </c>
      <c r="AD20" s="1133">
        <f t="shared" ref="AD20:AD25" si="13">AA20*0.9*5%</f>
        <v>387351.93600000005</v>
      </c>
      <c r="AE20" s="1133">
        <f t="shared" ref="AE20:AE25" si="14">AA20*3%</f>
        <v>258234.62400000001</v>
      </c>
      <c r="AF20" s="1133">
        <f t="shared" ref="AF20:AF25" si="15">AA20+AC20+AD20+AE20+AB20</f>
        <v>10003057.943040002</v>
      </c>
      <c r="AG20" s="1133" t="s">
        <v>3</v>
      </c>
    </row>
    <row r="21" spans="1:33" ht="31.5">
      <c r="A21" s="1126">
        <f t="shared" ref="A21:A38" si="16">A20+1</f>
        <v>3</v>
      </c>
      <c r="B21" s="1137" t="s">
        <v>56</v>
      </c>
      <c r="C21" s="1138" t="s">
        <v>225</v>
      </c>
      <c r="D21" s="1473"/>
      <c r="E21" s="1126">
        <v>1</v>
      </c>
      <c r="F21" s="1126"/>
      <c r="G21" s="1129">
        <v>44907</v>
      </c>
      <c r="H21" s="1139">
        <v>30</v>
      </c>
      <c r="I21" s="1131">
        <f t="shared" si="0"/>
        <v>530910</v>
      </c>
      <c r="J21" s="1131">
        <f t="shared" si="1"/>
        <v>53091</v>
      </c>
      <c r="K21" s="1131"/>
      <c r="L21" s="1131"/>
      <c r="M21" s="1131"/>
      <c r="N21" s="1131"/>
      <c r="O21" s="1131"/>
      <c r="P21" s="1131"/>
      <c r="Q21" s="1132"/>
      <c r="R21" s="1132"/>
      <c r="S21" s="1133">
        <f t="shared" si="2"/>
        <v>53091</v>
      </c>
      <c r="T21" s="1133">
        <f t="shared" si="3"/>
        <v>584001</v>
      </c>
      <c r="U21" s="1133">
        <f t="shared" si="4"/>
        <v>58400.100000000006</v>
      </c>
      <c r="V21" s="1133">
        <f t="shared" si="5"/>
        <v>45337.088000000003</v>
      </c>
      <c r="W21" s="1133">
        <f t="shared" si="6"/>
        <v>11680.02</v>
      </c>
      <c r="X21" s="1133">
        <f t="shared" si="7"/>
        <v>468583.79200000002</v>
      </c>
      <c r="Y21" s="1133">
        <f t="shared" si="8"/>
        <v>7008012</v>
      </c>
      <c r="Z21" s="1133">
        <f t="shared" si="9"/>
        <v>1061820</v>
      </c>
      <c r="AA21" s="1133">
        <f t="shared" si="10"/>
        <v>8069832</v>
      </c>
      <c r="AB21" s="1133">
        <f t="shared" si="11"/>
        <v>282444.12000000005</v>
      </c>
      <c r="AC21" s="1133">
        <f t="shared" si="12"/>
        <v>420353.30159999995</v>
      </c>
      <c r="AD21" s="1133">
        <f t="shared" si="13"/>
        <v>363142.44</v>
      </c>
      <c r="AE21" s="1133">
        <f t="shared" si="14"/>
        <v>242094.96</v>
      </c>
      <c r="AF21" s="1133">
        <f t="shared" si="15"/>
        <v>9377866.8215999994</v>
      </c>
      <c r="AG21" s="1133" t="s">
        <v>3</v>
      </c>
    </row>
    <row r="22" spans="1:33" ht="31.5">
      <c r="A22" s="1126">
        <f t="shared" si="16"/>
        <v>4</v>
      </c>
      <c r="B22" s="1134" t="s">
        <v>13</v>
      </c>
      <c r="C22" s="1140" t="s">
        <v>429</v>
      </c>
      <c r="D22" s="1472">
        <v>2</v>
      </c>
      <c r="E22" s="1126">
        <v>1</v>
      </c>
      <c r="F22" s="1126"/>
      <c r="G22" s="1129">
        <v>44844</v>
      </c>
      <c r="H22" s="1136">
        <v>30</v>
      </c>
      <c r="I22" s="1131">
        <f t="shared" si="0"/>
        <v>530910</v>
      </c>
      <c r="J22" s="1131">
        <f t="shared" si="1"/>
        <v>53091</v>
      </c>
      <c r="K22" s="1131"/>
      <c r="L22" s="1131"/>
      <c r="M22" s="1131"/>
      <c r="N22" s="1131"/>
      <c r="O22" s="1131"/>
      <c r="P22" s="1131"/>
      <c r="Q22" s="1132"/>
      <c r="R22" s="1132"/>
      <c r="S22" s="1133">
        <f t="shared" si="2"/>
        <v>53091</v>
      </c>
      <c r="T22" s="1133">
        <f t="shared" si="3"/>
        <v>584001</v>
      </c>
      <c r="U22" s="1133">
        <f t="shared" si="4"/>
        <v>58400.100000000006</v>
      </c>
      <c r="V22" s="1133">
        <f t="shared" si="5"/>
        <v>45337.088000000003</v>
      </c>
      <c r="W22" s="1133">
        <f t="shared" si="6"/>
        <v>11680.02</v>
      </c>
      <c r="X22" s="1133">
        <f t="shared" si="7"/>
        <v>468583.79200000002</v>
      </c>
      <c r="Y22" s="1133">
        <f t="shared" si="8"/>
        <v>7008012</v>
      </c>
      <c r="Z22" s="1133">
        <f t="shared" si="9"/>
        <v>1061820</v>
      </c>
      <c r="AA22" s="1133">
        <f t="shared" si="10"/>
        <v>8069832</v>
      </c>
      <c r="AB22" s="1133">
        <f t="shared" si="11"/>
        <v>282444.12000000005</v>
      </c>
      <c r="AC22" s="1133">
        <f t="shared" si="12"/>
        <v>420353.30159999995</v>
      </c>
      <c r="AD22" s="1133">
        <f t="shared" si="13"/>
        <v>363142.44</v>
      </c>
      <c r="AE22" s="1133">
        <f t="shared" si="14"/>
        <v>242094.96</v>
      </c>
      <c r="AF22" s="1133">
        <f t="shared" si="15"/>
        <v>9377866.8215999994</v>
      </c>
      <c r="AG22" s="1133" t="s">
        <v>3</v>
      </c>
    </row>
    <row r="23" spans="1:33" ht="31.5">
      <c r="A23" s="1126">
        <f t="shared" si="16"/>
        <v>5</v>
      </c>
      <c r="B23" s="1134" t="s">
        <v>13</v>
      </c>
      <c r="C23" s="1140" t="s">
        <v>430</v>
      </c>
      <c r="D23" s="1473"/>
      <c r="E23" s="1126">
        <v>1</v>
      </c>
      <c r="F23" s="1126"/>
      <c r="G23" s="1129">
        <v>44805</v>
      </c>
      <c r="H23" s="1136">
        <v>30</v>
      </c>
      <c r="I23" s="1131">
        <f t="shared" si="0"/>
        <v>530910</v>
      </c>
      <c r="J23" s="1131">
        <f t="shared" si="1"/>
        <v>53091</v>
      </c>
      <c r="K23" s="1131"/>
      <c r="L23" s="1131"/>
      <c r="M23" s="1131"/>
      <c r="N23" s="1131"/>
      <c r="O23" s="1131"/>
      <c r="P23" s="1131"/>
      <c r="Q23" s="1132"/>
      <c r="R23" s="1132"/>
      <c r="S23" s="1133">
        <f t="shared" si="2"/>
        <v>53091</v>
      </c>
      <c r="T23" s="1133">
        <f t="shared" si="3"/>
        <v>584001</v>
      </c>
      <c r="U23" s="1133">
        <f t="shared" si="4"/>
        <v>58400.100000000006</v>
      </c>
      <c r="V23" s="1133">
        <f t="shared" si="5"/>
        <v>45337.088000000003</v>
      </c>
      <c r="W23" s="1133">
        <f t="shared" si="6"/>
        <v>11680.02</v>
      </c>
      <c r="X23" s="1133">
        <f t="shared" si="7"/>
        <v>468583.79200000002</v>
      </c>
      <c r="Y23" s="1133">
        <f t="shared" si="8"/>
        <v>7008012</v>
      </c>
      <c r="Z23" s="1133">
        <f t="shared" si="9"/>
        <v>1061820</v>
      </c>
      <c r="AA23" s="1133">
        <f t="shared" si="10"/>
        <v>8069832</v>
      </c>
      <c r="AB23" s="1133">
        <f t="shared" si="11"/>
        <v>282444.12000000005</v>
      </c>
      <c r="AC23" s="1133">
        <f t="shared" si="12"/>
        <v>420353.30159999995</v>
      </c>
      <c r="AD23" s="1133">
        <f t="shared" si="13"/>
        <v>363142.44</v>
      </c>
      <c r="AE23" s="1133">
        <f t="shared" si="14"/>
        <v>242094.96</v>
      </c>
      <c r="AF23" s="1133">
        <f t="shared" si="15"/>
        <v>9377866.8215999994</v>
      </c>
      <c r="AG23" s="1133" t="s">
        <v>3</v>
      </c>
    </row>
    <row r="24" spans="1:33" ht="47.25">
      <c r="A24" s="1126">
        <f t="shared" si="16"/>
        <v>6</v>
      </c>
      <c r="B24" s="1137" t="s">
        <v>431</v>
      </c>
      <c r="C24" s="325" t="s">
        <v>206</v>
      </c>
      <c r="D24" s="1126">
        <v>1</v>
      </c>
      <c r="E24" s="1126">
        <v>1</v>
      </c>
      <c r="F24" s="1126"/>
      <c r="G24" s="1129">
        <v>45216</v>
      </c>
      <c r="H24" s="1139">
        <v>30</v>
      </c>
      <c r="I24" s="1131">
        <f t="shared" si="0"/>
        <v>530910</v>
      </c>
      <c r="J24" s="1131">
        <f t="shared" si="1"/>
        <v>53091</v>
      </c>
      <c r="K24" s="1131"/>
      <c r="L24" s="1131"/>
      <c r="M24" s="1131"/>
      <c r="N24" s="1131"/>
      <c r="O24" s="1131"/>
      <c r="P24" s="1131"/>
      <c r="Q24" s="1132"/>
      <c r="R24" s="1132"/>
      <c r="S24" s="1133">
        <f t="shared" si="2"/>
        <v>53091</v>
      </c>
      <c r="T24" s="1133">
        <f t="shared" si="3"/>
        <v>584001</v>
      </c>
      <c r="U24" s="1133">
        <f t="shared" si="4"/>
        <v>58400.100000000006</v>
      </c>
      <c r="V24" s="1133">
        <f t="shared" si="5"/>
        <v>45337.088000000003</v>
      </c>
      <c r="W24" s="1133">
        <f t="shared" si="6"/>
        <v>11680.02</v>
      </c>
      <c r="X24" s="1133">
        <f t="shared" si="7"/>
        <v>468583.79200000002</v>
      </c>
      <c r="Y24" s="1133">
        <f t="shared" si="8"/>
        <v>7008012</v>
      </c>
      <c r="Z24" s="1133">
        <f t="shared" si="9"/>
        <v>1061820</v>
      </c>
      <c r="AA24" s="1133">
        <f t="shared" si="10"/>
        <v>8069832</v>
      </c>
      <c r="AB24" s="1133">
        <f t="shared" si="11"/>
        <v>282444.12000000005</v>
      </c>
      <c r="AC24" s="1133">
        <f t="shared" si="12"/>
        <v>420353.30159999995</v>
      </c>
      <c r="AD24" s="1133">
        <f t="shared" si="13"/>
        <v>363142.44</v>
      </c>
      <c r="AE24" s="1133">
        <f t="shared" si="14"/>
        <v>242094.96</v>
      </c>
      <c r="AF24" s="1133">
        <f t="shared" si="15"/>
        <v>9377866.8215999994</v>
      </c>
      <c r="AG24" s="1133" t="s">
        <v>3</v>
      </c>
    </row>
    <row r="25" spans="1:33" ht="31.5">
      <c r="A25" s="1126">
        <f t="shared" si="16"/>
        <v>7</v>
      </c>
      <c r="B25" s="1134" t="s">
        <v>50</v>
      </c>
      <c r="C25" s="1140" t="s">
        <v>116</v>
      </c>
      <c r="D25" s="1126">
        <v>1</v>
      </c>
      <c r="E25" s="1126">
        <v>1</v>
      </c>
      <c r="F25" s="1126"/>
      <c r="G25" s="1129">
        <v>43355</v>
      </c>
      <c r="H25" s="1136">
        <v>32</v>
      </c>
      <c r="I25" s="1131">
        <f t="shared" si="0"/>
        <v>566304</v>
      </c>
      <c r="J25" s="1131">
        <f t="shared" si="1"/>
        <v>56630.400000000001</v>
      </c>
      <c r="K25" s="1131"/>
      <c r="L25" s="1131"/>
      <c r="M25" s="1131"/>
      <c r="N25" s="1131"/>
      <c r="O25" s="1131"/>
      <c r="P25" s="1131"/>
      <c r="Q25" s="1132"/>
      <c r="R25" s="1132"/>
      <c r="S25" s="1133">
        <f t="shared" si="2"/>
        <v>56630.400000000001</v>
      </c>
      <c r="T25" s="1133">
        <f t="shared" si="3"/>
        <v>622934.4</v>
      </c>
      <c r="U25" s="1133">
        <f t="shared" si="4"/>
        <v>62293.440000000002</v>
      </c>
      <c r="V25" s="1133">
        <f t="shared" si="5"/>
        <v>48763.227200000001</v>
      </c>
      <c r="W25" s="1133">
        <f t="shared" si="6"/>
        <v>12458.688</v>
      </c>
      <c r="X25" s="1133">
        <f t="shared" si="7"/>
        <v>499419.04479999992</v>
      </c>
      <c r="Y25" s="1133">
        <f t="shared" si="8"/>
        <v>7475212.8000000007</v>
      </c>
      <c r="Z25" s="1133">
        <f t="shared" si="9"/>
        <v>1132608</v>
      </c>
      <c r="AA25" s="1133">
        <f t="shared" si="10"/>
        <v>8607820.8000000007</v>
      </c>
      <c r="AB25" s="1133">
        <f t="shared" si="11"/>
        <v>301273.72800000006</v>
      </c>
      <c r="AC25" s="1133">
        <f t="shared" si="12"/>
        <v>448376.85503999999</v>
      </c>
      <c r="AD25" s="1133">
        <f t="shared" si="13"/>
        <v>387351.93600000005</v>
      </c>
      <c r="AE25" s="1133">
        <f t="shared" si="14"/>
        <v>258234.62400000001</v>
      </c>
      <c r="AF25" s="1133">
        <f t="shared" si="15"/>
        <v>10003057.943040002</v>
      </c>
      <c r="AG25" s="1133" t="s">
        <v>3</v>
      </c>
    </row>
    <row r="26" spans="1:33" ht="18" customHeight="1">
      <c r="A26" s="1141"/>
      <c r="B26" s="1142" t="s">
        <v>2455</v>
      </c>
      <c r="C26" s="1143"/>
      <c r="D26" s="1144">
        <f>SUM(D19:D25)</f>
        <v>7</v>
      </c>
      <c r="E26" s="1145">
        <f t="shared" ref="E26:AF26" si="17">SUM(E19:E25)</f>
        <v>7</v>
      </c>
      <c r="F26" s="1146">
        <f t="shared" si="17"/>
        <v>0</v>
      </c>
      <c r="G26" s="1146"/>
      <c r="H26" s="1146"/>
      <c r="I26" s="1147">
        <f t="shared" si="17"/>
        <v>4672008</v>
      </c>
      <c r="J26" s="1147">
        <f t="shared" si="17"/>
        <v>467200.80000000005</v>
      </c>
      <c r="K26" s="1147">
        <f t="shared" si="17"/>
        <v>0</v>
      </c>
      <c r="L26" s="1147">
        <f t="shared" si="17"/>
        <v>0</v>
      </c>
      <c r="M26" s="1147">
        <f t="shared" si="17"/>
        <v>0</v>
      </c>
      <c r="N26" s="1147">
        <f t="shared" si="17"/>
        <v>0</v>
      </c>
      <c r="O26" s="1147">
        <f t="shared" si="17"/>
        <v>0</v>
      </c>
      <c r="P26" s="1147">
        <f t="shared" si="17"/>
        <v>0</v>
      </c>
      <c r="Q26" s="1147">
        <f t="shared" si="17"/>
        <v>0</v>
      </c>
      <c r="R26" s="1147">
        <f t="shared" si="17"/>
        <v>0</v>
      </c>
      <c r="S26" s="1147">
        <f t="shared" si="17"/>
        <v>467200.80000000005</v>
      </c>
      <c r="T26" s="1147">
        <f t="shared" si="17"/>
        <v>5139208.8000000007</v>
      </c>
      <c r="U26" s="1147">
        <f t="shared" si="17"/>
        <v>513920.87999999995</v>
      </c>
      <c r="V26" s="1147">
        <f t="shared" si="17"/>
        <v>409865.37439999997</v>
      </c>
      <c r="W26" s="1147">
        <f t="shared" si="17"/>
        <v>102784.17600000001</v>
      </c>
      <c r="X26" s="1147">
        <f t="shared" si="17"/>
        <v>4112638.3695999994</v>
      </c>
      <c r="Y26" s="1147">
        <f t="shared" si="17"/>
        <v>61670505.599999994</v>
      </c>
      <c r="Z26" s="1147">
        <f t="shared" si="17"/>
        <v>9344016</v>
      </c>
      <c r="AA26" s="1147">
        <f t="shared" si="17"/>
        <v>71014521.599999994</v>
      </c>
      <c r="AB26" s="1147">
        <f t="shared" si="17"/>
        <v>2485508.2560000005</v>
      </c>
      <c r="AC26" s="1147">
        <f t="shared" si="17"/>
        <v>3699109.0540799997</v>
      </c>
      <c r="AD26" s="1147">
        <f t="shared" si="17"/>
        <v>3195653.4720000001</v>
      </c>
      <c r="AE26" s="1147">
        <f t="shared" si="17"/>
        <v>2130435.6479999996</v>
      </c>
      <c r="AF26" s="1147">
        <f t="shared" si="17"/>
        <v>82525228.030079991</v>
      </c>
      <c r="AG26" s="1146"/>
    </row>
    <row r="27" spans="1:33" ht="49.5" customHeight="1">
      <c r="A27" s="1126">
        <f>A25+1</f>
        <v>8</v>
      </c>
      <c r="B27" s="1134" t="s">
        <v>892</v>
      </c>
      <c r="C27" s="1140" t="s">
        <v>432</v>
      </c>
      <c r="D27" s="1472">
        <v>2</v>
      </c>
      <c r="E27" s="1126">
        <v>1</v>
      </c>
      <c r="F27" s="1126"/>
      <c r="G27" s="1129">
        <v>42263</v>
      </c>
      <c r="H27" s="1139">
        <v>35</v>
      </c>
      <c r="I27" s="1131">
        <f t="shared" si="0"/>
        <v>619395</v>
      </c>
      <c r="J27" s="1131">
        <f t="shared" si="1"/>
        <v>61939.5</v>
      </c>
      <c r="K27" s="1131"/>
      <c r="L27" s="1131"/>
      <c r="M27" s="1131"/>
      <c r="N27" s="1131"/>
      <c r="O27" s="1131"/>
      <c r="P27" s="1131"/>
      <c r="Q27" s="1132"/>
      <c r="R27" s="1132"/>
      <c r="S27" s="1133">
        <f t="shared" ref="S27:S38" si="18">SUM(J27:R27)</f>
        <v>61939.5</v>
      </c>
      <c r="T27" s="1133">
        <f t="shared" ref="T27:T38" si="19">I27+S27</f>
        <v>681334.5</v>
      </c>
      <c r="U27" s="1133">
        <f t="shared" ref="U27:U38" si="20">T27*10%</f>
        <v>68133.45</v>
      </c>
      <c r="V27" s="1133">
        <f t="shared" ref="V27:V38" si="21">((T27-U27-W27)-(14*4325))*10%</f>
        <v>53902.436000000016</v>
      </c>
      <c r="W27" s="1133">
        <f t="shared" ref="W27:W38" si="22">T27*2%</f>
        <v>13626.69</v>
      </c>
      <c r="X27" s="1133">
        <f t="shared" ref="X27:X38" si="23">T27-U27-V27-W27</f>
        <v>545671.92400000012</v>
      </c>
      <c r="Y27" s="1133">
        <f t="shared" ref="Y27:Y38" si="24">T27*12</f>
        <v>8176014</v>
      </c>
      <c r="Z27" s="1133">
        <f t="shared" ref="Z27:Z38" si="25">I27*2</f>
        <v>1238790</v>
      </c>
      <c r="AA27" s="1133">
        <f t="shared" ref="AA27:AA38" si="26">Y27+Z27</f>
        <v>9414804</v>
      </c>
      <c r="AB27" s="1133">
        <f t="shared" ref="AB27:AB38" si="27">AA27*3.5%</f>
        <v>329518.14</v>
      </c>
      <c r="AC27" s="1133">
        <f t="shared" ref="AC27:AC38" si="28">(AA27*0.9-(W27*12))*11%-AD27</f>
        <v>490412.18519999989</v>
      </c>
      <c r="AD27" s="1133">
        <f t="shared" ref="AD27:AD38" si="29">AA27*0.9*5%</f>
        <v>423666.18</v>
      </c>
      <c r="AE27" s="1133">
        <f t="shared" ref="AE27:AE38" si="30">AA27*3%</f>
        <v>282444.12</v>
      </c>
      <c r="AF27" s="1133">
        <f t="shared" ref="AF27:AF38" si="31">AA27+AC27+AD27+AE27+AB27</f>
        <v>10940844.6252</v>
      </c>
      <c r="AG27" s="1133" t="s">
        <v>3</v>
      </c>
    </row>
    <row r="28" spans="1:33" ht="37.5" customHeight="1">
      <c r="A28" s="1126">
        <f t="shared" si="16"/>
        <v>9</v>
      </c>
      <c r="B28" s="1134" t="s">
        <v>825</v>
      </c>
      <c r="C28" s="1140" t="s">
        <v>433</v>
      </c>
      <c r="D28" s="1473"/>
      <c r="E28" s="1126">
        <v>1</v>
      </c>
      <c r="F28" s="1126"/>
      <c r="G28" s="1129">
        <v>44106</v>
      </c>
      <c r="H28" s="1136">
        <v>24</v>
      </c>
      <c r="I28" s="1131">
        <f t="shared" si="0"/>
        <v>424728</v>
      </c>
      <c r="J28" s="1131">
        <f t="shared" si="1"/>
        <v>42472.800000000003</v>
      </c>
      <c r="K28" s="1131"/>
      <c r="L28" s="1131"/>
      <c r="M28" s="1131"/>
      <c r="N28" s="1131"/>
      <c r="O28" s="1131"/>
      <c r="P28" s="1131"/>
      <c r="Q28" s="1132"/>
      <c r="R28" s="1132"/>
      <c r="S28" s="1133">
        <f t="shared" si="18"/>
        <v>42472.800000000003</v>
      </c>
      <c r="T28" s="1133">
        <f t="shared" si="19"/>
        <v>467200.8</v>
      </c>
      <c r="U28" s="1133">
        <f t="shared" si="20"/>
        <v>46720.08</v>
      </c>
      <c r="V28" s="1133">
        <f t="shared" si="21"/>
        <v>35058.670399999995</v>
      </c>
      <c r="W28" s="1133">
        <f t="shared" si="22"/>
        <v>9344.0159999999996</v>
      </c>
      <c r="X28" s="1133">
        <f t="shared" si="23"/>
        <v>376078.03359999997</v>
      </c>
      <c r="Y28" s="1133">
        <f t="shared" si="24"/>
        <v>5606409.5999999996</v>
      </c>
      <c r="Z28" s="1133">
        <f t="shared" si="25"/>
        <v>849456</v>
      </c>
      <c r="AA28" s="1133">
        <f t="shared" si="26"/>
        <v>6455865.5999999996</v>
      </c>
      <c r="AB28" s="1133">
        <f t="shared" si="27"/>
        <v>225955.296</v>
      </c>
      <c r="AC28" s="1133">
        <f t="shared" si="28"/>
        <v>336282.64128000004</v>
      </c>
      <c r="AD28" s="1133">
        <f t="shared" si="29"/>
        <v>290513.95199999999</v>
      </c>
      <c r="AE28" s="1133">
        <f t="shared" si="30"/>
        <v>193675.96799999999</v>
      </c>
      <c r="AF28" s="1133">
        <f t="shared" si="31"/>
        <v>7502293.4572799997</v>
      </c>
      <c r="AG28" s="1133" t="s">
        <v>3</v>
      </c>
    </row>
    <row r="29" spans="1:33">
      <c r="A29" s="1126">
        <f t="shared" si="16"/>
        <v>10</v>
      </c>
      <c r="B29" s="1134" t="s">
        <v>52</v>
      </c>
      <c r="C29" s="1134" t="s">
        <v>434</v>
      </c>
      <c r="D29" s="1126">
        <v>1</v>
      </c>
      <c r="E29" s="1126">
        <v>1</v>
      </c>
      <c r="F29" s="1126"/>
      <c r="G29" s="1148">
        <v>44853</v>
      </c>
      <c r="H29" s="1136">
        <v>30</v>
      </c>
      <c r="I29" s="1131">
        <f t="shared" si="0"/>
        <v>530910</v>
      </c>
      <c r="J29" s="1131">
        <f t="shared" si="1"/>
        <v>53091</v>
      </c>
      <c r="K29" s="1131"/>
      <c r="L29" s="1131"/>
      <c r="M29" s="1131"/>
      <c r="N29" s="1131"/>
      <c r="O29" s="1131"/>
      <c r="P29" s="1131"/>
      <c r="Q29" s="1132"/>
      <c r="R29" s="1132"/>
      <c r="S29" s="1133">
        <f t="shared" si="18"/>
        <v>53091</v>
      </c>
      <c r="T29" s="1133">
        <f t="shared" si="19"/>
        <v>584001</v>
      </c>
      <c r="U29" s="1133">
        <f t="shared" si="20"/>
        <v>58400.100000000006</v>
      </c>
      <c r="V29" s="1133">
        <f t="shared" si="21"/>
        <v>45337.088000000003</v>
      </c>
      <c r="W29" s="1133">
        <f t="shared" si="22"/>
        <v>11680.02</v>
      </c>
      <c r="X29" s="1133">
        <f t="shared" si="23"/>
        <v>468583.79200000002</v>
      </c>
      <c r="Y29" s="1133">
        <f t="shared" si="24"/>
        <v>7008012</v>
      </c>
      <c r="Z29" s="1133">
        <f t="shared" si="25"/>
        <v>1061820</v>
      </c>
      <c r="AA29" s="1133">
        <f t="shared" si="26"/>
        <v>8069832</v>
      </c>
      <c r="AB29" s="1133">
        <f t="shared" si="27"/>
        <v>282444.12000000005</v>
      </c>
      <c r="AC29" s="1133">
        <f t="shared" si="28"/>
        <v>420353.30159999995</v>
      </c>
      <c r="AD29" s="1133">
        <f t="shared" si="29"/>
        <v>363142.44</v>
      </c>
      <c r="AE29" s="1133">
        <f t="shared" si="30"/>
        <v>242094.96</v>
      </c>
      <c r="AF29" s="1133">
        <f t="shared" si="31"/>
        <v>9377866.8215999994</v>
      </c>
      <c r="AG29" s="1133" t="s">
        <v>3</v>
      </c>
    </row>
    <row r="30" spans="1:33">
      <c r="A30" s="1126">
        <f t="shared" si="16"/>
        <v>11</v>
      </c>
      <c r="B30" s="1134" t="s">
        <v>435</v>
      </c>
      <c r="C30" s="1134" t="s">
        <v>436</v>
      </c>
      <c r="D30" s="1126">
        <v>1</v>
      </c>
      <c r="E30" s="1126">
        <v>1</v>
      </c>
      <c r="F30" s="1126"/>
      <c r="G30" s="1129">
        <v>43710</v>
      </c>
      <c r="H30" s="1136">
        <v>35</v>
      </c>
      <c r="I30" s="1131">
        <f t="shared" si="0"/>
        <v>619395</v>
      </c>
      <c r="J30" s="1131">
        <f t="shared" si="1"/>
        <v>61939.5</v>
      </c>
      <c r="K30" s="1131"/>
      <c r="L30" s="1131"/>
      <c r="M30" s="1131"/>
      <c r="N30" s="1131"/>
      <c r="O30" s="1131"/>
      <c r="P30" s="1131"/>
      <c r="Q30" s="1132"/>
      <c r="R30" s="1132"/>
      <c r="S30" s="1133">
        <f t="shared" si="18"/>
        <v>61939.5</v>
      </c>
      <c r="T30" s="1133">
        <f t="shared" si="19"/>
        <v>681334.5</v>
      </c>
      <c r="U30" s="1133">
        <f t="shared" si="20"/>
        <v>68133.45</v>
      </c>
      <c r="V30" s="1133">
        <f t="shared" si="21"/>
        <v>53902.436000000016</v>
      </c>
      <c r="W30" s="1133">
        <f t="shared" si="22"/>
        <v>13626.69</v>
      </c>
      <c r="X30" s="1133">
        <f t="shared" si="23"/>
        <v>545671.92400000012</v>
      </c>
      <c r="Y30" s="1133">
        <f t="shared" si="24"/>
        <v>8176014</v>
      </c>
      <c r="Z30" s="1133">
        <f t="shared" si="25"/>
        <v>1238790</v>
      </c>
      <c r="AA30" s="1133">
        <f t="shared" si="26"/>
        <v>9414804</v>
      </c>
      <c r="AB30" s="1133">
        <f t="shared" si="27"/>
        <v>329518.14</v>
      </c>
      <c r="AC30" s="1133">
        <f t="shared" si="28"/>
        <v>490412.18519999989</v>
      </c>
      <c r="AD30" s="1133">
        <f t="shared" si="29"/>
        <v>423666.18</v>
      </c>
      <c r="AE30" s="1133">
        <f t="shared" si="30"/>
        <v>282444.12</v>
      </c>
      <c r="AF30" s="1133">
        <f t="shared" si="31"/>
        <v>10940844.6252</v>
      </c>
      <c r="AG30" s="1133" t="s">
        <v>3</v>
      </c>
    </row>
    <row r="31" spans="1:33" ht="31.5">
      <c r="A31" s="1126">
        <f t="shared" si="16"/>
        <v>12</v>
      </c>
      <c r="B31" s="1149" t="s">
        <v>437</v>
      </c>
      <c r="C31" s="1150" t="s">
        <v>438</v>
      </c>
      <c r="D31" s="1151">
        <v>1</v>
      </c>
      <c r="E31" s="1151">
        <v>1</v>
      </c>
      <c r="F31" s="1151"/>
      <c r="G31" s="1129">
        <v>44105</v>
      </c>
      <c r="H31" s="1152">
        <v>30</v>
      </c>
      <c r="I31" s="1153">
        <f t="shared" si="0"/>
        <v>530910</v>
      </c>
      <c r="J31" s="1153">
        <f t="shared" si="1"/>
        <v>53091</v>
      </c>
      <c r="K31" s="1153"/>
      <c r="L31" s="1153"/>
      <c r="M31" s="1153"/>
      <c r="N31" s="1153"/>
      <c r="O31" s="1153"/>
      <c r="P31" s="1153"/>
      <c r="Q31" s="1154"/>
      <c r="R31" s="1154"/>
      <c r="S31" s="1133">
        <f t="shared" si="18"/>
        <v>53091</v>
      </c>
      <c r="T31" s="1133">
        <f t="shared" si="19"/>
        <v>584001</v>
      </c>
      <c r="U31" s="1133">
        <f t="shared" si="20"/>
        <v>58400.100000000006</v>
      </c>
      <c r="V31" s="1133">
        <f t="shared" si="21"/>
        <v>45337.088000000003</v>
      </c>
      <c r="W31" s="1133">
        <f t="shared" si="22"/>
        <v>11680.02</v>
      </c>
      <c r="X31" s="1133">
        <f t="shared" si="23"/>
        <v>468583.79200000002</v>
      </c>
      <c r="Y31" s="1133">
        <f t="shared" si="24"/>
        <v>7008012</v>
      </c>
      <c r="Z31" s="1133">
        <f t="shared" si="25"/>
        <v>1061820</v>
      </c>
      <c r="AA31" s="1133">
        <f t="shared" si="26"/>
        <v>8069832</v>
      </c>
      <c r="AB31" s="1133">
        <f t="shared" si="27"/>
        <v>282444.12000000005</v>
      </c>
      <c r="AC31" s="1133">
        <f t="shared" si="28"/>
        <v>420353.30159999995</v>
      </c>
      <c r="AD31" s="1133">
        <f t="shared" si="29"/>
        <v>363142.44</v>
      </c>
      <c r="AE31" s="1133">
        <f t="shared" si="30"/>
        <v>242094.96</v>
      </c>
      <c r="AF31" s="1133">
        <f t="shared" si="31"/>
        <v>9377866.8215999994</v>
      </c>
      <c r="AG31" s="1133" t="s">
        <v>3</v>
      </c>
    </row>
    <row r="32" spans="1:33">
      <c r="A32" s="1126">
        <f t="shared" si="16"/>
        <v>13</v>
      </c>
      <c r="B32" s="1137" t="s">
        <v>46</v>
      </c>
      <c r="C32" s="1137" t="s">
        <v>893</v>
      </c>
      <c r="D32" s="1474">
        <v>2</v>
      </c>
      <c r="E32" s="1126">
        <v>1</v>
      </c>
      <c r="F32" s="1126"/>
      <c r="G32" s="1155">
        <v>44939</v>
      </c>
      <c r="H32" s="1139">
        <v>23</v>
      </c>
      <c r="I32" s="1131">
        <f>H32*17697</f>
        <v>407031</v>
      </c>
      <c r="J32" s="1131">
        <f t="shared" si="1"/>
        <v>40703.100000000006</v>
      </c>
      <c r="K32" s="1131"/>
      <c r="L32" s="1131"/>
      <c r="M32" s="1131"/>
      <c r="N32" s="1131"/>
      <c r="O32" s="1131"/>
      <c r="P32" s="1131"/>
      <c r="Q32" s="1132"/>
      <c r="R32" s="1132"/>
      <c r="S32" s="1133">
        <f t="shared" si="18"/>
        <v>40703.100000000006</v>
      </c>
      <c r="T32" s="1133">
        <f t="shared" si="19"/>
        <v>447734.1</v>
      </c>
      <c r="U32" s="1133">
        <f t="shared" si="20"/>
        <v>44773.41</v>
      </c>
      <c r="V32" s="1133">
        <f t="shared" si="21"/>
        <v>33345.6008</v>
      </c>
      <c r="W32" s="1133">
        <f t="shared" si="22"/>
        <v>8954.6819999999989</v>
      </c>
      <c r="X32" s="1133">
        <f t="shared" si="23"/>
        <v>360660.40719999996</v>
      </c>
      <c r="Y32" s="1133">
        <f t="shared" si="24"/>
        <v>5372809.1999999993</v>
      </c>
      <c r="Z32" s="1133">
        <f t="shared" si="25"/>
        <v>814062</v>
      </c>
      <c r="AA32" s="1133">
        <f t="shared" si="26"/>
        <v>6186871.1999999993</v>
      </c>
      <c r="AB32" s="1133">
        <f t="shared" si="27"/>
        <v>216540.492</v>
      </c>
      <c r="AC32" s="1133">
        <f t="shared" si="28"/>
        <v>322270.86455999996</v>
      </c>
      <c r="AD32" s="1133">
        <f t="shared" si="29"/>
        <v>278409.20399999997</v>
      </c>
      <c r="AE32" s="1133">
        <f t="shared" si="30"/>
        <v>185606.13599999997</v>
      </c>
      <c r="AF32" s="1133">
        <f t="shared" si="31"/>
        <v>7189697.8965599984</v>
      </c>
      <c r="AG32" s="1133" t="s">
        <v>3</v>
      </c>
    </row>
    <row r="33" spans="1:33">
      <c r="A33" s="1126">
        <f t="shared" si="16"/>
        <v>14</v>
      </c>
      <c r="B33" s="1156" t="s">
        <v>46</v>
      </c>
      <c r="C33" s="1137" t="s">
        <v>894</v>
      </c>
      <c r="D33" s="1474"/>
      <c r="E33" s="1126">
        <v>1</v>
      </c>
      <c r="F33" s="1126"/>
      <c r="G33" s="1129">
        <v>41860</v>
      </c>
      <c r="H33" s="1139">
        <v>23</v>
      </c>
      <c r="I33" s="1131">
        <f t="shared" si="0"/>
        <v>407031</v>
      </c>
      <c r="J33" s="1131">
        <f t="shared" si="1"/>
        <v>40703.100000000006</v>
      </c>
      <c r="K33" s="1131"/>
      <c r="L33" s="1131"/>
      <c r="M33" s="1131"/>
      <c r="N33" s="1131"/>
      <c r="O33" s="1131"/>
      <c r="P33" s="1131"/>
      <c r="Q33" s="1132"/>
      <c r="R33" s="1132"/>
      <c r="S33" s="1133">
        <f t="shared" si="18"/>
        <v>40703.100000000006</v>
      </c>
      <c r="T33" s="1133">
        <f t="shared" si="19"/>
        <v>447734.1</v>
      </c>
      <c r="U33" s="1133">
        <f t="shared" si="20"/>
        <v>44773.41</v>
      </c>
      <c r="V33" s="1133">
        <f t="shared" si="21"/>
        <v>33345.6008</v>
      </c>
      <c r="W33" s="1133">
        <f t="shared" si="22"/>
        <v>8954.6819999999989</v>
      </c>
      <c r="X33" s="1133">
        <f t="shared" si="23"/>
        <v>360660.40719999996</v>
      </c>
      <c r="Y33" s="1133">
        <f t="shared" si="24"/>
        <v>5372809.1999999993</v>
      </c>
      <c r="Z33" s="1133">
        <f t="shared" si="25"/>
        <v>814062</v>
      </c>
      <c r="AA33" s="1133">
        <f t="shared" si="26"/>
        <v>6186871.1999999993</v>
      </c>
      <c r="AB33" s="1133">
        <f t="shared" si="27"/>
        <v>216540.492</v>
      </c>
      <c r="AC33" s="1133">
        <f t="shared" si="28"/>
        <v>322270.86455999996</v>
      </c>
      <c r="AD33" s="1133">
        <f t="shared" si="29"/>
        <v>278409.20399999997</v>
      </c>
      <c r="AE33" s="1133">
        <f t="shared" si="30"/>
        <v>185606.13599999997</v>
      </c>
      <c r="AF33" s="1133">
        <f t="shared" si="31"/>
        <v>7189697.8965599984</v>
      </c>
      <c r="AG33" s="1133" t="s">
        <v>3</v>
      </c>
    </row>
    <row r="34" spans="1:33">
      <c r="A34" s="1126">
        <f t="shared" si="16"/>
        <v>15</v>
      </c>
      <c r="B34" s="1156" t="s">
        <v>439</v>
      </c>
      <c r="C34" s="1157" t="s">
        <v>440</v>
      </c>
      <c r="D34" s="1126">
        <v>1</v>
      </c>
      <c r="E34" s="1126">
        <v>1</v>
      </c>
      <c r="F34" s="1126"/>
      <c r="G34" s="1148">
        <v>45019</v>
      </c>
      <c r="H34" s="1139">
        <v>28</v>
      </c>
      <c r="I34" s="1131">
        <f t="shared" si="0"/>
        <v>495516</v>
      </c>
      <c r="J34" s="1131">
        <f t="shared" si="1"/>
        <v>49551.600000000006</v>
      </c>
      <c r="K34" s="1131"/>
      <c r="L34" s="1131"/>
      <c r="M34" s="1131"/>
      <c r="N34" s="1131"/>
      <c r="O34" s="1131"/>
      <c r="P34" s="1131"/>
      <c r="Q34" s="1132"/>
      <c r="R34" s="1132"/>
      <c r="S34" s="1133">
        <f t="shared" si="18"/>
        <v>49551.600000000006</v>
      </c>
      <c r="T34" s="1133">
        <f t="shared" si="19"/>
        <v>545067.6</v>
      </c>
      <c r="U34" s="1133">
        <f t="shared" si="20"/>
        <v>54506.76</v>
      </c>
      <c r="V34" s="1133">
        <f t="shared" si="21"/>
        <v>41910.948799999998</v>
      </c>
      <c r="W34" s="1133">
        <f t="shared" si="22"/>
        <v>10901.351999999999</v>
      </c>
      <c r="X34" s="1133">
        <f t="shared" si="23"/>
        <v>437748.53919999994</v>
      </c>
      <c r="Y34" s="1133">
        <f t="shared" si="24"/>
        <v>6540811.1999999993</v>
      </c>
      <c r="Z34" s="1133">
        <f t="shared" si="25"/>
        <v>991032</v>
      </c>
      <c r="AA34" s="1133">
        <f t="shared" si="26"/>
        <v>7531843.1999999993</v>
      </c>
      <c r="AB34" s="1133">
        <f t="shared" si="27"/>
        <v>263614.51199999999</v>
      </c>
      <c r="AC34" s="1133">
        <f t="shared" si="28"/>
        <v>392329.74815999996</v>
      </c>
      <c r="AD34" s="1133">
        <f t="shared" si="29"/>
        <v>338932.94400000002</v>
      </c>
      <c r="AE34" s="1133">
        <f t="shared" si="30"/>
        <v>225955.29599999997</v>
      </c>
      <c r="AF34" s="1133">
        <f t="shared" si="31"/>
        <v>8752675.7001599986</v>
      </c>
      <c r="AG34" s="1133" t="s">
        <v>3</v>
      </c>
    </row>
    <row r="35" spans="1:33" ht="31.5">
      <c r="A35" s="1126">
        <f t="shared" si="16"/>
        <v>16</v>
      </c>
      <c r="B35" s="1137" t="s">
        <v>441</v>
      </c>
      <c r="C35" s="1158" t="s">
        <v>826</v>
      </c>
      <c r="D35" s="1126">
        <v>1</v>
      </c>
      <c r="E35" s="1126">
        <v>1</v>
      </c>
      <c r="F35" s="1126"/>
      <c r="G35" s="1148">
        <v>45232</v>
      </c>
      <c r="H35" s="1139">
        <v>28</v>
      </c>
      <c r="I35" s="1131">
        <f t="shared" si="0"/>
        <v>495516</v>
      </c>
      <c r="J35" s="1131">
        <f t="shared" si="1"/>
        <v>49551.600000000006</v>
      </c>
      <c r="K35" s="1131"/>
      <c r="L35" s="1131"/>
      <c r="M35" s="1131"/>
      <c r="N35" s="1131"/>
      <c r="O35" s="1131"/>
      <c r="P35" s="1131"/>
      <c r="Q35" s="1132"/>
      <c r="R35" s="1132"/>
      <c r="S35" s="1133">
        <f t="shared" si="18"/>
        <v>49551.600000000006</v>
      </c>
      <c r="T35" s="1133">
        <f t="shared" si="19"/>
        <v>545067.6</v>
      </c>
      <c r="U35" s="1133">
        <f t="shared" si="20"/>
        <v>54506.76</v>
      </c>
      <c r="V35" s="1133">
        <f t="shared" si="21"/>
        <v>41910.948799999998</v>
      </c>
      <c r="W35" s="1133">
        <f t="shared" si="22"/>
        <v>10901.351999999999</v>
      </c>
      <c r="X35" s="1133">
        <f t="shared" si="23"/>
        <v>437748.53919999994</v>
      </c>
      <c r="Y35" s="1133">
        <f t="shared" si="24"/>
        <v>6540811.1999999993</v>
      </c>
      <c r="Z35" s="1133">
        <f t="shared" si="25"/>
        <v>991032</v>
      </c>
      <c r="AA35" s="1133">
        <f t="shared" si="26"/>
        <v>7531843.1999999993</v>
      </c>
      <c r="AB35" s="1133">
        <f t="shared" si="27"/>
        <v>263614.51199999999</v>
      </c>
      <c r="AC35" s="1133">
        <f t="shared" si="28"/>
        <v>392329.74815999996</v>
      </c>
      <c r="AD35" s="1133">
        <f t="shared" si="29"/>
        <v>338932.94400000002</v>
      </c>
      <c r="AE35" s="1133">
        <f t="shared" si="30"/>
        <v>225955.29599999997</v>
      </c>
      <c r="AF35" s="1133">
        <f t="shared" si="31"/>
        <v>8752675.7001599986</v>
      </c>
      <c r="AG35" s="1133" t="s">
        <v>3</v>
      </c>
    </row>
    <row r="36" spans="1:33" ht="31.5">
      <c r="A36" s="1126">
        <f t="shared" si="16"/>
        <v>17</v>
      </c>
      <c r="B36" s="1134" t="s">
        <v>442</v>
      </c>
      <c r="C36" s="1134" t="s">
        <v>190</v>
      </c>
      <c r="D36" s="1126">
        <v>1</v>
      </c>
      <c r="E36" s="1126">
        <v>1</v>
      </c>
      <c r="F36" s="1126"/>
      <c r="G36" s="1129">
        <v>42980</v>
      </c>
      <c r="H36" s="1136">
        <v>25</v>
      </c>
      <c r="I36" s="1131">
        <f t="shared" si="0"/>
        <v>442425</v>
      </c>
      <c r="J36" s="1131">
        <f t="shared" si="1"/>
        <v>44242.5</v>
      </c>
      <c r="K36" s="1131"/>
      <c r="L36" s="1131"/>
      <c r="M36" s="1131"/>
      <c r="N36" s="1131"/>
      <c r="O36" s="1131"/>
      <c r="P36" s="1131"/>
      <c r="Q36" s="1132"/>
      <c r="R36" s="1132"/>
      <c r="S36" s="1133">
        <f t="shared" si="18"/>
        <v>44242.5</v>
      </c>
      <c r="T36" s="1133">
        <f t="shared" si="19"/>
        <v>486667.5</v>
      </c>
      <c r="U36" s="1133">
        <f t="shared" si="20"/>
        <v>48666.75</v>
      </c>
      <c r="V36" s="1133">
        <f t="shared" si="21"/>
        <v>36771.740000000005</v>
      </c>
      <c r="W36" s="1133">
        <f t="shared" si="22"/>
        <v>9733.35</v>
      </c>
      <c r="X36" s="1133">
        <f t="shared" si="23"/>
        <v>391495.66000000003</v>
      </c>
      <c r="Y36" s="1133">
        <f t="shared" si="24"/>
        <v>5840010</v>
      </c>
      <c r="Z36" s="1133">
        <f t="shared" si="25"/>
        <v>884850</v>
      </c>
      <c r="AA36" s="1133">
        <f t="shared" si="26"/>
        <v>6724860</v>
      </c>
      <c r="AB36" s="1133">
        <f t="shared" si="27"/>
        <v>235370.10000000003</v>
      </c>
      <c r="AC36" s="1133">
        <f t="shared" si="28"/>
        <v>350294.41800000001</v>
      </c>
      <c r="AD36" s="1133">
        <f t="shared" si="29"/>
        <v>302618.7</v>
      </c>
      <c r="AE36" s="1133">
        <f t="shared" si="30"/>
        <v>201745.8</v>
      </c>
      <c r="AF36" s="1133">
        <f t="shared" si="31"/>
        <v>7814889.0179999992</v>
      </c>
      <c r="AG36" s="1133" t="s">
        <v>3</v>
      </c>
    </row>
    <row r="37" spans="1:33">
      <c r="A37" s="1126">
        <f t="shared" si="16"/>
        <v>18</v>
      </c>
      <c r="B37" s="1137" t="s">
        <v>47</v>
      </c>
      <c r="C37" s="1159" t="s">
        <v>895</v>
      </c>
      <c r="D37" s="1160">
        <v>1</v>
      </c>
      <c r="E37" s="1126">
        <v>1</v>
      </c>
      <c r="F37" s="1126"/>
      <c r="G37" s="1129">
        <v>44305</v>
      </c>
      <c r="H37" s="1139">
        <v>22</v>
      </c>
      <c r="I37" s="1131">
        <f t="shared" si="0"/>
        <v>389334</v>
      </c>
      <c r="J37" s="1131">
        <f t="shared" si="1"/>
        <v>38933.4</v>
      </c>
      <c r="K37" s="1131"/>
      <c r="L37" s="1131"/>
      <c r="M37" s="1131"/>
      <c r="N37" s="1131"/>
      <c r="O37" s="1131"/>
      <c r="P37" s="1131"/>
      <c r="Q37" s="1132"/>
      <c r="R37" s="1132"/>
      <c r="S37" s="1133">
        <f t="shared" si="18"/>
        <v>38933.4</v>
      </c>
      <c r="T37" s="1133">
        <f t="shared" si="19"/>
        <v>428267.4</v>
      </c>
      <c r="U37" s="1133">
        <f t="shared" si="20"/>
        <v>42826.740000000005</v>
      </c>
      <c r="V37" s="1133">
        <f t="shared" si="21"/>
        <v>31632.531200000005</v>
      </c>
      <c r="W37" s="1133">
        <f t="shared" si="22"/>
        <v>8565.348</v>
      </c>
      <c r="X37" s="1133">
        <f t="shared" si="23"/>
        <v>345242.78080000001</v>
      </c>
      <c r="Y37" s="1133">
        <f t="shared" si="24"/>
        <v>5139208.8000000007</v>
      </c>
      <c r="Z37" s="1133">
        <f t="shared" si="25"/>
        <v>778668</v>
      </c>
      <c r="AA37" s="1133">
        <f t="shared" si="26"/>
        <v>5917876.8000000007</v>
      </c>
      <c r="AB37" s="1133">
        <f t="shared" si="27"/>
        <v>207125.68800000005</v>
      </c>
      <c r="AC37" s="1133">
        <f t="shared" si="28"/>
        <v>308259.08784000011</v>
      </c>
      <c r="AD37" s="1133">
        <f t="shared" si="29"/>
        <v>266304.45600000006</v>
      </c>
      <c r="AE37" s="1133">
        <f t="shared" si="30"/>
        <v>177536.304</v>
      </c>
      <c r="AF37" s="1133">
        <f t="shared" si="31"/>
        <v>6877102.3358400008</v>
      </c>
      <c r="AG37" s="1133" t="s">
        <v>3</v>
      </c>
    </row>
    <row r="38" spans="1:33" ht="31.5">
      <c r="A38" s="1126">
        <f t="shared" si="16"/>
        <v>19</v>
      </c>
      <c r="B38" s="1134" t="s">
        <v>443</v>
      </c>
      <c r="C38" s="1134" t="s">
        <v>444</v>
      </c>
      <c r="D38" s="1126">
        <v>1</v>
      </c>
      <c r="E38" s="1126">
        <v>1</v>
      </c>
      <c r="F38" s="1126"/>
      <c r="G38" s="1161">
        <v>42888</v>
      </c>
      <c r="H38" s="1136">
        <v>13</v>
      </c>
      <c r="I38" s="1131">
        <f t="shared" si="0"/>
        <v>230061</v>
      </c>
      <c r="J38" s="1131">
        <f t="shared" si="1"/>
        <v>23006.100000000002</v>
      </c>
      <c r="K38" s="1131"/>
      <c r="L38" s="1131"/>
      <c r="M38" s="1131"/>
      <c r="N38" s="1131"/>
      <c r="O38" s="1131"/>
      <c r="P38" s="1131"/>
      <c r="Q38" s="1132"/>
      <c r="R38" s="1132"/>
      <c r="S38" s="1133">
        <f t="shared" si="18"/>
        <v>23006.100000000002</v>
      </c>
      <c r="T38" s="1133">
        <f t="shared" si="19"/>
        <v>253067.1</v>
      </c>
      <c r="U38" s="1133">
        <f t="shared" si="20"/>
        <v>25306.710000000003</v>
      </c>
      <c r="V38" s="1133">
        <f t="shared" si="21"/>
        <v>16214.904800000002</v>
      </c>
      <c r="W38" s="1133">
        <f t="shared" si="22"/>
        <v>5061.3420000000006</v>
      </c>
      <c r="X38" s="1133">
        <f t="shared" si="23"/>
        <v>206484.14320000002</v>
      </c>
      <c r="Y38" s="1133">
        <f t="shared" si="24"/>
        <v>3036805.2</v>
      </c>
      <c r="Z38" s="1133">
        <f t="shared" si="25"/>
        <v>460122</v>
      </c>
      <c r="AA38" s="1133">
        <f t="shared" si="26"/>
        <v>3496927.2</v>
      </c>
      <c r="AB38" s="1133">
        <f t="shared" si="27"/>
        <v>122392.45200000002</v>
      </c>
      <c r="AC38" s="1133">
        <f t="shared" si="28"/>
        <v>182153.09736000001</v>
      </c>
      <c r="AD38" s="1133">
        <f t="shared" si="29"/>
        <v>157361.72400000005</v>
      </c>
      <c r="AE38" s="1133">
        <f t="shared" si="30"/>
        <v>104907.81600000001</v>
      </c>
      <c r="AF38" s="1133">
        <f t="shared" si="31"/>
        <v>4063742.2893600003</v>
      </c>
      <c r="AG38" s="1133" t="s">
        <v>3</v>
      </c>
    </row>
    <row r="39" spans="1:33" ht="21.75" customHeight="1">
      <c r="A39" s="1141"/>
      <c r="B39" s="1162" t="s">
        <v>2456</v>
      </c>
      <c r="C39" s="1163"/>
      <c r="D39" s="1164">
        <f>SUM(D27:D38)</f>
        <v>12</v>
      </c>
      <c r="E39" s="1164">
        <f>SUM(E27:E38)</f>
        <v>12</v>
      </c>
      <c r="F39" s="1165"/>
      <c r="G39" s="1165"/>
      <c r="H39" s="1165"/>
      <c r="I39" s="1166">
        <f t="shared" ref="I39:AF39" si="32">SUM(I27:I38)</f>
        <v>5592252</v>
      </c>
      <c r="J39" s="1166">
        <f t="shared" si="32"/>
        <v>559225.19999999995</v>
      </c>
      <c r="K39" s="1166">
        <f t="shared" si="32"/>
        <v>0</v>
      </c>
      <c r="L39" s="1166">
        <f t="shared" si="32"/>
        <v>0</v>
      </c>
      <c r="M39" s="1166">
        <f t="shared" si="32"/>
        <v>0</v>
      </c>
      <c r="N39" s="1166">
        <f t="shared" si="32"/>
        <v>0</v>
      </c>
      <c r="O39" s="1166">
        <f t="shared" si="32"/>
        <v>0</v>
      </c>
      <c r="P39" s="1166">
        <f t="shared" si="32"/>
        <v>0</v>
      </c>
      <c r="Q39" s="1166">
        <f t="shared" si="32"/>
        <v>0</v>
      </c>
      <c r="R39" s="1166">
        <f t="shared" si="32"/>
        <v>0</v>
      </c>
      <c r="S39" s="1166">
        <f t="shared" si="32"/>
        <v>559225.19999999995</v>
      </c>
      <c r="T39" s="1166">
        <f t="shared" si="32"/>
        <v>6151477.1999999993</v>
      </c>
      <c r="U39" s="1166">
        <f t="shared" si="32"/>
        <v>615147.72000000009</v>
      </c>
      <c r="V39" s="1166">
        <f t="shared" si="32"/>
        <v>468669.99360000016</v>
      </c>
      <c r="W39" s="1166">
        <f t="shared" si="32"/>
        <v>123029.54400000001</v>
      </c>
      <c r="X39" s="1166">
        <f t="shared" si="32"/>
        <v>4944629.9423999991</v>
      </c>
      <c r="Y39" s="1166">
        <f t="shared" si="32"/>
        <v>73817726.400000006</v>
      </c>
      <c r="Z39" s="1166">
        <f t="shared" si="32"/>
        <v>11184504</v>
      </c>
      <c r="AA39" s="1166">
        <f t="shared" si="32"/>
        <v>85002230.400000006</v>
      </c>
      <c r="AB39" s="1166">
        <f t="shared" si="32"/>
        <v>2975078.0640000007</v>
      </c>
      <c r="AC39" s="1166">
        <f t="shared" si="32"/>
        <v>4427721.4435200002</v>
      </c>
      <c r="AD39" s="1166">
        <f t="shared" si="32"/>
        <v>3825100.3680000002</v>
      </c>
      <c r="AE39" s="1166">
        <f t="shared" si="32"/>
        <v>2550066.912</v>
      </c>
      <c r="AF39" s="1166">
        <f t="shared" si="32"/>
        <v>98780197.187519997</v>
      </c>
      <c r="AG39" s="1167"/>
    </row>
    <row r="40" spans="1:33" ht="21" customHeight="1">
      <c r="A40" s="1168"/>
      <c r="B40" s="1169" t="s">
        <v>2457</v>
      </c>
      <c r="C40" s="1170"/>
      <c r="D40" s="1171">
        <f>D26+D39</f>
        <v>19</v>
      </c>
      <c r="E40" s="1171">
        <f>E26+E39</f>
        <v>19</v>
      </c>
      <c r="F40" s="1172"/>
      <c r="G40" s="1172"/>
      <c r="H40" s="1172"/>
      <c r="I40" s="1173">
        <f t="shared" ref="I40:AF40" si="33">I26+I39</f>
        <v>10264260</v>
      </c>
      <c r="J40" s="1173">
        <f t="shared" si="33"/>
        <v>1026426</v>
      </c>
      <c r="K40" s="1173">
        <f t="shared" si="33"/>
        <v>0</v>
      </c>
      <c r="L40" s="1173">
        <f t="shared" si="33"/>
        <v>0</v>
      </c>
      <c r="M40" s="1173">
        <f t="shared" si="33"/>
        <v>0</v>
      </c>
      <c r="N40" s="1173">
        <f t="shared" si="33"/>
        <v>0</v>
      </c>
      <c r="O40" s="1173">
        <f t="shared" si="33"/>
        <v>0</v>
      </c>
      <c r="P40" s="1173">
        <f t="shared" si="33"/>
        <v>0</v>
      </c>
      <c r="Q40" s="1173">
        <f t="shared" si="33"/>
        <v>0</v>
      </c>
      <c r="R40" s="1173">
        <f t="shared" si="33"/>
        <v>0</v>
      </c>
      <c r="S40" s="1173">
        <f t="shared" si="33"/>
        <v>1026426</v>
      </c>
      <c r="T40" s="1173">
        <f t="shared" si="33"/>
        <v>11290686</v>
      </c>
      <c r="U40" s="1173">
        <f t="shared" si="33"/>
        <v>1129068.6000000001</v>
      </c>
      <c r="V40" s="1173">
        <f t="shared" si="33"/>
        <v>878535.36800000013</v>
      </c>
      <c r="W40" s="1173">
        <f t="shared" si="33"/>
        <v>225813.72000000003</v>
      </c>
      <c r="X40" s="1173">
        <f t="shared" si="33"/>
        <v>9057268.311999999</v>
      </c>
      <c r="Y40" s="1173">
        <f t="shared" si="33"/>
        <v>135488232</v>
      </c>
      <c r="Z40" s="1173">
        <f t="shared" si="33"/>
        <v>20528520</v>
      </c>
      <c r="AA40" s="1173">
        <f t="shared" si="33"/>
        <v>156016752</v>
      </c>
      <c r="AB40" s="1173">
        <f t="shared" si="33"/>
        <v>5460586.3200000012</v>
      </c>
      <c r="AC40" s="1173">
        <f t="shared" si="33"/>
        <v>8126830.4976000004</v>
      </c>
      <c r="AD40" s="1173">
        <f t="shared" si="33"/>
        <v>7020753.8399999999</v>
      </c>
      <c r="AE40" s="1173">
        <f t="shared" si="33"/>
        <v>4680502.5599999996</v>
      </c>
      <c r="AF40" s="1173">
        <f t="shared" si="33"/>
        <v>181305425.21759999</v>
      </c>
      <c r="AG40" s="1174"/>
    </row>
    <row r="41" spans="1:33">
      <c r="A41" s="1475" t="s">
        <v>445</v>
      </c>
      <c r="B41" s="1475"/>
      <c r="C41" s="1475"/>
      <c r="D41" s="1475"/>
      <c r="E41" s="1475"/>
      <c r="F41" s="1475"/>
      <c r="G41" s="1475"/>
      <c r="H41" s="1475"/>
      <c r="I41" s="1475"/>
      <c r="J41" s="1475"/>
      <c r="K41" s="1475"/>
      <c r="L41" s="1475"/>
      <c r="M41" s="1475"/>
      <c r="N41" s="1475"/>
      <c r="O41" s="1475"/>
      <c r="P41" s="1475"/>
      <c r="Q41" s="1475"/>
      <c r="R41" s="1475"/>
      <c r="S41" s="1475"/>
      <c r="T41" s="1475"/>
      <c r="U41" s="1475"/>
      <c r="V41" s="1475"/>
      <c r="W41" s="1475"/>
      <c r="X41" s="1475"/>
      <c r="Y41" s="1475"/>
      <c r="Z41" s="1475"/>
      <c r="AA41" s="1475"/>
      <c r="AB41" s="1475"/>
      <c r="AC41" s="1475"/>
      <c r="AD41" s="1475"/>
      <c r="AE41" s="1475"/>
      <c r="AF41" s="1475"/>
      <c r="AG41" s="1476"/>
    </row>
    <row r="42" spans="1:33" ht="34.5" customHeight="1">
      <c r="A42" s="1175">
        <f>A38+1</f>
        <v>20</v>
      </c>
      <c r="B42" s="1137" t="s">
        <v>446</v>
      </c>
      <c r="C42" s="325" t="s">
        <v>896</v>
      </c>
      <c r="D42" s="1477">
        <v>4</v>
      </c>
      <c r="E42" s="1175">
        <v>1</v>
      </c>
      <c r="F42" s="1176">
        <v>17697</v>
      </c>
      <c r="G42" s="1129">
        <v>45902</v>
      </c>
      <c r="H42" s="1139">
        <v>32</v>
      </c>
      <c r="I42" s="1133">
        <f>E42*17697*H42</f>
        <v>566304</v>
      </c>
      <c r="J42" s="1133">
        <f t="shared" ref="J42:J87" si="34">I42*10%</f>
        <v>56630.400000000001</v>
      </c>
      <c r="K42" s="1128"/>
      <c r="L42" s="1128"/>
      <c r="M42" s="1128"/>
      <c r="N42" s="1128"/>
      <c r="O42" s="1128"/>
      <c r="P42" s="1128"/>
      <c r="Q42" s="1177"/>
      <c r="R42" s="1177"/>
      <c r="S42" s="1133">
        <f t="shared" ref="S42:S87" si="35">SUM(J42:R42)</f>
        <v>56630.400000000001</v>
      </c>
      <c r="T42" s="1133">
        <f t="shared" ref="T42:T87" si="36">I42+S42</f>
        <v>622934.4</v>
      </c>
      <c r="U42" s="1133">
        <f t="shared" ref="U42:U87" si="37">T42*10%</f>
        <v>62293.440000000002</v>
      </c>
      <c r="V42" s="1133">
        <f t="shared" ref="V42:V87" si="38">((T42-U42-W42)-(14*4325))*10%</f>
        <v>48763.227200000001</v>
      </c>
      <c r="W42" s="1133">
        <f t="shared" ref="W42:W87" si="39">T42*2%</f>
        <v>12458.688</v>
      </c>
      <c r="X42" s="1133">
        <f t="shared" ref="X42:X87" si="40">T42-U42-V42-W42</f>
        <v>499419.04479999992</v>
      </c>
      <c r="Y42" s="1133">
        <f t="shared" ref="Y42:Y87" si="41">T42*12</f>
        <v>7475212.8000000007</v>
      </c>
      <c r="Z42" s="1133">
        <f t="shared" ref="Z42:Z87" si="42">I42*2</f>
        <v>1132608</v>
      </c>
      <c r="AA42" s="1133">
        <f t="shared" ref="AA42:AA87" si="43">Y42+Z42</f>
        <v>8607820.8000000007</v>
      </c>
      <c r="AB42" s="1133">
        <f t="shared" ref="AB42:AB86" si="44">AA42*3.5%</f>
        <v>301273.72800000006</v>
      </c>
      <c r="AC42" s="1133">
        <f t="shared" ref="AC42:AC86" si="45">(AA42*0.9-(W42*12))*11%-AD42</f>
        <v>448376.85503999999</v>
      </c>
      <c r="AD42" s="1133">
        <f t="shared" ref="AD42:AD87" si="46">AA42*0.9*5%</f>
        <v>387351.93600000005</v>
      </c>
      <c r="AE42" s="1133">
        <f t="shared" ref="AE42:AE87" si="47">AA42*3%</f>
        <v>258234.62400000001</v>
      </c>
      <c r="AF42" s="1133">
        <f t="shared" ref="AF42:AF87" si="48">AA42+AC42+AD42+AE42+AB42</f>
        <v>10003057.943040002</v>
      </c>
      <c r="AG42" s="1178" t="s">
        <v>3</v>
      </c>
    </row>
    <row r="43" spans="1:33" s="1189" customFormat="1" ht="34.5" customHeight="1">
      <c r="A43" s="1179">
        <f>A42+1</f>
        <v>21</v>
      </c>
      <c r="B43" s="1180" t="s">
        <v>446</v>
      </c>
      <c r="C43" s="1181" t="s">
        <v>931</v>
      </c>
      <c r="D43" s="1478"/>
      <c r="E43" s="1179"/>
      <c r="F43" s="1182">
        <v>17697</v>
      </c>
      <c r="G43" s="1183">
        <v>45300</v>
      </c>
      <c r="H43" s="1184">
        <v>70</v>
      </c>
      <c r="I43" s="1185">
        <f>17697*H43</f>
        <v>1238790</v>
      </c>
      <c r="J43" s="1185">
        <f t="shared" si="34"/>
        <v>123879</v>
      </c>
      <c r="K43" s="1186"/>
      <c r="L43" s="1186"/>
      <c r="M43" s="1186"/>
      <c r="N43" s="1186"/>
      <c r="O43" s="1186"/>
      <c r="P43" s="1186"/>
      <c r="Q43" s="1187"/>
      <c r="R43" s="1187"/>
      <c r="S43" s="1185">
        <f t="shared" si="35"/>
        <v>123879</v>
      </c>
      <c r="T43" s="1185">
        <f t="shared" si="36"/>
        <v>1362669</v>
      </c>
      <c r="U43" s="1185">
        <f t="shared" si="37"/>
        <v>136266.9</v>
      </c>
      <c r="V43" s="1185">
        <f t="shared" si="38"/>
        <v>113859.87200000003</v>
      </c>
      <c r="W43" s="1185">
        <f t="shared" si="39"/>
        <v>27253.38</v>
      </c>
      <c r="X43" s="1185">
        <f t="shared" si="40"/>
        <v>1085288.8480000002</v>
      </c>
      <c r="Y43" s="1185">
        <f t="shared" si="41"/>
        <v>16352028</v>
      </c>
      <c r="Z43" s="1185">
        <f t="shared" si="42"/>
        <v>2477580</v>
      </c>
      <c r="AA43" s="1185">
        <f t="shared" si="43"/>
        <v>18829608</v>
      </c>
      <c r="AB43" s="1185">
        <f t="shared" si="44"/>
        <v>659036.28</v>
      </c>
      <c r="AC43" s="1185">
        <f t="shared" si="45"/>
        <v>980824.37039999978</v>
      </c>
      <c r="AD43" s="1185">
        <f t="shared" si="46"/>
        <v>847332.36</v>
      </c>
      <c r="AE43" s="1185">
        <f t="shared" si="47"/>
        <v>564888.24</v>
      </c>
      <c r="AF43" s="1185">
        <f t="shared" si="48"/>
        <v>21881689.250399999</v>
      </c>
      <c r="AG43" s="1188" t="s">
        <v>3</v>
      </c>
    </row>
    <row r="44" spans="1:33" s="1190" customFormat="1" ht="31.5">
      <c r="A44" s="1175">
        <f t="shared" ref="A44:A87" si="49">A43+1</f>
        <v>22</v>
      </c>
      <c r="B44" s="1137" t="s">
        <v>446</v>
      </c>
      <c r="C44" s="326" t="s">
        <v>897</v>
      </c>
      <c r="D44" s="1478"/>
      <c r="E44" s="1175">
        <v>1</v>
      </c>
      <c r="F44" s="1176">
        <v>17697</v>
      </c>
      <c r="G44" s="1129">
        <v>45902</v>
      </c>
      <c r="H44" s="1139">
        <v>32</v>
      </c>
      <c r="I44" s="1133">
        <f>17697*H44</f>
        <v>566304</v>
      </c>
      <c r="J44" s="1133">
        <f t="shared" si="34"/>
        <v>56630.400000000001</v>
      </c>
      <c r="K44" s="1128"/>
      <c r="L44" s="1128"/>
      <c r="M44" s="1128"/>
      <c r="N44" s="1128"/>
      <c r="O44" s="1128"/>
      <c r="P44" s="1128"/>
      <c r="Q44" s="1177"/>
      <c r="R44" s="1177"/>
      <c r="S44" s="1133">
        <f t="shared" si="35"/>
        <v>56630.400000000001</v>
      </c>
      <c r="T44" s="1133">
        <f t="shared" si="36"/>
        <v>622934.4</v>
      </c>
      <c r="U44" s="1133">
        <f t="shared" si="37"/>
        <v>62293.440000000002</v>
      </c>
      <c r="V44" s="1133">
        <f t="shared" si="38"/>
        <v>48763.227200000001</v>
      </c>
      <c r="W44" s="1133">
        <f t="shared" si="39"/>
        <v>12458.688</v>
      </c>
      <c r="X44" s="1133">
        <f t="shared" si="40"/>
        <v>499419.04479999992</v>
      </c>
      <c r="Y44" s="1133">
        <f t="shared" si="41"/>
        <v>7475212.8000000007</v>
      </c>
      <c r="Z44" s="1133">
        <f t="shared" si="42"/>
        <v>1132608</v>
      </c>
      <c r="AA44" s="1133">
        <f t="shared" si="43"/>
        <v>8607820.8000000007</v>
      </c>
      <c r="AB44" s="1133">
        <f t="shared" si="44"/>
        <v>301273.72800000006</v>
      </c>
      <c r="AC44" s="1133">
        <f t="shared" si="45"/>
        <v>448376.85503999999</v>
      </c>
      <c r="AD44" s="1133">
        <f t="shared" si="46"/>
        <v>387351.93600000005</v>
      </c>
      <c r="AE44" s="1133">
        <f t="shared" si="47"/>
        <v>258234.62400000001</v>
      </c>
      <c r="AF44" s="1133">
        <f t="shared" si="48"/>
        <v>10003057.943040002</v>
      </c>
      <c r="AG44" s="1178" t="s">
        <v>3</v>
      </c>
    </row>
    <row r="45" spans="1:33" ht="31.5">
      <c r="A45" s="1175">
        <f t="shared" si="49"/>
        <v>23</v>
      </c>
      <c r="B45" s="1191" t="s">
        <v>446</v>
      </c>
      <c r="C45" s="327" t="s">
        <v>898</v>
      </c>
      <c r="D45" s="1479"/>
      <c r="E45" s="1175">
        <v>1</v>
      </c>
      <c r="F45" s="1176">
        <v>17697</v>
      </c>
      <c r="G45" s="1129">
        <v>45902</v>
      </c>
      <c r="H45" s="1139">
        <v>27</v>
      </c>
      <c r="I45" s="1192">
        <f>17697*H45</f>
        <v>477819</v>
      </c>
      <c r="J45" s="1192">
        <f t="shared" si="34"/>
        <v>47781.9</v>
      </c>
      <c r="K45" s="1193"/>
      <c r="L45" s="1193"/>
      <c r="M45" s="1193"/>
      <c r="N45" s="1193"/>
      <c r="O45" s="1193"/>
      <c r="P45" s="1193"/>
      <c r="Q45" s="1194"/>
      <c r="R45" s="1194"/>
      <c r="S45" s="1133">
        <f t="shared" si="35"/>
        <v>47781.9</v>
      </c>
      <c r="T45" s="1133">
        <f t="shared" si="36"/>
        <v>525600.9</v>
      </c>
      <c r="U45" s="1133">
        <f t="shared" si="37"/>
        <v>52560.090000000004</v>
      </c>
      <c r="V45" s="1133">
        <f t="shared" si="38"/>
        <v>40197.879200000003</v>
      </c>
      <c r="W45" s="1133">
        <f t="shared" si="39"/>
        <v>10512.018</v>
      </c>
      <c r="X45" s="1133">
        <f t="shared" si="40"/>
        <v>422330.91279999999</v>
      </c>
      <c r="Y45" s="1133">
        <f t="shared" si="41"/>
        <v>6307210.8000000007</v>
      </c>
      <c r="Z45" s="1133">
        <f t="shared" si="42"/>
        <v>955638</v>
      </c>
      <c r="AA45" s="1133">
        <f t="shared" si="43"/>
        <v>7262848.8000000007</v>
      </c>
      <c r="AB45" s="1133">
        <f t="shared" si="44"/>
        <v>254199.70800000004</v>
      </c>
      <c r="AC45" s="1133">
        <f t="shared" si="45"/>
        <v>378317.97144000005</v>
      </c>
      <c r="AD45" s="1133">
        <f t="shared" si="46"/>
        <v>326828.19600000005</v>
      </c>
      <c r="AE45" s="1133">
        <f t="shared" si="47"/>
        <v>217885.46400000001</v>
      </c>
      <c r="AF45" s="1133">
        <f t="shared" si="48"/>
        <v>8440080.1394400019</v>
      </c>
      <c r="AG45" s="1178" t="s">
        <v>3</v>
      </c>
    </row>
    <row r="46" spans="1:33">
      <c r="A46" s="1175">
        <f t="shared" si="49"/>
        <v>24</v>
      </c>
      <c r="B46" s="1134" t="s">
        <v>899</v>
      </c>
      <c r="C46" s="1195" t="s">
        <v>447</v>
      </c>
      <c r="D46" s="1480">
        <v>6</v>
      </c>
      <c r="E46" s="1196">
        <v>1</v>
      </c>
      <c r="F46" s="1176">
        <v>17697</v>
      </c>
      <c r="G46" s="1197">
        <v>43078</v>
      </c>
      <c r="H46" s="1196">
        <v>22</v>
      </c>
      <c r="I46" s="1192">
        <f t="shared" ref="I46:I86" si="50">E46*17697*H46</f>
        <v>389334</v>
      </c>
      <c r="J46" s="1192">
        <f t="shared" si="34"/>
        <v>38933.4</v>
      </c>
      <c r="K46" s="1193"/>
      <c r="L46" s="1193"/>
      <c r="M46" s="1193"/>
      <c r="N46" s="1193"/>
      <c r="O46" s="1193"/>
      <c r="P46" s="1193"/>
      <c r="Q46" s="1194"/>
      <c r="R46" s="1194"/>
      <c r="S46" s="1133">
        <f t="shared" si="35"/>
        <v>38933.4</v>
      </c>
      <c r="T46" s="1133">
        <f t="shared" si="36"/>
        <v>428267.4</v>
      </c>
      <c r="U46" s="1133">
        <f t="shared" si="37"/>
        <v>42826.740000000005</v>
      </c>
      <c r="V46" s="1133">
        <f t="shared" si="38"/>
        <v>31632.531200000005</v>
      </c>
      <c r="W46" s="1133">
        <f t="shared" si="39"/>
        <v>8565.348</v>
      </c>
      <c r="X46" s="1133">
        <f t="shared" si="40"/>
        <v>345242.78080000001</v>
      </c>
      <c r="Y46" s="1133">
        <f t="shared" si="41"/>
        <v>5139208.8000000007</v>
      </c>
      <c r="Z46" s="1133">
        <f t="shared" si="42"/>
        <v>778668</v>
      </c>
      <c r="AA46" s="1133">
        <f t="shared" si="43"/>
        <v>5917876.8000000007</v>
      </c>
      <c r="AB46" s="1133">
        <f t="shared" si="44"/>
        <v>207125.68800000005</v>
      </c>
      <c r="AC46" s="1133">
        <f t="shared" si="45"/>
        <v>308259.08784000011</v>
      </c>
      <c r="AD46" s="1133">
        <f t="shared" si="46"/>
        <v>266304.45600000006</v>
      </c>
      <c r="AE46" s="1133">
        <f t="shared" si="47"/>
        <v>177536.304</v>
      </c>
      <c r="AF46" s="1133">
        <f t="shared" si="48"/>
        <v>6877102.3358400008</v>
      </c>
      <c r="AG46" s="1178" t="s">
        <v>3</v>
      </c>
    </row>
    <row r="47" spans="1:33" ht="31.5">
      <c r="A47" s="1175">
        <f t="shared" si="49"/>
        <v>25</v>
      </c>
      <c r="B47" s="1134" t="s">
        <v>899</v>
      </c>
      <c r="C47" s="328" t="s">
        <v>900</v>
      </c>
      <c r="D47" s="1480"/>
      <c r="E47" s="1196">
        <v>1</v>
      </c>
      <c r="F47" s="1176">
        <v>17697</v>
      </c>
      <c r="G47" s="1198">
        <v>45891</v>
      </c>
      <c r="H47" s="1196">
        <v>17</v>
      </c>
      <c r="I47" s="1192">
        <f t="shared" si="50"/>
        <v>300849</v>
      </c>
      <c r="J47" s="1192">
        <f t="shared" si="34"/>
        <v>30084.9</v>
      </c>
      <c r="K47" s="1193"/>
      <c r="L47" s="1193"/>
      <c r="M47" s="1193"/>
      <c r="N47" s="1193"/>
      <c r="O47" s="1193"/>
      <c r="P47" s="1193"/>
      <c r="Q47" s="1194"/>
      <c r="R47" s="1194"/>
      <c r="S47" s="1133">
        <f t="shared" si="35"/>
        <v>30084.9</v>
      </c>
      <c r="T47" s="1133">
        <f t="shared" si="36"/>
        <v>330933.90000000002</v>
      </c>
      <c r="U47" s="1133">
        <f t="shared" si="37"/>
        <v>33093.390000000007</v>
      </c>
      <c r="V47" s="1133">
        <f t="shared" si="38"/>
        <v>23067.183199999999</v>
      </c>
      <c r="W47" s="1133">
        <f t="shared" si="39"/>
        <v>6618.6780000000008</v>
      </c>
      <c r="X47" s="1133">
        <f t="shared" si="40"/>
        <v>268154.64880000002</v>
      </c>
      <c r="Y47" s="1133">
        <f t="shared" si="41"/>
        <v>3971206.8000000003</v>
      </c>
      <c r="Z47" s="1133">
        <f t="shared" si="42"/>
        <v>601698</v>
      </c>
      <c r="AA47" s="1133">
        <f t="shared" si="43"/>
        <v>4572904.8000000007</v>
      </c>
      <c r="AB47" s="1133">
        <f t="shared" si="44"/>
        <v>160051.66800000003</v>
      </c>
      <c r="AC47" s="1133">
        <f t="shared" si="45"/>
        <v>238200.20424000002</v>
      </c>
      <c r="AD47" s="1133">
        <f t="shared" si="46"/>
        <v>205780.71600000004</v>
      </c>
      <c r="AE47" s="1133">
        <f t="shared" si="47"/>
        <v>137187.14400000003</v>
      </c>
      <c r="AF47" s="1133">
        <f t="shared" si="48"/>
        <v>5314124.5322400006</v>
      </c>
      <c r="AG47" s="1178" t="s">
        <v>3</v>
      </c>
    </row>
    <row r="48" spans="1:33">
      <c r="A48" s="1175">
        <f t="shared" si="49"/>
        <v>26</v>
      </c>
      <c r="B48" s="1134" t="s">
        <v>899</v>
      </c>
      <c r="C48" s="1191" t="s">
        <v>901</v>
      </c>
      <c r="D48" s="1480"/>
      <c r="E48" s="1196">
        <v>1</v>
      </c>
      <c r="F48" s="1176">
        <v>17697</v>
      </c>
      <c r="G48" s="1198">
        <v>45904</v>
      </c>
      <c r="H48" s="1196">
        <v>17</v>
      </c>
      <c r="I48" s="1192">
        <f t="shared" si="50"/>
        <v>300849</v>
      </c>
      <c r="J48" s="1192">
        <f t="shared" si="34"/>
        <v>30084.9</v>
      </c>
      <c r="K48" s="1193"/>
      <c r="L48" s="1193"/>
      <c r="M48" s="1193"/>
      <c r="N48" s="1193"/>
      <c r="O48" s="1193"/>
      <c r="P48" s="1193"/>
      <c r="Q48" s="1194"/>
      <c r="R48" s="1194"/>
      <c r="S48" s="1133">
        <f t="shared" si="35"/>
        <v>30084.9</v>
      </c>
      <c r="T48" s="1133">
        <f t="shared" si="36"/>
        <v>330933.90000000002</v>
      </c>
      <c r="U48" s="1133">
        <f t="shared" si="37"/>
        <v>33093.390000000007</v>
      </c>
      <c r="V48" s="1133">
        <f t="shared" si="38"/>
        <v>23067.183199999999</v>
      </c>
      <c r="W48" s="1133">
        <f t="shared" si="39"/>
        <v>6618.6780000000008</v>
      </c>
      <c r="X48" s="1133">
        <f t="shared" si="40"/>
        <v>268154.64880000002</v>
      </c>
      <c r="Y48" s="1133">
        <f t="shared" si="41"/>
        <v>3971206.8000000003</v>
      </c>
      <c r="Z48" s="1133">
        <f t="shared" si="42"/>
        <v>601698</v>
      </c>
      <c r="AA48" s="1133">
        <f t="shared" si="43"/>
        <v>4572904.8000000007</v>
      </c>
      <c r="AB48" s="1133">
        <f t="shared" si="44"/>
        <v>160051.66800000003</v>
      </c>
      <c r="AC48" s="1133">
        <f t="shared" si="45"/>
        <v>238200.20424000002</v>
      </c>
      <c r="AD48" s="1133">
        <f t="shared" si="46"/>
        <v>205780.71600000004</v>
      </c>
      <c r="AE48" s="1133">
        <f t="shared" si="47"/>
        <v>137187.14400000003</v>
      </c>
      <c r="AF48" s="1133">
        <f t="shared" si="48"/>
        <v>5314124.5322400006</v>
      </c>
      <c r="AG48" s="1178" t="s">
        <v>3</v>
      </c>
    </row>
    <row r="49" spans="1:33" s="1189" customFormat="1">
      <c r="A49" s="1179">
        <f t="shared" si="49"/>
        <v>27</v>
      </c>
      <c r="B49" s="1199" t="s">
        <v>899</v>
      </c>
      <c r="C49" s="1200" t="s">
        <v>902</v>
      </c>
      <c r="D49" s="1480"/>
      <c r="E49" s="1179"/>
      <c r="F49" s="1182">
        <v>17697</v>
      </c>
      <c r="G49" s="1201"/>
      <c r="H49" s="1202">
        <v>35</v>
      </c>
      <c r="I49" s="1203">
        <f>2*17697*H49</f>
        <v>1238790</v>
      </c>
      <c r="J49" s="1203">
        <f t="shared" si="34"/>
        <v>123879</v>
      </c>
      <c r="K49" s="1185"/>
      <c r="L49" s="1204"/>
      <c r="M49" s="1204"/>
      <c r="N49" s="1204"/>
      <c r="O49" s="1204"/>
      <c r="P49" s="1204"/>
      <c r="Q49" s="1205"/>
      <c r="R49" s="1205"/>
      <c r="S49" s="1185">
        <f t="shared" si="35"/>
        <v>123879</v>
      </c>
      <c r="T49" s="1185">
        <f t="shared" si="36"/>
        <v>1362669</v>
      </c>
      <c r="U49" s="1185">
        <f t="shared" si="37"/>
        <v>136266.9</v>
      </c>
      <c r="V49" s="1185">
        <f t="shared" si="38"/>
        <v>113859.87200000003</v>
      </c>
      <c r="W49" s="1185">
        <f t="shared" si="39"/>
        <v>27253.38</v>
      </c>
      <c r="X49" s="1185">
        <f t="shared" si="40"/>
        <v>1085288.8480000002</v>
      </c>
      <c r="Y49" s="1185">
        <f t="shared" si="41"/>
        <v>16352028</v>
      </c>
      <c r="Z49" s="1185">
        <f t="shared" si="42"/>
        <v>2477580</v>
      </c>
      <c r="AA49" s="1185">
        <f t="shared" si="43"/>
        <v>18829608</v>
      </c>
      <c r="AB49" s="1185">
        <f t="shared" si="44"/>
        <v>659036.28</v>
      </c>
      <c r="AC49" s="1185">
        <f>(AA49*0.9-(W49*12))*11%-AD49+5000000</f>
        <v>5980824.3703999994</v>
      </c>
      <c r="AD49" s="1185">
        <f t="shared" si="46"/>
        <v>847332.36</v>
      </c>
      <c r="AE49" s="1185">
        <f t="shared" si="47"/>
        <v>564888.24</v>
      </c>
      <c r="AF49" s="1185">
        <f t="shared" si="48"/>
        <v>26881689.250399999</v>
      </c>
      <c r="AG49" s="1188" t="s">
        <v>3</v>
      </c>
    </row>
    <row r="50" spans="1:33" s="1189" customFormat="1">
      <c r="A50" s="1179" t="e">
        <f>#REF!+1</f>
        <v>#REF!</v>
      </c>
      <c r="B50" s="1180" t="s">
        <v>903</v>
      </c>
      <c r="C50" s="1200" t="s">
        <v>931</v>
      </c>
      <c r="D50" s="1480"/>
      <c r="E50" s="1179"/>
      <c r="F50" s="1182">
        <v>17697</v>
      </c>
      <c r="G50" s="1201"/>
      <c r="H50" s="1202">
        <v>35</v>
      </c>
      <c r="I50" s="1203">
        <f>17697*H50</f>
        <v>619395</v>
      </c>
      <c r="J50" s="1203">
        <f t="shared" si="34"/>
        <v>61939.5</v>
      </c>
      <c r="K50" s="1185"/>
      <c r="L50" s="1204"/>
      <c r="M50" s="1204"/>
      <c r="N50" s="1204"/>
      <c r="O50" s="1204"/>
      <c r="P50" s="1204"/>
      <c r="Q50" s="1205"/>
      <c r="R50" s="1205"/>
      <c r="S50" s="1185">
        <f t="shared" si="35"/>
        <v>61939.5</v>
      </c>
      <c r="T50" s="1185">
        <f t="shared" si="36"/>
        <v>681334.5</v>
      </c>
      <c r="U50" s="1185">
        <f t="shared" si="37"/>
        <v>68133.45</v>
      </c>
      <c r="V50" s="1185">
        <f t="shared" si="38"/>
        <v>53902.436000000016</v>
      </c>
      <c r="W50" s="1185">
        <f t="shared" si="39"/>
        <v>13626.69</v>
      </c>
      <c r="X50" s="1185">
        <f t="shared" si="40"/>
        <v>545671.92400000012</v>
      </c>
      <c r="Y50" s="1185">
        <f t="shared" si="41"/>
        <v>8176014</v>
      </c>
      <c r="Z50" s="1185">
        <f t="shared" si="42"/>
        <v>1238790</v>
      </c>
      <c r="AA50" s="1185">
        <f t="shared" si="43"/>
        <v>9414804</v>
      </c>
      <c r="AB50" s="1185">
        <f t="shared" si="44"/>
        <v>329518.14</v>
      </c>
      <c r="AC50" s="1185">
        <f>(AA50*0.9-(W50*12))*11%-AD50+5000000</f>
        <v>5490412.1852000002</v>
      </c>
      <c r="AD50" s="1185">
        <f t="shared" si="46"/>
        <v>423666.18</v>
      </c>
      <c r="AE50" s="1185">
        <f t="shared" si="47"/>
        <v>282444.12</v>
      </c>
      <c r="AF50" s="1185">
        <f t="shared" si="48"/>
        <v>15940844.6252</v>
      </c>
      <c r="AG50" s="1188" t="s">
        <v>3</v>
      </c>
    </row>
    <row r="51" spans="1:33">
      <c r="A51" s="1175" t="e">
        <f t="shared" si="49"/>
        <v>#REF!</v>
      </c>
      <c r="B51" s="1191" t="s">
        <v>449</v>
      </c>
      <c r="C51" s="1206" t="s">
        <v>906</v>
      </c>
      <c r="D51" s="1481">
        <v>9</v>
      </c>
      <c r="E51" s="1196">
        <v>1</v>
      </c>
      <c r="F51" s="1176">
        <v>17697</v>
      </c>
      <c r="G51" s="1198">
        <v>45519</v>
      </c>
      <c r="H51" s="1196">
        <v>20</v>
      </c>
      <c r="I51" s="1192">
        <f t="shared" si="50"/>
        <v>353940</v>
      </c>
      <c r="J51" s="1192">
        <f t="shared" si="34"/>
        <v>35394</v>
      </c>
      <c r="K51" s="1193"/>
      <c r="L51" s="1193"/>
      <c r="M51" s="1193"/>
      <c r="N51" s="1193"/>
      <c r="O51" s="1193"/>
      <c r="P51" s="1193"/>
      <c r="Q51" s="1194"/>
      <c r="R51" s="1194"/>
      <c r="S51" s="1133">
        <f t="shared" si="35"/>
        <v>35394</v>
      </c>
      <c r="T51" s="1133">
        <f t="shared" si="36"/>
        <v>389334</v>
      </c>
      <c r="U51" s="1133">
        <f t="shared" si="37"/>
        <v>38933.4</v>
      </c>
      <c r="V51" s="1133">
        <f t="shared" si="38"/>
        <v>28206.392</v>
      </c>
      <c r="W51" s="1133">
        <f t="shared" si="39"/>
        <v>7786.68</v>
      </c>
      <c r="X51" s="1133">
        <f t="shared" si="40"/>
        <v>314407.52799999999</v>
      </c>
      <c r="Y51" s="1133">
        <f t="shared" si="41"/>
        <v>4672008</v>
      </c>
      <c r="Z51" s="1133">
        <f t="shared" si="42"/>
        <v>707880</v>
      </c>
      <c r="AA51" s="1133">
        <f t="shared" si="43"/>
        <v>5379888</v>
      </c>
      <c r="AB51" s="1133">
        <f t="shared" si="44"/>
        <v>188296.08000000002</v>
      </c>
      <c r="AC51" s="1133">
        <f t="shared" si="45"/>
        <v>280235.5344</v>
      </c>
      <c r="AD51" s="1133">
        <f t="shared" si="46"/>
        <v>242094.96000000002</v>
      </c>
      <c r="AE51" s="1133">
        <f t="shared" si="47"/>
        <v>161396.63999999998</v>
      </c>
      <c r="AF51" s="1133">
        <f t="shared" si="48"/>
        <v>6251911.2143999999</v>
      </c>
      <c r="AG51" s="1178" t="s">
        <v>3</v>
      </c>
    </row>
    <row r="52" spans="1:33" ht="22.5" customHeight="1">
      <c r="A52" s="1175" t="e">
        <f t="shared" si="49"/>
        <v>#REF!</v>
      </c>
      <c r="B52" s="1191" t="s">
        <v>449</v>
      </c>
      <c r="C52" s="1191" t="s">
        <v>450</v>
      </c>
      <c r="D52" s="1482"/>
      <c r="E52" s="1196">
        <v>1</v>
      </c>
      <c r="F52" s="1176">
        <v>17697</v>
      </c>
      <c r="G52" s="1198">
        <v>45170</v>
      </c>
      <c r="H52" s="1196">
        <v>20</v>
      </c>
      <c r="I52" s="1192">
        <f t="shared" si="50"/>
        <v>353940</v>
      </c>
      <c r="J52" s="1192">
        <f t="shared" si="34"/>
        <v>35394</v>
      </c>
      <c r="K52" s="1193"/>
      <c r="L52" s="1193"/>
      <c r="M52" s="1193"/>
      <c r="N52" s="1193"/>
      <c r="O52" s="1193"/>
      <c r="P52" s="1193"/>
      <c r="Q52" s="1194"/>
      <c r="R52" s="1194"/>
      <c r="S52" s="1133">
        <f t="shared" si="35"/>
        <v>35394</v>
      </c>
      <c r="T52" s="1133">
        <f t="shared" si="36"/>
        <v>389334</v>
      </c>
      <c r="U52" s="1133">
        <f t="shared" si="37"/>
        <v>38933.4</v>
      </c>
      <c r="V52" s="1133">
        <f t="shared" si="38"/>
        <v>28206.392</v>
      </c>
      <c r="W52" s="1133">
        <f t="shared" si="39"/>
        <v>7786.68</v>
      </c>
      <c r="X52" s="1133">
        <f t="shared" si="40"/>
        <v>314407.52799999999</v>
      </c>
      <c r="Y52" s="1133">
        <f t="shared" si="41"/>
        <v>4672008</v>
      </c>
      <c r="Z52" s="1133">
        <f t="shared" si="42"/>
        <v>707880</v>
      </c>
      <c r="AA52" s="1133">
        <f t="shared" si="43"/>
        <v>5379888</v>
      </c>
      <c r="AB52" s="1133">
        <f t="shared" si="44"/>
        <v>188296.08000000002</v>
      </c>
      <c r="AC52" s="1133">
        <f t="shared" si="45"/>
        <v>280235.5344</v>
      </c>
      <c r="AD52" s="1133">
        <f t="shared" si="46"/>
        <v>242094.96000000002</v>
      </c>
      <c r="AE52" s="1133">
        <f t="shared" si="47"/>
        <v>161396.63999999998</v>
      </c>
      <c r="AF52" s="1133">
        <f t="shared" si="48"/>
        <v>6251911.2143999999</v>
      </c>
      <c r="AG52" s="1178" t="s">
        <v>3</v>
      </c>
    </row>
    <row r="53" spans="1:33" ht="19.5" customHeight="1">
      <c r="A53" s="1175" t="e">
        <f t="shared" si="49"/>
        <v>#REF!</v>
      </c>
      <c r="B53" s="1134" t="s">
        <v>449</v>
      </c>
      <c r="C53" s="1207" t="s">
        <v>829</v>
      </c>
      <c r="D53" s="1482"/>
      <c r="E53" s="1196">
        <v>1</v>
      </c>
      <c r="F53" s="1176">
        <v>17697</v>
      </c>
      <c r="G53" s="1198">
        <v>45237</v>
      </c>
      <c r="H53" s="1196">
        <v>20</v>
      </c>
      <c r="I53" s="1192">
        <f t="shared" si="50"/>
        <v>353940</v>
      </c>
      <c r="J53" s="1192">
        <f t="shared" si="34"/>
        <v>35394</v>
      </c>
      <c r="K53" s="1192"/>
      <c r="L53" s="1193"/>
      <c r="M53" s="1193"/>
      <c r="N53" s="1193"/>
      <c r="O53" s="1193"/>
      <c r="P53" s="1193"/>
      <c r="Q53" s="1194"/>
      <c r="R53" s="1194"/>
      <c r="S53" s="1133">
        <f t="shared" si="35"/>
        <v>35394</v>
      </c>
      <c r="T53" s="1133">
        <f t="shared" si="36"/>
        <v>389334</v>
      </c>
      <c r="U53" s="1133">
        <f t="shared" si="37"/>
        <v>38933.4</v>
      </c>
      <c r="V53" s="1133">
        <f t="shared" si="38"/>
        <v>28206.392</v>
      </c>
      <c r="W53" s="1133">
        <f t="shared" si="39"/>
        <v>7786.68</v>
      </c>
      <c r="X53" s="1133">
        <f t="shared" si="40"/>
        <v>314407.52799999999</v>
      </c>
      <c r="Y53" s="1133">
        <f t="shared" si="41"/>
        <v>4672008</v>
      </c>
      <c r="Z53" s="1133">
        <f t="shared" si="42"/>
        <v>707880</v>
      </c>
      <c r="AA53" s="1133">
        <f t="shared" si="43"/>
        <v>5379888</v>
      </c>
      <c r="AB53" s="1133">
        <f t="shared" si="44"/>
        <v>188296.08000000002</v>
      </c>
      <c r="AC53" s="1133">
        <f t="shared" si="45"/>
        <v>280235.5344</v>
      </c>
      <c r="AD53" s="1133">
        <f t="shared" si="46"/>
        <v>242094.96000000002</v>
      </c>
      <c r="AE53" s="1133">
        <f t="shared" si="47"/>
        <v>161396.63999999998</v>
      </c>
      <c r="AF53" s="1133">
        <f t="shared" si="48"/>
        <v>6251911.2143999999</v>
      </c>
      <c r="AG53" s="1178" t="s">
        <v>3</v>
      </c>
    </row>
    <row r="54" spans="1:33" ht="21.75" customHeight="1">
      <c r="A54" s="1175" t="e">
        <f t="shared" si="49"/>
        <v>#REF!</v>
      </c>
      <c r="B54" s="1134" t="s">
        <v>449</v>
      </c>
      <c r="C54" s="1134" t="s">
        <v>451</v>
      </c>
      <c r="D54" s="1482"/>
      <c r="E54" s="1196">
        <v>1</v>
      </c>
      <c r="F54" s="1176">
        <v>17697</v>
      </c>
      <c r="G54" s="1198">
        <v>42264</v>
      </c>
      <c r="H54" s="1196">
        <v>22</v>
      </c>
      <c r="I54" s="1192">
        <f t="shared" si="50"/>
        <v>389334</v>
      </c>
      <c r="J54" s="1192">
        <f t="shared" si="34"/>
        <v>38933.4</v>
      </c>
      <c r="K54" s="1192"/>
      <c r="L54" s="1193"/>
      <c r="M54" s="1193"/>
      <c r="N54" s="1193"/>
      <c r="O54" s="1193"/>
      <c r="P54" s="1193"/>
      <c r="Q54" s="1194"/>
      <c r="R54" s="1194"/>
      <c r="S54" s="1133">
        <f t="shared" si="35"/>
        <v>38933.4</v>
      </c>
      <c r="T54" s="1133">
        <f t="shared" si="36"/>
        <v>428267.4</v>
      </c>
      <c r="U54" s="1133">
        <f t="shared" si="37"/>
        <v>42826.740000000005</v>
      </c>
      <c r="V54" s="1133">
        <f t="shared" si="38"/>
        <v>31632.531200000005</v>
      </c>
      <c r="W54" s="1133">
        <f t="shared" si="39"/>
        <v>8565.348</v>
      </c>
      <c r="X54" s="1133">
        <f t="shared" si="40"/>
        <v>345242.78080000001</v>
      </c>
      <c r="Y54" s="1133">
        <f t="shared" si="41"/>
        <v>5139208.8000000007</v>
      </c>
      <c r="Z54" s="1133">
        <f t="shared" si="42"/>
        <v>778668</v>
      </c>
      <c r="AA54" s="1133">
        <f t="shared" si="43"/>
        <v>5917876.8000000007</v>
      </c>
      <c r="AB54" s="1133">
        <f t="shared" si="44"/>
        <v>207125.68800000005</v>
      </c>
      <c r="AC54" s="1133">
        <f t="shared" si="45"/>
        <v>308259.08784000011</v>
      </c>
      <c r="AD54" s="1133">
        <f t="shared" si="46"/>
        <v>266304.45600000006</v>
      </c>
      <c r="AE54" s="1133">
        <f t="shared" si="47"/>
        <v>177536.304</v>
      </c>
      <c r="AF54" s="1133">
        <f t="shared" si="48"/>
        <v>6877102.3358400008</v>
      </c>
      <c r="AG54" s="1178" t="s">
        <v>3</v>
      </c>
    </row>
    <row r="55" spans="1:33" ht="31.5">
      <c r="A55" s="1175" t="e">
        <f t="shared" si="49"/>
        <v>#REF!</v>
      </c>
      <c r="B55" s="1134" t="s">
        <v>449</v>
      </c>
      <c r="C55" s="1134" t="s">
        <v>907</v>
      </c>
      <c r="D55" s="1482"/>
      <c r="E55" s="1196">
        <v>1</v>
      </c>
      <c r="F55" s="1176">
        <v>17697</v>
      </c>
      <c r="G55" s="1198">
        <v>45540</v>
      </c>
      <c r="H55" s="1196">
        <v>20</v>
      </c>
      <c r="I55" s="1192">
        <f t="shared" si="50"/>
        <v>353940</v>
      </c>
      <c r="J55" s="1192">
        <f t="shared" si="34"/>
        <v>35394</v>
      </c>
      <c r="K55" s="1193"/>
      <c r="L55" s="1193"/>
      <c r="M55" s="1193"/>
      <c r="N55" s="1193"/>
      <c r="O55" s="1193"/>
      <c r="P55" s="1193"/>
      <c r="Q55" s="1194"/>
      <c r="R55" s="1194"/>
      <c r="S55" s="1133">
        <f t="shared" si="35"/>
        <v>35394</v>
      </c>
      <c r="T55" s="1133">
        <f t="shared" si="36"/>
        <v>389334</v>
      </c>
      <c r="U55" s="1133">
        <f t="shared" si="37"/>
        <v>38933.4</v>
      </c>
      <c r="V55" s="1133">
        <f t="shared" si="38"/>
        <v>28206.392</v>
      </c>
      <c r="W55" s="1133">
        <f t="shared" si="39"/>
        <v>7786.68</v>
      </c>
      <c r="X55" s="1133">
        <f t="shared" si="40"/>
        <v>314407.52799999999</v>
      </c>
      <c r="Y55" s="1133">
        <f t="shared" si="41"/>
        <v>4672008</v>
      </c>
      <c r="Z55" s="1133">
        <f t="shared" si="42"/>
        <v>707880</v>
      </c>
      <c r="AA55" s="1133">
        <f t="shared" si="43"/>
        <v>5379888</v>
      </c>
      <c r="AB55" s="1133">
        <f t="shared" si="44"/>
        <v>188296.08000000002</v>
      </c>
      <c r="AC55" s="1133">
        <f t="shared" si="45"/>
        <v>280235.5344</v>
      </c>
      <c r="AD55" s="1133">
        <f t="shared" si="46"/>
        <v>242094.96000000002</v>
      </c>
      <c r="AE55" s="1133">
        <f t="shared" si="47"/>
        <v>161396.63999999998</v>
      </c>
      <c r="AF55" s="1133">
        <f t="shared" si="48"/>
        <v>6251911.2143999999</v>
      </c>
      <c r="AG55" s="1178" t="s">
        <v>3</v>
      </c>
    </row>
    <row r="56" spans="1:33">
      <c r="A56" s="1175" t="e">
        <f t="shared" si="49"/>
        <v>#REF!</v>
      </c>
      <c r="B56" s="1134" t="s">
        <v>449</v>
      </c>
      <c r="C56" s="1134" t="s">
        <v>908</v>
      </c>
      <c r="D56" s="1482"/>
      <c r="E56" s="1196">
        <v>1</v>
      </c>
      <c r="F56" s="1176">
        <v>17697</v>
      </c>
      <c r="G56" s="1198">
        <v>45537</v>
      </c>
      <c r="H56" s="1196">
        <v>20</v>
      </c>
      <c r="I56" s="1192">
        <f t="shared" si="50"/>
        <v>353940</v>
      </c>
      <c r="J56" s="1192">
        <f t="shared" si="34"/>
        <v>35394</v>
      </c>
      <c r="K56" s="1193"/>
      <c r="L56" s="1193"/>
      <c r="M56" s="1193"/>
      <c r="N56" s="1193"/>
      <c r="O56" s="1193"/>
      <c r="P56" s="1193"/>
      <c r="Q56" s="1194"/>
      <c r="R56" s="1194"/>
      <c r="S56" s="1133">
        <f t="shared" si="35"/>
        <v>35394</v>
      </c>
      <c r="T56" s="1133">
        <f t="shared" si="36"/>
        <v>389334</v>
      </c>
      <c r="U56" s="1133">
        <f t="shared" si="37"/>
        <v>38933.4</v>
      </c>
      <c r="V56" s="1133">
        <f t="shared" si="38"/>
        <v>28206.392</v>
      </c>
      <c r="W56" s="1133">
        <f t="shared" si="39"/>
        <v>7786.68</v>
      </c>
      <c r="X56" s="1133">
        <f t="shared" si="40"/>
        <v>314407.52799999999</v>
      </c>
      <c r="Y56" s="1133">
        <f t="shared" si="41"/>
        <v>4672008</v>
      </c>
      <c r="Z56" s="1133">
        <f t="shared" si="42"/>
        <v>707880</v>
      </c>
      <c r="AA56" s="1133">
        <f t="shared" si="43"/>
        <v>5379888</v>
      </c>
      <c r="AB56" s="1133">
        <f t="shared" si="44"/>
        <v>188296.08000000002</v>
      </c>
      <c r="AC56" s="1133">
        <f t="shared" si="45"/>
        <v>280235.5344</v>
      </c>
      <c r="AD56" s="1133">
        <f t="shared" si="46"/>
        <v>242094.96000000002</v>
      </c>
      <c r="AE56" s="1133">
        <f t="shared" si="47"/>
        <v>161396.63999999998</v>
      </c>
      <c r="AF56" s="1133">
        <f t="shared" si="48"/>
        <v>6251911.2143999999</v>
      </c>
      <c r="AG56" s="1178" t="s">
        <v>3</v>
      </c>
    </row>
    <row r="57" spans="1:33">
      <c r="A57" s="1175" t="e">
        <f t="shared" si="49"/>
        <v>#REF!</v>
      </c>
      <c r="B57" s="1134" t="s">
        <v>449</v>
      </c>
      <c r="C57" s="1134" t="s">
        <v>452</v>
      </c>
      <c r="D57" s="1482"/>
      <c r="E57" s="1196">
        <v>1</v>
      </c>
      <c r="F57" s="1176">
        <v>17697</v>
      </c>
      <c r="G57" s="1198">
        <v>40788</v>
      </c>
      <c r="H57" s="1196">
        <v>22</v>
      </c>
      <c r="I57" s="1192">
        <f t="shared" si="50"/>
        <v>389334</v>
      </c>
      <c r="J57" s="1192">
        <f t="shared" si="34"/>
        <v>38933.4</v>
      </c>
      <c r="K57" s="1193"/>
      <c r="L57" s="1193"/>
      <c r="M57" s="1193"/>
      <c r="N57" s="1193"/>
      <c r="O57" s="1193"/>
      <c r="P57" s="1193"/>
      <c r="Q57" s="1194"/>
      <c r="R57" s="1194"/>
      <c r="S57" s="1133">
        <f t="shared" si="35"/>
        <v>38933.4</v>
      </c>
      <c r="T57" s="1133">
        <f t="shared" si="36"/>
        <v>428267.4</v>
      </c>
      <c r="U57" s="1133">
        <f t="shared" si="37"/>
        <v>42826.740000000005</v>
      </c>
      <c r="V57" s="1133">
        <f t="shared" si="38"/>
        <v>31632.531200000005</v>
      </c>
      <c r="W57" s="1133">
        <f t="shared" si="39"/>
        <v>8565.348</v>
      </c>
      <c r="X57" s="1133">
        <f t="shared" si="40"/>
        <v>345242.78080000001</v>
      </c>
      <c r="Y57" s="1133">
        <f t="shared" si="41"/>
        <v>5139208.8000000007</v>
      </c>
      <c r="Z57" s="1133">
        <f t="shared" si="42"/>
        <v>778668</v>
      </c>
      <c r="AA57" s="1133">
        <f t="shared" si="43"/>
        <v>5917876.8000000007</v>
      </c>
      <c r="AB57" s="1133">
        <f t="shared" si="44"/>
        <v>207125.68800000005</v>
      </c>
      <c r="AC57" s="1133">
        <f t="shared" si="45"/>
        <v>308259.08784000011</v>
      </c>
      <c r="AD57" s="1133">
        <f t="shared" si="46"/>
        <v>266304.45600000006</v>
      </c>
      <c r="AE57" s="1133">
        <f t="shared" si="47"/>
        <v>177536.304</v>
      </c>
      <c r="AF57" s="1133">
        <f t="shared" si="48"/>
        <v>6877102.3358400008</v>
      </c>
      <c r="AG57" s="1178" t="s">
        <v>3</v>
      </c>
    </row>
    <row r="58" spans="1:33" s="1189" customFormat="1">
      <c r="A58" s="1179" t="e">
        <f t="shared" si="49"/>
        <v>#REF!</v>
      </c>
      <c r="B58" s="1199" t="s">
        <v>449</v>
      </c>
      <c r="C58" s="1208" t="s">
        <v>909</v>
      </c>
      <c r="D58" s="1483"/>
      <c r="E58" s="1209"/>
      <c r="F58" s="1182">
        <v>17697</v>
      </c>
      <c r="G58" s="1209"/>
      <c r="H58" s="1210">
        <v>35</v>
      </c>
      <c r="I58" s="1211">
        <f>2*17697*H58</f>
        <v>1238790</v>
      </c>
      <c r="J58" s="1211">
        <f t="shared" si="34"/>
        <v>123879</v>
      </c>
      <c r="K58" s="1185"/>
      <c r="L58" s="1212"/>
      <c r="M58" s="1212"/>
      <c r="N58" s="1212"/>
      <c r="O58" s="1212"/>
      <c r="P58" s="1212"/>
      <c r="Q58" s="1213"/>
      <c r="R58" s="1213"/>
      <c r="S58" s="1185">
        <f t="shared" si="35"/>
        <v>123879</v>
      </c>
      <c r="T58" s="1185">
        <f t="shared" si="36"/>
        <v>1362669</v>
      </c>
      <c r="U58" s="1185">
        <f t="shared" si="37"/>
        <v>136266.9</v>
      </c>
      <c r="V58" s="1185">
        <f t="shared" si="38"/>
        <v>113859.87200000003</v>
      </c>
      <c r="W58" s="1185">
        <f t="shared" si="39"/>
        <v>27253.38</v>
      </c>
      <c r="X58" s="1185">
        <f t="shared" si="40"/>
        <v>1085288.8480000002</v>
      </c>
      <c r="Y58" s="1185">
        <f t="shared" si="41"/>
        <v>16352028</v>
      </c>
      <c r="Z58" s="1185">
        <f t="shared" si="42"/>
        <v>2477580</v>
      </c>
      <c r="AA58" s="1185">
        <f t="shared" si="43"/>
        <v>18829608</v>
      </c>
      <c r="AB58" s="1185">
        <f t="shared" si="44"/>
        <v>659036.28</v>
      </c>
      <c r="AC58" s="1185">
        <f>(AA58*0.9-(W58*12))*11%-AD58+8552148.25-1392421.81</f>
        <v>8140550.8103999998</v>
      </c>
      <c r="AD58" s="1185">
        <f t="shared" si="46"/>
        <v>847332.36</v>
      </c>
      <c r="AE58" s="1185">
        <f t="shared" si="47"/>
        <v>564888.24</v>
      </c>
      <c r="AF58" s="1185">
        <f t="shared" si="48"/>
        <v>29041415.690400001</v>
      </c>
      <c r="AG58" s="1188" t="s">
        <v>3</v>
      </c>
    </row>
    <row r="59" spans="1:33" s="1189" customFormat="1" ht="31.5">
      <c r="A59" s="1179" t="e">
        <f>#REF!+1</f>
        <v>#REF!</v>
      </c>
      <c r="B59" s="1199" t="s">
        <v>453</v>
      </c>
      <c r="C59" s="1217" t="s">
        <v>2458</v>
      </c>
      <c r="D59" s="1482">
        <v>4.75</v>
      </c>
      <c r="E59" s="1179"/>
      <c r="F59" s="1182">
        <v>17697</v>
      </c>
      <c r="G59" s="1183"/>
      <c r="H59" s="1202">
        <v>40</v>
      </c>
      <c r="I59" s="1203">
        <f>1.75*17697*H59</f>
        <v>1238790</v>
      </c>
      <c r="J59" s="1203">
        <f t="shared" si="34"/>
        <v>123879</v>
      </c>
      <c r="K59" s="1185"/>
      <c r="L59" s="1204"/>
      <c r="M59" s="1204"/>
      <c r="N59" s="1204"/>
      <c r="O59" s="1204"/>
      <c r="P59" s="1204"/>
      <c r="Q59" s="1205"/>
      <c r="R59" s="1205"/>
      <c r="S59" s="1185">
        <f t="shared" si="35"/>
        <v>123879</v>
      </c>
      <c r="T59" s="1185">
        <f t="shared" si="36"/>
        <v>1362669</v>
      </c>
      <c r="U59" s="1185">
        <f t="shared" si="37"/>
        <v>136266.9</v>
      </c>
      <c r="V59" s="1185">
        <f t="shared" si="38"/>
        <v>113859.87200000003</v>
      </c>
      <c r="W59" s="1185">
        <f t="shared" si="39"/>
        <v>27253.38</v>
      </c>
      <c r="X59" s="1185">
        <f t="shared" si="40"/>
        <v>1085288.8480000002</v>
      </c>
      <c r="Y59" s="1185">
        <f t="shared" si="41"/>
        <v>16352028</v>
      </c>
      <c r="Z59" s="1185">
        <f t="shared" si="42"/>
        <v>2477580</v>
      </c>
      <c r="AA59" s="1185">
        <f t="shared" si="43"/>
        <v>18829608</v>
      </c>
      <c r="AB59" s="1185">
        <f t="shared" si="44"/>
        <v>659036.28</v>
      </c>
      <c r="AC59" s="1185">
        <f t="shared" si="45"/>
        <v>980824.37039999978</v>
      </c>
      <c r="AD59" s="1185">
        <f t="shared" si="46"/>
        <v>847332.36</v>
      </c>
      <c r="AE59" s="1185">
        <f t="shared" si="47"/>
        <v>564888.24</v>
      </c>
      <c r="AF59" s="1185">
        <f t="shared" si="48"/>
        <v>21881689.250399999</v>
      </c>
      <c r="AG59" s="1188" t="s">
        <v>3</v>
      </c>
    </row>
    <row r="60" spans="1:33" ht="31.5">
      <c r="A60" s="1175" t="e">
        <f t="shared" si="49"/>
        <v>#REF!</v>
      </c>
      <c r="B60" s="1216" t="s">
        <v>453</v>
      </c>
      <c r="C60" s="1214" t="s">
        <v>921</v>
      </c>
      <c r="D60" s="1482"/>
      <c r="E60" s="1196">
        <v>0.5</v>
      </c>
      <c r="F60" s="1176">
        <v>17697</v>
      </c>
      <c r="G60" s="1197">
        <v>44819</v>
      </c>
      <c r="H60" s="1196">
        <v>16</v>
      </c>
      <c r="I60" s="1192">
        <f t="shared" si="50"/>
        <v>141576</v>
      </c>
      <c r="J60" s="1192">
        <f t="shared" si="34"/>
        <v>14157.6</v>
      </c>
      <c r="K60" s="1193"/>
      <c r="L60" s="1193"/>
      <c r="M60" s="1193"/>
      <c r="N60" s="1193"/>
      <c r="O60" s="1193"/>
      <c r="P60" s="1193"/>
      <c r="Q60" s="1194"/>
      <c r="R60" s="1194"/>
      <c r="S60" s="1133">
        <f t="shared" si="35"/>
        <v>14157.6</v>
      </c>
      <c r="T60" s="1133">
        <f t="shared" si="36"/>
        <v>155733.6</v>
      </c>
      <c r="U60" s="1133">
        <f t="shared" si="37"/>
        <v>15573.36</v>
      </c>
      <c r="V60" s="1133">
        <f t="shared" si="38"/>
        <v>7649.5568000000003</v>
      </c>
      <c r="W60" s="1133">
        <f t="shared" si="39"/>
        <v>3114.672</v>
      </c>
      <c r="X60" s="1133">
        <f t="shared" si="40"/>
        <v>129396.01119999999</v>
      </c>
      <c r="Y60" s="1133">
        <f t="shared" si="41"/>
        <v>1868803.2000000002</v>
      </c>
      <c r="Z60" s="1133">
        <f t="shared" si="42"/>
        <v>283152</v>
      </c>
      <c r="AA60" s="1133">
        <f t="shared" si="43"/>
        <v>2151955.2000000002</v>
      </c>
      <c r="AB60" s="1133">
        <f t="shared" si="44"/>
        <v>75318.432000000015</v>
      </c>
      <c r="AC60" s="1133">
        <f t="shared" si="45"/>
        <v>112094.21376</v>
      </c>
      <c r="AD60" s="1133">
        <f t="shared" si="46"/>
        <v>96837.984000000011</v>
      </c>
      <c r="AE60" s="1133">
        <f t="shared" si="47"/>
        <v>64558.656000000003</v>
      </c>
      <c r="AF60" s="1133">
        <f t="shared" si="48"/>
        <v>2500764.4857600005</v>
      </c>
      <c r="AG60" s="1178" t="s">
        <v>3</v>
      </c>
    </row>
    <row r="61" spans="1:33" ht="31.5">
      <c r="A61" s="1175" t="e">
        <f t="shared" si="49"/>
        <v>#REF!</v>
      </c>
      <c r="B61" s="1216" t="s">
        <v>453</v>
      </c>
      <c r="C61" s="1214" t="s">
        <v>454</v>
      </c>
      <c r="D61" s="1482"/>
      <c r="E61" s="1196">
        <v>1</v>
      </c>
      <c r="F61" s="1176">
        <v>17697</v>
      </c>
      <c r="G61" s="1198">
        <v>42860</v>
      </c>
      <c r="H61" s="1196">
        <v>24</v>
      </c>
      <c r="I61" s="1192">
        <f t="shared" si="50"/>
        <v>424728</v>
      </c>
      <c r="J61" s="1192">
        <f t="shared" si="34"/>
        <v>42472.800000000003</v>
      </c>
      <c r="K61" s="1193"/>
      <c r="L61" s="1193"/>
      <c r="M61" s="1193"/>
      <c r="N61" s="1193"/>
      <c r="O61" s="1193"/>
      <c r="P61" s="1193"/>
      <c r="Q61" s="1194"/>
      <c r="R61" s="1194"/>
      <c r="S61" s="1133">
        <f t="shared" si="35"/>
        <v>42472.800000000003</v>
      </c>
      <c r="T61" s="1133">
        <f t="shared" si="36"/>
        <v>467200.8</v>
      </c>
      <c r="U61" s="1133">
        <f t="shared" si="37"/>
        <v>46720.08</v>
      </c>
      <c r="V61" s="1133">
        <f t="shared" si="38"/>
        <v>35058.670399999995</v>
      </c>
      <c r="W61" s="1133">
        <f t="shared" si="39"/>
        <v>9344.0159999999996</v>
      </c>
      <c r="X61" s="1133">
        <f t="shared" si="40"/>
        <v>376078.03359999997</v>
      </c>
      <c r="Y61" s="1133">
        <f t="shared" si="41"/>
        <v>5606409.5999999996</v>
      </c>
      <c r="Z61" s="1133">
        <f t="shared" si="42"/>
        <v>849456</v>
      </c>
      <c r="AA61" s="1133">
        <f t="shared" si="43"/>
        <v>6455865.5999999996</v>
      </c>
      <c r="AB61" s="1133">
        <f t="shared" si="44"/>
        <v>225955.296</v>
      </c>
      <c r="AC61" s="1133">
        <f t="shared" si="45"/>
        <v>336282.64128000004</v>
      </c>
      <c r="AD61" s="1133">
        <f t="shared" si="46"/>
        <v>290513.95199999999</v>
      </c>
      <c r="AE61" s="1133">
        <f t="shared" si="47"/>
        <v>193675.96799999999</v>
      </c>
      <c r="AF61" s="1133">
        <f t="shared" si="48"/>
        <v>7502293.4572799997</v>
      </c>
      <c r="AG61" s="1178" t="s">
        <v>3</v>
      </c>
    </row>
    <row r="62" spans="1:33" ht="31.5">
      <c r="A62" s="1175" t="e">
        <f t="shared" si="49"/>
        <v>#REF!</v>
      </c>
      <c r="B62" s="1216" t="s">
        <v>453</v>
      </c>
      <c r="C62" s="1214" t="s">
        <v>553</v>
      </c>
      <c r="D62" s="1482"/>
      <c r="E62" s="1196">
        <v>1</v>
      </c>
      <c r="F62" s="1176">
        <v>17697</v>
      </c>
      <c r="G62" s="1197">
        <v>45183</v>
      </c>
      <c r="H62" s="1196">
        <v>17</v>
      </c>
      <c r="I62" s="1192">
        <f t="shared" si="50"/>
        <v>300849</v>
      </c>
      <c r="J62" s="1192">
        <f t="shared" si="34"/>
        <v>30084.9</v>
      </c>
      <c r="K62" s="1193"/>
      <c r="L62" s="1193"/>
      <c r="M62" s="1193"/>
      <c r="N62" s="1193"/>
      <c r="O62" s="1193"/>
      <c r="P62" s="1193"/>
      <c r="Q62" s="1194"/>
      <c r="R62" s="1194"/>
      <c r="S62" s="1133">
        <f t="shared" si="35"/>
        <v>30084.9</v>
      </c>
      <c r="T62" s="1133">
        <f t="shared" si="36"/>
        <v>330933.90000000002</v>
      </c>
      <c r="U62" s="1133">
        <f t="shared" si="37"/>
        <v>33093.390000000007</v>
      </c>
      <c r="V62" s="1133">
        <f t="shared" si="38"/>
        <v>23067.183199999999</v>
      </c>
      <c r="W62" s="1133">
        <f t="shared" si="39"/>
        <v>6618.6780000000008</v>
      </c>
      <c r="X62" s="1133">
        <f t="shared" si="40"/>
        <v>268154.64880000002</v>
      </c>
      <c r="Y62" s="1133">
        <f t="shared" si="41"/>
        <v>3971206.8000000003</v>
      </c>
      <c r="Z62" s="1133">
        <f t="shared" si="42"/>
        <v>601698</v>
      </c>
      <c r="AA62" s="1133">
        <f t="shared" si="43"/>
        <v>4572904.8000000007</v>
      </c>
      <c r="AB62" s="1133">
        <f t="shared" si="44"/>
        <v>160051.66800000003</v>
      </c>
      <c r="AC62" s="1133">
        <f t="shared" si="45"/>
        <v>238200.20424000002</v>
      </c>
      <c r="AD62" s="1133">
        <f t="shared" si="46"/>
        <v>205780.71600000004</v>
      </c>
      <c r="AE62" s="1133">
        <f t="shared" si="47"/>
        <v>137187.14400000003</v>
      </c>
      <c r="AF62" s="1133">
        <f t="shared" si="48"/>
        <v>5314124.5322400006</v>
      </c>
      <c r="AG62" s="1178" t="s">
        <v>3</v>
      </c>
    </row>
    <row r="63" spans="1:33" ht="39.75" customHeight="1">
      <c r="A63" s="1175" t="e">
        <f t="shared" si="49"/>
        <v>#REF!</v>
      </c>
      <c r="B63" s="1216" t="s">
        <v>453</v>
      </c>
      <c r="C63" s="1214" t="s">
        <v>922</v>
      </c>
      <c r="D63" s="1482"/>
      <c r="E63" s="1196">
        <v>0.5</v>
      </c>
      <c r="F63" s="1176">
        <v>17697</v>
      </c>
      <c r="G63" s="1197">
        <v>44774</v>
      </c>
      <c r="H63" s="1196">
        <v>20</v>
      </c>
      <c r="I63" s="1192">
        <f t="shared" si="50"/>
        <v>176970</v>
      </c>
      <c r="J63" s="1192">
        <f t="shared" si="34"/>
        <v>17697</v>
      </c>
      <c r="K63" s="1193"/>
      <c r="L63" s="1193"/>
      <c r="M63" s="1193"/>
      <c r="N63" s="1193"/>
      <c r="O63" s="1193"/>
      <c r="P63" s="1193"/>
      <c r="Q63" s="1194"/>
      <c r="R63" s="1194"/>
      <c r="S63" s="1133">
        <f t="shared" si="35"/>
        <v>17697</v>
      </c>
      <c r="T63" s="1133">
        <f t="shared" si="36"/>
        <v>194667</v>
      </c>
      <c r="U63" s="1133">
        <f t="shared" si="37"/>
        <v>19466.7</v>
      </c>
      <c r="V63" s="1133">
        <f t="shared" si="38"/>
        <v>11075.696</v>
      </c>
      <c r="W63" s="1133">
        <f t="shared" si="39"/>
        <v>3893.34</v>
      </c>
      <c r="X63" s="1133">
        <f t="shared" si="40"/>
        <v>160231.264</v>
      </c>
      <c r="Y63" s="1133">
        <f t="shared" si="41"/>
        <v>2336004</v>
      </c>
      <c r="Z63" s="1133">
        <f t="shared" si="42"/>
        <v>353940</v>
      </c>
      <c r="AA63" s="1133">
        <f t="shared" si="43"/>
        <v>2689944</v>
      </c>
      <c r="AB63" s="1133">
        <f t="shared" si="44"/>
        <v>94148.040000000008</v>
      </c>
      <c r="AC63" s="1133">
        <f t="shared" si="45"/>
        <v>140117.7672</v>
      </c>
      <c r="AD63" s="1133">
        <f t="shared" si="46"/>
        <v>121047.48000000001</v>
      </c>
      <c r="AE63" s="1133">
        <f t="shared" si="47"/>
        <v>80698.319999999992</v>
      </c>
      <c r="AF63" s="1133">
        <f t="shared" si="48"/>
        <v>3125955.6072</v>
      </c>
      <c r="AG63" s="1178" t="s">
        <v>3</v>
      </c>
    </row>
    <row r="64" spans="1:33" ht="31.5">
      <c r="A64" s="1175" t="e">
        <f t="shared" si="49"/>
        <v>#REF!</v>
      </c>
      <c r="B64" s="1134" t="s">
        <v>456</v>
      </c>
      <c r="C64" s="1134" t="s">
        <v>457</v>
      </c>
      <c r="D64" s="1218">
        <v>1</v>
      </c>
      <c r="E64" s="1175">
        <v>1</v>
      </c>
      <c r="F64" s="1176">
        <v>17697</v>
      </c>
      <c r="G64" s="1148">
        <v>44287</v>
      </c>
      <c r="H64" s="1175">
        <v>14</v>
      </c>
      <c r="I64" s="1133">
        <f t="shared" si="50"/>
        <v>247758</v>
      </c>
      <c r="J64" s="1133">
        <f t="shared" si="34"/>
        <v>24775.800000000003</v>
      </c>
      <c r="K64" s="1128"/>
      <c r="L64" s="1128"/>
      <c r="M64" s="1128"/>
      <c r="N64" s="1128"/>
      <c r="O64" s="1128"/>
      <c r="P64" s="1128"/>
      <c r="Q64" s="1177"/>
      <c r="R64" s="1177"/>
      <c r="S64" s="1133">
        <f t="shared" si="35"/>
        <v>24775.800000000003</v>
      </c>
      <c r="T64" s="1133">
        <f t="shared" si="36"/>
        <v>272533.8</v>
      </c>
      <c r="U64" s="1133">
        <f t="shared" si="37"/>
        <v>27253.38</v>
      </c>
      <c r="V64" s="1133">
        <f t="shared" si="38"/>
        <v>17927.974399999999</v>
      </c>
      <c r="W64" s="1133">
        <f t="shared" si="39"/>
        <v>5450.6759999999995</v>
      </c>
      <c r="X64" s="1133">
        <f t="shared" si="40"/>
        <v>221901.76959999997</v>
      </c>
      <c r="Y64" s="1133">
        <f t="shared" si="41"/>
        <v>3270405.5999999996</v>
      </c>
      <c r="Z64" s="1133">
        <f t="shared" si="42"/>
        <v>495516</v>
      </c>
      <c r="AA64" s="1133">
        <f t="shared" si="43"/>
        <v>3765921.5999999996</v>
      </c>
      <c r="AB64" s="1133">
        <f t="shared" si="44"/>
        <v>131807.25599999999</v>
      </c>
      <c r="AC64" s="1133">
        <f t="shared" si="45"/>
        <v>196164.87407999998</v>
      </c>
      <c r="AD64" s="1133">
        <f t="shared" si="46"/>
        <v>169466.47200000001</v>
      </c>
      <c r="AE64" s="1133">
        <f t="shared" si="47"/>
        <v>112977.64799999999</v>
      </c>
      <c r="AF64" s="1133">
        <f t="shared" si="48"/>
        <v>4376337.8500799993</v>
      </c>
      <c r="AG64" s="1178" t="s">
        <v>3</v>
      </c>
    </row>
    <row r="65" spans="1:33" ht="31.5">
      <c r="A65" s="1175" t="e">
        <f t="shared" si="49"/>
        <v>#REF!</v>
      </c>
      <c r="B65" s="1137" t="s">
        <v>16</v>
      </c>
      <c r="C65" s="1137" t="s">
        <v>460</v>
      </c>
      <c r="D65" s="1468">
        <v>4</v>
      </c>
      <c r="E65" s="1175">
        <v>1</v>
      </c>
      <c r="F65" s="1176">
        <v>17697</v>
      </c>
      <c r="G65" s="1129">
        <v>42293</v>
      </c>
      <c r="H65" s="1175">
        <v>25</v>
      </c>
      <c r="I65" s="1133">
        <f t="shared" si="50"/>
        <v>442425</v>
      </c>
      <c r="J65" s="1133">
        <f t="shared" si="34"/>
        <v>44242.5</v>
      </c>
      <c r="K65" s="1128"/>
      <c r="L65" s="1128"/>
      <c r="M65" s="1133"/>
      <c r="N65" s="1128"/>
      <c r="O65" s="1128"/>
      <c r="P65" s="1128"/>
      <c r="Q65" s="1177"/>
      <c r="R65" s="1177"/>
      <c r="S65" s="1133">
        <f t="shared" si="35"/>
        <v>44242.5</v>
      </c>
      <c r="T65" s="1133">
        <f t="shared" si="36"/>
        <v>486667.5</v>
      </c>
      <c r="U65" s="1133">
        <f t="shared" si="37"/>
        <v>48666.75</v>
      </c>
      <c r="V65" s="1133">
        <f t="shared" si="38"/>
        <v>36771.740000000005</v>
      </c>
      <c r="W65" s="1133">
        <f t="shared" si="39"/>
        <v>9733.35</v>
      </c>
      <c r="X65" s="1133">
        <f t="shared" si="40"/>
        <v>391495.66000000003</v>
      </c>
      <c r="Y65" s="1133">
        <f t="shared" si="41"/>
        <v>5840010</v>
      </c>
      <c r="Z65" s="1133">
        <f t="shared" si="42"/>
        <v>884850</v>
      </c>
      <c r="AA65" s="1133">
        <f t="shared" si="43"/>
        <v>6724860</v>
      </c>
      <c r="AB65" s="1133">
        <f t="shared" si="44"/>
        <v>235370.10000000003</v>
      </c>
      <c r="AC65" s="1133">
        <f t="shared" si="45"/>
        <v>350294.41800000001</v>
      </c>
      <c r="AD65" s="1133">
        <f t="shared" si="46"/>
        <v>302618.7</v>
      </c>
      <c r="AE65" s="1133">
        <f t="shared" si="47"/>
        <v>201745.8</v>
      </c>
      <c r="AF65" s="1133">
        <f t="shared" si="48"/>
        <v>7814889.0179999992</v>
      </c>
      <c r="AG65" s="1178" t="s">
        <v>3</v>
      </c>
    </row>
    <row r="66" spans="1:33">
      <c r="A66" s="1175" t="e">
        <f t="shared" si="49"/>
        <v>#REF!</v>
      </c>
      <c r="B66" s="1134" t="s">
        <v>459</v>
      </c>
      <c r="C66" s="1219" t="s">
        <v>461</v>
      </c>
      <c r="D66" s="1468"/>
      <c r="E66" s="1175">
        <v>1</v>
      </c>
      <c r="F66" s="1176">
        <v>17697</v>
      </c>
      <c r="G66" s="1129">
        <v>44908</v>
      </c>
      <c r="H66" s="1175">
        <v>20</v>
      </c>
      <c r="I66" s="1133">
        <f t="shared" si="50"/>
        <v>353940</v>
      </c>
      <c r="J66" s="1133">
        <f t="shared" si="34"/>
        <v>35394</v>
      </c>
      <c r="K66" s="1128"/>
      <c r="L66" s="1128"/>
      <c r="M66" s="1133">
        <f>I66*30%</f>
        <v>106182</v>
      </c>
      <c r="N66" s="1128"/>
      <c r="O66" s="1128"/>
      <c r="P66" s="1128"/>
      <c r="Q66" s="1177"/>
      <c r="R66" s="1177"/>
      <c r="S66" s="1133">
        <f t="shared" si="35"/>
        <v>141576</v>
      </c>
      <c r="T66" s="1133">
        <f t="shared" si="36"/>
        <v>495516</v>
      </c>
      <c r="U66" s="1133">
        <f t="shared" si="37"/>
        <v>49551.600000000006</v>
      </c>
      <c r="V66" s="1133">
        <f t="shared" si="38"/>
        <v>37550.408000000003</v>
      </c>
      <c r="W66" s="1133">
        <f t="shared" si="39"/>
        <v>9910.32</v>
      </c>
      <c r="X66" s="1133">
        <f t="shared" si="40"/>
        <v>398503.67200000002</v>
      </c>
      <c r="Y66" s="1133">
        <f t="shared" si="41"/>
        <v>5946192</v>
      </c>
      <c r="Z66" s="1133">
        <f t="shared" si="42"/>
        <v>707880</v>
      </c>
      <c r="AA66" s="1133">
        <f t="shared" si="43"/>
        <v>6654072</v>
      </c>
      <c r="AB66" s="1133">
        <f t="shared" si="44"/>
        <v>232892.52000000002</v>
      </c>
      <c r="AC66" s="1133">
        <f t="shared" si="45"/>
        <v>346238.26560000004</v>
      </c>
      <c r="AD66" s="1133">
        <f t="shared" si="46"/>
        <v>299433.24</v>
      </c>
      <c r="AE66" s="1133">
        <f t="shared" si="47"/>
        <v>199622.16</v>
      </c>
      <c r="AF66" s="1133">
        <f t="shared" si="48"/>
        <v>7732258.1855999995</v>
      </c>
      <c r="AG66" s="1178" t="s">
        <v>3</v>
      </c>
    </row>
    <row r="67" spans="1:33" ht="34.5" customHeight="1">
      <c r="A67" s="1175" t="e">
        <f t="shared" si="49"/>
        <v>#REF!</v>
      </c>
      <c r="B67" s="1134" t="s">
        <v>459</v>
      </c>
      <c r="C67" s="1219" t="s">
        <v>458</v>
      </c>
      <c r="D67" s="1468"/>
      <c r="E67" s="1175">
        <v>1</v>
      </c>
      <c r="F67" s="1176">
        <v>17697</v>
      </c>
      <c r="G67" s="1129">
        <v>45160</v>
      </c>
      <c r="H67" s="1175">
        <v>19</v>
      </c>
      <c r="I67" s="1133">
        <f t="shared" si="50"/>
        <v>336243</v>
      </c>
      <c r="J67" s="1133">
        <f t="shared" si="34"/>
        <v>33624.300000000003</v>
      </c>
      <c r="K67" s="1133">
        <f>10*4325</f>
        <v>43250</v>
      </c>
      <c r="L67" s="1128"/>
      <c r="M67" s="1133"/>
      <c r="N67" s="1128"/>
      <c r="O67" s="1128"/>
      <c r="P67" s="1128"/>
      <c r="Q67" s="1177"/>
      <c r="R67" s="1177"/>
      <c r="S67" s="1133">
        <f t="shared" si="35"/>
        <v>76874.3</v>
      </c>
      <c r="T67" s="1133">
        <f t="shared" si="36"/>
        <v>413117.3</v>
      </c>
      <c r="U67" s="1133">
        <f t="shared" si="37"/>
        <v>41311.730000000003</v>
      </c>
      <c r="V67" s="1133">
        <f t="shared" si="38"/>
        <v>30299.322400000001</v>
      </c>
      <c r="W67" s="1133">
        <f t="shared" si="39"/>
        <v>8262.3459999999995</v>
      </c>
      <c r="X67" s="1133">
        <f t="shared" si="40"/>
        <v>333243.90159999998</v>
      </c>
      <c r="Y67" s="1133">
        <f t="shared" si="41"/>
        <v>4957407.5999999996</v>
      </c>
      <c r="Z67" s="1133">
        <f t="shared" si="42"/>
        <v>672486</v>
      </c>
      <c r="AA67" s="1133">
        <f t="shared" si="43"/>
        <v>5629893.5999999996</v>
      </c>
      <c r="AB67" s="1133">
        <f t="shared" si="44"/>
        <v>197046.27600000001</v>
      </c>
      <c r="AC67" s="1133">
        <f t="shared" si="45"/>
        <v>293107.95767999999</v>
      </c>
      <c r="AD67" s="1133">
        <f t="shared" si="46"/>
        <v>253345.21200000003</v>
      </c>
      <c r="AE67" s="1133">
        <f t="shared" si="47"/>
        <v>168896.80799999999</v>
      </c>
      <c r="AF67" s="1133">
        <f t="shared" si="48"/>
        <v>6542289.8536799997</v>
      </c>
      <c r="AG67" s="1178" t="s">
        <v>3</v>
      </c>
    </row>
    <row r="68" spans="1:33" ht="31.5">
      <c r="A68" s="1175" t="e">
        <f t="shared" si="49"/>
        <v>#REF!</v>
      </c>
      <c r="B68" s="1137" t="s">
        <v>459</v>
      </c>
      <c r="C68" s="1156" t="s">
        <v>462</v>
      </c>
      <c r="D68" s="1468"/>
      <c r="E68" s="1175">
        <v>1</v>
      </c>
      <c r="F68" s="1176">
        <v>17697</v>
      </c>
      <c r="G68" s="1129">
        <v>43773</v>
      </c>
      <c r="H68" s="1175">
        <v>25</v>
      </c>
      <c r="I68" s="1133">
        <f t="shared" si="50"/>
        <v>442425</v>
      </c>
      <c r="J68" s="1133">
        <f t="shared" si="34"/>
        <v>44242.5</v>
      </c>
      <c r="K68" s="1128"/>
      <c r="L68" s="1128"/>
      <c r="M68" s="1133">
        <f>I68*30%</f>
        <v>132727.5</v>
      </c>
      <c r="N68" s="1128"/>
      <c r="O68" s="1128"/>
      <c r="P68" s="1128"/>
      <c r="Q68" s="1177"/>
      <c r="R68" s="1177"/>
      <c r="S68" s="1133">
        <f t="shared" si="35"/>
        <v>176970</v>
      </c>
      <c r="T68" s="1133">
        <f t="shared" si="36"/>
        <v>619395</v>
      </c>
      <c r="U68" s="1133">
        <f t="shared" si="37"/>
        <v>61939.5</v>
      </c>
      <c r="V68" s="1133">
        <f t="shared" si="38"/>
        <v>48451.76</v>
      </c>
      <c r="W68" s="1133">
        <f t="shared" si="39"/>
        <v>12387.9</v>
      </c>
      <c r="X68" s="1133">
        <f t="shared" si="40"/>
        <v>496615.83999999997</v>
      </c>
      <c r="Y68" s="1133">
        <f t="shared" si="41"/>
        <v>7432740</v>
      </c>
      <c r="Z68" s="1133">
        <f t="shared" si="42"/>
        <v>884850</v>
      </c>
      <c r="AA68" s="1133">
        <f t="shared" si="43"/>
        <v>8317590</v>
      </c>
      <c r="AB68" s="1133">
        <f t="shared" si="44"/>
        <v>291115.65000000002</v>
      </c>
      <c r="AC68" s="1133">
        <f t="shared" si="45"/>
        <v>432797.83199999994</v>
      </c>
      <c r="AD68" s="1133">
        <f t="shared" si="46"/>
        <v>374291.55000000005</v>
      </c>
      <c r="AE68" s="1133">
        <f t="shared" si="47"/>
        <v>249527.69999999998</v>
      </c>
      <c r="AF68" s="1133">
        <f t="shared" si="48"/>
        <v>9665322.7320000008</v>
      </c>
      <c r="AG68" s="1178" t="s">
        <v>3</v>
      </c>
    </row>
    <row r="69" spans="1:33">
      <c r="A69" s="1175" t="e">
        <f t="shared" si="49"/>
        <v>#REF!</v>
      </c>
      <c r="B69" s="1134" t="s">
        <v>463</v>
      </c>
      <c r="C69" s="1220" t="s">
        <v>464</v>
      </c>
      <c r="D69" s="1175">
        <v>1</v>
      </c>
      <c r="E69" s="1175">
        <v>1</v>
      </c>
      <c r="F69" s="1176">
        <v>17697</v>
      </c>
      <c r="G69" s="1129">
        <v>43064</v>
      </c>
      <c r="H69" s="1175">
        <v>22</v>
      </c>
      <c r="I69" s="1133">
        <f t="shared" si="50"/>
        <v>389334</v>
      </c>
      <c r="J69" s="1133">
        <f t="shared" si="34"/>
        <v>38933.4</v>
      </c>
      <c r="K69" s="1133">
        <f>10*4325</f>
        <v>43250</v>
      </c>
      <c r="L69" s="1128"/>
      <c r="M69" s="1133">
        <f>I69*30%</f>
        <v>116800.2</v>
      </c>
      <c r="N69" s="1128"/>
      <c r="O69" s="1128"/>
      <c r="P69" s="1128"/>
      <c r="Q69" s="1177"/>
      <c r="R69" s="1177"/>
      <c r="S69" s="1133">
        <f t="shared" si="35"/>
        <v>198983.59999999998</v>
      </c>
      <c r="T69" s="1133">
        <f t="shared" si="36"/>
        <v>588317.6</v>
      </c>
      <c r="U69" s="1133">
        <f t="shared" si="37"/>
        <v>58831.76</v>
      </c>
      <c r="V69" s="1133">
        <f t="shared" si="38"/>
        <v>45716.948799999998</v>
      </c>
      <c r="W69" s="1133">
        <f t="shared" si="39"/>
        <v>11766.351999999999</v>
      </c>
      <c r="X69" s="1133">
        <f t="shared" si="40"/>
        <v>472002.53919999994</v>
      </c>
      <c r="Y69" s="1133">
        <f t="shared" si="41"/>
        <v>7059811.1999999993</v>
      </c>
      <c r="Z69" s="1133">
        <f t="shared" si="42"/>
        <v>778668</v>
      </c>
      <c r="AA69" s="1133">
        <f t="shared" si="43"/>
        <v>7838479.1999999993</v>
      </c>
      <c r="AB69" s="1133">
        <f t="shared" si="44"/>
        <v>274346.772</v>
      </c>
      <c r="AC69" s="1133">
        <f t="shared" si="45"/>
        <v>407746.29215999984</v>
      </c>
      <c r="AD69" s="1133">
        <f t="shared" si="46"/>
        <v>352731.56400000001</v>
      </c>
      <c r="AE69" s="1133">
        <f t="shared" si="47"/>
        <v>235154.37599999996</v>
      </c>
      <c r="AF69" s="1133">
        <f t="shared" si="48"/>
        <v>9108458.2041599993</v>
      </c>
      <c r="AG69" s="1178" t="s">
        <v>3</v>
      </c>
    </row>
    <row r="70" spans="1:33" ht="31.5">
      <c r="A70" s="1175" t="e">
        <f t="shared" si="49"/>
        <v>#REF!</v>
      </c>
      <c r="B70" s="1134" t="s">
        <v>49</v>
      </c>
      <c r="C70" s="1134" t="s">
        <v>465</v>
      </c>
      <c r="D70" s="1175">
        <v>1</v>
      </c>
      <c r="E70" s="1175">
        <v>1</v>
      </c>
      <c r="F70" s="1176">
        <v>17697</v>
      </c>
      <c r="G70" s="1129">
        <v>42661</v>
      </c>
      <c r="H70" s="1136">
        <v>20</v>
      </c>
      <c r="I70" s="1133">
        <f t="shared" si="50"/>
        <v>353940</v>
      </c>
      <c r="J70" s="1133">
        <f t="shared" si="34"/>
        <v>35394</v>
      </c>
      <c r="K70" s="1128"/>
      <c r="L70" s="1128"/>
      <c r="M70" s="1128"/>
      <c r="N70" s="1128"/>
      <c r="O70" s="1128"/>
      <c r="P70" s="1133">
        <f>17697*30%</f>
        <v>5309.0999999999995</v>
      </c>
      <c r="Q70" s="1177"/>
      <c r="R70" s="1177"/>
      <c r="S70" s="1133">
        <f t="shared" si="35"/>
        <v>40703.1</v>
      </c>
      <c r="T70" s="1133">
        <f t="shared" si="36"/>
        <v>394643.1</v>
      </c>
      <c r="U70" s="1133">
        <f t="shared" si="37"/>
        <v>39464.31</v>
      </c>
      <c r="V70" s="1133">
        <f t="shared" si="38"/>
        <v>28673.592799999999</v>
      </c>
      <c r="W70" s="1133">
        <f t="shared" si="39"/>
        <v>7892.8620000000001</v>
      </c>
      <c r="X70" s="1133">
        <f t="shared" si="40"/>
        <v>318612.33519999997</v>
      </c>
      <c r="Y70" s="1133">
        <f t="shared" si="41"/>
        <v>4735717.1999999993</v>
      </c>
      <c r="Z70" s="1133">
        <f t="shared" si="42"/>
        <v>707880</v>
      </c>
      <c r="AA70" s="1133">
        <f t="shared" si="43"/>
        <v>5443597.1999999993</v>
      </c>
      <c r="AB70" s="1133">
        <f t="shared" si="44"/>
        <v>190525.902</v>
      </c>
      <c r="AC70" s="1133">
        <f t="shared" si="45"/>
        <v>283535.67096000002</v>
      </c>
      <c r="AD70" s="1133">
        <f t="shared" si="46"/>
        <v>244961.87399999998</v>
      </c>
      <c r="AE70" s="1133">
        <f t="shared" si="47"/>
        <v>163307.91599999997</v>
      </c>
      <c r="AF70" s="1133">
        <f t="shared" si="48"/>
        <v>6325928.5629599988</v>
      </c>
      <c r="AG70" s="1178" t="s">
        <v>3</v>
      </c>
    </row>
    <row r="71" spans="1:33">
      <c r="A71" s="1175" t="e">
        <f t="shared" si="49"/>
        <v>#REF!</v>
      </c>
      <c r="B71" s="1134" t="s">
        <v>17</v>
      </c>
      <c r="C71" s="1221" t="s">
        <v>466</v>
      </c>
      <c r="D71" s="1468">
        <v>2</v>
      </c>
      <c r="E71" s="1175">
        <v>1</v>
      </c>
      <c r="F71" s="1176">
        <v>17697</v>
      </c>
      <c r="G71" s="1129">
        <v>34736</v>
      </c>
      <c r="H71" s="1136">
        <v>16</v>
      </c>
      <c r="I71" s="1133">
        <f t="shared" si="50"/>
        <v>283152</v>
      </c>
      <c r="J71" s="1133">
        <f t="shared" si="34"/>
        <v>28315.200000000001</v>
      </c>
      <c r="K71" s="1128"/>
      <c r="L71" s="1128"/>
      <c r="M71" s="1128"/>
      <c r="N71" s="1128"/>
      <c r="O71" s="1128"/>
      <c r="P71" s="1133">
        <f>17697*30%</f>
        <v>5309.0999999999995</v>
      </c>
      <c r="Q71" s="1177"/>
      <c r="R71" s="1177"/>
      <c r="S71" s="1133">
        <f t="shared" si="35"/>
        <v>33624.300000000003</v>
      </c>
      <c r="T71" s="1133">
        <f t="shared" si="36"/>
        <v>316776.3</v>
      </c>
      <c r="U71" s="1133">
        <f t="shared" si="37"/>
        <v>31677.63</v>
      </c>
      <c r="V71" s="1133">
        <f t="shared" si="38"/>
        <v>21821.314399999999</v>
      </c>
      <c r="W71" s="1133">
        <f t="shared" si="39"/>
        <v>6335.5259999999998</v>
      </c>
      <c r="X71" s="1133">
        <f t="shared" si="40"/>
        <v>256941.8296</v>
      </c>
      <c r="Y71" s="1133">
        <f t="shared" si="41"/>
        <v>3801315.5999999996</v>
      </c>
      <c r="Z71" s="1133">
        <f t="shared" si="42"/>
        <v>566304</v>
      </c>
      <c r="AA71" s="1133">
        <f t="shared" si="43"/>
        <v>4367619.5999999996</v>
      </c>
      <c r="AB71" s="1133">
        <f t="shared" si="44"/>
        <v>152866.68599999999</v>
      </c>
      <c r="AC71" s="1133">
        <f t="shared" si="45"/>
        <v>227488.56407999998</v>
      </c>
      <c r="AD71" s="1133">
        <f t="shared" si="46"/>
        <v>196542.88199999998</v>
      </c>
      <c r="AE71" s="1133">
        <f t="shared" si="47"/>
        <v>131028.58799999999</v>
      </c>
      <c r="AF71" s="1133">
        <f t="shared" si="48"/>
        <v>5075546.32008</v>
      </c>
      <c r="AG71" s="1178" t="s">
        <v>3</v>
      </c>
    </row>
    <row r="72" spans="1:33">
      <c r="A72" s="1175" t="e">
        <f t="shared" si="49"/>
        <v>#REF!</v>
      </c>
      <c r="B72" s="1134" t="s">
        <v>17</v>
      </c>
      <c r="C72" s="1221" t="s">
        <v>467</v>
      </c>
      <c r="D72" s="1468"/>
      <c r="E72" s="1175">
        <v>1</v>
      </c>
      <c r="F72" s="1176">
        <v>17697</v>
      </c>
      <c r="G72" s="1129">
        <v>44536</v>
      </c>
      <c r="H72" s="1136">
        <v>16</v>
      </c>
      <c r="I72" s="1133">
        <f t="shared" si="50"/>
        <v>283152</v>
      </c>
      <c r="J72" s="1133">
        <f t="shared" si="34"/>
        <v>28315.200000000001</v>
      </c>
      <c r="K72" s="1128"/>
      <c r="L72" s="1128"/>
      <c r="M72" s="1128"/>
      <c r="N72" s="1128"/>
      <c r="O72" s="1128"/>
      <c r="P72" s="1133">
        <f>17697*30%</f>
        <v>5309.0999999999995</v>
      </c>
      <c r="Q72" s="1177"/>
      <c r="R72" s="1177"/>
      <c r="S72" s="1133">
        <f t="shared" si="35"/>
        <v>33624.300000000003</v>
      </c>
      <c r="T72" s="1133">
        <f t="shared" si="36"/>
        <v>316776.3</v>
      </c>
      <c r="U72" s="1133">
        <f t="shared" si="37"/>
        <v>31677.63</v>
      </c>
      <c r="V72" s="1133">
        <f t="shared" si="38"/>
        <v>21821.314399999999</v>
      </c>
      <c r="W72" s="1133">
        <f t="shared" si="39"/>
        <v>6335.5259999999998</v>
      </c>
      <c r="X72" s="1133">
        <f t="shared" si="40"/>
        <v>256941.8296</v>
      </c>
      <c r="Y72" s="1133">
        <f t="shared" si="41"/>
        <v>3801315.5999999996</v>
      </c>
      <c r="Z72" s="1133">
        <f t="shared" si="42"/>
        <v>566304</v>
      </c>
      <c r="AA72" s="1133">
        <f t="shared" si="43"/>
        <v>4367619.5999999996</v>
      </c>
      <c r="AB72" s="1133">
        <f t="shared" si="44"/>
        <v>152866.68599999999</v>
      </c>
      <c r="AC72" s="1133">
        <f t="shared" si="45"/>
        <v>227488.56407999998</v>
      </c>
      <c r="AD72" s="1133">
        <f t="shared" si="46"/>
        <v>196542.88199999998</v>
      </c>
      <c r="AE72" s="1133">
        <f t="shared" si="47"/>
        <v>131028.58799999999</v>
      </c>
      <c r="AF72" s="1133">
        <f t="shared" si="48"/>
        <v>5075546.32008</v>
      </c>
      <c r="AG72" s="1178" t="s">
        <v>3</v>
      </c>
    </row>
    <row r="73" spans="1:33">
      <c r="A73" s="1175" t="e">
        <f t="shared" si="49"/>
        <v>#REF!</v>
      </c>
      <c r="B73" s="1191" t="s">
        <v>51</v>
      </c>
      <c r="C73" s="1221" t="s">
        <v>923</v>
      </c>
      <c r="D73" s="1481">
        <v>1</v>
      </c>
      <c r="E73" s="1196">
        <v>0.5</v>
      </c>
      <c r="F73" s="1176">
        <v>17697</v>
      </c>
      <c r="G73" s="1198">
        <v>45903</v>
      </c>
      <c r="H73" s="1136">
        <v>11</v>
      </c>
      <c r="I73" s="1192">
        <f t="shared" si="50"/>
        <v>97333.5</v>
      </c>
      <c r="J73" s="1192">
        <f t="shared" si="34"/>
        <v>9733.35</v>
      </c>
      <c r="K73" s="1193"/>
      <c r="L73" s="1193"/>
      <c r="M73" s="1193"/>
      <c r="N73" s="1193"/>
      <c r="O73" s="1193"/>
      <c r="P73" s="1192"/>
      <c r="Q73" s="1194"/>
      <c r="R73" s="1194"/>
      <c r="S73" s="1133">
        <f t="shared" si="35"/>
        <v>9733.35</v>
      </c>
      <c r="T73" s="1133">
        <f t="shared" si="36"/>
        <v>107066.85</v>
      </c>
      <c r="U73" s="1133">
        <f t="shared" si="37"/>
        <v>10706.685000000001</v>
      </c>
      <c r="V73" s="1133">
        <f t="shared" si="38"/>
        <v>3366.8828000000012</v>
      </c>
      <c r="W73" s="1133">
        <f t="shared" si="39"/>
        <v>2141.337</v>
      </c>
      <c r="X73" s="1133">
        <f t="shared" si="40"/>
        <v>90851.945200000002</v>
      </c>
      <c r="Y73" s="1133">
        <f t="shared" si="41"/>
        <v>1284802.2000000002</v>
      </c>
      <c r="Z73" s="1133">
        <f t="shared" si="42"/>
        <v>194667</v>
      </c>
      <c r="AA73" s="1133">
        <f t="shared" si="43"/>
        <v>1479469.2000000002</v>
      </c>
      <c r="AB73" s="1133">
        <f t="shared" si="44"/>
        <v>51781.422000000013</v>
      </c>
      <c r="AC73" s="1133">
        <f t="shared" si="45"/>
        <v>77064.771960000027</v>
      </c>
      <c r="AD73" s="1133">
        <f t="shared" si="46"/>
        <v>66576.114000000016</v>
      </c>
      <c r="AE73" s="1133">
        <f t="shared" si="47"/>
        <v>44384.076000000001</v>
      </c>
      <c r="AF73" s="1133">
        <f t="shared" si="48"/>
        <v>1719275.5839600002</v>
      </c>
      <c r="AG73" s="1178" t="s">
        <v>3</v>
      </c>
    </row>
    <row r="74" spans="1:33" s="1189" customFormat="1">
      <c r="A74" s="1179" t="e">
        <f t="shared" si="49"/>
        <v>#REF!</v>
      </c>
      <c r="B74" s="1199" t="s">
        <v>51</v>
      </c>
      <c r="C74" s="1222" t="s">
        <v>905</v>
      </c>
      <c r="D74" s="1483"/>
      <c r="E74" s="1179"/>
      <c r="F74" s="1182">
        <v>17697</v>
      </c>
      <c r="G74" s="1201"/>
      <c r="H74" s="1202">
        <v>25</v>
      </c>
      <c r="I74" s="1203">
        <f>0.5*17697*H74</f>
        <v>221212.5</v>
      </c>
      <c r="J74" s="1203">
        <f t="shared" si="34"/>
        <v>22121.25</v>
      </c>
      <c r="K74" s="1185">
        <f>10*4325</f>
        <v>43250</v>
      </c>
      <c r="L74" s="1204"/>
      <c r="M74" s="1204"/>
      <c r="N74" s="1204"/>
      <c r="O74" s="1204"/>
      <c r="P74" s="1204"/>
      <c r="Q74" s="1205"/>
      <c r="R74" s="1205"/>
      <c r="S74" s="1185">
        <f t="shared" si="35"/>
        <v>65371.25</v>
      </c>
      <c r="T74" s="1185">
        <f t="shared" si="36"/>
        <v>286583.75</v>
      </c>
      <c r="U74" s="1185">
        <f t="shared" si="37"/>
        <v>28658.375</v>
      </c>
      <c r="V74" s="1185">
        <f t="shared" si="38"/>
        <v>19164.370000000003</v>
      </c>
      <c r="W74" s="1185">
        <f t="shared" si="39"/>
        <v>5731.6750000000002</v>
      </c>
      <c r="X74" s="1185">
        <f t="shared" si="40"/>
        <v>233029.33000000002</v>
      </c>
      <c r="Y74" s="1185">
        <f t="shared" si="41"/>
        <v>3439005</v>
      </c>
      <c r="Z74" s="1185">
        <f t="shared" si="42"/>
        <v>442425</v>
      </c>
      <c r="AA74" s="1185">
        <f t="shared" si="43"/>
        <v>3881430</v>
      </c>
      <c r="AB74" s="1185">
        <f t="shared" si="44"/>
        <v>135850.05000000002</v>
      </c>
      <c r="AC74" s="1185">
        <f t="shared" si="45"/>
        <v>202031.40900000001</v>
      </c>
      <c r="AD74" s="1185">
        <f t="shared" si="46"/>
        <v>174664.35</v>
      </c>
      <c r="AE74" s="1185">
        <f t="shared" si="47"/>
        <v>116442.9</v>
      </c>
      <c r="AF74" s="1185">
        <f t="shared" si="48"/>
        <v>4510418.7089999998</v>
      </c>
      <c r="AG74" s="1188" t="s">
        <v>3</v>
      </c>
    </row>
    <row r="75" spans="1:33">
      <c r="A75" s="1175" t="e">
        <f t="shared" si="49"/>
        <v>#REF!</v>
      </c>
      <c r="B75" s="1134" t="s">
        <v>18</v>
      </c>
      <c r="C75" s="1221" t="s">
        <v>468</v>
      </c>
      <c r="D75" s="1196">
        <v>1</v>
      </c>
      <c r="E75" s="1196">
        <v>1</v>
      </c>
      <c r="F75" s="1176">
        <v>17697</v>
      </c>
      <c r="G75" s="1198">
        <v>40702</v>
      </c>
      <c r="H75" s="1196">
        <v>24</v>
      </c>
      <c r="I75" s="1192">
        <f t="shared" si="50"/>
        <v>424728</v>
      </c>
      <c r="J75" s="1192">
        <f t="shared" si="34"/>
        <v>42472.800000000003</v>
      </c>
      <c r="K75" s="1193"/>
      <c r="L75" s="1193"/>
      <c r="M75" s="1193"/>
      <c r="N75" s="1193"/>
      <c r="O75" s="1193"/>
      <c r="P75" s="1193"/>
      <c r="Q75" s="1194"/>
      <c r="R75" s="1194"/>
      <c r="S75" s="1133">
        <f t="shared" si="35"/>
        <v>42472.800000000003</v>
      </c>
      <c r="T75" s="1133">
        <f t="shared" si="36"/>
        <v>467200.8</v>
      </c>
      <c r="U75" s="1133">
        <f t="shared" si="37"/>
        <v>46720.08</v>
      </c>
      <c r="V75" s="1133">
        <f t="shared" si="38"/>
        <v>35058.670399999995</v>
      </c>
      <c r="W75" s="1133">
        <f t="shared" si="39"/>
        <v>9344.0159999999996</v>
      </c>
      <c r="X75" s="1133">
        <f t="shared" si="40"/>
        <v>376078.03359999997</v>
      </c>
      <c r="Y75" s="1133">
        <f t="shared" si="41"/>
        <v>5606409.5999999996</v>
      </c>
      <c r="Z75" s="1133">
        <f t="shared" si="42"/>
        <v>849456</v>
      </c>
      <c r="AA75" s="1133">
        <f t="shared" si="43"/>
        <v>6455865.5999999996</v>
      </c>
      <c r="AB75" s="1133">
        <f t="shared" si="44"/>
        <v>225955.296</v>
      </c>
      <c r="AC75" s="1133">
        <f t="shared" si="45"/>
        <v>336282.64128000004</v>
      </c>
      <c r="AD75" s="1133">
        <f t="shared" si="46"/>
        <v>290513.95199999999</v>
      </c>
      <c r="AE75" s="1133">
        <f t="shared" si="47"/>
        <v>193675.96799999999</v>
      </c>
      <c r="AF75" s="1133">
        <f t="shared" si="48"/>
        <v>7502293.4572799997</v>
      </c>
      <c r="AG75" s="1178" t="s">
        <v>3</v>
      </c>
    </row>
    <row r="76" spans="1:33" ht="31.5">
      <c r="A76" s="1175" t="e">
        <f t="shared" si="49"/>
        <v>#REF!</v>
      </c>
      <c r="B76" s="1191" t="s">
        <v>469</v>
      </c>
      <c r="C76" s="1223" t="s">
        <v>470</v>
      </c>
      <c r="D76" s="1196">
        <v>1</v>
      </c>
      <c r="E76" s="1196">
        <v>1</v>
      </c>
      <c r="F76" s="1176">
        <v>17697</v>
      </c>
      <c r="G76" s="1198">
        <v>44998</v>
      </c>
      <c r="H76" s="1224">
        <v>18</v>
      </c>
      <c r="I76" s="1192">
        <f t="shared" si="50"/>
        <v>318546</v>
      </c>
      <c r="J76" s="1192">
        <f t="shared" si="34"/>
        <v>31854.600000000002</v>
      </c>
      <c r="K76" s="1193"/>
      <c r="L76" s="1193"/>
      <c r="M76" s="1193"/>
      <c r="N76" s="1193"/>
      <c r="O76" s="1193"/>
      <c r="P76" s="1193"/>
      <c r="Q76" s="1194"/>
      <c r="R76" s="1194"/>
      <c r="S76" s="1133">
        <f t="shared" si="35"/>
        <v>31854.600000000002</v>
      </c>
      <c r="T76" s="1133">
        <f t="shared" si="36"/>
        <v>350400.6</v>
      </c>
      <c r="U76" s="1133">
        <f t="shared" si="37"/>
        <v>35040.06</v>
      </c>
      <c r="V76" s="1133">
        <f t="shared" si="38"/>
        <v>24780.252800000002</v>
      </c>
      <c r="W76" s="1133">
        <f t="shared" si="39"/>
        <v>7008.0119999999997</v>
      </c>
      <c r="X76" s="1133">
        <f t="shared" si="40"/>
        <v>283572.27519999997</v>
      </c>
      <c r="Y76" s="1133">
        <f t="shared" si="41"/>
        <v>4204807.1999999993</v>
      </c>
      <c r="Z76" s="1133">
        <f t="shared" si="42"/>
        <v>637092</v>
      </c>
      <c r="AA76" s="1133">
        <f t="shared" si="43"/>
        <v>4841899.1999999993</v>
      </c>
      <c r="AB76" s="1133">
        <f t="shared" si="44"/>
        <v>169466.47199999998</v>
      </c>
      <c r="AC76" s="1133">
        <f t="shared" si="45"/>
        <v>252211.9809599999</v>
      </c>
      <c r="AD76" s="1133">
        <f t="shared" si="46"/>
        <v>217885.46399999998</v>
      </c>
      <c r="AE76" s="1133">
        <f t="shared" si="47"/>
        <v>145256.97599999997</v>
      </c>
      <c r="AF76" s="1133">
        <f t="shared" si="48"/>
        <v>5626720.0929599991</v>
      </c>
      <c r="AG76" s="1178" t="s">
        <v>3</v>
      </c>
    </row>
    <row r="77" spans="1:33" ht="31.5">
      <c r="A77" s="1175" t="e">
        <f t="shared" si="49"/>
        <v>#REF!</v>
      </c>
      <c r="B77" s="1134" t="s">
        <v>471</v>
      </c>
      <c r="C77" s="1134" t="s">
        <v>472</v>
      </c>
      <c r="D77" s="1480">
        <v>2</v>
      </c>
      <c r="E77" s="1196">
        <v>1</v>
      </c>
      <c r="F77" s="1176">
        <v>17697</v>
      </c>
      <c r="G77" s="1198">
        <v>43077</v>
      </c>
      <c r="H77" s="1136">
        <v>24</v>
      </c>
      <c r="I77" s="1192">
        <f t="shared" si="50"/>
        <v>424728</v>
      </c>
      <c r="J77" s="1192">
        <f t="shared" si="34"/>
        <v>42472.800000000003</v>
      </c>
      <c r="K77" s="1193"/>
      <c r="L77" s="1193"/>
      <c r="M77" s="1193"/>
      <c r="N77" s="1193"/>
      <c r="O77" s="1193"/>
      <c r="P77" s="1193"/>
      <c r="Q77" s="1194"/>
      <c r="R77" s="1194"/>
      <c r="S77" s="1133">
        <f t="shared" si="35"/>
        <v>42472.800000000003</v>
      </c>
      <c r="T77" s="1133">
        <f t="shared" si="36"/>
        <v>467200.8</v>
      </c>
      <c r="U77" s="1133">
        <f t="shared" si="37"/>
        <v>46720.08</v>
      </c>
      <c r="V77" s="1133">
        <f t="shared" si="38"/>
        <v>35058.670399999995</v>
      </c>
      <c r="W77" s="1133">
        <f t="shared" si="39"/>
        <v>9344.0159999999996</v>
      </c>
      <c r="X77" s="1133">
        <f t="shared" si="40"/>
        <v>376078.03359999997</v>
      </c>
      <c r="Y77" s="1133">
        <f t="shared" si="41"/>
        <v>5606409.5999999996</v>
      </c>
      <c r="Z77" s="1133">
        <f t="shared" si="42"/>
        <v>849456</v>
      </c>
      <c r="AA77" s="1133">
        <f t="shared" si="43"/>
        <v>6455865.5999999996</v>
      </c>
      <c r="AB77" s="1133">
        <f t="shared" si="44"/>
        <v>225955.296</v>
      </c>
      <c r="AC77" s="1133">
        <f t="shared" si="45"/>
        <v>336282.64128000004</v>
      </c>
      <c r="AD77" s="1133">
        <f t="shared" si="46"/>
        <v>290513.95199999999</v>
      </c>
      <c r="AE77" s="1133">
        <f t="shared" si="47"/>
        <v>193675.96799999999</v>
      </c>
      <c r="AF77" s="1133">
        <f t="shared" si="48"/>
        <v>7502293.4572799997</v>
      </c>
      <c r="AG77" s="1178" t="s">
        <v>3</v>
      </c>
    </row>
    <row r="78" spans="1:33" s="1189" customFormat="1" ht="31.5">
      <c r="A78" s="1179" t="e">
        <f t="shared" si="49"/>
        <v>#REF!</v>
      </c>
      <c r="B78" s="1199" t="s">
        <v>471</v>
      </c>
      <c r="C78" s="1222" t="s">
        <v>931</v>
      </c>
      <c r="D78" s="1480"/>
      <c r="E78" s="1179"/>
      <c r="F78" s="1182">
        <v>17697</v>
      </c>
      <c r="G78" s="1201"/>
      <c r="H78" s="1225">
        <v>25</v>
      </c>
      <c r="I78" s="1203">
        <f>17697*H78</f>
        <v>442425</v>
      </c>
      <c r="J78" s="1203">
        <f t="shared" si="34"/>
        <v>44242.5</v>
      </c>
      <c r="K78" s="1185"/>
      <c r="L78" s="1204"/>
      <c r="M78" s="1204"/>
      <c r="N78" s="1204"/>
      <c r="O78" s="1204"/>
      <c r="P78" s="1204"/>
      <c r="Q78" s="1205"/>
      <c r="R78" s="1205"/>
      <c r="S78" s="1185">
        <f t="shared" si="35"/>
        <v>44242.5</v>
      </c>
      <c r="T78" s="1185">
        <f t="shared" si="36"/>
        <v>486667.5</v>
      </c>
      <c r="U78" s="1185">
        <f t="shared" si="37"/>
        <v>48666.75</v>
      </c>
      <c r="V78" s="1185">
        <f t="shared" si="38"/>
        <v>36771.740000000005</v>
      </c>
      <c r="W78" s="1185">
        <f t="shared" si="39"/>
        <v>9733.35</v>
      </c>
      <c r="X78" s="1185">
        <f t="shared" si="40"/>
        <v>391495.66000000003</v>
      </c>
      <c r="Y78" s="1185">
        <f t="shared" si="41"/>
        <v>5840010</v>
      </c>
      <c r="Z78" s="1185">
        <f t="shared" si="42"/>
        <v>884850</v>
      </c>
      <c r="AA78" s="1185">
        <f t="shared" si="43"/>
        <v>6724860</v>
      </c>
      <c r="AB78" s="1185">
        <f>AA78*3.5%+2000000</f>
        <v>2235370.1</v>
      </c>
      <c r="AC78" s="1185">
        <f>(AA78*0.9-(W78*12))*11%-AD78+5000000</f>
        <v>5350294.4179999996</v>
      </c>
      <c r="AD78" s="1185">
        <f t="shared" si="46"/>
        <v>302618.7</v>
      </c>
      <c r="AE78" s="1185">
        <f t="shared" si="47"/>
        <v>201745.8</v>
      </c>
      <c r="AF78" s="1185">
        <f t="shared" si="48"/>
        <v>14814889.017999999</v>
      </c>
      <c r="AG78" s="1188" t="s">
        <v>3</v>
      </c>
    </row>
    <row r="79" spans="1:33">
      <c r="A79" s="1175" t="e">
        <f t="shared" si="49"/>
        <v>#REF!</v>
      </c>
      <c r="B79" s="1134" t="s">
        <v>473</v>
      </c>
      <c r="C79" s="1214" t="s">
        <v>552</v>
      </c>
      <c r="D79" s="1482">
        <v>8</v>
      </c>
      <c r="E79" s="1226">
        <v>1</v>
      </c>
      <c r="F79" s="1176">
        <v>17697</v>
      </c>
      <c r="G79" s="1198">
        <v>45183</v>
      </c>
      <c r="H79" s="1224">
        <v>15</v>
      </c>
      <c r="I79" s="1192">
        <f t="shared" si="50"/>
        <v>265455</v>
      </c>
      <c r="J79" s="1192">
        <f t="shared" si="34"/>
        <v>26545.5</v>
      </c>
      <c r="K79" s="1193"/>
      <c r="L79" s="1193"/>
      <c r="M79" s="1193"/>
      <c r="N79" s="1193"/>
      <c r="O79" s="1193"/>
      <c r="P79" s="1193"/>
      <c r="Q79" s="1194"/>
      <c r="R79" s="1194"/>
      <c r="S79" s="1133">
        <f t="shared" si="35"/>
        <v>26545.5</v>
      </c>
      <c r="T79" s="1133">
        <f t="shared" si="36"/>
        <v>292000.5</v>
      </c>
      <c r="U79" s="1133">
        <f t="shared" si="37"/>
        <v>29200.050000000003</v>
      </c>
      <c r="V79" s="1133">
        <f t="shared" si="38"/>
        <v>19641.044000000002</v>
      </c>
      <c r="W79" s="1133">
        <f t="shared" si="39"/>
        <v>5840.01</v>
      </c>
      <c r="X79" s="1133">
        <f t="shared" si="40"/>
        <v>237319.39600000001</v>
      </c>
      <c r="Y79" s="1133">
        <f t="shared" si="41"/>
        <v>3504006</v>
      </c>
      <c r="Z79" s="1133">
        <f t="shared" si="42"/>
        <v>530910</v>
      </c>
      <c r="AA79" s="1133">
        <f t="shared" si="43"/>
        <v>4034916</v>
      </c>
      <c r="AB79" s="1133">
        <f t="shared" si="44"/>
        <v>141222.06000000003</v>
      </c>
      <c r="AC79" s="1133">
        <f t="shared" si="45"/>
        <v>210176.65079999997</v>
      </c>
      <c r="AD79" s="1133">
        <f t="shared" si="46"/>
        <v>181571.22</v>
      </c>
      <c r="AE79" s="1133">
        <f t="shared" si="47"/>
        <v>121047.48</v>
      </c>
      <c r="AF79" s="1133">
        <f t="shared" si="48"/>
        <v>4688933.4107999997</v>
      </c>
      <c r="AG79" s="1178" t="s">
        <v>3</v>
      </c>
    </row>
    <row r="80" spans="1:33">
      <c r="A80" s="1175" t="e">
        <f t="shared" si="49"/>
        <v>#REF!</v>
      </c>
      <c r="B80" s="1134" t="s">
        <v>473</v>
      </c>
      <c r="C80" s="1134" t="s">
        <v>924</v>
      </c>
      <c r="D80" s="1482"/>
      <c r="E80" s="1227">
        <v>0.75</v>
      </c>
      <c r="F80" s="1176">
        <v>17697</v>
      </c>
      <c r="G80" s="1198">
        <v>44890</v>
      </c>
      <c r="H80" s="1136">
        <v>24</v>
      </c>
      <c r="I80" s="1192">
        <f t="shared" si="50"/>
        <v>318546</v>
      </c>
      <c r="J80" s="1192">
        <f t="shared" si="34"/>
        <v>31854.600000000002</v>
      </c>
      <c r="K80" s="1193"/>
      <c r="L80" s="1193"/>
      <c r="M80" s="1193"/>
      <c r="N80" s="1193"/>
      <c r="O80" s="1193"/>
      <c r="P80" s="1193"/>
      <c r="Q80" s="1194"/>
      <c r="R80" s="1194"/>
      <c r="S80" s="1133">
        <f t="shared" si="35"/>
        <v>31854.600000000002</v>
      </c>
      <c r="T80" s="1133">
        <f t="shared" si="36"/>
        <v>350400.6</v>
      </c>
      <c r="U80" s="1133">
        <f t="shared" si="37"/>
        <v>35040.06</v>
      </c>
      <c r="V80" s="1133">
        <f t="shared" si="38"/>
        <v>24780.252800000002</v>
      </c>
      <c r="W80" s="1133">
        <f t="shared" si="39"/>
        <v>7008.0119999999997</v>
      </c>
      <c r="X80" s="1133">
        <f t="shared" si="40"/>
        <v>283572.27519999997</v>
      </c>
      <c r="Y80" s="1133">
        <f t="shared" si="41"/>
        <v>4204807.1999999993</v>
      </c>
      <c r="Z80" s="1133">
        <f t="shared" si="42"/>
        <v>637092</v>
      </c>
      <c r="AA80" s="1133">
        <f t="shared" si="43"/>
        <v>4841899.1999999993</v>
      </c>
      <c r="AB80" s="1133">
        <f t="shared" si="44"/>
        <v>169466.47199999998</v>
      </c>
      <c r="AC80" s="1133">
        <f t="shared" si="45"/>
        <v>252211.9809599999</v>
      </c>
      <c r="AD80" s="1133">
        <f t="shared" si="46"/>
        <v>217885.46399999998</v>
      </c>
      <c r="AE80" s="1133">
        <f t="shared" si="47"/>
        <v>145256.97599999997</v>
      </c>
      <c r="AF80" s="1133">
        <f t="shared" si="48"/>
        <v>5626720.0929599991</v>
      </c>
      <c r="AG80" s="1178" t="s">
        <v>3</v>
      </c>
    </row>
    <row r="81" spans="1:33">
      <c r="A81" s="1175" t="e">
        <f t="shared" si="49"/>
        <v>#REF!</v>
      </c>
      <c r="B81" s="1134" t="s">
        <v>473</v>
      </c>
      <c r="C81" s="1134" t="s">
        <v>925</v>
      </c>
      <c r="D81" s="1482"/>
      <c r="E81" s="1228">
        <v>0.5</v>
      </c>
      <c r="F81" s="1176">
        <v>17697</v>
      </c>
      <c r="G81" s="1198">
        <v>45562</v>
      </c>
      <c r="H81" s="1136">
        <v>12</v>
      </c>
      <c r="I81" s="1192">
        <f t="shared" si="50"/>
        <v>106182</v>
      </c>
      <c r="J81" s="1192">
        <f t="shared" si="34"/>
        <v>10618.2</v>
      </c>
      <c r="K81" s="1193"/>
      <c r="L81" s="1193"/>
      <c r="M81" s="1193"/>
      <c r="N81" s="1193"/>
      <c r="O81" s="1193"/>
      <c r="P81" s="1193"/>
      <c r="Q81" s="1194"/>
      <c r="R81" s="1194"/>
      <c r="S81" s="1133">
        <f t="shared" si="35"/>
        <v>10618.2</v>
      </c>
      <c r="T81" s="1133">
        <f t="shared" si="36"/>
        <v>116800.2</v>
      </c>
      <c r="U81" s="1133">
        <f t="shared" si="37"/>
        <v>11680.02</v>
      </c>
      <c r="V81" s="1133">
        <f t="shared" si="38"/>
        <v>4223.4175999999998</v>
      </c>
      <c r="W81" s="1133">
        <f t="shared" si="39"/>
        <v>2336.0039999999999</v>
      </c>
      <c r="X81" s="1133">
        <f t="shared" si="40"/>
        <v>98560.758399999992</v>
      </c>
      <c r="Y81" s="1133">
        <f t="shared" si="41"/>
        <v>1401602.4</v>
      </c>
      <c r="Z81" s="1133">
        <f t="shared" si="42"/>
        <v>212364</v>
      </c>
      <c r="AA81" s="1133">
        <f t="shared" si="43"/>
        <v>1613966.4</v>
      </c>
      <c r="AB81" s="1133">
        <f t="shared" si="44"/>
        <v>56488.824000000001</v>
      </c>
      <c r="AC81" s="1133">
        <f t="shared" si="45"/>
        <v>84070.66032000001</v>
      </c>
      <c r="AD81" s="1133">
        <f t="shared" si="46"/>
        <v>72628.487999999998</v>
      </c>
      <c r="AE81" s="1133">
        <f t="shared" si="47"/>
        <v>48418.991999999998</v>
      </c>
      <c r="AF81" s="1133">
        <f t="shared" si="48"/>
        <v>1875573.3643199999</v>
      </c>
      <c r="AG81" s="1178" t="s">
        <v>3</v>
      </c>
    </row>
    <row r="82" spans="1:33" ht="20.25" customHeight="1">
      <c r="A82" s="1175" t="e">
        <f t="shared" si="49"/>
        <v>#REF!</v>
      </c>
      <c r="B82" s="1134" t="s">
        <v>473</v>
      </c>
      <c r="C82" s="1229" t="s">
        <v>926</v>
      </c>
      <c r="D82" s="1482"/>
      <c r="E82" s="1226">
        <v>1</v>
      </c>
      <c r="F82" s="1176">
        <v>17697</v>
      </c>
      <c r="G82" s="1198">
        <v>45537</v>
      </c>
      <c r="H82" s="1136">
        <v>15</v>
      </c>
      <c r="I82" s="1192">
        <f t="shared" si="50"/>
        <v>265455</v>
      </c>
      <c r="J82" s="1192">
        <f t="shared" si="34"/>
        <v>26545.5</v>
      </c>
      <c r="K82" s="1193"/>
      <c r="L82" s="1193"/>
      <c r="M82" s="1193"/>
      <c r="N82" s="1193"/>
      <c r="O82" s="1193"/>
      <c r="P82" s="1193"/>
      <c r="Q82" s="1194"/>
      <c r="R82" s="1194"/>
      <c r="S82" s="1133">
        <f t="shared" si="35"/>
        <v>26545.5</v>
      </c>
      <c r="T82" s="1133">
        <f t="shared" si="36"/>
        <v>292000.5</v>
      </c>
      <c r="U82" s="1133">
        <f t="shared" si="37"/>
        <v>29200.050000000003</v>
      </c>
      <c r="V82" s="1133">
        <f t="shared" si="38"/>
        <v>19641.044000000002</v>
      </c>
      <c r="W82" s="1133">
        <f t="shared" si="39"/>
        <v>5840.01</v>
      </c>
      <c r="X82" s="1133">
        <f t="shared" si="40"/>
        <v>237319.39600000001</v>
      </c>
      <c r="Y82" s="1133">
        <f t="shared" si="41"/>
        <v>3504006</v>
      </c>
      <c r="Z82" s="1133">
        <f t="shared" si="42"/>
        <v>530910</v>
      </c>
      <c r="AA82" s="1133">
        <f t="shared" si="43"/>
        <v>4034916</v>
      </c>
      <c r="AB82" s="1133">
        <f t="shared" si="44"/>
        <v>141222.06000000003</v>
      </c>
      <c r="AC82" s="1133">
        <f t="shared" si="45"/>
        <v>210176.65079999997</v>
      </c>
      <c r="AD82" s="1133">
        <f t="shared" si="46"/>
        <v>181571.22</v>
      </c>
      <c r="AE82" s="1133">
        <f t="shared" si="47"/>
        <v>121047.48</v>
      </c>
      <c r="AF82" s="1133">
        <f t="shared" si="48"/>
        <v>4688933.4107999997</v>
      </c>
      <c r="AG82" s="1178" t="s">
        <v>3</v>
      </c>
    </row>
    <row r="83" spans="1:33" ht="33" customHeight="1">
      <c r="A83" s="1175" t="e">
        <f t="shared" si="49"/>
        <v>#REF!</v>
      </c>
      <c r="B83" s="1134" t="s">
        <v>473</v>
      </c>
      <c r="C83" s="1229" t="s">
        <v>927</v>
      </c>
      <c r="D83" s="1482"/>
      <c r="E83" s="1227">
        <v>0.75</v>
      </c>
      <c r="F83" s="1176">
        <v>17697</v>
      </c>
      <c r="G83" s="1198">
        <v>45902</v>
      </c>
      <c r="H83" s="1136">
        <v>20</v>
      </c>
      <c r="I83" s="1192">
        <f t="shared" si="50"/>
        <v>265455</v>
      </c>
      <c r="J83" s="1192">
        <f t="shared" si="34"/>
        <v>26545.5</v>
      </c>
      <c r="K83" s="1193"/>
      <c r="L83" s="1193"/>
      <c r="M83" s="1193"/>
      <c r="N83" s="1193"/>
      <c r="O83" s="1193"/>
      <c r="P83" s="1193"/>
      <c r="Q83" s="1194"/>
      <c r="R83" s="1194"/>
      <c r="S83" s="1133">
        <f t="shared" si="35"/>
        <v>26545.5</v>
      </c>
      <c r="T83" s="1133">
        <f t="shared" si="36"/>
        <v>292000.5</v>
      </c>
      <c r="U83" s="1133">
        <f t="shared" si="37"/>
        <v>29200.050000000003</v>
      </c>
      <c r="V83" s="1133">
        <f t="shared" si="38"/>
        <v>19641.044000000002</v>
      </c>
      <c r="W83" s="1133">
        <f t="shared" si="39"/>
        <v>5840.01</v>
      </c>
      <c r="X83" s="1133">
        <f t="shared" si="40"/>
        <v>237319.39600000001</v>
      </c>
      <c r="Y83" s="1133">
        <f t="shared" si="41"/>
        <v>3504006</v>
      </c>
      <c r="Z83" s="1133">
        <f t="shared" si="42"/>
        <v>530910</v>
      </c>
      <c r="AA83" s="1133">
        <f t="shared" si="43"/>
        <v>4034916</v>
      </c>
      <c r="AB83" s="1133">
        <f t="shared" si="44"/>
        <v>141222.06000000003</v>
      </c>
      <c r="AC83" s="1133">
        <f t="shared" si="45"/>
        <v>210176.65079999997</v>
      </c>
      <c r="AD83" s="1133">
        <f t="shared" si="46"/>
        <v>181571.22</v>
      </c>
      <c r="AE83" s="1133">
        <f t="shared" si="47"/>
        <v>121047.48</v>
      </c>
      <c r="AF83" s="1133">
        <f t="shared" si="48"/>
        <v>4688933.4107999997</v>
      </c>
      <c r="AG83" s="1178" t="s">
        <v>3</v>
      </c>
    </row>
    <row r="84" spans="1:33" ht="31.5">
      <c r="A84" s="1175" t="e">
        <f t="shared" si="49"/>
        <v>#REF!</v>
      </c>
      <c r="B84" s="1134" t="s">
        <v>473</v>
      </c>
      <c r="C84" s="1230" t="s">
        <v>928</v>
      </c>
      <c r="D84" s="1482"/>
      <c r="E84" s="1227">
        <v>0.75</v>
      </c>
      <c r="F84" s="1176">
        <v>17697</v>
      </c>
      <c r="G84" s="1231">
        <v>45902</v>
      </c>
      <c r="H84" s="1136">
        <v>24</v>
      </c>
      <c r="I84" s="1192">
        <f t="shared" si="50"/>
        <v>318546</v>
      </c>
      <c r="J84" s="1192">
        <f t="shared" si="34"/>
        <v>31854.600000000002</v>
      </c>
      <c r="K84" s="1193"/>
      <c r="L84" s="1193"/>
      <c r="M84" s="1193"/>
      <c r="N84" s="1193"/>
      <c r="O84" s="1193"/>
      <c r="P84" s="1193"/>
      <c r="Q84" s="1194"/>
      <c r="R84" s="1194"/>
      <c r="S84" s="1133">
        <f t="shared" si="35"/>
        <v>31854.600000000002</v>
      </c>
      <c r="T84" s="1133">
        <f t="shared" si="36"/>
        <v>350400.6</v>
      </c>
      <c r="U84" s="1133">
        <f t="shared" si="37"/>
        <v>35040.06</v>
      </c>
      <c r="V84" s="1133">
        <f t="shared" si="38"/>
        <v>24780.252800000002</v>
      </c>
      <c r="W84" s="1133">
        <f t="shared" si="39"/>
        <v>7008.0119999999997</v>
      </c>
      <c r="X84" s="1133">
        <f t="shared" si="40"/>
        <v>283572.27519999997</v>
      </c>
      <c r="Y84" s="1133">
        <f t="shared" si="41"/>
        <v>4204807.1999999993</v>
      </c>
      <c r="Z84" s="1133">
        <f t="shared" si="42"/>
        <v>637092</v>
      </c>
      <c r="AA84" s="1133">
        <f t="shared" si="43"/>
        <v>4841899.1999999993</v>
      </c>
      <c r="AB84" s="1133">
        <f t="shared" si="44"/>
        <v>169466.47199999998</v>
      </c>
      <c r="AC84" s="1133">
        <f t="shared" si="45"/>
        <v>252211.9809599999</v>
      </c>
      <c r="AD84" s="1133">
        <f t="shared" si="46"/>
        <v>217885.46399999998</v>
      </c>
      <c r="AE84" s="1133">
        <f t="shared" si="47"/>
        <v>145256.97599999997</v>
      </c>
      <c r="AF84" s="1133">
        <f t="shared" si="48"/>
        <v>5626720.0929599991</v>
      </c>
      <c r="AG84" s="1178" t="s">
        <v>3</v>
      </c>
    </row>
    <row r="85" spans="1:33">
      <c r="A85" s="1175" t="e">
        <f t="shared" si="49"/>
        <v>#REF!</v>
      </c>
      <c r="B85" s="1134" t="s">
        <v>473</v>
      </c>
      <c r="C85" s="1229" t="s">
        <v>551</v>
      </c>
      <c r="D85" s="1482"/>
      <c r="E85" s="1232">
        <v>1</v>
      </c>
      <c r="F85" s="1176">
        <v>17697</v>
      </c>
      <c r="G85" s="1231">
        <v>45902</v>
      </c>
      <c r="H85" s="1136">
        <v>21</v>
      </c>
      <c r="I85" s="1192">
        <f t="shared" si="50"/>
        <v>371637</v>
      </c>
      <c r="J85" s="1192">
        <f t="shared" si="34"/>
        <v>37163.700000000004</v>
      </c>
      <c r="K85" s="1193"/>
      <c r="L85" s="1193"/>
      <c r="M85" s="1193"/>
      <c r="N85" s="1193"/>
      <c r="O85" s="1193"/>
      <c r="P85" s="1193"/>
      <c r="Q85" s="1194"/>
      <c r="R85" s="1194"/>
      <c r="S85" s="1133">
        <f t="shared" si="35"/>
        <v>37163.700000000004</v>
      </c>
      <c r="T85" s="1133">
        <f t="shared" si="36"/>
        <v>408800.7</v>
      </c>
      <c r="U85" s="1133">
        <f t="shared" si="37"/>
        <v>40880.070000000007</v>
      </c>
      <c r="V85" s="1133">
        <f t="shared" si="38"/>
        <v>29919.461599999999</v>
      </c>
      <c r="W85" s="1133">
        <f t="shared" si="39"/>
        <v>8176.0140000000001</v>
      </c>
      <c r="X85" s="1133">
        <f t="shared" si="40"/>
        <v>329825.1544</v>
      </c>
      <c r="Y85" s="1133">
        <f t="shared" si="41"/>
        <v>4905608.4000000004</v>
      </c>
      <c r="Z85" s="1133">
        <f t="shared" si="42"/>
        <v>743274</v>
      </c>
      <c r="AA85" s="1133">
        <f t="shared" si="43"/>
        <v>5648882.4000000004</v>
      </c>
      <c r="AB85" s="1133">
        <f t="shared" si="44"/>
        <v>197710.88400000002</v>
      </c>
      <c r="AC85" s="1133">
        <f t="shared" si="45"/>
        <v>294247.31112000009</v>
      </c>
      <c r="AD85" s="1133">
        <f t="shared" si="46"/>
        <v>254199.70800000001</v>
      </c>
      <c r="AE85" s="1133">
        <f t="shared" si="47"/>
        <v>169466.47200000001</v>
      </c>
      <c r="AF85" s="1133">
        <f t="shared" si="48"/>
        <v>6564506.7751199994</v>
      </c>
      <c r="AG85" s="1178" t="s">
        <v>3</v>
      </c>
    </row>
    <row r="86" spans="1:33" ht="31.5">
      <c r="A86" s="1175" t="e">
        <f t="shared" si="49"/>
        <v>#REF!</v>
      </c>
      <c r="B86" s="1134" t="s">
        <v>473</v>
      </c>
      <c r="C86" s="1134" t="s">
        <v>929</v>
      </c>
      <c r="D86" s="1482"/>
      <c r="E86" s="1233">
        <v>0.5</v>
      </c>
      <c r="F86" s="1176">
        <v>17697</v>
      </c>
      <c r="G86" s="1231">
        <v>45901</v>
      </c>
      <c r="H86" s="1136">
        <v>20</v>
      </c>
      <c r="I86" s="1192">
        <f t="shared" si="50"/>
        <v>176970</v>
      </c>
      <c r="J86" s="1192">
        <f t="shared" si="34"/>
        <v>17697</v>
      </c>
      <c r="K86" s="1193"/>
      <c r="L86" s="1193"/>
      <c r="M86" s="1193"/>
      <c r="N86" s="1193"/>
      <c r="O86" s="1193"/>
      <c r="P86" s="1193"/>
      <c r="Q86" s="1194"/>
      <c r="R86" s="1194"/>
      <c r="S86" s="1133">
        <f t="shared" si="35"/>
        <v>17697</v>
      </c>
      <c r="T86" s="1133">
        <f t="shared" si="36"/>
        <v>194667</v>
      </c>
      <c r="U86" s="1133">
        <f t="shared" si="37"/>
        <v>19466.7</v>
      </c>
      <c r="V86" s="1133">
        <f t="shared" si="38"/>
        <v>11075.696</v>
      </c>
      <c r="W86" s="1133">
        <f t="shared" si="39"/>
        <v>3893.34</v>
      </c>
      <c r="X86" s="1133">
        <f t="shared" si="40"/>
        <v>160231.264</v>
      </c>
      <c r="Y86" s="1133">
        <f t="shared" si="41"/>
        <v>2336004</v>
      </c>
      <c r="Z86" s="1133">
        <f t="shared" si="42"/>
        <v>353940</v>
      </c>
      <c r="AA86" s="1133">
        <f t="shared" si="43"/>
        <v>2689944</v>
      </c>
      <c r="AB86" s="1133">
        <f t="shared" si="44"/>
        <v>94148.040000000008</v>
      </c>
      <c r="AC86" s="1133">
        <f t="shared" si="45"/>
        <v>140117.7672</v>
      </c>
      <c r="AD86" s="1133">
        <f t="shared" si="46"/>
        <v>121047.48000000001</v>
      </c>
      <c r="AE86" s="1133">
        <f t="shared" si="47"/>
        <v>80698.319999999992</v>
      </c>
      <c r="AF86" s="1133">
        <f t="shared" si="48"/>
        <v>3125955.6072</v>
      </c>
      <c r="AG86" s="1178" t="s">
        <v>3</v>
      </c>
    </row>
    <row r="87" spans="1:33" s="1189" customFormat="1" ht="24" customHeight="1">
      <c r="A87" s="1179" t="e">
        <f t="shared" si="49"/>
        <v>#REF!</v>
      </c>
      <c r="B87" s="1234" t="s">
        <v>473</v>
      </c>
      <c r="C87" s="1235" t="s">
        <v>2458</v>
      </c>
      <c r="D87" s="1483"/>
      <c r="E87" s="1209"/>
      <c r="F87" s="1182">
        <v>17697</v>
      </c>
      <c r="G87" s="1236"/>
      <c r="H87" s="1210">
        <v>25</v>
      </c>
      <c r="I87" s="1211">
        <f>1.75*17697*H87</f>
        <v>774243.75</v>
      </c>
      <c r="J87" s="1211">
        <f t="shared" si="34"/>
        <v>77424.375</v>
      </c>
      <c r="K87" s="1212"/>
      <c r="L87" s="1212"/>
      <c r="M87" s="1212"/>
      <c r="N87" s="1212"/>
      <c r="O87" s="1212"/>
      <c r="P87" s="1212"/>
      <c r="Q87" s="1213"/>
      <c r="R87" s="1213"/>
      <c r="S87" s="1185">
        <f t="shared" si="35"/>
        <v>77424.375</v>
      </c>
      <c r="T87" s="1185">
        <f t="shared" si="36"/>
        <v>851668.125</v>
      </c>
      <c r="U87" s="1185">
        <f t="shared" si="37"/>
        <v>85166.8125</v>
      </c>
      <c r="V87" s="1185">
        <f t="shared" si="38"/>
        <v>68891.794999999998</v>
      </c>
      <c r="W87" s="1185">
        <f t="shared" si="39"/>
        <v>17033.362499999999</v>
      </c>
      <c r="X87" s="1185">
        <f t="shared" si="40"/>
        <v>680576.15499999991</v>
      </c>
      <c r="Y87" s="1185">
        <f t="shared" si="41"/>
        <v>10220017.5</v>
      </c>
      <c r="Z87" s="1185">
        <f t="shared" si="42"/>
        <v>1548487.5</v>
      </c>
      <c r="AA87" s="1185">
        <f t="shared" si="43"/>
        <v>11768505</v>
      </c>
      <c r="AB87" s="1185">
        <f>AA87*3.5%+2000000</f>
        <v>2411897.6749999998</v>
      </c>
      <c r="AC87" s="1185">
        <f>(AA87*0.9-(W87*12))*11%-AD87+5000000</f>
        <v>5613015.2314999998</v>
      </c>
      <c r="AD87" s="1185">
        <f t="shared" si="46"/>
        <v>529582.72499999998</v>
      </c>
      <c r="AE87" s="1185">
        <f t="shared" si="47"/>
        <v>353055.14999999997</v>
      </c>
      <c r="AF87" s="1185">
        <f t="shared" si="48"/>
        <v>20676055.781500001</v>
      </c>
      <c r="AG87" s="1188" t="s">
        <v>3</v>
      </c>
    </row>
    <row r="88" spans="1:33" ht="20.25" customHeight="1">
      <c r="A88" s="1168"/>
      <c r="B88" s="1169" t="s">
        <v>2459</v>
      </c>
      <c r="C88" s="1170"/>
      <c r="D88" s="1171">
        <f>SUM(D42:D87)</f>
        <v>45.75</v>
      </c>
      <c r="E88" s="1171">
        <f>SUM(E42:E87)</f>
        <v>34.75</v>
      </c>
      <c r="F88" s="1237"/>
      <c r="G88" s="1237"/>
      <c r="H88" s="1237"/>
      <c r="I88" s="1173">
        <f t="shared" ref="I88:AF88" si="51">SUM(I42:I87)</f>
        <v>19692336.75</v>
      </c>
      <c r="J88" s="1173">
        <f t="shared" si="51"/>
        <v>1969233.6750000005</v>
      </c>
      <c r="K88" s="1173">
        <f t="shared" si="51"/>
        <v>129750</v>
      </c>
      <c r="L88" s="1173">
        <f t="shared" si="51"/>
        <v>0</v>
      </c>
      <c r="M88" s="1173">
        <f t="shared" si="51"/>
        <v>355709.7</v>
      </c>
      <c r="N88" s="1173">
        <f t="shared" si="51"/>
        <v>0</v>
      </c>
      <c r="O88" s="1173">
        <f t="shared" si="51"/>
        <v>0</v>
      </c>
      <c r="P88" s="1173">
        <f t="shared" si="51"/>
        <v>15927.3</v>
      </c>
      <c r="Q88" s="1173">
        <f t="shared" si="51"/>
        <v>0</v>
      </c>
      <c r="R88" s="1173">
        <f t="shared" si="51"/>
        <v>0</v>
      </c>
      <c r="S88" s="1173">
        <f t="shared" si="51"/>
        <v>2470620.6750000007</v>
      </c>
      <c r="T88" s="1173">
        <f t="shared" si="51"/>
        <v>22162957.425000008</v>
      </c>
      <c r="U88" s="1173">
        <f t="shared" si="51"/>
        <v>2216295.7425000006</v>
      </c>
      <c r="V88" s="1173">
        <f t="shared" si="51"/>
        <v>1671810.2533999996</v>
      </c>
      <c r="W88" s="1173">
        <f t="shared" si="51"/>
        <v>443259.14850000007</v>
      </c>
      <c r="X88" s="1173">
        <f t="shared" si="51"/>
        <v>17831592.280600004</v>
      </c>
      <c r="Y88" s="1173">
        <f t="shared" si="51"/>
        <v>265955489.09999987</v>
      </c>
      <c r="Z88" s="1173">
        <f t="shared" si="51"/>
        <v>39384673.5</v>
      </c>
      <c r="AA88" s="1173">
        <f t="shared" si="51"/>
        <v>305340162.59999985</v>
      </c>
      <c r="AB88" s="1173">
        <f t="shared" si="51"/>
        <v>14686905.690999996</v>
      </c>
      <c r="AC88" s="1173">
        <f t="shared" si="51"/>
        <v>43062993.144379988</v>
      </c>
      <c r="AD88" s="1173">
        <f t="shared" si="51"/>
        <v>13740307.317</v>
      </c>
      <c r="AE88" s="1173">
        <f t="shared" si="51"/>
        <v>9160204.8780000024</v>
      </c>
      <c r="AF88" s="1173">
        <f t="shared" si="51"/>
        <v>385990573.6303798</v>
      </c>
      <c r="AG88" s="1173"/>
    </row>
    <row r="89" spans="1:33" ht="20.25" customHeight="1">
      <c r="A89" s="1476" t="s">
        <v>474</v>
      </c>
      <c r="B89" s="1485"/>
      <c r="C89" s="1485"/>
      <c r="D89" s="1485"/>
      <c r="E89" s="1485"/>
      <c r="F89" s="1485"/>
      <c r="G89" s="1485"/>
      <c r="H89" s="1485"/>
      <c r="I89" s="1485"/>
      <c r="J89" s="1485"/>
      <c r="K89" s="1485"/>
      <c r="L89" s="1485"/>
      <c r="M89" s="1485"/>
      <c r="N89" s="1485"/>
      <c r="O89" s="1485"/>
      <c r="P89" s="1485"/>
      <c r="Q89" s="1485"/>
      <c r="R89" s="1485"/>
      <c r="S89" s="1485"/>
      <c r="T89" s="1485"/>
      <c r="U89" s="1485"/>
      <c r="V89" s="1485"/>
      <c r="W89" s="1485"/>
      <c r="X89" s="1485"/>
      <c r="Y89" s="1485"/>
      <c r="Z89" s="1485"/>
      <c r="AA89" s="1485"/>
      <c r="AB89" s="1485"/>
      <c r="AC89" s="1485"/>
      <c r="AD89" s="1485"/>
      <c r="AE89" s="1485"/>
      <c r="AF89" s="1485"/>
      <c r="AG89" s="1485"/>
    </row>
    <row r="90" spans="1:33">
      <c r="A90" s="1175" t="e">
        <f>A87+1</f>
        <v>#REF!</v>
      </c>
      <c r="B90" s="1238" t="s">
        <v>475</v>
      </c>
      <c r="C90" s="1239" t="s">
        <v>476</v>
      </c>
      <c r="D90" s="1175">
        <v>1</v>
      </c>
      <c r="E90" s="1175">
        <v>1</v>
      </c>
      <c r="F90" s="1128"/>
      <c r="G90" s="1129">
        <v>44797</v>
      </c>
      <c r="H90" s="1175">
        <v>21</v>
      </c>
      <c r="I90" s="1133">
        <f>E90*17697*H90</f>
        <v>371637</v>
      </c>
      <c r="J90" s="1133">
        <f>I90*10%</f>
        <v>37163.700000000004</v>
      </c>
      <c r="K90" s="1128"/>
      <c r="L90" s="1128"/>
      <c r="M90" s="1128"/>
      <c r="N90" s="1128"/>
      <c r="O90" s="1128"/>
      <c r="P90" s="1128"/>
      <c r="Q90" s="1177"/>
      <c r="R90" s="1177"/>
      <c r="S90" s="1133">
        <f t="shared" ref="S90:S92" si="52">SUM(J90:R90)</f>
        <v>37163.700000000004</v>
      </c>
      <c r="T90" s="1133">
        <f t="shared" ref="T90:T92" si="53">I90+S90</f>
        <v>408800.7</v>
      </c>
      <c r="U90" s="1133">
        <f t="shared" ref="U90:U92" si="54">T90*10%</f>
        <v>40880.070000000007</v>
      </c>
      <c r="V90" s="1133">
        <f t="shared" ref="V90:V92" si="55">((T90-U90-W90)-(14*4325))*10%</f>
        <v>29919.461599999999</v>
      </c>
      <c r="W90" s="1133">
        <f t="shared" ref="W90:W92" si="56">T90*2%</f>
        <v>8176.0140000000001</v>
      </c>
      <c r="X90" s="1133">
        <f t="shared" ref="X90:X92" si="57">T90-U90-V90-W90</f>
        <v>329825.1544</v>
      </c>
      <c r="Y90" s="1133">
        <f t="shared" ref="Y90:Y92" si="58">T90*12</f>
        <v>4905608.4000000004</v>
      </c>
      <c r="Z90" s="1133">
        <f t="shared" ref="Z90:Z92" si="59">I90*2</f>
        <v>743274</v>
      </c>
      <c r="AA90" s="1133">
        <f t="shared" ref="AA90:AA92" si="60">Y90+Z90</f>
        <v>5648882.4000000004</v>
      </c>
      <c r="AB90" s="1133">
        <f t="shared" ref="AB90:AB92" si="61">AA90*3.5%</f>
        <v>197710.88400000002</v>
      </c>
      <c r="AC90" s="1133">
        <f t="shared" ref="AC90" si="62">(AA90*0.9-(W90*12))*11%-AD90</f>
        <v>294247.31112000009</v>
      </c>
      <c r="AD90" s="1133">
        <f t="shared" ref="AD90:AD92" si="63">AA90*0.9*5%</f>
        <v>254199.70800000001</v>
      </c>
      <c r="AE90" s="1133">
        <f t="shared" ref="AE90:AE92" si="64">AA90*3%</f>
        <v>169466.47200000001</v>
      </c>
      <c r="AF90" s="1133">
        <f t="shared" ref="AF90:AF92" si="65">AA90+AC90+AD90+AE90+AB90</f>
        <v>6564506.7751199994</v>
      </c>
      <c r="AG90" s="1133" t="s">
        <v>3</v>
      </c>
    </row>
    <row r="91" spans="1:33" s="1189" customFormat="1" ht="15.75" customHeight="1">
      <c r="A91" s="1179" t="e">
        <f>A90+1</f>
        <v>#REF!</v>
      </c>
      <c r="B91" s="1240" t="s">
        <v>19</v>
      </c>
      <c r="C91" s="1235" t="s">
        <v>931</v>
      </c>
      <c r="D91" s="1179">
        <v>1</v>
      </c>
      <c r="E91" s="1179"/>
      <c r="F91" s="1186"/>
      <c r="G91" s="1201">
        <v>45699</v>
      </c>
      <c r="H91" s="1202">
        <v>25</v>
      </c>
      <c r="I91" s="1185">
        <f>17697*H91</f>
        <v>442425</v>
      </c>
      <c r="J91" s="1185">
        <f>I91*10%</f>
        <v>44242.5</v>
      </c>
      <c r="K91" s="1186"/>
      <c r="L91" s="1186"/>
      <c r="M91" s="1186"/>
      <c r="N91" s="1186"/>
      <c r="O91" s="1186"/>
      <c r="P91" s="1186"/>
      <c r="Q91" s="1187"/>
      <c r="R91" s="1187"/>
      <c r="S91" s="1185">
        <f t="shared" si="52"/>
        <v>44242.5</v>
      </c>
      <c r="T91" s="1185">
        <f t="shared" si="53"/>
        <v>486667.5</v>
      </c>
      <c r="U91" s="1185">
        <f t="shared" si="54"/>
        <v>48666.75</v>
      </c>
      <c r="V91" s="1185">
        <f t="shared" si="55"/>
        <v>36771.740000000005</v>
      </c>
      <c r="W91" s="1185">
        <f t="shared" si="56"/>
        <v>9733.35</v>
      </c>
      <c r="X91" s="1185">
        <f t="shared" si="57"/>
        <v>391495.66000000003</v>
      </c>
      <c r="Y91" s="1185">
        <f t="shared" si="58"/>
        <v>5840010</v>
      </c>
      <c r="Z91" s="1185">
        <f t="shared" si="59"/>
        <v>884850</v>
      </c>
      <c r="AA91" s="1185">
        <f t="shared" si="60"/>
        <v>6724860</v>
      </c>
      <c r="AB91" s="1185">
        <f t="shared" si="61"/>
        <v>235370.10000000003</v>
      </c>
      <c r="AC91" s="1185">
        <f>(AA91*0.9-(W91*12))*11%-AD91+6667589.35</f>
        <v>7017883.7679999992</v>
      </c>
      <c r="AD91" s="1185">
        <f t="shared" si="63"/>
        <v>302618.7</v>
      </c>
      <c r="AE91" s="1185">
        <f t="shared" si="64"/>
        <v>201745.8</v>
      </c>
      <c r="AF91" s="1185">
        <f t="shared" si="65"/>
        <v>14482478.367999999</v>
      </c>
      <c r="AG91" s="1185" t="s">
        <v>3</v>
      </c>
    </row>
    <row r="92" spans="1:33">
      <c r="A92" s="1175" t="e">
        <f>A91+1</f>
        <v>#REF!</v>
      </c>
      <c r="B92" s="1241" t="s">
        <v>478</v>
      </c>
      <c r="C92" s="1242" t="s">
        <v>479</v>
      </c>
      <c r="D92" s="1175">
        <v>1</v>
      </c>
      <c r="E92" s="1175">
        <v>1</v>
      </c>
      <c r="F92" s="1128"/>
      <c r="G92" s="1129">
        <v>44151</v>
      </c>
      <c r="H92" s="1175">
        <v>16</v>
      </c>
      <c r="I92" s="1133">
        <f>E92*17697*H92</f>
        <v>283152</v>
      </c>
      <c r="J92" s="1133">
        <f>I92*10%</f>
        <v>28315.200000000001</v>
      </c>
      <c r="K92" s="1128"/>
      <c r="L92" s="1128"/>
      <c r="M92" s="1128"/>
      <c r="N92" s="1128"/>
      <c r="O92" s="1128"/>
      <c r="P92" s="1128"/>
      <c r="Q92" s="1177"/>
      <c r="R92" s="1177"/>
      <c r="S92" s="1133">
        <f t="shared" si="52"/>
        <v>28315.200000000001</v>
      </c>
      <c r="T92" s="1133">
        <f t="shared" si="53"/>
        <v>311467.2</v>
      </c>
      <c r="U92" s="1133">
        <f t="shared" si="54"/>
        <v>31146.720000000001</v>
      </c>
      <c r="V92" s="1133">
        <f t="shared" si="55"/>
        <v>21354.113600000001</v>
      </c>
      <c r="W92" s="1133">
        <f t="shared" si="56"/>
        <v>6229.3440000000001</v>
      </c>
      <c r="X92" s="1133">
        <f t="shared" si="57"/>
        <v>252737.02239999996</v>
      </c>
      <c r="Y92" s="1133">
        <f t="shared" si="58"/>
        <v>3737606.4000000004</v>
      </c>
      <c r="Z92" s="1133">
        <f t="shared" si="59"/>
        <v>566304</v>
      </c>
      <c r="AA92" s="1133">
        <f t="shared" si="60"/>
        <v>4303910.4000000004</v>
      </c>
      <c r="AB92" s="1133">
        <f t="shared" si="61"/>
        <v>150636.86400000003</v>
      </c>
      <c r="AC92" s="1133">
        <f t="shared" ref="AC92" si="66">(AA92*0.9-(W92*12))*11%-AD92</f>
        <v>224188.42752</v>
      </c>
      <c r="AD92" s="1133">
        <f t="shared" si="63"/>
        <v>193675.96800000002</v>
      </c>
      <c r="AE92" s="1133">
        <f t="shared" si="64"/>
        <v>129117.31200000001</v>
      </c>
      <c r="AF92" s="1133">
        <f t="shared" si="65"/>
        <v>5001528.9715200011</v>
      </c>
      <c r="AG92" s="1133" t="s">
        <v>3</v>
      </c>
    </row>
    <row r="93" spans="1:33" ht="24" customHeight="1">
      <c r="A93" s="1168"/>
      <c r="B93" s="1169" t="s">
        <v>831</v>
      </c>
      <c r="C93" s="1243"/>
      <c r="D93" s="1171">
        <f>SUM(D90:D92)</f>
        <v>3</v>
      </c>
      <c r="E93" s="1171">
        <f>SUM(E90:E92)</f>
        <v>2</v>
      </c>
      <c r="F93" s="1168"/>
      <c r="G93" s="1168"/>
      <c r="H93" s="1168"/>
      <c r="I93" s="1173">
        <f>SUM(I90:I92)</f>
        <v>1097214</v>
      </c>
      <c r="J93" s="1173">
        <f>SUM(J90:J92)</f>
        <v>109721.40000000001</v>
      </c>
      <c r="K93" s="1173">
        <f>SUM(K90:K92)</f>
        <v>0</v>
      </c>
      <c r="L93" s="1173">
        <f t="shared" ref="L93:AF93" si="67">SUM(L90:L92)</f>
        <v>0</v>
      </c>
      <c r="M93" s="1173">
        <f t="shared" si="67"/>
        <v>0</v>
      </c>
      <c r="N93" s="1173">
        <f t="shared" si="67"/>
        <v>0</v>
      </c>
      <c r="O93" s="1173">
        <f t="shared" si="67"/>
        <v>0</v>
      </c>
      <c r="P93" s="1173">
        <f t="shared" si="67"/>
        <v>0</v>
      </c>
      <c r="Q93" s="1173">
        <f t="shared" si="67"/>
        <v>0</v>
      </c>
      <c r="R93" s="1173">
        <f t="shared" si="67"/>
        <v>0</v>
      </c>
      <c r="S93" s="1173">
        <f t="shared" si="67"/>
        <v>109721.40000000001</v>
      </c>
      <c r="T93" s="1173">
        <f t="shared" si="67"/>
        <v>1206935.3999999999</v>
      </c>
      <c r="U93" s="1173">
        <f t="shared" si="67"/>
        <v>120693.54000000001</v>
      </c>
      <c r="V93" s="1173">
        <f t="shared" si="67"/>
        <v>88045.315199999997</v>
      </c>
      <c r="W93" s="1173">
        <f t="shared" si="67"/>
        <v>24138.708000000002</v>
      </c>
      <c r="X93" s="1173">
        <f t="shared" si="67"/>
        <v>974057.83679999993</v>
      </c>
      <c r="Y93" s="1173">
        <f t="shared" si="67"/>
        <v>14483224.800000001</v>
      </c>
      <c r="Z93" s="1173">
        <f t="shared" si="67"/>
        <v>2194428</v>
      </c>
      <c r="AA93" s="1173">
        <f t="shared" si="67"/>
        <v>16677652.800000001</v>
      </c>
      <c r="AB93" s="1173">
        <f t="shared" si="67"/>
        <v>583717.84800000011</v>
      </c>
      <c r="AC93" s="1173">
        <f t="shared" si="67"/>
        <v>7536319.5066399993</v>
      </c>
      <c r="AD93" s="1173">
        <f t="shared" si="67"/>
        <v>750494.37600000005</v>
      </c>
      <c r="AE93" s="1173">
        <f t="shared" si="67"/>
        <v>500329.58400000003</v>
      </c>
      <c r="AF93" s="1173">
        <f t="shared" si="67"/>
        <v>26048514.114639997</v>
      </c>
      <c r="AG93" s="1174"/>
    </row>
    <row r="94" spans="1:33" ht="21.75" customHeight="1">
      <c r="A94" s="1460" t="s">
        <v>480</v>
      </c>
      <c r="B94" s="1460"/>
      <c r="C94" s="1460"/>
      <c r="D94" s="1460"/>
      <c r="E94" s="1460"/>
      <c r="F94" s="1460"/>
      <c r="G94" s="1460"/>
      <c r="H94" s="1460"/>
      <c r="I94" s="1460"/>
      <c r="J94" s="1460"/>
      <c r="K94" s="1460"/>
      <c r="L94" s="1460"/>
      <c r="M94" s="1460"/>
      <c r="N94" s="1460"/>
      <c r="O94" s="1460"/>
      <c r="P94" s="1460"/>
      <c r="Q94" s="1460"/>
      <c r="R94" s="1460"/>
      <c r="S94" s="1460"/>
      <c r="T94" s="1460"/>
      <c r="U94" s="1460"/>
      <c r="V94" s="1460"/>
      <c r="W94" s="1460"/>
      <c r="X94" s="1460"/>
      <c r="Y94" s="1460"/>
      <c r="Z94" s="1460"/>
      <c r="AA94" s="1460"/>
      <c r="AB94" s="1460"/>
      <c r="AC94" s="1460"/>
      <c r="AD94" s="1460"/>
      <c r="AE94" s="1460"/>
      <c r="AF94" s="1460"/>
      <c r="AG94" s="1460"/>
    </row>
    <row r="95" spans="1:33" ht="31.5">
      <c r="A95" s="1175" t="e">
        <f>A92+1</f>
        <v>#REF!</v>
      </c>
      <c r="B95" s="1137" t="s">
        <v>481</v>
      </c>
      <c r="C95" s="1244" t="s">
        <v>482</v>
      </c>
      <c r="D95" s="1175">
        <v>1</v>
      </c>
      <c r="E95" s="1139">
        <v>1</v>
      </c>
      <c r="F95" s="1128"/>
      <c r="G95" s="1129">
        <v>44872</v>
      </c>
      <c r="H95" s="1139">
        <v>30</v>
      </c>
      <c r="I95" s="1133">
        <f t="shared" ref="I95:I120" si="68">E95*17697*H95</f>
        <v>530910</v>
      </c>
      <c r="J95" s="1133">
        <f t="shared" ref="J95:J121" si="69">I95*10%</f>
        <v>53091</v>
      </c>
      <c r="K95" s="1128"/>
      <c r="L95" s="1128"/>
      <c r="M95" s="1128"/>
      <c r="N95" s="1128"/>
      <c r="O95" s="1128"/>
      <c r="P95" s="1128"/>
      <c r="Q95" s="1177"/>
      <c r="R95" s="1177"/>
      <c r="S95" s="1133">
        <f t="shared" ref="S95:S121" si="70">SUM(J95:R95)</f>
        <v>53091</v>
      </c>
      <c r="T95" s="1133">
        <f t="shared" ref="T95:T121" si="71">I95+S95</f>
        <v>584001</v>
      </c>
      <c r="U95" s="1133">
        <f t="shared" ref="U95:U121" si="72">T95*10%</f>
        <v>58400.100000000006</v>
      </c>
      <c r="V95" s="1133">
        <f t="shared" ref="V95:V121" si="73">((T95-U95-W95)-(14*4325))*10%</f>
        <v>45337.088000000003</v>
      </c>
      <c r="W95" s="1133">
        <f t="shared" ref="W95:W121" si="74">T95*2%</f>
        <v>11680.02</v>
      </c>
      <c r="X95" s="1133">
        <f t="shared" ref="X95:X121" si="75">T95-U95-V95-W95</f>
        <v>468583.79200000002</v>
      </c>
      <c r="Y95" s="1133">
        <f t="shared" ref="Y95:Y121" si="76">T95*12</f>
        <v>7008012</v>
      </c>
      <c r="Z95" s="1133">
        <f t="shared" ref="Z95:Z121" si="77">I95*2</f>
        <v>1061820</v>
      </c>
      <c r="AA95" s="1133">
        <f t="shared" ref="AA95:AA121" si="78">Y95+Z95</f>
        <v>8069832</v>
      </c>
      <c r="AB95" s="1133">
        <f t="shared" ref="AB95:AB121" si="79">AA95*3.5%</f>
        <v>282444.12000000005</v>
      </c>
      <c r="AC95" s="1133">
        <f t="shared" ref="AC95:AC121" si="80">(AA95*0.9-(W95*12))*11%-AD95</f>
        <v>420353.30159999995</v>
      </c>
      <c r="AD95" s="1133">
        <f t="shared" ref="AD95:AD121" si="81">AA95*0.9*5%</f>
        <v>363142.44</v>
      </c>
      <c r="AE95" s="1133">
        <f t="shared" ref="AE95:AE121" si="82">AA95*3%</f>
        <v>242094.96</v>
      </c>
      <c r="AF95" s="1133">
        <f t="shared" ref="AF95:AF121" si="83">AA95+AC95+AD95+AE95+AB95</f>
        <v>9377866.8215999994</v>
      </c>
      <c r="AG95" s="1133" t="s">
        <v>3</v>
      </c>
    </row>
    <row r="96" spans="1:33">
      <c r="A96" s="1175" t="e">
        <f>A95+1</f>
        <v>#REF!</v>
      </c>
      <c r="B96" s="1245" t="s">
        <v>48</v>
      </c>
      <c r="C96" s="1235" t="s">
        <v>931</v>
      </c>
      <c r="D96" s="1179">
        <v>1</v>
      </c>
      <c r="E96" s="1246"/>
      <c r="F96" s="1186"/>
      <c r="G96" s="1201"/>
      <c r="H96" s="1246">
        <v>35</v>
      </c>
      <c r="I96" s="1185">
        <f>D96*17697*H96</f>
        <v>619395</v>
      </c>
      <c r="J96" s="1185">
        <f t="shared" si="69"/>
        <v>61939.5</v>
      </c>
      <c r="K96" s="1186"/>
      <c r="L96" s="1186"/>
      <c r="M96" s="1186"/>
      <c r="N96" s="1186"/>
      <c r="O96" s="1186"/>
      <c r="P96" s="1186"/>
      <c r="Q96" s="1187"/>
      <c r="R96" s="1187"/>
      <c r="S96" s="1133">
        <f t="shared" si="70"/>
        <v>61939.5</v>
      </c>
      <c r="T96" s="1133">
        <f t="shared" si="71"/>
        <v>681334.5</v>
      </c>
      <c r="U96" s="1133">
        <f t="shared" si="72"/>
        <v>68133.45</v>
      </c>
      <c r="V96" s="1133">
        <f t="shared" si="73"/>
        <v>53902.436000000016</v>
      </c>
      <c r="W96" s="1133">
        <f t="shared" si="74"/>
        <v>13626.69</v>
      </c>
      <c r="X96" s="1133">
        <f t="shared" si="75"/>
        <v>545671.92400000012</v>
      </c>
      <c r="Y96" s="1133">
        <f t="shared" si="76"/>
        <v>8176014</v>
      </c>
      <c r="Z96" s="1133">
        <f t="shared" si="77"/>
        <v>1238790</v>
      </c>
      <c r="AA96" s="1133">
        <f t="shared" si="78"/>
        <v>9414804</v>
      </c>
      <c r="AB96" s="1133">
        <f t="shared" si="79"/>
        <v>329518.14</v>
      </c>
      <c r="AC96" s="1133">
        <f t="shared" si="80"/>
        <v>490412.18519999989</v>
      </c>
      <c r="AD96" s="1133">
        <f t="shared" si="81"/>
        <v>423666.18</v>
      </c>
      <c r="AE96" s="1133">
        <f t="shared" si="82"/>
        <v>282444.12</v>
      </c>
      <c r="AF96" s="1133">
        <f t="shared" si="83"/>
        <v>10940844.6252</v>
      </c>
      <c r="AG96" s="1133" t="s">
        <v>3</v>
      </c>
    </row>
    <row r="97" spans="1:33" ht="31.5">
      <c r="A97" s="1175" t="e">
        <f t="shared" ref="A97:A120" si="84">A96+1</f>
        <v>#REF!</v>
      </c>
      <c r="B97" s="1134" t="s">
        <v>483</v>
      </c>
      <c r="C97" s="1134" t="s">
        <v>484</v>
      </c>
      <c r="D97" s="1175">
        <v>1</v>
      </c>
      <c r="E97" s="1139">
        <v>1</v>
      </c>
      <c r="F97" s="1128"/>
      <c r="G97" s="1129">
        <v>44986</v>
      </c>
      <c r="H97" s="1139">
        <v>16</v>
      </c>
      <c r="I97" s="1133">
        <f t="shared" si="68"/>
        <v>283152</v>
      </c>
      <c r="J97" s="1133">
        <f t="shared" si="69"/>
        <v>28315.200000000001</v>
      </c>
      <c r="K97" s="1128"/>
      <c r="L97" s="1128"/>
      <c r="M97" s="1128"/>
      <c r="N97" s="1128"/>
      <c r="O97" s="1133"/>
      <c r="P97" s="1133"/>
      <c r="Q97" s="1247"/>
      <c r="R97" s="1133">
        <f>25%*17697</f>
        <v>4424.25</v>
      </c>
      <c r="S97" s="1133">
        <f t="shared" si="70"/>
        <v>32739.45</v>
      </c>
      <c r="T97" s="1133">
        <f t="shared" si="71"/>
        <v>315891.45</v>
      </c>
      <c r="U97" s="1133">
        <f t="shared" si="72"/>
        <v>31589.145000000004</v>
      </c>
      <c r="V97" s="1133">
        <f t="shared" si="73"/>
        <v>21743.4476</v>
      </c>
      <c r="W97" s="1133">
        <f t="shared" si="74"/>
        <v>6317.8290000000006</v>
      </c>
      <c r="X97" s="1133">
        <f t="shared" si="75"/>
        <v>256241.02839999998</v>
      </c>
      <c r="Y97" s="1133">
        <f t="shared" si="76"/>
        <v>3790697.4000000004</v>
      </c>
      <c r="Z97" s="1133">
        <f t="shared" si="77"/>
        <v>566304</v>
      </c>
      <c r="AA97" s="1133">
        <f t="shared" si="78"/>
        <v>4357001.4000000004</v>
      </c>
      <c r="AB97" s="1133">
        <f t="shared" si="79"/>
        <v>152495.04900000003</v>
      </c>
      <c r="AC97" s="1133">
        <f t="shared" si="80"/>
        <v>226938.54132000002</v>
      </c>
      <c r="AD97" s="1133">
        <f t="shared" si="81"/>
        <v>196065.06300000002</v>
      </c>
      <c r="AE97" s="1133">
        <f t="shared" si="82"/>
        <v>130710.042</v>
      </c>
      <c r="AF97" s="1133">
        <f t="shared" si="83"/>
        <v>5063210.0953200003</v>
      </c>
      <c r="AG97" s="1133" t="s">
        <v>3</v>
      </c>
    </row>
    <row r="98" spans="1:33">
      <c r="A98" s="1175" t="e">
        <f t="shared" si="84"/>
        <v>#REF!</v>
      </c>
      <c r="B98" s="1134" t="s">
        <v>110</v>
      </c>
      <c r="C98" s="1230" t="s">
        <v>485</v>
      </c>
      <c r="D98" s="1175">
        <v>1</v>
      </c>
      <c r="E98" s="1136">
        <v>1</v>
      </c>
      <c r="F98" s="1128"/>
      <c r="G98" s="1129">
        <v>42324</v>
      </c>
      <c r="H98" s="1136">
        <v>14</v>
      </c>
      <c r="I98" s="1133">
        <f t="shared" si="68"/>
        <v>247758</v>
      </c>
      <c r="J98" s="1133">
        <f t="shared" si="69"/>
        <v>24775.800000000003</v>
      </c>
      <c r="K98" s="1128"/>
      <c r="L98" s="1128"/>
      <c r="M98" s="1128"/>
      <c r="N98" s="1128"/>
      <c r="O98" s="1133">
        <f>35%*17697</f>
        <v>6193.95</v>
      </c>
      <c r="P98" s="1133"/>
      <c r="Q98" s="1247"/>
      <c r="R98" s="1247"/>
      <c r="S98" s="1133">
        <f t="shared" si="70"/>
        <v>30969.750000000004</v>
      </c>
      <c r="T98" s="1133">
        <f t="shared" si="71"/>
        <v>278727.75</v>
      </c>
      <c r="U98" s="1133">
        <f t="shared" si="72"/>
        <v>27872.775000000001</v>
      </c>
      <c r="V98" s="1133">
        <f t="shared" si="73"/>
        <v>18473.042000000001</v>
      </c>
      <c r="W98" s="1133">
        <f t="shared" si="74"/>
        <v>5574.5550000000003</v>
      </c>
      <c r="X98" s="1133">
        <f t="shared" si="75"/>
        <v>226807.37800000003</v>
      </c>
      <c r="Y98" s="1133">
        <f t="shared" si="76"/>
        <v>3344733</v>
      </c>
      <c r="Z98" s="1133">
        <f t="shared" si="77"/>
        <v>495516</v>
      </c>
      <c r="AA98" s="1133">
        <f t="shared" si="78"/>
        <v>3840249</v>
      </c>
      <c r="AB98" s="1133">
        <f t="shared" si="79"/>
        <v>134408.71500000003</v>
      </c>
      <c r="AC98" s="1133">
        <f t="shared" si="80"/>
        <v>200015.03339999996</v>
      </c>
      <c r="AD98" s="1133">
        <f t="shared" si="81"/>
        <v>172811.20500000002</v>
      </c>
      <c r="AE98" s="1133">
        <f t="shared" si="82"/>
        <v>115207.47</v>
      </c>
      <c r="AF98" s="1133">
        <f t="shared" si="83"/>
        <v>4462691.4233999997</v>
      </c>
      <c r="AG98" s="1133" t="s">
        <v>3</v>
      </c>
    </row>
    <row r="99" spans="1:33">
      <c r="A99" s="1175" t="e">
        <f t="shared" si="84"/>
        <v>#REF!</v>
      </c>
      <c r="B99" s="1230" t="s">
        <v>486</v>
      </c>
      <c r="C99" s="1229" t="s">
        <v>487</v>
      </c>
      <c r="D99" s="1175">
        <v>1</v>
      </c>
      <c r="E99" s="1136">
        <v>1</v>
      </c>
      <c r="F99" s="1128"/>
      <c r="G99" s="1148">
        <v>44075</v>
      </c>
      <c r="H99" s="1136">
        <v>18</v>
      </c>
      <c r="I99" s="1133">
        <f t="shared" si="68"/>
        <v>318546</v>
      </c>
      <c r="J99" s="1133">
        <f t="shared" si="69"/>
        <v>31854.600000000002</v>
      </c>
      <c r="K99" s="1128"/>
      <c r="L99" s="1128"/>
      <c r="M99" s="1128"/>
      <c r="N99" s="1128"/>
      <c r="O99" s="1133"/>
      <c r="P99" s="1133"/>
      <c r="Q99" s="1247"/>
      <c r="R99" s="1247"/>
      <c r="S99" s="1133">
        <f t="shared" si="70"/>
        <v>31854.600000000002</v>
      </c>
      <c r="T99" s="1133">
        <f t="shared" si="71"/>
        <v>350400.6</v>
      </c>
      <c r="U99" s="1133">
        <f t="shared" si="72"/>
        <v>35040.06</v>
      </c>
      <c r="V99" s="1133">
        <f t="shared" si="73"/>
        <v>24780.252800000002</v>
      </c>
      <c r="W99" s="1133">
        <f t="shared" si="74"/>
        <v>7008.0119999999997</v>
      </c>
      <c r="X99" s="1133">
        <f t="shared" si="75"/>
        <v>283572.27519999997</v>
      </c>
      <c r="Y99" s="1133">
        <f t="shared" si="76"/>
        <v>4204807.1999999993</v>
      </c>
      <c r="Z99" s="1133">
        <f t="shared" si="77"/>
        <v>637092</v>
      </c>
      <c r="AA99" s="1133">
        <f t="shared" si="78"/>
        <v>4841899.1999999993</v>
      </c>
      <c r="AB99" s="1133">
        <f t="shared" si="79"/>
        <v>169466.47199999998</v>
      </c>
      <c r="AC99" s="1133">
        <f t="shared" si="80"/>
        <v>252211.9809599999</v>
      </c>
      <c r="AD99" s="1133">
        <f t="shared" si="81"/>
        <v>217885.46399999998</v>
      </c>
      <c r="AE99" s="1133">
        <f t="shared" si="82"/>
        <v>145256.97599999997</v>
      </c>
      <c r="AF99" s="1133">
        <f t="shared" si="83"/>
        <v>5626720.0929599991</v>
      </c>
      <c r="AG99" s="1133" t="s">
        <v>3</v>
      </c>
    </row>
    <row r="100" spans="1:33">
      <c r="A100" s="1175" t="e">
        <f t="shared" si="84"/>
        <v>#REF!</v>
      </c>
      <c r="B100" s="1248" t="s">
        <v>832</v>
      </c>
      <c r="C100" s="1249" t="s">
        <v>932</v>
      </c>
      <c r="D100" s="1477">
        <v>2</v>
      </c>
      <c r="E100" s="1250"/>
      <c r="F100" s="1128"/>
      <c r="G100" s="1251"/>
      <c r="H100" s="1252">
        <v>20</v>
      </c>
      <c r="I100" s="1253">
        <f>1.5*17697*H100</f>
        <v>530910</v>
      </c>
      <c r="J100" s="1253">
        <f t="shared" si="69"/>
        <v>53091</v>
      </c>
      <c r="K100" s="1251"/>
      <c r="L100" s="1251"/>
      <c r="M100" s="1251"/>
      <c r="N100" s="1251"/>
      <c r="O100" s="1253"/>
      <c r="P100" s="1253"/>
      <c r="Q100" s="1254"/>
      <c r="R100" s="1254"/>
      <c r="S100" s="1133">
        <f t="shared" si="70"/>
        <v>53091</v>
      </c>
      <c r="T100" s="1133">
        <f t="shared" si="71"/>
        <v>584001</v>
      </c>
      <c r="U100" s="1133">
        <f t="shared" si="72"/>
        <v>58400.100000000006</v>
      </c>
      <c r="V100" s="1133">
        <f t="shared" si="73"/>
        <v>45337.088000000003</v>
      </c>
      <c r="W100" s="1133">
        <f t="shared" si="74"/>
        <v>11680.02</v>
      </c>
      <c r="X100" s="1133">
        <f t="shared" si="75"/>
        <v>468583.79200000002</v>
      </c>
      <c r="Y100" s="1133">
        <f t="shared" si="76"/>
        <v>7008012</v>
      </c>
      <c r="Z100" s="1133">
        <f t="shared" si="77"/>
        <v>1061820</v>
      </c>
      <c r="AA100" s="1133">
        <f t="shared" si="78"/>
        <v>8069832</v>
      </c>
      <c r="AB100" s="1133">
        <f t="shared" si="79"/>
        <v>282444.12000000005</v>
      </c>
      <c r="AC100" s="1133">
        <f t="shared" si="80"/>
        <v>420353.30159999995</v>
      </c>
      <c r="AD100" s="1133">
        <f t="shared" si="81"/>
        <v>363142.44</v>
      </c>
      <c r="AE100" s="1133">
        <f t="shared" si="82"/>
        <v>242094.96</v>
      </c>
      <c r="AF100" s="1133">
        <f t="shared" si="83"/>
        <v>9377866.8215999994</v>
      </c>
      <c r="AG100" s="1133" t="s">
        <v>3</v>
      </c>
    </row>
    <row r="101" spans="1:33">
      <c r="A101" s="1175" t="e">
        <f t="shared" si="84"/>
        <v>#REF!</v>
      </c>
      <c r="B101" s="1137" t="s">
        <v>832</v>
      </c>
      <c r="C101" s="1137" t="s">
        <v>839</v>
      </c>
      <c r="D101" s="1479"/>
      <c r="E101" s="1255">
        <v>0.5</v>
      </c>
      <c r="F101" s="1128"/>
      <c r="G101" s="1148">
        <v>45659</v>
      </c>
      <c r="H101" s="1139">
        <v>12</v>
      </c>
      <c r="I101" s="1133">
        <f>0.5*17697*H101</f>
        <v>106182</v>
      </c>
      <c r="J101" s="1133">
        <f t="shared" si="69"/>
        <v>10618.2</v>
      </c>
      <c r="K101" s="1128"/>
      <c r="L101" s="1128"/>
      <c r="M101" s="1128"/>
      <c r="N101" s="1128"/>
      <c r="O101" s="1133"/>
      <c r="P101" s="1133"/>
      <c r="Q101" s="1247"/>
      <c r="R101" s="1247"/>
      <c r="S101" s="1133">
        <f t="shared" si="70"/>
        <v>10618.2</v>
      </c>
      <c r="T101" s="1133">
        <f t="shared" si="71"/>
        <v>116800.2</v>
      </c>
      <c r="U101" s="1133">
        <f t="shared" si="72"/>
        <v>11680.02</v>
      </c>
      <c r="V101" s="1133">
        <f t="shared" si="73"/>
        <v>4223.4175999999998</v>
      </c>
      <c r="W101" s="1133">
        <f t="shared" si="74"/>
        <v>2336.0039999999999</v>
      </c>
      <c r="X101" s="1133">
        <f t="shared" si="75"/>
        <v>98560.758399999992</v>
      </c>
      <c r="Y101" s="1133">
        <f t="shared" si="76"/>
        <v>1401602.4</v>
      </c>
      <c r="Z101" s="1133">
        <f t="shared" si="77"/>
        <v>212364</v>
      </c>
      <c r="AA101" s="1133">
        <f t="shared" si="78"/>
        <v>1613966.4</v>
      </c>
      <c r="AB101" s="1133">
        <f t="shared" si="79"/>
        <v>56488.824000000001</v>
      </c>
      <c r="AC101" s="1133">
        <f t="shared" si="80"/>
        <v>84070.66032000001</v>
      </c>
      <c r="AD101" s="1133">
        <f t="shared" si="81"/>
        <v>72628.487999999998</v>
      </c>
      <c r="AE101" s="1133">
        <f t="shared" si="82"/>
        <v>48418.991999999998</v>
      </c>
      <c r="AF101" s="1133">
        <f t="shared" si="83"/>
        <v>1875573.3643199999</v>
      </c>
      <c r="AG101" s="1133"/>
    </row>
    <row r="102" spans="1:33" ht="31.5">
      <c r="A102" s="1175" t="e">
        <f t="shared" si="84"/>
        <v>#REF!</v>
      </c>
      <c r="B102" s="1134" t="s">
        <v>488</v>
      </c>
      <c r="C102" s="1134" t="s">
        <v>489</v>
      </c>
      <c r="D102" s="1175">
        <v>1</v>
      </c>
      <c r="E102" s="1136">
        <v>1</v>
      </c>
      <c r="F102" s="1128"/>
      <c r="G102" s="1129">
        <v>42780</v>
      </c>
      <c r="H102" s="1136">
        <v>12</v>
      </c>
      <c r="I102" s="1133">
        <f t="shared" si="68"/>
        <v>212364</v>
      </c>
      <c r="J102" s="1133">
        <f t="shared" si="69"/>
        <v>21236.400000000001</v>
      </c>
      <c r="K102" s="1128"/>
      <c r="L102" s="1128"/>
      <c r="M102" s="1128"/>
      <c r="N102" s="1128"/>
      <c r="O102" s="1133"/>
      <c r="P102" s="1133"/>
      <c r="Q102" s="1247"/>
      <c r="R102" s="1247"/>
      <c r="S102" s="1133">
        <f t="shared" si="70"/>
        <v>21236.400000000001</v>
      </c>
      <c r="T102" s="1133">
        <f t="shared" si="71"/>
        <v>233600.4</v>
      </c>
      <c r="U102" s="1133">
        <f t="shared" si="72"/>
        <v>23360.04</v>
      </c>
      <c r="V102" s="1133">
        <f t="shared" si="73"/>
        <v>14501.8352</v>
      </c>
      <c r="W102" s="1133">
        <f t="shared" si="74"/>
        <v>4672.0079999999998</v>
      </c>
      <c r="X102" s="1133">
        <f t="shared" si="75"/>
        <v>191066.51679999998</v>
      </c>
      <c r="Y102" s="1133">
        <f t="shared" si="76"/>
        <v>2803204.8</v>
      </c>
      <c r="Z102" s="1133">
        <f t="shared" si="77"/>
        <v>424728</v>
      </c>
      <c r="AA102" s="1133">
        <f t="shared" si="78"/>
        <v>3227932.8</v>
      </c>
      <c r="AB102" s="1133">
        <f t="shared" si="79"/>
        <v>112977.648</v>
      </c>
      <c r="AC102" s="1133">
        <f t="shared" si="80"/>
        <v>168141.32064000002</v>
      </c>
      <c r="AD102" s="1133">
        <f t="shared" si="81"/>
        <v>145256.976</v>
      </c>
      <c r="AE102" s="1133">
        <f t="shared" si="82"/>
        <v>96837.983999999997</v>
      </c>
      <c r="AF102" s="1133">
        <f t="shared" si="83"/>
        <v>3751146.7286399999</v>
      </c>
      <c r="AG102" s="1133" t="s">
        <v>3</v>
      </c>
    </row>
    <row r="103" spans="1:33" s="1189" customFormat="1">
      <c r="A103" s="1179" t="e">
        <f>#REF!+1</f>
        <v>#REF!</v>
      </c>
      <c r="B103" s="1245" t="s">
        <v>490</v>
      </c>
      <c r="C103" s="1235" t="s">
        <v>931</v>
      </c>
      <c r="D103" s="1478">
        <v>2</v>
      </c>
      <c r="E103" s="1256"/>
      <c r="F103" s="1186"/>
      <c r="G103" s="1183">
        <v>45659</v>
      </c>
      <c r="H103" s="1184">
        <v>20</v>
      </c>
      <c r="I103" s="1185">
        <f>17697*H103</f>
        <v>353940</v>
      </c>
      <c r="J103" s="1185">
        <f t="shared" si="69"/>
        <v>35394</v>
      </c>
      <c r="K103" s="1186"/>
      <c r="L103" s="1186"/>
      <c r="M103" s="1186"/>
      <c r="N103" s="1186"/>
      <c r="O103" s="1185"/>
      <c r="P103" s="1185"/>
      <c r="Q103" s="1257"/>
      <c r="R103" s="1257"/>
      <c r="S103" s="1185">
        <f t="shared" si="70"/>
        <v>35394</v>
      </c>
      <c r="T103" s="1185">
        <f t="shared" si="71"/>
        <v>389334</v>
      </c>
      <c r="U103" s="1185">
        <f t="shared" si="72"/>
        <v>38933.4</v>
      </c>
      <c r="V103" s="1185">
        <f t="shared" si="73"/>
        <v>28206.392</v>
      </c>
      <c r="W103" s="1185">
        <f t="shared" si="74"/>
        <v>7786.68</v>
      </c>
      <c r="X103" s="1185">
        <f t="shared" si="75"/>
        <v>314407.52799999999</v>
      </c>
      <c r="Y103" s="1185">
        <f t="shared" si="76"/>
        <v>4672008</v>
      </c>
      <c r="Z103" s="1185">
        <f t="shared" si="77"/>
        <v>707880</v>
      </c>
      <c r="AA103" s="1185">
        <f t="shared" si="78"/>
        <v>5379888</v>
      </c>
      <c r="AB103" s="1185">
        <f t="shared" si="79"/>
        <v>188296.08000000002</v>
      </c>
      <c r="AC103" s="1185">
        <f>(AA103*0.9-(W103*12))*11%-AD103+3000000</f>
        <v>3280235.5344000002</v>
      </c>
      <c r="AD103" s="1185">
        <f t="shared" si="81"/>
        <v>242094.96000000002</v>
      </c>
      <c r="AE103" s="1185">
        <f t="shared" si="82"/>
        <v>161396.63999999998</v>
      </c>
      <c r="AF103" s="1185">
        <f t="shared" si="83"/>
        <v>9251911.2144000027</v>
      </c>
      <c r="AG103" s="1185" t="s">
        <v>3</v>
      </c>
    </row>
    <row r="104" spans="1:33" ht="19.5" customHeight="1">
      <c r="A104" s="1175" t="e">
        <f t="shared" si="84"/>
        <v>#REF!</v>
      </c>
      <c r="B104" s="1156" t="s">
        <v>490</v>
      </c>
      <c r="C104" s="1134" t="s">
        <v>491</v>
      </c>
      <c r="D104" s="1479"/>
      <c r="E104" s="1136">
        <v>1</v>
      </c>
      <c r="F104" s="1128"/>
      <c r="G104" s="1129">
        <v>43654</v>
      </c>
      <c r="H104" s="1136">
        <v>12</v>
      </c>
      <c r="I104" s="1133">
        <f t="shared" si="68"/>
        <v>212364</v>
      </c>
      <c r="J104" s="1133">
        <f t="shared" si="69"/>
        <v>21236.400000000001</v>
      </c>
      <c r="K104" s="1128"/>
      <c r="L104" s="1128"/>
      <c r="M104" s="1128"/>
      <c r="N104" s="1128"/>
      <c r="O104" s="1133"/>
      <c r="P104" s="1133"/>
      <c r="Q104" s="1247"/>
      <c r="R104" s="1247"/>
      <c r="S104" s="1133">
        <f t="shared" si="70"/>
        <v>21236.400000000001</v>
      </c>
      <c r="T104" s="1133">
        <f t="shared" si="71"/>
        <v>233600.4</v>
      </c>
      <c r="U104" s="1133">
        <f t="shared" si="72"/>
        <v>23360.04</v>
      </c>
      <c r="V104" s="1133">
        <f t="shared" si="73"/>
        <v>14501.8352</v>
      </c>
      <c r="W104" s="1133">
        <f t="shared" si="74"/>
        <v>4672.0079999999998</v>
      </c>
      <c r="X104" s="1133">
        <f t="shared" si="75"/>
        <v>191066.51679999998</v>
      </c>
      <c r="Y104" s="1133">
        <f t="shared" si="76"/>
        <v>2803204.8</v>
      </c>
      <c r="Z104" s="1133">
        <f t="shared" si="77"/>
        <v>424728</v>
      </c>
      <c r="AA104" s="1133">
        <f t="shared" si="78"/>
        <v>3227932.8</v>
      </c>
      <c r="AB104" s="1133">
        <f t="shared" si="79"/>
        <v>112977.648</v>
      </c>
      <c r="AC104" s="1133">
        <f t="shared" si="80"/>
        <v>168141.32064000002</v>
      </c>
      <c r="AD104" s="1133">
        <f t="shared" si="81"/>
        <v>145256.976</v>
      </c>
      <c r="AE104" s="1133">
        <f t="shared" si="82"/>
        <v>96837.983999999997</v>
      </c>
      <c r="AF104" s="1133">
        <f t="shared" si="83"/>
        <v>3751146.7286399999</v>
      </c>
      <c r="AG104" s="1133" t="s">
        <v>3</v>
      </c>
    </row>
    <row r="105" spans="1:33">
      <c r="A105" s="1175" t="e">
        <f t="shared" si="84"/>
        <v>#REF!</v>
      </c>
      <c r="B105" s="1134" t="s">
        <v>492</v>
      </c>
      <c r="C105" s="1221" t="s">
        <v>493</v>
      </c>
      <c r="D105" s="1175">
        <v>1</v>
      </c>
      <c r="E105" s="1136">
        <v>1</v>
      </c>
      <c r="F105" s="1128"/>
      <c r="G105" s="1129">
        <v>44508</v>
      </c>
      <c r="H105" s="1136">
        <v>11</v>
      </c>
      <c r="I105" s="1133">
        <f t="shared" si="68"/>
        <v>194667</v>
      </c>
      <c r="J105" s="1133">
        <f t="shared" si="69"/>
        <v>19466.7</v>
      </c>
      <c r="K105" s="1128"/>
      <c r="L105" s="1128"/>
      <c r="M105" s="1128"/>
      <c r="N105" s="1128"/>
      <c r="O105" s="1133"/>
      <c r="P105" s="1133"/>
      <c r="Q105" s="1247"/>
      <c r="R105" s="1247"/>
      <c r="S105" s="1133">
        <f t="shared" si="70"/>
        <v>19466.7</v>
      </c>
      <c r="T105" s="1133">
        <f t="shared" si="71"/>
        <v>214133.7</v>
      </c>
      <c r="U105" s="1133">
        <f t="shared" si="72"/>
        <v>21413.370000000003</v>
      </c>
      <c r="V105" s="1133">
        <f t="shared" si="73"/>
        <v>12788.765600000002</v>
      </c>
      <c r="W105" s="1133">
        <f t="shared" si="74"/>
        <v>4282.674</v>
      </c>
      <c r="X105" s="1133">
        <f t="shared" si="75"/>
        <v>175648.8904</v>
      </c>
      <c r="Y105" s="1133">
        <f t="shared" si="76"/>
        <v>2569604.4000000004</v>
      </c>
      <c r="Z105" s="1133">
        <f t="shared" si="77"/>
        <v>389334</v>
      </c>
      <c r="AA105" s="1133">
        <f t="shared" si="78"/>
        <v>2958938.4000000004</v>
      </c>
      <c r="AB105" s="1133">
        <f t="shared" si="79"/>
        <v>103562.84400000003</v>
      </c>
      <c r="AC105" s="1133">
        <f t="shared" si="80"/>
        <v>154129.54392000005</v>
      </c>
      <c r="AD105" s="1133">
        <f t="shared" si="81"/>
        <v>133152.22800000003</v>
      </c>
      <c r="AE105" s="1133">
        <f t="shared" si="82"/>
        <v>88768.152000000002</v>
      </c>
      <c r="AF105" s="1133">
        <f t="shared" si="83"/>
        <v>3438551.1679200004</v>
      </c>
      <c r="AG105" s="1133" t="s">
        <v>3</v>
      </c>
    </row>
    <row r="106" spans="1:33">
      <c r="A106" s="1175" t="e">
        <f t="shared" si="84"/>
        <v>#REF!</v>
      </c>
      <c r="B106" s="1134" t="s">
        <v>53</v>
      </c>
      <c r="C106" s="1258" t="s">
        <v>833</v>
      </c>
      <c r="D106" s="1477">
        <v>2</v>
      </c>
      <c r="E106" s="1136">
        <v>1</v>
      </c>
      <c r="F106" s="1128"/>
      <c r="G106" s="1129">
        <v>45246</v>
      </c>
      <c r="H106" s="1136">
        <v>12</v>
      </c>
      <c r="I106" s="1133">
        <f t="shared" si="68"/>
        <v>212364</v>
      </c>
      <c r="J106" s="1133">
        <f t="shared" si="69"/>
        <v>21236.400000000001</v>
      </c>
      <c r="K106" s="1128"/>
      <c r="L106" s="1128"/>
      <c r="M106" s="1128"/>
      <c r="N106" s="1128"/>
      <c r="O106" s="1133"/>
      <c r="P106" s="1133"/>
      <c r="Q106" s="1247"/>
      <c r="R106" s="1247"/>
      <c r="S106" s="1133">
        <f t="shared" si="70"/>
        <v>21236.400000000001</v>
      </c>
      <c r="T106" s="1133">
        <f t="shared" si="71"/>
        <v>233600.4</v>
      </c>
      <c r="U106" s="1133">
        <f t="shared" si="72"/>
        <v>23360.04</v>
      </c>
      <c r="V106" s="1133">
        <f t="shared" si="73"/>
        <v>14501.8352</v>
      </c>
      <c r="W106" s="1133">
        <f t="shared" si="74"/>
        <v>4672.0079999999998</v>
      </c>
      <c r="X106" s="1133">
        <f t="shared" si="75"/>
        <v>191066.51679999998</v>
      </c>
      <c r="Y106" s="1133">
        <f t="shared" si="76"/>
        <v>2803204.8</v>
      </c>
      <c r="Z106" s="1133">
        <f t="shared" si="77"/>
        <v>424728</v>
      </c>
      <c r="AA106" s="1133">
        <f t="shared" si="78"/>
        <v>3227932.8</v>
      </c>
      <c r="AB106" s="1133">
        <f t="shared" si="79"/>
        <v>112977.648</v>
      </c>
      <c r="AC106" s="1133">
        <f t="shared" si="80"/>
        <v>168141.32064000002</v>
      </c>
      <c r="AD106" s="1133">
        <f t="shared" si="81"/>
        <v>145256.976</v>
      </c>
      <c r="AE106" s="1133">
        <f t="shared" si="82"/>
        <v>96837.983999999997</v>
      </c>
      <c r="AF106" s="1133">
        <f t="shared" si="83"/>
        <v>3751146.7286399999</v>
      </c>
      <c r="AG106" s="1133" t="s">
        <v>3</v>
      </c>
    </row>
    <row r="107" spans="1:33">
      <c r="A107" s="1175" t="e">
        <f t="shared" si="84"/>
        <v>#REF!</v>
      </c>
      <c r="B107" s="1137" t="s">
        <v>53</v>
      </c>
      <c r="C107" s="1137" t="s">
        <v>494</v>
      </c>
      <c r="D107" s="1479"/>
      <c r="E107" s="1139">
        <v>1</v>
      </c>
      <c r="F107" s="1128"/>
      <c r="G107" s="1129">
        <v>44219</v>
      </c>
      <c r="H107" s="1139">
        <v>12</v>
      </c>
      <c r="I107" s="1133">
        <f t="shared" si="68"/>
        <v>212364</v>
      </c>
      <c r="J107" s="1133">
        <f t="shared" si="69"/>
        <v>21236.400000000001</v>
      </c>
      <c r="K107" s="1128"/>
      <c r="L107" s="1128"/>
      <c r="M107" s="1128"/>
      <c r="N107" s="1128"/>
      <c r="O107" s="1133"/>
      <c r="P107" s="1133"/>
      <c r="Q107" s="1247"/>
      <c r="R107" s="1247"/>
      <c r="S107" s="1133">
        <f t="shared" si="70"/>
        <v>21236.400000000001</v>
      </c>
      <c r="T107" s="1133">
        <f t="shared" si="71"/>
        <v>233600.4</v>
      </c>
      <c r="U107" s="1133">
        <f t="shared" si="72"/>
        <v>23360.04</v>
      </c>
      <c r="V107" s="1133">
        <f t="shared" si="73"/>
        <v>14501.8352</v>
      </c>
      <c r="W107" s="1133">
        <f t="shared" si="74"/>
        <v>4672.0079999999998</v>
      </c>
      <c r="X107" s="1133">
        <f t="shared" si="75"/>
        <v>191066.51679999998</v>
      </c>
      <c r="Y107" s="1133">
        <f t="shared" si="76"/>
        <v>2803204.8</v>
      </c>
      <c r="Z107" s="1133">
        <f t="shared" si="77"/>
        <v>424728</v>
      </c>
      <c r="AA107" s="1133">
        <f t="shared" si="78"/>
        <v>3227932.8</v>
      </c>
      <c r="AB107" s="1133">
        <f t="shared" si="79"/>
        <v>112977.648</v>
      </c>
      <c r="AC107" s="1133">
        <f t="shared" si="80"/>
        <v>168141.32064000002</v>
      </c>
      <c r="AD107" s="1133">
        <f t="shared" si="81"/>
        <v>145256.976</v>
      </c>
      <c r="AE107" s="1133">
        <f t="shared" si="82"/>
        <v>96837.983999999997</v>
      </c>
      <c r="AF107" s="1133">
        <f t="shared" si="83"/>
        <v>3751146.7286399999</v>
      </c>
      <c r="AG107" s="1133" t="s">
        <v>3</v>
      </c>
    </row>
    <row r="108" spans="1:33" ht="47.25">
      <c r="A108" s="1175" t="e">
        <f t="shared" si="84"/>
        <v>#REF!</v>
      </c>
      <c r="B108" s="1134" t="s">
        <v>834</v>
      </c>
      <c r="C108" s="1134" t="s">
        <v>495</v>
      </c>
      <c r="D108" s="1477">
        <v>2</v>
      </c>
      <c r="E108" s="1136">
        <v>1</v>
      </c>
      <c r="F108" s="1128"/>
      <c r="G108" s="1129">
        <v>44201</v>
      </c>
      <c r="H108" s="1136">
        <v>13</v>
      </c>
      <c r="I108" s="1133">
        <f t="shared" si="68"/>
        <v>230061</v>
      </c>
      <c r="J108" s="1133">
        <f t="shared" si="69"/>
        <v>23006.100000000002</v>
      </c>
      <c r="K108" s="1128"/>
      <c r="L108" s="1128"/>
      <c r="M108" s="1128"/>
      <c r="N108" s="1128"/>
      <c r="O108" s="1133"/>
      <c r="P108" s="1133"/>
      <c r="Q108" s="1247"/>
      <c r="R108" s="1133">
        <f>25%*17697</f>
        <v>4424.25</v>
      </c>
      <c r="S108" s="1133">
        <f t="shared" si="70"/>
        <v>27430.350000000002</v>
      </c>
      <c r="T108" s="1133">
        <f t="shared" si="71"/>
        <v>257491.35</v>
      </c>
      <c r="U108" s="1133">
        <f t="shared" si="72"/>
        <v>25749.135000000002</v>
      </c>
      <c r="V108" s="1133">
        <f t="shared" si="73"/>
        <v>16604.238800000003</v>
      </c>
      <c r="W108" s="1133">
        <f t="shared" si="74"/>
        <v>5149.8270000000002</v>
      </c>
      <c r="X108" s="1133">
        <f t="shared" si="75"/>
        <v>209988.14920000001</v>
      </c>
      <c r="Y108" s="1133">
        <f t="shared" si="76"/>
        <v>3089896.2</v>
      </c>
      <c r="Z108" s="1133">
        <f t="shared" si="77"/>
        <v>460122</v>
      </c>
      <c r="AA108" s="1133">
        <f t="shared" si="78"/>
        <v>3550018.2</v>
      </c>
      <c r="AB108" s="1133">
        <f t="shared" si="79"/>
        <v>124250.63700000002</v>
      </c>
      <c r="AC108" s="1133">
        <f t="shared" si="80"/>
        <v>184903.21116000001</v>
      </c>
      <c r="AD108" s="1133">
        <f t="shared" si="81"/>
        <v>159750.81900000002</v>
      </c>
      <c r="AE108" s="1133">
        <f t="shared" si="82"/>
        <v>106500.546</v>
      </c>
      <c r="AF108" s="1133">
        <f t="shared" si="83"/>
        <v>4125423.4131600005</v>
      </c>
      <c r="AG108" s="1133" t="s">
        <v>3</v>
      </c>
    </row>
    <row r="109" spans="1:33" ht="47.25">
      <c r="A109" s="1175" t="e">
        <f t="shared" si="84"/>
        <v>#REF!</v>
      </c>
      <c r="B109" s="1134" t="s">
        <v>834</v>
      </c>
      <c r="C109" s="1134" t="s">
        <v>496</v>
      </c>
      <c r="D109" s="1479"/>
      <c r="E109" s="1136">
        <v>1</v>
      </c>
      <c r="F109" s="1128"/>
      <c r="G109" s="1129">
        <v>44593</v>
      </c>
      <c r="H109" s="1136">
        <v>11</v>
      </c>
      <c r="I109" s="1133">
        <f t="shared" si="68"/>
        <v>194667</v>
      </c>
      <c r="J109" s="1133">
        <f t="shared" si="69"/>
        <v>19466.7</v>
      </c>
      <c r="K109" s="1128"/>
      <c r="L109" s="1128"/>
      <c r="M109" s="1128"/>
      <c r="N109" s="1128"/>
      <c r="O109" s="1133"/>
      <c r="P109" s="1133"/>
      <c r="Q109" s="1247"/>
      <c r="R109" s="1133">
        <f>25%*17697</f>
        <v>4424.25</v>
      </c>
      <c r="S109" s="1133">
        <f t="shared" si="70"/>
        <v>23890.95</v>
      </c>
      <c r="T109" s="1133">
        <f t="shared" si="71"/>
        <v>218557.95</v>
      </c>
      <c r="U109" s="1133">
        <f t="shared" si="72"/>
        <v>21855.795000000002</v>
      </c>
      <c r="V109" s="1133">
        <f t="shared" si="73"/>
        <v>13178.0996</v>
      </c>
      <c r="W109" s="1133">
        <f t="shared" si="74"/>
        <v>4371.1590000000006</v>
      </c>
      <c r="X109" s="1133">
        <f t="shared" si="75"/>
        <v>179152.8964</v>
      </c>
      <c r="Y109" s="1133">
        <f t="shared" si="76"/>
        <v>2622695.4000000004</v>
      </c>
      <c r="Z109" s="1133">
        <f t="shared" si="77"/>
        <v>389334</v>
      </c>
      <c r="AA109" s="1133">
        <f t="shared" si="78"/>
        <v>3012029.4000000004</v>
      </c>
      <c r="AB109" s="1133">
        <f t="shared" si="79"/>
        <v>105421.02900000002</v>
      </c>
      <c r="AC109" s="1133">
        <f t="shared" si="80"/>
        <v>156879.65772000002</v>
      </c>
      <c r="AD109" s="1133">
        <f t="shared" si="81"/>
        <v>135541.32300000003</v>
      </c>
      <c r="AE109" s="1133">
        <f t="shared" si="82"/>
        <v>90360.882000000012</v>
      </c>
      <c r="AF109" s="1133">
        <f t="shared" si="83"/>
        <v>3500232.2917200006</v>
      </c>
      <c r="AG109" s="1133" t="s">
        <v>3</v>
      </c>
    </row>
    <row r="110" spans="1:33">
      <c r="A110" s="1175" t="e">
        <f t="shared" si="84"/>
        <v>#REF!</v>
      </c>
      <c r="B110" s="1134" t="s">
        <v>14</v>
      </c>
      <c r="C110" s="1137" t="s">
        <v>497</v>
      </c>
      <c r="D110" s="1478">
        <v>25</v>
      </c>
      <c r="E110" s="1136">
        <v>1</v>
      </c>
      <c r="F110" s="1128"/>
      <c r="G110" s="1129">
        <v>44294</v>
      </c>
      <c r="H110" s="1136">
        <v>10</v>
      </c>
      <c r="I110" s="1133">
        <f t="shared" si="68"/>
        <v>176970</v>
      </c>
      <c r="J110" s="1133">
        <f t="shared" si="69"/>
        <v>17697</v>
      </c>
      <c r="K110" s="1128"/>
      <c r="L110" s="1128"/>
      <c r="M110" s="1128"/>
      <c r="N110" s="1128"/>
      <c r="O110" s="1128"/>
      <c r="P110" s="1215"/>
      <c r="Q110" s="1215">
        <f>17697*20%</f>
        <v>3539.4</v>
      </c>
      <c r="R110" s="1177"/>
      <c r="S110" s="1133">
        <f t="shared" si="70"/>
        <v>21236.400000000001</v>
      </c>
      <c r="T110" s="1133">
        <f t="shared" si="71"/>
        <v>198206.4</v>
      </c>
      <c r="U110" s="1133">
        <f t="shared" si="72"/>
        <v>19820.64</v>
      </c>
      <c r="V110" s="1133">
        <f t="shared" si="73"/>
        <v>11387.163200000003</v>
      </c>
      <c r="W110" s="1133">
        <f t="shared" si="74"/>
        <v>3964.1280000000002</v>
      </c>
      <c r="X110" s="1133">
        <f t="shared" si="75"/>
        <v>163034.4688</v>
      </c>
      <c r="Y110" s="1133">
        <f t="shared" si="76"/>
        <v>2378476.7999999998</v>
      </c>
      <c r="Z110" s="1133">
        <f t="shared" si="77"/>
        <v>353940</v>
      </c>
      <c r="AA110" s="1133">
        <f t="shared" si="78"/>
        <v>2732416.8</v>
      </c>
      <c r="AB110" s="1133">
        <f t="shared" si="79"/>
        <v>95634.588000000003</v>
      </c>
      <c r="AC110" s="1133">
        <f t="shared" si="80"/>
        <v>142317.85824000003</v>
      </c>
      <c r="AD110" s="1133">
        <f t="shared" si="81"/>
        <v>122958.75600000001</v>
      </c>
      <c r="AE110" s="1133">
        <f t="shared" si="82"/>
        <v>81972.503999999986</v>
      </c>
      <c r="AF110" s="1133">
        <f t="shared" si="83"/>
        <v>3175300.50624</v>
      </c>
      <c r="AG110" s="1133" t="s">
        <v>3</v>
      </c>
    </row>
    <row r="111" spans="1:33">
      <c r="A111" s="1175" t="e">
        <f t="shared" si="84"/>
        <v>#REF!</v>
      </c>
      <c r="B111" s="1134" t="s">
        <v>14</v>
      </c>
      <c r="C111" s="1134" t="s">
        <v>498</v>
      </c>
      <c r="D111" s="1478"/>
      <c r="E111" s="1136">
        <v>1</v>
      </c>
      <c r="F111" s="1128"/>
      <c r="G111" s="1129">
        <v>42342</v>
      </c>
      <c r="H111" s="1136">
        <v>10</v>
      </c>
      <c r="I111" s="1133">
        <f t="shared" si="68"/>
        <v>176970</v>
      </c>
      <c r="J111" s="1133">
        <f t="shared" si="69"/>
        <v>17697</v>
      </c>
      <c r="K111" s="1128"/>
      <c r="L111" s="1128"/>
      <c r="M111" s="1128"/>
      <c r="N111" s="1128"/>
      <c r="O111" s="1128"/>
      <c r="P111" s="1215">
        <f t="shared" ref="P111:P120" si="85">17697*30%</f>
        <v>5309.0999999999995</v>
      </c>
      <c r="Q111" s="1215"/>
      <c r="R111" s="1177"/>
      <c r="S111" s="1133">
        <f t="shared" si="70"/>
        <v>23006.1</v>
      </c>
      <c r="T111" s="1133">
        <f t="shared" si="71"/>
        <v>199976.1</v>
      </c>
      <c r="U111" s="1133">
        <f t="shared" si="72"/>
        <v>19997.61</v>
      </c>
      <c r="V111" s="1133">
        <f t="shared" si="73"/>
        <v>11542.8968</v>
      </c>
      <c r="W111" s="1133">
        <f t="shared" si="74"/>
        <v>3999.5220000000004</v>
      </c>
      <c r="X111" s="1133">
        <f t="shared" si="75"/>
        <v>164436.07120000001</v>
      </c>
      <c r="Y111" s="1133">
        <f t="shared" si="76"/>
        <v>2399713.2000000002</v>
      </c>
      <c r="Z111" s="1133">
        <f t="shared" si="77"/>
        <v>353940</v>
      </c>
      <c r="AA111" s="1133">
        <f t="shared" si="78"/>
        <v>2753653.2</v>
      </c>
      <c r="AB111" s="1133">
        <f t="shared" si="79"/>
        <v>96377.862000000023</v>
      </c>
      <c r="AC111" s="1133">
        <f t="shared" si="80"/>
        <v>143417.90376000002</v>
      </c>
      <c r="AD111" s="1133">
        <f t="shared" si="81"/>
        <v>123914.39400000003</v>
      </c>
      <c r="AE111" s="1133">
        <f t="shared" si="82"/>
        <v>82609.596000000005</v>
      </c>
      <c r="AF111" s="1133">
        <f t="shared" si="83"/>
        <v>3199972.9557600003</v>
      </c>
      <c r="AG111" s="1133" t="s">
        <v>3</v>
      </c>
    </row>
    <row r="112" spans="1:33">
      <c r="A112" s="1175" t="e">
        <f t="shared" si="84"/>
        <v>#REF!</v>
      </c>
      <c r="B112" s="1134" t="s">
        <v>14</v>
      </c>
      <c r="C112" s="1134" t="s">
        <v>499</v>
      </c>
      <c r="D112" s="1478"/>
      <c r="E112" s="1136">
        <v>1</v>
      </c>
      <c r="F112" s="1128"/>
      <c r="G112" s="1129">
        <v>44455</v>
      </c>
      <c r="H112" s="1136">
        <v>10</v>
      </c>
      <c r="I112" s="1133">
        <f t="shared" si="68"/>
        <v>176970</v>
      </c>
      <c r="J112" s="1133">
        <f t="shared" si="69"/>
        <v>17697</v>
      </c>
      <c r="K112" s="1128"/>
      <c r="L112" s="1128"/>
      <c r="M112" s="1128"/>
      <c r="N112" s="1128"/>
      <c r="O112" s="1128"/>
      <c r="P112" s="1215">
        <f t="shared" si="85"/>
        <v>5309.0999999999995</v>
      </c>
      <c r="Q112" s="1215"/>
      <c r="R112" s="1177"/>
      <c r="S112" s="1133">
        <f t="shared" si="70"/>
        <v>23006.1</v>
      </c>
      <c r="T112" s="1133">
        <f t="shared" si="71"/>
        <v>199976.1</v>
      </c>
      <c r="U112" s="1133">
        <f t="shared" si="72"/>
        <v>19997.61</v>
      </c>
      <c r="V112" s="1133">
        <f t="shared" si="73"/>
        <v>11542.8968</v>
      </c>
      <c r="W112" s="1133">
        <f t="shared" si="74"/>
        <v>3999.5220000000004</v>
      </c>
      <c r="X112" s="1133">
        <f t="shared" si="75"/>
        <v>164436.07120000001</v>
      </c>
      <c r="Y112" s="1133">
        <f t="shared" si="76"/>
        <v>2399713.2000000002</v>
      </c>
      <c r="Z112" s="1133">
        <f t="shared" si="77"/>
        <v>353940</v>
      </c>
      <c r="AA112" s="1133">
        <f t="shared" si="78"/>
        <v>2753653.2</v>
      </c>
      <c r="AB112" s="1133">
        <f t="shared" si="79"/>
        <v>96377.862000000023</v>
      </c>
      <c r="AC112" s="1133">
        <f t="shared" si="80"/>
        <v>143417.90376000002</v>
      </c>
      <c r="AD112" s="1133">
        <f t="shared" si="81"/>
        <v>123914.39400000003</v>
      </c>
      <c r="AE112" s="1133">
        <f t="shared" si="82"/>
        <v>82609.596000000005</v>
      </c>
      <c r="AF112" s="1133">
        <f t="shared" si="83"/>
        <v>3199972.9557600003</v>
      </c>
      <c r="AG112" s="1133" t="s">
        <v>3</v>
      </c>
    </row>
    <row r="113" spans="1:33">
      <c r="A113" s="1175" t="e">
        <f t="shared" si="84"/>
        <v>#REF!</v>
      </c>
      <c r="B113" s="1134" t="s">
        <v>14</v>
      </c>
      <c r="C113" s="1134" t="s">
        <v>500</v>
      </c>
      <c r="D113" s="1478"/>
      <c r="E113" s="1136">
        <v>1</v>
      </c>
      <c r="F113" s="1128"/>
      <c r="G113" s="1129">
        <v>42440</v>
      </c>
      <c r="H113" s="1136">
        <v>10</v>
      </c>
      <c r="I113" s="1133">
        <f t="shared" si="68"/>
        <v>176970</v>
      </c>
      <c r="J113" s="1133">
        <f t="shared" si="69"/>
        <v>17697</v>
      </c>
      <c r="K113" s="1128"/>
      <c r="L113" s="1128"/>
      <c r="M113" s="1128"/>
      <c r="N113" s="1128"/>
      <c r="O113" s="1128"/>
      <c r="P113" s="1215"/>
      <c r="Q113" s="1215">
        <f>17697*20%</f>
        <v>3539.4</v>
      </c>
      <c r="R113" s="1177"/>
      <c r="S113" s="1133">
        <f t="shared" si="70"/>
        <v>21236.400000000001</v>
      </c>
      <c r="T113" s="1133">
        <f t="shared" si="71"/>
        <v>198206.4</v>
      </c>
      <c r="U113" s="1133">
        <f t="shared" si="72"/>
        <v>19820.64</v>
      </c>
      <c r="V113" s="1133">
        <f t="shared" si="73"/>
        <v>11387.163200000003</v>
      </c>
      <c r="W113" s="1133">
        <f t="shared" si="74"/>
        <v>3964.1280000000002</v>
      </c>
      <c r="X113" s="1133">
        <f t="shared" si="75"/>
        <v>163034.4688</v>
      </c>
      <c r="Y113" s="1133">
        <f t="shared" si="76"/>
        <v>2378476.7999999998</v>
      </c>
      <c r="Z113" s="1133">
        <f t="shared" si="77"/>
        <v>353940</v>
      </c>
      <c r="AA113" s="1133">
        <f t="shared" si="78"/>
        <v>2732416.8</v>
      </c>
      <c r="AB113" s="1133">
        <f t="shared" si="79"/>
        <v>95634.588000000003</v>
      </c>
      <c r="AC113" s="1133">
        <f t="shared" si="80"/>
        <v>142317.85824000003</v>
      </c>
      <c r="AD113" s="1133">
        <f t="shared" si="81"/>
        <v>122958.75600000001</v>
      </c>
      <c r="AE113" s="1133">
        <f t="shared" si="82"/>
        <v>81972.503999999986</v>
      </c>
      <c r="AF113" s="1133">
        <f t="shared" si="83"/>
        <v>3175300.50624</v>
      </c>
      <c r="AG113" s="1133" t="s">
        <v>3</v>
      </c>
    </row>
    <row r="114" spans="1:33">
      <c r="A114" s="1175" t="e">
        <f t="shared" si="84"/>
        <v>#REF!</v>
      </c>
      <c r="B114" s="1134" t="s">
        <v>14</v>
      </c>
      <c r="C114" s="1134" t="s">
        <v>502</v>
      </c>
      <c r="D114" s="1478"/>
      <c r="E114" s="1136">
        <v>1</v>
      </c>
      <c r="F114" s="1128"/>
      <c r="G114" s="1129">
        <v>44204</v>
      </c>
      <c r="H114" s="1136">
        <v>10</v>
      </c>
      <c r="I114" s="1133">
        <f t="shared" si="68"/>
        <v>176970</v>
      </c>
      <c r="J114" s="1133">
        <f t="shared" si="69"/>
        <v>17697</v>
      </c>
      <c r="K114" s="1128"/>
      <c r="L114" s="1128"/>
      <c r="M114" s="1128"/>
      <c r="N114" s="1128"/>
      <c r="O114" s="1128"/>
      <c r="P114" s="1215">
        <f t="shared" si="85"/>
        <v>5309.0999999999995</v>
      </c>
      <c r="Q114" s="1215"/>
      <c r="R114" s="1177"/>
      <c r="S114" s="1133">
        <f t="shared" si="70"/>
        <v>23006.1</v>
      </c>
      <c r="T114" s="1133">
        <f t="shared" si="71"/>
        <v>199976.1</v>
      </c>
      <c r="U114" s="1133">
        <f t="shared" si="72"/>
        <v>19997.61</v>
      </c>
      <c r="V114" s="1133">
        <f t="shared" si="73"/>
        <v>11542.8968</v>
      </c>
      <c r="W114" s="1133">
        <f t="shared" si="74"/>
        <v>3999.5220000000004</v>
      </c>
      <c r="X114" s="1133">
        <f t="shared" si="75"/>
        <v>164436.07120000001</v>
      </c>
      <c r="Y114" s="1133">
        <f t="shared" si="76"/>
        <v>2399713.2000000002</v>
      </c>
      <c r="Z114" s="1133">
        <f t="shared" si="77"/>
        <v>353940</v>
      </c>
      <c r="AA114" s="1133">
        <f t="shared" si="78"/>
        <v>2753653.2</v>
      </c>
      <c r="AB114" s="1133">
        <f t="shared" si="79"/>
        <v>96377.862000000023</v>
      </c>
      <c r="AC114" s="1133">
        <f t="shared" si="80"/>
        <v>143417.90376000002</v>
      </c>
      <c r="AD114" s="1133">
        <f t="shared" si="81"/>
        <v>123914.39400000003</v>
      </c>
      <c r="AE114" s="1133">
        <f t="shared" si="82"/>
        <v>82609.596000000005</v>
      </c>
      <c r="AF114" s="1133">
        <f t="shared" si="83"/>
        <v>3199972.9557600003</v>
      </c>
      <c r="AG114" s="1133" t="s">
        <v>3</v>
      </c>
    </row>
    <row r="115" spans="1:33" ht="21.75" customHeight="1">
      <c r="A115" s="1175" t="e">
        <f t="shared" si="84"/>
        <v>#REF!</v>
      </c>
      <c r="B115" s="1134" t="s">
        <v>14</v>
      </c>
      <c r="C115" s="1134" t="s">
        <v>503</v>
      </c>
      <c r="D115" s="1478"/>
      <c r="E115" s="1136">
        <v>1</v>
      </c>
      <c r="F115" s="1128"/>
      <c r="G115" s="1129">
        <v>44204</v>
      </c>
      <c r="H115" s="1136">
        <v>10</v>
      </c>
      <c r="I115" s="1133">
        <f t="shared" si="68"/>
        <v>176970</v>
      </c>
      <c r="J115" s="1133">
        <f t="shared" si="69"/>
        <v>17697</v>
      </c>
      <c r="K115" s="1128"/>
      <c r="L115" s="1128"/>
      <c r="M115" s="1128"/>
      <c r="N115" s="1128"/>
      <c r="O115" s="1128"/>
      <c r="P115" s="1215">
        <f t="shared" si="85"/>
        <v>5309.0999999999995</v>
      </c>
      <c r="Q115" s="1215"/>
      <c r="R115" s="1177"/>
      <c r="S115" s="1133">
        <f t="shared" si="70"/>
        <v>23006.1</v>
      </c>
      <c r="T115" s="1133">
        <f t="shared" si="71"/>
        <v>199976.1</v>
      </c>
      <c r="U115" s="1133">
        <f t="shared" si="72"/>
        <v>19997.61</v>
      </c>
      <c r="V115" s="1133">
        <f t="shared" si="73"/>
        <v>11542.8968</v>
      </c>
      <c r="W115" s="1133">
        <f t="shared" si="74"/>
        <v>3999.5220000000004</v>
      </c>
      <c r="X115" s="1133">
        <f t="shared" si="75"/>
        <v>164436.07120000001</v>
      </c>
      <c r="Y115" s="1133">
        <f t="shared" si="76"/>
        <v>2399713.2000000002</v>
      </c>
      <c r="Z115" s="1133">
        <f t="shared" si="77"/>
        <v>353940</v>
      </c>
      <c r="AA115" s="1133">
        <f t="shared" si="78"/>
        <v>2753653.2</v>
      </c>
      <c r="AB115" s="1133">
        <f t="shared" si="79"/>
        <v>96377.862000000023</v>
      </c>
      <c r="AC115" s="1133">
        <f t="shared" si="80"/>
        <v>143417.90376000002</v>
      </c>
      <c r="AD115" s="1133">
        <f t="shared" si="81"/>
        <v>123914.39400000003</v>
      </c>
      <c r="AE115" s="1133">
        <f t="shared" si="82"/>
        <v>82609.596000000005</v>
      </c>
      <c r="AF115" s="1133">
        <f t="shared" si="83"/>
        <v>3199972.9557600003</v>
      </c>
      <c r="AG115" s="1133" t="s">
        <v>3</v>
      </c>
    </row>
    <row r="116" spans="1:33" ht="31.5">
      <c r="A116" s="1175" t="e">
        <f t="shared" si="84"/>
        <v>#REF!</v>
      </c>
      <c r="B116" s="1134" t="s">
        <v>14</v>
      </c>
      <c r="C116" s="1134" t="s">
        <v>504</v>
      </c>
      <c r="D116" s="1478"/>
      <c r="E116" s="1136">
        <v>1</v>
      </c>
      <c r="F116" s="1128"/>
      <c r="G116" s="1129">
        <v>44453</v>
      </c>
      <c r="H116" s="1136">
        <v>10</v>
      </c>
      <c r="I116" s="1133">
        <f t="shared" si="68"/>
        <v>176970</v>
      </c>
      <c r="J116" s="1133">
        <f t="shared" si="69"/>
        <v>17697</v>
      </c>
      <c r="K116" s="1128"/>
      <c r="L116" s="1128"/>
      <c r="M116" s="1128"/>
      <c r="N116" s="1128"/>
      <c r="O116" s="1128"/>
      <c r="P116" s="1215">
        <f t="shared" si="85"/>
        <v>5309.0999999999995</v>
      </c>
      <c r="Q116" s="1215"/>
      <c r="R116" s="1177"/>
      <c r="S116" s="1133">
        <f t="shared" si="70"/>
        <v>23006.1</v>
      </c>
      <c r="T116" s="1133">
        <f t="shared" si="71"/>
        <v>199976.1</v>
      </c>
      <c r="U116" s="1133">
        <f t="shared" si="72"/>
        <v>19997.61</v>
      </c>
      <c r="V116" s="1133">
        <f t="shared" si="73"/>
        <v>11542.8968</v>
      </c>
      <c r="W116" s="1133">
        <f t="shared" si="74"/>
        <v>3999.5220000000004</v>
      </c>
      <c r="X116" s="1133">
        <f t="shared" si="75"/>
        <v>164436.07120000001</v>
      </c>
      <c r="Y116" s="1133">
        <f t="shared" si="76"/>
        <v>2399713.2000000002</v>
      </c>
      <c r="Z116" s="1133">
        <f t="shared" si="77"/>
        <v>353940</v>
      </c>
      <c r="AA116" s="1133">
        <f t="shared" si="78"/>
        <v>2753653.2</v>
      </c>
      <c r="AB116" s="1133">
        <f t="shared" si="79"/>
        <v>96377.862000000023</v>
      </c>
      <c r="AC116" s="1133">
        <f t="shared" si="80"/>
        <v>143417.90376000002</v>
      </c>
      <c r="AD116" s="1133">
        <f t="shared" si="81"/>
        <v>123914.39400000003</v>
      </c>
      <c r="AE116" s="1133">
        <f t="shared" si="82"/>
        <v>82609.596000000005</v>
      </c>
      <c r="AF116" s="1133">
        <f t="shared" si="83"/>
        <v>3199972.9557600003</v>
      </c>
      <c r="AG116" s="1133" t="s">
        <v>3</v>
      </c>
    </row>
    <row r="117" spans="1:33">
      <c r="A117" s="1175" t="e">
        <f t="shared" si="84"/>
        <v>#REF!</v>
      </c>
      <c r="B117" s="1134" t="s">
        <v>14</v>
      </c>
      <c r="C117" s="1134" t="s">
        <v>505</v>
      </c>
      <c r="D117" s="1478"/>
      <c r="E117" s="1136">
        <v>1</v>
      </c>
      <c r="F117" s="1128"/>
      <c r="G117" s="1129">
        <v>44797</v>
      </c>
      <c r="H117" s="1136">
        <v>10</v>
      </c>
      <c r="I117" s="1133">
        <f t="shared" si="68"/>
        <v>176970</v>
      </c>
      <c r="J117" s="1133">
        <f t="shared" si="69"/>
        <v>17697</v>
      </c>
      <c r="K117" s="1128"/>
      <c r="L117" s="1128"/>
      <c r="M117" s="1128"/>
      <c r="N117" s="1128"/>
      <c r="O117" s="1128"/>
      <c r="P117" s="1215">
        <f t="shared" si="85"/>
        <v>5309.0999999999995</v>
      </c>
      <c r="Q117" s="1215"/>
      <c r="R117" s="1177"/>
      <c r="S117" s="1133">
        <f t="shared" si="70"/>
        <v>23006.1</v>
      </c>
      <c r="T117" s="1133">
        <f t="shared" si="71"/>
        <v>199976.1</v>
      </c>
      <c r="U117" s="1133">
        <f t="shared" si="72"/>
        <v>19997.61</v>
      </c>
      <c r="V117" s="1133">
        <f t="shared" si="73"/>
        <v>11542.8968</v>
      </c>
      <c r="W117" s="1133">
        <f t="shared" si="74"/>
        <v>3999.5220000000004</v>
      </c>
      <c r="X117" s="1133">
        <f t="shared" si="75"/>
        <v>164436.07120000001</v>
      </c>
      <c r="Y117" s="1133">
        <f t="shared" si="76"/>
        <v>2399713.2000000002</v>
      </c>
      <c r="Z117" s="1133">
        <f t="shared" si="77"/>
        <v>353940</v>
      </c>
      <c r="AA117" s="1133">
        <f t="shared" si="78"/>
        <v>2753653.2</v>
      </c>
      <c r="AB117" s="1133">
        <f t="shared" si="79"/>
        <v>96377.862000000023</v>
      </c>
      <c r="AC117" s="1133">
        <f t="shared" si="80"/>
        <v>143417.90376000002</v>
      </c>
      <c r="AD117" s="1133">
        <f t="shared" si="81"/>
        <v>123914.39400000003</v>
      </c>
      <c r="AE117" s="1133">
        <f t="shared" si="82"/>
        <v>82609.596000000005</v>
      </c>
      <c r="AF117" s="1133">
        <f t="shared" si="83"/>
        <v>3199972.9557600003</v>
      </c>
      <c r="AG117" s="1133" t="s">
        <v>3</v>
      </c>
    </row>
    <row r="118" spans="1:33">
      <c r="A118" s="1175" t="e">
        <f t="shared" si="84"/>
        <v>#REF!</v>
      </c>
      <c r="B118" s="1134" t="s">
        <v>14</v>
      </c>
      <c r="C118" s="1134" t="s">
        <v>506</v>
      </c>
      <c r="D118" s="1478"/>
      <c r="E118" s="1136">
        <v>1</v>
      </c>
      <c r="F118" s="1128"/>
      <c r="G118" s="1129">
        <v>44204</v>
      </c>
      <c r="H118" s="1136">
        <v>10</v>
      </c>
      <c r="I118" s="1133">
        <f t="shared" si="68"/>
        <v>176970</v>
      </c>
      <c r="J118" s="1133">
        <f t="shared" si="69"/>
        <v>17697</v>
      </c>
      <c r="K118" s="1128"/>
      <c r="L118" s="1128"/>
      <c r="M118" s="1128"/>
      <c r="N118" s="1128"/>
      <c r="O118" s="1128"/>
      <c r="P118" s="1215"/>
      <c r="Q118" s="1215">
        <f>17697*20%</f>
        <v>3539.4</v>
      </c>
      <c r="R118" s="1177"/>
      <c r="S118" s="1133">
        <f t="shared" si="70"/>
        <v>21236.400000000001</v>
      </c>
      <c r="T118" s="1133">
        <f t="shared" si="71"/>
        <v>198206.4</v>
      </c>
      <c r="U118" s="1133">
        <f t="shared" si="72"/>
        <v>19820.64</v>
      </c>
      <c r="V118" s="1133">
        <f t="shared" si="73"/>
        <v>11387.163200000003</v>
      </c>
      <c r="W118" s="1133">
        <f t="shared" si="74"/>
        <v>3964.1280000000002</v>
      </c>
      <c r="X118" s="1133">
        <f t="shared" si="75"/>
        <v>163034.4688</v>
      </c>
      <c r="Y118" s="1133">
        <f t="shared" si="76"/>
        <v>2378476.7999999998</v>
      </c>
      <c r="Z118" s="1133">
        <f t="shared" si="77"/>
        <v>353940</v>
      </c>
      <c r="AA118" s="1133">
        <f t="shared" si="78"/>
        <v>2732416.8</v>
      </c>
      <c r="AB118" s="1133">
        <f t="shared" si="79"/>
        <v>95634.588000000003</v>
      </c>
      <c r="AC118" s="1133">
        <f t="shared" si="80"/>
        <v>142317.85824000003</v>
      </c>
      <c r="AD118" s="1133">
        <f t="shared" si="81"/>
        <v>122958.75600000001</v>
      </c>
      <c r="AE118" s="1133">
        <f t="shared" si="82"/>
        <v>81972.503999999986</v>
      </c>
      <c r="AF118" s="1133">
        <f t="shared" si="83"/>
        <v>3175300.50624</v>
      </c>
      <c r="AG118" s="1133" t="s">
        <v>3</v>
      </c>
    </row>
    <row r="119" spans="1:33">
      <c r="A119" s="1175" t="e">
        <f t="shared" si="84"/>
        <v>#REF!</v>
      </c>
      <c r="B119" s="1134" t="s">
        <v>14</v>
      </c>
      <c r="C119" s="1134" t="s">
        <v>507</v>
      </c>
      <c r="D119" s="1478"/>
      <c r="E119" s="1136">
        <v>1</v>
      </c>
      <c r="F119" s="1128"/>
      <c r="G119" s="1129">
        <v>39314</v>
      </c>
      <c r="H119" s="1136">
        <v>10</v>
      </c>
      <c r="I119" s="1133">
        <f t="shared" si="68"/>
        <v>176970</v>
      </c>
      <c r="J119" s="1133">
        <f t="shared" si="69"/>
        <v>17697</v>
      </c>
      <c r="K119" s="1128"/>
      <c r="L119" s="1128"/>
      <c r="M119" s="1128"/>
      <c r="N119" s="1128"/>
      <c r="O119" s="1128"/>
      <c r="P119" s="1215"/>
      <c r="Q119" s="1215">
        <f>17697*20%</f>
        <v>3539.4</v>
      </c>
      <c r="R119" s="1177"/>
      <c r="S119" s="1133">
        <f t="shared" si="70"/>
        <v>21236.400000000001</v>
      </c>
      <c r="T119" s="1133">
        <f t="shared" si="71"/>
        <v>198206.4</v>
      </c>
      <c r="U119" s="1133">
        <f t="shared" si="72"/>
        <v>19820.64</v>
      </c>
      <c r="V119" s="1133">
        <f t="shared" si="73"/>
        <v>11387.163200000003</v>
      </c>
      <c r="W119" s="1133">
        <f t="shared" si="74"/>
        <v>3964.1280000000002</v>
      </c>
      <c r="X119" s="1133">
        <f t="shared" si="75"/>
        <v>163034.4688</v>
      </c>
      <c r="Y119" s="1133">
        <f t="shared" si="76"/>
        <v>2378476.7999999998</v>
      </c>
      <c r="Z119" s="1133">
        <f t="shared" si="77"/>
        <v>353940</v>
      </c>
      <c r="AA119" s="1133">
        <f t="shared" si="78"/>
        <v>2732416.8</v>
      </c>
      <c r="AB119" s="1133">
        <f t="shared" si="79"/>
        <v>95634.588000000003</v>
      </c>
      <c r="AC119" s="1133">
        <f t="shared" si="80"/>
        <v>142317.85824000003</v>
      </c>
      <c r="AD119" s="1133">
        <f t="shared" si="81"/>
        <v>122958.75600000001</v>
      </c>
      <c r="AE119" s="1133">
        <f t="shared" si="82"/>
        <v>81972.503999999986</v>
      </c>
      <c r="AF119" s="1133">
        <f t="shared" si="83"/>
        <v>3175300.50624</v>
      </c>
      <c r="AG119" s="1133" t="s">
        <v>3</v>
      </c>
    </row>
    <row r="120" spans="1:33">
      <c r="A120" s="1175" t="e">
        <f t="shared" si="84"/>
        <v>#REF!</v>
      </c>
      <c r="B120" s="1134" t="s">
        <v>14</v>
      </c>
      <c r="C120" s="1134" t="s">
        <v>508</v>
      </c>
      <c r="D120" s="1478"/>
      <c r="E120" s="1136">
        <v>1</v>
      </c>
      <c r="F120" s="1128"/>
      <c r="G120" s="1129">
        <v>44204</v>
      </c>
      <c r="H120" s="1136">
        <v>10</v>
      </c>
      <c r="I120" s="1133">
        <f t="shared" si="68"/>
        <v>176970</v>
      </c>
      <c r="J120" s="1133">
        <f t="shared" si="69"/>
        <v>17697</v>
      </c>
      <c r="K120" s="1128"/>
      <c r="L120" s="1128"/>
      <c r="M120" s="1128"/>
      <c r="N120" s="1128"/>
      <c r="O120" s="1128"/>
      <c r="P120" s="1215">
        <f t="shared" si="85"/>
        <v>5309.0999999999995</v>
      </c>
      <c r="Q120" s="1177"/>
      <c r="R120" s="1177"/>
      <c r="S120" s="1133">
        <f t="shared" si="70"/>
        <v>23006.1</v>
      </c>
      <c r="T120" s="1133">
        <f t="shared" si="71"/>
        <v>199976.1</v>
      </c>
      <c r="U120" s="1133">
        <f t="shared" si="72"/>
        <v>19997.61</v>
      </c>
      <c r="V120" s="1133">
        <f t="shared" si="73"/>
        <v>11542.8968</v>
      </c>
      <c r="W120" s="1133">
        <f t="shared" si="74"/>
        <v>3999.5220000000004</v>
      </c>
      <c r="X120" s="1133">
        <f t="shared" si="75"/>
        <v>164436.07120000001</v>
      </c>
      <c r="Y120" s="1133">
        <f t="shared" si="76"/>
        <v>2399713.2000000002</v>
      </c>
      <c r="Z120" s="1133">
        <f t="shared" si="77"/>
        <v>353940</v>
      </c>
      <c r="AA120" s="1133">
        <f t="shared" si="78"/>
        <v>2753653.2</v>
      </c>
      <c r="AB120" s="1133">
        <f t="shared" si="79"/>
        <v>96377.862000000023</v>
      </c>
      <c r="AC120" s="1133">
        <f t="shared" si="80"/>
        <v>143417.90376000002</v>
      </c>
      <c r="AD120" s="1133">
        <f t="shared" si="81"/>
        <v>123914.39400000003</v>
      </c>
      <c r="AE120" s="1133">
        <f t="shared" si="82"/>
        <v>82609.596000000005</v>
      </c>
      <c r="AF120" s="1133">
        <f t="shared" si="83"/>
        <v>3199972.9557600003</v>
      </c>
      <c r="AG120" s="1133" t="s">
        <v>3</v>
      </c>
    </row>
    <row r="121" spans="1:33">
      <c r="A121" s="1175" t="e">
        <f>#REF!+1</f>
        <v>#REF!</v>
      </c>
      <c r="B121" s="1259" t="s">
        <v>14</v>
      </c>
      <c r="C121" s="1260" t="s">
        <v>2460</v>
      </c>
      <c r="D121" s="1479"/>
      <c r="E121" s="1261"/>
      <c r="F121" s="1128"/>
      <c r="G121" s="1251"/>
      <c r="H121" s="1262">
        <v>20</v>
      </c>
      <c r="I121" s="1253">
        <f>14*17697*H121</f>
        <v>4955160</v>
      </c>
      <c r="J121" s="1253">
        <f t="shared" si="69"/>
        <v>495516</v>
      </c>
      <c r="K121" s="1251"/>
      <c r="L121" s="1251"/>
      <c r="M121" s="1251"/>
      <c r="N121" s="1251"/>
      <c r="O121" s="1251"/>
      <c r="P121" s="1215">
        <f>17697*30%*14</f>
        <v>74327.399999999994</v>
      </c>
      <c r="Q121" s="1263"/>
      <c r="R121" s="1263"/>
      <c r="S121" s="1133">
        <f t="shared" si="70"/>
        <v>569843.4</v>
      </c>
      <c r="T121" s="1133">
        <f t="shared" si="71"/>
        <v>5525003.4000000004</v>
      </c>
      <c r="U121" s="1133">
        <f t="shared" si="72"/>
        <v>552500.34000000008</v>
      </c>
      <c r="V121" s="1133">
        <f t="shared" si="73"/>
        <v>480145.29920000007</v>
      </c>
      <c r="W121" s="1133">
        <f t="shared" si="74"/>
        <v>110500.06800000001</v>
      </c>
      <c r="X121" s="1133">
        <f t="shared" si="75"/>
        <v>4381857.6928000003</v>
      </c>
      <c r="Y121" s="1133">
        <f t="shared" si="76"/>
        <v>66300040.800000004</v>
      </c>
      <c r="Z121" s="1133">
        <f t="shared" si="77"/>
        <v>9910320</v>
      </c>
      <c r="AA121" s="1133">
        <f t="shared" si="78"/>
        <v>76210360.800000012</v>
      </c>
      <c r="AB121" s="1133">
        <f t="shared" si="79"/>
        <v>2667362.6280000005</v>
      </c>
      <c r="AC121" s="1133">
        <f t="shared" si="80"/>
        <v>3969499.3934400002</v>
      </c>
      <c r="AD121" s="1133">
        <f t="shared" si="81"/>
        <v>3429466.236000001</v>
      </c>
      <c r="AE121" s="1133">
        <f t="shared" si="82"/>
        <v>2286310.8240000005</v>
      </c>
      <c r="AF121" s="1133">
        <f t="shared" si="83"/>
        <v>88562999.881440014</v>
      </c>
      <c r="AG121" s="1133" t="s">
        <v>3</v>
      </c>
    </row>
    <row r="122" spans="1:33" ht="18.75" customHeight="1">
      <c r="A122" s="1168"/>
      <c r="B122" s="1169" t="s">
        <v>835</v>
      </c>
      <c r="C122" s="1170"/>
      <c r="D122" s="1171">
        <f>SUM(D95:D121)</f>
        <v>40</v>
      </c>
      <c r="E122" s="1171">
        <f>SUM(E95:E121)</f>
        <v>22.5</v>
      </c>
      <c r="F122" s="1168"/>
      <c r="G122" s="1168"/>
      <c r="H122" s="1168"/>
      <c r="I122" s="1173">
        <f t="shared" ref="I122:AF122" si="86">SUM(I95:I121)</f>
        <v>11361474</v>
      </c>
      <c r="J122" s="1173">
        <f t="shared" si="86"/>
        <v>1136147.4000000001</v>
      </c>
      <c r="K122" s="1173">
        <f t="shared" si="86"/>
        <v>0</v>
      </c>
      <c r="L122" s="1173">
        <f t="shared" si="86"/>
        <v>0</v>
      </c>
      <c r="M122" s="1173">
        <f t="shared" si="86"/>
        <v>0</v>
      </c>
      <c r="N122" s="1173">
        <f t="shared" si="86"/>
        <v>0</v>
      </c>
      <c r="O122" s="1173">
        <f t="shared" si="86"/>
        <v>6193.95</v>
      </c>
      <c r="P122" s="1173">
        <f t="shared" si="86"/>
        <v>111491.09999999999</v>
      </c>
      <c r="Q122" s="1173">
        <f t="shared" si="86"/>
        <v>14157.6</v>
      </c>
      <c r="R122" s="1173">
        <f t="shared" si="86"/>
        <v>13272.75</v>
      </c>
      <c r="S122" s="1173">
        <f t="shared" si="86"/>
        <v>1281262.8000000003</v>
      </c>
      <c r="T122" s="1173">
        <f t="shared" si="86"/>
        <v>12642736.800000001</v>
      </c>
      <c r="U122" s="1173">
        <f t="shared" si="86"/>
        <v>1264273.6800000002</v>
      </c>
      <c r="V122" s="1173">
        <f t="shared" si="86"/>
        <v>949075.83840000001</v>
      </c>
      <c r="W122" s="1173">
        <f t="shared" si="86"/>
        <v>252854.73599999998</v>
      </c>
      <c r="X122" s="1173">
        <f t="shared" si="86"/>
        <v>10176532.545600001</v>
      </c>
      <c r="Y122" s="1173">
        <f t="shared" si="86"/>
        <v>151712841.59999999</v>
      </c>
      <c r="Z122" s="1173">
        <f t="shared" si="86"/>
        <v>22722948</v>
      </c>
      <c r="AA122" s="1173">
        <f t="shared" si="86"/>
        <v>174435789.60000002</v>
      </c>
      <c r="AB122" s="1173">
        <f t="shared" si="86"/>
        <v>6105252.6360000018</v>
      </c>
      <c r="AC122" s="1173">
        <f t="shared" si="86"/>
        <v>12085764.386879999</v>
      </c>
      <c r="AD122" s="1173">
        <f t="shared" si="86"/>
        <v>7849610.5319999997</v>
      </c>
      <c r="AE122" s="1173">
        <f t="shared" si="86"/>
        <v>5233073.6880000001</v>
      </c>
      <c r="AF122" s="1173">
        <f t="shared" si="86"/>
        <v>205709490.84288001</v>
      </c>
      <c r="AG122" s="1174"/>
    </row>
    <row r="123" spans="1:33" ht="22.5" customHeight="1">
      <c r="A123" s="1484" t="s">
        <v>836</v>
      </c>
      <c r="B123" s="1484"/>
      <c r="C123" s="1484"/>
      <c r="D123" s="1484"/>
      <c r="E123" s="1484"/>
      <c r="F123" s="1484"/>
      <c r="G123" s="1484"/>
      <c r="H123" s="1484"/>
      <c r="I123" s="1484"/>
      <c r="J123" s="1484"/>
      <c r="K123" s="1484"/>
      <c r="L123" s="1484"/>
      <c r="M123" s="1484"/>
      <c r="N123" s="1484"/>
      <c r="O123" s="1484"/>
      <c r="P123" s="1484"/>
      <c r="Q123" s="1484"/>
      <c r="R123" s="1484"/>
      <c r="S123" s="1484"/>
      <c r="T123" s="1484"/>
      <c r="U123" s="1484"/>
      <c r="V123" s="1484"/>
      <c r="W123" s="1484"/>
      <c r="X123" s="1484"/>
      <c r="Y123" s="1484"/>
      <c r="Z123" s="1484"/>
      <c r="AA123" s="1484"/>
      <c r="AB123" s="1484"/>
      <c r="AC123" s="1484"/>
      <c r="AD123" s="1484"/>
      <c r="AE123" s="1484"/>
      <c r="AF123" s="1484"/>
      <c r="AG123" s="1484"/>
    </row>
    <row r="124" spans="1:33" ht="22.5" customHeight="1">
      <c r="A124" s="1475" t="s">
        <v>509</v>
      </c>
      <c r="B124" s="1475"/>
      <c r="C124" s="1475"/>
      <c r="D124" s="1475"/>
      <c r="E124" s="1475"/>
      <c r="F124" s="1475"/>
      <c r="G124" s="1475"/>
      <c r="H124" s="1475"/>
      <c r="I124" s="1475"/>
      <c r="J124" s="1475"/>
      <c r="K124" s="1475"/>
      <c r="L124" s="1475"/>
      <c r="M124" s="1475"/>
      <c r="N124" s="1475"/>
      <c r="O124" s="1475"/>
      <c r="P124" s="1475"/>
      <c r="Q124" s="1475"/>
      <c r="R124" s="1475"/>
      <c r="S124" s="1475"/>
      <c r="T124" s="1475"/>
      <c r="U124" s="1475"/>
      <c r="V124" s="1475"/>
      <c r="W124" s="1475"/>
      <c r="X124" s="1475"/>
      <c r="Y124" s="1475"/>
      <c r="Z124" s="1475"/>
      <c r="AA124" s="1475"/>
      <c r="AB124" s="1475"/>
      <c r="AC124" s="1475"/>
      <c r="AD124" s="1475"/>
      <c r="AE124" s="1475"/>
      <c r="AF124" s="1475"/>
      <c r="AG124" s="1475"/>
    </row>
    <row r="125" spans="1:33">
      <c r="A125" s="1264" t="e">
        <f>A121+1</f>
        <v>#REF!</v>
      </c>
      <c r="B125" s="1134" t="s">
        <v>510</v>
      </c>
      <c r="C125" s="1135" t="s">
        <v>511</v>
      </c>
      <c r="D125" s="1175">
        <v>1</v>
      </c>
      <c r="E125" s="1175">
        <v>1</v>
      </c>
      <c r="F125" s="1175"/>
      <c r="G125" s="1129">
        <v>44629</v>
      </c>
      <c r="H125" s="1175">
        <v>31</v>
      </c>
      <c r="I125" s="1133">
        <f>E125*17697*H125</f>
        <v>548607</v>
      </c>
      <c r="J125" s="1133">
        <f>I125*10%</f>
        <v>54860.700000000004</v>
      </c>
      <c r="K125" s="1265"/>
      <c r="L125" s="1265"/>
      <c r="M125" s="1265"/>
      <c r="N125" s="1265"/>
      <c r="O125" s="1265"/>
      <c r="P125" s="1265"/>
      <c r="Q125" s="1265"/>
      <c r="R125" s="1265"/>
      <c r="S125" s="1133">
        <f t="shared" ref="S125" si="87">SUM(J125:R125)</f>
        <v>54860.700000000004</v>
      </c>
      <c r="T125" s="1133">
        <f t="shared" ref="T125" si="88">I125+S125</f>
        <v>603467.69999999995</v>
      </c>
      <c r="U125" s="1133">
        <f t="shared" ref="U125" si="89">T125*10%</f>
        <v>60346.77</v>
      </c>
      <c r="V125" s="1133">
        <f t="shared" ref="V125" si="90">((T125-U125-W125)-(14*4325))*10%</f>
        <v>47050.157599999991</v>
      </c>
      <c r="W125" s="1133">
        <f t="shared" ref="W125" si="91">T125*2%</f>
        <v>12069.353999999999</v>
      </c>
      <c r="X125" s="1133">
        <f t="shared" ref="X125" si="92">T125-U125-V125-W125</f>
        <v>484001.41839999997</v>
      </c>
      <c r="Y125" s="1133">
        <f t="shared" ref="Y125" si="93">T125*12</f>
        <v>7241612.3999999994</v>
      </c>
      <c r="Z125" s="1133">
        <f t="shared" ref="Z125" si="94">I125*2</f>
        <v>1097214</v>
      </c>
      <c r="AA125" s="1133">
        <f t="shared" ref="AA125" si="95">Y125+Z125</f>
        <v>8338826.3999999994</v>
      </c>
      <c r="AB125" s="1133">
        <f t="shared" ref="AB125" si="96">AA125*3.5%</f>
        <v>291858.924</v>
      </c>
      <c r="AC125" s="1133">
        <f t="shared" ref="AC125" si="97">(AA125*0.9-(W125*12))*11%-AD125</f>
        <v>434365.07832000003</v>
      </c>
      <c r="AD125" s="1133">
        <f t="shared" ref="AD125" si="98">AA125*0.9*5%</f>
        <v>375247.18800000002</v>
      </c>
      <c r="AE125" s="1133">
        <f t="shared" ref="AE125" si="99">AA125*3%</f>
        <v>250164.79199999999</v>
      </c>
      <c r="AF125" s="1133">
        <f t="shared" ref="AF125" si="100">AA125+AC125+AD125+AE125+AB125</f>
        <v>9690462.382319998</v>
      </c>
      <c r="AG125" s="1133" t="s">
        <v>3</v>
      </c>
    </row>
    <row r="126" spans="1:33" ht="22.5" customHeight="1">
      <c r="A126" s="1168"/>
      <c r="B126" s="1169" t="s">
        <v>827</v>
      </c>
      <c r="C126" s="1170"/>
      <c r="D126" s="1171">
        <f>SUM(D125)</f>
        <v>1</v>
      </c>
      <c r="E126" s="1171">
        <f t="shared" ref="E126:AF126" si="101">SUM(E125)</f>
        <v>1</v>
      </c>
      <c r="F126" s="1171">
        <f t="shared" si="101"/>
        <v>0</v>
      </c>
      <c r="G126" s="1171"/>
      <c r="H126" s="1171"/>
      <c r="I126" s="1173">
        <f t="shared" si="101"/>
        <v>548607</v>
      </c>
      <c r="J126" s="1173">
        <f t="shared" si="101"/>
        <v>54860.700000000004</v>
      </c>
      <c r="K126" s="1171">
        <f t="shared" si="101"/>
        <v>0</v>
      </c>
      <c r="L126" s="1171">
        <f t="shared" si="101"/>
        <v>0</v>
      </c>
      <c r="M126" s="1171">
        <f t="shared" si="101"/>
        <v>0</v>
      </c>
      <c r="N126" s="1171">
        <f t="shared" si="101"/>
        <v>0</v>
      </c>
      <c r="O126" s="1171">
        <f t="shared" si="101"/>
        <v>0</v>
      </c>
      <c r="P126" s="1171">
        <f t="shared" si="101"/>
        <v>0</v>
      </c>
      <c r="Q126" s="1171">
        <f t="shared" si="101"/>
        <v>0</v>
      </c>
      <c r="R126" s="1171">
        <f t="shared" si="101"/>
        <v>0</v>
      </c>
      <c r="S126" s="1173">
        <f t="shared" si="101"/>
        <v>54860.700000000004</v>
      </c>
      <c r="T126" s="1173">
        <f t="shared" si="101"/>
        <v>603467.69999999995</v>
      </c>
      <c r="U126" s="1173">
        <f t="shared" si="101"/>
        <v>60346.77</v>
      </c>
      <c r="V126" s="1173">
        <f t="shared" si="101"/>
        <v>47050.157599999991</v>
      </c>
      <c r="W126" s="1173">
        <f t="shared" si="101"/>
        <v>12069.353999999999</v>
      </c>
      <c r="X126" s="1173">
        <f t="shared" si="101"/>
        <v>484001.41839999997</v>
      </c>
      <c r="Y126" s="1173">
        <f t="shared" si="101"/>
        <v>7241612.3999999994</v>
      </c>
      <c r="Z126" s="1173">
        <f t="shared" si="101"/>
        <v>1097214</v>
      </c>
      <c r="AA126" s="1173">
        <f t="shared" si="101"/>
        <v>8338826.3999999994</v>
      </c>
      <c r="AB126" s="1173">
        <f>SUM(AB125)</f>
        <v>291858.924</v>
      </c>
      <c r="AC126" s="1173">
        <f t="shared" si="101"/>
        <v>434365.07832000003</v>
      </c>
      <c r="AD126" s="1173">
        <f t="shared" si="101"/>
        <v>375247.18800000002</v>
      </c>
      <c r="AE126" s="1173">
        <f t="shared" si="101"/>
        <v>250164.79199999999</v>
      </c>
      <c r="AF126" s="1173">
        <f t="shared" si="101"/>
        <v>9690462.382319998</v>
      </c>
      <c r="AG126" s="1174"/>
    </row>
    <row r="127" spans="1:33" ht="24.75" customHeight="1">
      <c r="A127" s="1460" t="s">
        <v>445</v>
      </c>
      <c r="B127" s="1460"/>
      <c r="C127" s="1460"/>
      <c r="D127" s="1460"/>
      <c r="E127" s="1460"/>
      <c r="F127" s="1460"/>
      <c r="G127" s="1460"/>
      <c r="H127" s="1460"/>
      <c r="I127" s="1460"/>
      <c r="J127" s="1460"/>
      <c r="K127" s="1460"/>
      <c r="L127" s="1460"/>
      <c r="M127" s="1460"/>
      <c r="N127" s="1460"/>
      <c r="O127" s="1460"/>
      <c r="P127" s="1460"/>
      <c r="Q127" s="1460"/>
      <c r="R127" s="1460"/>
      <c r="S127" s="1460"/>
      <c r="T127" s="1460"/>
      <c r="U127" s="1460"/>
      <c r="V127" s="1460"/>
      <c r="W127" s="1460"/>
      <c r="X127" s="1460"/>
      <c r="Y127" s="1460"/>
      <c r="Z127" s="1460"/>
      <c r="AA127" s="1460"/>
      <c r="AB127" s="1460"/>
      <c r="AC127" s="1460"/>
      <c r="AD127" s="1460"/>
      <c r="AE127" s="1460"/>
      <c r="AF127" s="1460"/>
      <c r="AG127" s="1460"/>
    </row>
    <row r="128" spans="1:33">
      <c r="A128" s="1175" t="e">
        <f>A125+1</f>
        <v>#REF!</v>
      </c>
      <c r="B128" s="1134" t="s">
        <v>512</v>
      </c>
      <c r="C128" s="1157" t="s">
        <v>513</v>
      </c>
      <c r="D128" s="1477">
        <v>15</v>
      </c>
      <c r="E128" s="1175">
        <v>1</v>
      </c>
      <c r="F128" s="1175"/>
      <c r="G128" s="1129">
        <v>44826</v>
      </c>
      <c r="H128" s="1136">
        <v>17</v>
      </c>
      <c r="I128" s="1133">
        <f t="shared" ref="I128:I152" si="102">E128*17697*H128</f>
        <v>300849</v>
      </c>
      <c r="J128" s="1133">
        <f t="shared" ref="J128:J152" si="103">I128*10%</f>
        <v>30084.9</v>
      </c>
      <c r="K128" s="1133">
        <f>10*4325</f>
        <v>43250</v>
      </c>
      <c r="L128" s="1265"/>
      <c r="M128" s="1215">
        <f>I128*30%</f>
        <v>90254.7</v>
      </c>
      <c r="N128" s="1265"/>
      <c r="O128" s="1265"/>
      <c r="P128" s="1265"/>
      <c r="Q128" s="1265"/>
      <c r="R128" s="1265"/>
      <c r="S128" s="1133">
        <f t="shared" ref="S128:S152" si="104">SUM(J128:R128)</f>
        <v>163589.59999999998</v>
      </c>
      <c r="T128" s="1133">
        <f t="shared" ref="T128:T152" si="105">I128+S128</f>
        <v>464438.6</v>
      </c>
      <c r="U128" s="1133">
        <f t="shared" ref="U128:U152" si="106">T128*10%</f>
        <v>46443.86</v>
      </c>
      <c r="V128" s="1133">
        <f t="shared" ref="V128:V152" si="107">((T128-U128-W128)-(14*4325))*10%</f>
        <v>34815.596799999999</v>
      </c>
      <c r="W128" s="1133">
        <f t="shared" ref="W128:W152" si="108">T128*2%</f>
        <v>9288.771999999999</v>
      </c>
      <c r="X128" s="1133">
        <f t="shared" ref="X128:X152" si="109">T128-U128-V128-W128</f>
        <v>373890.37119999999</v>
      </c>
      <c r="Y128" s="1133">
        <f t="shared" ref="Y128:Y152" si="110">T128*12</f>
        <v>5573263.1999999993</v>
      </c>
      <c r="Z128" s="1133">
        <f t="shared" ref="Z128:Z152" si="111">I128*2</f>
        <v>601698</v>
      </c>
      <c r="AA128" s="1133">
        <f t="shared" ref="AA128:AA152" si="112">Y128+Z128</f>
        <v>6174961.1999999993</v>
      </c>
      <c r="AB128" s="1133">
        <f t="shared" ref="AB128:AB152" si="113">AA128*3.5%</f>
        <v>216123.64199999999</v>
      </c>
      <c r="AC128" s="1133">
        <f t="shared" ref="AC128:AC152" si="114">(AA128*0.9-(W128*12))*11%-AD128</f>
        <v>321186.72575999994</v>
      </c>
      <c r="AD128" s="1133">
        <f t="shared" ref="AD128:AD152" si="115">AA128*0.9*5%</f>
        <v>277873.25399999996</v>
      </c>
      <c r="AE128" s="1133">
        <f t="shared" ref="AE128:AE152" si="116">AA128*3%</f>
        <v>185248.83599999998</v>
      </c>
      <c r="AF128" s="1133">
        <f t="shared" ref="AF128:AF152" si="117">AA128+AC128+AD128+AE128+AB128</f>
        <v>7175393.6577599989</v>
      </c>
      <c r="AG128" s="1133" t="s">
        <v>3</v>
      </c>
    </row>
    <row r="129" spans="1:33" ht="31.5">
      <c r="A129" s="1175" t="e">
        <f>A128+1</f>
        <v>#REF!</v>
      </c>
      <c r="B129" s="1134" t="s">
        <v>512</v>
      </c>
      <c r="C129" s="1266" t="s">
        <v>554</v>
      </c>
      <c r="D129" s="1478"/>
      <c r="E129" s="1175">
        <v>1</v>
      </c>
      <c r="F129" s="1175"/>
      <c r="G129" s="1129">
        <v>45180</v>
      </c>
      <c r="H129" s="1136">
        <v>17</v>
      </c>
      <c r="I129" s="1133">
        <f t="shared" si="102"/>
        <v>300849</v>
      </c>
      <c r="J129" s="1133">
        <f t="shared" si="103"/>
        <v>30084.9</v>
      </c>
      <c r="K129" s="1133"/>
      <c r="L129" s="1265"/>
      <c r="M129" s="1265"/>
      <c r="N129" s="1265"/>
      <c r="O129" s="1265"/>
      <c r="P129" s="1265"/>
      <c r="Q129" s="1265"/>
      <c r="R129" s="1265"/>
      <c r="S129" s="1133">
        <f t="shared" si="104"/>
        <v>30084.9</v>
      </c>
      <c r="T129" s="1133">
        <f t="shared" si="105"/>
        <v>330933.90000000002</v>
      </c>
      <c r="U129" s="1133">
        <f t="shared" si="106"/>
        <v>33093.390000000007</v>
      </c>
      <c r="V129" s="1133">
        <f t="shared" si="107"/>
        <v>23067.183199999999</v>
      </c>
      <c r="W129" s="1133">
        <f t="shared" si="108"/>
        <v>6618.6780000000008</v>
      </c>
      <c r="X129" s="1133">
        <f t="shared" si="109"/>
        <v>268154.64880000002</v>
      </c>
      <c r="Y129" s="1133">
        <f t="shared" si="110"/>
        <v>3971206.8000000003</v>
      </c>
      <c r="Z129" s="1133">
        <f t="shared" si="111"/>
        <v>601698</v>
      </c>
      <c r="AA129" s="1133">
        <f t="shared" si="112"/>
        <v>4572904.8000000007</v>
      </c>
      <c r="AB129" s="1133">
        <f t="shared" si="113"/>
        <v>160051.66800000003</v>
      </c>
      <c r="AC129" s="1133">
        <f t="shared" si="114"/>
        <v>238200.20424000002</v>
      </c>
      <c r="AD129" s="1133">
        <f t="shared" si="115"/>
        <v>205780.71600000004</v>
      </c>
      <c r="AE129" s="1133">
        <f t="shared" si="116"/>
        <v>137187.14400000003</v>
      </c>
      <c r="AF129" s="1133">
        <f t="shared" si="117"/>
        <v>5314124.5322400006</v>
      </c>
      <c r="AG129" s="1133" t="s">
        <v>3</v>
      </c>
    </row>
    <row r="130" spans="1:33">
      <c r="A130" s="1175" t="e">
        <f t="shared" ref="A130:A152" si="118">A129+1</f>
        <v>#REF!</v>
      </c>
      <c r="B130" s="1134" t="s">
        <v>512</v>
      </c>
      <c r="C130" s="1134" t="s">
        <v>514</v>
      </c>
      <c r="D130" s="1478"/>
      <c r="E130" s="1175">
        <v>1</v>
      </c>
      <c r="F130" s="1175"/>
      <c r="G130" s="1129">
        <v>39675</v>
      </c>
      <c r="H130" s="1136">
        <v>21</v>
      </c>
      <c r="I130" s="1133">
        <f t="shared" si="102"/>
        <v>371637</v>
      </c>
      <c r="J130" s="1133">
        <f t="shared" si="103"/>
        <v>37163.700000000004</v>
      </c>
      <c r="K130" s="1133"/>
      <c r="L130" s="1265"/>
      <c r="M130" s="1215">
        <f>I130*30%</f>
        <v>111491.09999999999</v>
      </c>
      <c r="N130" s="1265"/>
      <c r="O130" s="1265"/>
      <c r="P130" s="1265"/>
      <c r="Q130" s="1265"/>
      <c r="R130" s="1265"/>
      <c r="S130" s="1133">
        <f t="shared" si="104"/>
        <v>148654.79999999999</v>
      </c>
      <c r="T130" s="1133">
        <f t="shared" si="105"/>
        <v>520291.8</v>
      </c>
      <c r="U130" s="1133">
        <f t="shared" si="106"/>
        <v>52029.18</v>
      </c>
      <c r="V130" s="1133">
        <f t="shared" si="107"/>
        <v>39730.678400000004</v>
      </c>
      <c r="W130" s="1133">
        <f t="shared" si="108"/>
        <v>10405.835999999999</v>
      </c>
      <c r="X130" s="1133">
        <f t="shared" si="109"/>
        <v>418126.10560000001</v>
      </c>
      <c r="Y130" s="1133">
        <f t="shared" si="110"/>
        <v>6243501.5999999996</v>
      </c>
      <c r="Z130" s="1133">
        <f t="shared" si="111"/>
        <v>743274</v>
      </c>
      <c r="AA130" s="1133">
        <f t="shared" si="112"/>
        <v>6986775.5999999996</v>
      </c>
      <c r="AB130" s="1133">
        <f t="shared" si="113"/>
        <v>244537.14600000001</v>
      </c>
      <c r="AC130" s="1133">
        <f t="shared" si="114"/>
        <v>363550.17888000002</v>
      </c>
      <c r="AD130" s="1133">
        <f t="shared" si="115"/>
        <v>314404.902</v>
      </c>
      <c r="AE130" s="1133">
        <f t="shared" si="116"/>
        <v>209603.26799999998</v>
      </c>
      <c r="AF130" s="1133">
        <f t="shared" si="117"/>
        <v>8118871.0948799998</v>
      </c>
      <c r="AG130" s="1133" t="s">
        <v>3</v>
      </c>
    </row>
    <row r="131" spans="1:33" ht="18.75" customHeight="1">
      <c r="A131" s="1175" t="e">
        <f t="shared" si="118"/>
        <v>#REF!</v>
      </c>
      <c r="B131" s="1137" t="s">
        <v>512</v>
      </c>
      <c r="C131" s="1137" t="s">
        <v>448</v>
      </c>
      <c r="D131" s="1478"/>
      <c r="E131" s="1175">
        <v>1</v>
      </c>
      <c r="F131" s="1175"/>
      <c r="G131" s="1129">
        <v>45902</v>
      </c>
      <c r="H131" s="1139">
        <v>22</v>
      </c>
      <c r="I131" s="1133">
        <f>E131*17697*H131</f>
        <v>389334</v>
      </c>
      <c r="J131" s="1133">
        <f t="shared" si="103"/>
        <v>38933.4</v>
      </c>
      <c r="K131" s="1133"/>
      <c r="L131" s="1265"/>
      <c r="M131" s="1267"/>
      <c r="N131" s="1265"/>
      <c r="O131" s="1265"/>
      <c r="P131" s="1265"/>
      <c r="Q131" s="1265"/>
      <c r="R131" s="1265"/>
      <c r="S131" s="1133">
        <f t="shared" si="104"/>
        <v>38933.4</v>
      </c>
      <c r="T131" s="1133">
        <f t="shared" si="105"/>
        <v>428267.4</v>
      </c>
      <c r="U131" s="1133">
        <f t="shared" si="106"/>
        <v>42826.740000000005</v>
      </c>
      <c r="V131" s="1133">
        <f t="shared" si="107"/>
        <v>31632.531200000005</v>
      </c>
      <c r="W131" s="1133">
        <f t="shared" si="108"/>
        <v>8565.348</v>
      </c>
      <c r="X131" s="1133">
        <f t="shared" si="109"/>
        <v>345242.78080000001</v>
      </c>
      <c r="Y131" s="1133">
        <f t="shared" si="110"/>
        <v>5139208.8000000007</v>
      </c>
      <c r="Z131" s="1133">
        <f t="shared" si="111"/>
        <v>778668</v>
      </c>
      <c r="AA131" s="1133">
        <f t="shared" si="112"/>
        <v>5917876.8000000007</v>
      </c>
      <c r="AB131" s="1133">
        <f t="shared" si="113"/>
        <v>207125.68800000005</v>
      </c>
      <c r="AC131" s="1133">
        <f t="shared" si="114"/>
        <v>308259.08784000011</v>
      </c>
      <c r="AD131" s="1133">
        <f t="shared" si="115"/>
        <v>266304.45600000006</v>
      </c>
      <c r="AE131" s="1133">
        <f t="shared" si="116"/>
        <v>177536.304</v>
      </c>
      <c r="AF131" s="1133">
        <f t="shared" si="117"/>
        <v>6877102.3358400008</v>
      </c>
      <c r="AG131" s="1133" t="s">
        <v>3</v>
      </c>
    </row>
    <row r="132" spans="1:33">
      <c r="A132" s="1175" t="e">
        <f t="shared" si="118"/>
        <v>#REF!</v>
      </c>
      <c r="B132" s="1134" t="s">
        <v>512</v>
      </c>
      <c r="C132" s="1134" t="s">
        <v>515</v>
      </c>
      <c r="D132" s="1478"/>
      <c r="E132" s="1175">
        <v>1</v>
      </c>
      <c r="F132" s="1175"/>
      <c r="G132" s="1129">
        <v>33486</v>
      </c>
      <c r="H132" s="1136">
        <v>24</v>
      </c>
      <c r="I132" s="1133">
        <f t="shared" si="102"/>
        <v>424728</v>
      </c>
      <c r="J132" s="1133">
        <f t="shared" si="103"/>
        <v>42472.800000000003</v>
      </c>
      <c r="K132" s="1133"/>
      <c r="L132" s="1265"/>
      <c r="M132" s="1267">
        <f>I132*30%</f>
        <v>127418.4</v>
      </c>
      <c r="N132" s="1215"/>
      <c r="O132" s="1265"/>
      <c r="P132" s="1265"/>
      <c r="Q132" s="1265"/>
      <c r="R132" s="1265"/>
      <c r="S132" s="1133">
        <f t="shared" si="104"/>
        <v>169891.20000000001</v>
      </c>
      <c r="T132" s="1133">
        <f t="shared" si="105"/>
        <v>594619.19999999995</v>
      </c>
      <c r="U132" s="1133">
        <f t="shared" si="106"/>
        <v>59461.919999999998</v>
      </c>
      <c r="V132" s="1133">
        <f t="shared" si="107"/>
        <v>46271.489599999994</v>
      </c>
      <c r="W132" s="1133">
        <f t="shared" si="108"/>
        <v>11892.384</v>
      </c>
      <c r="X132" s="1133">
        <f t="shared" si="109"/>
        <v>476993.40639999992</v>
      </c>
      <c r="Y132" s="1133">
        <f t="shared" si="110"/>
        <v>7135430.3999999994</v>
      </c>
      <c r="Z132" s="1133">
        <f t="shared" si="111"/>
        <v>849456</v>
      </c>
      <c r="AA132" s="1133">
        <f t="shared" si="112"/>
        <v>7984886.3999999994</v>
      </c>
      <c r="AB132" s="1133">
        <f t="shared" si="113"/>
        <v>279471.02400000003</v>
      </c>
      <c r="AC132" s="1133">
        <f t="shared" si="114"/>
        <v>415485.91871999996</v>
      </c>
      <c r="AD132" s="1133">
        <f t="shared" si="115"/>
        <v>359319.88800000004</v>
      </c>
      <c r="AE132" s="1133">
        <f t="shared" si="116"/>
        <v>239546.59199999998</v>
      </c>
      <c r="AF132" s="1133">
        <f t="shared" si="117"/>
        <v>9278709.8227200005</v>
      </c>
      <c r="AG132" s="1133" t="s">
        <v>3</v>
      </c>
    </row>
    <row r="133" spans="1:33" ht="31.5">
      <c r="A133" s="1175" t="e">
        <f t="shared" si="118"/>
        <v>#REF!</v>
      </c>
      <c r="B133" s="1134" t="s">
        <v>512</v>
      </c>
      <c r="C133" s="1134" t="s">
        <v>516</v>
      </c>
      <c r="D133" s="1478"/>
      <c r="E133" s="1175">
        <v>1</v>
      </c>
      <c r="F133" s="1175"/>
      <c r="G133" s="1129">
        <v>45170</v>
      </c>
      <c r="H133" s="1136">
        <v>22</v>
      </c>
      <c r="I133" s="1133">
        <f t="shared" si="102"/>
        <v>389334</v>
      </c>
      <c r="J133" s="1133">
        <f t="shared" si="103"/>
        <v>38933.4</v>
      </c>
      <c r="K133" s="1133"/>
      <c r="L133" s="1265"/>
      <c r="M133" s="1267"/>
      <c r="N133" s="1215"/>
      <c r="O133" s="1265"/>
      <c r="P133" s="1265"/>
      <c r="Q133" s="1265"/>
      <c r="R133" s="1265"/>
      <c r="S133" s="1133">
        <f t="shared" si="104"/>
        <v>38933.4</v>
      </c>
      <c r="T133" s="1133">
        <f t="shared" si="105"/>
        <v>428267.4</v>
      </c>
      <c r="U133" s="1133">
        <f t="shared" si="106"/>
        <v>42826.740000000005</v>
      </c>
      <c r="V133" s="1133">
        <f t="shared" si="107"/>
        <v>31632.531200000005</v>
      </c>
      <c r="W133" s="1133">
        <f t="shared" si="108"/>
        <v>8565.348</v>
      </c>
      <c r="X133" s="1133">
        <f t="shared" si="109"/>
        <v>345242.78080000001</v>
      </c>
      <c r="Y133" s="1133">
        <f t="shared" si="110"/>
        <v>5139208.8000000007</v>
      </c>
      <c r="Z133" s="1133">
        <f t="shared" si="111"/>
        <v>778668</v>
      </c>
      <c r="AA133" s="1133">
        <f t="shared" si="112"/>
        <v>5917876.8000000007</v>
      </c>
      <c r="AB133" s="1133">
        <f t="shared" si="113"/>
        <v>207125.68800000005</v>
      </c>
      <c r="AC133" s="1133">
        <f t="shared" si="114"/>
        <v>308259.08784000011</v>
      </c>
      <c r="AD133" s="1133">
        <f t="shared" si="115"/>
        <v>266304.45600000006</v>
      </c>
      <c r="AE133" s="1133">
        <f t="shared" si="116"/>
        <v>177536.304</v>
      </c>
      <c r="AF133" s="1133">
        <f t="shared" si="117"/>
        <v>6877102.3358400008</v>
      </c>
      <c r="AG133" s="1133" t="s">
        <v>3</v>
      </c>
    </row>
    <row r="134" spans="1:33" ht="31.5">
      <c r="A134" s="1175" t="e">
        <f t="shared" si="118"/>
        <v>#REF!</v>
      </c>
      <c r="B134" s="1134" t="s">
        <v>512</v>
      </c>
      <c r="C134" s="1134" t="s">
        <v>517</v>
      </c>
      <c r="D134" s="1478"/>
      <c r="E134" s="1175">
        <v>1</v>
      </c>
      <c r="F134" s="1175"/>
      <c r="G134" s="1129">
        <v>40045</v>
      </c>
      <c r="H134" s="1136">
        <v>24</v>
      </c>
      <c r="I134" s="1133">
        <f t="shared" si="102"/>
        <v>424728</v>
      </c>
      <c r="J134" s="1133">
        <f t="shared" si="103"/>
        <v>42472.800000000003</v>
      </c>
      <c r="K134" s="1133"/>
      <c r="L134" s="1265"/>
      <c r="M134" s="1267">
        <f t="shared" ref="M134:M140" si="119">I134*30%</f>
        <v>127418.4</v>
      </c>
      <c r="N134" s="1215"/>
      <c r="O134" s="1265"/>
      <c r="P134" s="1265"/>
      <c r="Q134" s="1265"/>
      <c r="R134" s="1265"/>
      <c r="S134" s="1133">
        <f t="shared" si="104"/>
        <v>169891.20000000001</v>
      </c>
      <c r="T134" s="1133">
        <f t="shared" si="105"/>
        <v>594619.19999999995</v>
      </c>
      <c r="U134" s="1133">
        <f t="shared" si="106"/>
        <v>59461.919999999998</v>
      </c>
      <c r="V134" s="1133">
        <f t="shared" si="107"/>
        <v>46271.489599999994</v>
      </c>
      <c r="W134" s="1133">
        <f t="shared" si="108"/>
        <v>11892.384</v>
      </c>
      <c r="X134" s="1133">
        <f t="shared" si="109"/>
        <v>476993.40639999992</v>
      </c>
      <c r="Y134" s="1133">
        <f t="shared" si="110"/>
        <v>7135430.3999999994</v>
      </c>
      <c r="Z134" s="1133">
        <f t="shared" si="111"/>
        <v>849456</v>
      </c>
      <c r="AA134" s="1133">
        <f t="shared" si="112"/>
        <v>7984886.3999999994</v>
      </c>
      <c r="AB134" s="1133">
        <f t="shared" si="113"/>
        <v>279471.02400000003</v>
      </c>
      <c r="AC134" s="1133">
        <f t="shared" si="114"/>
        <v>415485.91871999996</v>
      </c>
      <c r="AD134" s="1133">
        <f t="shared" si="115"/>
        <v>359319.88800000004</v>
      </c>
      <c r="AE134" s="1133">
        <f t="shared" si="116"/>
        <v>239546.59199999998</v>
      </c>
      <c r="AF134" s="1133">
        <f t="shared" si="117"/>
        <v>9278709.8227200005</v>
      </c>
      <c r="AG134" s="1133" t="s">
        <v>3</v>
      </c>
    </row>
    <row r="135" spans="1:33" ht="31.5">
      <c r="A135" s="1175" t="e">
        <f t="shared" si="118"/>
        <v>#REF!</v>
      </c>
      <c r="B135" s="1134" t="s">
        <v>512</v>
      </c>
      <c r="C135" s="1134" t="s">
        <v>518</v>
      </c>
      <c r="D135" s="1478"/>
      <c r="E135" s="1175">
        <v>1</v>
      </c>
      <c r="F135" s="1175"/>
      <c r="G135" s="1129">
        <v>38155</v>
      </c>
      <c r="H135" s="1136">
        <v>22</v>
      </c>
      <c r="I135" s="1133">
        <f t="shared" si="102"/>
        <v>389334</v>
      </c>
      <c r="J135" s="1133">
        <f t="shared" si="103"/>
        <v>38933.4</v>
      </c>
      <c r="K135" s="1133"/>
      <c r="L135" s="1265"/>
      <c r="M135" s="1267">
        <f t="shared" si="119"/>
        <v>116800.2</v>
      </c>
      <c r="N135" s="1215"/>
      <c r="O135" s="1265"/>
      <c r="P135" s="1265"/>
      <c r="Q135" s="1265"/>
      <c r="R135" s="1265"/>
      <c r="S135" s="1133">
        <f t="shared" si="104"/>
        <v>155733.6</v>
      </c>
      <c r="T135" s="1133">
        <f t="shared" si="105"/>
        <v>545067.6</v>
      </c>
      <c r="U135" s="1133">
        <f t="shared" si="106"/>
        <v>54506.76</v>
      </c>
      <c r="V135" s="1133">
        <f t="shared" si="107"/>
        <v>41910.948799999998</v>
      </c>
      <c r="W135" s="1133">
        <f t="shared" si="108"/>
        <v>10901.351999999999</v>
      </c>
      <c r="X135" s="1133">
        <f t="shared" si="109"/>
        <v>437748.53919999994</v>
      </c>
      <c r="Y135" s="1133">
        <f t="shared" si="110"/>
        <v>6540811.1999999993</v>
      </c>
      <c r="Z135" s="1133">
        <f t="shared" si="111"/>
        <v>778668</v>
      </c>
      <c r="AA135" s="1133">
        <f t="shared" si="112"/>
        <v>7319479.1999999993</v>
      </c>
      <c r="AB135" s="1133">
        <f t="shared" si="113"/>
        <v>256181.772</v>
      </c>
      <c r="AC135" s="1133">
        <f t="shared" si="114"/>
        <v>380862.09215999988</v>
      </c>
      <c r="AD135" s="1133">
        <f t="shared" si="115"/>
        <v>329376.56400000001</v>
      </c>
      <c r="AE135" s="1133">
        <f t="shared" si="116"/>
        <v>219584.37599999996</v>
      </c>
      <c r="AF135" s="1133">
        <f t="shared" si="117"/>
        <v>8505484.00416</v>
      </c>
      <c r="AG135" s="1133" t="s">
        <v>3</v>
      </c>
    </row>
    <row r="136" spans="1:33">
      <c r="A136" s="1175" t="e">
        <f t="shared" si="118"/>
        <v>#REF!</v>
      </c>
      <c r="B136" s="1134" t="s">
        <v>512</v>
      </c>
      <c r="C136" s="1134" t="s">
        <v>933</v>
      </c>
      <c r="D136" s="1478"/>
      <c r="E136" s="1175">
        <v>1</v>
      </c>
      <c r="F136" s="1175"/>
      <c r="G136" s="1129">
        <v>45923</v>
      </c>
      <c r="H136" s="1136">
        <v>17</v>
      </c>
      <c r="I136" s="1133">
        <f t="shared" si="102"/>
        <v>300849</v>
      </c>
      <c r="J136" s="1133">
        <f t="shared" si="103"/>
        <v>30084.9</v>
      </c>
      <c r="K136" s="1133"/>
      <c r="L136" s="1265"/>
      <c r="M136" s="1267"/>
      <c r="N136" s="1215"/>
      <c r="O136" s="1265"/>
      <c r="P136" s="1265"/>
      <c r="Q136" s="1265"/>
      <c r="R136" s="1265"/>
      <c r="S136" s="1133">
        <f t="shared" si="104"/>
        <v>30084.9</v>
      </c>
      <c r="T136" s="1133">
        <f t="shared" si="105"/>
        <v>330933.90000000002</v>
      </c>
      <c r="U136" s="1133">
        <f t="shared" si="106"/>
        <v>33093.390000000007</v>
      </c>
      <c r="V136" s="1133">
        <f t="shared" si="107"/>
        <v>23067.183199999999</v>
      </c>
      <c r="W136" s="1133">
        <f t="shared" si="108"/>
        <v>6618.6780000000008</v>
      </c>
      <c r="X136" s="1133">
        <f t="shared" si="109"/>
        <v>268154.64880000002</v>
      </c>
      <c r="Y136" s="1133">
        <f t="shared" si="110"/>
        <v>3971206.8000000003</v>
      </c>
      <c r="Z136" s="1133">
        <f t="shared" si="111"/>
        <v>601698</v>
      </c>
      <c r="AA136" s="1133">
        <f t="shared" si="112"/>
        <v>4572904.8000000007</v>
      </c>
      <c r="AB136" s="1133">
        <f t="shared" si="113"/>
        <v>160051.66800000003</v>
      </c>
      <c r="AC136" s="1133">
        <f t="shared" si="114"/>
        <v>238200.20424000002</v>
      </c>
      <c r="AD136" s="1133">
        <f t="shared" si="115"/>
        <v>205780.71600000004</v>
      </c>
      <c r="AE136" s="1133">
        <f t="shared" si="116"/>
        <v>137187.14400000003</v>
      </c>
      <c r="AF136" s="1133">
        <f t="shared" si="117"/>
        <v>5314124.5322400006</v>
      </c>
      <c r="AG136" s="1133" t="s">
        <v>3</v>
      </c>
    </row>
    <row r="137" spans="1:33">
      <c r="A137" s="1175" t="e">
        <f t="shared" si="118"/>
        <v>#REF!</v>
      </c>
      <c r="B137" s="1134" t="s">
        <v>512</v>
      </c>
      <c r="C137" s="1221" t="s">
        <v>519</v>
      </c>
      <c r="D137" s="1478"/>
      <c r="E137" s="1175">
        <v>1</v>
      </c>
      <c r="F137" s="1175"/>
      <c r="G137" s="1129">
        <v>44644</v>
      </c>
      <c r="H137" s="1136">
        <v>17</v>
      </c>
      <c r="I137" s="1133">
        <f t="shared" si="102"/>
        <v>300849</v>
      </c>
      <c r="J137" s="1133">
        <f t="shared" si="103"/>
        <v>30084.9</v>
      </c>
      <c r="K137" s="1133"/>
      <c r="L137" s="1265"/>
      <c r="M137" s="1215"/>
      <c r="N137" s="1215"/>
      <c r="O137" s="1265"/>
      <c r="P137" s="1265"/>
      <c r="Q137" s="1265"/>
      <c r="R137" s="1265"/>
      <c r="S137" s="1133">
        <f t="shared" si="104"/>
        <v>30084.9</v>
      </c>
      <c r="T137" s="1133">
        <f t="shared" si="105"/>
        <v>330933.90000000002</v>
      </c>
      <c r="U137" s="1133">
        <f t="shared" si="106"/>
        <v>33093.390000000007</v>
      </c>
      <c r="V137" s="1133">
        <f t="shared" si="107"/>
        <v>23067.183199999999</v>
      </c>
      <c r="W137" s="1133">
        <f t="shared" si="108"/>
        <v>6618.6780000000008</v>
      </c>
      <c r="X137" s="1133">
        <f t="shared" si="109"/>
        <v>268154.64880000002</v>
      </c>
      <c r="Y137" s="1133">
        <f t="shared" si="110"/>
        <v>3971206.8000000003</v>
      </c>
      <c r="Z137" s="1133">
        <f t="shared" si="111"/>
        <v>601698</v>
      </c>
      <c r="AA137" s="1133">
        <f t="shared" si="112"/>
        <v>4572904.8000000007</v>
      </c>
      <c r="AB137" s="1133">
        <f t="shared" si="113"/>
        <v>160051.66800000003</v>
      </c>
      <c r="AC137" s="1133">
        <f t="shared" si="114"/>
        <v>238200.20424000002</v>
      </c>
      <c r="AD137" s="1133">
        <f t="shared" si="115"/>
        <v>205780.71600000004</v>
      </c>
      <c r="AE137" s="1133">
        <f t="shared" si="116"/>
        <v>137187.14400000003</v>
      </c>
      <c r="AF137" s="1133">
        <f t="shared" si="117"/>
        <v>5314124.5322400006</v>
      </c>
      <c r="AG137" s="1133" t="s">
        <v>3</v>
      </c>
    </row>
    <row r="138" spans="1:33">
      <c r="A138" s="1175" t="e">
        <f t="shared" si="118"/>
        <v>#REF!</v>
      </c>
      <c r="B138" s="1134" t="s">
        <v>512</v>
      </c>
      <c r="C138" s="1134" t="s">
        <v>520</v>
      </c>
      <c r="D138" s="1478"/>
      <c r="E138" s="1175">
        <v>1</v>
      </c>
      <c r="F138" s="1175"/>
      <c r="G138" s="1129">
        <v>42251</v>
      </c>
      <c r="H138" s="1136">
        <v>22</v>
      </c>
      <c r="I138" s="1133">
        <f t="shared" si="102"/>
        <v>389334</v>
      </c>
      <c r="J138" s="1133">
        <f t="shared" si="103"/>
        <v>38933.4</v>
      </c>
      <c r="K138" s="1133"/>
      <c r="L138" s="1265"/>
      <c r="M138" s="1267"/>
      <c r="N138" s="1215"/>
      <c r="O138" s="1265"/>
      <c r="P138" s="1265"/>
      <c r="Q138" s="1265"/>
      <c r="R138" s="1265"/>
      <c r="S138" s="1133">
        <f t="shared" si="104"/>
        <v>38933.4</v>
      </c>
      <c r="T138" s="1133">
        <f t="shared" si="105"/>
        <v>428267.4</v>
      </c>
      <c r="U138" s="1133">
        <f t="shared" si="106"/>
        <v>42826.740000000005</v>
      </c>
      <c r="V138" s="1133">
        <f t="shared" si="107"/>
        <v>31632.531200000005</v>
      </c>
      <c r="W138" s="1133">
        <f t="shared" si="108"/>
        <v>8565.348</v>
      </c>
      <c r="X138" s="1133">
        <f t="shared" si="109"/>
        <v>345242.78080000001</v>
      </c>
      <c r="Y138" s="1133">
        <f t="shared" si="110"/>
        <v>5139208.8000000007</v>
      </c>
      <c r="Z138" s="1133">
        <f t="shared" si="111"/>
        <v>778668</v>
      </c>
      <c r="AA138" s="1133">
        <f t="shared" si="112"/>
        <v>5917876.8000000007</v>
      </c>
      <c r="AB138" s="1133">
        <f t="shared" si="113"/>
        <v>207125.68800000005</v>
      </c>
      <c r="AC138" s="1133">
        <f t="shared" si="114"/>
        <v>308259.08784000011</v>
      </c>
      <c r="AD138" s="1133">
        <f t="shared" si="115"/>
        <v>266304.45600000006</v>
      </c>
      <c r="AE138" s="1133">
        <f t="shared" si="116"/>
        <v>177536.304</v>
      </c>
      <c r="AF138" s="1133">
        <f t="shared" si="117"/>
        <v>6877102.3358400008</v>
      </c>
      <c r="AG138" s="1133" t="s">
        <v>3</v>
      </c>
    </row>
    <row r="139" spans="1:33">
      <c r="A139" s="1175" t="e">
        <f t="shared" si="118"/>
        <v>#REF!</v>
      </c>
      <c r="B139" s="1134" t="s">
        <v>512</v>
      </c>
      <c r="C139" s="1134" t="s">
        <v>521</v>
      </c>
      <c r="D139" s="1478"/>
      <c r="E139" s="1175">
        <v>1</v>
      </c>
      <c r="F139" s="1175"/>
      <c r="G139" s="1129">
        <v>41517</v>
      </c>
      <c r="H139" s="1136">
        <v>22</v>
      </c>
      <c r="I139" s="1133">
        <f t="shared" si="102"/>
        <v>389334</v>
      </c>
      <c r="J139" s="1133">
        <f t="shared" si="103"/>
        <v>38933.4</v>
      </c>
      <c r="K139" s="1133"/>
      <c r="L139" s="1265"/>
      <c r="M139" s="1267">
        <f t="shared" si="119"/>
        <v>116800.2</v>
      </c>
      <c r="N139" s="1265"/>
      <c r="O139" s="1265"/>
      <c r="P139" s="1265"/>
      <c r="Q139" s="1265"/>
      <c r="R139" s="1265"/>
      <c r="S139" s="1133">
        <f t="shared" si="104"/>
        <v>155733.6</v>
      </c>
      <c r="T139" s="1133">
        <f t="shared" si="105"/>
        <v>545067.6</v>
      </c>
      <c r="U139" s="1133">
        <f t="shared" si="106"/>
        <v>54506.76</v>
      </c>
      <c r="V139" s="1133">
        <f t="shared" si="107"/>
        <v>41910.948799999998</v>
      </c>
      <c r="W139" s="1133">
        <f t="shared" si="108"/>
        <v>10901.351999999999</v>
      </c>
      <c r="X139" s="1133">
        <f t="shared" si="109"/>
        <v>437748.53919999994</v>
      </c>
      <c r="Y139" s="1133">
        <f t="shared" si="110"/>
        <v>6540811.1999999993</v>
      </c>
      <c r="Z139" s="1133">
        <f t="shared" si="111"/>
        <v>778668</v>
      </c>
      <c r="AA139" s="1133">
        <f t="shared" si="112"/>
        <v>7319479.1999999993</v>
      </c>
      <c r="AB139" s="1133">
        <f t="shared" si="113"/>
        <v>256181.772</v>
      </c>
      <c r="AC139" s="1133">
        <f t="shared" si="114"/>
        <v>380862.09215999988</v>
      </c>
      <c r="AD139" s="1133">
        <f t="shared" si="115"/>
        <v>329376.56400000001</v>
      </c>
      <c r="AE139" s="1133">
        <f t="shared" si="116"/>
        <v>219584.37599999996</v>
      </c>
      <c r="AF139" s="1133">
        <f t="shared" si="117"/>
        <v>8505484.00416</v>
      </c>
      <c r="AG139" s="1133" t="s">
        <v>3</v>
      </c>
    </row>
    <row r="140" spans="1:33">
      <c r="A140" s="1175" t="e">
        <f t="shared" si="118"/>
        <v>#REF!</v>
      </c>
      <c r="B140" s="1134" t="s">
        <v>512</v>
      </c>
      <c r="C140" s="1134" t="s">
        <v>522</v>
      </c>
      <c r="D140" s="1478"/>
      <c r="E140" s="1175">
        <v>1</v>
      </c>
      <c r="F140" s="1175"/>
      <c r="G140" s="1129">
        <v>39685</v>
      </c>
      <c r="H140" s="1136">
        <v>22</v>
      </c>
      <c r="I140" s="1133">
        <f t="shared" si="102"/>
        <v>389334</v>
      </c>
      <c r="J140" s="1133">
        <f t="shared" si="103"/>
        <v>38933.4</v>
      </c>
      <c r="K140" s="1133"/>
      <c r="L140" s="1265"/>
      <c r="M140" s="1267">
        <f t="shared" si="119"/>
        <v>116800.2</v>
      </c>
      <c r="N140" s="1265"/>
      <c r="O140" s="1265"/>
      <c r="P140" s="1265"/>
      <c r="Q140" s="1265"/>
      <c r="R140" s="1265"/>
      <c r="S140" s="1133">
        <f t="shared" si="104"/>
        <v>155733.6</v>
      </c>
      <c r="T140" s="1133">
        <f t="shared" si="105"/>
        <v>545067.6</v>
      </c>
      <c r="U140" s="1133">
        <f t="shared" si="106"/>
        <v>54506.76</v>
      </c>
      <c r="V140" s="1133">
        <f t="shared" si="107"/>
        <v>41910.948799999998</v>
      </c>
      <c r="W140" s="1133">
        <f t="shared" si="108"/>
        <v>10901.351999999999</v>
      </c>
      <c r="X140" s="1133">
        <f t="shared" si="109"/>
        <v>437748.53919999994</v>
      </c>
      <c r="Y140" s="1133">
        <f t="shared" si="110"/>
        <v>6540811.1999999993</v>
      </c>
      <c r="Z140" s="1133">
        <f t="shared" si="111"/>
        <v>778668</v>
      </c>
      <c r="AA140" s="1133">
        <f t="shared" si="112"/>
        <v>7319479.1999999993</v>
      </c>
      <c r="AB140" s="1133">
        <f t="shared" si="113"/>
        <v>256181.772</v>
      </c>
      <c r="AC140" s="1133">
        <f t="shared" si="114"/>
        <v>380862.09215999988</v>
      </c>
      <c r="AD140" s="1133">
        <f t="shared" si="115"/>
        <v>329376.56400000001</v>
      </c>
      <c r="AE140" s="1133">
        <f t="shared" si="116"/>
        <v>219584.37599999996</v>
      </c>
      <c r="AF140" s="1133">
        <f t="shared" si="117"/>
        <v>8505484.00416</v>
      </c>
      <c r="AG140" s="1133" t="s">
        <v>3</v>
      </c>
    </row>
    <row r="141" spans="1:33">
      <c r="A141" s="1175" t="e">
        <f t="shared" si="118"/>
        <v>#REF!</v>
      </c>
      <c r="B141" s="1134" t="s">
        <v>512</v>
      </c>
      <c r="C141" s="1134" t="s">
        <v>837</v>
      </c>
      <c r="D141" s="1478"/>
      <c r="E141" s="1175">
        <v>1</v>
      </c>
      <c r="F141" s="1175"/>
      <c r="G141" s="1129">
        <v>45231</v>
      </c>
      <c r="H141" s="1136">
        <v>17</v>
      </c>
      <c r="I141" s="1133">
        <f t="shared" si="102"/>
        <v>300849</v>
      </c>
      <c r="J141" s="1133">
        <f t="shared" si="103"/>
        <v>30084.9</v>
      </c>
      <c r="K141" s="1133"/>
      <c r="L141" s="1265"/>
      <c r="M141" s="1265"/>
      <c r="N141" s="1265"/>
      <c r="O141" s="1265"/>
      <c r="P141" s="1265"/>
      <c r="Q141" s="1265"/>
      <c r="R141" s="1265"/>
      <c r="S141" s="1133">
        <f t="shared" si="104"/>
        <v>30084.9</v>
      </c>
      <c r="T141" s="1133">
        <f t="shared" si="105"/>
        <v>330933.90000000002</v>
      </c>
      <c r="U141" s="1133">
        <f t="shared" si="106"/>
        <v>33093.390000000007</v>
      </c>
      <c r="V141" s="1133">
        <f t="shared" si="107"/>
        <v>23067.183199999999</v>
      </c>
      <c r="W141" s="1133">
        <f t="shared" si="108"/>
        <v>6618.6780000000008</v>
      </c>
      <c r="X141" s="1133">
        <f t="shared" si="109"/>
        <v>268154.64880000002</v>
      </c>
      <c r="Y141" s="1133">
        <f t="shared" si="110"/>
        <v>3971206.8000000003</v>
      </c>
      <c r="Z141" s="1133">
        <f t="shared" si="111"/>
        <v>601698</v>
      </c>
      <c r="AA141" s="1133">
        <f t="shared" si="112"/>
        <v>4572904.8000000007</v>
      </c>
      <c r="AB141" s="1133">
        <f t="shared" si="113"/>
        <v>160051.66800000003</v>
      </c>
      <c r="AC141" s="1133">
        <f t="shared" si="114"/>
        <v>238200.20424000002</v>
      </c>
      <c r="AD141" s="1133">
        <f t="shared" si="115"/>
        <v>205780.71600000004</v>
      </c>
      <c r="AE141" s="1133">
        <f t="shared" si="116"/>
        <v>137187.14400000003</v>
      </c>
      <c r="AF141" s="1133">
        <f t="shared" si="117"/>
        <v>5314124.5322400006</v>
      </c>
      <c r="AG141" s="1133" t="s">
        <v>3</v>
      </c>
    </row>
    <row r="142" spans="1:33" s="1189" customFormat="1">
      <c r="A142" s="1179" t="e">
        <f t="shared" si="118"/>
        <v>#REF!</v>
      </c>
      <c r="B142" s="1199" t="s">
        <v>512</v>
      </c>
      <c r="C142" s="1200" t="s">
        <v>931</v>
      </c>
      <c r="D142" s="1479"/>
      <c r="E142" s="1179"/>
      <c r="F142" s="1179"/>
      <c r="G142" s="1201"/>
      <c r="H142" s="1246">
        <v>35</v>
      </c>
      <c r="I142" s="1185">
        <f>17697*H142</f>
        <v>619395</v>
      </c>
      <c r="J142" s="1185">
        <f t="shared" si="103"/>
        <v>61939.5</v>
      </c>
      <c r="K142" s="1185"/>
      <c r="L142" s="1203"/>
      <c r="M142" s="1203"/>
      <c r="N142" s="1203"/>
      <c r="O142" s="1203"/>
      <c r="P142" s="1203"/>
      <c r="Q142" s="1203"/>
      <c r="R142" s="1203"/>
      <c r="S142" s="1185">
        <f t="shared" si="104"/>
        <v>61939.5</v>
      </c>
      <c r="T142" s="1185">
        <f t="shared" si="105"/>
        <v>681334.5</v>
      </c>
      <c r="U142" s="1185">
        <f t="shared" si="106"/>
        <v>68133.45</v>
      </c>
      <c r="V142" s="1185">
        <f t="shared" si="107"/>
        <v>53902.436000000016</v>
      </c>
      <c r="W142" s="1185">
        <f t="shared" si="108"/>
        <v>13626.69</v>
      </c>
      <c r="X142" s="1185">
        <f t="shared" si="109"/>
        <v>545671.92400000012</v>
      </c>
      <c r="Y142" s="1185">
        <f t="shared" si="110"/>
        <v>8176014</v>
      </c>
      <c r="Z142" s="1185">
        <f t="shared" si="111"/>
        <v>1238790</v>
      </c>
      <c r="AA142" s="1185">
        <f t="shared" si="112"/>
        <v>9414804</v>
      </c>
      <c r="AB142" s="1185">
        <f t="shared" si="113"/>
        <v>329518.14</v>
      </c>
      <c r="AC142" s="1185">
        <f>(AA142*0.9-(W142*12))*11%-AD142+5000000</f>
        <v>5490412.1852000002</v>
      </c>
      <c r="AD142" s="1185">
        <f t="shared" si="115"/>
        <v>423666.18</v>
      </c>
      <c r="AE142" s="1185">
        <f t="shared" si="116"/>
        <v>282444.12</v>
      </c>
      <c r="AF142" s="1185">
        <f t="shared" si="117"/>
        <v>15940844.6252</v>
      </c>
      <c r="AG142" s="1185" t="s">
        <v>3</v>
      </c>
    </row>
    <row r="143" spans="1:33" ht="31.5">
      <c r="A143" s="1175" t="e">
        <f t="shared" si="118"/>
        <v>#REF!</v>
      </c>
      <c r="B143" s="1134" t="s">
        <v>523</v>
      </c>
      <c r="C143" s="1134" t="s">
        <v>524</v>
      </c>
      <c r="D143" s="1477">
        <v>8</v>
      </c>
      <c r="E143" s="1175">
        <v>1</v>
      </c>
      <c r="F143" s="1175"/>
      <c r="G143" s="1129">
        <v>41512</v>
      </c>
      <c r="H143" s="1136">
        <v>17</v>
      </c>
      <c r="I143" s="1133">
        <f t="shared" si="102"/>
        <v>300849</v>
      </c>
      <c r="J143" s="1133">
        <f t="shared" si="103"/>
        <v>30084.9</v>
      </c>
      <c r="K143" s="1133"/>
      <c r="L143" s="1265"/>
      <c r="M143" s="1265"/>
      <c r="N143" s="1265"/>
      <c r="O143" s="1265"/>
      <c r="P143" s="1265"/>
      <c r="Q143" s="1265"/>
      <c r="R143" s="1265"/>
      <c r="S143" s="1133">
        <f t="shared" si="104"/>
        <v>30084.9</v>
      </c>
      <c r="T143" s="1133">
        <f t="shared" si="105"/>
        <v>330933.90000000002</v>
      </c>
      <c r="U143" s="1133">
        <f t="shared" si="106"/>
        <v>33093.390000000007</v>
      </c>
      <c r="V143" s="1133">
        <f t="shared" si="107"/>
        <v>23067.183199999999</v>
      </c>
      <c r="W143" s="1133">
        <f t="shared" si="108"/>
        <v>6618.6780000000008</v>
      </c>
      <c r="X143" s="1133">
        <f t="shared" si="109"/>
        <v>268154.64880000002</v>
      </c>
      <c r="Y143" s="1133">
        <f t="shared" si="110"/>
        <v>3971206.8000000003</v>
      </c>
      <c r="Z143" s="1133">
        <f t="shared" si="111"/>
        <v>601698</v>
      </c>
      <c r="AA143" s="1133">
        <f t="shared" si="112"/>
        <v>4572904.8000000007</v>
      </c>
      <c r="AB143" s="1133">
        <f t="shared" si="113"/>
        <v>160051.66800000003</v>
      </c>
      <c r="AC143" s="1133">
        <f t="shared" si="114"/>
        <v>238200.20424000002</v>
      </c>
      <c r="AD143" s="1133">
        <f t="shared" si="115"/>
        <v>205780.71600000004</v>
      </c>
      <c r="AE143" s="1133">
        <f t="shared" si="116"/>
        <v>137187.14400000003</v>
      </c>
      <c r="AF143" s="1133">
        <f t="shared" si="117"/>
        <v>5314124.5322400006</v>
      </c>
      <c r="AG143" s="1133" t="s">
        <v>3</v>
      </c>
    </row>
    <row r="144" spans="1:33" ht="31.5">
      <c r="A144" s="1175" t="e">
        <f t="shared" si="118"/>
        <v>#REF!</v>
      </c>
      <c r="B144" s="1134" t="s">
        <v>523</v>
      </c>
      <c r="C144" s="1134" t="s">
        <v>525</v>
      </c>
      <c r="D144" s="1478"/>
      <c r="E144" s="1175">
        <v>1</v>
      </c>
      <c r="F144" s="1175"/>
      <c r="G144" s="1129">
        <v>42248</v>
      </c>
      <c r="H144" s="1136">
        <v>17</v>
      </c>
      <c r="I144" s="1133">
        <f t="shared" si="102"/>
        <v>300849</v>
      </c>
      <c r="J144" s="1133">
        <f t="shared" si="103"/>
        <v>30084.9</v>
      </c>
      <c r="K144" s="1133">
        <f>10*4325</f>
        <v>43250</v>
      </c>
      <c r="L144" s="1265"/>
      <c r="M144" s="1265"/>
      <c r="N144" s="1265"/>
      <c r="O144" s="1265"/>
      <c r="P144" s="1265"/>
      <c r="Q144" s="1265"/>
      <c r="R144" s="1265"/>
      <c r="S144" s="1133">
        <f t="shared" si="104"/>
        <v>73334.899999999994</v>
      </c>
      <c r="T144" s="1133">
        <f t="shared" si="105"/>
        <v>374183.9</v>
      </c>
      <c r="U144" s="1133">
        <f t="shared" si="106"/>
        <v>37418.390000000007</v>
      </c>
      <c r="V144" s="1133">
        <f t="shared" si="107"/>
        <v>26873.183199999999</v>
      </c>
      <c r="W144" s="1133">
        <f t="shared" si="108"/>
        <v>7483.6780000000008</v>
      </c>
      <c r="X144" s="1133">
        <f t="shared" si="109"/>
        <v>302408.64880000002</v>
      </c>
      <c r="Y144" s="1133">
        <f t="shared" si="110"/>
        <v>4490206.8000000007</v>
      </c>
      <c r="Z144" s="1133">
        <f t="shared" si="111"/>
        <v>601698</v>
      </c>
      <c r="AA144" s="1133">
        <f t="shared" si="112"/>
        <v>5091904.8000000007</v>
      </c>
      <c r="AB144" s="1133">
        <f t="shared" si="113"/>
        <v>178216.66800000003</v>
      </c>
      <c r="AC144" s="1133">
        <f t="shared" si="114"/>
        <v>265084.40424000006</v>
      </c>
      <c r="AD144" s="1133">
        <f t="shared" si="115"/>
        <v>229135.71600000007</v>
      </c>
      <c r="AE144" s="1133">
        <f t="shared" si="116"/>
        <v>152757.14400000003</v>
      </c>
      <c r="AF144" s="1133">
        <f t="shared" si="117"/>
        <v>5917098.7322400007</v>
      </c>
      <c r="AG144" s="1133" t="s">
        <v>3</v>
      </c>
    </row>
    <row r="145" spans="1:33">
      <c r="A145" s="1175" t="e">
        <f t="shared" si="118"/>
        <v>#REF!</v>
      </c>
      <c r="B145" s="1134" t="s">
        <v>523</v>
      </c>
      <c r="C145" s="1221" t="s">
        <v>526</v>
      </c>
      <c r="D145" s="1478"/>
      <c r="E145" s="1175">
        <v>1</v>
      </c>
      <c r="F145" s="1175"/>
      <c r="G145" s="1129">
        <v>44593</v>
      </c>
      <c r="H145" s="1136">
        <v>17</v>
      </c>
      <c r="I145" s="1133">
        <f t="shared" si="102"/>
        <v>300849</v>
      </c>
      <c r="J145" s="1133">
        <f t="shared" si="103"/>
        <v>30084.9</v>
      </c>
      <c r="K145" s="1265"/>
      <c r="L145" s="1265"/>
      <c r="M145" s="1265"/>
      <c r="N145" s="1265"/>
      <c r="O145" s="1265"/>
      <c r="P145" s="1265"/>
      <c r="Q145" s="1265"/>
      <c r="R145" s="1265"/>
      <c r="S145" s="1133">
        <f t="shared" si="104"/>
        <v>30084.9</v>
      </c>
      <c r="T145" s="1133">
        <f t="shared" si="105"/>
        <v>330933.90000000002</v>
      </c>
      <c r="U145" s="1133">
        <f t="shared" si="106"/>
        <v>33093.390000000007</v>
      </c>
      <c r="V145" s="1133">
        <f t="shared" si="107"/>
        <v>23067.183199999999</v>
      </c>
      <c r="W145" s="1133">
        <f t="shared" si="108"/>
        <v>6618.6780000000008</v>
      </c>
      <c r="X145" s="1133">
        <f t="shared" si="109"/>
        <v>268154.64880000002</v>
      </c>
      <c r="Y145" s="1133">
        <f t="shared" si="110"/>
        <v>3971206.8000000003</v>
      </c>
      <c r="Z145" s="1133">
        <f t="shared" si="111"/>
        <v>601698</v>
      </c>
      <c r="AA145" s="1133">
        <f t="shared" si="112"/>
        <v>4572904.8000000007</v>
      </c>
      <c r="AB145" s="1133">
        <f t="shared" si="113"/>
        <v>160051.66800000003</v>
      </c>
      <c r="AC145" s="1133">
        <f t="shared" si="114"/>
        <v>238200.20424000002</v>
      </c>
      <c r="AD145" s="1133">
        <f t="shared" si="115"/>
        <v>205780.71600000004</v>
      </c>
      <c r="AE145" s="1133">
        <f t="shared" si="116"/>
        <v>137187.14400000003</v>
      </c>
      <c r="AF145" s="1133">
        <f t="shared" si="117"/>
        <v>5314124.5322400006</v>
      </c>
      <c r="AG145" s="1133" t="s">
        <v>3</v>
      </c>
    </row>
    <row r="146" spans="1:33">
      <c r="A146" s="1175" t="e">
        <f t="shared" si="118"/>
        <v>#REF!</v>
      </c>
      <c r="B146" s="1134" t="s">
        <v>523</v>
      </c>
      <c r="C146" s="1221" t="s">
        <v>527</v>
      </c>
      <c r="D146" s="1478"/>
      <c r="E146" s="1175">
        <v>1</v>
      </c>
      <c r="F146" s="1175"/>
      <c r="G146" s="1129">
        <v>40716</v>
      </c>
      <c r="H146" s="1136">
        <v>17</v>
      </c>
      <c r="I146" s="1133">
        <f t="shared" si="102"/>
        <v>300849</v>
      </c>
      <c r="J146" s="1133">
        <f t="shared" si="103"/>
        <v>30084.9</v>
      </c>
      <c r="K146" s="1265"/>
      <c r="L146" s="1265"/>
      <c r="M146" s="1265"/>
      <c r="N146" s="1265"/>
      <c r="O146" s="1265"/>
      <c r="P146" s="1265"/>
      <c r="Q146" s="1265"/>
      <c r="R146" s="1265"/>
      <c r="S146" s="1133">
        <f t="shared" si="104"/>
        <v>30084.9</v>
      </c>
      <c r="T146" s="1133">
        <f t="shared" si="105"/>
        <v>330933.90000000002</v>
      </c>
      <c r="U146" s="1133">
        <f t="shared" si="106"/>
        <v>33093.390000000007</v>
      </c>
      <c r="V146" s="1133">
        <f t="shared" si="107"/>
        <v>23067.183199999999</v>
      </c>
      <c r="W146" s="1133">
        <f t="shared" si="108"/>
        <v>6618.6780000000008</v>
      </c>
      <c r="X146" s="1133">
        <f t="shared" si="109"/>
        <v>268154.64880000002</v>
      </c>
      <c r="Y146" s="1133">
        <f t="shared" si="110"/>
        <v>3971206.8000000003</v>
      </c>
      <c r="Z146" s="1133">
        <f t="shared" si="111"/>
        <v>601698</v>
      </c>
      <c r="AA146" s="1133">
        <f t="shared" si="112"/>
        <v>4572904.8000000007</v>
      </c>
      <c r="AB146" s="1133">
        <f t="shared" si="113"/>
        <v>160051.66800000003</v>
      </c>
      <c r="AC146" s="1133">
        <f t="shared" si="114"/>
        <v>238200.20424000002</v>
      </c>
      <c r="AD146" s="1133">
        <f t="shared" si="115"/>
        <v>205780.71600000004</v>
      </c>
      <c r="AE146" s="1133">
        <f t="shared" si="116"/>
        <v>137187.14400000003</v>
      </c>
      <c r="AF146" s="1133">
        <f t="shared" si="117"/>
        <v>5314124.5322400006</v>
      </c>
      <c r="AG146" s="1133" t="s">
        <v>3</v>
      </c>
    </row>
    <row r="147" spans="1:33">
      <c r="A147" s="1175" t="e">
        <f t="shared" si="118"/>
        <v>#REF!</v>
      </c>
      <c r="B147" s="1134" t="s">
        <v>523</v>
      </c>
      <c r="C147" s="1134" t="s">
        <v>528</v>
      </c>
      <c r="D147" s="1478"/>
      <c r="E147" s="1175">
        <v>1</v>
      </c>
      <c r="F147" s="1175"/>
      <c r="G147" s="1129">
        <v>44818</v>
      </c>
      <c r="H147" s="1136">
        <v>16</v>
      </c>
      <c r="I147" s="1133">
        <f t="shared" si="102"/>
        <v>283152</v>
      </c>
      <c r="J147" s="1133">
        <f t="shared" si="103"/>
        <v>28315.200000000001</v>
      </c>
      <c r="K147" s="1265"/>
      <c r="L147" s="1265"/>
      <c r="M147" s="1265"/>
      <c r="N147" s="1265"/>
      <c r="O147" s="1265"/>
      <c r="P147" s="1265"/>
      <c r="Q147" s="1265"/>
      <c r="R147" s="1265"/>
      <c r="S147" s="1133">
        <f t="shared" si="104"/>
        <v>28315.200000000001</v>
      </c>
      <c r="T147" s="1133">
        <f t="shared" si="105"/>
        <v>311467.2</v>
      </c>
      <c r="U147" s="1133">
        <f t="shared" si="106"/>
        <v>31146.720000000001</v>
      </c>
      <c r="V147" s="1133">
        <f t="shared" si="107"/>
        <v>21354.113600000001</v>
      </c>
      <c r="W147" s="1133">
        <f t="shared" si="108"/>
        <v>6229.3440000000001</v>
      </c>
      <c r="X147" s="1133">
        <f t="shared" si="109"/>
        <v>252737.02239999996</v>
      </c>
      <c r="Y147" s="1133">
        <f t="shared" si="110"/>
        <v>3737606.4000000004</v>
      </c>
      <c r="Z147" s="1133">
        <f t="shared" si="111"/>
        <v>566304</v>
      </c>
      <c r="AA147" s="1133">
        <f t="shared" si="112"/>
        <v>4303910.4000000004</v>
      </c>
      <c r="AB147" s="1133">
        <f t="shared" si="113"/>
        <v>150636.86400000003</v>
      </c>
      <c r="AC147" s="1133">
        <f t="shared" si="114"/>
        <v>224188.42752</v>
      </c>
      <c r="AD147" s="1133">
        <f t="shared" si="115"/>
        <v>193675.96800000002</v>
      </c>
      <c r="AE147" s="1133">
        <f t="shared" si="116"/>
        <v>129117.31200000001</v>
      </c>
      <c r="AF147" s="1133">
        <f t="shared" si="117"/>
        <v>5001528.9715200011</v>
      </c>
      <c r="AG147" s="1133" t="s">
        <v>3</v>
      </c>
    </row>
    <row r="148" spans="1:33" ht="32.25" customHeight="1">
      <c r="A148" s="1175" t="e">
        <f t="shared" si="118"/>
        <v>#REF!</v>
      </c>
      <c r="B148" s="1268" t="s">
        <v>523</v>
      </c>
      <c r="C148" s="1134" t="s">
        <v>529</v>
      </c>
      <c r="D148" s="1478"/>
      <c r="E148" s="1175">
        <v>1</v>
      </c>
      <c r="F148" s="1175"/>
      <c r="G148" s="1129">
        <v>42249</v>
      </c>
      <c r="H148" s="1136">
        <v>17</v>
      </c>
      <c r="I148" s="1133">
        <f t="shared" si="102"/>
        <v>300849</v>
      </c>
      <c r="J148" s="1133">
        <f t="shared" si="103"/>
        <v>30084.9</v>
      </c>
      <c r="K148" s="1265"/>
      <c r="L148" s="1265"/>
      <c r="M148" s="1265"/>
      <c r="N148" s="1265"/>
      <c r="O148" s="1265"/>
      <c r="P148" s="1265"/>
      <c r="Q148" s="1265"/>
      <c r="R148" s="1265"/>
      <c r="S148" s="1133">
        <f t="shared" si="104"/>
        <v>30084.9</v>
      </c>
      <c r="T148" s="1133">
        <f t="shared" si="105"/>
        <v>330933.90000000002</v>
      </c>
      <c r="U148" s="1133">
        <f t="shared" si="106"/>
        <v>33093.390000000007</v>
      </c>
      <c r="V148" s="1133">
        <f t="shared" si="107"/>
        <v>23067.183199999999</v>
      </c>
      <c r="W148" s="1133">
        <f t="shared" si="108"/>
        <v>6618.6780000000008</v>
      </c>
      <c r="X148" s="1133">
        <f t="shared" si="109"/>
        <v>268154.64880000002</v>
      </c>
      <c r="Y148" s="1133">
        <f t="shared" si="110"/>
        <v>3971206.8000000003</v>
      </c>
      <c r="Z148" s="1133">
        <f t="shared" si="111"/>
        <v>601698</v>
      </c>
      <c r="AA148" s="1133">
        <f t="shared" si="112"/>
        <v>4572904.8000000007</v>
      </c>
      <c r="AB148" s="1133">
        <f t="shared" si="113"/>
        <v>160051.66800000003</v>
      </c>
      <c r="AC148" s="1133">
        <f t="shared" si="114"/>
        <v>238200.20424000002</v>
      </c>
      <c r="AD148" s="1133">
        <f t="shared" si="115"/>
        <v>205780.71600000004</v>
      </c>
      <c r="AE148" s="1133">
        <f t="shared" si="116"/>
        <v>137187.14400000003</v>
      </c>
      <c r="AF148" s="1133">
        <f t="shared" si="117"/>
        <v>5314124.5322400006</v>
      </c>
      <c r="AG148" s="1133" t="s">
        <v>3</v>
      </c>
    </row>
    <row r="149" spans="1:33" ht="19.5" customHeight="1">
      <c r="A149" s="1175" t="e">
        <f t="shared" si="118"/>
        <v>#REF!</v>
      </c>
      <c r="B149" s="1268" t="s">
        <v>523</v>
      </c>
      <c r="C149" s="1268" t="s">
        <v>530</v>
      </c>
      <c r="D149" s="1478"/>
      <c r="E149" s="1175">
        <v>1</v>
      </c>
      <c r="F149" s="1175"/>
      <c r="G149" s="1129">
        <v>44827</v>
      </c>
      <c r="H149" s="1136">
        <v>17</v>
      </c>
      <c r="I149" s="1133">
        <f t="shared" si="102"/>
        <v>300849</v>
      </c>
      <c r="J149" s="1133">
        <f t="shared" si="103"/>
        <v>30084.9</v>
      </c>
      <c r="K149" s="1265"/>
      <c r="L149" s="1265"/>
      <c r="M149" s="1265"/>
      <c r="N149" s="1265"/>
      <c r="O149" s="1265"/>
      <c r="P149" s="1265"/>
      <c r="Q149" s="1265"/>
      <c r="R149" s="1265"/>
      <c r="S149" s="1133">
        <f t="shared" si="104"/>
        <v>30084.9</v>
      </c>
      <c r="T149" s="1133">
        <f t="shared" si="105"/>
        <v>330933.90000000002</v>
      </c>
      <c r="U149" s="1133">
        <f t="shared" si="106"/>
        <v>33093.390000000007</v>
      </c>
      <c r="V149" s="1133">
        <f t="shared" si="107"/>
        <v>23067.183199999999</v>
      </c>
      <c r="W149" s="1133">
        <f t="shared" si="108"/>
        <v>6618.6780000000008</v>
      </c>
      <c r="X149" s="1133">
        <f t="shared" si="109"/>
        <v>268154.64880000002</v>
      </c>
      <c r="Y149" s="1133">
        <f t="shared" si="110"/>
        <v>3971206.8000000003</v>
      </c>
      <c r="Z149" s="1133">
        <f t="shared" si="111"/>
        <v>601698</v>
      </c>
      <c r="AA149" s="1133">
        <f t="shared" si="112"/>
        <v>4572904.8000000007</v>
      </c>
      <c r="AB149" s="1133">
        <f t="shared" si="113"/>
        <v>160051.66800000003</v>
      </c>
      <c r="AC149" s="1133">
        <f t="shared" si="114"/>
        <v>238200.20424000002</v>
      </c>
      <c r="AD149" s="1133">
        <f t="shared" si="115"/>
        <v>205780.71600000004</v>
      </c>
      <c r="AE149" s="1133">
        <f t="shared" si="116"/>
        <v>137187.14400000003</v>
      </c>
      <c r="AF149" s="1133">
        <f t="shared" si="117"/>
        <v>5314124.5322400006</v>
      </c>
      <c r="AG149" s="1133" t="s">
        <v>3</v>
      </c>
    </row>
    <row r="150" spans="1:33" ht="31.5">
      <c r="A150" s="1175" t="e">
        <f t="shared" si="118"/>
        <v>#REF!</v>
      </c>
      <c r="B150" s="1268" t="s">
        <v>523</v>
      </c>
      <c r="C150" s="1268" t="s">
        <v>531</v>
      </c>
      <c r="D150" s="1479"/>
      <c r="E150" s="1175">
        <v>1</v>
      </c>
      <c r="F150" s="1175"/>
      <c r="G150" s="1129">
        <v>42614</v>
      </c>
      <c r="H150" s="1136">
        <v>17</v>
      </c>
      <c r="I150" s="1133">
        <f t="shared" si="102"/>
        <v>300849</v>
      </c>
      <c r="J150" s="1133">
        <f t="shared" si="103"/>
        <v>30084.9</v>
      </c>
      <c r="K150" s="1265"/>
      <c r="L150" s="1265"/>
      <c r="M150" s="1265"/>
      <c r="N150" s="1265"/>
      <c r="O150" s="1265"/>
      <c r="P150" s="1265"/>
      <c r="Q150" s="1265"/>
      <c r="R150" s="1265"/>
      <c r="S150" s="1133">
        <f t="shared" si="104"/>
        <v>30084.9</v>
      </c>
      <c r="T150" s="1133">
        <f t="shared" si="105"/>
        <v>330933.90000000002</v>
      </c>
      <c r="U150" s="1133">
        <f t="shared" si="106"/>
        <v>33093.390000000007</v>
      </c>
      <c r="V150" s="1133">
        <f t="shared" si="107"/>
        <v>23067.183199999999</v>
      </c>
      <c r="W150" s="1133">
        <f t="shared" si="108"/>
        <v>6618.6780000000008</v>
      </c>
      <c r="X150" s="1133">
        <f t="shared" si="109"/>
        <v>268154.64880000002</v>
      </c>
      <c r="Y150" s="1133">
        <f t="shared" si="110"/>
        <v>3971206.8000000003</v>
      </c>
      <c r="Z150" s="1133">
        <f t="shared" si="111"/>
        <v>601698</v>
      </c>
      <c r="AA150" s="1133">
        <f t="shared" si="112"/>
        <v>4572904.8000000007</v>
      </c>
      <c r="AB150" s="1133">
        <f t="shared" si="113"/>
        <v>160051.66800000003</v>
      </c>
      <c r="AC150" s="1133">
        <f t="shared" si="114"/>
        <v>238200.20424000002</v>
      </c>
      <c r="AD150" s="1133">
        <f t="shared" si="115"/>
        <v>205780.71600000004</v>
      </c>
      <c r="AE150" s="1133">
        <f t="shared" si="116"/>
        <v>137187.14400000003</v>
      </c>
      <c r="AF150" s="1133">
        <f t="shared" si="117"/>
        <v>5314124.5322400006</v>
      </c>
      <c r="AG150" s="1133" t="s">
        <v>3</v>
      </c>
    </row>
    <row r="151" spans="1:33" ht="31.5">
      <c r="A151" s="1175" t="e">
        <f t="shared" si="118"/>
        <v>#REF!</v>
      </c>
      <c r="B151" s="1134" t="s">
        <v>532</v>
      </c>
      <c r="C151" s="1134" t="s">
        <v>533</v>
      </c>
      <c r="D151" s="1477">
        <v>2</v>
      </c>
      <c r="E151" s="1175">
        <v>1</v>
      </c>
      <c r="F151" s="1175"/>
      <c r="G151" s="1129">
        <v>44645</v>
      </c>
      <c r="H151" s="1136">
        <v>16</v>
      </c>
      <c r="I151" s="1133">
        <f t="shared" si="102"/>
        <v>283152</v>
      </c>
      <c r="J151" s="1133">
        <f t="shared" si="103"/>
        <v>28315.200000000001</v>
      </c>
      <c r="K151" s="1265"/>
      <c r="L151" s="1265"/>
      <c r="M151" s="1265"/>
      <c r="N151" s="1265"/>
      <c r="O151" s="1265"/>
      <c r="P151" s="1265"/>
      <c r="Q151" s="1265"/>
      <c r="R151" s="1265"/>
      <c r="S151" s="1133">
        <f t="shared" si="104"/>
        <v>28315.200000000001</v>
      </c>
      <c r="T151" s="1133">
        <f t="shared" si="105"/>
        <v>311467.2</v>
      </c>
      <c r="U151" s="1133">
        <f t="shared" si="106"/>
        <v>31146.720000000001</v>
      </c>
      <c r="V151" s="1133">
        <f t="shared" si="107"/>
        <v>21354.113600000001</v>
      </c>
      <c r="W151" s="1133">
        <f t="shared" si="108"/>
        <v>6229.3440000000001</v>
      </c>
      <c r="X151" s="1133">
        <f t="shared" si="109"/>
        <v>252737.02239999996</v>
      </c>
      <c r="Y151" s="1133">
        <f t="shared" si="110"/>
        <v>3737606.4000000004</v>
      </c>
      <c r="Z151" s="1133">
        <f t="shared" si="111"/>
        <v>566304</v>
      </c>
      <c r="AA151" s="1133">
        <f t="shared" si="112"/>
        <v>4303910.4000000004</v>
      </c>
      <c r="AB151" s="1133">
        <f t="shared" si="113"/>
        <v>150636.86400000003</v>
      </c>
      <c r="AC151" s="1133">
        <f t="shared" si="114"/>
        <v>224188.42752</v>
      </c>
      <c r="AD151" s="1133">
        <f t="shared" si="115"/>
        <v>193675.96800000002</v>
      </c>
      <c r="AE151" s="1133">
        <f t="shared" si="116"/>
        <v>129117.31200000001</v>
      </c>
      <c r="AF151" s="1133">
        <f t="shared" si="117"/>
        <v>5001528.9715200011</v>
      </c>
      <c r="AG151" s="1133" t="s">
        <v>3</v>
      </c>
    </row>
    <row r="152" spans="1:33">
      <c r="A152" s="1175" t="e">
        <f t="shared" si="118"/>
        <v>#REF!</v>
      </c>
      <c r="B152" s="1134" t="s">
        <v>532</v>
      </c>
      <c r="C152" s="1157" t="s">
        <v>534</v>
      </c>
      <c r="D152" s="1479"/>
      <c r="E152" s="1175">
        <v>1</v>
      </c>
      <c r="F152" s="1175"/>
      <c r="G152" s="1129">
        <v>44874</v>
      </c>
      <c r="H152" s="1136">
        <v>16</v>
      </c>
      <c r="I152" s="1133">
        <f t="shared" si="102"/>
        <v>283152</v>
      </c>
      <c r="J152" s="1133">
        <f t="shared" si="103"/>
        <v>28315.200000000001</v>
      </c>
      <c r="K152" s="1265"/>
      <c r="L152" s="1265"/>
      <c r="M152" s="1265"/>
      <c r="N152" s="1265"/>
      <c r="O152" s="1265"/>
      <c r="P152" s="1265"/>
      <c r="Q152" s="1265"/>
      <c r="R152" s="1265"/>
      <c r="S152" s="1133">
        <f t="shared" si="104"/>
        <v>28315.200000000001</v>
      </c>
      <c r="T152" s="1133">
        <f t="shared" si="105"/>
        <v>311467.2</v>
      </c>
      <c r="U152" s="1133">
        <f t="shared" si="106"/>
        <v>31146.720000000001</v>
      </c>
      <c r="V152" s="1133">
        <f t="shared" si="107"/>
        <v>21354.113600000001</v>
      </c>
      <c r="W152" s="1133">
        <f t="shared" si="108"/>
        <v>6229.3440000000001</v>
      </c>
      <c r="X152" s="1133">
        <f t="shared" si="109"/>
        <v>252737.02239999996</v>
      </c>
      <c r="Y152" s="1133">
        <f t="shared" si="110"/>
        <v>3737606.4000000004</v>
      </c>
      <c r="Z152" s="1133">
        <f t="shared" si="111"/>
        <v>566304</v>
      </c>
      <c r="AA152" s="1133">
        <f t="shared" si="112"/>
        <v>4303910.4000000004</v>
      </c>
      <c r="AB152" s="1133">
        <f t="shared" si="113"/>
        <v>150636.86400000003</v>
      </c>
      <c r="AC152" s="1133">
        <f t="shared" si="114"/>
        <v>224188.42752</v>
      </c>
      <c r="AD152" s="1133">
        <f t="shared" si="115"/>
        <v>193675.96800000002</v>
      </c>
      <c r="AE152" s="1133">
        <f t="shared" si="116"/>
        <v>129117.31200000001</v>
      </c>
      <c r="AF152" s="1133">
        <f t="shared" si="117"/>
        <v>5001528.9715200011</v>
      </c>
      <c r="AG152" s="1133" t="s">
        <v>3</v>
      </c>
    </row>
    <row r="153" spans="1:33" ht="20.25" customHeight="1">
      <c r="A153" s="1168"/>
      <c r="B153" s="1169" t="s">
        <v>830</v>
      </c>
      <c r="C153" s="1170"/>
      <c r="D153" s="1171">
        <f>SUM(D128:D152)</f>
        <v>25</v>
      </c>
      <c r="E153" s="1171">
        <f>SUM(E128:E152)</f>
        <v>24</v>
      </c>
      <c r="F153" s="1171">
        <f>SUM(F128:F152)</f>
        <v>0</v>
      </c>
      <c r="G153" s="1171"/>
      <c r="H153" s="1171"/>
      <c r="I153" s="1173">
        <f t="shared" ref="I153:AF153" si="120">SUM(I128:I152)</f>
        <v>8636136</v>
      </c>
      <c r="J153" s="1173">
        <f t="shared" si="120"/>
        <v>863613.60000000021</v>
      </c>
      <c r="K153" s="1173">
        <f t="shared" si="120"/>
        <v>86500</v>
      </c>
      <c r="L153" s="1173">
        <f t="shared" si="120"/>
        <v>0</v>
      </c>
      <c r="M153" s="1173">
        <f t="shared" si="120"/>
        <v>806983.19999999984</v>
      </c>
      <c r="N153" s="1173">
        <f t="shared" si="120"/>
        <v>0</v>
      </c>
      <c r="O153" s="1173">
        <f t="shared" si="120"/>
        <v>0</v>
      </c>
      <c r="P153" s="1173">
        <f t="shared" si="120"/>
        <v>0</v>
      </c>
      <c r="Q153" s="1173">
        <f t="shared" si="120"/>
        <v>0</v>
      </c>
      <c r="R153" s="1173">
        <f t="shared" si="120"/>
        <v>0</v>
      </c>
      <c r="S153" s="1173">
        <f t="shared" si="120"/>
        <v>1757096.7999999993</v>
      </c>
      <c r="T153" s="1173">
        <f t="shared" si="120"/>
        <v>10393232.800000001</v>
      </c>
      <c r="U153" s="1173">
        <f t="shared" si="120"/>
        <v>1039323.2799999999</v>
      </c>
      <c r="V153" s="1173">
        <f t="shared" si="120"/>
        <v>763229.48639999994</v>
      </c>
      <c r="W153" s="1173">
        <f t="shared" si="120"/>
        <v>207864.65600000013</v>
      </c>
      <c r="X153" s="1173">
        <f t="shared" si="120"/>
        <v>8382815.3775999956</v>
      </c>
      <c r="Y153" s="1173">
        <f t="shared" si="120"/>
        <v>124718793.59999999</v>
      </c>
      <c r="Z153" s="1173">
        <f t="shared" si="120"/>
        <v>17272272</v>
      </c>
      <c r="AA153" s="1173">
        <f t="shared" si="120"/>
        <v>141991065.59999999</v>
      </c>
      <c r="AB153" s="1173">
        <f t="shared" si="120"/>
        <v>4969687.2960000001</v>
      </c>
      <c r="AC153" s="1173">
        <f t="shared" si="120"/>
        <v>12393136.196479997</v>
      </c>
      <c r="AD153" s="1173">
        <f t="shared" si="120"/>
        <v>6389597.9520000014</v>
      </c>
      <c r="AE153" s="1173">
        <f t="shared" si="120"/>
        <v>4259731.9679999994</v>
      </c>
      <c r="AF153" s="1173">
        <f t="shared" si="120"/>
        <v>170003219.01248005</v>
      </c>
      <c r="AG153" s="1173"/>
    </row>
    <row r="154" spans="1:33" ht="22.5" customHeight="1">
      <c r="A154" s="1460" t="s">
        <v>474</v>
      </c>
      <c r="B154" s="1460"/>
      <c r="C154" s="1460"/>
      <c r="D154" s="1460"/>
      <c r="E154" s="1460"/>
      <c r="F154" s="1460"/>
      <c r="G154" s="1460"/>
      <c r="H154" s="1460"/>
      <c r="I154" s="1460"/>
      <c r="J154" s="1460"/>
      <c r="K154" s="1460"/>
      <c r="L154" s="1460"/>
      <c r="M154" s="1460"/>
      <c r="N154" s="1460"/>
      <c r="O154" s="1460"/>
      <c r="P154" s="1460"/>
      <c r="Q154" s="1460"/>
      <c r="R154" s="1460"/>
      <c r="S154" s="1460"/>
      <c r="T154" s="1460"/>
      <c r="U154" s="1460"/>
      <c r="V154" s="1460"/>
      <c r="W154" s="1460"/>
      <c r="X154" s="1460"/>
      <c r="Y154" s="1460"/>
      <c r="Z154" s="1460"/>
      <c r="AA154" s="1460"/>
      <c r="AB154" s="1460"/>
      <c r="AC154" s="1460"/>
      <c r="AD154" s="1460"/>
      <c r="AE154" s="1460"/>
      <c r="AF154" s="1460"/>
      <c r="AG154" s="1460"/>
    </row>
    <row r="155" spans="1:33">
      <c r="A155" s="1264" t="e">
        <f>A152+1</f>
        <v>#REF!</v>
      </c>
      <c r="B155" s="1137" t="s">
        <v>19</v>
      </c>
      <c r="C155" s="1269" t="s">
        <v>477</v>
      </c>
      <c r="D155" s="1175">
        <v>1</v>
      </c>
      <c r="E155" s="1175">
        <v>1</v>
      </c>
      <c r="F155" s="1175"/>
      <c r="G155" s="1129">
        <v>42248</v>
      </c>
      <c r="H155" s="1175">
        <v>16</v>
      </c>
      <c r="I155" s="1133">
        <f>17697*H155</f>
        <v>283152</v>
      </c>
      <c r="J155" s="1133">
        <f>I155*10%</f>
        <v>28315.200000000001</v>
      </c>
      <c r="K155" s="1265"/>
      <c r="L155" s="1265"/>
      <c r="M155" s="1265"/>
      <c r="N155" s="1265"/>
      <c r="O155" s="1265"/>
      <c r="P155" s="1265"/>
      <c r="Q155" s="1265"/>
      <c r="R155" s="1265"/>
      <c r="S155" s="1133">
        <f t="shared" ref="S155" si="121">SUM(J155:R155)</f>
        <v>28315.200000000001</v>
      </c>
      <c r="T155" s="1133">
        <f t="shared" ref="T155" si="122">I155+S155</f>
        <v>311467.2</v>
      </c>
      <c r="U155" s="1133">
        <f t="shared" ref="U155" si="123">T155*10%</f>
        <v>31146.720000000001</v>
      </c>
      <c r="V155" s="1133">
        <f t="shared" ref="V155" si="124">((T155-U155-W155)-(14*4325))*10%</f>
        <v>21354.113600000001</v>
      </c>
      <c r="W155" s="1133">
        <f t="shared" ref="W155" si="125">T155*2%</f>
        <v>6229.3440000000001</v>
      </c>
      <c r="X155" s="1133">
        <f t="shared" ref="X155" si="126">T155-U155-V155-W155</f>
        <v>252737.02239999996</v>
      </c>
      <c r="Y155" s="1133">
        <f t="shared" ref="Y155" si="127">T155*12</f>
        <v>3737606.4000000004</v>
      </c>
      <c r="Z155" s="1133">
        <f t="shared" ref="Z155" si="128">I155*2</f>
        <v>566304</v>
      </c>
      <c r="AA155" s="1133">
        <f t="shared" ref="AA155" si="129">Y155+Z155</f>
        <v>4303910.4000000004</v>
      </c>
      <c r="AB155" s="1133">
        <f t="shared" ref="AB155" si="130">AA155*3.5%</f>
        <v>150636.86400000003</v>
      </c>
      <c r="AC155" s="1133">
        <f t="shared" ref="AC155" si="131">(AA155*0.9-(W155*12))*11%-AD155</f>
        <v>224188.42752</v>
      </c>
      <c r="AD155" s="1133">
        <f t="shared" ref="AD155" si="132">AA155*0.9*5%</f>
        <v>193675.96800000002</v>
      </c>
      <c r="AE155" s="1133">
        <f t="shared" ref="AE155" si="133">AA155*3%</f>
        <v>129117.31200000001</v>
      </c>
      <c r="AF155" s="1133">
        <f t="shared" ref="AF155" si="134">AA155+AC155+AD155+AE155+AB155</f>
        <v>5001528.9715200011</v>
      </c>
      <c r="AG155" s="1133" t="s">
        <v>3</v>
      </c>
    </row>
    <row r="156" spans="1:33" ht="20.25" customHeight="1">
      <c r="A156" s="1168"/>
      <c r="B156" s="1169" t="s">
        <v>831</v>
      </c>
      <c r="C156" s="1170"/>
      <c r="D156" s="1171">
        <f>SUM(D155)</f>
        <v>1</v>
      </c>
      <c r="E156" s="1171">
        <v>1</v>
      </c>
      <c r="F156" s="1171">
        <f t="shared" ref="F156:AF156" si="135">SUM(F155)</f>
        <v>0</v>
      </c>
      <c r="G156" s="1171"/>
      <c r="H156" s="1171"/>
      <c r="I156" s="1173">
        <f t="shared" si="135"/>
        <v>283152</v>
      </c>
      <c r="J156" s="1173">
        <f t="shared" si="135"/>
        <v>28315.200000000001</v>
      </c>
      <c r="K156" s="1173">
        <f t="shared" si="135"/>
        <v>0</v>
      </c>
      <c r="L156" s="1173">
        <f t="shared" si="135"/>
        <v>0</v>
      </c>
      <c r="M156" s="1173">
        <f t="shared" si="135"/>
        <v>0</v>
      </c>
      <c r="N156" s="1173">
        <f t="shared" si="135"/>
        <v>0</v>
      </c>
      <c r="O156" s="1173">
        <f t="shared" si="135"/>
        <v>0</v>
      </c>
      <c r="P156" s="1173">
        <f t="shared" si="135"/>
        <v>0</v>
      </c>
      <c r="Q156" s="1173">
        <f t="shared" si="135"/>
        <v>0</v>
      </c>
      <c r="R156" s="1173">
        <f t="shared" si="135"/>
        <v>0</v>
      </c>
      <c r="S156" s="1173">
        <f t="shared" si="135"/>
        <v>28315.200000000001</v>
      </c>
      <c r="T156" s="1173">
        <f t="shared" si="135"/>
        <v>311467.2</v>
      </c>
      <c r="U156" s="1173">
        <f t="shared" si="135"/>
        <v>31146.720000000001</v>
      </c>
      <c r="V156" s="1173">
        <f t="shared" si="135"/>
        <v>21354.113600000001</v>
      </c>
      <c r="W156" s="1173">
        <f t="shared" si="135"/>
        <v>6229.3440000000001</v>
      </c>
      <c r="X156" s="1173">
        <f t="shared" si="135"/>
        <v>252737.02239999996</v>
      </c>
      <c r="Y156" s="1173">
        <f t="shared" si="135"/>
        <v>3737606.4000000004</v>
      </c>
      <c r="Z156" s="1173">
        <f t="shared" si="135"/>
        <v>566304</v>
      </c>
      <c r="AA156" s="1173">
        <f t="shared" si="135"/>
        <v>4303910.4000000004</v>
      </c>
      <c r="AB156" s="1173">
        <f>SUM(AB155)</f>
        <v>150636.86400000003</v>
      </c>
      <c r="AC156" s="1173">
        <f t="shared" si="135"/>
        <v>224188.42752</v>
      </c>
      <c r="AD156" s="1173">
        <f t="shared" si="135"/>
        <v>193675.96800000002</v>
      </c>
      <c r="AE156" s="1173">
        <f t="shared" si="135"/>
        <v>129117.31200000001</v>
      </c>
      <c r="AF156" s="1173">
        <f t="shared" si="135"/>
        <v>5001528.9715200011</v>
      </c>
      <c r="AG156" s="1171"/>
    </row>
    <row r="157" spans="1:33" ht="20.25" customHeight="1">
      <c r="A157" s="1460" t="s">
        <v>535</v>
      </c>
      <c r="B157" s="1460"/>
      <c r="C157" s="1460"/>
      <c r="D157" s="1460"/>
      <c r="E157" s="1460"/>
      <c r="F157" s="1460"/>
      <c r="G157" s="1460"/>
      <c r="H157" s="1460"/>
      <c r="I157" s="1460"/>
      <c r="J157" s="1460"/>
      <c r="K157" s="1460"/>
      <c r="L157" s="1460"/>
      <c r="M157" s="1460"/>
      <c r="N157" s="1460"/>
      <c r="O157" s="1460"/>
      <c r="P157" s="1460"/>
      <c r="Q157" s="1460"/>
      <c r="R157" s="1460"/>
      <c r="S157" s="1460"/>
      <c r="T157" s="1460"/>
      <c r="U157" s="1460"/>
      <c r="V157" s="1460"/>
      <c r="W157" s="1460"/>
      <c r="X157" s="1460"/>
      <c r="Y157" s="1460"/>
      <c r="Z157" s="1460"/>
      <c r="AA157" s="1460"/>
      <c r="AB157" s="1460"/>
      <c r="AC157" s="1460"/>
      <c r="AD157" s="1460"/>
      <c r="AE157" s="1460"/>
      <c r="AF157" s="1460"/>
      <c r="AG157" s="1460"/>
    </row>
    <row r="158" spans="1:33" ht="36.75" customHeight="1">
      <c r="A158" s="1126" t="e">
        <f>A155+1</f>
        <v>#REF!</v>
      </c>
      <c r="B158" s="1134" t="s">
        <v>838</v>
      </c>
      <c r="C158" s="1134" t="s">
        <v>536</v>
      </c>
      <c r="D158" s="1126">
        <v>1</v>
      </c>
      <c r="E158" s="1136">
        <v>1</v>
      </c>
      <c r="F158" s="1270"/>
      <c r="G158" s="1129">
        <v>42719</v>
      </c>
      <c r="H158" s="1136">
        <v>23</v>
      </c>
      <c r="I158" s="1133">
        <f>E158*17697*H158</f>
        <v>407031</v>
      </c>
      <c r="J158" s="1133">
        <f t="shared" ref="J158:J169" si="136">I158*10%</f>
        <v>40703.100000000006</v>
      </c>
      <c r="K158" s="1270"/>
      <c r="L158" s="1270"/>
      <c r="M158" s="1270"/>
      <c r="N158" s="1270"/>
      <c r="O158" s="1270"/>
      <c r="P158" s="1270"/>
      <c r="Q158" s="1270"/>
      <c r="R158" s="1270"/>
      <c r="S158" s="1133">
        <f t="shared" ref="S158:S169" si="137">SUM(J158:R158)</f>
        <v>40703.100000000006</v>
      </c>
      <c r="T158" s="1133">
        <f t="shared" ref="T158:T169" si="138">I158+S158</f>
        <v>447734.1</v>
      </c>
      <c r="U158" s="1133">
        <f t="shared" ref="U158:U169" si="139">T158*10%</f>
        <v>44773.41</v>
      </c>
      <c r="V158" s="1133">
        <f t="shared" ref="V158:V169" si="140">((T158-U158-W158)-(14*4325))*10%</f>
        <v>33345.6008</v>
      </c>
      <c r="W158" s="1133">
        <f t="shared" ref="W158:W169" si="141">T158*2%</f>
        <v>8954.6819999999989</v>
      </c>
      <c r="X158" s="1133">
        <f t="shared" ref="X158:X169" si="142">T158-U158-V158-W158</f>
        <v>360660.40719999996</v>
      </c>
      <c r="Y158" s="1133">
        <f t="shared" ref="Y158:Y169" si="143">T158*12</f>
        <v>5372809.1999999993</v>
      </c>
      <c r="Z158" s="1133">
        <f t="shared" ref="Z158:Z169" si="144">I158*2</f>
        <v>814062</v>
      </c>
      <c r="AA158" s="1133">
        <f t="shared" ref="AA158:AA169" si="145">Y158+Z158</f>
        <v>6186871.1999999993</v>
      </c>
      <c r="AB158" s="1133">
        <f t="shared" ref="AB158:AB169" si="146">AA158*3.5%</f>
        <v>216540.492</v>
      </c>
      <c r="AC158" s="1133">
        <f t="shared" ref="AC158:AC169" si="147">(AA158*0.9-(W158*12))*11%-AD158</f>
        <v>322270.86455999996</v>
      </c>
      <c r="AD158" s="1133">
        <f t="shared" ref="AD158:AD169" si="148">AA158*0.9*5%</f>
        <v>278409.20399999997</v>
      </c>
      <c r="AE158" s="1133">
        <f t="shared" ref="AE158:AE169" si="149">AA158*3%</f>
        <v>185606.13599999997</v>
      </c>
      <c r="AF158" s="1133">
        <f t="shared" ref="AF158:AF169" si="150">AA158+AC158+AD158+AE158+AB158</f>
        <v>7189697.8965599984</v>
      </c>
      <c r="AG158" s="1133" t="s">
        <v>3</v>
      </c>
    </row>
    <row r="159" spans="1:33">
      <c r="A159" s="1126" t="e">
        <f>A158+1</f>
        <v>#REF!</v>
      </c>
      <c r="B159" s="1248" t="s">
        <v>490</v>
      </c>
      <c r="C159" s="1249" t="s">
        <v>931</v>
      </c>
      <c r="D159" s="1151">
        <v>1</v>
      </c>
      <c r="E159" s="1252"/>
      <c r="F159" s="1272"/>
      <c r="G159" s="1272"/>
      <c r="H159" s="1252">
        <v>20</v>
      </c>
      <c r="I159" s="1253">
        <f>17697*H159</f>
        <v>353940</v>
      </c>
      <c r="J159" s="1253">
        <f t="shared" si="136"/>
        <v>35394</v>
      </c>
      <c r="K159" s="1272"/>
      <c r="L159" s="1272"/>
      <c r="M159" s="1272"/>
      <c r="N159" s="1272"/>
      <c r="O159" s="1272"/>
      <c r="P159" s="1272"/>
      <c r="Q159" s="1272"/>
      <c r="R159" s="1272"/>
      <c r="S159" s="1133">
        <f t="shared" si="137"/>
        <v>35394</v>
      </c>
      <c r="T159" s="1133">
        <f t="shared" si="138"/>
        <v>389334</v>
      </c>
      <c r="U159" s="1133">
        <f t="shared" si="139"/>
        <v>38933.4</v>
      </c>
      <c r="V159" s="1133">
        <f t="shared" si="140"/>
        <v>28206.392</v>
      </c>
      <c r="W159" s="1133">
        <f t="shared" si="141"/>
        <v>7786.68</v>
      </c>
      <c r="X159" s="1133">
        <f t="shared" si="142"/>
        <v>314407.52799999999</v>
      </c>
      <c r="Y159" s="1133">
        <f t="shared" si="143"/>
        <v>4672008</v>
      </c>
      <c r="Z159" s="1133">
        <f t="shared" si="144"/>
        <v>707880</v>
      </c>
      <c r="AA159" s="1133">
        <f t="shared" si="145"/>
        <v>5379888</v>
      </c>
      <c r="AB159" s="1133">
        <f t="shared" si="146"/>
        <v>188296.08000000002</v>
      </c>
      <c r="AC159" s="1133">
        <f t="shared" si="147"/>
        <v>280235.5344</v>
      </c>
      <c r="AD159" s="1133">
        <f t="shared" si="148"/>
        <v>242094.96000000002</v>
      </c>
      <c r="AE159" s="1133">
        <f t="shared" si="149"/>
        <v>161396.63999999998</v>
      </c>
      <c r="AF159" s="1133">
        <f t="shared" si="150"/>
        <v>6251911.2143999999</v>
      </c>
      <c r="AG159" s="1133" t="s">
        <v>3</v>
      </c>
    </row>
    <row r="160" spans="1:33" s="1189" customFormat="1">
      <c r="A160" s="1278" t="e">
        <f>#REF!+1</f>
        <v>#REF!</v>
      </c>
      <c r="B160" s="1180" t="s">
        <v>537</v>
      </c>
      <c r="C160" s="1208" t="s">
        <v>931</v>
      </c>
      <c r="D160" s="1273">
        <v>1</v>
      </c>
      <c r="E160" s="1256"/>
      <c r="F160" s="1274"/>
      <c r="G160" s="1275"/>
      <c r="H160" s="1184">
        <v>20</v>
      </c>
      <c r="I160" s="1185">
        <f t="shared" ref="I160:I162" si="151">17697*H160</f>
        <v>353940</v>
      </c>
      <c r="J160" s="1185">
        <f t="shared" si="136"/>
        <v>35394</v>
      </c>
      <c r="K160" s="1274"/>
      <c r="L160" s="1274"/>
      <c r="M160" s="1274"/>
      <c r="N160" s="1274"/>
      <c r="O160" s="1274"/>
      <c r="P160" s="1274"/>
      <c r="Q160" s="1274"/>
      <c r="R160" s="1274"/>
      <c r="S160" s="1185">
        <f t="shared" si="137"/>
        <v>35394</v>
      </c>
      <c r="T160" s="1185">
        <f t="shared" si="138"/>
        <v>389334</v>
      </c>
      <c r="U160" s="1185">
        <f t="shared" si="139"/>
        <v>38933.4</v>
      </c>
      <c r="V160" s="1185">
        <f t="shared" si="140"/>
        <v>28206.392</v>
      </c>
      <c r="W160" s="1185">
        <f t="shared" si="141"/>
        <v>7786.68</v>
      </c>
      <c r="X160" s="1185">
        <f t="shared" si="142"/>
        <v>314407.52799999999</v>
      </c>
      <c r="Y160" s="1185">
        <f t="shared" si="143"/>
        <v>4672008</v>
      </c>
      <c r="Z160" s="1185">
        <f t="shared" si="144"/>
        <v>707880</v>
      </c>
      <c r="AA160" s="1185">
        <f t="shared" si="145"/>
        <v>5379888</v>
      </c>
      <c r="AB160" s="1185">
        <f t="shared" si="146"/>
        <v>188296.08000000002</v>
      </c>
      <c r="AC160" s="1185">
        <f>(AA160*0.9-(W160*12))*11%-AD160+3000000</f>
        <v>3280235.5344000002</v>
      </c>
      <c r="AD160" s="1185">
        <f t="shared" si="148"/>
        <v>242094.96000000002</v>
      </c>
      <c r="AE160" s="1185">
        <f t="shared" si="149"/>
        <v>161396.63999999998</v>
      </c>
      <c r="AF160" s="1185">
        <f t="shared" si="150"/>
        <v>9251911.2144000027</v>
      </c>
      <c r="AG160" s="1185" t="s">
        <v>3</v>
      </c>
    </row>
    <row r="161" spans="1:35">
      <c r="A161" s="1126" t="e">
        <f t="shared" ref="A161:A168" si="152">A160+1</f>
        <v>#REF!</v>
      </c>
      <c r="B161" s="1137" t="s">
        <v>15</v>
      </c>
      <c r="C161" s="1276" t="s">
        <v>839</v>
      </c>
      <c r="D161" s="1126">
        <v>1</v>
      </c>
      <c r="E161" s="1139">
        <v>1</v>
      </c>
      <c r="F161" s="1270"/>
      <c r="G161" s="1148">
        <v>45231</v>
      </c>
      <c r="H161" s="1139">
        <v>12</v>
      </c>
      <c r="I161" s="1133">
        <f t="shared" si="151"/>
        <v>212364</v>
      </c>
      <c r="J161" s="1133">
        <f t="shared" si="136"/>
        <v>21236.400000000001</v>
      </c>
      <c r="K161" s="1270"/>
      <c r="L161" s="1270"/>
      <c r="M161" s="1270"/>
      <c r="N161" s="1270"/>
      <c r="O161" s="1270"/>
      <c r="P161" s="1270"/>
      <c r="Q161" s="1270"/>
      <c r="R161" s="1270"/>
      <c r="S161" s="1133">
        <f t="shared" si="137"/>
        <v>21236.400000000001</v>
      </c>
      <c r="T161" s="1133">
        <f t="shared" si="138"/>
        <v>233600.4</v>
      </c>
      <c r="U161" s="1133">
        <f t="shared" si="139"/>
        <v>23360.04</v>
      </c>
      <c r="V161" s="1133">
        <f t="shared" si="140"/>
        <v>14501.8352</v>
      </c>
      <c r="W161" s="1133">
        <f t="shared" si="141"/>
        <v>4672.0079999999998</v>
      </c>
      <c r="X161" s="1133">
        <f t="shared" si="142"/>
        <v>191066.51679999998</v>
      </c>
      <c r="Y161" s="1133">
        <f t="shared" si="143"/>
        <v>2803204.8</v>
      </c>
      <c r="Z161" s="1133">
        <f t="shared" si="144"/>
        <v>424728</v>
      </c>
      <c r="AA161" s="1133">
        <f t="shared" si="145"/>
        <v>3227932.8</v>
      </c>
      <c r="AB161" s="1133">
        <f t="shared" si="146"/>
        <v>112977.648</v>
      </c>
      <c r="AC161" s="1133">
        <f t="shared" si="147"/>
        <v>168141.32064000002</v>
      </c>
      <c r="AD161" s="1133">
        <f t="shared" si="148"/>
        <v>145256.976</v>
      </c>
      <c r="AE161" s="1133">
        <f t="shared" si="149"/>
        <v>96837.983999999997</v>
      </c>
      <c r="AF161" s="1133">
        <f t="shared" si="150"/>
        <v>3751146.7286399999</v>
      </c>
      <c r="AG161" s="1133" t="s">
        <v>3</v>
      </c>
    </row>
    <row r="162" spans="1:35" ht="31.5">
      <c r="A162" s="1126" t="e">
        <f t="shared" si="152"/>
        <v>#REF!</v>
      </c>
      <c r="B162" s="1137" t="s">
        <v>53</v>
      </c>
      <c r="C162" s="1277" t="s">
        <v>538</v>
      </c>
      <c r="D162" s="1126">
        <v>1</v>
      </c>
      <c r="E162" s="1139">
        <v>1</v>
      </c>
      <c r="F162" s="1270"/>
      <c r="G162" s="1129">
        <v>44868</v>
      </c>
      <c r="H162" s="1139">
        <v>12</v>
      </c>
      <c r="I162" s="1133">
        <f t="shared" si="151"/>
        <v>212364</v>
      </c>
      <c r="J162" s="1133">
        <f t="shared" si="136"/>
        <v>21236.400000000001</v>
      </c>
      <c r="K162" s="1270"/>
      <c r="L162" s="1270"/>
      <c r="M162" s="1270"/>
      <c r="N162" s="1270"/>
      <c r="O162" s="1270"/>
      <c r="P162" s="1270"/>
      <c r="Q162" s="1270"/>
      <c r="R162" s="1270"/>
      <c r="S162" s="1133">
        <f t="shared" si="137"/>
        <v>21236.400000000001</v>
      </c>
      <c r="T162" s="1133">
        <f t="shared" si="138"/>
        <v>233600.4</v>
      </c>
      <c r="U162" s="1133">
        <f t="shared" si="139"/>
        <v>23360.04</v>
      </c>
      <c r="V162" s="1133">
        <f t="shared" si="140"/>
        <v>14501.8352</v>
      </c>
      <c r="W162" s="1133">
        <f t="shared" si="141"/>
        <v>4672.0079999999998</v>
      </c>
      <c r="X162" s="1133">
        <f t="shared" si="142"/>
        <v>191066.51679999998</v>
      </c>
      <c r="Y162" s="1133">
        <f t="shared" si="143"/>
        <v>2803204.8</v>
      </c>
      <c r="Z162" s="1133">
        <f t="shared" si="144"/>
        <v>424728</v>
      </c>
      <c r="AA162" s="1133">
        <f t="shared" si="145"/>
        <v>3227932.8</v>
      </c>
      <c r="AB162" s="1133">
        <f t="shared" si="146"/>
        <v>112977.648</v>
      </c>
      <c r="AC162" s="1133">
        <f t="shared" si="147"/>
        <v>168141.32064000002</v>
      </c>
      <c r="AD162" s="1133">
        <f t="shared" si="148"/>
        <v>145256.976</v>
      </c>
      <c r="AE162" s="1133">
        <f t="shared" si="149"/>
        <v>96837.983999999997</v>
      </c>
      <c r="AF162" s="1133">
        <f t="shared" si="150"/>
        <v>3751146.7286399999</v>
      </c>
      <c r="AG162" s="1133" t="s">
        <v>3</v>
      </c>
    </row>
    <row r="163" spans="1:35" ht="47.25">
      <c r="A163" s="1126" t="e">
        <f>#REF!+1</f>
        <v>#REF!</v>
      </c>
      <c r="B163" s="1248" t="s">
        <v>834</v>
      </c>
      <c r="C163" s="1249" t="s">
        <v>931</v>
      </c>
      <c r="D163" s="1160">
        <v>1</v>
      </c>
      <c r="E163" s="1252"/>
      <c r="F163" s="1270"/>
      <c r="G163" s="1272"/>
      <c r="H163" s="1252">
        <v>20</v>
      </c>
      <c r="I163" s="1253">
        <f>17697*H163</f>
        <v>353940</v>
      </c>
      <c r="J163" s="1253">
        <f t="shared" si="136"/>
        <v>35394</v>
      </c>
      <c r="K163" s="1272"/>
      <c r="L163" s="1272"/>
      <c r="M163" s="1272"/>
      <c r="N163" s="1272"/>
      <c r="O163" s="1272"/>
      <c r="P163" s="1272"/>
      <c r="Q163" s="1272"/>
      <c r="R163" s="1272"/>
      <c r="S163" s="1133">
        <f t="shared" si="137"/>
        <v>35394</v>
      </c>
      <c r="T163" s="1133">
        <f t="shared" si="138"/>
        <v>389334</v>
      </c>
      <c r="U163" s="1133">
        <f t="shared" si="139"/>
        <v>38933.4</v>
      </c>
      <c r="V163" s="1133">
        <f t="shared" si="140"/>
        <v>28206.392</v>
      </c>
      <c r="W163" s="1133">
        <f t="shared" si="141"/>
        <v>7786.68</v>
      </c>
      <c r="X163" s="1133">
        <f t="shared" si="142"/>
        <v>314407.52799999999</v>
      </c>
      <c r="Y163" s="1133">
        <f t="shared" si="143"/>
        <v>4672008</v>
      </c>
      <c r="Z163" s="1133">
        <f t="shared" si="144"/>
        <v>707880</v>
      </c>
      <c r="AA163" s="1133">
        <f t="shared" si="145"/>
        <v>5379888</v>
      </c>
      <c r="AB163" s="1133">
        <f t="shared" si="146"/>
        <v>188296.08000000002</v>
      </c>
      <c r="AC163" s="1133">
        <f t="shared" si="147"/>
        <v>280235.5344</v>
      </c>
      <c r="AD163" s="1133">
        <f t="shared" si="148"/>
        <v>242094.96000000002</v>
      </c>
      <c r="AE163" s="1133">
        <f t="shared" si="149"/>
        <v>161396.63999999998</v>
      </c>
      <c r="AF163" s="1133">
        <f t="shared" si="150"/>
        <v>6251911.2143999999</v>
      </c>
      <c r="AG163" s="1133" t="s">
        <v>3</v>
      </c>
    </row>
    <row r="164" spans="1:35">
      <c r="A164" s="1126" t="e">
        <f t="shared" si="152"/>
        <v>#REF!</v>
      </c>
      <c r="B164" s="1134" t="s">
        <v>539</v>
      </c>
      <c r="C164" s="1157" t="s">
        <v>540</v>
      </c>
      <c r="D164" s="1126">
        <v>1</v>
      </c>
      <c r="E164" s="1136">
        <v>1</v>
      </c>
      <c r="F164" s="1270"/>
      <c r="G164" s="1129">
        <v>44986</v>
      </c>
      <c r="H164" s="1136">
        <v>13</v>
      </c>
      <c r="I164" s="1133">
        <f t="shared" ref="I164:I169" si="153">E164*17697*H164</f>
        <v>230061</v>
      </c>
      <c r="J164" s="1133">
        <f t="shared" si="136"/>
        <v>23006.100000000002</v>
      </c>
      <c r="K164" s="1270"/>
      <c r="L164" s="1270"/>
      <c r="M164" s="1270"/>
      <c r="N164" s="1270"/>
      <c r="O164" s="1270"/>
      <c r="P164" s="1270"/>
      <c r="Q164" s="1270"/>
      <c r="R164" s="1215">
        <f>17697*25%</f>
        <v>4424.25</v>
      </c>
      <c r="S164" s="1133">
        <f t="shared" si="137"/>
        <v>27430.350000000002</v>
      </c>
      <c r="T164" s="1133">
        <f t="shared" si="138"/>
        <v>257491.35</v>
      </c>
      <c r="U164" s="1133">
        <f t="shared" si="139"/>
        <v>25749.135000000002</v>
      </c>
      <c r="V164" s="1133">
        <f t="shared" si="140"/>
        <v>16604.238800000003</v>
      </c>
      <c r="W164" s="1133">
        <f t="shared" si="141"/>
        <v>5149.8270000000002</v>
      </c>
      <c r="X164" s="1133">
        <f t="shared" si="142"/>
        <v>209988.14920000001</v>
      </c>
      <c r="Y164" s="1133">
        <f t="shared" si="143"/>
        <v>3089896.2</v>
      </c>
      <c r="Z164" s="1133">
        <f t="shared" si="144"/>
        <v>460122</v>
      </c>
      <c r="AA164" s="1133">
        <f t="shared" si="145"/>
        <v>3550018.2</v>
      </c>
      <c r="AB164" s="1133">
        <f t="shared" si="146"/>
        <v>124250.63700000002</v>
      </c>
      <c r="AC164" s="1133">
        <f t="shared" si="147"/>
        <v>184903.21116000001</v>
      </c>
      <c r="AD164" s="1133">
        <f t="shared" si="148"/>
        <v>159750.81900000002</v>
      </c>
      <c r="AE164" s="1133">
        <f t="shared" si="149"/>
        <v>106500.546</v>
      </c>
      <c r="AF164" s="1133">
        <f t="shared" si="150"/>
        <v>4125423.4131600005</v>
      </c>
      <c r="AG164" s="1133" t="s">
        <v>3</v>
      </c>
    </row>
    <row r="165" spans="1:35">
      <c r="A165" s="1126" t="e">
        <f t="shared" si="152"/>
        <v>#REF!</v>
      </c>
      <c r="B165" s="1137" t="s">
        <v>14</v>
      </c>
      <c r="C165" s="1244" t="s">
        <v>501</v>
      </c>
      <c r="D165" s="1472">
        <v>4</v>
      </c>
      <c r="E165" s="1136">
        <v>1</v>
      </c>
      <c r="F165" s="1270"/>
      <c r="G165" s="1129">
        <v>42284</v>
      </c>
      <c r="H165" s="1136">
        <v>10</v>
      </c>
      <c r="I165" s="1133">
        <f t="shared" si="153"/>
        <v>176970</v>
      </c>
      <c r="J165" s="1133">
        <f t="shared" si="136"/>
        <v>17697</v>
      </c>
      <c r="K165" s="1270"/>
      <c r="L165" s="1270"/>
      <c r="M165" s="1270"/>
      <c r="N165" s="1270"/>
      <c r="O165" s="1270"/>
      <c r="P165" s="1215">
        <f t="shared" ref="P165:P169" si="154">17697*30%</f>
        <v>5309.0999999999995</v>
      </c>
      <c r="Q165" s="1270"/>
      <c r="R165" s="1270"/>
      <c r="S165" s="1133">
        <f t="shared" si="137"/>
        <v>23006.1</v>
      </c>
      <c r="T165" s="1133">
        <f t="shared" si="138"/>
        <v>199976.1</v>
      </c>
      <c r="U165" s="1133">
        <f t="shared" si="139"/>
        <v>19997.61</v>
      </c>
      <c r="V165" s="1133">
        <f t="shared" si="140"/>
        <v>11542.8968</v>
      </c>
      <c r="W165" s="1133">
        <f t="shared" si="141"/>
        <v>3999.5220000000004</v>
      </c>
      <c r="X165" s="1133">
        <f t="shared" si="142"/>
        <v>164436.07120000001</v>
      </c>
      <c r="Y165" s="1133">
        <f t="shared" si="143"/>
        <v>2399713.2000000002</v>
      </c>
      <c r="Z165" s="1133">
        <f t="shared" si="144"/>
        <v>353940</v>
      </c>
      <c r="AA165" s="1133">
        <f t="shared" si="145"/>
        <v>2753653.2</v>
      </c>
      <c r="AB165" s="1133">
        <f t="shared" si="146"/>
        <v>96377.862000000023</v>
      </c>
      <c r="AC165" s="1133">
        <f t="shared" si="147"/>
        <v>143417.90376000002</v>
      </c>
      <c r="AD165" s="1133">
        <f t="shared" si="148"/>
        <v>123914.39400000003</v>
      </c>
      <c r="AE165" s="1133">
        <f t="shared" si="149"/>
        <v>82609.596000000005</v>
      </c>
      <c r="AF165" s="1133">
        <f t="shared" si="150"/>
        <v>3199972.9557600003</v>
      </c>
      <c r="AG165" s="1133" t="s">
        <v>3</v>
      </c>
    </row>
    <row r="166" spans="1:35" ht="31.5">
      <c r="A166" s="1126" t="e">
        <f t="shared" si="152"/>
        <v>#REF!</v>
      </c>
      <c r="B166" s="1134" t="s">
        <v>14</v>
      </c>
      <c r="C166" s="1134" t="s">
        <v>541</v>
      </c>
      <c r="D166" s="1486"/>
      <c r="E166" s="1136">
        <v>1</v>
      </c>
      <c r="F166" s="1270"/>
      <c r="G166" s="1129">
        <v>43468</v>
      </c>
      <c r="H166" s="1136">
        <v>10</v>
      </c>
      <c r="I166" s="1133">
        <f t="shared" si="153"/>
        <v>176970</v>
      </c>
      <c r="J166" s="1133">
        <f t="shared" si="136"/>
        <v>17697</v>
      </c>
      <c r="K166" s="1270"/>
      <c r="L166" s="1270"/>
      <c r="M166" s="1270"/>
      <c r="N166" s="1270"/>
      <c r="O166" s="1270"/>
      <c r="P166" s="1215">
        <f t="shared" si="154"/>
        <v>5309.0999999999995</v>
      </c>
      <c r="Q166" s="1270"/>
      <c r="R166" s="1270"/>
      <c r="S166" s="1133">
        <f t="shared" si="137"/>
        <v>23006.1</v>
      </c>
      <c r="T166" s="1133">
        <f t="shared" si="138"/>
        <v>199976.1</v>
      </c>
      <c r="U166" s="1133">
        <f t="shared" si="139"/>
        <v>19997.61</v>
      </c>
      <c r="V166" s="1133">
        <f t="shared" si="140"/>
        <v>11542.8968</v>
      </c>
      <c r="W166" s="1133">
        <f t="shared" si="141"/>
        <v>3999.5220000000004</v>
      </c>
      <c r="X166" s="1133">
        <f t="shared" si="142"/>
        <v>164436.07120000001</v>
      </c>
      <c r="Y166" s="1133">
        <f t="shared" si="143"/>
        <v>2399713.2000000002</v>
      </c>
      <c r="Z166" s="1133">
        <f t="shared" si="144"/>
        <v>353940</v>
      </c>
      <c r="AA166" s="1133">
        <f t="shared" si="145"/>
        <v>2753653.2</v>
      </c>
      <c r="AB166" s="1133">
        <f t="shared" si="146"/>
        <v>96377.862000000023</v>
      </c>
      <c r="AC166" s="1133">
        <f t="shared" si="147"/>
        <v>143417.90376000002</v>
      </c>
      <c r="AD166" s="1133">
        <f t="shared" si="148"/>
        <v>123914.39400000003</v>
      </c>
      <c r="AE166" s="1133">
        <f t="shared" si="149"/>
        <v>82609.596000000005</v>
      </c>
      <c r="AF166" s="1133">
        <f t="shared" si="150"/>
        <v>3199972.9557600003</v>
      </c>
      <c r="AG166" s="1133" t="s">
        <v>3</v>
      </c>
    </row>
    <row r="167" spans="1:35">
      <c r="A167" s="1126" t="e">
        <f t="shared" si="152"/>
        <v>#REF!</v>
      </c>
      <c r="B167" s="1134" t="s">
        <v>14</v>
      </c>
      <c r="C167" s="1134" t="s">
        <v>542</v>
      </c>
      <c r="D167" s="1486"/>
      <c r="E167" s="1136">
        <v>1</v>
      </c>
      <c r="F167" s="1175"/>
      <c r="G167" s="1129">
        <v>43332</v>
      </c>
      <c r="H167" s="1136">
        <v>10</v>
      </c>
      <c r="I167" s="1133">
        <f t="shared" si="153"/>
        <v>176970</v>
      </c>
      <c r="J167" s="1133">
        <f t="shared" si="136"/>
        <v>17697</v>
      </c>
      <c r="K167" s="1265"/>
      <c r="L167" s="1265"/>
      <c r="M167" s="1265"/>
      <c r="N167" s="1265"/>
      <c r="O167" s="1265"/>
      <c r="P167" s="1215">
        <f t="shared" si="154"/>
        <v>5309.0999999999995</v>
      </c>
      <c r="Q167" s="1265"/>
      <c r="R167" s="1265"/>
      <c r="S167" s="1133">
        <f t="shared" si="137"/>
        <v>23006.1</v>
      </c>
      <c r="T167" s="1133">
        <f t="shared" si="138"/>
        <v>199976.1</v>
      </c>
      <c r="U167" s="1133">
        <f t="shared" si="139"/>
        <v>19997.61</v>
      </c>
      <c r="V167" s="1133">
        <f t="shared" si="140"/>
        <v>11542.8968</v>
      </c>
      <c r="W167" s="1133">
        <f t="shared" si="141"/>
        <v>3999.5220000000004</v>
      </c>
      <c r="X167" s="1133">
        <f t="shared" si="142"/>
        <v>164436.07120000001</v>
      </c>
      <c r="Y167" s="1133">
        <f t="shared" si="143"/>
        <v>2399713.2000000002</v>
      </c>
      <c r="Z167" s="1133">
        <f t="shared" si="144"/>
        <v>353940</v>
      </c>
      <c r="AA167" s="1133">
        <f t="shared" si="145"/>
        <v>2753653.2</v>
      </c>
      <c r="AB167" s="1133">
        <f t="shared" si="146"/>
        <v>96377.862000000023</v>
      </c>
      <c r="AC167" s="1133">
        <f t="shared" si="147"/>
        <v>143417.90376000002</v>
      </c>
      <c r="AD167" s="1133">
        <f t="shared" si="148"/>
        <v>123914.39400000003</v>
      </c>
      <c r="AE167" s="1133">
        <f t="shared" si="149"/>
        <v>82609.596000000005</v>
      </c>
      <c r="AF167" s="1133">
        <f t="shared" si="150"/>
        <v>3199972.9557600003</v>
      </c>
      <c r="AG167" s="1133" t="s">
        <v>3</v>
      </c>
    </row>
    <row r="168" spans="1:35" s="1189" customFormat="1">
      <c r="A168" s="1278" t="e">
        <f t="shared" si="152"/>
        <v>#REF!</v>
      </c>
      <c r="B168" s="1199" t="s">
        <v>14</v>
      </c>
      <c r="C168" s="1208" t="s">
        <v>931</v>
      </c>
      <c r="D168" s="1486"/>
      <c r="E168" s="1279"/>
      <c r="F168" s="1179"/>
      <c r="G168" s="1275">
        <v>45902</v>
      </c>
      <c r="H168" s="1246">
        <v>20</v>
      </c>
      <c r="I168" s="1185">
        <f>17697*H168</f>
        <v>353940</v>
      </c>
      <c r="J168" s="1185">
        <f t="shared" si="136"/>
        <v>35394</v>
      </c>
      <c r="K168" s="1203"/>
      <c r="L168" s="1203"/>
      <c r="M168" s="1203"/>
      <c r="N168" s="1203"/>
      <c r="O168" s="1203"/>
      <c r="P168" s="1280">
        <f t="shared" si="154"/>
        <v>5309.0999999999995</v>
      </c>
      <c r="Q168" s="1203"/>
      <c r="R168" s="1203"/>
      <c r="S168" s="1185">
        <f t="shared" si="137"/>
        <v>40703.1</v>
      </c>
      <c r="T168" s="1185">
        <f t="shared" si="138"/>
        <v>394643.1</v>
      </c>
      <c r="U168" s="1185">
        <f t="shared" si="139"/>
        <v>39464.31</v>
      </c>
      <c r="V168" s="1185">
        <f t="shared" si="140"/>
        <v>28673.592799999999</v>
      </c>
      <c r="W168" s="1185">
        <f t="shared" si="141"/>
        <v>7892.8620000000001</v>
      </c>
      <c r="X168" s="1185">
        <f t="shared" si="142"/>
        <v>318612.33519999997</v>
      </c>
      <c r="Y168" s="1185">
        <f t="shared" si="143"/>
        <v>4735717.1999999993</v>
      </c>
      <c r="Z168" s="1185">
        <f t="shared" si="144"/>
        <v>707880</v>
      </c>
      <c r="AA168" s="1185">
        <f t="shared" si="145"/>
        <v>5443597.1999999993</v>
      </c>
      <c r="AB168" s="1185">
        <f t="shared" si="146"/>
        <v>190525.902</v>
      </c>
      <c r="AC168" s="1185">
        <f t="shared" si="147"/>
        <v>283535.67096000002</v>
      </c>
      <c r="AD168" s="1185">
        <f t="shared" si="148"/>
        <v>244961.87399999998</v>
      </c>
      <c r="AE168" s="1185">
        <f t="shared" si="149"/>
        <v>163307.91599999997</v>
      </c>
      <c r="AF168" s="1185">
        <f t="shared" si="150"/>
        <v>6325928.5629599988</v>
      </c>
      <c r="AG168" s="1185" t="s">
        <v>3</v>
      </c>
    </row>
    <row r="169" spans="1:35" ht="19.5" customHeight="1">
      <c r="A169" s="1126" t="e">
        <f>#REF!+1</f>
        <v>#REF!</v>
      </c>
      <c r="B169" s="1137" t="s">
        <v>543</v>
      </c>
      <c r="C169" s="1137" t="s">
        <v>544</v>
      </c>
      <c r="D169" s="1175">
        <v>1</v>
      </c>
      <c r="E169" s="1139">
        <v>1</v>
      </c>
      <c r="F169" s="1128"/>
      <c r="G169" s="1129">
        <v>44987</v>
      </c>
      <c r="H169" s="1139">
        <v>12</v>
      </c>
      <c r="I169" s="1133">
        <f t="shared" si="153"/>
        <v>212364</v>
      </c>
      <c r="J169" s="1133">
        <f t="shared" si="136"/>
        <v>21236.400000000001</v>
      </c>
      <c r="K169" s="1128"/>
      <c r="L169" s="1128"/>
      <c r="M169" s="1128"/>
      <c r="N169" s="1128"/>
      <c r="O169" s="1128"/>
      <c r="P169" s="1215">
        <f t="shared" si="154"/>
        <v>5309.0999999999995</v>
      </c>
      <c r="Q169" s="1177"/>
      <c r="R169" s="1177"/>
      <c r="S169" s="1133">
        <f t="shared" si="137"/>
        <v>26545.5</v>
      </c>
      <c r="T169" s="1133">
        <f t="shared" si="138"/>
        <v>238909.5</v>
      </c>
      <c r="U169" s="1133">
        <f t="shared" si="139"/>
        <v>23890.95</v>
      </c>
      <c r="V169" s="1133">
        <f t="shared" si="140"/>
        <v>14969.036</v>
      </c>
      <c r="W169" s="1133">
        <f t="shared" si="141"/>
        <v>4778.1900000000005</v>
      </c>
      <c r="X169" s="1133">
        <f t="shared" si="142"/>
        <v>195271.32399999999</v>
      </c>
      <c r="Y169" s="1133">
        <f t="shared" si="143"/>
        <v>2866914</v>
      </c>
      <c r="Z169" s="1133">
        <f t="shared" si="144"/>
        <v>424728</v>
      </c>
      <c r="AA169" s="1133">
        <f t="shared" si="145"/>
        <v>3291642</v>
      </c>
      <c r="AB169" s="1133">
        <f t="shared" si="146"/>
        <v>115207.47000000002</v>
      </c>
      <c r="AC169" s="1133">
        <f t="shared" si="147"/>
        <v>171441.45720000006</v>
      </c>
      <c r="AD169" s="1133">
        <f t="shared" si="148"/>
        <v>148123.89000000001</v>
      </c>
      <c r="AE169" s="1133">
        <f t="shared" si="149"/>
        <v>98749.26</v>
      </c>
      <c r="AF169" s="1133">
        <f t="shared" si="150"/>
        <v>3825164.0772000002</v>
      </c>
      <c r="AG169" s="1133" t="s">
        <v>3</v>
      </c>
    </row>
    <row r="170" spans="1:35" ht="24" customHeight="1">
      <c r="A170" s="1168"/>
      <c r="B170" s="1169" t="s">
        <v>835</v>
      </c>
      <c r="C170" s="1170"/>
      <c r="D170" s="1171">
        <f>SUM(D158:D169)</f>
        <v>12</v>
      </c>
      <c r="E170" s="1171">
        <f>SUM(E158:E169)</f>
        <v>8</v>
      </c>
      <c r="F170" s="1171">
        <f>SUM(F158:F169)</f>
        <v>0</v>
      </c>
      <c r="G170" s="1171"/>
      <c r="H170" s="1171"/>
      <c r="I170" s="1173">
        <f t="shared" ref="I170:AF170" si="155">SUM(I158:I169)</f>
        <v>3220854</v>
      </c>
      <c r="J170" s="1173">
        <f t="shared" si="155"/>
        <v>322085.40000000002</v>
      </c>
      <c r="K170" s="1173">
        <f t="shared" si="155"/>
        <v>0</v>
      </c>
      <c r="L170" s="1173">
        <f t="shared" si="155"/>
        <v>0</v>
      </c>
      <c r="M170" s="1173">
        <f t="shared" si="155"/>
        <v>0</v>
      </c>
      <c r="N170" s="1173">
        <f t="shared" si="155"/>
        <v>0</v>
      </c>
      <c r="O170" s="1173">
        <f t="shared" si="155"/>
        <v>0</v>
      </c>
      <c r="P170" s="1173">
        <f t="shared" si="155"/>
        <v>26545.499999999996</v>
      </c>
      <c r="Q170" s="1173">
        <f t="shared" si="155"/>
        <v>0</v>
      </c>
      <c r="R170" s="1173">
        <f t="shared" si="155"/>
        <v>4424.25</v>
      </c>
      <c r="S170" s="1173">
        <f t="shared" si="155"/>
        <v>353055.14999999997</v>
      </c>
      <c r="T170" s="1173">
        <f t="shared" si="155"/>
        <v>3573909.1500000004</v>
      </c>
      <c r="U170" s="1173">
        <f t="shared" si="155"/>
        <v>357390.91499999998</v>
      </c>
      <c r="V170" s="1173">
        <f t="shared" si="155"/>
        <v>241844.00519999993</v>
      </c>
      <c r="W170" s="1173">
        <f t="shared" si="155"/>
        <v>71478.18299999999</v>
      </c>
      <c r="X170" s="1173">
        <f t="shared" si="155"/>
        <v>2903196.0468000001</v>
      </c>
      <c r="Y170" s="1173">
        <f t="shared" si="155"/>
        <v>42886909.799999997</v>
      </c>
      <c r="Z170" s="1173">
        <f t="shared" si="155"/>
        <v>6441708</v>
      </c>
      <c r="AA170" s="1173">
        <f t="shared" si="155"/>
        <v>49328617.800000012</v>
      </c>
      <c r="AB170" s="1173">
        <f t="shared" si="155"/>
        <v>1726501.6230000001</v>
      </c>
      <c r="AC170" s="1173">
        <f t="shared" si="155"/>
        <v>5569394.1596400011</v>
      </c>
      <c r="AD170" s="1173">
        <f t="shared" si="155"/>
        <v>2219787.8010000004</v>
      </c>
      <c r="AE170" s="1173">
        <f t="shared" si="155"/>
        <v>1479858.5339999995</v>
      </c>
      <c r="AF170" s="1173">
        <f t="shared" si="155"/>
        <v>60324159.917640015</v>
      </c>
      <c r="AG170" s="1171"/>
    </row>
    <row r="171" spans="1:35" ht="24" customHeight="1">
      <c r="A171" s="1281"/>
      <c r="B171" s="1282" t="s">
        <v>2461</v>
      </c>
      <c r="C171" s="1283"/>
      <c r="D171" s="1284">
        <f>D39+D93+D122+D156+D170</f>
        <v>68</v>
      </c>
      <c r="E171" s="1285">
        <f>E39+E93+E122+E156+E170</f>
        <v>45.5</v>
      </c>
      <c r="F171" s="1286">
        <f>F39+F93+F122+F156+F170</f>
        <v>0</v>
      </c>
      <c r="G171" s="1286"/>
      <c r="H171" s="1286"/>
      <c r="I171" s="1286">
        <f>I39+I93+I122+I156+I170</f>
        <v>21554946</v>
      </c>
      <c r="J171" s="1286">
        <f t="shared" ref="J171:AF171" si="156">J39+J93+J122+J156+J170</f>
        <v>2155494.6</v>
      </c>
      <c r="K171" s="1286">
        <f t="shared" si="156"/>
        <v>0</v>
      </c>
      <c r="L171" s="1286">
        <f t="shared" si="156"/>
        <v>0</v>
      </c>
      <c r="M171" s="1286">
        <f t="shared" si="156"/>
        <v>0</v>
      </c>
      <c r="N171" s="1286">
        <f t="shared" si="156"/>
        <v>0</v>
      </c>
      <c r="O171" s="1286">
        <f t="shared" si="156"/>
        <v>6193.95</v>
      </c>
      <c r="P171" s="1286">
        <f t="shared" si="156"/>
        <v>138036.59999999998</v>
      </c>
      <c r="Q171" s="1286">
        <f t="shared" si="156"/>
        <v>14157.6</v>
      </c>
      <c r="R171" s="1286">
        <f t="shared" si="156"/>
        <v>17697</v>
      </c>
      <c r="S171" s="1286">
        <f t="shared" si="156"/>
        <v>2331579.7500000005</v>
      </c>
      <c r="T171" s="1286">
        <f t="shared" si="156"/>
        <v>23886525.75</v>
      </c>
      <c r="U171" s="1286">
        <f t="shared" si="156"/>
        <v>2388652.5750000002</v>
      </c>
      <c r="V171" s="1286">
        <f t="shared" si="156"/>
        <v>1768989.2660000001</v>
      </c>
      <c r="W171" s="1286">
        <f t="shared" si="156"/>
        <v>477730.51500000001</v>
      </c>
      <c r="X171" s="1286">
        <f t="shared" si="156"/>
        <v>19251153.393999998</v>
      </c>
      <c r="Y171" s="1286">
        <f t="shared" si="156"/>
        <v>286638309</v>
      </c>
      <c r="Z171" s="1286">
        <f t="shared" si="156"/>
        <v>43109892</v>
      </c>
      <c r="AA171" s="1286">
        <f t="shared" si="156"/>
        <v>329748201</v>
      </c>
      <c r="AB171" s="1286">
        <f t="shared" si="156"/>
        <v>11541187.035000002</v>
      </c>
      <c r="AC171" s="1286">
        <f t="shared" si="156"/>
        <v>29843387.924199998</v>
      </c>
      <c r="AD171" s="1286">
        <f t="shared" si="156"/>
        <v>14838669.045000002</v>
      </c>
      <c r="AE171" s="1286">
        <f t="shared" si="156"/>
        <v>9892446.0300000012</v>
      </c>
      <c r="AF171" s="1286">
        <f t="shared" si="156"/>
        <v>395863891.03420007</v>
      </c>
      <c r="AG171" s="1287"/>
      <c r="AH171" s="1288">
        <v>395863891.02999997</v>
      </c>
      <c r="AI171" s="1288">
        <f>AH171-AF171</f>
        <v>-4.2001008987426758E-3</v>
      </c>
    </row>
    <row r="172" spans="1:35" ht="24" customHeight="1">
      <c r="A172" s="1281"/>
      <c r="B172" s="1282" t="s">
        <v>2462</v>
      </c>
      <c r="C172" s="1283"/>
      <c r="D172" s="1284">
        <f>D26+D88+D126+D153</f>
        <v>78.75</v>
      </c>
      <c r="E172" s="1289">
        <f>E26+E88+E126+E153</f>
        <v>66.75</v>
      </c>
      <c r="F172" s="1290">
        <f>F26+F88+F126+F153</f>
        <v>0</v>
      </c>
      <c r="G172" s="1290"/>
      <c r="H172" s="1290"/>
      <c r="I172" s="1286">
        <f>I26+I88+I126+I153</f>
        <v>33549087.75</v>
      </c>
      <c r="J172" s="1286">
        <f t="shared" ref="J172:AF172" si="157">J26+J88+J126+J153</f>
        <v>3354908.7750000008</v>
      </c>
      <c r="K172" s="1286">
        <f t="shared" si="157"/>
        <v>216250</v>
      </c>
      <c r="L172" s="1286">
        <f t="shared" si="157"/>
        <v>0</v>
      </c>
      <c r="M172" s="1286">
        <f t="shared" si="157"/>
        <v>1162692.8999999999</v>
      </c>
      <c r="N172" s="1286">
        <f t="shared" si="157"/>
        <v>0</v>
      </c>
      <c r="O172" s="1286">
        <f t="shared" si="157"/>
        <v>0</v>
      </c>
      <c r="P172" s="1286">
        <f t="shared" si="157"/>
        <v>15927.3</v>
      </c>
      <c r="Q172" s="1286">
        <f t="shared" si="157"/>
        <v>0</v>
      </c>
      <c r="R172" s="1286">
        <f t="shared" si="157"/>
        <v>0</v>
      </c>
      <c r="S172" s="1286">
        <f t="shared" si="157"/>
        <v>4749778.9749999996</v>
      </c>
      <c r="T172" s="1286">
        <f t="shared" si="157"/>
        <v>38298866.725000009</v>
      </c>
      <c r="U172" s="1286">
        <f t="shared" si="157"/>
        <v>3829886.6725000003</v>
      </c>
      <c r="V172" s="1286">
        <f t="shared" si="157"/>
        <v>2891955.2717999993</v>
      </c>
      <c r="W172" s="1286">
        <f t="shared" si="157"/>
        <v>765977.33450000035</v>
      </c>
      <c r="X172" s="1286">
        <f t="shared" si="157"/>
        <v>30811047.446199998</v>
      </c>
      <c r="Y172" s="1286">
        <f t="shared" si="157"/>
        <v>459586400.69999981</v>
      </c>
      <c r="Z172" s="1286">
        <f t="shared" si="157"/>
        <v>67098175.5</v>
      </c>
      <c r="AA172" s="1286">
        <f t="shared" si="157"/>
        <v>526684576.19999981</v>
      </c>
      <c r="AB172" s="1286">
        <f t="shared" si="157"/>
        <v>22433960.166999996</v>
      </c>
      <c r="AC172" s="1286">
        <f t="shared" si="157"/>
        <v>59589603.473259985</v>
      </c>
      <c r="AD172" s="1286">
        <f t="shared" si="157"/>
        <v>23700805.929000005</v>
      </c>
      <c r="AE172" s="1286">
        <f t="shared" si="157"/>
        <v>15800537.286000002</v>
      </c>
      <c r="AF172" s="1286">
        <f t="shared" si="157"/>
        <v>648209483.05525982</v>
      </c>
      <c r="AG172" s="1287"/>
      <c r="AH172" s="1288">
        <v>648209483.05999994</v>
      </c>
      <c r="AI172" s="1288">
        <f>AH172-AF172</f>
        <v>4.7401189804077148E-3</v>
      </c>
    </row>
    <row r="173" spans="1:35" ht="26.25" customHeight="1">
      <c r="A173" s="1281"/>
      <c r="B173" s="1282" t="s">
        <v>2463</v>
      </c>
      <c r="C173" s="1283"/>
      <c r="D173" s="1286">
        <f>D172+D171</f>
        <v>146.75</v>
      </c>
      <c r="E173" s="1285">
        <f>E172+E171</f>
        <v>112.25</v>
      </c>
      <c r="F173" s="1286">
        <f>F172+F171</f>
        <v>0</v>
      </c>
      <c r="G173" s="1286"/>
      <c r="H173" s="1286"/>
      <c r="I173" s="1286">
        <f t="shared" ref="I173:AF173" si="158">I172+I171</f>
        <v>55104033.75</v>
      </c>
      <c r="J173" s="1286">
        <f t="shared" si="158"/>
        <v>5510403.3750000009</v>
      </c>
      <c r="K173" s="1286">
        <f t="shared" si="158"/>
        <v>216250</v>
      </c>
      <c r="L173" s="1286">
        <f t="shared" si="158"/>
        <v>0</v>
      </c>
      <c r="M173" s="1286">
        <f t="shared" si="158"/>
        <v>1162692.8999999999</v>
      </c>
      <c r="N173" s="1286">
        <f t="shared" si="158"/>
        <v>0</v>
      </c>
      <c r="O173" s="1286">
        <f t="shared" si="158"/>
        <v>6193.95</v>
      </c>
      <c r="P173" s="1286">
        <f t="shared" si="158"/>
        <v>153963.89999999997</v>
      </c>
      <c r="Q173" s="1286">
        <f t="shared" si="158"/>
        <v>14157.6</v>
      </c>
      <c r="R173" s="1286">
        <f t="shared" si="158"/>
        <v>17697</v>
      </c>
      <c r="S173" s="1286">
        <f t="shared" si="158"/>
        <v>7081358.7249999996</v>
      </c>
      <c r="T173" s="1286">
        <f t="shared" si="158"/>
        <v>62185392.475000009</v>
      </c>
      <c r="U173" s="1286">
        <f t="shared" si="158"/>
        <v>6218539.2475000005</v>
      </c>
      <c r="V173" s="1286">
        <f t="shared" si="158"/>
        <v>4660944.5377999991</v>
      </c>
      <c r="W173" s="1286">
        <f t="shared" si="158"/>
        <v>1243707.8495000005</v>
      </c>
      <c r="X173" s="1286">
        <f t="shared" si="158"/>
        <v>50062200.840199992</v>
      </c>
      <c r="Y173" s="1286">
        <f t="shared" si="158"/>
        <v>746224709.69999981</v>
      </c>
      <c r="Z173" s="1286">
        <f t="shared" si="158"/>
        <v>110208067.5</v>
      </c>
      <c r="AA173" s="1286">
        <f t="shared" si="158"/>
        <v>856432777.19999981</v>
      </c>
      <c r="AB173" s="1286">
        <f t="shared" si="158"/>
        <v>33975147.202</v>
      </c>
      <c r="AC173" s="1286">
        <f t="shared" si="158"/>
        <v>89432991.397459984</v>
      </c>
      <c r="AD173" s="1286">
        <f t="shared" si="158"/>
        <v>38539474.974000007</v>
      </c>
      <c r="AE173" s="1286">
        <f t="shared" si="158"/>
        <v>25692983.316000003</v>
      </c>
      <c r="AF173" s="1286">
        <f t="shared" si="158"/>
        <v>1044073374.0894599</v>
      </c>
      <c r="AG173" s="1287"/>
    </row>
    <row r="174" spans="1:35">
      <c r="A174" s="1112"/>
      <c r="B174" s="1291"/>
      <c r="C174" s="1113"/>
      <c r="D174" s="1121"/>
      <c r="E174" s="1121"/>
      <c r="F174" s="1121"/>
      <c r="G174" s="1121"/>
      <c r="H174" s="1121"/>
      <c r="I174" s="1292"/>
      <c r="J174" s="1292"/>
      <c r="K174" s="1292"/>
      <c r="L174" s="1292"/>
      <c r="M174" s="1292"/>
      <c r="N174" s="1292"/>
      <c r="O174" s="1292"/>
      <c r="P174" s="1292"/>
      <c r="Q174" s="1292"/>
      <c r="R174" s="1292"/>
      <c r="S174" s="1292"/>
      <c r="T174" s="1292"/>
      <c r="U174" s="1292"/>
      <c r="V174" s="1292"/>
      <c r="W174" s="1292"/>
      <c r="X174" s="1292"/>
      <c r="Y174" s="1292"/>
      <c r="Z174" s="1292"/>
      <c r="AA174" s="1292"/>
      <c r="AB174" s="1292"/>
      <c r="AC174" s="1292"/>
      <c r="AD174" s="1292"/>
      <c r="AE174" s="1292"/>
      <c r="AF174" s="1292"/>
      <c r="AG174" s="1121"/>
    </row>
    <row r="175" spans="1:35">
      <c r="A175" s="1112"/>
      <c r="B175" s="1113"/>
      <c r="C175" s="1113"/>
      <c r="D175" s="1293"/>
      <c r="E175" s="1293"/>
      <c r="F175" s="1293"/>
      <c r="G175" s="1293"/>
      <c r="H175" s="1293"/>
      <c r="I175" s="1293"/>
      <c r="J175" s="1293"/>
      <c r="K175" s="1293"/>
      <c r="L175" s="1293"/>
      <c r="M175" s="1293"/>
      <c r="N175" s="1293"/>
      <c r="O175" s="1293"/>
      <c r="P175" s="1293"/>
      <c r="Q175" s="1293"/>
      <c r="R175" s="1293"/>
      <c r="S175" s="1293"/>
      <c r="T175" s="1293"/>
      <c r="U175" s="1293"/>
      <c r="V175" s="1293"/>
      <c r="W175" s="1293"/>
      <c r="X175" s="1293"/>
      <c r="Y175" s="1293"/>
      <c r="Z175" s="1293"/>
      <c r="AA175" s="1293"/>
      <c r="AB175" s="1293"/>
      <c r="AC175" s="1293"/>
      <c r="AD175" s="1293"/>
      <c r="AE175" s="1293"/>
      <c r="AF175" s="1294">
        <v>1133522645.3</v>
      </c>
    </row>
    <row r="176" spans="1:35" s="1295" customFormat="1" ht="26.25" customHeight="1">
      <c r="A176" s="1264"/>
      <c r="B176" s="329" t="s">
        <v>934</v>
      </c>
      <c r="C176" s="329"/>
      <c r="D176" s="329" t="s">
        <v>841</v>
      </c>
      <c r="E176" s="1264"/>
      <c r="F176" s="1118"/>
      <c r="G176" s="1118"/>
      <c r="H176" s="1118"/>
      <c r="I176" s="1118"/>
      <c r="J176" s="1118"/>
      <c r="K176" s="1118"/>
      <c r="L176" s="1118"/>
      <c r="M176" s="1118"/>
      <c r="N176" s="1118"/>
      <c r="O176" s="1118"/>
      <c r="P176" s="1118"/>
      <c r="Q176" s="1111"/>
      <c r="R176" s="1111"/>
      <c r="S176" s="1288"/>
      <c r="T176" s="1288"/>
      <c r="U176" s="1288"/>
      <c r="V176" s="1288"/>
      <c r="W176" s="1288"/>
      <c r="X176" s="1288"/>
      <c r="Y176" s="1288"/>
      <c r="Z176" s="1288"/>
      <c r="AA176" s="1288"/>
      <c r="AB176" s="1288"/>
      <c r="AC176" s="1288"/>
      <c r="AD176" s="1288"/>
      <c r="AE176" s="1288"/>
      <c r="AF176" s="1288"/>
      <c r="AG176" s="1111"/>
    </row>
    <row r="177" spans="1:33" s="1295" customFormat="1" ht="21.75" customHeight="1">
      <c r="A177" s="1264"/>
      <c r="B177" s="1296"/>
      <c r="C177" s="1118"/>
      <c r="E177" s="1264"/>
      <c r="F177" s="1118"/>
      <c r="G177" s="1118"/>
      <c r="H177" s="1118"/>
      <c r="I177" s="1118"/>
      <c r="J177" s="1118"/>
      <c r="K177" s="1118"/>
      <c r="L177" s="1118"/>
      <c r="M177" s="1118"/>
      <c r="N177" s="1118"/>
      <c r="O177" s="1118"/>
      <c r="P177" s="1118"/>
      <c r="Q177" s="1111"/>
      <c r="R177" s="1111"/>
      <c r="S177" s="1111"/>
      <c r="T177" s="1111"/>
      <c r="U177" s="1111"/>
      <c r="V177" s="1111"/>
      <c r="W177" s="1111"/>
      <c r="X177" s="1111"/>
      <c r="Y177" s="1288"/>
      <c r="Z177" s="1111"/>
      <c r="AA177" s="1111"/>
      <c r="AB177" s="1111"/>
      <c r="AC177" s="1111"/>
      <c r="AD177" s="1111"/>
      <c r="AE177" s="1111"/>
      <c r="AF177" s="1297">
        <f>AF175-AF173</f>
        <v>89449271.210540056</v>
      </c>
      <c r="AG177" s="1111"/>
    </row>
    <row r="178" spans="1:33" s="1295" customFormat="1" ht="24" customHeight="1">
      <c r="A178" s="1264"/>
      <c r="B178" s="1296" t="s">
        <v>52</v>
      </c>
      <c r="C178" s="1118"/>
      <c r="D178" s="1296" t="s">
        <v>842</v>
      </c>
      <c r="E178" s="1264"/>
      <c r="F178" s="1118"/>
      <c r="G178" s="1118"/>
      <c r="H178" s="1118"/>
      <c r="I178" s="1118"/>
      <c r="J178" s="1118"/>
      <c r="K178" s="1118"/>
      <c r="L178" s="1118"/>
      <c r="M178" s="1118"/>
      <c r="N178" s="1118"/>
      <c r="O178" s="1118"/>
      <c r="P178" s="1118"/>
      <c r="Q178" s="1111"/>
      <c r="R178" s="1111"/>
      <c r="S178" s="1111"/>
      <c r="T178" s="1111"/>
      <c r="U178" s="1111"/>
      <c r="V178" s="1111"/>
      <c r="W178" s="1111"/>
      <c r="X178" s="1111"/>
      <c r="Y178" s="1111"/>
      <c r="Z178" s="1111"/>
      <c r="AA178" s="1111"/>
      <c r="AB178" s="1111"/>
      <c r="AC178" s="1111"/>
      <c r="AD178" s="1111"/>
      <c r="AE178" s="1111"/>
      <c r="AF178" s="1288"/>
      <c r="AG178" s="1111"/>
    </row>
    <row r="179" spans="1:33" s="1295" customFormat="1">
      <c r="A179" s="1264"/>
      <c r="B179" s="1296"/>
      <c r="C179" s="1118"/>
      <c r="E179" s="1264"/>
      <c r="F179" s="1118"/>
      <c r="G179" s="1118"/>
      <c r="H179" s="1118"/>
      <c r="I179" s="1118"/>
      <c r="J179" s="1118"/>
      <c r="K179" s="1118"/>
      <c r="L179" s="1118"/>
      <c r="M179" s="1118"/>
      <c r="N179" s="1118"/>
      <c r="O179" s="1118"/>
      <c r="P179" s="1118"/>
      <c r="Q179" s="1111"/>
      <c r="R179" s="1111"/>
      <c r="S179" s="1111"/>
      <c r="T179" s="1111"/>
      <c r="U179" s="1111"/>
      <c r="V179" s="1111"/>
      <c r="W179" s="1111"/>
      <c r="X179" s="1111"/>
      <c r="Y179" s="1111"/>
      <c r="Z179" s="1111"/>
      <c r="AA179" s="1111"/>
      <c r="AB179" s="1111"/>
      <c r="AC179" s="1111"/>
      <c r="AD179" s="1111"/>
      <c r="AE179" s="1111"/>
      <c r="AF179" s="1111"/>
      <c r="AG179" s="1111"/>
    </row>
    <row r="180" spans="1:33" s="1295" customFormat="1" ht="27.75" customHeight="1">
      <c r="A180" s="1264"/>
      <c r="B180" s="1296" t="s">
        <v>843</v>
      </c>
      <c r="C180" s="1118"/>
      <c r="D180" s="1296" t="s">
        <v>844</v>
      </c>
      <c r="E180" s="1264"/>
      <c r="F180" s="1118"/>
      <c r="G180" s="1118"/>
      <c r="H180" s="1118"/>
      <c r="I180" s="1118"/>
      <c r="J180" s="1118"/>
      <c r="K180" s="1118"/>
      <c r="L180" s="1118"/>
      <c r="M180" s="1118"/>
      <c r="N180" s="1118"/>
      <c r="O180" s="1118"/>
      <c r="P180" s="1118"/>
      <c r="Q180" s="1111"/>
      <c r="R180" s="1111"/>
      <c r="S180" s="1111"/>
      <c r="T180" s="1111"/>
      <c r="U180" s="1111"/>
      <c r="V180" s="1111"/>
      <c r="W180" s="1111"/>
      <c r="X180" s="1111"/>
      <c r="Y180" s="1111"/>
      <c r="Z180" s="1111"/>
      <c r="AA180" s="1111"/>
      <c r="AB180" s="1111"/>
      <c r="AC180" s="1111"/>
      <c r="AD180" s="1111"/>
      <c r="AE180" s="1111"/>
      <c r="AF180" s="1111"/>
      <c r="AG180" s="1111"/>
    </row>
    <row r="181" spans="1:33" s="1295" customFormat="1">
      <c r="A181" s="1264"/>
      <c r="D181" s="1118"/>
      <c r="E181" s="1264"/>
      <c r="F181" s="1118"/>
      <c r="G181" s="1118"/>
      <c r="H181" s="1118"/>
      <c r="I181" s="1118"/>
      <c r="J181" s="1118"/>
      <c r="K181" s="1118"/>
      <c r="L181" s="1118"/>
      <c r="M181" s="1118"/>
      <c r="N181" s="1118"/>
      <c r="O181" s="1118"/>
      <c r="P181" s="1118"/>
      <c r="Q181" s="1111"/>
      <c r="R181" s="1111"/>
      <c r="S181" s="1111"/>
      <c r="T181" s="1111"/>
      <c r="U181" s="1111"/>
      <c r="V181" s="1111"/>
      <c r="W181" s="1111"/>
      <c r="X181" s="1111"/>
      <c r="Y181" s="1111"/>
      <c r="Z181" s="1111"/>
      <c r="AA181" s="1111"/>
      <c r="AB181" s="1111"/>
      <c r="AC181" s="1111"/>
      <c r="AD181" s="1111"/>
      <c r="AE181" s="1111"/>
      <c r="AF181" s="1111"/>
      <c r="AG181" s="1111"/>
    </row>
    <row r="182" spans="1:33" s="1295" customFormat="1">
      <c r="A182" s="1264"/>
      <c r="D182" s="1118"/>
      <c r="E182" s="1264"/>
      <c r="F182" s="1118"/>
      <c r="G182" s="1118"/>
      <c r="H182" s="1118"/>
      <c r="I182" s="1118"/>
      <c r="J182" s="1118"/>
      <c r="K182" s="1118"/>
      <c r="L182" s="1118"/>
      <c r="M182" s="1118"/>
      <c r="N182" s="1118"/>
      <c r="O182" s="1118"/>
      <c r="P182" s="1118"/>
      <c r="Q182" s="1111"/>
      <c r="R182" s="1111"/>
      <c r="S182" s="1111"/>
      <c r="T182" s="1111"/>
      <c r="U182" s="1111"/>
      <c r="V182" s="1111"/>
      <c r="W182" s="1111"/>
      <c r="X182" s="1111"/>
      <c r="Y182" s="1111"/>
      <c r="Z182" s="1111"/>
      <c r="AA182" s="1111"/>
      <c r="AB182" s="1111"/>
      <c r="AC182" s="1111"/>
      <c r="AD182" s="1111"/>
      <c r="AE182" s="1111"/>
      <c r="AF182" s="1111"/>
      <c r="AG182" s="1111"/>
    </row>
    <row r="183" spans="1:33" s="1295" customFormat="1">
      <c r="A183" s="1264"/>
      <c r="D183" s="1118"/>
      <c r="E183" s="1264"/>
      <c r="F183" s="1118"/>
      <c r="G183" s="1118"/>
      <c r="H183" s="1118"/>
      <c r="I183" s="1118"/>
      <c r="J183" s="1118"/>
      <c r="K183" s="1118"/>
      <c r="L183" s="1118"/>
      <c r="M183" s="1118"/>
      <c r="N183" s="1118"/>
      <c r="O183" s="1118"/>
      <c r="P183" s="1118"/>
      <c r="Q183" s="1111"/>
      <c r="R183" s="1111"/>
      <c r="S183" s="1111"/>
      <c r="T183" s="1111"/>
      <c r="U183" s="1111"/>
      <c r="V183" s="1111"/>
      <c r="W183" s="1111"/>
      <c r="X183" s="1111"/>
      <c r="Y183" s="1111"/>
      <c r="Z183" s="1111"/>
      <c r="AA183" s="1111"/>
      <c r="AB183" s="1111"/>
      <c r="AC183" s="1111"/>
      <c r="AD183" s="1111"/>
      <c r="AE183" s="1111"/>
      <c r="AF183" s="1111"/>
      <c r="AG183" s="1111"/>
    </row>
    <row r="184" spans="1:33" s="1295" customFormat="1">
      <c r="A184" s="1264"/>
      <c r="D184" s="1118"/>
      <c r="E184" s="1264"/>
      <c r="F184" s="1118"/>
      <c r="G184" s="1118"/>
      <c r="H184" s="1118"/>
      <c r="I184" s="1118"/>
      <c r="J184" s="1118"/>
      <c r="K184" s="1118"/>
      <c r="L184" s="1118"/>
      <c r="M184" s="1118"/>
      <c r="N184" s="1118"/>
      <c r="O184" s="1118"/>
      <c r="P184" s="1118"/>
      <c r="Q184" s="1111"/>
      <c r="R184" s="1111"/>
      <c r="S184" s="1111"/>
      <c r="T184" s="1111"/>
      <c r="U184" s="1111"/>
      <c r="V184" s="1111"/>
      <c r="W184" s="1111"/>
      <c r="X184" s="1111"/>
      <c r="Y184" s="1111"/>
      <c r="Z184" s="1111"/>
      <c r="AA184" s="1111"/>
      <c r="AB184" s="1111"/>
      <c r="AC184" s="1111"/>
      <c r="AD184" s="1111"/>
      <c r="AE184" s="1111"/>
      <c r="AF184" s="1111"/>
      <c r="AG184" s="1111"/>
    </row>
    <row r="185" spans="1:33" s="1295" customFormat="1">
      <c r="A185" s="1264"/>
      <c r="D185" s="1118"/>
      <c r="E185" s="1264"/>
      <c r="F185" s="1118"/>
      <c r="G185" s="1118"/>
      <c r="H185" s="1118"/>
      <c r="I185" s="1118"/>
      <c r="J185" s="1118"/>
      <c r="K185" s="1118"/>
      <c r="L185" s="1118"/>
      <c r="M185" s="1118"/>
      <c r="N185" s="1118"/>
      <c r="O185" s="1118"/>
      <c r="P185" s="1118"/>
      <c r="Q185" s="1111"/>
      <c r="R185" s="1111"/>
      <c r="S185" s="1111"/>
      <c r="T185" s="1111"/>
      <c r="U185" s="1111"/>
      <c r="V185" s="1111"/>
      <c r="W185" s="1111"/>
      <c r="X185" s="1111"/>
      <c r="Y185" s="1111"/>
      <c r="Z185" s="1111"/>
      <c r="AA185" s="1111"/>
      <c r="AB185" s="1111"/>
      <c r="AC185" s="1111"/>
      <c r="AD185" s="1111"/>
      <c r="AE185" s="1111"/>
      <c r="AF185" s="1111"/>
      <c r="AG185" s="1111"/>
    </row>
    <row r="186" spans="1:33" s="1295" customFormat="1">
      <c r="A186" s="1264"/>
      <c r="D186" s="1118"/>
      <c r="E186" s="1264"/>
      <c r="F186" s="1118"/>
      <c r="G186" s="1118"/>
      <c r="H186" s="1118"/>
      <c r="I186" s="1118"/>
      <c r="J186" s="1118"/>
      <c r="K186" s="1118"/>
      <c r="L186" s="1118"/>
      <c r="M186" s="1118"/>
      <c r="N186" s="1118"/>
      <c r="O186" s="1118"/>
      <c r="P186" s="1118"/>
      <c r="Q186" s="1111"/>
      <c r="R186" s="1111"/>
      <c r="S186" s="1111"/>
      <c r="T186" s="1111"/>
      <c r="U186" s="1111"/>
      <c r="V186" s="1111"/>
      <c r="W186" s="1111"/>
      <c r="X186" s="1111"/>
      <c r="Y186" s="1111"/>
      <c r="Z186" s="1111"/>
      <c r="AA186" s="1111"/>
      <c r="AB186" s="1111"/>
      <c r="AC186" s="1111"/>
      <c r="AD186" s="1111"/>
      <c r="AE186" s="1111"/>
      <c r="AF186" s="1111"/>
      <c r="AG186" s="1111"/>
    </row>
    <row r="187" spans="1:33" s="1295" customFormat="1">
      <c r="A187" s="1264"/>
      <c r="D187" s="1118"/>
      <c r="E187" s="1264"/>
      <c r="F187" s="1118"/>
      <c r="G187" s="1118"/>
      <c r="H187" s="1118"/>
      <c r="I187" s="1118"/>
      <c r="J187" s="1118"/>
      <c r="K187" s="1118"/>
      <c r="L187" s="1118"/>
      <c r="M187" s="1118"/>
      <c r="N187" s="1118"/>
      <c r="O187" s="1118"/>
      <c r="P187" s="1118"/>
      <c r="Q187" s="1111"/>
      <c r="R187" s="1111"/>
      <c r="S187" s="1111"/>
      <c r="T187" s="1111"/>
      <c r="U187" s="1111"/>
      <c r="V187" s="1111"/>
      <c r="W187" s="1111"/>
      <c r="X187" s="1111"/>
      <c r="Y187" s="1111"/>
      <c r="Z187" s="1111"/>
      <c r="AA187" s="1111"/>
      <c r="AB187" s="1111"/>
      <c r="AC187" s="1111"/>
      <c r="AD187" s="1111"/>
      <c r="AE187" s="1111"/>
      <c r="AF187" s="1111"/>
      <c r="AG187" s="1111"/>
    </row>
    <row r="188" spans="1:33" s="1295" customFormat="1">
      <c r="A188" s="1264"/>
      <c r="D188" s="1118"/>
      <c r="E188" s="1264"/>
      <c r="F188" s="1118"/>
      <c r="G188" s="1118"/>
      <c r="H188" s="1118"/>
      <c r="I188" s="1118"/>
      <c r="J188" s="1118"/>
      <c r="K188" s="1118"/>
      <c r="L188" s="1118"/>
      <c r="M188" s="1118"/>
      <c r="N188" s="1118"/>
      <c r="O188" s="1118"/>
      <c r="P188" s="1118"/>
      <c r="Q188" s="1111"/>
      <c r="R188" s="1111"/>
      <c r="S188" s="1111"/>
      <c r="T188" s="1111"/>
      <c r="U188" s="1111"/>
      <c r="V188" s="1111"/>
      <c r="W188" s="1111"/>
      <c r="X188" s="1111"/>
      <c r="Y188" s="1111"/>
      <c r="Z188" s="1111"/>
      <c r="AA188" s="1111"/>
      <c r="AB188" s="1111"/>
      <c r="AC188" s="1111"/>
      <c r="AD188" s="1111"/>
      <c r="AE188" s="1111"/>
      <c r="AF188" s="1111"/>
      <c r="AG188" s="1111"/>
    </row>
    <row r="189" spans="1:33" s="1295" customFormat="1">
      <c r="A189" s="1264"/>
      <c r="D189" s="1118"/>
      <c r="E189" s="1264"/>
      <c r="F189" s="1118"/>
      <c r="G189" s="1118"/>
      <c r="H189" s="1118"/>
      <c r="I189" s="1118"/>
      <c r="J189" s="1118"/>
      <c r="K189" s="1118"/>
      <c r="L189" s="1118"/>
      <c r="M189" s="1118"/>
      <c r="N189" s="1118"/>
      <c r="O189" s="1118"/>
      <c r="P189" s="1118"/>
      <c r="Q189" s="1111"/>
      <c r="R189" s="1111"/>
      <c r="S189" s="1111"/>
      <c r="T189" s="1111"/>
      <c r="U189" s="1111"/>
      <c r="V189" s="1111"/>
      <c r="W189" s="1111"/>
      <c r="X189" s="1111"/>
      <c r="Y189" s="1111"/>
      <c r="Z189" s="1111"/>
      <c r="AA189" s="1111"/>
      <c r="AB189" s="1111"/>
      <c r="AC189" s="1111"/>
      <c r="AD189" s="1111"/>
      <c r="AE189" s="1111"/>
      <c r="AF189" s="1111"/>
      <c r="AG189" s="1111"/>
    </row>
    <row r="190" spans="1:33" s="1295" customFormat="1">
      <c r="A190" s="1264"/>
      <c r="D190" s="1118"/>
      <c r="E190" s="1264"/>
      <c r="F190" s="1118"/>
      <c r="G190" s="1118"/>
      <c r="H190" s="1118"/>
      <c r="I190" s="1118"/>
      <c r="J190" s="1118"/>
      <c r="K190" s="1118"/>
      <c r="L190" s="1118"/>
      <c r="M190" s="1118"/>
      <c r="N190" s="1118"/>
      <c r="O190" s="1118"/>
      <c r="P190" s="1118"/>
      <c r="Q190" s="1111"/>
      <c r="R190" s="1111"/>
      <c r="S190" s="1111"/>
      <c r="T190" s="1111"/>
      <c r="U190" s="1111"/>
      <c r="V190" s="1111"/>
      <c r="W190" s="1111"/>
      <c r="X190" s="1111"/>
      <c r="Y190" s="1111"/>
      <c r="Z190" s="1111"/>
      <c r="AA190" s="1111"/>
      <c r="AB190" s="1111"/>
      <c r="AC190" s="1111"/>
      <c r="AD190" s="1111"/>
      <c r="AE190" s="1111"/>
      <c r="AF190" s="1111"/>
      <c r="AG190" s="1111"/>
    </row>
    <row r="191" spans="1:33" s="1295" customFormat="1">
      <c r="A191" s="1264"/>
      <c r="D191" s="1118"/>
      <c r="E191" s="1264"/>
      <c r="F191" s="1118"/>
      <c r="G191" s="1118"/>
      <c r="H191" s="1118"/>
      <c r="I191" s="1118"/>
      <c r="J191" s="1118"/>
      <c r="K191" s="1118"/>
      <c r="L191" s="1118"/>
      <c r="M191" s="1118"/>
      <c r="N191" s="1118"/>
      <c r="O191" s="1118"/>
      <c r="P191" s="1118"/>
      <c r="Q191" s="1111"/>
      <c r="R191" s="1111"/>
      <c r="S191" s="1111"/>
      <c r="T191" s="1111"/>
      <c r="U191" s="1111"/>
      <c r="V191" s="1111"/>
      <c r="W191" s="1111"/>
      <c r="X191" s="1111"/>
      <c r="Y191" s="1111"/>
      <c r="Z191" s="1111"/>
      <c r="AA191" s="1111"/>
      <c r="AB191" s="1111"/>
      <c r="AC191" s="1111"/>
      <c r="AD191" s="1111"/>
      <c r="AE191" s="1111"/>
      <c r="AF191" s="1111"/>
      <c r="AG191" s="1111"/>
    </row>
    <row r="192" spans="1:33" s="1295" customFormat="1">
      <c r="A192" s="1264"/>
      <c r="D192" s="1118"/>
      <c r="E192" s="1264"/>
      <c r="F192" s="1118"/>
      <c r="G192" s="1118"/>
      <c r="H192" s="1118"/>
      <c r="I192" s="1118"/>
      <c r="J192" s="1118"/>
      <c r="K192" s="1118"/>
      <c r="L192" s="1118"/>
      <c r="M192" s="1118"/>
      <c r="N192" s="1118"/>
      <c r="O192" s="1118"/>
      <c r="P192" s="1118"/>
      <c r="Q192" s="1111"/>
      <c r="R192" s="1111"/>
      <c r="S192" s="1111"/>
      <c r="T192" s="1111"/>
      <c r="U192" s="1111"/>
      <c r="V192" s="1111"/>
      <c r="W192" s="1111"/>
      <c r="X192" s="1111"/>
      <c r="Y192" s="1111"/>
      <c r="Z192" s="1111"/>
      <c r="AA192" s="1111"/>
      <c r="AB192" s="1111"/>
      <c r="AC192" s="1111"/>
      <c r="AD192" s="1111"/>
      <c r="AE192" s="1111"/>
      <c r="AF192" s="1111"/>
      <c r="AG192" s="1111"/>
    </row>
    <row r="193" spans="1:33" s="1295" customFormat="1">
      <c r="A193" s="1264"/>
      <c r="D193" s="1118"/>
      <c r="E193" s="1264"/>
      <c r="F193" s="1118"/>
      <c r="G193" s="1118"/>
      <c r="H193" s="1118"/>
      <c r="I193" s="1118"/>
      <c r="J193" s="1118"/>
      <c r="K193" s="1118"/>
      <c r="L193" s="1118"/>
      <c r="M193" s="1118"/>
      <c r="N193" s="1118"/>
      <c r="O193" s="1118"/>
      <c r="P193" s="1118"/>
      <c r="Q193" s="1111"/>
      <c r="R193" s="1111"/>
      <c r="S193" s="1111"/>
      <c r="T193" s="1111"/>
      <c r="U193" s="1111"/>
      <c r="V193" s="1111"/>
      <c r="W193" s="1111"/>
      <c r="X193" s="1111"/>
      <c r="Y193" s="1111"/>
      <c r="Z193" s="1111"/>
      <c r="AA193" s="1111"/>
      <c r="AB193" s="1111"/>
      <c r="AC193" s="1111"/>
      <c r="AD193" s="1111"/>
      <c r="AE193" s="1111"/>
      <c r="AF193" s="1111"/>
      <c r="AG193" s="1111"/>
    </row>
    <row r="194" spans="1:33" s="1295" customFormat="1">
      <c r="A194" s="1264"/>
      <c r="D194" s="1118"/>
      <c r="E194" s="1264"/>
      <c r="F194" s="1118"/>
      <c r="G194" s="1118"/>
      <c r="H194" s="1118"/>
      <c r="I194" s="1118"/>
      <c r="J194" s="1118"/>
      <c r="K194" s="1118"/>
      <c r="L194" s="1118"/>
      <c r="M194" s="1118"/>
      <c r="N194" s="1118"/>
      <c r="O194" s="1118"/>
      <c r="P194" s="1118"/>
      <c r="Q194" s="1111"/>
      <c r="R194" s="1111"/>
      <c r="S194" s="1111"/>
      <c r="T194" s="1111"/>
      <c r="U194" s="1111"/>
      <c r="V194" s="1111"/>
      <c r="W194" s="1111"/>
      <c r="X194" s="1111"/>
      <c r="Y194" s="1111"/>
      <c r="Z194" s="1111"/>
      <c r="AA194" s="1111"/>
      <c r="AB194" s="1111"/>
      <c r="AC194" s="1111"/>
      <c r="AD194" s="1111"/>
      <c r="AE194" s="1111"/>
      <c r="AF194" s="1111"/>
      <c r="AG194" s="1111"/>
    </row>
    <row r="195" spans="1:33" s="1295" customFormat="1">
      <c r="A195" s="1264"/>
      <c r="D195" s="1118"/>
      <c r="E195" s="1264"/>
      <c r="F195" s="1118"/>
      <c r="G195" s="1118"/>
      <c r="H195" s="1118"/>
      <c r="I195" s="1118"/>
      <c r="J195" s="1118"/>
      <c r="K195" s="1118"/>
      <c r="L195" s="1118"/>
      <c r="M195" s="1118"/>
      <c r="N195" s="1118"/>
      <c r="O195" s="1118"/>
      <c r="P195" s="1118"/>
      <c r="Q195" s="1111"/>
      <c r="R195" s="1111"/>
      <c r="S195" s="1111"/>
      <c r="T195" s="1111"/>
      <c r="U195" s="1111"/>
      <c r="V195" s="1111"/>
      <c r="W195" s="1111"/>
      <c r="X195" s="1111"/>
      <c r="Y195" s="1111"/>
      <c r="Z195" s="1111"/>
      <c r="AA195" s="1111"/>
      <c r="AB195" s="1111"/>
      <c r="AC195" s="1111"/>
      <c r="AD195" s="1111"/>
      <c r="AE195" s="1111"/>
      <c r="AF195" s="1111"/>
      <c r="AG195" s="1111"/>
    </row>
    <row r="196" spans="1:33" s="1295" customFormat="1">
      <c r="A196" s="1264"/>
      <c r="D196" s="1118"/>
      <c r="E196" s="1264"/>
      <c r="F196" s="1118"/>
      <c r="G196" s="1118"/>
      <c r="H196" s="1118"/>
      <c r="I196" s="1118"/>
      <c r="J196" s="1118"/>
      <c r="K196" s="1118"/>
      <c r="L196" s="1118"/>
      <c r="M196" s="1118"/>
      <c r="N196" s="1118"/>
      <c r="O196" s="1118"/>
      <c r="P196" s="1118"/>
      <c r="Q196" s="1111"/>
      <c r="R196" s="1111"/>
      <c r="S196" s="1111"/>
      <c r="T196" s="1111"/>
      <c r="U196" s="1111"/>
      <c r="V196" s="1111"/>
      <c r="W196" s="1111"/>
      <c r="X196" s="1111"/>
      <c r="Y196" s="1111"/>
      <c r="Z196" s="1111"/>
      <c r="AA196" s="1111"/>
      <c r="AB196" s="1111"/>
      <c r="AC196" s="1111"/>
      <c r="AD196" s="1111"/>
      <c r="AE196" s="1111"/>
      <c r="AF196" s="1111"/>
      <c r="AG196" s="1111"/>
    </row>
    <row r="197" spans="1:33">
      <c r="A197" s="1264"/>
    </row>
    <row r="198" spans="1:33">
      <c r="A198" s="1264"/>
    </row>
    <row r="199" spans="1:33">
      <c r="A199" s="1264"/>
    </row>
    <row r="200" spans="1:33">
      <c r="A200" s="1264"/>
    </row>
    <row r="201" spans="1:33">
      <c r="A201" s="1264"/>
    </row>
    <row r="202" spans="1:33">
      <c r="A202" s="1264"/>
    </row>
    <row r="203" spans="1:33">
      <c r="A203" s="1264"/>
    </row>
    <row r="204" spans="1:33">
      <c r="A204" s="1264"/>
    </row>
    <row r="205" spans="1:33" s="1295" customFormat="1">
      <c r="A205" s="1264"/>
      <c r="D205" s="1118"/>
      <c r="E205" s="1264"/>
      <c r="F205" s="1118"/>
      <c r="G205" s="1118"/>
      <c r="H205" s="1118"/>
      <c r="I205" s="1118"/>
      <c r="J205" s="1118"/>
      <c r="K205" s="1118"/>
      <c r="L205" s="1118"/>
      <c r="M205" s="1118"/>
      <c r="N205" s="1118"/>
      <c r="O205" s="1118"/>
      <c r="P205" s="1118"/>
      <c r="Q205" s="1111"/>
      <c r="R205" s="1111"/>
      <c r="S205" s="1111"/>
      <c r="T205" s="1111"/>
      <c r="U205" s="1111"/>
      <c r="V205" s="1111"/>
      <c r="W205" s="1111"/>
      <c r="X205" s="1111"/>
      <c r="Y205" s="1111"/>
      <c r="Z205" s="1111"/>
      <c r="AA205" s="1111"/>
      <c r="AB205" s="1111"/>
      <c r="AC205" s="1111"/>
      <c r="AD205" s="1111"/>
      <c r="AE205" s="1111"/>
      <c r="AF205" s="1111"/>
      <c r="AG205" s="1111"/>
    </row>
    <row r="206" spans="1:33" s="1295" customFormat="1">
      <c r="A206" s="1264"/>
      <c r="D206" s="1118"/>
      <c r="E206" s="1264"/>
      <c r="F206" s="1118"/>
      <c r="G206" s="1118"/>
      <c r="H206" s="1118"/>
      <c r="I206" s="1118"/>
      <c r="J206" s="1118"/>
      <c r="K206" s="1118"/>
      <c r="L206" s="1118"/>
      <c r="M206" s="1118"/>
      <c r="N206" s="1118"/>
      <c r="O206" s="1118"/>
      <c r="P206" s="1118"/>
      <c r="Q206" s="1111"/>
      <c r="R206" s="1111"/>
      <c r="S206" s="1111"/>
      <c r="T206" s="1111"/>
      <c r="U206" s="1111"/>
      <c r="V206" s="1111"/>
      <c r="W206" s="1111"/>
      <c r="X206" s="1111"/>
      <c r="Y206" s="1111"/>
      <c r="Z206" s="1111"/>
      <c r="AA206" s="1111"/>
      <c r="AB206" s="1111"/>
      <c r="AC206" s="1111"/>
      <c r="AD206" s="1111"/>
      <c r="AE206" s="1111"/>
      <c r="AF206" s="1111"/>
      <c r="AG206" s="1111"/>
    </row>
    <row r="207" spans="1:33" s="1295" customFormat="1">
      <c r="A207" s="1264"/>
      <c r="D207" s="1118"/>
      <c r="E207" s="1264"/>
      <c r="F207" s="1118"/>
      <c r="G207" s="1118"/>
      <c r="H207" s="1118"/>
      <c r="I207" s="1118"/>
      <c r="J207" s="1118"/>
      <c r="K207" s="1118"/>
      <c r="L207" s="1118"/>
      <c r="M207" s="1118"/>
      <c r="N207" s="1118"/>
      <c r="O207" s="1118"/>
      <c r="P207" s="1118"/>
      <c r="Q207" s="1111"/>
      <c r="R207" s="1111"/>
      <c r="S207" s="1111"/>
      <c r="T207" s="1111"/>
      <c r="U207" s="1111"/>
      <c r="V207" s="1111"/>
      <c r="W207" s="1111"/>
      <c r="X207" s="1111"/>
      <c r="Y207" s="1111"/>
      <c r="Z207" s="1111"/>
      <c r="AA207" s="1111"/>
      <c r="AB207" s="1111"/>
      <c r="AC207" s="1111"/>
      <c r="AD207" s="1111"/>
      <c r="AE207" s="1111"/>
      <c r="AF207" s="1111"/>
      <c r="AG207" s="1111"/>
    </row>
    <row r="208" spans="1:33" s="1295" customFormat="1">
      <c r="A208" s="1264"/>
      <c r="D208" s="1118"/>
      <c r="E208" s="1264"/>
      <c r="F208" s="1118"/>
      <c r="G208" s="1118"/>
      <c r="H208" s="1118"/>
      <c r="I208" s="1118"/>
      <c r="J208" s="1118"/>
      <c r="K208" s="1118"/>
      <c r="L208" s="1118"/>
      <c r="M208" s="1118"/>
      <c r="N208" s="1118"/>
      <c r="O208" s="1118"/>
      <c r="P208" s="1118"/>
      <c r="Q208" s="1111"/>
      <c r="R208" s="1111"/>
      <c r="S208" s="1111"/>
      <c r="T208" s="1111"/>
      <c r="U208" s="1111"/>
      <c r="V208" s="1111"/>
      <c r="W208" s="1111"/>
      <c r="X208" s="1111"/>
      <c r="Y208" s="1111"/>
      <c r="Z208" s="1111"/>
      <c r="AA208" s="1111"/>
      <c r="AB208" s="1111"/>
      <c r="AC208" s="1111"/>
      <c r="AD208" s="1111"/>
      <c r="AE208" s="1111"/>
      <c r="AF208" s="1111"/>
      <c r="AG208" s="1111"/>
    </row>
    <row r="209" spans="1:33" s="1295" customFormat="1">
      <c r="A209" s="1264"/>
      <c r="D209" s="1118"/>
      <c r="E209" s="1264"/>
      <c r="F209" s="1118"/>
      <c r="G209" s="1118"/>
      <c r="H209" s="1118"/>
      <c r="I209" s="1118"/>
      <c r="J209" s="1118"/>
      <c r="K209" s="1118"/>
      <c r="L209" s="1118"/>
      <c r="M209" s="1118"/>
      <c r="N209" s="1118"/>
      <c r="O209" s="1118"/>
      <c r="P209" s="1118"/>
      <c r="Q209" s="1111"/>
      <c r="R209" s="1111"/>
      <c r="S209" s="1111"/>
      <c r="T209" s="1111"/>
      <c r="U209" s="1111"/>
      <c r="V209" s="1111"/>
      <c r="W209" s="1111"/>
      <c r="X209" s="1111"/>
      <c r="Y209" s="1111"/>
      <c r="Z209" s="1111"/>
      <c r="AA209" s="1111"/>
      <c r="AB209" s="1111"/>
      <c r="AC209" s="1111"/>
      <c r="AD209" s="1111"/>
      <c r="AE209" s="1111"/>
      <c r="AF209" s="1111"/>
      <c r="AG209" s="1111"/>
    </row>
    <row r="210" spans="1:33" s="1295" customFormat="1">
      <c r="A210" s="1264"/>
      <c r="D210" s="1118"/>
      <c r="E210" s="1264"/>
      <c r="F210" s="1118"/>
      <c r="G210" s="1118"/>
      <c r="H210" s="1118"/>
      <c r="I210" s="1118"/>
      <c r="J210" s="1118"/>
      <c r="K210" s="1118"/>
      <c r="L210" s="1118"/>
      <c r="M210" s="1118"/>
      <c r="N210" s="1118"/>
      <c r="O210" s="1118"/>
      <c r="P210" s="1118"/>
      <c r="Q210" s="1111"/>
      <c r="R210" s="1111"/>
      <c r="S210" s="1111"/>
      <c r="T210" s="1111"/>
      <c r="U210" s="1111"/>
      <c r="V210" s="1111"/>
      <c r="W210" s="1111"/>
      <c r="X210" s="1111"/>
      <c r="Y210" s="1111"/>
      <c r="Z210" s="1111"/>
      <c r="AA210" s="1111"/>
      <c r="AB210" s="1111"/>
      <c r="AC210" s="1111"/>
      <c r="AD210" s="1111"/>
      <c r="AE210" s="1111"/>
      <c r="AF210" s="1111"/>
      <c r="AG210" s="1111"/>
    </row>
    <row r="211" spans="1:33" s="1295" customFormat="1">
      <c r="A211" s="1264"/>
      <c r="D211" s="1118"/>
      <c r="E211" s="1264"/>
      <c r="F211" s="1118"/>
      <c r="G211" s="1118"/>
      <c r="H211" s="1118"/>
      <c r="I211" s="1118"/>
      <c r="J211" s="1118"/>
      <c r="K211" s="1118"/>
      <c r="L211" s="1118"/>
      <c r="M211" s="1118"/>
      <c r="N211" s="1118"/>
      <c r="O211" s="1118"/>
      <c r="P211" s="1118"/>
      <c r="Q211" s="1111"/>
      <c r="R211" s="1111"/>
      <c r="S211" s="1111"/>
      <c r="T211" s="1111"/>
      <c r="U211" s="1111"/>
      <c r="V211" s="1111"/>
      <c r="W211" s="1111"/>
      <c r="X211" s="1111"/>
      <c r="Y211" s="1111"/>
      <c r="Z211" s="1111"/>
      <c r="AA211" s="1111"/>
      <c r="AB211" s="1111"/>
      <c r="AC211" s="1111"/>
      <c r="AD211" s="1111"/>
      <c r="AE211" s="1111"/>
      <c r="AF211" s="1111"/>
      <c r="AG211" s="1111"/>
    </row>
    <row r="212" spans="1:33" s="1295" customFormat="1">
      <c r="A212" s="1264"/>
      <c r="D212" s="1118"/>
      <c r="E212" s="1264"/>
      <c r="F212" s="1118"/>
      <c r="G212" s="1118"/>
      <c r="H212" s="1118"/>
      <c r="I212" s="1118"/>
      <c r="J212" s="1118"/>
      <c r="K212" s="1118"/>
      <c r="L212" s="1118"/>
      <c r="M212" s="1118"/>
      <c r="N212" s="1118"/>
      <c r="O212" s="1118"/>
      <c r="P212" s="1118"/>
      <c r="Q212" s="1111"/>
      <c r="R212" s="1111"/>
      <c r="S212" s="1111"/>
      <c r="T212" s="1111"/>
      <c r="U212" s="1111"/>
      <c r="V212" s="1111"/>
      <c r="W212" s="1111"/>
      <c r="X212" s="1111"/>
      <c r="Y212" s="1111"/>
      <c r="Z212" s="1111"/>
      <c r="AA212" s="1111"/>
      <c r="AB212" s="1111"/>
      <c r="AC212" s="1111"/>
      <c r="AD212" s="1111"/>
      <c r="AE212" s="1111"/>
      <c r="AF212" s="1111"/>
      <c r="AG212" s="1111"/>
    </row>
    <row r="213" spans="1:33" s="1295" customFormat="1">
      <c r="A213" s="1264"/>
      <c r="D213" s="1118"/>
      <c r="E213" s="1264"/>
      <c r="F213" s="1118"/>
      <c r="G213" s="1118"/>
      <c r="H213" s="1118"/>
      <c r="I213" s="1118"/>
      <c r="J213" s="1118"/>
      <c r="K213" s="1118"/>
      <c r="L213" s="1118"/>
      <c r="M213" s="1118"/>
      <c r="N213" s="1118"/>
      <c r="O213" s="1118"/>
      <c r="P213" s="1118"/>
      <c r="Q213" s="1111"/>
      <c r="R213" s="1111"/>
      <c r="S213" s="1111"/>
      <c r="T213" s="1111"/>
      <c r="U213" s="1111"/>
      <c r="V213" s="1111"/>
      <c r="W213" s="1111"/>
      <c r="X213" s="1111"/>
      <c r="Y213" s="1111"/>
      <c r="Z213" s="1111"/>
      <c r="AA213" s="1111"/>
      <c r="AB213" s="1111"/>
      <c r="AC213" s="1111"/>
      <c r="AD213" s="1111"/>
      <c r="AE213" s="1111"/>
      <c r="AF213" s="1111"/>
      <c r="AG213" s="1111"/>
    </row>
    <row r="214" spans="1:33" s="1295" customFormat="1">
      <c r="A214" s="1264"/>
      <c r="D214" s="1118"/>
      <c r="E214" s="1264"/>
      <c r="F214" s="1118"/>
      <c r="G214" s="1118"/>
      <c r="H214" s="1118"/>
      <c r="I214" s="1118"/>
      <c r="J214" s="1118"/>
      <c r="K214" s="1118"/>
      <c r="L214" s="1118"/>
      <c r="M214" s="1118"/>
      <c r="N214" s="1118"/>
      <c r="O214" s="1118"/>
      <c r="P214" s="1118"/>
      <c r="Q214" s="1111"/>
      <c r="R214" s="1111"/>
      <c r="S214" s="1111"/>
      <c r="T214" s="1111"/>
      <c r="U214" s="1111"/>
      <c r="V214" s="1111"/>
      <c r="W214" s="1111"/>
      <c r="X214" s="1111"/>
      <c r="Y214" s="1111"/>
      <c r="Z214" s="1111"/>
      <c r="AA214" s="1111"/>
      <c r="AB214" s="1111"/>
      <c r="AC214" s="1111"/>
      <c r="AD214" s="1111"/>
      <c r="AE214" s="1111"/>
      <c r="AF214" s="1111"/>
      <c r="AG214" s="1111"/>
    </row>
    <row r="215" spans="1:33" s="1295" customFormat="1">
      <c r="A215" s="1264"/>
      <c r="D215" s="1118"/>
      <c r="E215" s="1264"/>
      <c r="F215" s="1118"/>
      <c r="G215" s="1118"/>
      <c r="H215" s="1118"/>
      <c r="I215" s="1118"/>
      <c r="J215" s="1118"/>
      <c r="K215" s="1118"/>
      <c r="L215" s="1118"/>
      <c r="M215" s="1118"/>
      <c r="N215" s="1118"/>
      <c r="O215" s="1118"/>
      <c r="P215" s="1118"/>
      <c r="Q215" s="1111"/>
      <c r="R215" s="1111"/>
      <c r="S215" s="1111"/>
      <c r="T215" s="1111"/>
      <c r="U215" s="1111"/>
      <c r="V215" s="1111"/>
      <c r="W215" s="1111"/>
      <c r="X215" s="1111"/>
      <c r="Y215" s="1111"/>
      <c r="Z215" s="1111"/>
      <c r="AA215" s="1111"/>
      <c r="AB215" s="1111"/>
      <c r="AC215" s="1111"/>
      <c r="AD215" s="1111"/>
      <c r="AE215" s="1111"/>
      <c r="AF215" s="1111"/>
      <c r="AG215" s="1111"/>
    </row>
    <row r="216" spans="1:33" s="1295" customFormat="1">
      <c r="A216" s="1264"/>
      <c r="D216" s="1118"/>
      <c r="E216" s="1264"/>
      <c r="F216" s="1118"/>
      <c r="G216" s="1118"/>
      <c r="H216" s="1118"/>
      <c r="I216" s="1118"/>
      <c r="J216" s="1118"/>
      <c r="K216" s="1118"/>
      <c r="L216" s="1118"/>
      <c r="M216" s="1118"/>
      <c r="N216" s="1118"/>
      <c r="O216" s="1118"/>
      <c r="P216" s="1118"/>
      <c r="Q216" s="1111"/>
      <c r="R216" s="1111"/>
      <c r="S216" s="1111"/>
      <c r="T216" s="1111"/>
      <c r="U216" s="1111"/>
      <c r="V216" s="1111"/>
      <c r="W216" s="1111"/>
      <c r="X216" s="1111"/>
      <c r="Y216" s="1111"/>
      <c r="Z216" s="1111"/>
      <c r="AA216" s="1111"/>
      <c r="AB216" s="1111"/>
      <c r="AC216" s="1111"/>
      <c r="AD216" s="1111"/>
      <c r="AE216" s="1111"/>
      <c r="AF216" s="1111"/>
      <c r="AG216" s="1111"/>
    </row>
    <row r="217" spans="1:33" s="1295" customFormat="1">
      <c r="A217" s="1264"/>
      <c r="D217" s="1118"/>
      <c r="E217" s="1264"/>
      <c r="F217" s="1118"/>
      <c r="G217" s="1118"/>
      <c r="H217" s="1118"/>
      <c r="I217" s="1118"/>
      <c r="J217" s="1118"/>
      <c r="K217" s="1118"/>
      <c r="L217" s="1118"/>
      <c r="M217" s="1118"/>
      <c r="N217" s="1118"/>
      <c r="O217" s="1118"/>
      <c r="P217" s="1118"/>
      <c r="Q217" s="1111"/>
      <c r="R217" s="1111"/>
      <c r="S217" s="1111"/>
      <c r="T217" s="1111"/>
      <c r="U217" s="1111"/>
      <c r="V217" s="1111"/>
      <c r="W217" s="1111"/>
      <c r="X217" s="1111"/>
      <c r="Y217" s="1111"/>
      <c r="Z217" s="1111"/>
      <c r="AA217" s="1111"/>
      <c r="AB217" s="1111"/>
      <c r="AC217" s="1111"/>
      <c r="AD217" s="1111"/>
      <c r="AE217" s="1111"/>
      <c r="AF217" s="1111"/>
      <c r="AG217" s="1111"/>
    </row>
    <row r="218" spans="1:33" s="1295" customFormat="1">
      <c r="A218" s="1264"/>
      <c r="D218" s="1118"/>
      <c r="E218" s="1264"/>
      <c r="F218" s="1118"/>
      <c r="G218" s="1118"/>
      <c r="H218" s="1118"/>
      <c r="I218" s="1118"/>
      <c r="J218" s="1118"/>
      <c r="K218" s="1118"/>
      <c r="L218" s="1118"/>
      <c r="M218" s="1118"/>
      <c r="N218" s="1118"/>
      <c r="O218" s="1118"/>
      <c r="P218" s="1118"/>
      <c r="Q218" s="1111"/>
      <c r="R218" s="1111"/>
      <c r="S218" s="1111"/>
      <c r="T218" s="1111"/>
      <c r="U218" s="1111"/>
      <c r="V218" s="1111"/>
      <c r="W218" s="1111"/>
      <c r="X218" s="1111"/>
      <c r="Y218" s="1111"/>
      <c r="Z218" s="1111"/>
      <c r="AA218" s="1111"/>
      <c r="AB218" s="1111"/>
      <c r="AC218" s="1111"/>
      <c r="AD218" s="1111"/>
      <c r="AE218" s="1111"/>
      <c r="AF218" s="1111"/>
      <c r="AG218" s="1111"/>
    </row>
    <row r="219" spans="1:33" s="1295" customFormat="1">
      <c r="A219" s="1264"/>
      <c r="D219" s="1118"/>
      <c r="E219" s="1264"/>
      <c r="F219" s="1118"/>
      <c r="G219" s="1118"/>
      <c r="H219" s="1118"/>
      <c r="I219" s="1118"/>
      <c r="J219" s="1118"/>
      <c r="K219" s="1118"/>
      <c r="L219" s="1118"/>
      <c r="M219" s="1118"/>
      <c r="N219" s="1118"/>
      <c r="O219" s="1118"/>
      <c r="P219" s="1118"/>
      <c r="Q219" s="1111"/>
      <c r="R219" s="1111"/>
      <c r="S219" s="1111"/>
      <c r="T219" s="1111"/>
      <c r="U219" s="1111"/>
      <c r="V219" s="1111"/>
      <c r="W219" s="1111"/>
      <c r="X219" s="1111"/>
      <c r="Y219" s="1111"/>
      <c r="Z219" s="1111"/>
      <c r="AA219" s="1111"/>
      <c r="AB219" s="1111"/>
      <c r="AC219" s="1111"/>
      <c r="AD219" s="1111"/>
      <c r="AE219" s="1111"/>
      <c r="AF219" s="1111"/>
      <c r="AG219" s="1111"/>
    </row>
    <row r="220" spans="1:33" s="1295" customFormat="1">
      <c r="A220" s="1264"/>
      <c r="D220" s="1118"/>
      <c r="E220" s="1264"/>
      <c r="F220" s="1118"/>
      <c r="G220" s="1118"/>
      <c r="H220" s="1118"/>
      <c r="I220" s="1118"/>
      <c r="J220" s="1118"/>
      <c r="K220" s="1118"/>
      <c r="L220" s="1118"/>
      <c r="M220" s="1118"/>
      <c r="N220" s="1118"/>
      <c r="O220" s="1118"/>
      <c r="P220" s="1118"/>
      <c r="Q220" s="1111"/>
      <c r="R220" s="1111"/>
      <c r="S220" s="1111"/>
      <c r="T220" s="1111"/>
      <c r="U220" s="1111"/>
      <c r="V220" s="1111"/>
      <c r="W220" s="1111"/>
      <c r="X220" s="1111"/>
      <c r="Y220" s="1111"/>
      <c r="Z220" s="1111"/>
      <c r="AA220" s="1111"/>
      <c r="AB220" s="1111"/>
      <c r="AC220" s="1111"/>
      <c r="AD220" s="1111"/>
      <c r="AE220" s="1111"/>
      <c r="AF220" s="1111"/>
      <c r="AG220" s="1111"/>
    </row>
    <row r="221" spans="1:33" s="1295" customFormat="1">
      <c r="A221" s="1264"/>
      <c r="D221" s="1118"/>
      <c r="E221" s="1264"/>
      <c r="F221" s="1118"/>
      <c r="G221" s="1118"/>
      <c r="H221" s="1118"/>
      <c r="I221" s="1118"/>
      <c r="J221" s="1118"/>
      <c r="K221" s="1118"/>
      <c r="L221" s="1118"/>
      <c r="M221" s="1118"/>
      <c r="N221" s="1118"/>
      <c r="O221" s="1118"/>
      <c r="P221" s="1118"/>
      <c r="Q221" s="1111"/>
      <c r="R221" s="1111"/>
      <c r="S221" s="1111"/>
      <c r="T221" s="1111"/>
      <c r="U221" s="1111"/>
      <c r="V221" s="1111"/>
      <c r="W221" s="1111"/>
      <c r="X221" s="1111"/>
      <c r="Y221" s="1111"/>
      <c r="Z221" s="1111"/>
      <c r="AA221" s="1111"/>
      <c r="AB221" s="1111"/>
      <c r="AC221" s="1111"/>
      <c r="AD221" s="1111"/>
      <c r="AE221" s="1111"/>
      <c r="AF221" s="1111"/>
      <c r="AG221" s="1111"/>
    </row>
    <row r="222" spans="1:33" s="1295" customFormat="1">
      <c r="A222" s="1264"/>
      <c r="D222" s="1118"/>
      <c r="E222" s="1264"/>
      <c r="F222" s="1118"/>
      <c r="G222" s="1118"/>
      <c r="H222" s="1118"/>
      <c r="I222" s="1118"/>
      <c r="J222" s="1118"/>
      <c r="K222" s="1118"/>
      <c r="L222" s="1118"/>
      <c r="M222" s="1118"/>
      <c r="N222" s="1118"/>
      <c r="O222" s="1118"/>
      <c r="P222" s="1118"/>
      <c r="Q222" s="1111"/>
      <c r="R222" s="1111"/>
      <c r="S222" s="1111"/>
      <c r="T222" s="1111"/>
      <c r="U222" s="1111"/>
      <c r="V222" s="1111"/>
      <c r="W222" s="1111"/>
      <c r="X222" s="1111"/>
      <c r="Y222" s="1111"/>
      <c r="Z222" s="1111"/>
      <c r="AA222" s="1111"/>
      <c r="AB222" s="1111"/>
      <c r="AC222" s="1111"/>
      <c r="AD222" s="1111"/>
      <c r="AE222" s="1111"/>
      <c r="AF222" s="1111"/>
      <c r="AG222" s="1111"/>
    </row>
    <row r="223" spans="1:33" s="1295" customFormat="1">
      <c r="A223" s="1264"/>
      <c r="D223" s="1118"/>
      <c r="E223" s="1264"/>
      <c r="F223" s="1118"/>
      <c r="G223" s="1118"/>
      <c r="H223" s="1118"/>
      <c r="I223" s="1118"/>
      <c r="J223" s="1118"/>
      <c r="K223" s="1118"/>
      <c r="L223" s="1118"/>
      <c r="M223" s="1118"/>
      <c r="N223" s="1118"/>
      <c r="O223" s="1118"/>
      <c r="P223" s="1118"/>
      <c r="Q223" s="1111"/>
      <c r="R223" s="1111"/>
      <c r="S223" s="1111"/>
      <c r="T223" s="1111"/>
      <c r="U223" s="1111"/>
      <c r="V223" s="1111"/>
      <c r="W223" s="1111"/>
      <c r="X223" s="1111"/>
      <c r="Y223" s="1111"/>
      <c r="Z223" s="1111"/>
      <c r="AA223" s="1111"/>
      <c r="AB223" s="1111"/>
      <c r="AC223" s="1111"/>
      <c r="AD223" s="1111"/>
      <c r="AE223" s="1111"/>
      <c r="AF223" s="1111"/>
      <c r="AG223" s="1111"/>
    </row>
    <row r="224" spans="1:33" s="1295" customFormat="1">
      <c r="A224" s="1264"/>
      <c r="D224" s="1118"/>
      <c r="E224" s="1264"/>
      <c r="F224" s="1118"/>
      <c r="G224" s="1118"/>
      <c r="H224" s="1118"/>
      <c r="I224" s="1118"/>
      <c r="J224" s="1118"/>
      <c r="K224" s="1118"/>
      <c r="L224" s="1118"/>
      <c r="M224" s="1118"/>
      <c r="N224" s="1118"/>
      <c r="O224" s="1118"/>
      <c r="P224" s="1118"/>
      <c r="Q224" s="1111"/>
      <c r="R224" s="1111"/>
      <c r="S224" s="1111"/>
      <c r="T224" s="1111"/>
      <c r="U224" s="1111"/>
      <c r="V224" s="1111"/>
      <c r="W224" s="1111"/>
      <c r="X224" s="1111"/>
      <c r="Y224" s="1111"/>
      <c r="Z224" s="1111"/>
      <c r="AA224" s="1111"/>
      <c r="AB224" s="1111"/>
      <c r="AC224" s="1111"/>
      <c r="AD224" s="1111"/>
      <c r="AE224" s="1111"/>
      <c r="AF224" s="1111"/>
      <c r="AG224" s="1111"/>
    </row>
    <row r="225" spans="1:33" s="1295" customFormat="1">
      <c r="A225" s="1264"/>
      <c r="D225" s="1118"/>
      <c r="E225" s="1264"/>
      <c r="F225" s="1118"/>
      <c r="G225" s="1118"/>
      <c r="H225" s="1118"/>
      <c r="I225" s="1118"/>
      <c r="J225" s="1118"/>
      <c r="K225" s="1118"/>
      <c r="L225" s="1118"/>
      <c r="M225" s="1118"/>
      <c r="N225" s="1118"/>
      <c r="O225" s="1118"/>
      <c r="P225" s="1118"/>
      <c r="Q225" s="1111"/>
      <c r="R225" s="1111"/>
      <c r="S225" s="1111"/>
      <c r="T225" s="1111"/>
      <c r="U225" s="1111"/>
      <c r="V225" s="1111"/>
      <c r="W225" s="1111"/>
      <c r="X225" s="1111"/>
      <c r="Y225" s="1111"/>
      <c r="Z225" s="1111"/>
      <c r="AA225" s="1111"/>
      <c r="AB225" s="1111"/>
      <c r="AC225" s="1111"/>
      <c r="AD225" s="1111"/>
      <c r="AE225" s="1111"/>
      <c r="AF225" s="1111"/>
      <c r="AG225" s="1111"/>
    </row>
    <row r="226" spans="1:33" s="1295" customFormat="1">
      <c r="A226" s="1264"/>
      <c r="D226" s="1118"/>
      <c r="E226" s="1264"/>
      <c r="F226" s="1118"/>
      <c r="G226" s="1118"/>
      <c r="H226" s="1118"/>
      <c r="I226" s="1118"/>
      <c r="J226" s="1118"/>
      <c r="K226" s="1118"/>
      <c r="L226" s="1118"/>
      <c r="M226" s="1118"/>
      <c r="N226" s="1118"/>
      <c r="O226" s="1118"/>
      <c r="P226" s="1118"/>
      <c r="Q226" s="1111"/>
      <c r="R226" s="1111"/>
      <c r="S226" s="1111"/>
      <c r="T226" s="1111"/>
      <c r="U226" s="1111"/>
      <c r="V226" s="1111"/>
      <c r="W226" s="1111"/>
      <c r="X226" s="1111"/>
      <c r="Y226" s="1111"/>
      <c r="Z226" s="1111"/>
      <c r="AA226" s="1111"/>
      <c r="AB226" s="1111"/>
      <c r="AC226" s="1111"/>
      <c r="AD226" s="1111"/>
      <c r="AE226" s="1111"/>
      <c r="AF226" s="1111"/>
      <c r="AG226" s="1111"/>
    </row>
    <row r="227" spans="1:33" s="1295" customFormat="1">
      <c r="A227" s="1264"/>
      <c r="D227" s="1118"/>
      <c r="E227" s="1264"/>
      <c r="F227" s="1118"/>
      <c r="G227" s="1118"/>
      <c r="H227" s="1118"/>
      <c r="I227" s="1118"/>
      <c r="J227" s="1118"/>
      <c r="K227" s="1118"/>
      <c r="L227" s="1118"/>
      <c r="M227" s="1118"/>
      <c r="N227" s="1118"/>
      <c r="O227" s="1118"/>
      <c r="P227" s="1118"/>
      <c r="Q227" s="1111"/>
      <c r="R227" s="1111"/>
      <c r="S227" s="1111"/>
      <c r="T227" s="1111"/>
      <c r="U227" s="1111"/>
      <c r="V227" s="1111"/>
      <c r="W227" s="1111"/>
      <c r="X227" s="1111"/>
      <c r="Y227" s="1111"/>
      <c r="Z227" s="1111"/>
      <c r="AA227" s="1111"/>
      <c r="AB227" s="1111"/>
      <c r="AC227" s="1111"/>
      <c r="AD227" s="1111"/>
      <c r="AE227" s="1111"/>
      <c r="AF227" s="1111"/>
      <c r="AG227" s="1111"/>
    </row>
    <row r="228" spans="1:33" s="1295" customFormat="1">
      <c r="A228" s="1264"/>
      <c r="D228" s="1118"/>
      <c r="E228" s="1264"/>
      <c r="F228" s="1118"/>
      <c r="G228" s="1118"/>
      <c r="H228" s="1118"/>
      <c r="I228" s="1118"/>
      <c r="J228" s="1118"/>
      <c r="K228" s="1118"/>
      <c r="L228" s="1118"/>
      <c r="M228" s="1118"/>
      <c r="N228" s="1118"/>
      <c r="O228" s="1118"/>
      <c r="P228" s="1118"/>
      <c r="Q228" s="1111"/>
      <c r="R228" s="1111"/>
      <c r="S228" s="1111"/>
      <c r="T228" s="1111"/>
      <c r="U228" s="1111"/>
      <c r="V228" s="1111"/>
      <c r="W228" s="1111"/>
      <c r="X228" s="1111"/>
      <c r="Y228" s="1111"/>
      <c r="Z228" s="1111"/>
      <c r="AA228" s="1111"/>
      <c r="AB228" s="1111"/>
      <c r="AC228" s="1111"/>
      <c r="AD228" s="1111"/>
      <c r="AE228" s="1111"/>
      <c r="AF228" s="1111"/>
      <c r="AG228" s="1111"/>
    </row>
    <row r="229" spans="1:33" s="1295" customFormat="1">
      <c r="A229" s="1264"/>
      <c r="D229" s="1118"/>
      <c r="E229" s="1264"/>
      <c r="F229" s="1118"/>
      <c r="G229" s="1118"/>
      <c r="H229" s="1118"/>
      <c r="I229" s="1118"/>
      <c r="J229" s="1118"/>
      <c r="K229" s="1118"/>
      <c r="L229" s="1118"/>
      <c r="M229" s="1118"/>
      <c r="N229" s="1118"/>
      <c r="O229" s="1118"/>
      <c r="P229" s="1118"/>
      <c r="Q229" s="1111"/>
      <c r="R229" s="1111"/>
      <c r="S229" s="1111"/>
      <c r="T229" s="1111"/>
      <c r="U229" s="1111"/>
      <c r="V229" s="1111"/>
      <c r="W229" s="1111"/>
      <c r="X229" s="1111"/>
      <c r="Y229" s="1111"/>
      <c r="Z229" s="1111"/>
      <c r="AA229" s="1111"/>
      <c r="AB229" s="1111"/>
      <c r="AC229" s="1111"/>
      <c r="AD229" s="1111"/>
      <c r="AE229" s="1111"/>
      <c r="AF229" s="1111"/>
      <c r="AG229" s="1111"/>
    </row>
    <row r="230" spans="1:33" s="1295" customFormat="1">
      <c r="A230" s="1264"/>
      <c r="D230" s="1118"/>
      <c r="E230" s="1264"/>
      <c r="F230" s="1118"/>
      <c r="G230" s="1118"/>
      <c r="H230" s="1118"/>
      <c r="I230" s="1118"/>
      <c r="J230" s="1118"/>
      <c r="K230" s="1118"/>
      <c r="L230" s="1118"/>
      <c r="M230" s="1118"/>
      <c r="N230" s="1118"/>
      <c r="O230" s="1118"/>
      <c r="P230" s="1118"/>
      <c r="Q230" s="1111"/>
      <c r="R230" s="1111"/>
      <c r="S230" s="1111"/>
      <c r="T230" s="1111"/>
      <c r="U230" s="1111"/>
      <c r="V230" s="1111"/>
      <c r="W230" s="1111"/>
      <c r="X230" s="1111"/>
      <c r="Y230" s="1111"/>
      <c r="Z230" s="1111"/>
      <c r="AA230" s="1111"/>
      <c r="AB230" s="1111"/>
      <c r="AC230" s="1111"/>
      <c r="AD230" s="1111"/>
      <c r="AE230" s="1111"/>
      <c r="AF230" s="1111"/>
      <c r="AG230" s="1111"/>
    </row>
    <row r="231" spans="1:33" s="1295" customFormat="1">
      <c r="A231" s="1264"/>
      <c r="D231" s="1118"/>
      <c r="E231" s="1264"/>
      <c r="F231" s="1118"/>
      <c r="G231" s="1118"/>
      <c r="H231" s="1118"/>
      <c r="I231" s="1118"/>
      <c r="J231" s="1118"/>
      <c r="K231" s="1118"/>
      <c r="L231" s="1118"/>
      <c r="M231" s="1118"/>
      <c r="N231" s="1118"/>
      <c r="O231" s="1118"/>
      <c r="P231" s="1118"/>
      <c r="Q231" s="1111"/>
      <c r="R231" s="1111"/>
      <c r="S231" s="1111"/>
      <c r="T231" s="1111"/>
      <c r="U231" s="1111"/>
      <c r="V231" s="1111"/>
      <c r="W231" s="1111"/>
      <c r="X231" s="1111"/>
      <c r="Y231" s="1111"/>
      <c r="Z231" s="1111"/>
      <c r="AA231" s="1111"/>
      <c r="AB231" s="1111"/>
      <c r="AC231" s="1111"/>
      <c r="AD231" s="1111"/>
      <c r="AE231" s="1111"/>
      <c r="AF231" s="1111"/>
      <c r="AG231" s="1111"/>
    </row>
    <row r="232" spans="1:33" s="1295" customFormat="1">
      <c r="A232" s="1264"/>
      <c r="D232" s="1118"/>
      <c r="E232" s="1264"/>
      <c r="F232" s="1118"/>
      <c r="G232" s="1118"/>
      <c r="H232" s="1118"/>
      <c r="I232" s="1118"/>
      <c r="J232" s="1118"/>
      <c r="K232" s="1118"/>
      <c r="L232" s="1118"/>
      <c r="M232" s="1118"/>
      <c r="N232" s="1118"/>
      <c r="O232" s="1118"/>
      <c r="P232" s="1118"/>
      <c r="Q232" s="1111"/>
      <c r="R232" s="1111"/>
      <c r="S232" s="1111"/>
      <c r="T232" s="1111"/>
      <c r="U232" s="1111"/>
      <c r="V232" s="1111"/>
      <c r="W232" s="1111"/>
      <c r="X232" s="1111"/>
      <c r="Y232" s="1111"/>
      <c r="Z232" s="1111"/>
      <c r="AA232" s="1111"/>
      <c r="AB232" s="1111"/>
      <c r="AC232" s="1111"/>
      <c r="AD232" s="1111"/>
      <c r="AE232" s="1111"/>
      <c r="AF232" s="1111"/>
      <c r="AG232" s="1111"/>
    </row>
    <row r="233" spans="1:33" s="1295" customFormat="1">
      <c r="A233" s="1264"/>
      <c r="D233" s="1118"/>
      <c r="E233" s="1264"/>
      <c r="F233" s="1118"/>
      <c r="G233" s="1118"/>
      <c r="H233" s="1118"/>
      <c r="I233" s="1118"/>
      <c r="J233" s="1118"/>
      <c r="K233" s="1118"/>
      <c r="L233" s="1118"/>
      <c r="M233" s="1118"/>
      <c r="N233" s="1118"/>
      <c r="O233" s="1118"/>
      <c r="P233" s="1118"/>
      <c r="Q233" s="1111"/>
      <c r="R233" s="1111"/>
      <c r="S233" s="1111"/>
      <c r="T233" s="1111"/>
      <c r="U233" s="1111"/>
      <c r="V233" s="1111"/>
      <c r="W233" s="1111"/>
      <c r="X233" s="1111"/>
      <c r="Y233" s="1111"/>
      <c r="Z233" s="1111"/>
      <c r="AA233" s="1111"/>
      <c r="AB233" s="1111"/>
      <c r="AC233" s="1111"/>
      <c r="AD233" s="1111"/>
      <c r="AE233" s="1111"/>
      <c r="AF233" s="1111"/>
      <c r="AG233" s="1111"/>
    </row>
    <row r="234" spans="1:33" s="1295" customFormat="1">
      <c r="A234" s="1264"/>
      <c r="D234" s="1118"/>
      <c r="E234" s="1264"/>
      <c r="F234" s="1118"/>
      <c r="G234" s="1118"/>
      <c r="H234" s="1118"/>
      <c r="I234" s="1118"/>
      <c r="J234" s="1118"/>
      <c r="K234" s="1118"/>
      <c r="L234" s="1118"/>
      <c r="M234" s="1118"/>
      <c r="N234" s="1118"/>
      <c r="O234" s="1118"/>
      <c r="P234" s="1118"/>
      <c r="Q234" s="1111"/>
      <c r="R234" s="1111"/>
      <c r="S234" s="1111"/>
      <c r="T234" s="1111"/>
      <c r="U234" s="1111"/>
      <c r="V234" s="1111"/>
      <c r="W234" s="1111"/>
      <c r="X234" s="1111"/>
      <c r="Y234" s="1111"/>
      <c r="Z234" s="1111"/>
      <c r="AA234" s="1111"/>
      <c r="AB234" s="1111"/>
      <c r="AC234" s="1111"/>
      <c r="AD234" s="1111"/>
      <c r="AE234" s="1111"/>
      <c r="AF234" s="1111"/>
      <c r="AG234" s="1111"/>
    </row>
    <row r="235" spans="1:33" s="1295" customFormat="1">
      <c r="A235" s="1264"/>
      <c r="D235" s="1118"/>
      <c r="E235" s="1264"/>
      <c r="F235" s="1118"/>
      <c r="G235" s="1118"/>
      <c r="H235" s="1118"/>
      <c r="I235" s="1118"/>
      <c r="J235" s="1118"/>
      <c r="K235" s="1118"/>
      <c r="L235" s="1118"/>
      <c r="M235" s="1118"/>
      <c r="N235" s="1118"/>
      <c r="O235" s="1118"/>
      <c r="P235" s="1118"/>
      <c r="Q235" s="1111"/>
      <c r="R235" s="1111"/>
      <c r="S235" s="1111"/>
      <c r="T235" s="1111"/>
      <c r="U235" s="1111"/>
      <c r="V235" s="1111"/>
      <c r="W235" s="1111"/>
      <c r="X235" s="1111"/>
      <c r="Y235" s="1111"/>
      <c r="Z235" s="1111"/>
      <c r="AA235" s="1111"/>
      <c r="AB235" s="1111"/>
      <c r="AC235" s="1111"/>
      <c r="AD235" s="1111"/>
      <c r="AE235" s="1111"/>
      <c r="AF235" s="1111"/>
      <c r="AG235" s="1111"/>
    </row>
    <row r="236" spans="1:33" s="1295" customFormat="1">
      <c r="A236" s="1264"/>
      <c r="D236" s="1118"/>
      <c r="E236" s="1264"/>
      <c r="F236" s="1118"/>
      <c r="G236" s="1118"/>
      <c r="H236" s="1118"/>
      <c r="I236" s="1118"/>
      <c r="J236" s="1118"/>
      <c r="K236" s="1118"/>
      <c r="L236" s="1118"/>
      <c r="M236" s="1118"/>
      <c r="N236" s="1118"/>
      <c r="O236" s="1118"/>
      <c r="P236" s="1118"/>
      <c r="Q236" s="1111"/>
      <c r="R236" s="1111"/>
      <c r="S236" s="1111"/>
      <c r="T236" s="1111"/>
      <c r="U236" s="1111"/>
      <c r="V236" s="1111"/>
      <c r="W236" s="1111"/>
      <c r="X236" s="1111"/>
      <c r="Y236" s="1111"/>
      <c r="Z236" s="1111"/>
      <c r="AA236" s="1111"/>
      <c r="AB236" s="1111"/>
      <c r="AC236" s="1111"/>
      <c r="AD236" s="1111"/>
      <c r="AE236" s="1111"/>
      <c r="AF236" s="1111"/>
      <c r="AG236" s="1111"/>
    </row>
    <row r="237" spans="1:33" s="1295" customFormat="1">
      <c r="A237" s="1264"/>
      <c r="D237" s="1118"/>
      <c r="E237" s="1264"/>
      <c r="F237" s="1118"/>
      <c r="G237" s="1118"/>
      <c r="H237" s="1118"/>
      <c r="I237" s="1118"/>
      <c r="J237" s="1118"/>
      <c r="K237" s="1118"/>
      <c r="L237" s="1118"/>
      <c r="M237" s="1118"/>
      <c r="N237" s="1118"/>
      <c r="O237" s="1118"/>
      <c r="P237" s="1118"/>
      <c r="Q237" s="1111"/>
      <c r="R237" s="1111"/>
      <c r="S237" s="1111"/>
      <c r="T237" s="1111"/>
      <c r="U237" s="1111"/>
      <c r="V237" s="1111"/>
      <c r="W237" s="1111"/>
      <c r="X237" s="1111"/>
      <c r="Y237" s="1111"/>
      <c r="Z237" s="1111"/>
      <c r="AA237" s="1111"/>
      <c r="AB237" s="1111"/>
      <c r="AC237" s="1111"/>
      <c r="AD237" s="1111"/>
      <c r="AE237" s="1111"/>
      <c r="AF237" s="1111"/>
      <c r="AG237" s="1111"/>
    </row>
    <row r="238" spans="1:33" s="1295" customFormat="1">
      <c r="A238" s="1264"/>
      <c r="D238" s="1118"/>
      <c r="E238" s="1264"/>
      <c r="F238" s="1118"/>
      <c r="G238" s="1118"/>
      <c r="H238" s="1118"/>
      <c r="I238" s="1118"/>
      <c r="J238" s="1118"/>
      <c r="K238" s="1118"/>
      <c r="L238" s="1118"/>
      <c r="M238" s="1118"/>
      <c r="N238" s="1118"/>
      <c r="O238" s="1118"/>
      <c r="P238" s="1118"/>
      <c r="Q238" s="1111"/>
      <c r="R238" s="1111"/>
      <c r="S238" s="1111"/>
      <c r="T238" s="1111"/>
      <c r="U238" s="1111"/>
      <c r="V238" s="1111"/>
      <c r="W238" s="1111"/>
      <c r="X238" s="1111"/>
      <c r="Y238" s="1111"/>
      <c r="Z238" s="1111"/>
      <c r="AA238" s="1111"/>
      <c r="AB238" s="1111"/>
      <c r="AC238" s="1111"/>
      <c r="AD238" s="1111"/>
      <c r="AE238" s="1111"/>
      <c r="AF238" s="1111"/>
      <c r="AG238" s="1111"/>
    </row>
    <row r="239" spans="1:33" s="1295" customFormat="1">
      <c r="A239" s="1264"/>
      <c r="D239" s="1118"/>
      <c r="E239" s="1264"/>
      <c r="F239" s="1118"/>
      <c r="G239" s="1118"/>
      <c r="H239" s="1118"/>
      <c r="I239" s="1118"/>
      <c r="J239" s="1118"/>
      <c r="K239" s="1118"/>
      <c r="L239" s="1118"/>
      <c r="M239" s="1118"/>
      <c r="N239" s="1118"/>
      <c r="O239" s="1118"/>
      <c r="P239" s="1118"/>
      <c r="Q239" s="1111"/>
      <c r="R239" s="1111"/>
      <c r="S239" s="1111"/>
      <c r="T239" s="1111"/>
      <c r="U239" s="1111"/>
      <c r="V239" s="1111"/>
      <c r="W239" s="1111"/>
      <c r="X239" s="1111"/>
      <c r="Y239" s="1111"/>
      <c r="Z239" s="1111"/>
      <c r="AA239" s="1111"/>
      <c r="AB239" s="1111"/>
      <c r="AC239" s="1111"/>
      <c r="AD239" s="1111"/>
      <c r="AE239" s="1111"/>
      <c r="AF239" s="1111"/>
      <c r="AG239" s="1111"/>
    </row>
    <row r="240" spans="1:33" s="1295" customFormat="1">
      <c r="A240" s="1264"/>
      <c r="D240" s="1118"/>
      <c r="E240" s="1264"/>
      <c r="F240" s="1118"/>
      <c r="G240" s="1118"/>
      <c r="H240" s="1118"/>
      <c r="I240" s="1118"/>
      <c r="J240" s="1118"/>
      <c r="K240" s="1118"/>
      <c r="L240" s="1118"/>
      <c r="M240" s="1118"/>
      <c r="N240" s="1118"/>
      <c r="O240" s="1118"/>
      <c r="P240" s="1118"/>
      <c r="Q240" s="1111"/>
      <c r="R240" s="1111"/>
      <c r="S240" s="1111"/>
      <c r="T240" s="1111"/>
      <c r="U240" s="1111"/>
      <c r="V240" s="1111"/>
      <c r="W240" s="1111"/>
      <c r="X240" s="1111"/>
      <c r="Y240" s="1111"/>
      <c r="Z240" s="1111"/>
      <c r="AA240" s="1111"/>
      <c r="AB240" s="1111"/>
      <c r="AC240" s="1111"/>
      <c r="AD240" s="1111"/>
      <c r="AE240" s="1111"/>
      <c r="AF240" s="1111"/>
      <c r="AG240" s="1111"/>
    </row>
    <row r="241" spans="1:33" s="1295" customFormat="1">
      <c r="A241" s="1264"/>
      <c r="D241" s="1118"/>
      <c r="E241" s="1264"/>
      <c r="F241" s="1118"/>
      <c r="G241" s="1118"/>
      <c r="H241" s="1118"/>
      <c r="I241" s="1118"/>
      <c r="J241" s="1118"/>
      <c r="K241" s="1118"/>
      <c r="L241" s="1118"/>
      <c r="M241" s="1118"/>
      <c r="N241" s="1118"/>
      <c r="O241" s="1118"/>
      <c r="P241" s="1118"/>
      <c r="Q241" s="1111"/>
      <c r="R241" s="1111"/>
      <c r="S241" s="1111"/>
      <c r="T241" s="1111"/>
      <c r="U241" s="1111"/>
      <c r="V241" s="1111"/>
      <c r="W241" s="1111"/>
      <c r="X241" s="1111"/>
      <c r="Y241" s="1111"/>
      <c r="Z241" s="1111"/>
      <c r="AA241" s="1111"/>
      <c r="AB241" s="1111"/>
      <c r="AC241" s="1111"/>
      <c r="AD241" s="1111"/>
      <c r="AE241" s="1111"/>
      <c r="AF241" s="1111"/>
      <c r="AG241" s="1111"/>
    </row>
    <row r="242" spans="1:33" s="1295" customFormat="1">
      <c r="A242" s="1264"/>
      <c r="D242" s="1118"/>
      <c r="E242" s="1264"/>
      <c r="F242" s="1118"/>
      <c r="G242" s="1118"/>
      <c r="H242" s="1118"/>
      <c r="I242" s="1118"/>
      <c r="J242" s="1118"/>
      <c r="K242" s="1118"/>
      <c r="L242" s="1118"/>
      <c r="M242" s="1118"/>
      <c r="N242" s="1118"/>
      <c r="O242" s="1118"/>
      <c r="P242" s="1118"/>
      <c r="Q242" s="1111"/>
      <c r="R242" s="1111"/>
      <c r="S242" s="1111"/>
      <c r="T242" s="1111"/>
      <c r="U242" s="1111"/>
      <c r="V242" s="1111"/>
      <c r="W242" s="1111"/>
      <c r="X242" s="1111"/>
      <c r="Y242" s="1111"/>
      <c r="Z242" s="1111"/>
      <c r="AA242" s="1111"/>
      <c r="AB242" s="1111"/>
      <c r="AC242" s="1111"/>
      <c r="AD242" s="1111"/>
      <c r="AE242" s="1111"/>
      <c r="AF242" s="1111"/>
      <c r="AG242" s="1111"/>
    </row>
    <row r="243" spans="1:33" s="1295" customFormat="1">
      <c r="A243" s="1264"/>
      <c r="D243" s="1118"/>
      <c r="E243" s="1264"/>
      <c r="F243" s="1118"/>
      <c r="G243" s="1118"/>
      <c r="H243" s="1118"/>
      <c r="I243" s="1118"/>
      <c r="J243" s="1118"/>
      <c r="K243" s="1118"/>
      <c r="L243" s="1118"/>
      <c r="M243" s="1118"/>
      <c r="N243" s="1118"/>
      <c r="O243" s="1118"/>
      <c r="P243" s="1118"/>
      <c r="Q243" s="1111"/>
      <c r="R243" s="1111"/>
      <c r="S243" s="1111"/>
      <c r="T243" s="1111"/>
      <c r="U243" s="1111"/>
      <c r="V243" s="1111"/>
      <c r="W243" s="1111"/>
      <c r="X243" s="1111"/>
      <c r="Y243" s="1111"/>
      <c r="Z243" s="1111"/>
      <c r="AA243" s="1111"/>
      <c r="AB243" s="1111"/>
      <c r="AC243" s="1111"/>
      <c r="AD243" s="1111"/>
      <c r="AE243" s="1111"/>
      <c r="AF243" s="1111"/>
      <c r="AG243" s="1111"/>
    </row>
    <row r="244" spans="1:33" s="1295" customFormat="1">
      <c r="A244" s="1264"/>
      <c r="D244" s="1118"/>
      <c r="E244" s="1264"/>
      <c r="F244" s="1118"/>
      <c r="G244" s="1118"/>
      <c r="H244" s="1118"/>
      <c r="I244" s="1118"/>
      <c r="J244" s="1118"/>
      <c r="K244" s="1118"/>
      <c r="L244" s="1118"/>
      <c r="M244" s="1118"/>
      <c r="N244" s="1118"/>
      <c r="O244" s="1118"/>
      <c r="P244" s="1118"/>
      <c r="Q244" s="1111"/>
      <c r="R244" s="1111"/>
      <c r="S244" s="1111"/>
      <c r="T244" s="1111"/>
      <c r="U244" s="1111"/>
      <c r="V244" s="1111"/>
      <c r="W244" s="1111"/>
      <c r="X244" s="1111"/>
      <c r="Y244" s="1111"/>
      <c r="Z244" s="1111"/>
      <c r="AA244" s="1111"/>
      <c r="AB244" s="1111"/>
      <c r="AC244" s="1111"/>
      <c r="AD244" s="1111"/>
      <c r="AE244" s="1111"/>
      <c r="AF244" s="1111"/>
      <c r="AG244" s="1111"/>
    </row>
    <row r="245" spans="1:33" s="1295" customFormat="1">
      <c r="A245" s="1264"/>
      <c r="D245" s="1118"/>
      <c r="E245" s="1264"/>
      <c r="F245" s="1118"/>
      <c r="G245" s="1118"/>
      <c r="H245" s="1118"/>
      <c r="I245" s="1118"/>
      <c r="J245" s="1118"/>
      <c r="K245" s="1118"/>
      <c r="L245" s="1118"/>
      <c r="M245" s="1118"/>
      <c r="N245" s="1118"/>
      <c r="O245" s="1118"/>
      <c r="P245" s="1118"/>
      <c r="Q245" s="1111"/>
      <c r="R245" s="1111"/>
      <c r="S245" s="1111"/>
      <c r="T245" s="1111"/>
      <c r="U245" s="1111"/>
      <c r="V245" s="1111"/>
      <c r="W245" s="1111"/>
      <c r="X245" s="1111"/>
      <c r="Y245" s="1111"/>
      <c r="Z245" s="1111"/>
      <c r="AA245" s="1111"/>
      <c r="AB245" s="1111"/>
      <c r="AC245" s="1111"/>
      <c r="AD245" s="1111"/>
      <c r="AE245" s="1111"/>
      <c r="AF245" s="1111"/>
      <c r="AG245" s="1111"/>
    </row>
    <row r="246" spans="1:33" s="1295" customFormat="1">
      <c r="A246" s="1264"/>
      <c r="D246" s="1118"/>
      <c r="E246" s="1264"/>
      <c r="F246" s="1118"/>
      <c r="G246" s="1118"/>
      <c r="H246" s="1118"/>
      <c r="I246" s="1118"/>
      <c r="J246" s="1118"/>
      <c r="K246" s="1118"/>
      <c r="L246" s="1118"/>
      <c r="M246" s="1118"/>
      <c r="N246" s="1118"/>
      <c r="O246" s="1118"/>
      <c r="P246" s="1118"/>
      <c r="Q246" s="1111"/>
      <c r="R246" s="1111"/>
      <c r="S246" s="1111"/>
      <c r="T246" s="1111"/>
      <c r="U246" s="1111"/>
      <c r="V246" s="1111"/>
      <c r="W246" s="1111"/>
      <c r="X246" s="1111"/>
      <c r="Y246" s="1111"/>
      <c r="Z246" s="1111"/>
      <c r="AA246" s="1111"/>
      <c r="AB246" s="1111"/>
      <c r="AC246" s="1111"/>
      <c r="AD246" s="1111"/>
      <c r="AE246" s="1111"/>
      <c r="AF246" s="1111"/>
      <c r="AG246" s="1111"/>
    </row>
    <row r="247" spans="1:33" s="1295" customFormat="1">
      <c r="A247" s="1264"/>
      <c r="D247" s="1118"/>
      <c r="E247" s="1264"/>
      <c r="F247" s="1118"/>
      <c r="G247" s="1118"/>
      <c r="H247" s="1118"/>
      <c r="I247" s="1118"/>
      <c r="J247" s="1118"/>
      <c r="K247" s="1118"/>
      <c r="L247" s="1118"/>
      <c r="M247" s="1118"/>
      <c r="N247" s="1118"/>
      <c r="O247" s="1118"/>
      <c r="P247" s="1118"/>
      <c r="Q247" s="1111"/>
      <c r="R247" s="1111"/>
      <c r="S247" s="1111"/>
      <c r="T247" s="1111"/>
      <c r="U247" s="1111"/>
      <c r="V247" s="1111"/>
      <c r="W247" s="1111"/>
      <c r="X247" s="1111"/>
      <c r="Y247" s="1111"/>
      <c r="Z247" s="1111"/>
      <c r="AA247" s="1111"/>
      <c r="AB247" s="1111"/>
      <c r="AC247" s="1111"/>
      <c r="AD247" s="1111"/>
      <c r="AE247" s="1111"/>
      <c r="AF247" s="1111"/>
      <c r="AG247" s="1111"/>
    </row>
    <row r="248" spans="1:33" s="1295" customFormat="1">
      <c r="A248" s="1264"/>
      <c r="D248" s="1118"/>
      <c r="E248" s="1264"/>
      <c r="F248" s="1118"/>
      <c r="G248" s="1118"/>
      <c r="H248" s="1118"/>
      <c r="I248" s="1118"/>
      <c r="J248" s="1118"/>
      <c r="K248" s="1118"/>
      <c r="L248" s="1118"/>
      <c r="M248" s="1118"/>
      <c r="N248" s="1118"/>
      <c r="O248" s="1118"/>
      <c r="P248" s="1118"/>
      <c r="Q248" s="1111"/>
      <c r="R248" s="1111"/>
      <c r="S248" s="1111"/>
      <c r="T248" s="1111"/>
      <c r="U248" s="1111"/>
      <c r="V248" s="1111"/>
      <c r="W248" s="1111"/>
      <c r="X248" s="1111"/>
      <c r="Y248" s="1111"/>
      <c r="Z248" s="1111"/>
      <c r="AA248" s="1111"/>
      <c r="AB248" s="1111"/>
      <c r="AC248" s="1111"/>
      <c r="AD248" s="1111"/>
      <c r="AE248" s="1111"/>
      <c r="AF248" s="1111"/>
      <c r="AG248" s="1111"/>
    </row>
    <row r="249" spans="1:33" s="1295" customFormat="1">
      <c r="A249" s="1264"/>
      <c r="D249" s="1118"/>
      <c r="E249" s="1264"/>
      <c r="F249" s="1118"/>
      <c r="G249" s="1118"/>
      <c r="H249" s="1118"/>
      <c r="I249" s="1118"/>
      <c r="J249" s="1118"/>
      <c r="K249" s="1118"/>
      <c r="L249" s="1118"/>
      <c r="M249" s="1118"/>
      <c r="N249" s="1118"/>
      <c r="O249" s="1118"/>
      <c r="P249" s="1118"/>
      <c r="Q249" s="1111"/>
      <c r="R249" s="1111"/>
      <c r="S249" s="1111"/>
      <c r="T249" s="1111"/>
      <c r="U249" s="1111"/>
      <c r="V249" s="1111"/>
      <c r="W249" s="1111"/>
      <c r="X249" s="1111"/>
      <c r="Y249" s="1111"/>
      <c r="Z249" s="1111"/>
      <c r="AA249" s="1111"/>
      <c r="AB249" s="1111"/>
      <c r="AC249" s="1111"/>
      <c r="AD249" s="1111"/>
      <c r="AE249" s="1111"/>
      <c r="AF249" s="1111"/>
      <c r="AG249" s="1111"/>
    </row>
    <row r="250" spans="1:33" s="1295" customFormat="1">
      <c r="A250" s="1264"/>
      <c r="D250" s="1118"/>
      <c r="E250" s="1264"/>
      <c r="F250" s="1118"/>
      <c r="G250" s="1118"/>
      <c r="H250" s="1118"/>
      <c r="I250" s="1118"/>
      <c r="J250" s="1118"/>
      <c r="K250" s="1118"/>
      <c r="L250" s="1118"/>
      <c r="M250" s="1118"/>
      <c r="N250" s="1118"/>
      <c r="O250" s="1118"/>
      <c r="P250" s="1118"/>
      <c r="Q250" s="1111"/>
      <c r="R250" s="1111"/>
      <c r="S250" s="1111"/>
      <c r="T250" s="1111"/>
      <c r="U250" s="1111"/>
      <c r="V250" s="1111"/>
      <c r="W250" s="1111"/>
      <c r="X250" s="1111"/>
      <c r="Y250" s="1111"/>
      <c r="Z250" s="1111"/>
      <c r="AA250" s="1111"/>
      <c r="AB250" s="1111"/>
      <c r="AC250" s="1111"/>
      <c r="AD250" s="1111"/>
      <c r="AE250" s="1111"/>
      <c r="AF250" s="1111"/>
      <c r="AG250" s="1111"/>
    </row>
    <row r="251" spans="1:33" s="1295" customFormat="1">
      <c r="A251" s="1264"/>
      <c r="D251" s="1118"/>
      <c r="E251" s="1264"/>
      <c r="F251" s="1118"/>
      <c r="G251" s="1118"/>
      <c r="H251" s="1118"/>
      <c r="I251" s="1118"/>
      <c r="J251" s="1118"/>
      <c r="K251" s="1118"/>
      <c r="L251" s="1118"/>
      <c r="M251" s="1118"/>
      <c r="N251" s="1118"/>
      <c r="O251" s="1118"/>
      <c r="P251" s="1118"/>
      <c r="Q251" s="1111"/>
      <c r="R251" s="1111"/>
      <c r="S251" s="1111"/>
      <c r="T251" s="1111"/>
      <c r="U251" s="1111"/>
      <c r="V251" s="1111"/>
      <c r="W251" s="1111"/>
      <c r="X251" s="1111"/>
      <c r="Y251" s="1111"/>
      <c r="Z251" s="1111"/>
      <c r="AA251" s="1111"/>
      <c r="AB251" s="1111"/>
      <c r="AC251" s="1111"/>
      <c r="AD251" s="1111"/>
      <c r="AE251" s="1111"/>
      <c r="AF251" s="1111"/>
      <c r="AG251" s="1111"/>
    </row>
    <row r="252" spans="1:33" s="1295" customFormat="1">
      <c r="A252" s="1264"/>
      <c r="D252" s="1118"/>
      <c r="E252" s="1264"/>
      <c r="F252" s="1118"/>
      <c r="G252" s="1118"/>
      <c r="H252" s="1118"/>
      <c r="I252" s="1118"/>
      <c r="J252" s="1118"/>
      <c r="K252" s="1118"/>
      <c r="L252" s="1118"/>
      <c r="M252" s="1118"/>
      <c r="N252" s="1118"/>
      <c r="O252" s="1118"/>
      <c r="P252" s="1118"/>
      <c r="Q252" s="1111"/>
      <c r="R252" s="1111"/>
      <c r="S252" s="1111"/>
      <c r="T252" s="1111"/>
      <c r="U252" s="1111"/>
      <c r="V252" s="1111"/>
      <c r="W252" s="1111"/>
      <c r="X252" s="1111"/>
      <c r="Y252" s="1111"/>
      <c r="Z252" s="1111"/>
      <c r="AA252" s="1111"/>
      <c r="AB252" s="1111"/>
      <c r="AC252" s="1111"/>
      <c r="AD252" s="1111"/>
      <c r="AE252" s="1111"/>
      <c r="AF252" s="1111"/>
      <c r="AG252" s="1111"/>
    </row>
    <row r="253" spans="1:33" s="1295" customFormat="1">
      <c r="A253" s="1264"/>
      <c r="D253" s="1118"/>
      <c r="E253" s="1264"/>
      <c r="F253" s="1118"/>
      <c r="G253" s="1118"/>
      <c r="H253" s="1118"/>
      <c r="I253" s="1118"/>
      <c r="J253" s="1118"/>
      <c r="K253" s="1118"/>
      <c r="L253" s="1118"/>
      <c r="M253" s="1118"/>
      <c r="N253" s="1118"/>
      <c r="O253" s="1118"/>
      <c r="P253" s="1118"/>
      <c r="Q253" s="1111"/>
      <c r="R253" s="1111"/>
      <c r="S253" s="1111"/>
      <c r="T253" s="1111"/>
      <c r="U253" s="1111"/>
      <c r="V253" s="1111"/>
      <c r="W253" s="1111"/>
      <c r="X253" s="1111"/>
      <c r="Y253" s="1111"/>
      <c r="Z253" s="1111"/>
      <c r="AA253" s="1111"/>
      <c r="AB253" s="1111"/>
      <c r="AC253" s="1111"/>
      <c r="AD253" s="1111"/>
      <c r="AE253" s="1111"/>
      <c r="AF253" s="1111"/>
      <c r="AG253" s="1111"/>
    </row>
    <row r="254" spans="1:33" s="1295" customFormat="1">
      <c r="A254" s="1264"/>
      <c r="D254" s="1118"/>
      <c r="E254" s="1264"/>
      <c r="F254" s="1118"/>
      <c r="G254" s="1118"/>
      <c r="H254" s="1118"/>
      <c r="I254" s="1118"/>
      <c r="J254" s="1118"/>
      <c r="K254" s="1118"/>
      <c r="L254" s="1118"/>
      <c r="M254" s="1118"/>
      <c r="N254" s="1118"/>
      <c r="O254" s="1118"/>
      <c r="P254" s="1118"/>
      <c r="Q254" s="1111"/>
      <c r="R254" s="1111"/>
      <c r="S254" s="1111"/>
      <c r="T254" s="1111"/>
      <c r="U254" s="1111"/>
      <c r="V254" s="1111"/>
      <c r="W254" s="1111"/>
      <c r="X254" s="1111"/>
      <c r="Y254" s="1111"/>
      <c r="Z254" s="1111"/>
      <c r="AA254" s="1111"/>
      <c r="AB254" s="1111"/>
      <c r="AC254" s="1111"/>
      <c r="AD254" s="1111"/>
      <c r="AE254" s="1111"/>
      <c r="AF254" s="1111"/>
      <c r="AG254" s="1111"/>
    </row>
    <row r="255" spans="1:33" s="1295" customFormat="1">
      <c r="A255" s="1264"/>
      <c r="D255" s="1118"/>
      <c r="E255" s="1264"/>
      <c r="F255" s="1118"/>
      <c r="G255" s="1118"/>
      <c r="H255" s="1118"/>
      <c r="I255" s="1118"/>
      <c r="J255" s="1118"/>
      <c r="K255" s="1118"/>
      <c r="L255" s="1118"/>
      <c r="M255" s="1118"/>
      <c r="N255" s="1118"/>
      <c r="O255" s="1118"/>
      <c r="P255" s="1118"/>
      <c r="Q255" s="1111"/>
      <c r="R255" s="1111"/>
      <c r="S255" s="1111"/>
      <c r="T255" s="1111"/>
      <c r="U255" s="1111"/>
      <c r="V255" s="1111"/>
      <c r="W255" s="1111"/>
      <c r="X255" s="1111"/>
      <c r="Y255" s="1111"/>
      <c r="Z255" s="1111"/>
      <c r="AA255" s="1111"/>
      <c r="AB255" s="1111"/>
      <c r="AC255" s="1111"/>
      <c r="AD255" s="1111"/>
      <c r="AE255" s="1111"/>
      <c r="AF255" s="1111"/>
      <c r="AG255" s="1111"/>
    </row>
    <row r="256" spans="1:33" s="1295" customFormat="1">
      <c r="A256" s="1264"/>
      <c r="D256" s="1118"/>
      <c r="E256" s="1264"/>
      <c r="F256" s="1118"/>
      <c r="G256" s="1118"/>
      <c r="H256" s="1118"/>
      <c r="I256" s="1118"/>
      <c r="J256" s="1118"/>
      <c r="K256" s="1118"/>
      <c r="L256" s="1118"/>
      <c r="M256" s="1118"/>
      <c r="N256" s="1118"/>
      <c r="O256" s="1118"/>
      <c r="P256" s="1118"/>
      <c r="Q256" s="1111"/>
      <c r="R256" s="1111"/>
      <c r="S256" s="1111"/>
      <c r="T256" s="1111"/>
      <c r="U256" s="1111"/>
      <c r="V256" s="1111"/>
      <c r="W256" s="1111"/>
      <c r="X256" s="1111"/>
      <c r="Y256" s="1111"/>
      <c r="Z256" s="1111"/>
      <c r="AA256" s="1111"/>
      <c r="AB256" s="1111"/>
      <c r="AC256" s="1111"/>
      <c r="AD256" s="1111"/>
      <c r="AE256" s="1111"/>
      <c r="AF256" s="1111"/>
      <c r="AG256" s="1111"/>
    </row>
    <row r="257" spans="1:33" s="1295" customFormat="1">
      <c r="A257" s="1264"/>
      <c r="D257" s="1118"/>
      <c r="E257" s="1264"/>
      <c r="F257" s="1118"/>
      <c r="G257" s="1118"/>
      <c r="H257" s="1118"/>
      <c r="I257" s="1118"/>
      <c r="J257" s="1118"/>
      <c r="K257" s="1118"/>
      <c r="L257" s="1118"/>
      <c r="M257" s="1118"/>
      <c r="N257" s="1118"/>
      <c r="O257" s="1118"/>
      <c r="P257" s="1118"/>
      <c r="Q257" s="1111"/>
      <c r="R257" s="1111"/>
      <c r="S257" s="1111"/>
      <c r="T257" s="1111"/>
      <c r="U257" s="1111"/>
      <c r="V257" s="1111"/>
      <c r="W257" s="1111"/>
      <c r="X257" s="1111"/>
      <c r="Y257" s="1111"/>
      <c r="Z257" s="1111"/>
      <c r="AA257" s="1111"/>
      <c r="AB257" s="1111"/>
      <c r="AC257" s="1111"/>
      <c r="AD257" s="1111"/>
      <c r="AE257" s="1111"/>
      <c r="AF257" s="1111"/>
      <c r="AG257" s="1111"/>
    </row>
    <row r="258" spans="1:33" s="1295" customFormat="1">
      <c r="A258" s="1264"/>
      <c r="D258" s="1118"/>
      <c r="E258" s="1264"/>
      <c r="F258" s="1118"/>
      <c r="G258" s="1118"/>
      <c r="H258" s="1118"/>
      <c r="I258" s="1118"/>
      <c r="J258" s="1118"/>
      <c r="K258" s="1118"/>
      <c r="L258" s="1118"/>
      <c r="M258" s="1118"/>
      <c r="N258" s="1118"/>
      <c r="O258" s="1118"/>
      <c r="P258" s="1118"/>
      <c r="Q258" s="1111"/>
      <c r="R258" s="1111"/>
      <c r="S258" s="1111"/>
      <c r="T258" s="1111"/>
      <c r="U258" s="1111"/>
      <c r="V258" s="1111"/>
      <c r="W258" s="1111"/>
      <c r="X258" s="1111"/>
      <c r="Y258" s="1111"/>
      <c r="Z258" s="1111"/>
      <c r="AA258" s="1111"/>
      <c r="AB258" s="1111"/>
      <c r="AC258" s="1111"/>
      <c r="AD258" s="1111"/>
      <c r="AE258" s="1111"/>
      <c r="AF258" s="1111"/>
      <c r="AG258" s="1111"/>
    </row>
    <row r="259" spans="1:33" s="1295" customFormat="1">
      <c r="A259" s="1264"/>
      <c r="D259" s="1118"/>
      <c r="E259" s="1264"/>
      <c r="F259" s="1118"/>
      <c r="G259" s="1118"/>
      <c r="H259" s="1118"/>
      <c r="I259" s="1118"/>
      <c r="J259" s="1118"/>
      <c r="K259" s="1118"/>
      <c r="L259" s="1118"/>
      <c r="M259" s="1118"/>
      <c r="N259" s="1118"/>
      <c r="O259" s="1118"/>
      <c r="P259" s="1118"/>
      <c r="Q259" s="1111"/>
      <c r="R259" s="1111"/>
      <c r="S259" s="1111"/>
      <c r="T259" s="1111"/>
      <c r="U259" s="1111"/>
      <c r="V259" s="1111"/>
      <c r="W259" s="1111"/>
      <c r="X259" s="1111"/>
      <c r="Y259" s="1111"/>
      <c r="Z259" s="1111"/>
      <c r="AA259" s="1111"/>
      <c r="AB259" s="1111"/>
      <c r="AC259" s="1111"/>
      <c r="AD259" s="1111"/>
      <c r="AE259" s="1111"/>
      <c r="AF259" s="1111"/>
      <c r="AG259" s="1111"/>
    </row>
    <row r="260" spans="1:33" s="1295" customFormat="1">
      <c r="A260" s="1264"/>
      <c r="D260" s="1118"/>
      <c r="E260" s="1264"/>
      <c r="F260" s="1118"/>
      <c r="G260" s="1118"/>
      <c r="H260" s="1118"/>
      <c r="I260" s="1118"/>
      <c r="J260" s="1118"/>
      <c r="K260" s="1118"/>
      <c r="L260" s="1118"/>
      <c r="M260" s="1118"/>
      <c r="N260" s="1118"/>
      <c r="O260" s="1118"/>
      <c r="P260" s="1118"/>
      <c r="Q260" s="1111"/>
      <c r="R260" s="1111"/>
      <c r="S260" s="1111"/>
      <c r="T260" s="1111"/>
      <c r="U260" s="1111"/>
      <c r="V260" s="1111"/>
      <c r="W260" s="1111"/>
      <c r="X260" s="1111"/>
      <c r="Y260" s="1111"/>
      <c r="Z260" s="1111"/>
      <c r="AA260" s="1111"/>
      <c r="AB260" s="1111"/>
      <c r="AC260" s="1111"/>
      <c r="AD260" s="1111"/>
      <c r="AE260" s="1111"/>
      <c r="AF260" s="1111"/>
      <c r="AG260" s="1111"/>
    </row>
    <row r="261" spans="1:33" s="1295" customFormat="1">
      <c r="A261" s="1264"/>
      <c r="D261" s="1118"/>
      <c r="E261" s="1264"/>
      <c r="F261" s="1118"/>
      <c r="G261" s="1118"/>
      <c r="H261" s="1118"/>
      <c r="I261" s="1118"/>
      <c r="J261" s="1118"/>
      <c r="K261" s="1118"/>
      <c r="L261" s="1118"/>
      <c r="M261" s="1118"/>
      <c r="N261" s="1118"/>
      <c r="O261" s="1118"/>
      <c r="P261" s="1118"/>
      <c r="Q261" s="1111"/>
      <c r="R261" s="1111"/>
      <c r="S261" s="1111"/>
      <c r="T261" s="1111"/>
      <c r="U261" s="1111"/>
      <c r="V261" s="1111"/>
      <c r="W261" s="1111"/>
      <c r="X261" s="1111"/>
      <c r="Y261" s="1111"/>
      <c r="Z261" s="1111"/>
      <c r="AA261" s="1111"/>
      <c r="AB261" s="1111"/>
      <c r="AC261" s="1111"/>
      <c r="AD261" s="1111"/>
      <c r="AE261" s="1111"/>
      <c r="AF261" s="1111"/>
      <c r="AG261" s="1111"/>
    </row>
    <row r="262" spans="1:33" s="1295" customFormat="1">
      <c r="A262" s="1264"/>
      <c r="D262" s="1118"/>
      <c r="E262" s="1264"/>
      <c r="F262" s="1118"/>
      <c r="G262" s="1118"/>
      <c r="H262" s="1118"/>
      <c r="I262" s="1118"/>
      <c r="J262" s="1118"/>
      <c r="K262" s="1118"/>
      <c r="L262" s="1118"/>
      <c r="M262" s="1118"/>
      <c r="N262" s="1118"/>
      <c r="O262" s="1118"/>
      <c r="P262" s="1118"/>
      <c r="Q262" s="1111"/>
      <c r="R262" s="1111"/>
      <c r="S262" s="1111"/>
      <c r="T262" s="1111"/>
      <c r="U262" s="1111"/>
      <c r="V262" s="1111"/>
      <c r="W262" s="1111"/>
      <c r="X262" s="1111"/>
      <c r="Y262" s="1111"/>
      <c r="Z262" s="1111"/>
      <c r="AA262" s="1111"/>
      <c r="AB262" s="1111"/>
      <c r="AC262" s="1111"/>
      <c r="AD262" s="1111"/>
      <c r="AE262" s="1111"/>
      <c r="AF262" s="1111"/>
      <c r="AG262" s="1111"/>
    </row>
    <row r="263" spans="1:33" s="1295" customFormat="1">
      <c r="A263" s="1264"/>
      <c r="D263" s="1118"/>
      <c r="E263" s="1264"/>
      <c r="F263" s="1118"/>
      <c r="G263" s="1118"/>
      <c r="H263" s="1118"/>
      <c r="I263" s="1118"/>
      <c r="J263" s="1118"/>
      <c r="K263" s="1118"/>
      <c r="L263" s="1118"/>
      <c r="M263" s="1118"/>
      <c r="N263" s="1118"/>
      <c r="O263" s="1118"/>
      <c r="P263" s="1118"/>
      <c r="Q263" s="1111"/>
      <c r="R263" s="1111"/>
      <c r="S263" s="1111"/>
      <c r="T263" s="1111"/>
      <c r="U263" s="1111"/>
      <c r="V263" s="1111"/>
      <c r="W263" s="1111"/>
      <c r="X263" s="1111"/>
      <c r="Y263" s="1111"/>
      <c r="Z263" s="1111"/>
      <c r="AA263" s="1111"/>
      <c r="AB263" s="1111"/>
      <c r="AC263" s="1111"/>
      <c r="AD263" s="1111"/>
      <c r="AE263" s="1111"/>
      <c r="AF263" s="1111"/>
      <c r="AG263" s="1111"/>
    </row>
    <row r="264" spans="1:33" s="1295" customFormat="1">
      <c r="A264" s="1264"/>
      <c r="D264" s="1118"/>
      <c r="E264" s="1264"/>
      <c r="F264" s="1118"/>
      <c r="G264" s="1118"/>
      <c r="H264" s="1118"/>
      <c r="I264" s="1118"/>
      <c r="J264" s="1118"/>
      <c r="K264" s="1118"/>
      <c r="L264" s="1118"/>
      <c r="M264" s="1118"/>
      <c r="N264" s="1118"/>
      <c r="O264" s="1118"/>
      <c r="P264" s="1118"/>
      <c r="Q264" s="1111"/>
      <c r="R264" s="1111"/>
      <c r="S264" s="1111"/>
      <c r="T264" s="1111"/>
      <c r="U264" s="1111"/>
      <c r="V264" s="1111"/>
      <c r="W264" s="1111"/>
      <c r="X264" s="1111"/>
      <c r="Y264" s="1111"/>
      <c r="Z264" s="1111"/>
      <c r="AA264" s="1111"/>
      <c r="AB264" s="1111"/>
      <c r="AC264" s="1111"/>
      <c r="AD264" s="1111"/>
      <c r="AE264" s="1111"/>
      <c r="AF264" s="1111"/>
      <c r="AG264" s="1111"/>
    </row>
    <row r="265" spans="1:33" s="1295" customFormat="1">
      <c r="A265" s="1264"/>
      <c r="D265" s="1118"/>
      <c r="E265" s="1264"/>
      <c r="F265" s="1118"/>
      <c r="G265" s="1118"/>
      <c r="H265" s="1118"/>
      <c r="I265" s="1118"/>
      <c r="J265" s="1118"/>
      <c r="K265" s="1118"/>
      <c r="L265" s="1118"/>
      <c r="M265" s="1118"/>
      <c r="N265" s="1118"/>
      <c r="O265" s="1118"/>
      <c r="P265" s="1118"/>
      <c r="Q265" s="1111"/>
      <c r="R265" s="1111"/>
      <c r="S265" s="1111"/>
      <c r="T265" s="1111"/>
      <c r="U265" s="1111"/>
      <c r="V265" s="1111"/>
      <c r="W265" s="1111"/>
      <c r="X265" s="1111"/>
      <c r="Y265" s="1111"/>
      <c r="Z265" s="1111"/>
      <c r="AA265" s="1111"/>
      <c r="AB265" s="1111"/>
      <c r="AC265" s="1111"/>
      <c r="AD265" s="1111"/>
      <c r="AE265" s="1111"/>
      <c r="AF265" s="1111"/>
      <c r="AG265" s="1111"/>
    </row>
    <row r="266" spans="1:33" s="1295" customFormat="1">
      <c r="A266" s="1264"/>
      <c r="D266" s="1118"/>
      <c r="E266" s="1264"/>
      <c r="F266" s="1118"/>
      <c r="G266" s="1118"/>
      <c r="H266" s="1118"/>
      <c r="I266" s="1118"/>
      <c r="J266" s="1118"/>
      <c r="K266" s="1118"/>
      <c r="L266" s="1118"/>
      <c r="M266" s="1118"/>
      <c r="N266" s="1118"/>
      <c r="O266" s="1118"/>
      <c r="P266" s="1118"/>
      <c r="Q266" s="1111"/>
      <c r="R266" s="1111"/>
      <c r="S266" s="1111"/>
      <c r="T266" s="1111"/>
      <c r="U266" s="1111"/>
      <c r="V266" s="1111"/>
      <c r="W266" s="1111"/>
      <c r="X266" s="1111"/>
      <c r="Y266" s="1111"/>
      <c r="Z266" s="1111"/>
      <c r="AA266" s="1111"/>
      <c r="AB266" s="1111"/>
      <c r="AC266" s="1111"/>
      <c r="AD266" s="1111"/>
      <c r="AE266" s="1111"/>
      <c r="AF266" s="1111"/>
      <c r="AG266" s="1111"/>
    </row>
    <row r="267" spans="1:33" s="1295" customFormat="1">
      <c r="A267" s="1264"/>
      <c r="D267" s="1118"/>
      <c r="E267" s="1264"/>
      <c r="F267" s="1118"/>
      <c r="G267" s="1118"/>
      <c r="H267" s="1118"/>
      <c r="I267" s="1118"/>
      <c r="J267" s="1118"/>
      <c r="K267" s="1118"/>
      <c r="L267" s="1118"/>
      <c r="M267" s="1118"/>
      <c r="N267" s="1118"/>
      <c r="O267" s="1118"/>
      <c r="P267" s="1118"/>
      <c r="Q267" s="1111"/>
      <c r="R267" s="1111"/>
      <c r="S267" s="1111"/>
      <c r="T267" s="1111"/>
      <c r="U267" s="1111"/>
      <c r="V267" s="1111"/>
      <c r="W267" s="1111"/>
      <c r="X267" s="1111"/>
      <c r="Y267" s="1111"/>
      <c r="Z267" s="1111"/>
      <c r="AA267" s="1111"/>
      <c r="AB267" s="1111"/>
      <c r="AC267" s="1111"/>
      <c r="AD267" s="1111"/>
      <c r="AE267" s="1111"/>
      <c r="AF267" s="1111"/>
      <c r="AG267" s="1111"/>
    </row>
    <row r="268" spans="1:33" s="1295" customFormat="1">
      <c r="A268" s="1264"/>
      <c r="D268" s="1118"/>
      <c r="E268" s="1264"/>
      <c r="F268" s="1118"/>
      <c r="G268" s="1118"/>
      <c r="H268" s="1118"/>
      <c r="I268" s="1118"/>
      <c r="J268" s="1118"/>
      <c r="K268" s="1118"/>
      <c r="L268" s="1118"/>
      <c r="M268" s="1118"/>
      <c r="N268" s="1118"/>
      <c r="O268" s="1118"/>
      <c r="P268" s="1118"/>
      <c r="Q268" s="1111"/>
      <c r="R268" s="1111"/>
      <c r="S268" s="1111"/>
      <c r="T268" s="1111"/>
      <c r="U268" s="1111"/>
      <c r="V268" s="1111"/>
      <c r="W268" s="1111"/>
      <c r="X268" s="1111"/>
      <c r="Y268" s="1111"/>
      <c r="Z268" s="1111"/>
      <c r="AA268" s="1111"/>
      <c r="AB268" s="1111"/>
      <c r="AC268" s="1111"/>
      <c r="AD268" s="1111"/>
      <c r="AE268" s="1111"/>
      <c r="AF268" s="1111"/>
      <c r="AG268" s="1111"/>
    </row>
    <row r="269" spans="1:33" s="1295" customFormat="1">
      <c r="A269" s="1264"/>
      <c r="D269" s="1118"/>
      <c r="E269" s="1264"/>
      <c r="F269" s="1118"/>
      <c r="G269" s="1118"/>
      <c r="H269" s="1118"/>
      <c r="I269" s="1118"/>
      <c r="J269" s="1118"/>
      <c r="K269" s="1118"/>
      <c r="L269" s="1118"/>
      <c r="M269" s="1118"/>
      <c r="N269" s="1118"/>
      <c r="O269" s="1118"/>
      <c r="P269" s="1118"/>
      <c r="Q269" s="1111"/>
      <c r="R269" s="1111"/>
      <c r="S269" s="1111"/>
      <c r="T269" s="1111"/>
      <c r="U269" s="1111"/>
      <c r="V269" s="1111"/>
      <c r="W269" s="1111"/>
      <c r="X269" s="1111"/>
      <c r="Y269" s="1111"/>
      <c r="Z269" s="1111"/>
      <c r="AA269" s="1111"/>
      <c r="AB269" s="1111"/>
      <c r="AC269" s="1111"/>
      <c r="AD269" s="1111"/>
      <c r="AE269" s="1111"/>
      <c r="AF269" s="1111"/>
      <c r="AG269" s="1111"/>
    </row>
    <row r="270" spans="1:33" s="1295" customFormat="1">
      <c r="A270" s="1264"/>
      <c r="D270" s="1118"/>
      <c r="E270" s="1264"/>
      <c r="F270" s="1118"/>
      <c r="G270" s="1118"/>
      <c r="H270" s="1118"/>
      <c r="I270" s="1118"/>
      <c r="J270" s="1118"/>
      <c r="K270" s="1118"/>
      <c r="L270" s="1118"/>
      <c r="M270" s="1118"/>
      <c r="N270" s="1118"/>
      <c r="O270" s="1118"/>
      <c r="P270" s="1118"/>
      <c r="Q270" s="1111"/>
      <c r="R270" s="1111"/>
      <c r="S270" s="1111"/>
      <c r="T270" s="1111"/>
      <c r="U270" s="1111"/>
      <c r="V270" s="1111"/>
      <c r="W270" s="1111"/>
      <c r="X270" s="1111"/>
      <c r="Y270" s="1111"/>
      <c r="Z270" s="1111"/>
      <c r="AA270" s="1111"/>
      <c r="AB270" s="1111"/>
      <c r="AC270" s="1111"/>
      <c r="AD270" s="1111"/>
      <c r="AE270" s="1111"/>
      <c r="AF270" s="1111"/>
      <c r="AG270" s="1111"/>
    </row>
    <row r="271" spans="1:33" s="1295" customFormat="1">
      <c r="A271" s="1264"/>
      <c r="D271" s="1118"/>
      <c r="E271" s="1264"/>
      <c r="F271" s="1118"/>
      <c r="G271" s="1118"/>
      <c r="H271" s="1118"/>
      <c r="I271" s="1118"/>
      <c r="J271" s="1118"/>
      <c r="K271" s="1118"/>
      <c r="L271" s="1118"/>
      <c r="M271" s="1118"/>
      <c r="N271" s="1118"/>
      <c r="O271" s="1118"/>
      <c r="P271" s="1118"/>
      <c r="Q271" s="1111"/>
      <c r="R271" s="1111"/>
      <c r="S271" s="1111"/>
      <c r="T271" s="1111"/>
      <c r="U271" s="1111"/>
      <c r="V271" s="1111"/>
      <c r="W271" s="1111"/>
      <c r="X271" s="1111"/>
      <c r="Y271" s="1111"/>
      <c r="Z271" s="1111"/>
      <c r="AA271" s="1111"/>
      <c r="AB271" s="1111"/>
      <c r="AC271" s="1111"/>
      <c r="AD271" s="1111"/>
      <c r="AE271" s="1111"/>
      <c r="AF271" s="1111"/>
      <c r="AG271" s="1111"/>
    </row>
    <row r="272" spans="1:33" s="1295" customFormat="1">
      <c r="A272" s="1264"/>
      <c r="D272" s="1118"/>
      <c r="E272" s="1264"/>
      <c r="F272" s="1118"/>
      <c r="G272" s="1118"/>
      <c r="H272" s="1118"/>
      <c r="I272" s="1118"/>
      <c r="J272" s="1118"/>
      <c r="K272" s="1118"/>
      <c r="L272" s="1118"/>
      <c r="M272" s="1118"/>
      <c r="N272" s="1118"/>
      <c r="O272" s="1118"/>
      <c r="P272" s="1118"/>
      <c r="Q272" s="1111"/>
      <c r="R272" s="1111"/>
      <c r="S272" s="1111"/>
      <c r="T272" s="1111"/>
      <c r="U272" s="1111"/>
      <c r="V272" s="1111"/>
      <c r="W272" s="1111"/>
      <c r="X272" s="1111"/>
      <c r="Y272" s="1111"/>
      <c r="Z272" s="1111"/>
      <c r="AA272" s="1111"/>
      <c r="AB272" s="1111"/>
      <c r="AC272" s="1111"/>
      <c r="AD272" s="1111"/>
      <c r="AE272" s="1111"/>
      <c r="AF272" s="1111"/>
      <c r="AG272" s="1111"/>
    </row>
    <row r="273" spans="1:33" s="1295" customFormat="1">
      <c r="A273" s="1264"/>
      <c r="D273" s="1118"/>
      <c r="E273" s="1264"/>
      <c r="F273" s="1118"/>
      <c r="G273" s="1118"/>
      <c r="H273" s="1118"/>
      <c r="I273" s="1118"/>
      <c r="J273" s="1118"/>
      <c r="K273" s="1118"/>
      <c r="L273" s="1118"/>
      <c r="M273" s="1118"/>
      <c r="N273" s="1118"/>
      <c r="O273" s="1118"/>
      <c r="P273" s="1118"/>
      <c r="Q273" s="1111"/>
      <c r="R273" s="1111"/>
      <c r="S273" s="1111"/>
      <c r="T273" s="1111"/>
      <c r="U273" s="1111"/>
      <c r="V273" s="1111"/>
      <c r="W273" s="1111"/>
      <c r="X273" s="1111"/>
      <c r="Y273" s="1111"/>
      <c r="Z273" s="1111"/>
      <c r="AA273" s="1111"/>
      <c r="AB273" s="1111"/>
      <c r="AC273" s="1111"/>
      <c r="AD273" s="1111"/>
      <c r="AE273" s="1111"/>
      <c r="AF273" s="1111"/>
      <c r="AG273" s="1111"/>
    </row>
    <row r="274" spans="1:33" s="1295" customFormat="1">
      <c r="A274" s="1264"/>
      <c r="D274" s="1118"/>
      <c r="E274" s="1264"/>
      <c r="F274" s="1118"/>
      <c r="G274" s="1118"/>
      <c r="H274" s="1118"/>
      <c r="I274" s="1118"/>
      <c r="J274" s="1118"/>
      <c r="K274" s="1118"/>
      <c r="L274" s="1118"/>
      <c r="M274" s="1118"/>
      <c r="N274" s="1118"/>
      <c r="O274" s="1118"/>
      <c r="P274" s="1118"/>
      <c r="Q274" s="1111"/>
      <c r="R274" s="1111"/>
      <c r="S274" s="1111"/>
      <c r="T274" s="1111"/>
      <c r="U274" s="1111"/>
      <c r="V274" s="1111"/>
      <c r="W274" s="1111"/>
      <c r="X274" s="1111"/>
      <c r="Y274" s="1111"/>
      <c r="Z274" s="1111"/>
      <c r="AA274" s="1111"/>
      <c r="AB274" s="1111"/>
      <c r="AC274" s="1111"/>
      <c r="AD274" s="1111"/>
      <c r="AE274" s="1111"/>
      <c r="AF274" s="1111"/>
      <c r="AG274" s="1111"/>
    </row>
    <row r="275" spans="1:33" s="1295" customFormat="1">
      <c r="A275" s="1264"/>
      <c r="D275" s="1118"/>
      <c r="E275" s="1264"/>
      <c r="F275" s="1118"/>
      <c r="G275" s="1118"/>
      <c r="H275" s="1118"/>
      <c r="I275" s="1118"/>
      <c r="J275" s="1118"/>
      <c r="K275" s="1118"/>
      <c r="L275" s="1118"/>
      <c r="M275" s="1118"/>
      <c r="N275" s="1118"/>
      <c r="O275" s="1118"/>
      <c r="P275" s="1118"/>
      <c r="Q275" s="1111"/>
      <c r="R275" s="1111"/>
      <c r="S275" s="1111"/>
      <c r="T275" s="1111"/>
      <c r="U275" s="1111"/>
      <c r="V275" s="1111"/>
      <c r="W275" s="1111"/>
      <c r="X275" s="1111"/>
      <c r="Y275" s="1111"/>
      <c r="Z275" s="1111"/>
      <c r="AA275" s="1111"/>
      <c r="AB275" s="1111"/>
      <c r="AC275" s="1111"/>
      <c r="AD275" s="1111"/>
      <c r="AE275" s="1111"/>
      <c r="AF275" s="1111"/>
      <c r="AG275" s="1111"/>
    </row>
    <row r="276" spans="1:33" s="1295" customFormat="1">
      <c r="A276" s="1264"/>
      <c r="D276" s="1118"/>
      <c r="E276" s="1264"/>
      <c r="F276" s="1118"/>
      <c r="G276" s="1118"/>
      <c r="H276" s="1118"/>
      <c r="I276" s="1118"/>
      <c r="J276" s="1118"/>
      <c r="K276" s="1118"/>
      <c r="L276" s="1118"/>
      <c r="M276" s="1118"/>
      <c r="N276" s="1118"/>
      <c r="O276" s="1118"/>
      <c r="P276" s="1118"/>
      <c r="Q276" s="1111"/>
      <c r="R276" s="1111"/>
      <c r="S276" s="1111"/>
      <c r="T276" s="1111"/>
      <c r="U276" s="1111"/>
      <c r="V276" s="1111"/>
      <c r="W276" s="1111"/>
      <c r="X276" s="1111"/>
      <c r="Y276" s="1111"/>
      <c r="Z276" s="1111"/>
      <c r="AA276" s="1111"/>
      <c r="AB276" s="1111"/>
      <c r="AC276" s="1111"/>
      <c r="AD276" s="1111"/>
      <c r="AE276" s="1111"/>
      <c r="AF276" s="1111"/>
      <c r="AG276" s="1111"/>
    </row>
    <row r="277" spans="1:33" s="1295" customFormat="1">
      <c r="A277" s="1264"/>
      <c r="D277" s="1118"/>
      <c r="E277" s="1264"/>
      <c r="F277" s="1118"/>
      <c r="G277" s="1118"/>
      <c r="H277" s="1118"/>
      <c r="I277" s="1118"/>
      <c r="J277" s="1118"/>
      <c r="K277" s="1118"/>
      <c r="L277" s="1118"/>
      <c r="M277" s="1118"/>
      <c r="N277" s="1118"/>
      <c r="O277" s="1118"/>
      <c r="P277" s="1118"/>
      <c r="Q277" s="1111"/>
      <c r="R277" s="1111"/>
      <c r="S277" s="1111"/>
      <c r="T277" s="1111"/>
      <c r="U277" s="1111"/>
      <c r="V277" s="1111"/>
      <c r="W277" s="1111"/>
      <c r="X277" s="1111"/>
      <c r="Y277" s="1111"/>
      <c r="Z277" s="1111"/>
      <c r="AA277" s="1111"/>
      <c r="AB277" s="1111"/>
      <c r="AC277" s="1111"/>
      <c r="AD277" s="1111"/>
      <c r="AE277" s="1111"/>
      <c r="AF277" s="1111"/>
      <c r="AG277" s="1111"/>
    </row>
    <row r="278" spans="1:33" s="1295" customFormat="1">
      <c r="A278" s="1264"/>
      <c r="D278" s="1118"/>
      <c r="E278" s="1264"/>
      <c r="F278" s="1118"/>
      <c r="G278" s="1118"/>
      <c r="H278" s="1118"/>
      <c r="I278" s="1118"/>
      <c r="J278" s="1118"/>
      <c r="K278" s="1118"/>
      <c r="L278" s="1118"/>
      <c r="M278" s="1118"/>
      <c r="N278" s="1118"/>
      <c r="O278" s="1118"/>
      <c r="P278" s="1118"/>
      <c r="Q278" s="1111"/>
      <c r="R278" s="1111"/>
      <c r="S278" s="1111"/>
      <c r="T278" s="1111"/>
      <c r="U278" s="1111"/>
      <c r="V278" s="1111"/>
      <c r="W278" s="1111"/>
      <c r="X278" s="1111"/>
      <c r="Y278" s="1111"/>
      <c r="Z278" s="1111"/>
      <c r="AA278" s="1111"/>
      <c r="AB278" s="1111"/>
      <c r="AC278" s="1111"/>
      <c r="AD278" s="1111"/>
      <c r="AE278" s="1111"/>
      <c r="AF278" s="1111"/>
      <c r="AG278" s="1111"/>
    </row>
    <row r="279" spans="1:33" s="1295" customFormat="1">
      <c r="A279" s="1264"/>
      <c r="D279" s="1118"/>
      <c r="E279" s="1264"/>
      <c r="F279" s="1118"/>
      <c r="G279" s="1118"/>
      <c r="H279" s="1118"/>
      <c r="I279" s="1118"/>
      <c r="J279" s="1118"/>
      <c r="K279" s="1118"/>
      <c r="L279" s="1118"/>
      <c r="M279" s="1118"/>
      <c r="N279" s="1118"/>
      <c r="O279" s="1118"/>
      <c r="P279" s="1118"/>
      <c r="Q279" s="1111"/>
      <c r="R279" s="1111"/>
      <c r="S279" s="1111"/>
      <c r="T279" s="1111"/>
      <c r="U279" s="1111"/>
      <c r="V279" s="1111"/>
      <c r="W279" s="1111"/>
      <c r="X279" s="1111"/>
      <c r="Y279" s="1111"/>
      <c r="Z279" s="1111"/>
      <c r="AA279" s="1111"/>
      <c r="AB279" s="1111"/>
      <c r="AC279" s="1111"/>
      <c r="AD279" s="1111"/>
      <c r="AE279" s="1111"/>
      <c r="AF279" s="1111"/>
      <c r="AG279" s="1111"/>
    </row>
    <row r="280" spans="1:33" s="1295" customFormat="1">
      <c r="A280" s="1264"/>
      <c r="D280" s="1118"/>
      <c r="E280" s="1264"/>
      <c r="F280" s="1118"/>
      <c r="G280" s="1118"/>
      <c r="H280" s="1118"/>
      <c r="I280" s="1118"/>
      <c r="J280" s="1118"/>
      <c r="K280" s="1118"/>
      <c r="L280" s="1118"/>
      <c r="M280" s="1118"/>
      <c r="N280" s="1118"/>
      <c r="O280" s="1118"/>
      <c r="P280" s="1118"/>
      <c r="Q280" s="1111"/>
      <c r="R280" s="1111"/>
      <c r="S280" s="1111"/>
      <c r="T280" s="1111"/>
      <c r="U280" s="1111"/>
      <c r="V280" s="1111"/>
      <c r="W280" s="1111"/>
      <c r="X280" s="1111"/>
      <c r="Y280" s="1111"/>
      <c r="Z280" s="1111"/>
      <c r="AA280" s="1111"/>
      <c r="AB280" s="1111"/>
      <c r="AC280" s="1111"/>
      <c r="AD280" s="1111"/>
      <c r="AE280" s="1111"/>
      <c r="AF280" s="1111"/>
      <c r="AG280" s="1111"/>
    </row>
    <row r="281" spans="1:33" s="1295" customFormat="1">
      <c r="A281" s="1264"/>
      <c r="D281" s="1118"/>
      <c r="E281" s="1264"/>
      <c r="F281" s="1118"/>
      <c r="G281" s="1118"/>
      <c r="H281" s="1118"/>
      <c r="I281" s="1118"/>
      <c r="J281" s="1118"/>
      <c r="K281" s="1118"/>
      <c r="L281" s="1118"/>
      <c r="M281" s="1118"/>
      <c r="N281" s="1118"/>
      <c r="O281" s="1118"/>
      <c r="P281" s="1118"/>
      <c r="Q281" s="1111"/>
      <c r="R281" s="1111"/>
      <c r="S281" s="1111"/>
      <c r="T281" s="1111"/>
      <c r="U281" s="1111"/>
      <c r="V281" s="1111"/>
      <c r="W281" s="1111"/>
      <c r="X281" s="1111"/>
      <c r="Y281" s="1111"/>
      <c r="Z281" s="1111"/>
      <c r="AA281" s="1111"/>
      <c r="AB281" s="1111"/>
      <c r="AC281" s="1111"/>
      <c r="AD281" s="1111"/>
      <c r="AE281" s="1111"/>
      <c r="AF281" s="1111"/>
      <c r="AG281" s="1111"/>
    </row>
    <row r="282" spans="1:33" s="1295" customFormat="1">
      <c r="A282" s="1264"/>
      <c r="D282" s="1118"/>
      <c r="E282" s="1264"/>
      <c r="F282" s="1118"/>
      <c r="G282" s="1118"/>
      <c r="H282" s="1118"/>
      <c r="I282" s="1118"/>
      <c r="J282" s="1118"/>
      <c r="K282" s="1118"/>
      <c r="L282" s="1118"/>
      <c r="M282" s="1118"/>
      <c r="N282" s="1118"/>
      <c r="O282" s="1118"/>
      <c r="P282" s="1118"/>
      <c r="Q282" s="1111"/>
      <c r="R282" s="1111"/>
      <c r="S282" s="1111"/>
      <c r="T282" s="1111"/>
      <c r="U282" s="1111"/>
      <c r="V282" s="1111"/>
      <c r="W282" s="1111"/>
      <c r="X282" s="1111"/>
      <c r="Y282" s="1111"/>
      <c r="Z282" s="1111"/>
      <c r="AA282" s="1111"/>
      <c r="AB282" s="1111"/>
      <c r="AC282" s="1111"/>
      <c r="AD282" s="1111"/>
      <c r="AE282" s="1111"/>
      <c r="AF282" s="1111"/>
      <c r="AG282" s="1111"/>
    </row>
    <row r="283" spans="1:33" s="1295" customFormat="1">
      <c r="A283" s="1264"/>
      <c r="D283" s="1118"/>
      <c r="E283" s="1264"/>
      <c r="F283" s="1118"/>
      <c r="G283" s="1118"/>
      <c r="H283" s="1118"/>
      <c r="I283" s="1118"/>
      <c r="J283" s="1118"/>
      <c r="K283" s="1118"/>
      <c r="L283" s="1118"/>
      <c r="M283" s="1118"/>
      <c r="N283" s="1118"/>
      <c r="O283" s="1118"/>
      <c r="P283" s="1118"/>
      <c r="Q283" s="1111"/>
      <c r="R283" s="1111"/>
      <c r="S283" s="1111"/>
      <c r="T283" s="1111"/>
      <c r="U283" s="1111"/>
      <c r="V283" s="1111"/>
      <c r="W283" s="1111"/>
      <c r="X283" s="1111"/>
      <c r="Y283" s="1111"/>
      <c r="Z283" s="1111"/>
      <c r="AA283" s="1111"/>
      <c r="AB283" s="1111"/>
      <c r="AC283" s="1111"/>
      <c r="AD283" s="1111"/>
      <c r="AE283" s="1111"/>
      <c r="AF283" s="1111"/>
      <c r="AG283" s="1111"/>
    </row>
    <row r="284" spans="1:33" s="1295" customFormat="1">
      <c r="A284" s="1264"/>
      <c r="D284" s="1118"/>
      <c r="E284" s="1264"/>
      <c r="F284" s="1118"/>
      <c r="G284" s="1118"/>
      <c r="H284" s="1118"/>
      <c r="I284" s="1118"/>
      <c r="J284" s="1118"/>
      <c r="K284" s="1118"/>
      <c r="L284" s="1118"/>
      <c r="M284" s="1118"/>
      <c r="N284" s="1118"/>
      <c r="O284" s="1118"/>
      <c r="P284" s="1118"/>
      <c r="Q284" s="1111"/>
      <c r="R284" s="1111"/>
      <c r="S284" s="1111"/>
      <c r="T284" s="1111"/>
      <c r="U284" s="1111"/>
      <c r="V284" s="1111"/>
      <c r="W284" s="1111"/>
      <c r="X284" s="1111"/>
      <c r="Y284" s="1111"/>
      <c r="Z284" s="1111"/>
      <c r="AA284" s="1111"/>
      <c r="AB284" s="1111"/>
      <c r="AC284" s="1111"/>
      <c r="AD284" s="1111"/>
      <c r="AE284" s="1111"/>
      <c r="AF284" s="1111"/>
      <c r="AG284" s="1111"/>
    </row>
    <row r="285" spans="1:33" s="1295" customFormat="1">
      <c r="A285" s="1264"/>
      <c r="D285" s="1118"/>
      <c r="E285" s="1264"/>
      <c r="F285" s="1118"/>
      <c r="G285" s="1118"/>
      <c r="H285" s="1118"/>
      <c r="I285" s="1118"/>
      <c r="J285" s="1118"/>
      <c r="K285" s="1118"/>
      <c r="L285" s="1118"/>
      <c r="M285" s="1118"/>
      <c r="N285" s="1118"/>
      <c r="O285" s="1118"/>
      <c r="P285" s="1118"/>
      <c r="Q285" s="1111"/>
      <c r="R285" s="1111"/>
      <c r="S285" s="1111"/>
      <c r="T285" s="1111"/>
      <c r="U285" s="1111"/>
      <c r="V285" s="1111"/>
      <c r="W285" s="1111"/>
      <c r="X285" s="1111"/>
      <c r="Y285" s="1111"/>
      <c r="Z285" s="1111"/>
      <c r="AA285" s="1111"/>
      <c r="AB285" s="1111"/>
      <c r="AC285" s="1111"/>
      <c r="AD285" s="1111"/>
      <c r="AE285" s="1111"/>
      <c r="AF285" s="1111"/>
      <c r="AG285" s="1111"/>
    </row>
    <row r="286" spans="1:33" s="1295" customFormat="1">
      <c r="A286" s="1264"/>
      <c r="D286" s="1118"/>
      <c r="E286" s="1264"/>
      <c r="F286" s="1118"/>
      <c r="G286" s="1118"/>
      <c r="H286" s="1118"/>
      <c r="I286" s="1118"/>
      <c r="J286" s="1118"/>
      <c r="K286" s="1118"/>
      <c r="L286" s="1118"/>
      <c r="M286" s="1118"/>
      <c r="N286" s="1118"/>
      <c r="O286" s="1118"/>
      <c r="P286" s="1118"/>
      <c r="Q286" s="1111"/>
      <c r="R286" s="1111"/>
      <c r="S286" s="1111"/>
      <c r="T286" s="1111"/>
      <c r="U286" s="1111"/>
      <c r="V286" s="1111"/>
      <c r="W286" s="1111"/>
      <c r="X286" s="1111"/>
      <c r="Y286" s="1111"/>
      <c r="Z286" s="1111"/>
      <c r="AA286" s="1111"/>
      <c r="AB286" s="1111"/>
      <c r="AC286" s="1111"/>
      <c r="AD286" s="1111"/>
      <c r="AE286" s="1111"/>
      <c r="AF286" s="1111"/>
      <c r="AG286" s="1111"/>
    </row>
    <row r="287" spans="1:33" s="1295" customFormat="1">
      <c r="A287" s="1264"/>
      <c r="D287" s="1118"/>
      <c r="E287" s="1264"/>
      <c r="F287" s="1118"/>
      <c r="G287" s="1118"/>
      <c r="H287" s="1118"/>
      <c r="I287" s="1118"/>
      <c r="J287" s="1118"/>
      <c r="K287" s="1118"/>
      <c r="L287" s="1118"/>
      <c r="M287" s="1118"/>
      <c r="N287" s="1118"/>
      <c r="O287" s="1118"/>
      <c r="P287" s="1118"/>
      <c r="Q287" s="1111"/>
      <c r="R287" s="1111"/>
      <c r="S287" s="1111"/>
      <c r="T287" s="1111"/>
      <c r="U287" s="1111"/>
      <c r="V287" s="1111"/>
      <c r="W287" s="1111"/>
      <c r="X287" s="1111"/>
      <c r="Y287" s="1111"/>
      <c r="Z287" s="1111"/>
      <c r="AA287" s="1111"/>
      <c r="AB287" s="1111"/>
      <c r="AC287" s="1111"/>
      <c r="AD287" s="1111"/>
      <c r="AE287" s="1111"/>
      <c r="AF287" s="1111"/>
      <c r="AG287" s="1111"/>
    </row>
    <row r="288" spans="1:33" s="1295" customFormat="1">
      <c r="A288" s="1264"/>
      <c r="D288" s="1118"/>
      <c r="E288" s="1264"/>
      <c r="F288" s="1118"/>
      <c r="G288" s="1118"/>
      <c r="H288" s="1118"/>
      <c r="I288" s="1118"/>
      <c r="J288" s="1118"/>
      <c r="K288" s="1118"/>
      <c r="L288" s="1118"/>
      <c r="M288" s="1118"/>
      <c r="N288" s="1118"/>
      <c r="O288" s="1118"/>
      <c r="P288" s="1118"/>
      <c r="Q288" s="1111"/>
      <c r="R288" s="1111"/>
      <c r="S288" s="1111"/>
      <c r="T288" s="1111"/>
      <c r="U288" s="1111"/>
      <c r="V288" s="1111"/>
      <c r="W288" s="1111"/>
      <c r="X288" s="1111"/>
      <c r="Y288" s="1111"/>
      <c r="Z288" s="1111"/>
      <c r="AA288" s="1111"/>
      <c r="AB288" s="1111"/>
      <c r="AC288" s="1111"/>
      <c r="AD288" s="1111"/>
      <c r="AE288" s="1111"/>
      <c r="AF288" s="1111"/>
      <c r="AG288" s="1111"/>
    </row>
    <row r="289" spans="1:33" s="1295" customFormat="1">
      <c r="A289" s="1264"/>
      <c r="D289" s="1118"/>
      <c r="E289" s="1264"/>
      <c r="F289" s="1118"/>
      <c r="G289" s="1118"/>
      <c r="H289" s="1118"/>
      <c r="I289" s="1118"/>
      <c r="J289" s="1118"/>
      <c r="K289" s="1118"/>
      <c r="L289" s="1118"/>
      <c r="M289" s="1118"/>
      <c r="N289" s="1118"/>
      <c r="O289" s="1118"/>
      <c r="P289" s="1118"/>
      <c r="Q289" s="1111"/>
      <c r="R289" s="1111"/>
      <c r="S289" s="1111"/>
      <c r="T289" s="1111"/>
      <c r="U289" s="1111"/>
      <c r="V289" s="1111"/>
      <c r="W289" s="1111"/>
      <c r="X289" s="1111"/>
      <c r="Y289" s="1111"/>
      <c r="Z289" s="1111"/>
      <c r="AA289" s="1111"/>
      <c r="AB289" s="1111"/>
      <c r="AC289" s="1111"/>
      <c r="AD289" s="1111"/>
      <c r="AE289" s="1111"/>
      <c r="AF289" s="1111"/>
      <c r="AG289" s="1111"/>
    </row>
    <row r="290" spans="1:33" s="1295" customFormat="1">
      <c r="A290" s="1264"/>
      <c r="D290" s="1118"/>
      <c r="E290" s="1264"/>
      <c r="F290" s="1118"/>
      <c r="G290" s="1118"/>
      <c r="H290" s="1118"/>
      <c r="I290" s="1118"/>
      <c r="J290" s="1118"/>
      <c r="K290" s="1118"/>
      <c r="L290" s="1118"/>
      <c r="M290" s="1118"/>
      <c r="N290" s="1118"/>
      <c r="O290" s="1118"/>
      <c r="P290" s="1118"/>
      <c r="Q290" s="1111"/>
      <c r="R290" s="1111"/>
      <c r="S290" s="1111"/>
      <c r="T290" s="1111"/>
      <c r="U290" s="1111"/>
      <c r="V290" s="1111"/>
      <c r="W290" s="1111"/>
      <c r="X290" s="1111"/>
      <c r="Y290" s="1111"/>
      <c r="Z290" s="1111"/>
      <c r="AA290" s="1111"/>
      <c r="AB290" s="1111"/>
      <c r="AC290" s="1111"/>
      <c r="AD290" s="1111"/>
      <c r="AE290" s="1111"/>
      <c r="AF290" s="1111"/>
      <c r="AG290" s="1111"/>
    </row>
    <row r="291" spans="1:33" s="1295" customFormat="1">
      <c r="A291" s="1264"/>
      <c r="D291" s="1118"/>
      <c r="E291" s="1264"/>
      <c r="F291" s="1118"/>
      <c r="G291" s="1118"/>
      <c r="H291" s="1118"/>
      <c r="I291" s="1118"/>
      <c r="J291" s="1118"/>
      <c r="K291" s="1118"/>
      <c r="L291" s="1118"/>
      <c r="M291" s="1118"/>
      <c r="N291" s="1118"/>
      <c r="O291" s="1118"/>
      <c r="P291" s="1118"/>
      <c r="Q291" s="1111"/>
      <c r="R291" s="1111"/>
      <c r="S291" s="1111"/>
      <c r="T291" s="1111"/>
      <c r="U291" s="1111"/>
      <c r="V291" s="1111"/>
      <c r="W291" s="1111"/>
      <c r="X291" s="1111"/>
      <c r="Y291" s="1111"/>
      <c r="Z291" s="1111"/>
      <c r="AA291" s="1111"/>
      <c r="AB291" s="1111"/>
      <c r="AC291" s="1111"/>
      <c r="AD291" s="1111"/>
      <c r="AE291" s="1111"/>
      <c r="AF291" s="1111"/>
      <c r="AG291" s="1111"/>
    </row>
    <row r="292" spans="1:33" s="1295" customFormat="1">
      <c r="A292" s="1264"/>
      <c r="D292" s="1118"/>
      <c r="E292" s="1264"/>
      <c r="F292" s="1118"/>
      <c r="G292" s="1118"/>
      <c r="H292" s="1118"/>
      <c r="I292" s="1118"/>
      <c r="J292" s="1118"/>
      <c r="K292" s="1118"/>
      <c r="L292" s="1118"/>
      <c r="M292" s="1118"/>
      <c r="N292" s="1118"/>
      <c r="O292" s="1118"/>
      <c r="P292" s="1118"/>
      <c r="Q292" s="1111"/>
      <c r="R292" s="1111"/>
      <c r="S292" s="1111"/>
      <c r="T292" s="1111"/>
      <c r="U292" s="1111"/>
      <c r="V292" s="1111"/>
      <c r="W292" s="1111"/>
      <c r="X292" s="1111"/>
      <c r="Y292" s="1111"/>
      <c r="Z292" s="1111"/>
      <c r="AA292" s="1111"/>
      <c r="AB292" s="1111"/>
      <c r="AC292" s="1111"/>
      <c r="AD292" s="1111"/>
      <c r="AE292" s="1111"/>
      <c r="AF292" s="1111"/>
      <c r="AG292" s="1111"/>
    </row>
    <row r="293" spans="1:33" s="1295" customFormat="1">
      <c r="A293" s="1264"/>
      <c r="D293" s="1118"/>
      <c r="E293" s="1264"/>
      <c r="F293" s="1118"/>
      <c r="G293" s="1118"/>
      <c r="H293" s="1118"/>
      <c r="I293" s="1118"/>
      <c r="J293" s="1118"/>
      <c r="K293" s="1118"/>
      <c r="L293" s="1118"/>
      <c r="M293" s="1118"/>
      <c r="N293" s="1118"/>
      <c r="O293" s="1118"/>
      <c r="P293" s="1118"/>
      <c r="Q293" s="1111"/>
      <c r="R293" s="1111"/>
      <c r="S293" s="1111"/>
      <c r="T293" s="1111"/>
      <c r="U293" s="1111"/>
      <c r="V293" s="1111"/>
      <c r="W293" s="1111"/>
      <c r="X293" s="1111"/>
      <c r="Y293" s="1111"/>
      <c r="Z293" s="1111"/>
      <c r="AA293" s="1111"/>
      <c r="AB293" s="1111"/>
      <c r="AC293" s="1111"/>
      <c r="AD293" s="1111"/>
      <c r="AE293" s="1111"/>
      <c r="AF293" s="1111"/>
      <c r="AG293" s="1111"/>
    </row>
    <row r="294" spans="1:33" s="1295" customFormat="1">
      <c r="A294" s="1264"/>
      <c r="D294" s="1118"/>
      <c r="E294" s="1264"/>
      <c r="F294" s="1118"/>
      <c r="G294" s="1118"/>
      <c r="H294" s="1118"/>
      <c r="I294" s="1118"/>
      <c r="J294" s="1118"/>
      <c r="K294" s="1118"/>
      <c r="L294" s="1118"/>
      <c r="M294" s="1118"/>
      <c r="N294" s="1118"/>
      <c r="O294" s="1118"/>
      <c r="P294" s="1118"/>
      <c r="Q294" s="1111"/>
      <c r="R294" s="1111"/>
      <c r="S294" s="1111"/>
      <c r="T294" s="1111"/>
      <c r="U294" s="1111"/>
      <c r="V294" s="1111"/>
      <c r="W294" s="1111"/>
      <c r="X294" s="1111"/>
      <c r="Y294" s="1111"/>
      <c r="Z294" s="1111"/>
      <c r="AA294" s="1111"/>
      <c r="AB294" s="1111"/>
      <c r="AC294" s="1111"/>
      <c r="AD294" s="1111"/>
      <c r="AE294" s="1111"/>
      <c r="AF294" s="1111"/>
      <c r="AG294" s="1111"/>
    </row>
    <row r="295" spans="1:33" s="1295" customFormat="1">
      <c r="A295" s="1264"/>
      <c r="D295" s="1118"/>
      <c r="E295" s="1264"/>
      <c r="F295" s="1118"/>
      <c r="G295" s="1118"/>
      <c r="H295" s="1118"/>
      <c r="I295" s="1118"/>
      <c r="J295" s="1118"/>
      <c r="K295" s="1118"/>
      <c r="L295" s="1118"/>
      <c r="M295" s="1118"/>
      <c r="N295" s="1118"/>
      <c r="O295" s="1118"/>
      <c r="P295" s="1118"/>
      <c r="Q295" s="1111"/>
      <c r="R295" s="1111"/>
      <c r="S295" s="1111"/>
      <c r="T295" s="1111"/>
      <c r="U295" s="1111"/>
      <c r="V295" s="1111"/>
      <c r="W295" s="1111"/>
      <c r="X295" s="1111"/>
      <c r="Y295" s="1111"/>
      <c r="Z295" s="1111"/>
      <c r="AA295" s="1111"/>
      <c r="AB295" s="1111"/>
      <c r="AC295" s="1111"/>
      <c r="AD295" s="1111"/>
      <c r="AE295" s="1111"/>
      <c r="AF295" s="1111"/>
      <c r="AG295" s="1111"/>
    </row>
    <row r="296" spans="1:33" s="1295" customFormat="1">
      <c r="A296" s="1264"/>
      <c r="D296" s="1118"/>
      <c r="E296" s="1264"/>
      <c r="F296" s="1118"/>
      <c r="G296" s="1118"/>
      <c r="H296" s="1118"/>
      <c r="I296" s="1118"/>
      <c r="J296" s="1118"/>
      <c r="K296" s="1118"/>
      <c r="L296" s="1118"/>
      <c r="M296" s="1118"/>
      <c r="N296" s="1118"/>
      <c r="O296" s="1118"/>
      <c r="P296" s="1118"/>
      <c r="Q296" s="1111"/>
      <c r="R296" s="1111"/>
      <c r="S296" s="1111"/>
      <c r="T296" s="1111"/>
      <c r="U296" s="1111"/>
      <c r="V296" s="1111"/>
      <c r="W296" s="1111"/>
      <c r="X296" s="1111"/>
      <c r="Y296" s="1111"/>
      <c r="Z296" s="1111"/>
      <c r="AA296" s="1111"/>
      <c r="AB296" s="1111"/>
      <c r="AC296" s="1111"/>
      <c r="AD296" s="1111"/>
      <c r="AE296" s="1111"/>
      <c r="AF296" s="1111"/>
      <c r="AG296" s="1111"/>
    </row>
    <row r="297" spans="1:33" s="1295" customFormat="1">
      <c r="A297" s="1264"/>
      <c r="D297" s="1118"/>
      <c r="E297" s="1264"/>
      <c r="F297" s="1118"/>
      <c r="G297" s="1118"/>
      <c r="H297" s="1118"/>
      <c r="I297" s="1118"/>
      <c r="J297" s="1118"/>
      <c r="K297" s="1118"/>
      <c r="L297" s="1118"/>
      <c r="M297" s="1118"/>
      <c r="N297" s="1118"/>
      <c r="O297" s="1118"/>
      <c r="P297" s="1118"/>
      <c r="Q297" s="1111"/>
      <c r="R297" s="1111"/>
      <c r="S297" s="1111"/>
      <c r="T297" s="1111"/>
      <c r="U297" s="1111"/>
      <c r="V297" s="1111"/>
      <c r="W297" s="1111"/>
      <c r="X297" s="1111"/>
      <c r="Y297" s="1111"/>
      <c r="Z297" s="1111"/>
      <c r="AA297" s="1111"/>
      <c r="AB297" s="1111"/>
      <c r="AC297" s="1111"/>
      <c r="AD297" s="1111"/>
      <c r="AE297" s="1111"/>
      <c r="AF297" s="1111"/>
      <c r="AG297" s="1111"/>
    </row>
    <row r="298" spans="1:33" s="1295" customFormat="1">
      <c r="A298" s="1264"/>
      <c r="D298" s="1118"/>
      <c r="E298" s="1264"/>
      <c r="F298" s="1118"/>
      <c r="G298" s="1118"/>
      <c r="H298" s="1118"/>
      <c r="I298" s="1118"/>
      <c r="J298" s="1118"/>
      <c r="K298" s="1118"/>
      <c r="L298" s="1118"/>
      <c r="M298" s="1118"/>
      <c r="N298" s="1118"/>
      <c r="O298" s="1118"/>
      <c r="P298" s="1118"/>
      <c r="Q298" s="1111"/>
      <c r="R298" s="1111"/>
      <c r="S298" s="1111"/>
      <c r="T298" s="1111"/>
      <c r="U298" s="1111"/>
      <c r="V298" s="1111"/>
      <c r="W298" s="1111"/>
      <c r="X298" s="1111"/>
      <c r="Y298" s="1111"/>
      <c r="Z298" s="1111"/>
      <c r="AA298" s="1111"/>
      <c r="AB298" s="1111"/>
      <c r="AC298" s="1111"/>
      <c r="AD298" s="1111"/>
      <c r="AE298" s="1111"/>
      <c r="AF298" s="1111"/>
      <c r="AG298" s="1111"/>
    </row>
    <row r="299" spans="1:33" s="1295" customFormat="1">
      <c r="A299" s="1264"/>
      <c r="D299" s="1118"/>
      <c r="E299" s="1264"/>
      <c r="F299" s="1118"/>
      <c r="G299" s="1118"/>
      <c r="H299" s="1118"/>
      <c r="I299" s="1118"/>
      <c r="J299" s="1118"/>
      <c r="K299" s="1118"/>
      <c r="L299" s="1118"/>
      <c r="M299" s="1118"/>
      <c r="N299" s="1118"/>
      <c r="O299" s="1118"/>
      <c r="P299" s="1118"/>
      <c r="Q299" s="1111"/>
      <c r="R299" s="1111"/>
      <c r="S299" s="1111"/>
      <c r="T299" s="1111"/>
      <c r="U299" s="1111"/>
      <c r="V299" s="1111"/>
      <c r="W299" s="1111"/>
      <c r="X299" s="1111"/>
      <c r="Y299" s="1111"/>
      <c r="Z299" s="1111"/>
      <c r="AA299" s="1111"/>
      <c r="AB299" s="1111"/>
      <c r="AC299" s="1111"/>
      <c r="AD299" s="1111"/>
      <c r="AE299" s="1111"/>
      <c r="AF299" s="1111"/>
      <c r="AG299" s="1111"/>
    </row>
    <row r="300" spans="1:33" s="1295" customFormat="1">
      <c r="A300" s="1264"/>
      <c r="D300" s="1118"/>
      <c r="E300" s="1264"/>
      <c r="F300" s="1118"/>
      <c r="G300" s="1118"/>
      <c r="H300" s="1118"/>
      <c r="I300" s="1118"/>
      <c r="J300" s="1118"/>
      <c r="K300" s="1118"/>
      <c r="L300" s="1118"/>
      <c r="M300" s="1118"/>
      <c r="N300" s="1118"/>
      <c r="O300" s="1118"/>
      <c r="P300" s="1118"/>
      <c r="Q300" s="1111"/>
      <c r="R300" s="1111"/>
      <c r="S300" s="1111"/>
      <c r="T300" s="1111"/>
      <c r="U300" s="1111"/>
      <c r="V300" s="1111"/>
      <c r="W300" s="1111"/>
      <c r="X300" s="1111"/>
      <c r="Y300" s="1111"/>
      <c r="Z300" s="1111"/>
      <c r="AA300" s="1111"/>
      <c r="AB300" s="1111"/>
      <c r="AC300" s="1111"/>
      <c r="AD300" s="1111"/>
      <c r="AE300" s="1111"/>
      <c r="AF300" s="1111"/>
      <c r="AG300" s="1111"/>
    </row>
    <row r="301" spans="1:33" s="1295" customFormat="1">
      <c r="A301" s="1264"/>
      <c r="D301" s="1118"/>
      <c r="E301" s="1264"/>
      <c r="F301" s="1118"/>
      <c r="G301" s="1118"/>
      <c r="H301" s="1118"/>
      <c r="I301" s="1118"/>
      <c r="J301" s="1118"/>
      <c r="K301" s="1118"/>
      <c r="L301" s="1118"/>
      <c r="M301" s="1118"/>
      <c r="N301" s="1118"/>
      <c r="O301" s="1118"/>
      <c r="P301" s="1118"/>
      <c r="Q301" s="1111"/>
      <c r="R301" s="1111"/>
      <c r="S301" s="1111"/>
      <c r="T301" s="1111"/>
      <c r="U301" s="1111"/>
      <c r="V301" s="1111"/>
      <c r="W301" s="1111"/>
      <c r="X301" s="1111"/>
      <c r="Y301" s="1111"/>
      <c r="Z301" s="1111"/>
      <c r="AA301" s="1111"/>
      <c r="AB301" s="1111"/>
      <c r="AC301" s="1111"/>
      <c r="AD301" s="1111"/>
      <c r="AE301" s="1111"/>
      <c r="AF301" s="1111"/>
      <c r="AG301" s="1111"/>
    </row>
    <row r="302" spans="1:33" s="1295" customFormat="1">
      <c r="A302" s="1264"/>
      <c r="D302" s="1118"/>
      <c r="E302" s="1264"/>
      <c r="F302" s="1118"/>
      <c r="G302" s="1118"/>
      <c r="H302" s="1118"/>
      <c r="I302" s="1118"/>
      <c r="J302" s="1118"/>
      <c r="K302" s="1118"/>
      <c r="L302" s="1118"/>
      <c r="M302" s="1118"/>
      <c r="N302" s="1118"/>
      <c r="O302" s="1118"/>
      <c r="P302" s="1118"/>
      <c r="Q302" s="1111"/>
      <c r="R302" s="1111"/>
      <c r="S302" s="1111"/>
      <c r="T302" s="1111"/>
      <c r="U302" s="1111"/>
      <c r="V302" s="1111"/>
      <c r="W302" s="1111"/>
      <c r="X302" s="1111"/>
      <c r="Y302" s="1111"/>
      <c r="Z302" s="1111"/>
      <c r="AA302" s="1111"/>
      <c r="AB302" s="1111"/>
      <c r="AC302" s="1111"/>
      <c r="AD302" s="1111"/>
      <c r="AE302" s="1111"/>
      <c r="AF302" s="1111"/>
      <c r="AG302" s="1111"/>
    </row>
    <row r="303" spans="1:33" s="1295" customFormat="1">
      <c r="A303" s="1264"/>
      <c r="D303" s="1118"/>
      <c r="E303" s="1264"/>
      <c r="F303" s="1118"/>
      <c r="G303" s="1118"/>
      <c r="H303" s="1118"/>
      <c r="I303" s="1118"/>
      <c r="J303" s="1118"/>
      <c r="K303" s="1118"/>
      <c r="L303" s="1118"/>
      <c r="M303" s="1118"/>
      <c r="N303" s="1118"/>
      <c r="O303" s="1118"/>
      <c r="P303" s="1118"/>
      <c r="Q303" s="1111"/>
      <c r="R303" s="1111"/>
      <c r="S303" s="1111"/>
      <c r="T303" s="1111"/>
      <c r="U303" s="1111"/>
      <c r="V303" s="1111"/>
      <c r="W303" s="1111"/>
      <c r="X303" s="1111"/>
      <c r="Y303" s="1111"/>
      <c r="Z303" s="1111"/>
      <c r="AA303" s="1111"/>
      <c r="AB303" s="1111"/>
      <c r="AC303" s="1111"/>
      <c r="AD303" s="1111"/>
      <c r="AE303" s="1111"/>
      <c r="AF303" s="1111"/>
      <c r="AG303" s="1111"/>
    </row>
    <row r="304" spans="1:33" s="1295" customFormat="1">
      <c r="A304" s="1264"/>
      <c r="D304" s="1118"/>
      <c r="E304" s="1264"/>
      <c r="F304" s="1118"/>
      <c r="G304" s="1118"/>
      <c r="H304" s="1118"/>
      <c r="I304" s="1118"/>
      <c r="J304" s="1118"/>
      <c r="K304" s="1118"/>
      <c r="L304" s="1118"/>
      <c r="M304" s="1118"/>
      <c r="N304" s="1118"/>
      <c r="O304" s="1118"/>
      <c r="P304" s="1118"/>
      <c r="Q304" s="1111"/>
      <c r="R304" s="1111"/>
      <c r="S304" s="1111"/>
      <c r="T304" s="1111"/>
      <c r="U304" s="1111"/>
      <c r="V304" s="1111"/>
      <c r="W304" s="1111"/>
      <c r="X304" s="1111"/>
      <c r="Y304" s="1111"/>
      <c r="Z304" s="1111"/>
      <c r="AA304" s="1111"/>
      <c r="AB304" s="1111"/>
      <c r="AC304" s="1111"/>
      <c r="AD304" s="1111"/>
      <c r="AE304" s="1111"/>
      <c r="AF304" s="1111"/>
      <c r="AG304" s="1111"/>
    </row>
    <row r="305" spans="1:33" s="1295" customFormat="1">
      <c r="A305" s="1264"/>
      <c r="D305" s="1118"/>
      <c r="E305" s="1264"/>
      <c r="F305" s="1118"/>
      <c r="G305" s="1118"/>
      <c r="H305" s="1118"/>
      <c r="I305" s="1118"/>
      <c r="J305" s="1118"/>
      <c r="K305" s="1118"/>
      <c r="L305" s="1118"/>
      <c r="M305" s="1118"/>
      <c r="N305" s="1118"/>
      <c r="O305" s="1118"/>
      <c r="P305" s="1118"/>
      <c r="Q305" s="1111"/>
      <c r="R305" s="1111"/>
      <c r="S305" s="1111"/>
      <c r="T305" s="1111"/>
      <c r="U305" s="1111"/>
      <c r="V305" s="1111"/>
      <c r="W305" s="1111"/>
      <c r="X305" s="1111"/>
      <c r="Y305" s="1111"/>
      <c r="Z305" s="1111"/>
      <c r="AA305" s="1111"/>
      <c r="AB305" s="1111"/>
      <c r="AC305" s="1111"/>
      <c r="AD305" s="1111"/>
      <c r="AE305" s="1111"/>
      <c r="AF305" s="1111"/>
      <c r="AG305" s="1111"/>
    </row>
    <row r="306" spans="1:33" s="1295" customFormat="1">
      <c r="A306" s="1264"/>
      <c r="D306" s="1118"/>
      <c r="E306" s="1264"/>
      <c r="F306" s="1118"/>
      <c r="G306" s="1118"/>
      <c r="H306" s="1118"/>
      <c r="I306" s="1118"/>
      <c r="J306" s="1118"/>
      <c r="K306" s="1118"/>
      <c r="L306" s="1118"/>
      <c r="M306" s="1118"/>
      <c r="N306" s="1118"/>
      <c r="O306" s="1118"/>
      <c r="P306" s="1118"/>
      <c r="Q306" s="1111"/>
      <c r="R306" s="1111"/>
      <c r="S306" s="1111"/>
      <c r="T306" s="1111"/>
      <c r="U306" s="1111"/>
      <c r="V306" s="1111"/>
      <c r="W306" s="1111"/>
      <c r="X306" s="1111"/>
      <c r="Y306" s="1111"/>
      <c r="Z306" s="1111"/>
      <c r="AA306" s="1111"/>
      <c r="AB306" s="1111"/>
      <c r="AC306" s="1111"/>
      <c r="AD306" s="1111"/>
      <c r="AE306" s="1111"/>
      <c r="AF306" s="1111"/>
      <c r="AG306" s="1111"/>
    </row>
    <row r="307" spans="1:33" s="1295" customFormat="1">
      <c r="A307" s="1264"/>
      <c r="D307" s="1118"/>
      <c r="E307" s="1264"/>
      <c r="F307" s="1118"/>
      <c r="G307" s="1118"/>
      <c r="H307" s="1118"/>
      <c r="I307" s="1118"/>
      <c r="J307" s="1118"/>
      <c r="K307" s="1118"/>
      <c r="L307" s="1118"/>
      <c r="M307" s="1118"/>
      <c r="N307" s="1118"/>
      <c r="O307" s="1118"/>
      <c r="P307" s="1118"/>
      <c r="Q307" s="1111"/>
      <c r="R307" s="1111"/>
      <c r="S307" s="1111"/>
      <c r="T307" s="1111"/>
      <c r="U307" s="1111"/>
      <c r="V307" s="1111"/>
      <c r="W307" s="1111"/>
      <c r="X307" s="1111"/>
      <c r="Y307" s="1111"/>
      <c r="Z307" s="1111"/>
      <c r="AA307" s="1111"/>
      <c r="AB307" s="1111"/>
      <c r="AC307" s="1111"/>
      <c r="AD307" s="1111"/>
      <c r="AE307" s="1111"/>
      <c r="AF307" s="1111"/>
      <c r="AG307" s="1111"/>
    </row>
    <row r="308" spans="1:33" s="1295" customFormat="1">
      <c r="A308" s="1264"/>
      <c r="D308" s="1118"/>
      <c r="E308" s="1264"/>
      <c r="F308" s="1118"/>
      <c r="G308" s="1118"/>
      <c r="H308" s="1118"/>
      <c r="I308" s="1118"/>
      <c r="J308" s="1118"/>
      <c r="K308" s="1118"/>
      <c r="L308" s="1118"/>
      <c r="M308" s="1118"/>
      <c r="N308" s="1118"/>
      <c r="O308" s="1118"/>
      <c r="P308" s="1118"/>
      <c r="Q308" s="1111"/>
      <c r="R308" s="1111"/>
      <c r="S308" s="1111"/>
      <c r="T308" s="1111"/>
      <c r="U308" s="1111"/>
      <c r="V308" s="1111"/>
      <c r="W308" s="1111"/>
      <c r="X308" s="1111"/>
      <c r="Y308" s="1111"/>
      <c r="Z308" s="1111"/>
      <c r="AA308" s="1111"/>
      <c r="AB308" s="1111"/>
      <c r="AC308" s="1111"/>
      <c r="AD308" s="1111"/>
      <c r="AE308" s="1111"/>
      <c r="AF308" s="1111"/>
      <c r="AG308" s="1111"/>
    </row>
    <row r="309" spans="1:33" s="1295" customFormat="1">
      <c r="A309" s="1264"/>
      <c r="D309" s="1118"/>
      <c r="E309" s="1264"/>
      <c r="F309" s="1118"/>
      <c r="G309" s="1118"/>
      <c r="H309" s="1118"/>
      <c r="I309" s="1118"/>
      <c r="J309" s="1118"/>
      <c r="K309" s="1118"/>
      <c r="L309" s="1118"/>
      <c r="M309" s="1118"/>
      <c r="N309" s="1118"/>
      <c r="O309" s="1118"/>
      <c r="P309" s="1118"/>
      <c r="Q309" s="1111"/>
      <c r="R309" s="1111"/>
      <c r="S309" s="1111"/>
      <c r="T309" s="1111"/>
      <c r="U309" s="1111"/>
      <c r="V309" s="1111"/>
      <c r="W309" s="1111"/>
      <c r="X309" s="1111"/>
      <c r="Y309" s="1111"/>
      <c r="Z309" s="1111"/>
      <c r="AA309" s="1111"/>
      <c r="AB309" s="1111"/>
      <c r="AC309" s="1111"/>
      <c r="AD309" s="1111"/>
      <c r="AE309" s="1111"/>
      <c r="AF309" s="1111"/>
      <c r="AG309" s="1111"/>
    </row>
    <row r="310" spans="1:33" s="1295" customFormat="1">
      <c r="A310" s="1264"/>
      <c r="D310" s="1118"/>
      <c r="E310" s="1264"/>
      <c r="F310" s="1118"/>
      <c r="G310" s="1118"/>
      <c r="H310" s="1118"/>
      <c r="I310" s="1118"/>
      <c r="J310" s="1118"/>
      <c r="K310" s="1118"/>
      <c r="L310" s="1118"/>
      <c r="M310" s="1118"/>
      <c r="N310" s="1118"/>
      <c r="O310" s="1118"/>
      <c r="P310" s="1118"/>
      <c r="Q310" s="1111"/>
      <c r="R310" s="1111"/>
      <c r="S310" s="1111"/>
      <c r="T310" s="1111"/>
      <c r="U310" s="1111"/>
      <c r="V310" s="1111"/>
      <c r="W310" s="1111"/>
      <c r="X310" s="1111"/>
      <c r="Y310" s="1111"/>
      <c r="Z310" s="1111"/>
      <c r="AA310" s="1111"/>
      <c r="AB310" s="1111"/>
      <c r="AC310" s="1111"/>
      <c r="AD310" s="1111"/>
      <c r="AE310" s="1111"/>
      <c r="AF310" s="1111"/>
      <c r="AG310" s="1111"/>
    </row>
    <row r="311" spans="1:33" s="1295" customFormat="1">
      <c r="A311" s="1264"/>
      <c r="D311" s="1118"/>
      <c r="E311" s="1264"/>
      <c r="F311" s="1118"/>
      <c r="G311" s="1118"/>
      <c r="H311" s="1118"/>
      <c r="I311" s="1118"/>
      <c r="J311" s="1118"/>
      <c r="K311" s="1118"/>
      <c r="L311" s="1118"/>
      <c r="M311" s="1118"/>
      <c r="N311" s="1118"/>
      <c r="O311" s="1118"/>
      <c r="P311" s="1118"/>
      <c r="Q311" s="1111"/>
      <c r="R311" s="1111"/>
      <c r="S311" s="1111"/>
      <c r="T311" s="1111"/>
      <c r="U311" s="1111"/>
      <c r="V311" s="1111"/>
      <c r="W311" s="1111"/>
      <c r="X311" s="1111"/>
      <c r="Y311" s="1111"/>
      <c r="Z311" s="1111"/>
      <c r="AA311" s="1111"/>
      <c r="AB311" s="1111"/>
      <c r="AC311" s="1111"/>
      <c r="AD311" s="1111"/>
      <c r="AE311" s="1111"/>
      <c r="AF311" s="1111"/>
      <c r="AG311" s="1111"/>
    </row>
    <row r="312" spans="1:33" s="1295" customFormat="1">
      <c r="A312" s="1264"/>
      <c r="D312" s="1118"/>
      <c r="E312" s="1264"/>
      <c r="F312" s="1118"/>
      <c r="G312" s="1118"/>
      <c r="H312" s="1118"/>
      <c r="I312" s="1118"/>
      <c r="J312" s="1118"/>
      <c r="K312" s="1118"/>
      <c r="L312" s="1118"/>
      <c r="M312" s="1118"/>
      <c r="N312" s="1118"/>
      <c r="O312" s="1118"/>
      <c r="P312" s="1118"/>
      <c r="Q312" s="1111"/>
      <c r="R312" s="1111"/>
      <c r="S312" s="1111"/>
      <c r="T312" s="1111"/>
      <c r="U312" s="1111"/>
      <c r="V312" s="1111"/>
      <c r="W312" s="1111"/>
      <c r="X312" s="1111"/>
      <c r="Y312" s="1111"/>
      <c r="Z312" s="1111"/>
      <c r="AA312" s="1111"/>
      <c r="AB312" s="1111"/>
      <c r="AC312" s="1111"/>
      <c r="AD312" s="1111"/>
      <c r="AE312" s="1111"/>
      <c r="AF312" s="1111"/>
      <c r="AG312" s="1111"/>
    </row>
    <row r="313" spans="1:33" s="1295" customFormat="1">
      <c r="A313" s="1264"/>
      <c r="D313" s="1118"/>
      <c r="E313" s="1264"/>
      <c r="F313" s="1118"/>
      <c r="G313" s="1118"/>
      <c r="H313" s="1118"/>
      <c r="I313" s="1118"/>
      <c r="J313" s="1118"/>
      <c r="K313" s="1118"/>
      <c r="L313" s="1118"/>
      <c r="M313" s="1118"/>
      <c r="N313" s="1118"/>
      <c r="O313" s="1118"/>
      <c r="P313" s="1118"/>
      <c r="Q313" s="1111"/>
      <c r="R313" s="1111"/>
      <c r="S313" s="1111"/>
      <c r="T313" s="1111"/>
      <c r="U313" s="1111"/>
      <c r="V313" s="1111"/>
      <c r="W313" s="1111"/>
      <c r="X313" s="1111"/>
      <c r="Y313" s="1111"/>
      <c r="Z313" s="1111"/>
      <c r="AA313" s="1111"/>
      <c r="AB313" s="1111"/>
      <c r="AC313" s="1111"/>
      <c r="AD313" s="1111"/>
      <c r="AE313" s="1111"/>
      <c r="AF313" s="1111"/>
      <c r="AG313" s="1111"/>
    </row>
    <row r="314" spans="1:33" s="1295" customFormat="1">
      <c r="A314" s="1264"/>
      <c r="D314" s="1118"/>
      <c r="E314" s="1264"/>
      <c r="F314" s="1118"/>
      <c r="G314" s="1118"/>
      <c r="H314" s="1118"/>
      <c r="I314" s="1118"/>
      <c r="J314" s="1118"/>
      <c r="K314" s="1118"/>
      <c r="L314" s="1118"/>
      <c r="M314" s="1118"/>
      <c r="N314" s="1118"/>
      <c r="O314" s="1118"/>
      <c r="P314" s="1118"/>
      <c r="Q314" s="1111"/>
      <c r="R314" s="1111"/>
      <c r="S314" s="1111"/>
      <c r="T314" s="1111"/>
      <c r="U314" s="1111"/>
      <c r="V314" s="1111"/>
      <c r="W314" s="1111"/>
      <c r="X314" s="1111"/>
      <c r="Y314" s="1111"/>
      <c r="Z314" s="1111"/>
      <c r="AA314" s="1111"/>
      <c r="AB314" s="1111"/>
      <c r="AC314" s="1111"/>
      <c r="AD314" s="1111"/>
      <c r="AE314" s="1111"/>
      <c r="AF314" s="1111"/>
      <c r="AG314" s="1111"/>
    </row>
    <row r="315" spans="1:33" s="1295" customFormat="1">
      <c r="A315" s="1264"/>
      <c r="D315" s="1118"/>
      <c r="E315" s="1264"/>
      <c r="F315" s="1118"/>
      <c r="G315" s="1118"/>
      <c r="H315" s="1118"/>
      <c r="I315" s="1118"/>
      <c r="J315" s="1118"/>
      <c r="K315" s="1118"/>
      <c r="L315" s="1118"/>
      <c r="M315" s="1118"/>
      <c r="N315" s="1118"/>
      <c r="O315" s="1118"/>
      <c r="P315" s="1118"/>
      <c r="Q315" s="1111"/>
      <c r="R315" s="1111"/>
      <c r="S315" s="1111"/>
      <c r="T315" s="1111"/>
      <c r="U315" s="1111"/>
      <c r="V315" s="1111"/>
      <c r="W315" s="1111"/>
      <c r="X315" s="1111"/>
      <c r="Y315" s="1111"/>
      <c r="Z315" s="1111"/>
      <c r="AA315" s="1111"/>
      <c r="AB315" s="1111"/>
      <c r="AC315" s="1111"/>
      <c r="AD315" s="1111"/>
      <c r="AE315" s="1111"/>
      <c r="AF315" s="1111"/>
      <c r="AG315" s="1111"/>
    </row>
    <row r="316" spans="1:33" s="1295" customFormat="1">
      <c r="A316" s="1264"/>
      <c r="D316" s="1118"/>
      <c r="E316" s="1264"/>
      <c r="F316" s="1118"/>
      <c r="G316" s="1118"/>
      <c r="H316" s="1118"/>
      <c r="I316" s="1118"/>
      <c r="J316" s="1118"/>
      <c r="K316" s="1118"/>
      <c r="L316" s="1118"/>
      <c r="M316" s="1118"/>
      <c r="N316" s="1118"/>
      <c r="O316" s="1118"/>
      <c r="P316" s="1118"/>
      <c r="Q316" s="1111"/>
      <c r="R316" s="1111"/>
      <c r="S316" s="1111"/>
      <c r="T316" s="1111"/>
      <c r="U316" s="1111"/>
      <c r="V316" s="1111"/>
      <c r="W316" s="1111"/>
      <c r="X316" s="1111"/>
      <c r="Y316" s="1111"/>
      <c r="Z316" s="1111"/>
      <c r="AA316" s="1111"/>
      <c r="AB316" s="1111"/>
      <c r="AC316" s="1111"/>
      <c r="AD316" s="1111"/>
      <c r="AE316" s="1111"/>
      <c r="AF316" s="1111"/>
      <c r="AG316" s="1111"/>
    </row>
    <row r="317" spans="1:33" s="1295" customFormat="1">
      <c r="A317" s="1264"/>
      <c r="D317" s="1118"/>
      <c r="E317" s="1264"/>
      <c r="F317" s="1118"/>
      <c r="G317" s="1118"/>
      <c r="H317" s="1118"/>
      <c r="I317" s="1118"/>
      <c r="J317" s="1118"/>
      <c r="K317" s="1118"/>
      <c r="L317" s="1118"/>
      <c r="M317" s="1118"/>
      <c r="N317" s="1118"/>
      <c r="O317" s="1118"/>
      <c r="P317" s="1118"/>
      <c r="Q317" s="1111"/>
      <c r="R317" s="1111"/>
      <c r="S317" s="1111"/>
      <c r="T317" s="1111"/>
      <c r="U317" s="1111"/>
      <c r="V317" s="1111"/>
      <c r="W317" s="1111"/>
      <c r="X317" s="1111"/>
      <c r="Y317" s="1111"/>
      <c r="Z317" s="1111"/>
      <c r="AA317" s="1111"/>
      <c r="AB317" s="1111"/>
      <c r="AC317" s="1111"/>
      <c r="AD317" s="1111"/>
      <c r="AE317" s="1111"/>
      <c r="AF317" s="1111"/>
      <c r="AG317" s="1111"/>
    </row>
    <row r="318" spans="1:33" s="1295" customFormat="1">
      <c r="A318" s="1264"/>
      <c r="D318" s="1118"/>
      <c r="E318" s="1264"/>
      <c r="F318" s="1118"/>
      <c r="G318" s="1118"/>
      <c r="H318" s="1118"/>
      <c r="I318" s="1118"/>
      <c r="J318" s="1118"/>
      <c r="K318" s="1118"/>
      <c r="L318" s="1118"/>
      <c r="M318" s="1118"/>
      <c r="N318" s="1118"/>
      <c r="O318" s="1118"/>
      <c r="P318" s="1118"/>
      <c r="Q318" s="1111"/>
      <c r="R318" s="1111"/>
      <c r="S318" s="1111"/>
      <c r="T318" s="1111"/>
      <c r="U318" s="1111"/>
      <c r="V318" s="1111"/>
      <c r="W318" s="1111"/>
      <c r="X318" s="1111"/>
      <c r="Y318" s="1111"/>
      <c r="Z318" s="1111"/>
      <c r="AA318" s="1111"/>
      <c r="AB318" s="1111"/>
      <c r="AC318" s="1111"/>
      <c r="AD318" s="1111"/>
      <c r="AE318" s="1111"/>
      <c r="AF318" s="1111"/>
      <c r="AG318" s="1111"/>
    </row>
    <row r="319" spans="1:33" s="1295" customFormat="1">
      <c r="A319" s="1264"/>
      <c r="D319" s="1118"/>
      <c r="E319" s="1264"/>
      <c r="F319" s="1118"/>
      <c r="G319" s="1118"/>
      <c r="H319" s="1118"/>
      <c r="I319" s="1118"/>
      <c r="J319" s="1118"/>
      <c r="K319" s="1118"/>
      <c r="L319" s="1118"/>
      <c r="M319" s="1118"/>
      <c r="N319" s="1118"/>
      <c r="O319" s="1118"/>
      <c r="P319" s="1118"/>
      <c r="Q319" s="1111"/>
      <c r="R319" s="1111"/>
      <c r="S319" s="1111"/>
      <c r="T319" s="1111"/>
      <c r="U319" s="1111"/>
      <c r="V319" s="1111"/>
      <c r="W319" s="1111"/>
      <c r="X319" s="1111"/>
      <c r="Y319" s="1111"/>
      <c r="Z319" s="1111"/>
      <c r="AA319" s="1111"/>
      <c r="AB319" s="1111"/>
      <c r="AC319" s="1111"/>
      <c r="AD319" s="1111"/>
      <c r="AE319" s="1111"/>
      <c r="AF319" s="1111"/>
      <c r="AG319" s="1111"/>
    </row>
    <row r="320" spans="1:33" s="1295" customFormat="1">
      <c r="A320" s="1264"/>
      <c r="D320" s="1118"/>
      <c r="E320" s="1264"/>
      <c r="F320" s="1118"/>
      <c r="G320" s="1118"/>
      <c r="H320" s="1118"/>
      <c r="I320" s="1118"/>
      <c r="J320" s="1118"/>
      <c r="K320" s="1118"/>
      <c r="L320" s="1118"/>
      <c r="M320" s="1118"/>
      <c r="N320" s="1118"/>
      <c r="O320" s="1118"/>
      <c r="P320" s="1118"/>
      <c r="Q320" s="1111"/>
      <c r="R320" s="1111"/>
      <c r="S320" s="1111"/>
      <c r="T320" s="1111"/>
      <c r="U320" s="1111"/>
      <c r="V320" s="1111"/>
      <c r="W320" s="1111"/>
      <c r="X320" s="1111"/>
      <c r="Y320" s="1111"/>
      <c r="Z320" s="1111"/>
      <c r="AA320" s="1111"/>
      <c r="AB320" s="1111"/>
      <c r="AC320" s="1111"/>
      <c r="AD320" s="1111"/>
      <c r="AE320" s="1111"/>
      <c r="AF320" s="1111"/>
      <c r="AG320" s="1111"/>
    </row>
    <row r="321" spans="1:33" s="1295" customFormat="1">
      <c r="A321" s="1264"/>
      <c r="D321" s="1118"/>
      <c r="E321" s="1264"/>
      <c r="F321" s="1118"/>
      <c r="G321" s="1118"/>
      <c r="H321" s="1118"/>
      <c r="I321" s="1118"/>
      <c r="J321" s="1118"/>
      <c r="K321" s="1118"/>
      <c r="L321" s="1118"/>
      <c r="M321" s="1118"/>
      <c r="N321" s="1118"/>
      <c r="O321" s="1118"/>
      <c r="P321" s="1118"/>
      <c r="Q321" s="1111"/>
      <c r="R321" s="1111"/>
      <c r="S321" s="1111"/>
      <c r="T321" s="1111"/>
      <c r="U321" s="1111"/>
      <c r="V321" s="1111"/>
      <c r="W321" s="1111"/>
      <c r="X321" s="1111"/>
      <c r="Y321" s="1111"/>
      <c r="Z321" s="1111"/>
      <c r="AA321" s="1111"/>
      <c r="AB321" s="1111"/>
      <c r="AC321" s="1111"/>
      <c r="AD321" s="1111"/>
      <c r="AE321" s="1111"/>
      <c r="AF321" s="1111"/>
      <c r="AG321" s="1111"/>
    </row>
    <row r="322" spans="1:33" s="1295" customFormat="1">
      <c r="A322" s="1264"/>
      <c r="D322" s="1118"/>
      <c r="E322" s="1264"/>
      <c r="F322" s="1118"/>
      <c r="G322" s="1118"/>
      <c r="H322" s="1118"/>
      <c r="I322" s="1118"/>
      <c r="J322" s="1118"/>
      <c r="K322" s="1118"/>
      <c r="L322" s="1118"/>
      <c r="M322" s="1118"/>
      <c r="N322" s="1118"/>
      <c r="O322" s="1118"/>
      <c r="P322" s="1118"/>
      <c r="Q322" s="1111"/>
      <c r="R322" s="1111"/>
      <c r="S322" s="1111"/>
      <c r="T322" s="1111"/>
      <c r="U322" s="1111"/>
      <c r="V322" s="1111"/>
      <c r="W322" s="1111"/>
      <c r="X322" s="1111"/>
      <c r="Y322" s="1111"/>
      <c r="Z322" s="1111"/>
      <c r="AA322" s="1111"/>
      <c r="AB322" s="1111"/>
      <c r="AC322" s="1111"/>
      <c r="AD322" s="1111"/>
      <c r="AE322" s="1111"/>
      <c r="AF322" s="1111"/>
      <c r="AG322" s="1111"/>
    </row>
    <row r="323" spans="1:33" s="1295" customFormat="1">
      <c r="A323" s="1264"/>
      <c r="D323" s="1118"/>
      <c r="E323" s="1264"/>
      <c r="F323" s="1118"/>
      <c r="G323" s="1118"/>
      <c r="H323" s="1118"/>
      <c r="I323" s="1118"/>
      <c r="J323" s="1118"/>
      <c r="K323" s="1118"/>
      <c r="L323" s="1118"/>
      <c r="M323" s="1118"/>
      <c r="N323" s="1118"/>
      <c r="O323" s="1118"/>
      <c r="P323" s="1118"/>
      <c r="Q323" s="1111"/>
      <c r="R323" s="1111"/>
      <c r="S323" s="1111"/>
      <c r="T323" s="1111"/>
      <c r="U323" s="1111"/>
      <c r="V323" s="1111"/>
      <c r="W323" s="1111"/>
      <c r="X323" s="1111"/>
      <c r="Y323" s="1111"/>
      <c r="Z323" s="1111"/>
      <c r="AA323" s="1111"/>
      <c r="AB323" s="1111"/>
      <c r="AC323" s="1111"/>
      <c r="AD323" s="1111"/>
      <c r="AE323" s="1111"/>
      <c r="AF323" s="1111"/>
      <c r="AG323" s="1111"/>
    </row>
    <row r="324" spans="1:33" s="1295" customFormat="1">
      <c r="A324" s="1264"/>
      <c r="D324" s="1118"/>
      <c r="E324" s="1264"/>
      <c r="F324" s="1118"/>
      <c r="G324" s="1118"/>
      <c r="H324" s="1118"/>
      <c r="I324" s="1118"/>
      <c r="J324" s="1118"/>
      <c r="K324" s="1118"/>
      <c r="L324" s="1118"/>
      <c r="M324" s="1118"/>
      <c r="N324" s="1118"/>
      <c r="O324" s="1118"/>
      <c r="P324" s="1118"/>
      <c r="Q324" s="1111"/>
      <c r="R324" s="1111"/>
      <c r="S324" s="1111"/>
      <c r="T324" s="1111"/>
      <c r="U324" s="1111"/>
      <c r="V324" s="1111"/>
      <c r="W324" s="1111"/>
      <c r="X324" s="1111"/>
      <c r="Y324" s="1111"/>
      <c r="Z324" s="1111"/>
      <c r="AA324" s="1111"/>
      <c r="AB324" s="1111"/>
      <c r="AC324" s="1111"/>
      <c r="AD324" s="1111"/>
      <c r="AE324" s="1111"/>
      <c r="AF324" s="1111"/>
      <c r="AG324" s="1111"/>
    </row>
    <row r="325" spans="1:33" s="1295" customFormat="1">
      <c r="A325" s="1264"/>
      <c r="D325" s="1118"/>
      <c r="E325" s="1264"/>
      <c r="F325" s="1118"/>
      <c r="G325" s="1118"/>
      <c r="H325" s="1118"/>
      <c r="I325" s="1118"/>
      <c r="J325" s="1118"/>
      <c r="K325" s="1118"/>
      <c r="L325" s="1118"/>
      <c r="M325" s="1118"/>
      <c r="N325" s="1118"/>
      <c r="O325" s="1118"/>
      <c r="P325" s="1118"/>
      <c r="Q325" s="1111"/>
      <c r="R325" s="1111"/>
      <c r="S325" s="1111"/>
      <c r="T325" s="1111"/>
      <c r="U325" s="1111"/>
      <c r="V325" s="1111"/>
      <c r="W325" s="1111"/>
      <c r="X325" s="1111"/>
      <c r="Y325" s="1111"/>
      <c r="Z325" s="1111"/>
      <c r="AA325" s="1111"/>
      <c r="AB325" s="1111"/>
      <c r="AC325" s="1111"/>
      <c r="AD325" s="1111"/>
      <c r="AE325" s="1111"/>
      <c r="AF325" s="1111"/>
      <c r="AG325" s="1111"/>
    </row>
    <row r="326" spans="1:33" s="1295" customFormat="1">
      <c r="A326" s="1264"/>
      <c r="D326" s="1118"/>
      <c r="E326" s="1264"/>
      <c r="F326" s="1118"/>
      <c r="G326" s="1118"/>
      <c r="H326" s="1118"/>
      <c r="I326" s="1118"/>
      <c r="J326" s="1118"/>
      <c r="K326" s="1118"/>
      <c r="L326" s="1118"/>
      <c r="M326" s="1118"/>
      <c r="N326" s="1118"/>
      <c r="O326" s="1118"/>
      <c r="P326" s="1118"/>
      <c r="Q326" s="1111"/>
      <c r="R326" s="1111"/>
      <c r="S326" s="1111"/>
      <c r="T326" s="1111"/>
      <c r="U326" s="1111"/>
      <c r="V326" s="1111"/>
      <c r="W326" s="1111"/>
      <c r="X326" s="1111"/>
      <c r="Y326" s="1111"/>
      <c r="Z326" s="1111"/>
      <c r="AA326" s="1111"/>
      <c r="AB326" s="1111"/>
      <c r="AC326" s="1111"/>
      <c r="AD326" s="1111"/>
      <c r="AE326" s="1111"/>
      <c r="AF326" s="1111"/>
      <c r="AG326" s="1111"/>
    </row>
    <row r="327" spans="1:33" s="1295" customFormat="1">
      <c r="A327" s="1264"/>
      <c r="D327" s="1118"/>
      <c r="E327" s="1264"/>
      <c r="F327" s="1118"/>
      <c r="G327" s="1118"/>
      <c r="H327" s="1118"/>
      <c r="I327" s="1118"/>
      <c r="J327" s="1118"/>
      <c r="K327" s="1118"/>
      <c r="L327" s="1118"/>
      <c r="M327" s="1118"/>
      <c r="N327" s="1118"/>
      <c r="O327" s="1118"/>
      <c r="P327" s="1118"/>
      <c r="Q327" s="1111"/>
      <c r="R327" s="1111"/>
      <c r="S327" s="1111"/>
      <c r="T327" s="1111"/>
      <c r="U327" s="1111"/>
      <c r="V327" s="1111"/>
      <c r="W327" s="1111"/>
      <c r="X327" s="1111"/>
      <c r="Y327" s="1111"/>
      <c r="Z327" s="1111"/>
      <c r="AA327" s="1111"/>
      <c r="AB327" s="1111"/>
      <c r="AC327" s="1111"/>
      <c r="AD327" s="1111"/>
      <c r="AE327" s="1111"/>
      <c r="AF327" s="1111"/>
      <c r="AG327" s="1111"/>
    </row>
    <row r="328" spans="1:33" s="1295" customFormat="1">
      <c r="A328" s="1264"/>
      <c r="D328" s="1118"/>
      <c r="E328" s="1264"/>
      <c r="F328" s="1118"/>
      <c r="G328" s="1118"/>
      <c r="H328" s="1118"/>
      <c r="I328" s="1118"/>
      <c r="J328" s="1118"/>
      <c r="K328" s="1118"/>
      <c r="L328" s="1118"/>
      <c r="M328" s="1118"/>
      <c r="N328" s="1118"/>
      <c r="O328" s="1118"/>
      <c r="P328" s="1118"/>
      <c r="Q328" s="1111"/>
      <c r="R328" s="1111"/>
      <c r="S328" s="1111"/>
      <c r="T328" s="1111"/>
      <c r="U328" s="1111"/>
      <c r="V328" s="1111"/>
      <c r="W328" s="1111"/>
      <c r="X328" s="1111"/>
      <c r="Y328" s="1111"/>
      <c r="Z328" s="1111"/>
      <c r="AA328" s="1111"/>
      <c r="AB328" s="1111"/>
      <c r="AC328" s="1111"/>
      <c r="AD328" s="1111"/>
      <c r="AE328" s="1111"/>
      <c r="AF328" s="1111"/>
      <c r="AG328" s="1111"/>
    </row>
    <row r="329" spans="1:33" s="1295" customFormat="1">
      <c r="A329" s="1264"/>
      <c r="D329" s="1118"/>
      <c r="E329" s="1264"/>
      <c r="F329" s="1118"/>
      <c r="G329" s="1118"/>
      <c r="H329" s="1118"/>
      <c r="I329" s="1118"/>
      <c r="J329" s="1118"/>
      <c r="K329" s="1118"/>
      <c r="L329" s="1118"/>
      <c r="M329" s="1118"/>
      <c r="N329" s="1118"/>
      <c r="O329" s="1118"/>
      <c r="P329" s="1118"/>
      <c r="Q329" s="1111"/>
      <c r="R329" s="1111"/>
      <c r="S329" s="1111"/>
      <c r="T329" s="1111"/>
      <c r="U329" s="1111"/>
      <c r="V329" s="1111"/>
      <c r="W329" s="1111"/>
      <c r="X329" s="1111"/>
      <c r="Y329" s="1111"/>
      <c r="Z329" s="1111"/>
      <c r="AA329" s="1111"/>
      <c r="AB329" s="1111"/>
      <c r="AC329" s="1111"/>
      <c r="AD329" s="1111"/>
      <c r="AE329" s="1111"/>
      <c r="AF329" s="1111"/>
      <c r="AG329" s="1111"/>
    </row>
    <row r="330" spans="1:33" s="1295" customFormat="1">
      <c r="A330" s="1264"/>
      <c r="D330" s="1118"/>
      <c r="E330" s="1264"/>
      <c r="F330" s="1118"/>
      <c r="G330" s="1118"/>
      <c r="H330" s="1118"/>
      <c r="I330" s="1118"/>
      <c r="J330" s="1118"/>
      <c r="K330" s="1118"/>
      <c r="L330" s="1118"/>
      <c r="M330" s="1118"/>
      <c r="N330" s="1118"/>
      <c r="O330" s="1118"/>
      <c r="P330" s="1118"/>
      <c r="Q330" s="1111"/>
      <c r="R330" s="1111"/>
      <c r="S330" s="1111"/>
      <c r="T330" s="1111"/>
      <c r="U330" s="1111"/>
      <c r="V330" s="1111"/>
      <c r="W330" s="1111"/>
      <c r="X330" s="1111"/>
      <c r="Y330" s="1111"/>
      <c r="Z330" s="1111"/>
      <c r="AA330" s="1111"/>
      <c r="AB330" s="1111"/>
      <c r="AC330" s="1111"/>
      <c r="AD330" s="1111"/>
      <c r="AE330" s="1111"/>
      <c r="AF330" s="1111"/>
      <c r="AG330" s="1111"/>
    </row>
    <row r="331" spans="1:33" s="1295" customFormat="1">
      <c r="A331" s="1264"/>
      <c r="D331" s="1118"/>
      <c r="E331" s="1264"/>
      <c r="F331" s="1118"/>
      <c r="G331" s="1118"/>
      <c r="H331" s="1118"/>
      <c r="I331" s="1118"/>
      <c r="J331" s="1118"/>
      <c r="K331" s="1118"/>
      <c r="L331" s="1118"/>
      <c r="M331" s="1118"/>
      <c r="N331" s="1118"/>
      <c r="O331" s="1118"/>
      <c r="P331" s="1118"/>
      <c r="Q331" s="1111"/>
      <c r="R331" s="1111"/>
      <c r="S331" s="1111"/>
      <c r="T331" s="1111"/>
      <c r="U331" s="1111"/>
      <c r="V331" s="1111"/>
      <c r="W331" s="1111"/>
      <c r="X331" s="1111"/>
      <c r="Y331" s="1111"/>
      <c r="Z331" s="1111"/>
      <c r="AA331" s="1111"/>
      <c r="AB331" s="1111"/>
      <c r="AC331" s="1111"/>
      <c r="AD331" s="1111"/>
      <c r="AE331" s="1111"/>
      <c r="AF331" s="1111"/>
      <c r="AG331" s="1111"/>
    </row>
    <row r="332" spans="1:33" s="1295" customFormat="1">
      <c r="A332" s="1264"/>
      <c r="D332" s="1118"/>
      <c r="E332" s="1264"/>
      <c r="F332" s="1118"/>
      <c r="G332" s="1118"/>
      <c r="H332" s="1118"/>
      <c r="I332" s="1118"/>
      <c r="J332" s="1118"/>
      <c r="K332" s="1118"/>
      <c r="L332" s="1118"/>
      <c r="M332" s="1118"/>
      <c r="N332" s="1118"/>
      <c r="O332" s="1118"/>
      <c r="P332" s="1118"/>
      <c r="Q332" s="1111"/>
      <c r="R332" s="1111"/>
      <c r="S332" s="1111"/>
      <c r="T332" s="1111"/>
      <c r="U332" s="1111"/>
      <c r="V332" s="1111"/>
      <c r="W332" s="1111"/>
      <c r="X332" s="1111"/>
      <c r="Y332" s="1111"/>
      <c r="Z332" s="1111"/>
      <c r="AA332" s="1111"/>
      <c r="AB332" s="1111"/>
      <c r="AC332" s="1111"/>
      <c r="AD332" s="1111"/>
      <c r="AE332" s="1111"/>
      <c r="AF332" s="1111"/>
      <c r="AG332" s="1111"/>
    </row>
    <row r="333" spans="1:33" s="1295" customFormat="1">
      <c r="A333" s="1264"/>
      <c r="D333" s="1118"/>
      <c r="E333" s="1264"/>
      <c r="F333" s="1118"/>
      <c r="G333" s="1118"/>
      <c r="H333" s="1118"/>
      <c r="I333" s="1118"/>
      <c r="J333" s="1118"/>
      <c r="K333" s="1118"/>
      <c r="L333" s="1118"/>
      <c r="M333" s="1118"/>
      <c r="N333" s="1118"/>
      <c r="O333" s="1118"/>
      <c r="P333" s="1118"/>
      <c r="Q333" s="1111"/>
      <c r="R333" s="1111"/>
      <c r="S333" s="1111"/>
      <c r="T333" s="1111"/>
      <c r="U333" s="1111"/>
      <c r="V333" s="1111"/>
      <c r="W333" s="1111"/>
      <c r="X333" s="1111"/>
      <c r="Y333" s="1111"/>
      <c r="Z333" s="1111"/>
      <c r="AA333" s="1111"/>
      <c r="AB333" s="1111"/>
      <c r="AC333" s="1111"/>
      <c r="AD333" s="1111"/>
      <c r="AE333" s="1111"/>
      <c r="AF333" s="1111"/>
      <c r="AG333" s="1111"/>
    </row>
    <row r="334" spans="1:33" s="1295" customFormat="1">
      <c r="A334" s="1264"/>
      <c r="D334" s="1118"/>
      <c r="E334" s="1264"/>
      <c r="F334" s="1118"/>
      <c r="G334" s="1118"/>
      <c r="H334" s="1118"/>
      <c r="I334" s="1118"/>
      <c r="J334" s="1118"/>
      <c r="K334" s="1118"/>
      <c r="L334" s="1118"/>
      <c r="M334" s="1118"/>
      <c r="N334" s="1118"/>
      <c r="O334" s="1118"/>
      <c r="P334" s="1118"/>
      <c r="Q334" s="1111"/>
      <c r="R334" s="1111"/>
      <c r="S334" s="1111"/>
      <c r="T334" s="1111"/>
      <c r="U334" s="1111"/>
      <c r="V334" s="1111"/>
      <c r="W334" s="1111"/>
      <c r="X334" s="1111"/>
      <c r="Y334" s="1111"/>
      <c r="Z334" s="1111"/>
      <c r="AA334" s="1111"/>
      <c r="AB334" s="1111"/>
      <c r="AC334" s="1111"/>
      <c r="AD334" s="1111"/>
      <c r="AE334" s="1111"/>
      <c r="AF334" s="1111"/>
      <c r="AG334" s="1111"/>
    </row>
    <row r="335" spans="1:33" s="1295" customFormat="1">
      <c r="A335" s="1264"/>
      <c r="D335" s="1118"/>
      <c r="E335" s="1264"/>
      <c r="F335" s="1118"/>
      <c r="G335" s="1118"/>
      <c r="H335" s="1118"/>
      <c r="I335" s="1118"/>
      <c r="J335" s="1118"/>
      <c r="K335" s="1118"/>
      <c r="L335" s="1118"/>
      <c r="M335" s="1118"/>
      <c r="N335" s="1118"/>
      <c r="O335" s="1118"/>
      <c r="P335" s="1118"/>
      <c r="Q335" s="1111"/>
      <c r="R335" s="1111"/>
      <c r="S335" s="1111"/>
      <c r="T335" s="1111"/>
      <c r="U335" s="1111"/>
      <c r="V335" s="1111"/>
      <c r="W335" s="1111"/>
      <c r="X335" s="1111"/>
      <c r="Y335" s="1111"/>
      <c r="Z335" s="1111"/>
      <c r="AA335" s="1111"/>
      <c r="AB335" s="1111"/>
      <c r="AC335" s="1111"/>
      <c r="AD335" s="1111"/>
      <c r="AE335" s="1111"/>
      <c r="AF335" s="1111"/>
      <c r="AG335" s="1111"/>
    </row>
    <row r="336" spans="1:33" s="1295" customFormat="1">
      <c r="A336" s="1264"/>
      <c r="D336" s="1118"/>
      <c r="E336" s="1264"/>
      <c r="F336" s="1118"/>
      <c r="G336" s="1118"/>
      <c r="H336" s="1118"/>
      <c r="I336" s="1118"/>
      <c r="J336" s="1118"/>
      <c r="K336" s="1118"/>
      <c r="L336" s="1118"/>
      <c r="M336" s="1118"/>
      <c r="N336" s="1118"/>
      <c r="O336" s="1118"/>
      <c r="P336" s="1118"/>
      <c r="Q336" s="1111"/>
      <c r="R336" s="1111"/>
      <c r="S336" s="1111"/>
      <c r="T336" s="1111"/>
      <c r="U336" s="1111"/>
      <c r="V336" s="1111"/>
      <c r="W336" s="1111"/>
      <c r="X336" s="1111"/>
      <c r="Y336" s="1111"/>
      <c r="Z336" s="1111"/>
      <c r="AA336" s="1111"/>
      <c r="AB336" s="1111"/>
      <c r="AC336" s="1111"/>
      <c r="AD336" s="1111"/>
      <c r="AE336" s="1111"/>
      <c r="AF336" s="1111"/>
      <c r="AG336" s="1111"/>
    </row>
    <row r="337" spans="1:33" s="1295" customFormat="1">
      <c r="A337" s="1264"/>
      <c r="D337" s="1118"/>
      <c r="E337" s="1264"/>
      <c r="F337" s="1118"/>
      <c r="G337" s="1118"/>
      <c r="H337" s="1118"/>
      <c r="I337" s="1118"/>
      <c r="J337" s="1118"/>
      <c r="K337" s="1118"/>
      <c r="L337" s="1118"/>
      <c r="M337" s="1118"/>
      <c r="N337" s="1118"/>
      <c r="O337" s="1118"/>
      <c r="P337" s="1118"/>
      <c r="Q337" s="1111"/>
      <c r="R337" s="1111"/>
      <c r="S337" s="1111"/>
      <c r="T337" s="1111"/>
      <c r="U337" s="1111"/>
      <c r="V337" s="1111"/>
      <c r="W337" s="1111"/>
      <c r="X337" s="1111"/>
      <c r="Y337" s="1111"/>
      <c r="Z337" s="1111"/>
      <c r="AA337" s="1111"/>
      <c r="AB337" s="1111"/>
      <c r="AC337" s="1111"/>
      <c r="AD337" s="1111"/>
      <c r="AE337" s="1111"/>
      <c r="AF337" s="1111"/>
      <c r="AG337" s="1111"/>
    </row>
    <row r="338" spans="1:33" s="1295" customFormat="1">
      <c r="A338" s="1264"/>
      <c r="D338" s="1118"/>
      <c r="E338" s="1264"/>
      <c r="F338" s="1118"/>
      <c r="G338" s="1118"/>
      <c r="H338" s="1118"/>
      <c r="I338" s="1118"/>
      <c r="J338" s="1118"/>
      <c r="K338" s="1118"/>
      <c r="L338" s="1118"/>
      <c r="M338" s="1118"/>
      <c r="N338" s="1118"/>
      <c r="O338" s="1118"/>
      <c r="P338" s="1118"/>
      <c r="Q338" s="1111"/>
      <c r="R338" s="1111"/>
      <c r="S338" s="1111"/>
      <c r="T338" s="1111"/>
      <c r="U338" s="1111"/>
      <c r="V338" s="1111"/>
      <c r="W338" s="1111"/>
      <c r="X338" s="1111"/>
      <c r="Y338" s="1111"/>
      <c r="Z338" s="1111"/>
      <c r="AA338" s="1111"/>
      <c r="AB338" s="1111"/>
      <c r="AC338" s="1111"/>
      <c r="AD338" s="1111"/>
      <c r="AE338" s="1111"/>
      <c r="AF338" s="1111"/>
      <c r="AG338" s="1111"/>
    </row>
    <row r="339" spans="1:33" s="1295" customFormat="1">
      <c r="A339" s="1264"/>
      <c r="D339" s="1118"/>
      <c r="E339" s="1264"/>
      <c r="F339" s="1118"/>
      <c r="G339" s="1118"/>
      <c r="H339" s="1118"/>
      <c r="I339" s="1118"/>
      <c r="J339" s="1118"/>
      <c r="K339" s="1118"/>
      <c r="L339" s="1118"/>
      <c r="M339" s="1118"/>
      <c r="N339" s="1118"/>
      <c r="O339" s="1118"/>
      <c r="P339" s="1118"/>
      <c r="Q339" s="1111"/>
      <c r="R339" s="1111"/>
      <c r="S339" s="1111"/>
      <c r="T339" s="1111"/>
      <c r="U339" s="1111"/>
      <c r="V339" s="1111"/>
      <c r="W339" s="1111"/>
      <c r="X339" s="1111"/>
      <c r="Y339" s="1111"/>
      <c r="Z339" s="1111"/>
      <c r="AA339" s="1111"/>
      <c r="AB339" s="1111"/>
      <c r="AC339" s="1111"/>
      <c r="AD339" s="1111"/>
      <c r="AE339" s="1111"/>
      <c r="AF339" s="1111"/>
      <c r="AG339" s="1111"/>
    </row>
    <row r="340" spans="1:33" s="1295" customFormat="1">
      <c r="A340" s="1264"/>
      <c r="D340" s="1118"/>
      <c r="E340" s="1264"/>
      <c r="F340" s="1118"/>
      <c r="G340" s="1118"/>
      <c r="H340" s="1118"/>
      <c r="I340" s="1118"/>
      <c r="J340" s="1118"/>
      <c r="K340" s="1118"/>
      <c r="L340" s="1118"/>
      <c r="M340" s="1118"/>
      <c r="N340" s="1118"/>
      <c r="O340" s="1118"/>
      <c r="P340" s="1118"/>
      <c r="Q340" s="1111"/>
      <c r="R340" s="1111"/>
      <c r="S340" s="1111"/>
      <c r="T340" s="1111"/>
      <c r="U340" s="1111"/>
      <c r="V340" s="1111"/>
      <c r="W340" s="1111"/>
      <c r="X340" s="1111"/>
      <c r="Y340" s="1111"/>
      <c r="Z340" s="1111"/>
      <c r="AA340" s="1111"/>
      <c r="AB340" s="1111"/>
      <c r="AC340" s="1111"/>
      <c r="AD340" s="1111"/>
      <c r="AE340" s="1111"/>
      <c r="AF340" s="1111"/>
      <c r="AG340" s="1111"/>
    </row>
    <row r="341" spans="1:33" s="1295" customFormat="1">
      <c r="A341" s="1264"/>
      <c r="D341" s="1118"/>
      <c r="E341" s="1264"/>
      <c r="F341" s="1118"/>
      <c r="G341" s="1118"/>
      <c r="H341" s="1118"/>
      <c r="I341" s="1118"/>
      <c r="J341" s="1118"/>
      <c r="K341" s="1118"/>
      <c r="L341" s="1118"/>
      <c r="M341" s="1118"/>
      <c r="N341" s="1118"/>
      <c r="O341" s="1118"/>
      <c r="P341" s="1118"/>
      <c r="Q341" s="1111"/>
      <c r="R341" s="1111"/>
      <c r="S341" s="1111"/>
      <c r="T341" s="1111"/>
      <c r="U341" s="1111"/>
      <c r="V341" s="1111"/>
      <c r="W341" s="1111"/>
      <c r="X341" s="1111"/>
      <c r="Y341" s="1111"/>
      <c r="Z341" s="1111"/>
      <c r="AA341" s="1111"/>
      <c r="AB341" s="1111"/>
      <c r="AC341" s="1111"/>
      <c r="AD341" s="1111"/>
      <c r="AE341" s="1111"/>
      <c r="AF341" s="1111"/>
      <c r="AG341" s="1111"/>
    </row>
    <row r="342" spans="1:33" s="1295" customFormat="1">
      <c r="A342" s="1264"/>
      <c r="D342" s="1118"/>
      <c r="E342" s="1264"/>
      <c r="F342" s="1118"/>
      <c r="G342" s="1118"/>
      <c r="H342" s="1118"/>
      <c r="I342" s="1118"/>
      <c r="J342" s="1118"/>
      <c r="K342" s="1118"/>
      <c r="L342" s="1118"/>
      <c r="M342" s="1118"/>
      <c r="N342" s="1118"/>
      <c r="O342" s="1118"/>
      <c r="P342" s="1118"/>
      <c r="Q342" s="1111"/>
      <c r="R342" s="1111"/>
      <c r="S342" s="1111"/>
      <c r="T342" s="1111"/>
      <c r="U342" s="1111"/>
      <c r="V342" s="1111"/>
      <c r="W342" s="1111"/>
      <c r="X342" s="1111"/>
      <c r="Y342" s="1111"/>
      <c r="Z342" s="1111"/>
      <c r="AA342" s="1111"/>
      <c r="AB342" s="1111"/>
      <c r="AC342" s="1111"/>
      <c r="AD342" s="1111"/>
      <c r="AE342" s="1111"/>
      <c r="AF342" s="1111"/>
      <c r="AG342" s="1111"/>
    </row>
    <row r="343" spans="1:33" s="1295" customFormat="1">
      <c r="A343" s="1264"/>
      <c r="D343" s="1118"/>
      <c r="E343" s="1264"/>
      <c r="F343" s="1118"/>
      <c r="G343" s="1118"/>
      <c r="H343" s="1118"/>
      <c r="I343" s="1118"/>
      <c r="J343" s="1118"/>
      <c r="K343" s="1118"/>
      <c r="L343" s="1118"/>
      <c r="M343" s="1118"/>
      <c r="N343" s="1118"/>
      <c r="O343" s="1118"/>
      <c r="P343" s="1118"/>
      <c r="Q343" s="1111"/>
      <c r="R343" s="1111"/>
      <c r="S343" s="1111"/>
      <c r="T343" s="1111"/>
      <c r="U343" s="1111"/>
      <c r="V343" s="1111"/>
      <c r="W343" s="1111"/>
      <c r="X343" s="1111"/>
      <c r="Y343" s="1111"/>
      <c r="Z343" s="1111"/>
      <c r="AA343" s="1111"/>
      <c r="AB343" s="1111"/>
      <c r="AC343" s="1111"/>
      <c r="AD343" s="1111"/>
      <c r="AE343" s="1111"/>
      <c r="AF343" s="1111"/>
      <c r="AG343" s="1111"/>
    </row>
    <row r="344" spans="1:33" s="1295" customFormat="1">
      <c r="A344" s="1264"/>
      <c r="D344" s="1118"/>
      <c r="E344" s="1264"/>
      <c r="F344" s="1118"/>
      <c r="G344" s="1118"/>
      <c r="H344" s="1118"/>
      <c r="I344" s="1118"/>
      <c r="J344" s="1118"/>
      <c r="K344" s="1118"/>
      <c r="L344" s="1118"/>
      <c r="M344" s="1118"/>
      <c r="N344" s="1118"/>
      <c r="O344" s="1118"/>
      <c r="P344" s="1118"/>
      <c r="Q344" s="1111"/>
      <c r="R344" s="1111"/>
      <c r="S344" s="1111"/>
      <c r="T344" s="1111"/>
      <c r="U344" s="1111"/>
      <c r="V344" s="1111"/>
      <c r="W344" s="1111"/>
      <c r="X344" s="1111"/>
      <c r="Y344" s="1111"/>
      <c r="Z344" s="1111"/>
      <c r="AA344" s="1111"/>
      <c r="AB344" s="1111"/>
      <c r="AC344" s="1111"/>
      <c r="AD344" s="1111"/>
      <c r="AE344" s="1111"/>
      <c r="AF344" s="1111"/>
      <c r="AG344" s="1111"/>
    </row>
    <row r="345" spans="1:33" s="1295" customFormat="1">
      <c r="A345" s="1264"/>
      <c r="D345" s="1118"/>
      <c r="E345" s="1264"/>
      <c r="F345" s="1118"/>
      <c r="G345" s="1118"/>
      <c r="H345" s="1118"/>
      <c r="I345" s="1118"/>
      <c r="J345" s="1118"/>
      <c r="K345" s="1118"/>
      <c r="L345" s="1118"/>
      <c r="M345" s="1118"/>
      <c r="N345" s="1118"/>
      <c r="O345" s="1118"/>
      <c r="P345" s="1118"/>
      <c r="Q345" s="1111"/>
      <c r="R345" s="1111"/>
      <c r="S345" s="1111"/>
      <c r="T345" s="1111"/>
      <c r="U345" s="1111"/>
      <c r="V345" s="1111"/>
      <c r="W345" s="1111"/>
      <c r="X345" s="1111"/>
      <c r="Y345" s="1111"/>
      <c r="Z345" s="1111"/>
      <c r="AA345" s="1111"/>
      <c r="AB345" s="1111"/>
      <c r="AC345" s="1111"/>
      <c r="AD345" s="1111"/>
      <c r="AE345" s="1111"/>
      <c r="AF345" s="1111"/>
      <c r="AG345" s="1111"/>
    </row>
    <row r="346" spans="1:33" s="1295" customFormat="1">
      <c r="A346" s="1264"/>
      <c r="D346" s="1118"/>
      <c r="E346" s="1264"/>
      <c r="F346" s="1118"/>
      <c r="G346" s="1118"/>
      <c r="H346" s="1118"/>
      <c r="I346" s="1118"/>
      <c r="J346" s="1118"/>
      <c r="K346" s="1118"/>
      <c r="L346" s="1118"/>
      <c r="M346" s="1118"/>
      <c r="N346" s="1118"/>
      <c r="O346" s="1118"/>
      <c r="P346" s="1118"/>
      <c r="Q346" s="1111"/>
      <c r="R346" s="1111"/>
      <c r="S346" s="1111"/>
      <c r="T346" s="1111"/>
      <c r="U346" s="1111"/>
      <c r="V346" s="1111"/>
      <c r="W346" s="1111"/>
      <c r="X346" s="1111"/>
      <c r="Y346" s="1111"/>
      <c r="Z346" s="1111"/>
      <c r="AA346" s="1111"/>
      <c r="AB346" s="1111"/>
      <c r="AC346" s="1111"/>
      <c r="AD346" s="1111"/>
      <c r="AE346" s="1111"/>
      <c r="AF346" s="1111"/>
      <c r="AG346" s="1111"/>
    </row>
    <row r="347" spans="1:33" s="1295" customFormat="1">
      <c r="A347" s="1264"/>
      <c r="D347" s="1118"/>
      <c r="E347" s="1264"/>
      <c r="F347" s="1118"/>
      <c r="G347" s="1118"/>
      <c r="H347" s="1118"/>
      <c r="I347" s="1118"/>
      <c r="J347" s="1118"/>
      <c r="K347" s="1118"/>
      <c r="L347" s="1118"/>
      <c r="M347" s="1118"/>
      <c r="N347" s="1118"/>
      <c r="O347" s="1118"/>
      <c r="P347" s="1118"/>
      <c r="Q347" s="1111"/>
      <c r="R347" s="1111"/>
      <c r="S347" s="1111"/>
      <c r="T347" s="1111"/>
      <c r="U347" s="1111"/>
      <c r="V347" s="1111"/>
      <c r="W347" s="1111"/>
      <c r="X347" s="1111"/>
      <c r="Y347" s="1111"/>
      <c r="Z347" s="1111"/>
      <c r="AA347" s="1111"/>
      <c r="AB347" s="1111"/>
      <c r="AC347" s="1111"/>
      <c r="AD347" s="1111"/>
      <c r="AE347" s="1111"/>
      <c r="AF347" s="1111"/>
      <c r="AG347" s="1111"/>
    </row>
    <row r="348" spans="1:33" s="1295" customFormat="1">
      <c r="A348" s="1264"/>
      <c r="D348" s="1118"/>
      <c r="E348" s="1264"/>
      <c r="F348" s="1118"/>
      <c r="G348" s="1118"/>
      <c r="H348" s="1118"/>
      <c r="I348" s="1118"/>
      <c r="J348" s="1118"/>
      <c r="K348" s="1118"/>
      <c r="L348" s="1118"/>
      <c r="M348" s="1118"/>
      <c r="N348" s="1118"/>
      <c r="O348" s="1118"/>
      <c r="P348" s="1118"/>
      <c r="Q348" s="1111"/>
      <c r="R348" s="1111"/>
      <c r="S348" s="1111"/>
      <c r="T348" s="1111"/>
      <c r="U348" s="1111"/>
      <c r="V348" s="1111"/>
      <c r="W348" s="1111"/>
      <c r="X348" s="1111"/>
      <c r="Y348" s="1111"/>
      <c r="Z348" s="1111"/>
      <c r="AA348" s="1111"/>
      <c r="AB348" s="1111"/>
      <c r="AC348" s="1111"/>
      <c r="AD348" s="1111"/>
      <c r="AE348" s="1111"/>
      <c r="AF348" s="1111"/>
      <c r="AG348" s="1111"/>
    </row>
    <row r="349" spans="1:33" s="1295" customFormat="1">
      <c r="A349" s="1264"/>
      <c r="D349" s="1118"/>
      <c r="E349" s="1264"/>
      <c r="F349" s="1118"/>
      <c r="G349" s="1118"/>
      <c r="H349" s="1118"/>
      <c r="I349" s="1118"/>
      <c r="J349" s="1118"/>
      <c r="K349" s="1118"/>
      <c r="L349" s="1118"/>
      <c r="M349" s="1118"/>
      <c r="N349" s="1118"/>
      <c r="O349" s="1118"/>
      <c r="P349" s="1118"/>
      <c r="Q349" s="1111"/>
      <c r="R349" s="1111"/>
      <c r="S349" s="1111"/>
      <c r="T349" s="1111"/>
      <c r="U349" s="1111"/>
      <c r="V349" s="1111"/>
      <c r="W349" s="1111"/>
      <c r="X349" s="1111"/>
      <c r="Y349" s="1111"/>
      <c r="Z349" s="1111"/>
      <c r="AA349" s="1111"/>
      <c r="AB349" s="1111"/>
      <c r="AC349" s="1111"/>
      <c r="AD349" s="1111"/>
      <c r="AE349" s="1111"/>
      <c r="AF349" s="1111"/>
      <c r="AG349" s="1111"/>
    </row>
    <row r="350" spans="1:33" s="1295" customFormat="1">
      <c r="A350" s="1264"/>
      <c r="D350" s="1118"/>
      <c r="E350" s="1264"/>
      <c r="F350" s="1118"/>
      <c r="G350" s="1118"/>
      <c r="H350" s="1118"/>
      <c r="I350" s="1118"/>
      <c r="J350" s="1118"/>
      <c r="K350" s="1118"/>
      <c r="L350" s="1118"/>
      <c r="M350" s="1118"/>
      <c r="N350" s="1118"/>
      <c r="O350" s="1118"/>
      <c r="P350" s="1118"/>
      <c r="Q350" s="1111"/>
      <c r="R350" s="1111"/>
      <c r="S350" s="1111"/>
      <c r="T350" s="1111"/>
      <c r="U350" s="1111"/>
      <c r="V350" s="1111"/>
      <c r="W350" s="1111"/>
      <c r="X350" s="1111"/>
      <c r="Y350" s="1111"/>
      <c r="Z350" s="1111"/>
      <c r="AA350" s="1111"/>
      <c r="AB350" s="1111"/>
      <c r="AC350" s="1111"/>
      <c r="AD350" s="1111"/>
      <c r="AE350" s="1111"/>
      <c r="AF350" s="1111"/>
      <c r="AG350" s="1111"/>
    </row>
    <row r="351" spans="1:33" s="1295" customFormat="1">
      <c r="A351" s="1264"/>
      <c r="D351" s="1118"/>
      <c r="E351" s="1264"/>
      <c r="F351" s="1118"/>
      <c r="G351" s="1118"/>
      <c r="H351" s="1118"/>
      <c r="I351" s="1118"/>
      <c r="J351" s="1118"/>
      <c r="K351" s="1118"/>
      <c r="L351" s="1118"/>
      <c r="M351" s="1118"/>
      <c r="N351" s="1118"/>
      <c r="O351" s="1118"/>
      <c r="P351" s="1118"/>
      <c r="Q351" s="1111"/>
      <c r="R351" s="1111"/>
      <c r="S351" s="1111"/>
      <c r="T351" s="1111"/>
      <c r="U351" s="1111"/>
      <c r="V351" s="1111"/>
      <c r="W351" s="1111"/>
      <c r="X351" s="1111"/>
      <c r="Y351" s="1111"/>
      <c r="Z351" s="1111"/>
      <c r="AA351" s="1111"/>
      <c r="AB351" s="1111"/>
      <c r="AC351" s="1111"/>
      <c r="AD351" s="1111"/>
      <c r="AE351" s="1111"/>
      <c r="AF351" s="1111"/>
      <c r="AG351" s="1111"/>
    </row>
    <row r="352" spans="1:33" s="1295" customFormat="1">
      <c r="A352" s="1264"/>
      <c r="D352" s="1118"/>
      <c r="E352" s="1264"/>
      <c r="F352" s="1118"/>
      <c r="G352" s="1118"/>
      <c r="H352" s="1118"/>
      <c r="I352" s="1118"/>
      <c r="J352" s="1118"/>
      <c r="K352" s="1118"/>
      <c r="L352" s="1118"/>
      <c r="M352" s="1118"/>
      <c r="N352" s="1118"/>
      <c r="O352" s="1118"/>
      <c r="P352" s="1118"/>
      <c r="Q352" s="1111"/>
      <c r="R352" s="1111"/>
      <c r="S352" s="1111"/>
      <c r="T352" s="1111"/>
      <c r="U352" s="1111"/>
      <c r="V352" s="1111"/>
      <c r="W352" s="1111"/>
      <c r="X352" s="1111"/>
      <c r="Y352" s="1111"/>
      <c r="Z352" s="1111"/>
      <c r="AA352" s="1111"/>
      <c r="AB352" s="1111"/>
      <c r="AC352" s="1111"/>
      <c r="AD352" s="1111"/>
      <c r="AE352" s="1111"/>
      <c r="AF352" s="1111"/>
      <c r="AG352" s="1111"/>
    </row>
    <row r="353" spans="1:33" s="1295" customFormat="1">
      <c r="A353" s="1264"/>
      <c r="D353" s="1118"/>
      <c r="E353" s="1264"/>
      <c r="F353" s="1118"/>
      <c r="G353" s="1118"/>
      <c r="H353" s="1118"/>
      <c r="I353" s="1118"/>
      <c r="J353" s="1118"/>
      <c r="K353" s="1118"/>
      <c r="L353" s="1118"/>
      <c r="M353" s="1118"/>
      <c r="N353" s="1118"/>
      <c r="O353" s="1118"/>
      <c r="P353" s="1118"/>
      <c r="Q353" s="1111"/>
      <c r="R353" s="1111"/>
      <c r="S353" s="1111"/>
      <c r="T353" s="1111"/>
      <c r="U353" s="1111"/>
      <c r="V353" s="1111"/>
      <c r="W353" s="1111"/>
      <c r="X353" s="1111"/>
      <c r="Y353" s="1111"/>
      <c r="Z353" s="1111"/>
      <c r="AA353" s="1111"/>
      <c r="AB353" s="1111"/>
      <c r="AC353" s="1111"/>
      <c r="AD353" s="1111"/>
      <c r="AE353" s="1111"/>
      <c r="AF353" s="1111"/>
      <c r="AG353" s="1111"/>
    </row>
    <row r="354" spans="1:33" s="1295" customFormat="1">
      <c r="A354" s="1264"/>
      <c r="D354" s="1118"/>
      <c r="E354" s="1264"/>
      <c r="F354" s="1118"/>
      <c r="G354" s="1118"/>
      <c r="H354" s="1118"/>
      <c r="I354" s="1118"/>
      <c r="J354" s="1118"/>
      <c r="K354" s="1118"/>
      <c r="L354" s="1118"/>
      <c r="M354" s="1118"/>
      <c r="N354" s="1118"/>
      <c r="O354" s="1118"/>
      <c r="P354" s="1118"/>
      <c r="Q354" s="1111"/>
      <c r="R354" s="1111"/>
      <c r="S354" s="1111"/>
      <c r="T354" s="1111"/>
      <c r="U354" s="1111"/>
      <c r="V354" s="1111"/>
      <c r="W354" s="1111"/>
      <c r="X354" s="1111"/>
      <c r="Y354" s="1111"/>
      <c r="Z354" s="1111"/>
      <c r="AA354" s="1111"/>
      <c r="AB354" s="1111"/>
      <c r="AC354" s="1111"/>
      <c r="AD354" s="1111"/>
      <c r="AE354" s="1111"/>
      <c r="AF354" s="1111"/>
      <c r="AG354" s="1111"/>
    </row>
    <row r="355" spans="1:33" s="1295" customFormat="1">
      <c r="A355" s="1264"/>
      <c r="D355" s="1118"/>
      <c r="E355" s="1264"/>
      <c r="F355" s="1118"/>
      <c r="G355" s="1118"/>
      <c r="H355" s="1118"/>
      <c r="I355" s="1118"/>
      <c r="J355" s="1118"/>
      <c r="K355" s="1118"/>
      <c r="L355" s="1118"/>
      <c r="M355" s="1118"/>
      <c r="N355" s="1118"/>
      <c r="O355" s="1118"/>
      <c r="P355" s="1118"/>
      <c r="Q355" s="1111"/>
      <c r="R355" s="1111"/>
      <c r="S355" s="1111"/>
      <c r="T355" s="1111"/>
      <c r="U355" s="1111"/>
      <c r="V355" s="1111"/>
      <c r="W355" s="1111"/>
      <c r="X355" s="1111"/>
      <c r="Y355" s="1111"/>
      <c r="Z355" s="1111"/>
      <c r="AA355" s="1111"/>
      <c r="AB355" s="1111"/>
      <c r="AC355" s="1111"/>
      <c r="AD355" s="1111"/>
      <c r="AE355" s="1111"/>
      <c r="AF355" s="1111"/>
      <c r="AG355" s="1111"/>
    </row>
    <row r="356" spans="1:33" s="1295" customFormat="1">
      <c r="A356" s="1264"/>
      <c r="D356" s="1118"/>
      <c r="E356" s="1264"/>
      <c r="F356" s="1118"/>
      <c r="G356" s="1118"/>
      <c r="H356" s="1118"/>
      <c r="I356" s="1118"/>
      <c r="J356" s="1118"/>
      <c r="K356" s="1118"/>
      <c r="L356" s="1118"/>
      <c r="M356" s="1118"/>
      <c r="N356" s="1118"/>
      <c r="O356" s="1118"/>
      <c r="P356" s="1118"/>
      <c r="Q356" s="1111"/>
      <c r="R356" s="1111"/>
      <c r="S356" s="1111"/>
      <c r="T356" s="1111"/>
      <c r="U356" s="1111"/>
      <c r="V356" s="1111"/>
      <c r="W356" s="1111"/>
      <c r="X356" s="1111"/>
      <c r="Y356" s="1111"/>
      <c r="Z356" s="1111"/>
      <c r="AA356" s="1111"/>
      <c r="AB356" s="1111"/>
      <c r="AC356" s="1111"/>
      <c r="AD356" s="1111"/>
      <c r="AE356" s="1111"/>
      <c r="AF356" s="1111"/>
      <c r="AG356" s="1111"/>
    </row>
    <row r="357" spans="1:33" s="1295" customFormat="1">
      <c r="A357" s="1264"/>
      <c r="D357" s="1118"/>
      <c r="E357" s="1264"/>
      <c r="F357" s="1118"/>
      <c r="G357" s="1118"/>
      <c r="H357" s="1118"/>
      <c r="I357" s="1118"/>
      <c r="J357" s="1118"/>
      <c r="K357" s="1118"/>
      <c r="L357" s="1118"/>
      <c r="M357" s="1118"/>
      <c r="N357" s="1118"/>
      <c r="O357" s="1118"/>
      <c r="P357" s="1118"/>
      <c r="Q357" s="1111"/>
      <c r="R357" s="1111"/>
      <c r="S357" s="1111"/>
      <c r="T357" s="1111"/>
      <c r="U357" s="1111"/>
      <c r="V357" s="1111"/>
      <c r="W357" s="1111"/>
      <c r="X357" s="1111"/>
      <c r="Y357" s="1111"/>
      <c r="Z357" s="1111"/>
      <c r="AA357" s="1111"/>
      <c r="AB357" s="1111"/>
      <c r="AC357" s="1111"/>
      <c r="AD357" s="1111"/>
      <c r="AE357" s="1111"/>
      <c r="AF357" s="1111"/>
      <c r="AG357" s="1111"/>
    </row>
    <row r="358" spans="1:33" s="1295" customFormat="1">
      <c r="A358" s="1264"/>
      <c r="D358" s="1118"/>
      <c r="E358" s="1264"/>
      <c r="F358" s="1118"/>
      <c r="G358" s="1118"/>
      <c r="H358" s="1118"/>
      <c r="I358" s="1118"/>
      <c r="J358" s="1118"/>
      <c r="K358" s="1118"/>
      <c r="L358" s="1118"/>
      <c r="M358" s="1118"/>
      <c r="N358" s="1118"/>
      <c r="O358" s="1118"/>
      <c r="P358" s="1118"/>
      <c r="Q358" s="1111"/>
      <c r="R358" s="1111"/>
      <c r="S358" s="1111"/>
      <c r="T358" s="1111"/>
      <c r="U358" s="1111"/>
      <c r="V358" s="1111"/>
      <c r="W358" s="1111"/>
      <c r="X358" s="1111"/>
      <c r="Y358" s="1111"/>
      <c r="Z358" s="1111"/>
      <c r="AA358" s="1111"/>
      <c r="AB358" s="1111"/>
      <c r="AC358" s="1111"/>
      <c r="AD358" s="1111"/>
      <c r="AE358" s="1111"/>
      <c r="AF358" s="1111"/>
      <c r="AG358" s="1111"/>
    </row>
    <row r="359" spans="1:33" s="1295" customFormat="1">
      <c r="A359" s="1264"/>
      <c r="D359" s="1118"/>
      <c r="E359" s="1264"/>
      <c r="F359" s="1118"/>
      <c r="G359" s="1118"/>
      <c r="H359" s="1118"/>
      <c r="I359" s="1118"/>
      <c r="J359" s="1118"/>
      <c r="K359" s="1118"/>
      <c r="L359" s="1118"/>
      <c r="M359" s="1118"/>
      <c r="N359" s="1118"/>
      <c r="O359" s="1118"/>
      <c r="P359" s="1118"/>
      <c r="Q359" s="1111"/>
      <c r="R359" s="1111"/>
      <c r="S359" s="1111"/>
      <c r="T359" s="1111"/>
      <c r="U359" s="1111"/>
      <c r="V359" s="1111"/>
      <c r="W359" s="1111"/>
      <c r="X359" s="1111"/>
      <c r="Y359" s="1111"/>
      <c r="Z359" s="1111"/>
      <c r="AA359" s="1111"/>
      <c r="AB359" s="1111"/>
      <c r="AC359" s="1111"/>
      <c r="AD359" s="1111"/>
      <c r="AE359" s="1111"/>
      <c r="AF359" s="1111"/>
      <c r="AG359" s="1111"/>
    </row>
    <row r="360" spans="1:33" s="1295" customFormat="1">
      <c r="A360" s="1264"/>
      <c r="D360" s="1118"/>
      <c r="E360" s="1264"/>
      <c r="F360" s="1118"/>
      <c r="G360" s="1118"/>
      <c r="H360" s="1118"/>
      <c r="I360" s="1118"/>
      <c r="J360" s="1118"/>
      <c r="K360" s="1118"/>
      <c r="L360" s="1118"/>
      <c r="M360" s="1118"/>
      <c r="N360" s="1118"/>
      <c r="O360" s="1118"/>
      <c r="P360" s="1118"/>
      <c r="Q360" s="1111"/>
      <c r="R360" s="1111"/>
      <c r="S360" s="1111"/>
      <c r="T360" s="1111"/>
      <c r="U360" s="1111"/>
      <c r="V360" s="1111"/>
      <c r="W360" s="1111"/>
      <c r="X360" s="1111"/>
      <c r="Y360" s="1111"/>
      <c r="Z360" s="1111"/>
      <c r="AA360" s="1111"/>
      <c r="AB360" s="1111"/>
      <c r="AC360" s="1111"/>
      <c r="AD360" s="1111"/>
      <c r="AE360" s="1111"/>
      <c r="AF360" s="1111"/>
      <c r="AG360" s="1111"/>
    </row>
    <row r="361" spans="1:33" s="1295" customFormat="1">
      <c r="A361" s="1264"/>
      <c r="D361" s="1118"/>
      <c r="E361" s="1264"/>
      <c r="F361" s="1118"/>
      <c r="G361" s="1118"/>
      <c r="H361" s="1118"/>
      <c r="I361" s="1118"/>
      <c r="J361" s="1118"/>
      <c r="K361" s="1118"/>
      <c r="L361" s="1118"/>
      <c r="M361" s="1118"/>
      <c r="N361" s="1118"/>
      <c r="O361" s="1118"/>
      <c r="P361" s="1118"/>
      <c r="Q361" s="1111"/>
      <c r="R361" s="1111"/>
      <c r="S361" s="1111"/>
      <c r="T361" s="1111"/>
      <c r="U361" s="1111"/>
      <c r="V361" s="1111"/>
      <c r="W361" s="1111"/>
      <c r="X361" s="1111"/>
      <c r="Y361" s="1111"/>
      <c r="Z361" s="1111"/>
      <c r="AA361" s="1111"/>
      <c r="AB361" s="1111"/>
      <c r="AC361" s="1111"/>
      <c r="AD361" s="1111"/>
      <c r="AE361" s="1111"/>
      <c r="AF361" s="1111"/>
      <c r="AG361" s="1111"/>
    </row>
    <row r="362" spans="1:33" s="1295" customFormat="1">
      <c r="A362" s="1264"/>
      <c r="D362" s="1118"/>
      <c r="E362" s="1264"/>
      <c r="F362" s="1118"/>
      <c r="G362" s="1118"/>
      <c r="H362" s="1118"/>
      <c r="I362" s="1118"/>
      <c r="J362" s="1118"/>
      <c r="K362" s="1118"/>
      <c r="L362" s="1118"/>
      <c r="M362" s="1118"/>
      <c r="N362" s="1118"/>
      <c r="O362" s="1118"/>
      <c r="P362" s="1118"/>
      <c r="Q362" s="1111"/>
      <c r="R362" s="1111"/>
      <c r="S362" s="1111"/>
      <c r="T362" s="1111"/>
      <c r="U362" s="1111"/>
      <c r="V362" s="1111"/>
      <c r="W362" s="1111"/>
      <c r="X362" s="1111"/>
      <c r="Y362" s="1111"/>
      <c r="Z362" s="1111"/>
      <c r="AA362" s="1111"/>
      <c r="AB362" s="1111"/>
      <c r="AC362" s="1111"/>
      <c r="AD362" s="1111"/>
      <c r="AE362" s="1111"/>
      <c r="AF362" s="1111"/>
      <c r="AG362" s="1111"/>
    </row>
    <row r="363" spans="1:33" s="1295" customFormat="1">
      <c r="A363" s="1264"/>
      <c r="D363" s="1118"/>
      <c r="E363" s="1264"/>
      <c r="F363" s="1118"/>
      <c r="G363" s="1118"/>
      <c r="H363" s="1118"/>
      <c r="I363" s="1118"/>
      <c r="J363" s="1118"/>
      <c r="K363" s="1118"/>
      <c r="L363" s="1118"/>
      <c r="M363" s="1118"/>
      <c r="N363" s="1118"/>
      <c r="O363" s="1118"/>
      <c r="P363" s="1118"/>
      <c r="Q363" s="1111"/>
      <c r="R363" s="1111"/>
      <c r="S363" s="1111"/>
      <c r="T363" s="1111"/>
      <c r="U363" s="1111"/>
      <c r="V363" s="1111"/>
      <c r="W363" s="1111"/>
      <c r="X363" s="1111"/>
      <c r="Y363" s="1111"/>
      <c r="Z363" s="1111"/>
      <c r="AA363" s="1111"/>
      <c r="AB363" s="1111"/>
      <c r="AC363" s="1111"/>
      <c r="AD363" s="1111"/>
      <c r="AE363" s="1111"/>
      <c r="AF363" s="1111"/>
      <c r="AG363" s="1111"/>
    </row>
    <row r="364" spans="1:33" s="1295" customFormat="1">
      <c r="A364" s="1264"/>
      <c r="D364" s="1118"/>
      <c r="E364" s="1264"/>
      <c r="F364" s="1118"/>
      <c r="G364" s="1118"/>
      <c r="H364" s="1118"/>
      <c r="I364" s="1118"/>
      <c r="J364" s="1118"/>
      <c r="K364" s="1118"/>
      <c r="L364" s="1118"/>
      <c r="M364" s="1118"/>
      <c r="N364" s="1118"/>
      <c r="O364" s="1118"/>
      <c r="P364" s="1118"/>
      <c r="Q364" s="1111"/>
      <c r="R364" s="1111"/>
      <c r="S364" s="1111"/>
      <c r="T364" s="1111"/>
      <c r="U364" s="1111"/>
      <c r="V364" s="1111"/>
      <c r="W364" s="1111"/>
      <c r="X364" s="1111"/>
      <c r="Y364" s="1111"/>
      <c r="Z364" s="1111"/>
      <c r="AA364" s="1111"/>
      <c r="AB364" s="1111"/>
      <c r="AC364" s="1111"/>
      <c r="AD364" s="1111"/>
      <c r="AE364" s="1111"/>
      <c r="AF364" s="1111"/>
      <c r="AG364" s="1111"/>
    </row>
    <row r="365" spans="1:33" s="1295" customFormat="1">
      <c r="A365" s="1264"/>
      <c r="D365" s="1118"/>
      <c r="E365" s="1264"/>
      <c r="F365" s="1118"/>
      <c r="G365" s="1118"/>
      <c r="H365" s="1118"/>
      <c r="I365" s="1118"/>
      <c r="J365" s="1118"/>
      <c r="K365" s="1118"/>
      <c r="L365" s="1118"/>
      <c r="M365" s="1118"/>
      <c r="N365" s="1118"/>
      <c r="O365" s="1118"/>
      <c r="P365" s="1118"/>
      <c r="Q365" s="1111"/>
      <c r="R365" s="1111"/>
      <c r="S365" s="1111"/>
      <c r="T365" s="1111"/>
      <c r="U365" s="1111"/>
      <c r="V365" s="1111"/>
      <c r="W365" s="1111"/>
      <c r="X365" s="1111"/>
      <c r="Y365" s="1111"/>
      <c r="Z365" s="1111"/>
      <c r="AA365" s="1111"/>
      <c r="AB365" s="1111"/>
      <c r="AC365" s="1111"/>
      <c r="AD365" s="1111"/>
      <c r="AE365" s="1111"/>
      <c r="AF365" s="1111"/>
      <c r="AG365" s="1111"/>
    </row>
    <row r="366" spans="1:33" s="1295" customFormat="1">
      <c r="A366" s="1264"/>
      <c r="D366" s="1118"/>
      <c r="E366" s="1264"/>
      <c r="F366" s="1118"/>
      <c r="G366" s="1118"/>
      <c r="H366" s="1118"/>
      <c r="I366" s="1118"/>
      <c r="J366" s="1118"/>
      <c r="K366" s="1118"/>
      <c r="L366" s="1118"/>
      <c r="M366" s="1118"/>
      <c r="N366" s="1118"/>
      <c r="O366" s="1118"/>
      <c r="P366" s="1118"/>
      <c r="Q366" s="1111"/>
      <c r="R366" s="1111"/>
      <c r="S366" s="1111"/>
      <c r="T366" s="1111"/>
      <c r="U366" s="1111"/>
      <c r="V366" s="1111"/>
      <c r="W366" s="1111"/>
      <c r="X366" s="1111"/>
      <c r="Y366" s="1111"/>
      <c r="Z366" s="1111"/>
      <c r="AA366" s="1111"/>
      <c r="AB366" s="1111"/>
      <c r="AC366" s="1111"/>
      <c r="AD366" s="1111"/>
      <c r="AE366" s="1111"/>
      <c r="AF366" s="1111"/>
      <c r="AG366" s="1111"/>
    </row>
    <row r="367" spans="1:33" s="1295" customFormat="1">
      <c r="A367" s="1264"/>
      <c r="D367" s="1118"/>
      <c r="E367" s="1264"/>
      <c r="F367" s="1118"/>
      <c r="G367" s="1118"/>
      <c r="H367" s="1118"/>
      <c r="I367" s="1118"/>
      <c r="J367" s="1118"/>
      <c r="K367" s="1118"/>
      <c r="L367" s="1118"/>
      <c r="M367" s="1118"/>
      <c r="N367" s="1118"/>
      <c r="O367" s="1118"/>
      <c r="P367" s="1118"/>
      <c r="Q367" s="1111"/>
      <c r="R367" s="1111"/>
      <c r="S367" s="1111"/>
      <c r="T367" s="1111"/>
      <c r="U367" s="1111"/>
      <c r="V367" s="1111"/>
      <c r="W367" s="1111"/>
      <c r="X367" s="1111"/>
      <c r="Y367" s="1111"/>
      <c r="Z367" s="1111"/>
      <c r="AA367" s="1111"/>
      <c r="AB367" s="1111"/>
      <c r="AC367" s="1111"/>
      <c r="AD367" s="1111"/>
      <c r="AE367" s="1111"/>
      <c r="AF367" s="1111"/>
      <c r="AG367" s="1111"/>
    </row>
    <row r="368" spans="1:33" s="1295" customFormat="1">
      <c r="A368" s="1264"/>
      <c r="D368" s="1118"/>
      <c r="E368" s="1264"/>
      <c r="F368" s="1118"/>
      <c r="G368" s="1118"/>
      <c r="H368" s="1118"/>
      <c r="I368" s="1118"/>
      <c r="J368" s="1118"/>
      <c r="K368" s="1118"/>
      <c r="L368" s="1118"/>
      <c r="M368" s="1118"/>
      <c r="N368" s="1118"/>
      <c r="O368" s="1118"/>
      <c r="P368" s="1118"/>
      <c r="Q368" s="1111"/>
      <c r="R368" s="1111"/>
      <c r="S368" s="1111"/>
      <c r="T368" s="1111"/>
      <c r="U368" s="1111"/>
      <c r="V368" s="1111"/>
      <c r="W368" s="1111"/>
      <c r="X368" s="1111"/>
      <c r="Y368" s="1111"/>
      <c r="Z368" s="1111"/>
      <c r="AA368" s="1111"/>
      <c r="AB368" s="1111"/>
      <c r="AC368" s="1111"/>
      <c r="AD368" s="1111"/>
      <c r="AE368" s="1111"/>
      <c r="AF368" s="1111"/>
      <c r="AG368" s="1111"/>
    </row>
    <row r="369" spans="1:33" s="1295" customFormat="1">
      <c r="A369" s="1264"/>
      <c r="D369" s="1118"/>
      <c r="E369" s="1264"/>
      <c r="F369" s="1118"/>
      <c r="G369" s="1118"/>
      <c r="H369" s="1118"/>
      <c r="I369" s="1118"/>
      <c r="J369" s="1118"/>
      <c r="K369" s="1118"/>
      <c r="L369" s="1118"/>
      <c r="M369" s="1118"/>
      <c r="N369" s="1118"/>
      <c r="O369" s="1118"/>
      <c r="P369" s="1118"/>
      <c r="Q369" s="1111"/>
      <c r="R369" s="1111"/>
      <c r="S369" s="1111"/>
      <c r="T369" s="1111"/>
      <c r="U369" s="1111"/>
      <c r="V369" s="1111"/>
      <c r="W369" s="1111"/>
      <c r="X369" s="1111"/>
      <c r="Y369" s="1111"/>
      <c r="Z369" s="1111"/>
      <c r="AA369" s="1111"/>
      <c r="AB369" s="1111"/>
      <c r="AC369" s="1111"/>
      <c r="AD369" s="1111"/>
      <c r="AE369" s="1111"/>
      <c r="AF369" s="1111"/>
      <c r="AG369" s="1111"/>
    </row>
    <row r="370" spans="1:33" s="1295" customFormat="1">
      <c r="A370" s="1264"/>
      <c r="D370" s="1118"/>
      <c r="E370" s="1264"/>
      <c r="F370" s="1118"/>
      <c r="G370" s="1118"/>
      <c r="H370" s="1118"/>
      <c r="I370" s="1118"/>
      <c r="J370" s="1118"/>
      <c r="K370" s="1118"/>
      <c r="L370" s="1118"/>
      <c r="M370" s="1118"/>
      <c r="N370" s="1118"/>
      <c r="O370" s="1118"/>
      <c r="P370" s="1118"/>
      <c r="Q370" s="1111"/>
      <c r="R370" s="1111"/>
      <c r="S370" s="1111"/>
      <c r="T370" s="1111"/>
      <c r="U370" s="1111"/>
      <c r="V370" s="1111"/>
      <c r="W370" s="1111"/>
      <c r="X370" s="1111"/>
      <c r="Y370" s="1111"/>
      <c r="Z370" s="1111"/>
      <c r="AA370" s="1111"/>
      <c r="AB370" s="1111"/>
      <c r="AC370" s="1111"/>
      <c r="AD370" s="1111"/>
      <c r="AE370" s="1111"/>
      <c r="AF370" s="1111"/>
      <c r="AG370" s="1111"/>
    </row>
    <row r="371" spans="1:33" s="1295" customFormat="1">
      <c r="A371" s="1264"/>
      <c r="D371" s="1118"/>
      <c r="E371" s="1264"/>
      <c r="F371" s="1118"/>
      <c r="G371" s="1118"/>
      <c r="H371" s="1118"/>
      <c r="I371" s="1118"/>
      <c r="J371" s="1118"/>
      <c r="K371" s="1118"/>
      <c r="L371" s="1118"/>
      <c r="M371" s="1118"/>
      <c r="N371" s="1118"/>
      <c r="O371" s="1118"/>
      <c r="P371" s="1118"/>
      <c r="Q371" s="1111"/>
      <c r="R371" s="1111"/>
      <c r="S371" s="1111"/>
      <c r="T371" s="1111"/>
      <c r="U371" s="1111"/>
      <c r="V371" s="1111"/>
      <c r="W371" s="1111"/>
      <c r="X371" s="1111"/>
      <c r="Y371" s="1111"/>
      <c r="Z371" s="1111"/>
      <c r="AA371" s="1111"/>
      <c r="AB371" s="1111"/>
      <c r="AC371" s="1111"/>
      <c r="AD371" s="1111"/>
      <c r="AE371" s="1111"/>
      <c r="AF371" s="1111"/>
      <c r="AG371" s="1111"/>
    </row>
    <row r="372" spans="1:33" s="1295" customFormat="1">
      <c r="A372" s="1264"/>
      <c r="D372" s="1118"/>
      <c r="E372" s="1264"/>
      <c r="F372" s="1118"/>
      <c r="G372" s="1118"/>
      <c r="H372" s="1118"/>
      <c r="I372" s="1118"/>
      <c r="J372" s="1118"/>
      <c r="K372" s="1118"/>
      <c r="L372" s="1118"/>
      <c r="M372" s="1118"/>
      <c r="N372" s="1118"/>
      <c r="O372" s="1118"/>
      <c r="P372" s="1118"/>
      <c r="Q372" s="1111"/>
      <c r="R372" s="1111"/>
      <c r="S372" s="1111"/>
      <c r="T372" s="1111"/>
      <c r="U372" s="1111"/>
      <c r="V372" s="1111"/>
      <c r="W372" s="1111"/>
      <c r="X372" s="1111"/>
      <c r="Y372" s="1111"/>
      <c r="Z372" s="1111"/>
      <c r="AA372" s="1111"/>
      <c r="AB372" s="1111"/>
      <c r="AC372" s="1111"/>
      <c r="AD372" s="1111"/>
      <c r="AE372" s="1111"/>
      <c r="AF372" s="1111"/>
      <c r="AG372" s="1111"/>
    </row>
    <row r="373" spans="1:33" s="1295" customFormat="1">
      <c r="A373" s="1264"/>
      <c r="D373" s="1118"/>
      <c r="E373" s="1264"/>
      <c r="F373" s="1118"/>
      <c r="G373" s="1118"/>
      <c r="H373" s="1118"/>
      <c r="I373" s="1118"/>
      <c r="J373" s="1118"/>
      <c r="K373" s="1118"/>
      <c r="L373" s="1118"/>
      <c r="M373" s="1118"/>
      <c r="N373" s="1118"/>
      <c r="O373" s="1118"/>
      <c r="P373" s="1118"/>
      <c r="Q373" s="1111"/>
      <c r="R373" s="1111"/>
      <c r="S373" s="1111"/>
      <c r="T373" s="1111"/>
      <c r="U373" s="1111"/>
      <c r="V373" s="1111"/>
      <c r="W373" s="1111"/>
      <c r="X373" s="1111"/>
      <c r="Y373" s="1111"/>
      <c r="Z373" s="1111"/>
      <c r="AA373" s="1111"/>
      <c r="AB373" s="1111"/>
      <c r="AC373" s="1111"/>
      <c r="AD373" s="1111"/>
      <c r="AE373" s="1111"/>
      <c r="AF373" s="1111"/>
      <c r="AG373" s="1111"/>
    </row>
    <row r="374" spans="1:33" s="1295" customFormat="1">
      <c r="A374" s="1264"/>
      <c r="D374" s="1118"/>
      <c r="E374" s="1264"/>
      <c r="F374" s="1118"/>
      <c r="G374" s="1118"/>
      <c r="H374" s="1118"/>
      <c r="I374" s="1118"/>
      <c r="J374" s="1118"/>
      <c r="K374" s="1118"/>
      <c r="L374" s="1118"/>
      <c r="M374" s="1118"/>
      <c r="N374" s="1118"/>
      <c r="O374" s="1118"/>
      <c r="P374" s="1118"/>
      <c r="Q374" s="1111"/>
      <c r="R374" s="1111"/>
      <c r="S374" s="1111"/>
      <c r="T374" s="1111"/>
      <c r="U374" s="1111"/>
      <c r="V374" s="1111"/>
      <c r="W374" s="1111"/>
      <c r="X374" s="1111"/>
      <c r="Y374" s="1111"/>
      <c r="Z374" s="1111"/>
      <c r="AA374" s="1111"/>
      <c r="AB374" s="1111"/>
      <c r="AC374" s="1111"/>
      <c r="AD374" s="1111"/>
      <c r="AE374" s="1111"/>
      <c r="AF374" s="1111"/>
      <c r="AG374" s="1111"/>
    </row>
    <row r="375" spans="1:33" s="1295" customFormat="1">
      <c r="A375" s="1264"/>
      <c r="D375" s="1118"/>
      <c r="E375" s="1264"/>
      <c r="F375" s="1118"/>
      <c r="G375" s="1118"/>
      <c r="H375" s="1118"/>
      <c r="I375" s="1118"/>
      <c r="J375" s="1118"/>
      <c r="K375" s="1118"/>
      <c r="L375" s="1118"/>
      <c r="M375" s="1118"/>
      <c r="N375" s="1118"/>
      <c r="O375" s="1118"/>
      <c r="P375" s="1118"/>
      <c r="Q375" s="1111"/>
      <c r="R375" s="1111"/>
      <c r="S375" s="1111"/>
      <c r="T375" s="1111"/>
      <c r="U375" s="1111"/>
      <c r="V375" s="1111"/>
      <c r="W375" s="1111"/>
      <c r="X375" s="1111"/>
      <c r="Y375" s="1111"/>
      <c r="Z375" s="1111"/>
      <c r="AA375" s="1111"/>
      <c r="AB375" s="1111"/>
      <c r="AC375" s="1111"/>
      <c r="AD375" s="1111"/>
      <c r="AE375" s="1111"/>
      <c r="AF375" s="1111"/>
      <c r="AG375" s="1111"/>
    </row>
    <row r="376" spans="1:33" s="1295" customFormat="1">
      <c r="A376" s="1264"/>
      <c r="D376" s="1118"/>
      <c r="E376" s="1264"/>
      <c r="F376" s="1118"/>
      <c r="G376" s="1118"/>
      <c r="H376" s="1118"/>
      <c r="I376" s="1118"/>
      <c r="J376" s="1118"/>
      <c r="K376" s="1118"/>
      <c r="L376" s="1118"/>
      <c r="M376" s="1118"/>
      <c r="N376" s="1118"/>
      <c r="O376" s="1118"/>
      <c r="P376" s="1118"/>
      <c r="Q376" s="1111"/>
      <c r="R376" s="1111"/>
      <c r="S376" s="1111"/>
      <c r="T376" s="1111"/>
      <c r="U376" s="1111"/>
      <c r="V376" s="1111"/>
      <c r="W376" s="1111"/>
      <c r="X376" s="1111"/>
      <c r="Y376" s="1111"/>
      <c r="Z376" s="1111"/>
      <c r="AA376" s="1111"/>
      <c r="AB376" s="1111"/>
      <c r="AC376" s="1111"/>
      <c r="AD376" s="1111"/>
      <c r="AE376" s="1111"/>
      <c r="AF376" s="1111"/>
      <c r="AG376" s="1111"/>
    </row>
    <row r="377" spans="1:33" s="1295" customFormat="1">
      <c r="A377" s="1264"/>
      <c r="D377" s="1118"/>
      <c r="E377" s="1264"/>
      <c r="F377" s="1118"/>
      <c r="G377" s="1118"/>
      <c r="H377" s="1118"/>
      <c r="I377" s="1118"/>
      <c r="J377" s="1118"/>
      <c r="K377" s="1118"/>
      <c r="L377" s="1118"/>
      <c r="M377" s="1118"/>
      <c r="N377" s="1118"/>
      <c r="O377" s="1118"/>
      <c r="P377" s="1118"/>
      <c r="Q377" s="1111"/>
      <c r="R377" s="1111"/>
      <c r="S377" s="1111"/>
      <c r="T377" s="1111"/>
      <c r="U377" s="1111"/>
      <c r="V377" s="1111"/>
      <c r="W377" s="1111"/>
      <c r="X377" s="1111"/>
      <c r="Y377" s="1111"/>
      <c r="Z377" s="1111"/>
      <c r="AA377" s="1111"/>
      <c r="AB377" s="1111"/>
      <c r="AC377" s="1111"/>
      <c r="AD377" s="1111"/>
      <c r="AE377" s="1111"/>
      <c r="AF377" s="1111"/>
      <c r="AG377" s="1111"/>
    </row>
    <row r="378" spans="1:33" s="1295" customFormat="1">
      <c r="A378" s="1264"/>
      <c r="D378" s="1118"/>
      <c r="E378" s="1264"/>
      <c r="F378" s="1118"/>
      <c r="G378" s="1118"/>
      <c r="H378" s="1118"/>
      <c r="I378" s="1118"/>
      <c r="J378" s="1118"/>
      <c r="K378" s="1118"/>
      <c r="L378" s="1118"/>
      <c r="M378" s="1118"/>
      <c r="N378" s="1118"/>
      <c r="O378" s="1118"/>
      <c r="P378" s="1118"/>
      <c r="Q378" s="1111"/>
      <c r="R378" s="1111"/>
      <c r="S378" s="1111"/>
      <c r="T378" s="1111"/>
      <c r="U378" s="1111"/>
      <c r="V378" s="1111"/>
      <c r="W378" s="1111"/>
      <c r="X378" s="1111"/>
      <c r="Y378" s="1111"/>
      <c r="Z378" s="1111"/>
      <c r="AA378" s="1111"/>
      <c r="AB378" s="1111"/>
      <c r="AC378" s="1111"/>
      <c r="AD378" s="1111"/>
      <c r="AE378" s="1111"/>
      <c r="AF378" s="1111"/>
      <c r="AG378" s="1111"/>
    </row>
    <row r="379" spans="1:33" s="1295" customFormat="1">
      <c r="A379" s="1264"/>
      <c r="D379" s="1118"/>
      <c r="E379" s="1264"/>
      <c r="F379" s="1118"/>
      <c r="G379" s="1118"/>
      <c r="H379" s="1118"/>
      <c r="I379" s="1118"/>
      <c r="J379" s="1118"/>
      <c r="K379" s="1118"/>
      <c r="L379" s="1118"/>
      <c r="M379" s="1118"/>
      <c r="N379" s="1118"/>
      <c r="O379" s="1118"/>
      <c r="P379" s="1118"/>
      <c r="Q379" s="1111"/>
      <c r="R379" s="1111"/>
      <c r="S379" s="1111"/>
      <c r="T379" s="1111"/>
      <c r="U379" s="1111"/>
      <c r="V379" s="1111"/>
      <c r="W379" s="1111"/>
      <c r="X379" s="1111"/>
      <c r="Y379" s="1111"/>
      <c r="Z379" s="1111"/>
      <c r="AA379" s="1111"/>
      <c r="AB379" s="1111"/>
      <c r="AC379" s="1111"/>
      <c r="AD379" s="1111"/>
      <c r="AE379" s="1111"/>
      <c r="AF379" s="1111"/>
      <c r="AG379" s="1111"/>
    </row>
    <row r="380" spans="1:33" s="1295" customFormat="1">
      <c r="A380" s="1264"/>
      <c r="D380" s="1118"/>
      <c r="E380" s="1264"/>
      <c r="F380" s="1118"/>
      <c r="G380" s="1118"/>
      <c r="H380" s="1118"/>
      <c r="I380" s="1118"/>
      <c r="J380" s="1118"/>
      <c r="K380" s="1118"/>
      <c r="L380" s="1118"/>
      <c r="M380" s="1118"/>
      <c r="N380" s="1118"/>
      <c r="O380" s="1118"/>
      <c r="P380" s="1118"/>
      <c r="Q380" s="1111"/>
      <c r="R380" s="1111"/>
      <c r="S380" s="1111"/>
      <c r="T380" s="1111"/>
      <c r="U380" s="1111"/>
      <c r="V380" s="1111"/>
      <c r="W380" s="1111"/>
      <c r="X380" s="1111"/>
      <c r="Y380" s="1111"/>
      <c r="Z380" s="1111"/>
      <c r="AA380" s="1111"/>
      <c r="AB380" s="1111"/>
      <c r="AC380" s="1111"/>
      <c r="AD380" s="1111"/>
      <c r="AE380" s="1111"/>
      <c r="AF380" s="1111"/>
      <c r="AG380" s="1111"/>
    </row>
    <row r="381" spans="1:33" s="1295" customFormat="1">
      <c r="A381" s="1264"/>
      <c r="D381" s="1118"/>
      <c r="E381" s="1264"/>
      <c r="F381" s="1118"/>
      <c r="G381" s="1118"/>
      <c r="H381" s="1118"/>
      <c r="I381" s="1118"/>
      <c r="J381" s="1118"/>
      <c r="K381" s="1118"/>
      <c r="L381" s="1118"/>
      <c r="M381" s="1118"/>
      <c r="N381" s="1118"/>
      <c r="O381" s="1118"/>
      <c r="P381" s="1118"/>
      <c r="Q381" s="1111"/>
      <c r="R381" s="1111"/>
      <c r="S381" s="1111"/>
      <c r="T381" s="1111"/>
      <c r="U381" s="1111"/>
      <c r="V381" s="1111"/>
      <c r="W381" s="1111"/>
      <c r="X381" s="1111"/>
      <c r="Y381" s="1111"/>
      <c r="Z381" s="1111"/>
      <c r="AA381" s="1111"/>
      <c r="AB381" s="1111"/>
      <c r="AC381" s="1111"/>
      <c r="AD381" s="1111"/>
      <c r="AE381" s="1111"/>
      <c r="AF381" s="1111"/>
      <c r="AG381" s="1111"/>
    </row>
    <row r="382" spans="1:33" s="1295" customFormat="1">
      <c r="A382" s="1264"/>
      <c r="D382" s="1118"/>
      <c r="E382" s="1264"/>
      <c r="F382" s="1118"/>
      <c r="G382" s="1118"/>
      <c r="H382" s="1118"/>
      <c r="I382" s="1118"/>
      <c r="J382" s="1118"/>
      <c r="K382" s="1118"/>
      <c r="L382" s="1118"/>
      <c r="M382" s="1118"/>
      <c r="N382" s="1118"/>
      <c r="O382" s="1118"/>
      <c r="P382" s="1118"/>
      <c r="Q382" s="1111"/>
      <c r="R382" s="1111"/>
      <c r="S382" s="1111"/>
      <c r="T382" s="1111"/>
      <c r="U382" s="1111"/>
      <c r="V382" s="1111"/>
      <c r="W382" s="1111"/>
      <c r="X382" s="1111"/>
      <c r="Y382" s="1111"/>
      <c r="Z382" s="1111"/>
      <c r="AA382" s="1111"/>
      <c r="AB382" s="1111"/>
      <c r="AC382" s="1111"/>
      <c r="AD382" s="1111"/>
      <c r="AE382" s="1111"/>
      <c r="AF382" s="1111"/>
      <c r="AG382" s="1111"/>
    </row>
    <row r="383" spans="1:33" s="1295" customFormat="1">
      <c r="A383" s="1264"/>
      <c r="D383" s="1118"/>
      <c r="E383" s="1264"/>
      <c r="F383" s="1118"/>
      <c r="G383" s="1118"/>
      <c r="H383" s="1118"/>
      <c r="I383" s="1118"/>
      <c r="J383" s="1118"/>
      <c r="K383" s="1118"/>
      <c r="L383" s="1118"/>
      <c r="M383" s="1118"/>
      <c r="N383" s="1118"/>
      <c r="O383" s="1118"/>
      <c r="P383" s="1118"/>
      <c r="Q383" s="1111"/>
      <c r="R383" s="1111"/>
      <c r="S383" s="1111"/>
      <c r="T383" s="1111"/>
      <c r="U383" s="1111"/>
      <c r="V383" s="1111"/>
      <c r="W383" s="1111"/>
      <c r="X383" s="1111"/>
      <c r="Y383" s="1111"/>
      <c r="Z383" s="1111"/>
      <c r="AA383" s="1111"/>
      <c r="AB383" s="1111"/>
      <c r="AC383" s="1111"/>
      <c r="AD383" s="1111"/>
      <c r="AE383" s="1111"/>
      <c r="AF383" s="1111"/>
      <c r="AG383" s="1111"/>
    </row>
    <row r="384" spans="1:33" s="1295" customFormat="1">
      <c r="A384" s="1264"/>
      <c r="D384" s="1118"/>
      <c r="E384" s="1264"/>
      <c r="F384" s="1118"/>
      <c r="G384" s="1118"/>
      <c r="H384" s="1118"/>
      <c r="I384" s="1118"/>
      <c r="J384" s="1118"/>
      <c r="K384" s="1118"/>
      <c r="L384" s="1118"/>
      <c r="M384" s="1118"/>
      <c r="N384" s="1118"/>
      <c r="O384" s="1118"/>
      <c r="P384" s="1118"/>
      <c r="Q384" s="1111"/>
      <c r="R384" s="1111"/>
      <c r="S384" s="1111"/>
      <c r="T384" s="1111"/>
      <c r="U384" s="1111"/>
      <c r="V384" s="1111"/>
      <c r="W384" s="1111"/>
      <c r="X384" s="1111"/>
      <c r="Y384" s="1111"/>
      <c r="Z384" s="1111"/>
      <c r="AA384" s="1111"/>
      <c r="AB384" s="1111"/>
      <c r="AC384" s="1111"/>
      <c r="AD384" s="1111"/>
      <c r="AE384" s="1111"/>
      <c r="AF384" s="1111"/>
      <c r="AG384" s="1111"/>
    </row>
    <row r="385" spans="1:33" s="1295" customFormat="1">
      <c r="A385" s="1264"/>
      <c r="D385" s="1118"/>
      <c r="E385" s="1264"/>
      <c r="F385" s="1118"/>
      <c r="G385" s="1118"/>
      <c r="H385" s="1118"/>
      <c r="I385" s="1118"/>
      <c r="J385" s="1118"/>
      <c r="K385" s="1118"/>
      <c r="L385" s="1118"/>
      <c r="M385" s="1118"/>
      <c r="N385" s="1118"/>
      <c r="O385" s="1118"/>
      <c r="P385" s="1118"/>
      <c r="Q385" s="1111"/>
      <c r="R385" s="1111"/>
      <c r="S385" s="1111"/>
      <c r="T385" s="1111"/>
      <c r="U385" s="1111"/>
      <c r="V385" s="1111"/>
      <c r="W385" s="1111"/>
      <c r="X385" s="1111"/>
      <c r="Y385" s="1111"/>
      <c r="Z385" s="1111"/>
      <c r="AA385" s="1111"/>
      <c r="AB385" s="1111"/>
      <c r="AC385" s="1111"/>
      <c r="AD385" s="1111"/>
      <c r="AE385" s="1111"/>
      <c r="AF385" s="1111"/>
      <c r="AG385" s="1111"/>
    </row>
    <row r="386" spans="1:33" s="1295" customFormat="1">
      <c r="A386" s="1264"/>
      <c r="D386" s="1118"/>
      <c r="E386" s="1264"/>
      <c r="F386" s="1118"/>
      <c r="G386" s="1118"/>
      <c r="H386" s="1118"/>
      <c r="I386" s="1118"/>
      <c r="J386" s="1118"/>
      <c r="K386" s="1118"/>
      <c r="L386" s="1118"/>
      <c r="M386" s="1118"/>
      <c r="N386" s="1118"/>
      <c r="O386" s="1118"/>
      <c r="P386" s="1118"/>
      <c r="Q386" s="1111"/>
      <c r="R386" s="1111"/>
      <c r="S386" s="1111"/>
      <c r="T386" s="1111"/>
      <c r="U386" s="1111"/>
      <c r="V386" s="1111"/>
      <c r="W386" s="1111"/>
      <c r="X386" s="1111"/>
      <c r="Y386" s="1111"/>
      <c r="Z386" s="1111"/>
      <c r="AA386" s="1111"/>
      <c r="AB386" s="1111"/>
      <c r="AC386" s="1111"/>
      <c r="AD386" s="1111"/>
      <c r="AE386" s="1111"/>
      <c r="AF386" s="1111"/>
      <c r="AG386" s="1111"/>
    </row>
    <row r="387" spans="1:33" s="1295" customFormat="1">
      <c r="A387" s="1264"/>
      <c r="D387" s="1118"/>
      <c r="E387" s="1264"/>
      <c r="F387" s="1118"/>
      <c r="G387" s="1118"/>
      <c r="H387" s="1118"/>
      <c r="I387" s="1118"/>
      <c r="J387" s="1118"/>
      <c r="K387" s="1118"/>
      <c r="L387" s="1118"/>
      <c r="M387" s="1118"/>
      <c r="N387" s="1118"/>
      <c r="O387" s="1118"/>
      <c r="P387" s="1118"/>
      <c r="Q387" s="1111"/>
      <c r="R387" s="1111"/>
      <c r="S387" s="1111"/>
      <c r="T387" s="1111"/>
      <c r="U387" s="1111"/>
      <c r="V387" s="1111"/>
      <c r="W387" s="1111"/>
      <c r="X387" s="1111"/>
      <c r="Y387" s="1111"/>
      <c r="Z387" s="1111"/>
      <c r="AA387" s="1111"/>
      <c r="AB387" s="1111"/>
      <c r="AC387" s="1111"/>
      <c r="AD387" s="1111"/>
      <c r="AE387" s="1111"/>
      <c r="AF387" s="1111"/>
      <c r="AG387" s="1111"/>
    </row>
    <row r="388" spans="1:33" s="1295" customFormat="1">
      <c r="A388" s="1264"/>
      <c r="D388" s="1118"/>
      <c r="E388" s="1264"/>
      <c r="F388" s="1118"/>
      <c r="G388" s="1118"/>
      <c r="H388" s="1118"/>
      <c r="I388" s="1118"/>
      <c r="J388" s="1118"/>
      <c r="K388" s="1118"/>
      <c r="L388" s="1118"/>
      <c r="M388" s="1118"/>
      <c r="N388" s="1118"/>
      <c r="O388" s="1118"/>
      <c r="P388" s="1118"/>
      <c r="Q388" s="1111"/>
      <c r="R388" s="1111"/>
      <c r="S388" s="1111"/>
      <c r="T388" s="1111"/>
      <c r="U388" s="1111"/>
      <c r="V388" s="1111"/>
      <c r="W388" s="1111"/>
      <c r="X388" s="1111"/>
      <c r="Y388" s="1111"/>
      <c r="Z388" s="1111"/>
      <c r="AA388" s="1111"/>
      <c r="AB388" s="1111"/>
      <c r="AC388" s="1111"/>
      <c r="AD388" s="1111"/>
      <c r="AE388" s="1111"/>
      <c r="AF388" s="1111"/>
      <c r="AG388" s="1111"/>
    </row>
    <row r="389" spans="1:33" s="1295" customFormat="1">
      <c r="A389" s="1264"/>
      <c r="D389" s="1118"/>
      <c r="E389" s="1264"/>
      <c r="F389" s="1118"/>
      <c r="G389" s="1118"/>
      <c r="H389" s="1118"/>
      <c r="I389" s="1118"/>
      <c r="J389" s="1118"/>
      <c r="K389" s="1118"/>
      <c r="L389" s="1118"/>
      <c r="M389" s="1118"/>
      <c r="N389" s="1118"/>
      <c r="O389" s="1118"/>
      <c r="P389" s="1118"/>
      <c r="Q389" s="1111"/>
      <c r="R389" s="1111"/>
      <c r="S389" s="1111"/>
      <c r="T389" s="1111"/>
      <c r="U389" s="1111"/>
      <c r="V389" s="1111"/>
      <c r="W389" s="1111"/>
      <c r="X389" s="1111"/>
      <c r="Y389" s="1111"/>
      <c r="Z389" s="1111"/>
      <c r="AA389" s="1111"/>
      <c r="AB389" s="1111"/>
      <c r="AC389" s="1111"/>
      <c r="AD389" s="1111"/>
      <c r="AE389" s="1111"/>
      <c r="AF389" s="1111"/>
      <c r="AG389" s="1111"/>
    </row>
    <row r="390" spans="1:33" s="1295" customFormat="1">
      <c r="A390" s="1264"/>
      <c r="D390" s="1118"/>
      <c r="E390" s="1264"/>
      <c r="F390" s="1118"/>
      <c r="G390" s="1118"/>
      <c r="H390" s="1118"/>
      <c r="I390" s="1118"/>
      <c r="J390" s="1118"/>
      <c r="K390" s="1118"/>
      <c r="L390" s="1118"/>
      <c r="M390" s="1118"/>
      <c r="N390" s="1118"/>
      <c r="O390" s="1118"/>
      <c r="P390" s="1118"/>
      <c r="Q390" s="1111"/>
      <c r="R390" s="1111"/>
      <c r="S390" s="1111"/>
      <c r="T390" s="1111"/>
      <c r="U390" s="1111"/>
      <c r="V390" s="1111"/>
      <c r="W390" s="1111"/>
      <c r="X390" s="1111"/>
      <c r="Y390" s="1111"/>
      <c r="Z390" s="1111"/>
      <c r="AA390" s="1111"/>
      <c r="AB390" s="1111"/>
      <c r="AC390" s="1111"/>
      <c r="AD390" s="1111"/>
      <c r="AE390" s="1111"/>
      <c r="AF390" s="1111"/>
      <c r="AG390" s="1111"/>
    </row>
    <row r="391" spans="1:33" s="1295" customFormat="1">
      <c r="A391" s="1264"/>
      <c r="D391" s="1118"/>
      <c r="E391" s="1264"/>
      <c r="F391" s="1118"/>
      <c r="G391" s="1118"/>
      <c r="H391" s="1118"/>
      <c r="I391" s="1118"/>
      <c r="J391" s="1118"/>
      <c r="K391" s="1118"/>
      <c r="L391" s="1118"/>
      <c r="M391" s="1118"/>
      <c r="N391" s="1118"/>
      <c r="O391" s="1118"/>
      <c r="P391" s="1118"/>
      <c r="Q391" s="1111"/>
      <c r="R391" s="1111"/>
      <c r="S391" s="1111"/>
      <c r="T391" s="1111"/>
      <c r="U391" s="1111"/>
      <c r="V391" s="1111"/>
      <c r="W391" s="1111"/>
      <c r="X391" s="1111"/>
      <c r="Y391" s="1111"/>
      <c r="Z391" s="1111"/>
      <c r="AA391" s="1111"/>
      <c r="AB391" s="1111"/>
      <c r="AC391" s="1111"/>
      <c r="AD391" s="1111"/>
      <c r="AE391" s="1111"/>
      <c r="AF391" s="1111"/>
      <c r="AG391" s="1111"/>
    </row>
    <row r="392" spans="1:33" s="1295" customFormat="1">
      <c r="A392" s="1264"/>
      <c r="D392" s="1118"/>
      <c r="E392" s="1264"/>
      <c r="F392" s="1118"/>
      <c r="G392" s="1118"/>
      <c r="H392" s="1118"/>
      <c r="I392" s="1118"/>
      <c r="J392" s="1118"/>
      <c r="K392" s="1118"/>
      <c r="L392" s="1118"/>
      <c r="M392" s="1118"/>
      <c r="N392" s="1118"/>
      <c r="O392" s="1118"/>
      <c r="P392" s="1118"/>
      <c r="Q392" s="1111"/>
      <c r="R392" s="1111"/>
      <c r="S392" s="1111"/>
      <c r="T392" s="1111"/>
      <c r="U392" s="1111"/>
      <c r="V392" s="1111"/>
      <c r="W392" s="1111"/>
      <c r="X392" s="1111"/>
      <c r="Y392" s="1111"/>
      <c r="Z392" s="1111"/>
      <c r="AA392" s="1111"/>
      <c r="AB392" s="1111"/>
      <c r="AC392" s="1111"/>
      <c r="AD392" s="1111"/>
      <c r="AE392" s="1111"/>
      <c r="AF392" s="1111"/>
      <c r="AG392" s="1111"/>
    </row>
    <row r="393" spans="1:33" s="1295" customFormat="1">
      <c r="A393" s="1264"/>
      <c r="D393" s="1118"/>
      <c r="E393" s="1264"/>
      <c r="F393" s="1118"/>
      <c r="G393" s="1118"/>
      <c r="H393" s="1118"/>
      <c r="I393" s="1118"/>
      <c r="J393" s="1118"/>
      <c r="K393" s="1118"/>
      <c r="L393" s="1118"/>
      <c r="M393" s="1118"/>
      <c r="N393" s="1118"/>
      <c r="O393" s="1118"/>
      <c r="P393" s="1118"/>
      <c r="Q393" s="1111"/>
      <c r="R393" s="1111"/>
      <c r="S393" s="1111"/>
      <c r="T393" s="1111"/>
      <c r="U393" s="1111"/>
      <c r="V393" s="1111"/>
      <c r="W393" s="1111"/>
      <c r="X393" s="1111"/>
      <c r="Y393" s="1111"/>
      <c r="Z393" s="1111"/>
      <c r="AA393" s="1111"/>
      <c r="AB393" s="1111"/>
      <c r="AC393" s="1111"/>
      <c r="AD393" s="1111"/>
      <c r="AE393" s="1111"/>
      <c r="AF393" s="1111"/>
      <c r="AG393" s="1111"/>
    </row>
    <row r="394" spans="1:33" s="1295" customFormat="1">
      <c r="A394" s="1264"/>
      <c r="D394" s="1118"/>
      <c r="E394" s="1264"/>
      <c r="F394" s="1118"/>
      <c r="G394" s="1118"/>
      <c r="H394" s="1118"/>
      <c r="I394" s="1118"/>
      <c r="J394" s="1118"/>
      <c r="K394" s="1118"/>
      <c r="L394" s="1118"/>
      <c r="M394" s="1118"/>
      <c r="N394" s="1118"/>
      <c r="O394" s="1118"/>
      <c r="P394" s="1118"/>
      <c r="Q394" s="1111"/>
      <c r="R394" s="1111"/>
      <c r="S394" s="1111"/>
      <c r="T394" s="1111"/>
      <c r="U394" s="1111"/>
      <c r="V394" s="1111"/>
      <c r="W394" s="1111"/>
      <c r="X394" s="1111"/>
      <c r="Y394" s="1111"/>
      <c r="Z394" s="1111"/>
      <c r="AA394" s="1111"/>
      <c r="AB394" s="1111"/>
      <c r="AC394" s="1111"/>
      <c r="AD394" s="1111"/>
      <c r="AE394" s="1111"/>
      <c r="AF394" s="1111"/>
      <c r="AG394" s="1111"/>
    </row>
    <row r="395" spans="1:33" s="1295" customFormat="1">
      <c r="A395" s="1264"/>
      <c r="D395" s="1118"/>
      <c r="E395" s="1264"/>
      <c r="F395" s="1118"/>
      <c r="G395" s="1118"/>
      <c r="H395" s="1118"/>
      <c r="I395" s="1118"/>
      <c r="J395" s="1118"/>
      <c r="K395" s="1118"/>
      <c r="L395" s="1118"/>
      <c r="M395" s="1118"/>
      <c r="N395" s="1118"/>
      <c r="O395" s="1118"/>
      <c r="P395" s="1118"/>
      <c r="Q395" s="1111"/>
      <c r="R395" s="1111"/>
      <c r="S395" s="1111"/>
      <c r="T395" s="1111"/>
      <c r="U395" s="1111"/>
      <c r="V395" s="1111"/>
      <c r="W395" s="1111"/>
      <c r="X395" s="1111"/>
      <c r="Y395" s="1111"/>
      <c r="Z395" s="1111"/>
      <c r="AA395" s="1111"/>
      <c r="AB395" s="1111"/>
      <c r="AC395" s="1111"/>
      <c r="AD395" s="1111"/>
      <c r="AE395" s="1111"/>
      <c r="AF395" s="1111"/>
      <c r="AG395" s="1111"/>
    </row>
    <row r="396" spans="1:33" s="1295" customFormat="1">
      <c r="A396" s="1264"/>
      <c r="D396" s="1118"/>
      <c r="E396" s="1264"/>
      <c r="F396" s="1118"/>
      <c r="G396" s="1118"/>
      <c r="H396" s="1118"/>
      <c r="I396" s="1118"/>
      <c r="J396" s="1118"/>
      <c r="K396" s="1118"/>
      <c r="L396" s="1118"/>
      <c r="M396" s="1118"/>
      <c r="N396" s="1118"/>
      <c r="O396" s="1118"/>
      <c r="P396" s="1118"/>
      <c r="Q396" s="1111"/>
      <c r="R396" s="1111"/>
      <c r="S396" s="1111"/>
      <c r="T396" s="1111"/>
      <c r="U396" s="1111"/>
      <c r="V396" s="1111"/>
      <c r="W396" s="1111"/>
      <c r="X396" s="1111"/>
      <c r="Y396" s="1111"/>
      <c r="Z396" s="1111"/>
      <c r="AA396" s="1111"/>
      <c r="AB396" s="1111"/>
      <c r="AC396" s="1111"/>
      <c r="AD396" s="1111"/>
      <c r="AE396" s="1111"/>
      <c r="AF396" s="1111"/>
      <c r="AG396" s="1111"/>
    </row>
    <row r="397" spans="1:33" s="1295" customFormat="1">
      <c r="A397" s="1264"/>
      <c r="D397" s="1118"/>
      <c r="E397" s="1264"/>
      <c r="F397" s="1118"/>
      <c r="G397" s="1118"/>
      <c r="H397" s="1118"/>
      <c r="I397" s="1118"/>
      <c r="J397" s="1118"/>
      <c r="K397" s="1118"/>
      <c r="L397" s="1118"/>
      <c r="M397" s="1118"/>
      <c r="N397" s="1118"/>
      <c r="O397" s="1118"/>
      <c r="P397" s="1118"/>
      <c r="Q397" s="1111"/>
      <c r="R397" s="1111"/>
      <c r="S397" s="1111"/>
      <c r="T397" s="1111"/>
      <c r="U397" s="1111"/>
      <c r="V397" s="1111"/>
      <c r="W397" s="1111"/>
      <c r="X397" s="1111"/>
      <c r="Y397" s="1111"/>
      <c r="Z397" s="1111"/>
      <c r="AA397" s="1111"/>
      <c r="AB397" s="1111"/>
      <c r="AC397" s="1111"/>
      <c r="AD397" s="1111"/>
      <c r="AE397" s="1111"/>
      <c r="AF397" s="1111"/>
      <c r="AG397" s="1111"/>
    </row>
    <row r="398" spans="1:33" s="1295" customFormat="1">
      <c r="A398" s="1264"/>
      <c r="D398" s="1118"/>
      <c r="E398" s="1264"/>
      <c r="F398" s="1118"/>
      <c r="G398" s="1118"/>
      <c r="H398" s="1118"/>
      <c r="I398" s="1118"/>
      <c r="J398" s="1118"/>
      <c r="K398" s="1118"/>
      <c r="L398" s="1118"/>
      <c r="M398" s="1118"/>
      <c r="N398" s="1118"/>
      <c r="O398" s="1118"/>
      <c r="P398" s="1118"/>
      <c r="Q398" s="1111"/>
      <c r="R398" s="1111"/>
      <c r="S398" s="1111"/>
      <c r="T398" s="1111"/>
      <c r="U398" s="1111"/>
      <c r="V398" s="1111"/>
      <c r="W398" s="1111"/>
      <c r="X398" s="1111"/>
      <c r="Y398" s="1111"/>
      <c r="Z398" s="1111"/>
      <c r="AA398" s="1111"/>
      <c r="AB398" s="1111"/>
      <c r="AC398" s="1111"/>
      <c r="AD398" s="1111"/>
      <c r="AE398" s="1111"/>
      <c r="AF398" s="1111"/>
      <c r="AG398" s="1111"/>
    </row>
    <row r="399" spans="1:33" s="1295" customFormat="1">
      <c r="A399" s="1264"/>
      <c r="D399" s="1118"/>
      <c r="E399" s="1264"/>
      <c r="F399" s="1118"/>
      <c r="G399" s="1118"/>
      <c r="H399" s="1118"/>
      <c r="I399" s="1118"/>
      <c r="J399" s="1118"/>
      <c r="K399" s="1118"/>
      <c r="L399" s="1118"/>
      <c r="M399" s="1118"/>
      <c r="N399" s="1118"/>
      <c r="O399" s="1118"/>
      <c r="P399" s="1118"/>
      <c r="Q399" s="1111"/>
      <c r="R399" s="1111"/>
      <c r="S399" s="1111"/>
      <c r="T399" s="1111"/>
      <c r="U399" s="1111"/>
      <c r="V399" s="1111"/>
      <c r="W399" s="1111"/>
      <c r="X399" s="1111"/>
      <c r="Y399" s="1111"/>
      <c r="Z399" s="1111"/>
      <c r="AA399" s="1111"/>
      <c r="AB399" s="1111"/>
      <c r="AC399" s="1111"/>
      <c r="AD399" s="1111"/>
      <c r="AE399" s="1111"/>
      <c r="AF399" s="1111"/>
      <c r="AG399" s="1111"/>
    </row>
    <row r="400" spans="1:33" s="1295" customFormat="1">
      <c r="A400" s="1264"/>
      <c r="D400" s="1118"/>
      <c r="E400" s="1264"/>
      <c r="F400" s="1118"/>
      <c r="G400" s="1118"/>
      <c r="H400" s="1118"/>
      <c r="I400" s="1118"/>
      <c r="J400" s="1118"/>
      <c r="K400" s="1118"/>
      <c r="L400" s="1118"/>
      <c r="M400" s="1118"/>
      <c r="N400" s="1118"/>
      <c r="O400" s="1118"/>
      <c r="P400" s="1118"/>
      <c r="Q400" s="1111"/>
      <c r="R400" s="1111"/>
      <c r="S400" s="1111"/>
      <c r="T400" s="1111"/>
      <c r="U400" s="1111"/>
      <c r="V400" s="1111"/>
      <c r="W400" s="1111"/>
      <c r="X400" s="1111"/>
      <c r="Y400" s="1111"/>
      <c r="Z400" s="1111"/>
      <c r="AA400" s="1111"/>
      <c r="AB400" s="1111"/>
      <c r="AC400" s="1111"/>
      <c r="AD400" s="1111"/>
      <c r="AE400" s="1111"/>
      <c r="AF400" s="1111"/>
      <c r="AG400" s="1111"/>
    </row>
    <row r="401" spans="1:33" s="1295" customFormat="1">
      <c r="A401" s="1264"/>
      <c r="D401" s="1118"/>
      <c r="E401" s="1264"/>
      <c r="F401" s="1118"/>
      <c r="G401" s="1118"/>
      <c r="H401" s="1118"/>
      <c r="I401" s="1118"/>
      <c r="J401" s="1118"/>
      <c r="K401" s="1118"/>
      <c r="L401" s="1118"/>
      <c r="M401" s="1118"/>
      <c r="N401" s="1118"/>
      <c r="O401" s="1118"/>
      <c r="P401" s="1118"/>
      <c r="Q401" s="1111"/>
      <c r="R401" s="1111"/>
      <c r="S401" s="1111"/>
      <c r="T401" s="1111"/>
      <c r="U401" s="1111"/>
      <c r="V401" s="1111"/>
      <c r="W401" s="1111"/>
      <c r="X401" s="1111"/>
      <c r="Y401" s="1111"/>
      <c r="Z401" s="1111"/>
      <c r="AA401" s="1111"/>
      <c r="AB401" s="1111"/>
      <c r="AC401" s="1111"/>
      <c r="AD401" s="1111"/>
      <c r="AE401" s="1111"/>
      <c r="AF401" s="1111"/>
      <c r="AG401" s="1111"/>
    </row>
    <row r="402" spans="1:33" s="1295" customFormat="1">
      <c r="A402" s="1264"/>
      <c r="D402" s="1118"/>
      <c r="E402" s="1264"/>
      <c r="F402" s="1118"/>
      <c r="G402" s="1118"/>
      <c r="H402" s="1118"/>
      <c r="I402" s="1118"/>
      <c r="J402" s="1118"/>
      <c r="K402" s="1118"/>
      <c r="L402" s="1118"/>
      <c r="M402" s="1118"/>
      <c r="N402" s="1118"/>
      <c r="O402" s="1118"/>
      <c r="P402" s="1118"/>
      <c r="Q402" s="1111"/>
      <c r="R402" s="1111"/>
      <c r="S402" s="1111"/>
      <c r="T402" s="1111"/>
      <c r="U402" s="1111"/>
      <c r="V402" s="1111"/>
      <c r="W402" s="1111"/>
      <c r="X402" s="1111"/>
      <c r="Y402" s="1111"/>
      <c r="Z402" s="1111"/>
      <c r="AA402" s="1111"/>
      <c r="AB402" s="1111"/>
      <c r="AC402" s="1111"/>
      <c r="AD402" s="1111"/>
      <c r="AE402" s="1111"/>
      <c r="AF402" s="1111"/>
      <c r="AG402" s="1111"/>
    </row>
    <row r="403" spans="1:33" s="1295" customFormat="1">
      <c r="A403" s="1264"/>
      <c r="D403" s="1118"/>
      <c r="E403" s="1264"/>
      <c r="F403" s="1118"/>
      <c r="G403" s="1118"/>
      <c r="H403" s="1118"/>
      <c r="I403" s="1118"/>
      <c r="J403" s="1118"/>
      <c r="K403" s="1118"/>
      <c r="L403" s="1118"/>
      <c r="M403" s="1118"/>
      <c r="N403" s="1118"/>
      <c r="O403" s="1118"/>
      <c r="P403" s="1118"/>
      <c r="Q403" s="1111"/>
      <c r="R403" s="1111"/>
      <c r="S403" s="1111"/>
      <c r="T403" s="1111"/>
      <c r="U403" s="1111"/>
      <c r="V403" s="1111"/>
      <c r="W403" s="1111"/>
      <c r="X403" s="1111"/>
      <c r="Y403" s="1111"/>
      <c r="Z403" s="1111"/>
      <c r="AA403" s="1111"/>
      <c r="AB403" s="1111"/>
      <c r="AC403" s="1111"/>
      <c r="AD403" s="1111"/>
      <c r="AE403" s="1111"/>
      <c r="AF403" s="1111"/>
      <c r="AG403" s="1111"/>
    </row>
    <row r="404" spans="1:33" s="1295" customFormat="1">
      <c r="A404" s="1264"/>
      <c r="D404" s="1118"/>
      <c r="E404" s="1264"/>
      <c r="F404" s="1118"/>
      <c r="G404" s="1118"/>
      <c r="H404" s="1118"/>
      <c r="I404" s="1118"/>
      <c r="J404" s="1118"/>
      <c r="K404" s="1118"/>
      <c r="L404" s="1118"/>
      <c r="M404" s="1118"/>
      <c r="N404" s="1118"/>
      <c r="O404" s="1118"/>
      <c r="P404" s="1118"/>
      <c r="Q404" s="1111"/>
      <c r="R404" s="1111"/>
      <c r="S404" s="1111"/>
      <c r="T404" s="1111"/>
      <c r="U404" s="1111"/>
      <c r="V404" s="1111"/>
      <c r="W404" s="1111"/>
      <c r="X404" s="1111"/>
      <c r="Y404" s="1111"/>
      <c r="Z404" s="1111"/>
      <c r="AA404" s="1111"/>
      <c r="AB404" s="1111"/>
      <c r="AC404" s="1111"/>
      <c r="AD404" s="1111"/>
      <c r="AE404" s="1111"/>
      <c r="AF404" s="1111"/>
      <c r="AG404" s="1111"/>
    </row>
    <row r="405" spans="1:33" s="1295" customFormat="1">
      <c r="A405" s="1264"/>
      <c r="D405" s="1118"/>
      <c r="E405" s="1264"/>
      <c r="F405" s="1118"/>
      <c r="G405" s="1118"/>
      <c r="H405" s="1118"/>
      <c r="I405" s="1118"/>
      <c r="J405" s="1118"/>
      <c r="K405" s="1118"/>
      <c r="L405" s="1118"/>
      <c r="M405" s="1118"/>
      <c r="N405" s="1118"/>
      <c r="O405" s="1118"/>
      <c r="P405" s="1118"/>
      <c r="Q405" s="1111"/>
      <c r="R405" s="1111"/>
      <c r="S405" s="1111"/>
      <c r="T405" s="1111"/>
      <c r="U405" s="1111"/>
      <c r="V405" s="1111"/>
      <c r="W405" s="1111"/>
      <c r="X405" s="1111"/>
      <c r="Y405" s="1111"/>
      <c r="Z405" s="1111"/>
      <c r="AA405" s="1111"/>
      <c r="AB405" s="1111"/>
      <c r="AC405" s="1111"/>
      <c r="AD405" s="1111"/>
      <c r="AE405" s="1111"/>
      <c r="AF405" s="1111"/>
      <c r="AG405" s="1111"/>
    </row>
    <row r="406" spans="1:33" s="1295" customFormat="1">
      <c r="A406" s="1264"/>
      <c r="D406" s="1118"/>
      <c r="E406" s="1264"/>
      <c r="F406" s="1118"/>
      <c r="G406" s="1118"/>
      <c r="H406" s="1118"/>
      <c r="I406" s="1118"/>
      <c r="J406" s="1118"/>
      <c r="K406" s="1118"/>
      <c r="L406" s="1118"/>
      <c r="M406" s="1118"/>
      <c r="N406" s="1118"/>
      <c r="O406" s="1118"/>
      <c r="P406" s="1118"/>
      <c r="Q406" s="1111"/>
      <c r="R406" s="1111"/>
      <c r="S406" s="1111"/>
      <c r="T406" s="1111"/>
      <c r="U406" s="1111"/>
      <c r="V406" s="1111"/>
      <c r="W406" s="1111"/>
      <c r="X406" s="1111"/>
      <c r="Y406" s="1111"/>
      <c r="Z406" s="1111"/>
      <c r="AA406" s="1111"/>
      <c r="AB406" s="1111"/>
      <c r="AC406" s="1111"/>
      <c r="AD406" s="1111"/>
      <c r="AE406" s="1111"/>
      <c r="AF406" s="1111"/>
      <c r="AG406" s="1111"/>
    </row>
    <row r="407" spans="1:33" s="1295" customFormat="1">
      <c r="A407" s="1264"/>
      <c r="D407" s="1118"/>
      <c r="E407" s="1264"/>
      <c r="F407" s="1118"/>
      <c r="G407" s="1118"/>
      <c r="H407" s="1118"/>
      <c r="I407" s="1118"/>
      <c r="J407" s="1118"/>
      <c r="K407" s="1118"/>
      <c r="L407" s="1118"/>
      <c r="M407" s="1118"/>
      <c r="N407" s="1118"/>
      <c r="O407" s="1118"/>
      <c r="P407" s="1118"/>
      <c r="Q407" s="1111"/>
      <c r="R407" s="1111"/>
      <c r="S407" s="1111"/>
      <c r="T407" s="1111"/>
      <c r="U407" s="1111"/>
      <c r="V407" s="1111"/>
      <c r="W407" s="1111"/>
      <c r="X407" s="1111"/>
      <c r="Y407" s="1111"/>
      <c r="Z407" s="1111"/>
      <c r="AA407" s="1111"/>
      <c r="AB407" s="1111"/>
      <c r="AC407" s="1111"/>
      <c r="AD407" s="1111"/>
      <c r="AE407" s="1111"/>
      <c r="AF407" s="1111"/>
      <c r="AG407" s="1111"/>
    </row>
    <row r="408" spans="1:33" s="1295" customFormat="1">
      <c r="A408" s="1264"/>
      <c r="D408" s="1118"/>
      <c r="E408" s="1264"/>
      <c r="F408" s="1118"/>
      <c r="G408" s="1118"/>
      <c r="H408" s="1118"/>
      <c r="I408" s="1118"/>
      <c r="J408" s="1118"/>
      <c r="K408" s="1118"/>
      <c r="L408" s="1118"/>
      <c r="M408" s="1118"/>
      <c r="N408" s="1118"/>
      <c r="O408" s="1118"/>
      <c r="P408" s="1118"/>
      <c r="Q408" s="1111"/>
      <c r="R408" s="1111"/>
      <c r="S408" s="1111"/>
      <c r="T408" s="1111"/>
      <c r="U408" s="1111"/>
      <c r="V408" s="1111"/>
      <c r="W408" s="1111"/>
      <c r="X408" s="1111"/>
      <c r="Y408" s="1111"/>
      <c r="Z408" s="1111"/>
      <c r="AA408" s="1111"/>
      <c r="AB408" s="1111"/>
      <c r="AC408" s="1111"/>
      <c r="AD408" s="1111"/>
      <c r="AE408" s="1111"/>
      <c r="AF408" s="1111"/>
      <c r="AG408" s="1111"/>
    </row>
    <row r="409" spans="1:33" s="1295" customFormat="1">
      <c r="A409" s="1264"/>
      <c r="D409" s="1118"/>
      <c r="E409" s="1264"/>
      <c r="F409" s="1118"/>
      <c r="G409" s="1118"/>
      <c r="H409" s="1118"/>
      <c r="I409" s="1118"/>
      <c r="J409" s="1118"/>
      <c r="K409" s="1118"/>
      <c r="L409" s="1118"/>
      <c r="M409" s="1118"/>
      <c r="N409" s="1118"/>
      <c r="O409" s="1118"/>
      <c r="P409" s="1118"/>
      <c r="Q409" s="1111"/>
      <c r="R409" s="1111"/>
      <c r="S409" s="1111"/>
      <c r="T409" s="1111"/>
      <c r="U409" s="1111"/>
      <c r="V409" s="1111"/>
      <c r="W409" s="1111"/>
      <c r="X409" s="1111"/>
      <c r="Y409" s="1111"/>
      <c r="Z409" s="1111"/>
      <c r="AA409" s="1111"/>
      <c r="AB409" s="1111"/>
      <c r="AC409" s="1111"/>
      <c r="AD409" s="1111"/>
      <c r="AE409" s="1111"/>
      <c r="AF409" s="1111"/>
      <c r="AG409" s="1111"/>
    </row>
    <row r="410" spans="1:33" s="1295" customFormat="1">
      <c r="A410" s="1264"/>
      <c r="D410" s="1118"/>
      <c r="E410" s="1264"/>
      <c r="F410" s="1118"/>
      <c r="G410" s="1118"/>
      <c r="H410" s="1118"/>
      <c r="I410" s="1118"/>
      <c r="J410" s="1118"/>
      <c r="K410" s="1118"/>
      <c r="L410" s="1118"/>
      <c r="M410" s="1118"/>
      <c r="N410" s="1118"/>
      <c r="O410" s="1118"/>
      <c r="P410" s="1118"/>
      <c r="Q410" s="1111"/>
      <c r="R410" s="1111"/>
      <c r="S410" s="1111"/>
      <c r="T410" s="1111"/>
      <c r="U410" s="1111"/>
      <c r="V410" s="1111"/>
      <c r="W410" s="1111"/>
      <c r="X410" s="1111"/>
      <c r="Y410" s="1111"/>
      <c r="Z410" s="1111"/>
      <c r="AA410" s="1111"/>
      <c r="AB410" s="1111"/>
      <c r="AC410" s="1111"/>
      <c r="AD410" s="1111"/>
      <c r="AE410" s="1111"/>
      <c r="AF410" s="1111"/>
      <c r="AG410" s="1111"/>
    </row>
    <row r="411" spans="1:33" s="1295" customFormat="1">
      <c r="A411" s="1264"/>
      <c r="D411" s="1118"/>
      <c r="E411" s="1264"/>
      <c r="F411" s="1118"/>
      <c r="G411" s="1118"/>
      <c r="H411" s="1118"/>
      <c r="I411" s="1118"/>
      <c r="J411" s="1118"/>
      <c r="K411" s="1118"/>
      <c r="L411" s="1118"/>
      <c r="M411" s="1118"/>
      <c r="N411" s="1118"/>
      <c r="O411" s="1118"/>
      <c r="P411" s="1118"/>
      <c r="Q411" s="1111"/>
      <c r="R411" s="1111"/>
      <c r="S411" s="1111"/>
      <c r="T411" s="1111"/>
      <c r="U411" s="1111"/>
      <c r="V411" s="1111"/>
      <c r="W411" s="1111"/>
      <c r="X411" s="1111"/>
      <c r="Y411" s="1111"/>
      <c r="Z411" s="1111"/>
      <c r="AA411" s="1111"/>
      <c r="AB411" s="1111"/>
      <c r="AC411" s="1111"/>
      <c r="AD411" s="1111"/>
      <c r="AE411" s="1111"/>
      <c r="AF411" s="1111"/>
      <c r="AG411" s="1111"/>
    </row>
    <row r="412" spans="1:33" s="1295" customFormat="1">
      <c r="A412" s="1264"/>
      <c r="D412" s="1118"/>
      <c r="E412" s="1264"/>
      <c r="F412" s="1118"/>
      <c r="G412" s="1118"/>
      <c r="H412" s="1118"/>
      <c r="I412" s="1118"/>
      <c r="J412" s="1118"/>
      <c r="K412" s="1118"/>
      <c r="L412" s="1118"/>
      <c r="M412" s="1118"/>
      <c r="N412" s="1118"/>
      <c r="O412" s="1118"/>
      <c r="P412" s="1118"/>
      <c r="Q412" s="1111"/>
      <c r="R412" s="1111"/>
      <c r="S412" s="1111"/>
      <c r="T412" s="1111"/>
      <c r="U412" s="1111"/>
      <c r="V412" s="1111"/>
      <c r="W412" s="1111"/>
      <c r="X412" s="1111"/>
      <c r="Y412" s="1111"/>
      <c r="Z412" s="1111"/>
      <c r="AA412" s="1111"/>
      <c r="AB412" s="1111"/>
      <c r="AC412" s="1111"/>
      <c r="AD412" s="1111"/>
      <c r="AE412" s="1111"/>
      <c r="AF412" s="1111"/>
      <c r="AG412" s="1111"/>
    </row>
    <row r="413" spans="1:33" s="1295" customFormat="1">
      <c r="A413" s="1264"/>
      <c r="D413" s="1118"/>
      <c r="E413" s="1264"/>
      <c r="F413" s="1118"/>
      <c r="G413" s="1118"/>
      <c r="H413" s="1118"/>
      <c r="I413" s="1118"/>
      <c r="J413" s="1118"/>
      <c r="K413" s="1118"/>
      <c r="L413" s="1118"/>
      <c r="M413" s="1118"/>
      <c r="N413" s="1118"/>
      <c r="O413" s="1118"/>
      <c r="P413" s="1118"/>
      <c r="Q413" s="1111"/>
      <c r="R413" s="1111"/>
      <c r="S413" s="1111"/>
      <c r="T413" s="1111"/>
      <c r="U413" s="1111"/>
      <c r="V413" s="1111"/>
      <c r="W413" s="1111"/>
      <c r="X413" s="1111"/>
      <c r="Y413" s="1111"/>
      <c r="Z413" s="1111"/>
      <c r="AA413" s="1111"/>
      <c r="AB413" s="1111"/>
      <c r="AC413" s="1111"/>
      <c r="AD413" s="1111"/>
      <c r="AE413" s="1111"/>
      <c r="AF413" s="1111"/>
      <c r="AG413" s="1111"/>
    </row>
    <row r="414" spans="1:33" s="1295" customFormat="1">
      <c r="A414" s="1264"/>
      <c r="D414" s="1118"/>
      <c r="E414" s="1264"/>
      <c r="F414" s="1118"/>
      <c r="G414" s="1118"/>
      <c r="H414" s="1118"/>
      <c r="I414" s="1118"/>
      <c r="J414" s="1118"/>
      <c r="K414" s="1118"/>
      <c r="L414" s="1118"/>
      <c r="M414" s="1118"/>
      <c r="N414" s="1118"/>
      <c r="O414" s="1118"/>
      <c r="P414" s="1118"/>
      <c r="Q414" s="1111"/>
      <c r="R414" s="1111"/>
      <c r="S414" s="1111"/>
      <c r="T414" s="1111"/>
      <c r="U414" s="1111"/>
      <c r="V414" s="1111"/>
      <c r="W414" s="1111"/>
      <c r="X414" s="1111"/>
      <c r="Y414" s="1111"/>
      <c r="Z414" s="1111"/>
      <c r="AA414" s="1111"/>
      <c r="AB414" s="1111"/>
      <c r="AC414" s="1111"/>
      <c r="AD414" s="1111"/>
      <c r="AE414" s="1111"/>
      <c r="AF414" s="1111"/>
      <c r="AG414" s="1111"/>
    </row>
    <row r="415" spans="1:33" s="1295" customFormat="1">
      <c r="A415" s="1264"/>
      <c r="D415" s="1118"/>
      <c r="E415" s="1264"/>
      <c r="F415" s="1118"/>
      <c r="G415" s="1118"/>
      <c r="H415" s="1118"/>
      <c r="I415" s="1118"/>
      <c r="J415" s="1118"/>
      <c r="K415" s="1118"/>
      <c r="L415" s="1118"/>
      <c r="M415" s="1118"/>
      <c r="N415" s="1118"/>
      <c r="O415" s="1118"/>
      <c r="P415" s="1118"/>
      <c r="Q415" s="1111"/>
      <c r="R415" s="1111"/>
      <c r="S415" s="1111"/>
      <c r="T415" s="1111"/>
      <c r="U415" s="1111"/>
      <c r="V415" s="1111"/>
      <c r="W415" s="1111"/>
      <c r="X415" s="1111"/>
      <c r="Y415" s="1111"/>
      <c r="Z415" s="1111"/>
      <c r="AA415" s="1111"/>
      <c r="AB415" s="1111"/>
      <c r="AC415" s="1111"/>
      <c r="AD415" s="1111"/>
      <c r="AE415" s="1111"/>
      <c r="AF415" s="1111"/>
      <c r="AG415" s="1111"/>
    </row>
    <row r="416" spans="1:33" s="1295" customFormat="1">
      <c r="A416" s="1264"/>
      <c r="D416" s="1118"/>
      <c r="E416" s="1264"/>
      <c r="F416" s="1118"/>
      <c r="G416" s="1118"/>
      <c r="H416" s="1118"/>
      <c r="I416" s="1118"/>
      <c r="J416" s="1118"/>
      <c r="K416" s="1118"/>
      <c r="L416" s="1118"/>
      <c r="M416" s="1118"/>
      <c r="N416" s="1118"/>
      <c r="O416" s="1118"/>
      <c r="P416" s="1118"/>
      <c r="Q416" s="1111"/>
      <c r="R416" s="1111"/>
      <c r="S416" s="1111"/>
      <c r="T416" s="1111"/>
      <c r="U416" s="1111"/>
      <c r="V416" s="1111"/>
      <c r="W416" s="1111"/>
      <c r="X416" s="1111"/>
      <c r="Y416" s="1111"/>
      <c r="Z416" s="1111"/>
      <c r="AA416" s="1111"/>
      <c r="AB416" s="1111"/>
      <c r="AC416" s="1111"/>
      <c r="AD416" s="1111"/>
      <c r="AE416" s="1111"/>
      <c r="AF416" s="1111"/>
      <c r="AG416" s="1111"/>
    </row>
    <row r="417" spans="1:33" s="1295" customFormat="1">
      <c r="A417" s="1264"/>
      <c r="D417" s="1118"/>
      <c r="E417" s="1264"/>
      <c r="F417" s="1118"/>
      <c r="G417" s="1118"/>
      <c r="H417" s="1118"/>
      <c r="I417" s="1118"/>
      <c r="J417" s="1118"/>
      <c r="K417" s="1118"/>
      <c r="L417" s="1118"/>
      <c r="M417" s="1118"/>
      <c r="N417" s="1118"/>
      <c r="O417" s="1118"/>
      <c r="P417" s="1118"/>
      <c r="Q417" s="1111"/>
      <c r="R417" s="1111"/>
      <c r="S417" s="1111"/>
      <c r="T417" s="1111"/>
      <c r="U417" s="1111"/>
      <c r="V417" s="1111"/>
      <c r="W417" s="1111"/>
      <c r="X417" s="1111"/>
      <c r="Y417" s="1111"/>
      <c r="Z417" s="1111"/>
      <c r="AA417" s="1111"/>
      <c r="AB417" s="1111"/>
      <c r="AC417" s="1111"/>
      <c r="AD417" s="1111"/>
      <c r="AE417" s="1111"/>
      <c r="AF417" s="1111"/>
      <c r="AG417" s="1111"/>
    </row>
    <row r="418" spans="1:33" s="1295" customFormat="1">
      <c r="A418" s="1264"/>
      <c r="D418" s="1118"/>
      <c r="E418" s="1264"/>
      <c r="F418" s="1118"/>
      <c r="G418" s="1118"/>
      <c r="H418" s="1118"/>
      <c r="I418" s="1118"/>
      <c r="J418" s="1118"/>
      <c r="K418" s="1118"/>
      <c r="L418" s="1118"/>
      <c r="M418" s="1118"/>
      <c r="N418" s="1118"/>
      <c r="O418" s="1118"/>
      <c r="P418" s="1118"/>
      <c r="Q418" s="1111"/>
      <c r="R418" s="1111"/>
      <c r="S418" s="1111"/>
      <c r="T418" s="1111"/>
      <c r="U418" s="1111"/>
      <c r="V418" s="1111"/>
      <c r="W418" s="1111"/>
      <c r="X418" s="1111"/>
      <c r="Y418" s="1111"/>
      <c r="Z418" s="1111"/>
      <c r="AA418" s="1111"/>
      <c r="AB418" s="1111"/>
      <c r="AC418" s="1111"/>
      <c r="AD418" s="1111"/>
      <c r="AE418" s="1111"/>
      <c r="AF418" s="1111"/>
      <c r="AG418" s="1111"/>
    </row>
    <row r="419" spans="1:33" s="1295" customFormat="1">
      <c r="A419" s="1264"/>
      <c r="D419" s="1118"/>
      <c r="E419" s="1264"/>
      <c r="F419" s="1118"/>
      <c r="G419" s="1118"/>
      <c r="H419" s="1118"/>
      <c r="I419" s="1118"/>
      <c r="J419" s="1118"/>
      <c r="K419" s="1118"/>
      <c r="L419" s="1118"/>
      <c r="M419" s="1118"/>
      <c r="N419" s="1118"/>
      <c r="O419" s="1118"/>
      <c r="P419" s="1118"/>
      <c r="Q419" s="1111"/>
      <c r="R419" s="1111"/>
      <c r="S419" s="1111"/>
      <c r="T419" s="1111"/>
      <c r="U419" s="1111"/>
      <c r="V419" s="1111"/>
      <c r="W419" s="1111"/>
      <c r="X419" s="1111"/>
      <c r="Y419" s="1111"/>
      <c r="Z419" s="1111"/>
      <c r="AA419" s="1111"/>
      <c r="AB419" s="1111"/>
      <c r="AC419" s="1111"/>
      <c r="AD419" s="1111"/>
      <c r="AE419" s="1111"/>
      <c r="AF419" s="1111"/>
      <c r="AG419" s="1111"/>
    </row>
    <row r="420" spans="1:33" s="1295" customFormat="1">
      <c r="A420" s="1264"/>
      <c r="D420" s="1118"/>
      <c r="E420" s="1264"/>
      <c r="F420" s="1118"/>
      <c r="G420" s="1118"/>
      <c r="H420" s="1118"/>
      <c r="I420" s="1118"/>
      <c r="J420" s="1118"/>
      <c r="K420" s="1118"/>
      <c r="L420" s="1118"/>
      <c r="M420" s="1118"/>
      <c r="N420" s="1118"/>
      <c r="O420" s="1118"/>
      <c r="P420" s="1118"/>
      <c r="Q420" s="1111"/>
      <c r="R420" s="1111"/>
      <c r="S420" s="1111"/>
      <c r="T420" s="1111"/>
      <c r="U420" s="1111"/>
      <c r="V420" s="1111"/>
      <c r="W420" s="1111"/>
      <c r="X420" s="1111"/>
      <c r="Y420" s="1111"/>
      <c r="Z420" s="1111"/>
      <c r="AA420" s="1111"/>
      <c r="AB420" s="1111"/>
      <c r="AC420" s="1111"/>
      <c r="AD420" s="1111"/>
      <c r="AE420" s="1111"/>
      <c r="AF420" s="1111"/>
      <c r="AG420" s="1111"/>
    </row>
    <row r="421" spans="1:33" s="1295" customFormat="1">
      <c r="A421" s="1264"/>
      <c r="D421" s="1118"/>
      <c r="E421" s="1264"/>
      <c r="F421" s="1118"/>
      <c r="G421" s="1118"/>
      <c r="H421" s="1118"/>
      <c r="I421" s="1118"/>
      <c r="J421" s="1118"/>
      <c r="K421" s="1118"/>
      <c r="L421" s="1118"/>
      <c r="M421" s="1118"/>
      <c r="N421" s="1118"/>
      <c r="O421" s="1118"/>
      <c r="P421" s="1118"/>
      <c r="Q421" s="1111"/>
      <c r="R421" s="1111"/>
      <c r="S421" s="1111"/>
      <c r="T421" s="1111"/>
      <c r="U421" s="1111"/>
      <c r="V421" s="1111"/>
      <c r="W421" s="1111"/>
      <c r="X421" s="1111"/>
      <c r="Y421" s="1111"/>
      <c r="Z421" s="1111"/>
      <c r="AA421" s="1111"/>
      <c r="AB421" s="1111"/>
      <c r="AC421" s="1111"/>
      <c r="AD421" s="1111"/>
      <c r="AE421" s="1111"/>
      <c r="AF421" s="1111"/>
      <c r="AG421" s="1111"/>
    </row>
    <row r="422" spans="1:33" s="1295" customFormat="1">
      <c r="A422" s="1264"/>
      <c r="D422" s="1118"/>
      <c r="E422" s="1264"/>
      <c r="F422" s="1118"/>
      <c r="G422" s="1118"/>
      <c r="H422" s="1118"/>
      <c r="I422" s="1118"/>
      <c r="J422" s="1118"/>
      <c r="K422" s="1118"/>
      <c r="L422" s="1118"/>
      <c r="M422" s="1118"/>
      <c r="N422" s="1118"/>
      <c r="O422" s="1118"/>
      <c r="P422" s="1118"/>
      <c r="Q422" s="1111"/>
      <c r="R422" s="1111"/>
      <c r="S422" s="1111"/>
      <c r="T422" s="1111"/>
      <c r="U422" s="1111"/>
      <c r="V422" s="1111"/>
      <c r="W422" s="1111"/>
      <c r="X422" s="1111"/>
      <c r="Y422" s="1111"/>
      <c r="Z422" s="1111"/>
      <c r="AA422" s="1111"/>
      <c r="AB422" s="1111"/>
      <c r="AC422" s="1111"/>
      <c r="AD422" s="1111"/>
      <c r="AE422" s="1111"/>
      <c r="AF422" s="1111"/>
      <c r="AG422" s="1111"/>
    </row>
    <row r="423" spans="1:33" s="1295" customFormat="1">
      <c r="A423" s="1264"/>
      <c r="D423" s="1118"/>
      <c r="E423" s="1264"/>
      <c r="F423" s="1118"/>
      <c r="G423" s="1118"/>
      <c r="H423" s="1118"/>
      <c r="I423" s="1118"/>
      <c r="J423" s="1118"/>
      <c r="K423" s="1118"/>
      <c r="L423" s="1118"/>
      <c r="M423" s="1118"/>
      <c r="N423" s="1118"/>
      <c r="O423" s="1118"/>
      <c r="P423" s="1118"/>
      <c r="Q423" s="1111"/>
      <c r="R423" s="1111"/>
      <c r="S423" s="1111"/>
      <c r="T423" s="1111"/>
      <c r="U423" s="1111"/>
      <c r="V423" s="1111"/>
      <c r="W423" s="1111"/>
      <c r="X423" s="1111"/>
      <c r="Y423" s="1111"/>
      <c r="Z423" s="1111"/>
      <c r="AA423" s="1111"/>
      <c r="AB423" s="1111"/>
      <c r="AC423" s="1111"/>
      <c r="AD423" s="1111"/>
      <c r="AE423" s="1111"/>
      <c r="AF423" s="1111"/>
      <c r="AG423" s="1111"/>
    </row>
    <row r="424" spans="1:33" s="1295" customFormat="1">
      <c r="A424" s="1264"/>
      <c r="D424" s="1118"/>
      <c r="E424" s="1264"/>
      <c r="F424" s="1118"/>
      <c r="G424" s="1118"/>
      <c r="H424" s="1118"/>
      <c r="I424" s="1118"/>
      <c r="J424" s="1118"/>
      <c r="K424" s="1118"/>
      <c r="L424" s="1118"/>
      <c r="M424" s="1118"/>
      <c r="N424" s="1118"/>
      <c r="O424" s="1118"/>
      <c r="P424" s="1118"/>
      <c r="Q424" s="1111"/>
      <c r="R424" s="1111"/>
      <c r="S424" s="1111"/>
      <c r="T424" s="1111"/>
      <c r="U424" s="1111"/>
      <c r="V424" s="1111"/>
      <c r="W424" s="1111"/>
      <c r="X424" s="1111"/>
      <c r="Y424" s="1111"/>
      <c r="Z424" s="1111"/>
      <c r="AA424" s="1111"/>
      <c r="AB424" s="1111"/>
      <c r="AC424" s="1111"/>
      <c r="AD424" s="1111"/>
      <c r="AE424" s="1111"/>
      <c r="AF424" s="1111"/>
      <c r="AG424" s="1111"/>
    </row>
    <row r="425" spans="1:33" s="1295" customFormat="1">
      <c r="A425" s="1264"/>
      <c r="D425" s="1118"/>
      <c r="E425" s="1264"/>
      <c r="F425" s="1118"/>
      <c r="G425" s="1118"/>
      <c r="H425" s="1118"/>
      <c r="I425" s="1118"/>
      <c r="J425" s="1118"/>
      <c r="K425" s="1118"/>
      <c r="L425" s="1118"/>
      <c r="M425" s="1118"/>
      <c r="N425" s="1118"/>
      <c r="O425" s="1118"/>
      <c r="P425" s="1118"/>
      <c r="Q425" s="1111"/>
      <c r="R425" s="1111"/>
      <c r="S425" s="1111"/>
      <c r="T425" s="1111"/>
      <c r="U425" s="1111"/>
      <c r="V425" s="1111"/>
      <c r="W425" s="1111"/>
      <c r="X425" s="1111"/>
      <c r="Y425" s="1111"/>
      <c r="Z425" s="1111"/>
      <c r="AA425" s="1111"/>
      <c r="AB425" s="1111"/>
      <c r="AC425" s="1111"/>
      <c r="AD425" s="1111"/>
      <c r="AE425" s="1111"/>
      <c r="AF425" s="1111"/>
      <c r="AG425" s="1111"/>
    </row>
    <row r="426" spans="1:33" s="1295" customFormat="1">
      <c r="A426" s="1264"/>
      <c r="D426" s="1118"/>
      <c r="E426" s="1264"/>
      <c r="F426" s="1118"/>
      <c r="G426" s="1118"/>
      <c r="H426" s="1118"/>
      <c r="I426" s="1118"/>
      <c r="J426" s="1118"/>
      <c r="K426" s="1118"/>
      <c r="L426" s="1118"/>
      <c r="M426" s="1118"/>
      <c r="N426" s="1118"/>
      <c r="O426" s="1118"/>
      <c r="P426" s="1118"/>
      <c r="Q426" s="1111"/>
      <c r="R426" s="1111"/>
      <c r="S426" s="1111"/>
      <c r="T426" s="1111"/>
      <c r="U426" s="1111"/>
      <c r="V426" s="1111"/>
      <c r="W426" s="1111"/>
      <c r="X426" s="1111"/>
      <c r="Y426" s="1111"/>
      <c r="Z426" s="1111"/>
      <c r="AA426" s="1111"/>
      <c r="AB426" s="1111"/>
      <c r="AC426" s="1111"/>
      <c r="AD426" s="1111"/>
      <c r="AE426" s="1111"/>
      <c r="AF426" s="1111"/>
      <c r="AG426" s="1111"/>
    </row>
    <row r="427" spans="1:33" s="1295" customFormat="1">
      <c r="A427" s="1264"/>
      <c r="D427" s="1118"/>
      <c r="E427" s="1264"/>
      <c r="F427" s="1118"/>
      <c r="G427" s="1118"/>
      <c r="H427" s="1118"/>
      <c r="I427" s="1118"/>
      <c r="J427" s="1118"/>
      <c r="K427" s="1118"/>
      <c r="L427" s="1118"/>
      <c r="M427" s="1118"/>
      <c r="N427" s="1118"/>
      <c r="O427" s="1118"/>
      <c r="P427" s="1118"/>
      <c r="Q427" s="1111"/>
      <c r="R427" s="1111"/>
      <c r="S427" s="1111"/>
      <c r="T427" s="1111"/>
      <c r="U427" s="1111"/>
      <c r="V427" s="1111"/>
      <c r="W427" s="1111"/>
      <c r="X427" s="1111"/>
      <c r="Y427" s="1111"/>
      <c r="Z427" s="1111"/>
      <c r="AA427" s="1111"/>
      <c r="AB427" s="1111"/>
      <c r="AC427" s="1111"/>
      <c r="AD427" s="1111"/>
      <c r="AE427" s="1111"/>
      <c r="AF427" s="1111"/>
      <c r="AG427" s="1111"/>
    </row>
    <row r="428" spans="1:33" s="1295" customFormat="1">
      <c r="A428" s="1264"/>
      <c r="D428" s="1118"/>
      <c r="E428" s="1264"/>
      <c r="F428" s="1118"/>
      <c r="G428" s="1118"/>
      <c r="H428" s="1118"/>
      <c r="I428" s="1118"/>
      <c r="J428" s="1118"/>
      <c r="K428" s="1118"/>
      <c r="L428" s="1118"/>
      <c r="M428" s="1118"/>
      <c r="N428" s="1118"/>
      <c r="O428" s="1118"/>
      <c r="P428" s="1118"/>
      <c r="Q428" s="1111"/>
      <c r="R428" s="1111"/>
      <c r="S428" s="1111"/>
      <c r="T428" s="1111"/>
      <c r="U428" s="1111"/>
      <c r="V428" s="1111"/>
      <c r="W428" s="1111"/>
      <c r="X428" s="1111"/>
      <c r="Y428" s="1111"/>
      <c r="Z428" s="1111"/>
      <c r="AA428" s="1111"/>
      <c r="AB428" s="1111"/>
      <c r="AC428" s="1111"/>
      <c r="AD428" s="1111"/>
      <c r="AE428" s="1111"/>
      <c r="AF428" s="1111"/>
      <c r="AG428" s="1111"/>
    </row>
    <row r="429" spans="1:33" s="1295" customFormat="1">
      <c r="A429" s="1264"/>
      <c r="D429" s="1118"/>
      <c r="E429" s="1264"/>
      <c r="F429" s="1118"/>
      <c r="G429" s="1118"/>
      <c r="H429" s="1118"/>
      <c r="I429" s="1118"/>
      <c r="J429" s="1118"/>
      <c r="K429" s="1118"/>
      <c r="L429" s="1118"/>
      <c r="M429" s="1118"/>
      <c r="N429" s="1118"/>
      <c r="O429" s="1118"/>
      <c r="P429" s="1118"/>
      <c r="Q429" s="1111"/>
      <c r="R429" s="1111"/>
      <c r="S429" s="1111"/>
      <c r="T429" s="1111"/>
      <c r="U429" s="1111"/>
      <c r="V429" s="1111"/>
      <c r="W429" s="1111"/>
      <c r="X429" s="1111"/>
      <c r="Y429" s="1111"/>
      <c r="Z429" s="1111"/>
      <c r="AA429" s="1111"/>
      <c r="AB429" s="1111"/>
      <c r="AC429" s="1111"/>
      <c r="AD429" s="1111"/>
      <c r="AE429" s="1111"/>
      <c r="AF429" s="1111"/>
      <c r="AG429" s="1111"/>
    </row>
    <row r="430" spans="1:33" s="1295" customFormat="1">
      <c r="A430" s="1264"/>
      <c r="D430" s="1118"/>
      <c r="E430" s="1264"/>
      <c r="F430" s="1118"/>
      <c r="G430" s="1118"/>
      <c r="H430" s="1118"/>
      <c r="I430" s="1118"/>
      <c r="J430" s="1118"/>
      <c r="K430" s="1118"/>
      <c r="L430" s="1118"/>
      <c r="M430" s="1118"/>
      <c r="N430" s="1118"/>
      <c r="O430" s="1118"/>
      <c r="P430" s="1118"/>
      <c r="Q430" s="1111"/>
      <c r="R430" s="1111"/>
      <c r="S430" s="1111"/>
      <c r="T430" s="1111"/>
      <c r="U430" s="1111"/>
      <c r="V430" s="1111"/>
      <c r="W430" s="1111"/>
      <c r="X430" s="1111"/>
      <c r="Y430" s="1111"/>
      <c r="Z430" s="1111"/>
      <c r="AA430" s="1111"/>
      <c r="AB430" s="1111"/>
      <c r="AC430" s="1111"/>
      <c r="AD430" s="1111"/>
      <c r="AE430" s="1111"/>
      <c r="AF430" s="1111"/>
      <c r="AG430" s="1111"/>
    </row>
    <row r="431" spans="1:33" s="1295" customFormat="1">
      <c r="A431" s="1264"/>
      <c r="D431" s="1118"/>
      <c r="E431" s="1264"/>
      <c r="F431" s="1118"/>
      <c r="G431" s="1118"/>
      <c r="H431" s="1118"/>
      <c r="I431" s="1118"/>
      <c r="J431" s="1118"/>
      <c r="K431" s="1118"/>
      <c r="L431" s="1118"/>
      <c r="M431" s="1118"/>
      <c r="N431" s="1118"/>
      <c r="O431" s="1118"/>
      <c r="P431" s="1118"/>
      <c r="Q431" s="1111"/>
      <c r="R431" s="1111"/>
      <c r="S431" s="1111"/>
      <c r="T431" s="1111"/>
      <c r="U431" s="1111"/>
      <c r="V431" s="1111"/>
      <c r="W431" s="1111"/>
      <c r="X431" s="1111"/>
      <c r="Y431" s="1111"/>
      <c r="Z431" s="1111"/>
      <c r="AA431" s="1111"/>
      <c r="AB431" s="1111"/>
      <c r="AC431" s="1111"/>
      <c r="AD431" s="1111"/>
      <c r="AE431" s="1111"/>
      <c r="AF431" s="1111"/>
      <c r="AG431" s="1111"/>
    </row>
    <row r="432" spans="1:33" s="1295" customFormat="1">
      <c r="A432" s="1264"/>
      <c r="D432" s="1118"/>
      <c r="E432" s="1264"/>
      <c r="F432" s="1118"/>
      <c r="G432" s="1118"/>
      <c r="H432" s="1118"/>
      <c r="I432" s="1118"/>
      <c r="J432" s="1118"/>
      <c r="K432" s="1118"/>
      <c r="L432" s="1118"/>
      <c r="M432" s="1118"/>
      <c r="N432" s="1118"/>
      <c r="O432" s="1118"/>
      <c r="P432" s="1118"/>
      <c r="Q432" s="1111"/>
      <c r="R432" s="1111"/>
      <c r="S432" s="1111"/>
      <c r="T432" s="1111"/>
      <c r="U432" s="1111"/>
      <c r="V432" s="1111"/>
      <c r="W432" s="1111"/>
      <c r="X432" s="1111"/>
      <c r="Y432" s="1111"/>
      <c r="Z432" s="1111"/>
      <c r="AA432" s="1111"/>
      <c r="AB432" s="1111"/>
      <c r="AC432" s="1111"/>
      <c r="AD432" s="1111"/>
      <c r="AE432" s="1111"/>
      <c r="AF432" s="1111"/>
      <c r="AG432" s="1111"/>
    </row>
    <row r="433" spans="1:33" s="1295" customFormat="1">
      <c r="A433" s="1264"/>
      <c r="D433" s="1118"/>
      <c r="E433" s="1264"/>
      <c r="F433" s="1118"/>
      <c r="G433" s="1118"/>
      <c r="H433" s="1118"/>
      <c r="I433" s="1118"/>
      <c r="J433" s="1118"/>
      <c r="K433" s="1118"/>
      <c r="L433" s="1118"/>
      <c r="M433" s="1118"/>
      <c r="N433" s="1118"/>
      <c r="O433" s="1118"/>
      <c r="P433" s="1118"/>
      <c r="Q433" s="1111"/>
      <c r="R433" s="1111"/>
      <c r="S433" s="1111"/>
      <c r="T433" s="1111"/>
      <c r="U433" s="1111"/>
      <c r="V433" s="1111"/>
      <c r="W433" s="1111"/>
      <c r="X433" s="1111"/>
      <c r="Y433" s="1111"/>
      <c r="Z433" s="1111"/>
      <c r="AA433" s="1111"/>
      <c r="AB433" s="1111"/>
      <c r="AC433" s="1111"/>
      <c r="AD433" s="1111"/>
      <c r="AE433" s="1111"/>
      <c r="AF433" s="1111"/>
      <c r="AG433" s="1111"/>
    </row>
    <row r="434" spans="1:33" s="1295" customFormat="1">
      <c r="A434" s="1264"/>
      <c r="D434" s="1118"/>
      <c r="E434" s="1264"/>
      <c r="F434" s="1118"/>
      <c r="G434" s="1118"/>
      <c r="H434" s="1118"/>
      <c r="I434" s="1118"/>
      <c r="J434" s="1118"/>
      <c r="K434" s="1118"/>
      <c r="L434" s="1118"/>
      <c r="M434" s="1118"/>
      <c r="N434" s="1118"/>
      <c r="O434" s="1118"/>
      <c r="P434" s="1118"/>
      <c r="Q434" s="1111"/>
      <c r="R434" s="1111"/>
      <c r="S434" s="1111"/>
      <c r="T434" s="1111"/>
      <c r="U434" s="1111"/>
      <c r="V434" s="1111"/>
      <c r="W434" s="1111"/>
      <c r="X434" s="1111"/>
      <c r="Y434" s="1111"/>
      <c r="Z434" s="1111"/>
      <c r="AA434" s="1111"/>
      <c r="AB434" s="1111"/>
      <c r="AC434" s="1111"/>
      <c r="AD434" s="1111"/>
      <c r="AE434" s="1111"/>
      <c r="AF434" s="1111"/>
      <c r="AG434" s="1111"/>
    </row>
    <row r="435" spans="1:33" s="1295" customFormat="1">
      <c r="A435" s="1264"/>
      <c r="D435" s="1118"/>
      <c r="E435" s="1264"/>
      <c r="F435" s="1118"/>
      <c r="G435" s="1118"/>
      <c r="H435" s="1118"/>
      <c r="I435" s="1118"/>
      <c r="J435" s="1118"/>
      <c r="K435" s="1118"/>
      <c r="L435" s="1118"/>
      <c r="M435" s="1118"/>
      <c r="N435" s="1118"/>
      <c r="O435" s="1118"/>
      <c r="P435" s="1118"/>
      <c r="Q435" s="1111"/>
      <c r="R435" s="1111"/>
      <c r="S435" s="1111"/>
      <c r="T435" s="1111"/>
      <c r="U435" s="1111"/>
      <c r="V435" s="1111"/>
      <c r="W435" s="1111"/>
      <c r="X435" s="1111"/>
      <c r="Y435" s="1111"/>
      <c r="Z435" s="1111"/>
      <c r="AA435" s="1111"/>
      <c r="AB435" s="1111"/>
      <c r="AC435" s="1111"/>
      <c r="AD435" s="1111"/>
      <c r="AE435" s="1111"/>
      <c r="AF435" s="1111"/>
      <c r="AG435" s="1111"/>
    </row>
    <row r="436" spans="1:33" s="1295" customFormat="1">
      <c r="A436" s="1264"/>
      <c r="D436" s="1118"/>
      <c r="E436" s="1264"/>
      <c r="F436" s="1118"/>
      <c r="G436" s="1118"/>
      <c r="H436" s="1118"/>
      <c r="I436" s="1118"/>
      <c r="J436" s="1118"/>
      <c r="K436" s="1118"/>
      <c r="L436" s="1118"/>
      <c r="M436" s="1118"/>
      <c r="N436" s="1118"/>
      <c r="O436" s="1118"/>
      <c r="P436" s="1118"/>
      <c r="Q436" s="1111"/>
      <c r="R436" s="1111"/>
      <c r="S436" s="1111"/>
      <c r="T436" s="1111"/>
      <c r="U436" s="1111"/>
      <c r="V436" s="1111"/>
      <c r="W436" s="1111"/>
      <c r="X436" s="1111"/>
      <c r="Y436" s="1111"/>
      <c r="Z436" s="1111"/>
      <c r="AA436" s="1111"/>
      <c r="AB436" s="1111"/>
      <c r="AC436" s="1111"/>
      <c r="AD436" s="1111"/>
      <c r="AE436" s="1111"/>
      <c r="AF436" s="1111"/>
      <c r="AG436" s="1111"/>
    </row>
    <row r="437" spans="1:33" s="1295" customFormat="1">
      <c r="A437" s="1264"/>
      <c r="D437" s="1118"/>
      <c r="E437" s="1264"/>
      <c r="F437" s="1118"/>
      <c r="G437" s="1118"/>
      <c r="H437" s="1118"/>
      <c r="I437" s="1118"/>
      <c r="J437" s="1118"/>
      <c r="K437" s="1118"/>
      <c r="L437" s="1118"/>
      <c r="M437" s="1118"/>
      <c r="N437" s="1118"/>
      <c r="O437" s="1118"/>
      <c r="P437" s="1118"/>
      <c r="Q437" s="1111"/>
      <c r="R437" s="1111"/>
      <c r="S437" s="1111"/>
      <c r="T437" s="1111"/>
      <c r="U437" s="1111"/>
      <c r="V437" s="1111"/>
      <c r="W437" s="1111"/>
      <c r="X437" s="1111"/>
      <c r="Y437" s="1111"/>
      <c r="Z437" s="1111"/>
      <c r="AA437" s="1111"/>
      <c r="AB437" s="1111"/>
      <c r="AC437" s="1111"/>
      <c r="AD437" s="1111"/>
      <c r="AE437" s="1111"/>
      <c r="AF437" s="1111"/>
      <c r="AG437" s="1111"/>
    </row>
    <row r="438" spans="1:33" s="1295" customFormat="1">
      <c r="A438" s="1264"/>
      <c r="D438" s="1118"/>
      <c r="E438" s="1264"/>
      <c r="F438" s="1118"/>
      <c r="G438" s="1118"/>
      <c r="H438" s="1118"/>
      <c r="I438" s="1118"/>
      <c r="J438" s="1118"/>
      <c r="K438" s="1118"/>
      <c r="L438" s="1118"/>
      <c r="M438" s="1118"/>
      <c r="N438" s="1118"/>
      <c r="O438" s="1118"/>
      <c r="P438" s="1118"/>
      <c r="Q438" s="1111"/>
      <c r="R438" s="1111"/>
      <c r="S438" s="1111"/>
      <c r="T438" s="1111"/>
      <c r="U438" s="1111"/>
      <c r="V438" s="1111"/>
      <c r="W438" s="1111"/>
      <c r="X438" s="1111"/>
      <c r="Y438" s="1111"/>
      <c r="Z438" s="1111"/>
      <c r="AA438" s="1111"/>
      <c r="AB438" s="1111"/>
      <c r="AC438" s="1111"/>
      <c r="AD438" s="1111"/>
      <c r="AE438" s="1111"/>
      <c r="AF438" s="1111"/>
      <c r="AG438" s="1111"/>
    </row>
    <row r="439" spans="1:33" s="1295" customFormat="1">
      <c r="A439" s="1264"/>
      <c r="D439" s="1118"/>
      <c r="E439" s="1264"/>
      <c r="F439" s="1118"/>
      <c r="G439" s="1118"/>
      <c r="H439" s="1118"/>
      <c r="I439" s="1118"/>
      <c r="J439" s="1118"/>
      <c r="K439" s="1118"/>
      <c r="L439" s="1118"/>
      <c r="M439" s="1118"/>
      <c r="N439" s="1118"/>
      <c r="O439" s="1118"/>
      <c r="P439" s="1118"/>
      <c r="Q439" s="1111"/>
      <c r="R439" s="1111"/>
      <c r="S439" s="1111"/>
      <c r="T439" s="1111"/>
      <c r="U439" s="1111"/>
      <c r="V439" s="1111"/>
      <c r="W439" s="1111"/>
      <c r="X439" s="1111"/>
      <c r="Y439" s="1111"/>
      <c r="Z439" s="1111"/>
      <c r="AA439" s="1111"/>
      <c r="AB439" s="1111"/>
      <c r="AC439" s="1111"/>
      <c r="AD439" s="1111"/>
      <c r="AE439" s="1111"/>
      <c r="AF439" s="1111"/>
      <c r="AG439" s="1111"/>
    </row>
    <row r="440" spans="1:33" s="1295" customFormat="1">
      <c r="A440" s="1264"/>
      <c r="D440" s="1118"/>
      <c r="E440" s="1264"/>
      <c r="F440" s="1118"/>
      <c r="G440" s="1118"/>
      <c r="H440" s="1118"/>
      <c r="I440" s="1118"/>
      <c r="J440" s="1118"/>
      <c r="K440" s="1118"/>
      <c r="L440" s="1118"/>
      <c r="M440" s="1118"/>
      <c r="N440" s="1118"/>
      <c r="O440" s="1118"/>
      <c r="P440" s="1118"/>
      <c r="Q440" s="1111"/>
      <c r="R440" s="1111"/>
      <c r="S440" s="1111"/>
      <c r="T440" s="1111"/>
      <c r="U440" s="1111"/>
      <c r="V440" s="1111"/>
      <c r="W440" s="1111"/>
      <c r="X440" s="1111"/>
      <c r="Y440" s="1111"/>
      <c r="Z440" s="1111"/>
      <c r="AA440" s="1111"/>
      <c r="AB440" s="1111"/>
      <c r="AC440" s="1111"/>
      <c r="AD440" s="1111"/>
      <c r="AE440" s="1111"/>
      <c r="AF440" s="1111"/>
      <c r="AG440" s="1111"/>
    </row>
    <row r="441" spans="1:33" s="1295" customFormat="1">
      <c r="A441" s="1264"/>
      <c r="D441" s="1118"/>
      <c r="E441" s="1264"/>
      <c r="F441" s="1118"/>
      <c r="G441" s="1118"/>
      <c r="H441" s="1118"/>
      <c r="I441" s="1118"/>
      <c r="J441" s="1118"/>
      <c r="K441" s="1118"/>
      <c r="L441" s="1118"/>
      <c r="M441" s="1118"/>
      <c r="N441" s="1118"/>
      <c r="O441" s="1118"/>
      <c r="P441" s="1118"/>
      <c r="Q441" s="1111"/>
      <c r="R441" s="1111"/>
      <c r="S441" s="1111"/>
      <c r="T441" s="1111"/>
      <c r="U441" s="1111"/>
      <c r="V441" s="1111"/>
      <c r="W441" s="1111"/>
      <c r="X441" s="1111"/>
      <c r="Y441" s="1111"/>
      <c r="Z441" s="1111"/>
      <c r="AA441" s="1111"/>
      <c r="AB441" s="1111"/>
      <c r="AC441" s="1111"/>
      <c r="AD441" s="1111"/>
      <c r="AE441" s="1111"/>
      <c r="AF441" s="1111"/>
      <c r="AG441" s="1111"/>
    </row>
    <row r="442" spans="1:33" s="1295" customFormat="1">
      <c r="A442" s="1264"/>
      <c r="D442" s="1118"/>
      <c r="E442" s="1264"/>
      <c r="F442" s="1118"/>
      <c r="G442" s="1118"/>
      <c r="H442" s="1118"/>
      <c r="I442" s="1118"/>
      <c r="J442" s="1118"/>
      <c r="K442" s="1118"/>
      <c r="L442" s="1118"/>
      <c r="M442" s="1118"/>
      <c r="N442" s="1118"/>
      <c r="O442" s="1118"/>
      <c r="P442" s="1118"/>
      <c r="Q442" s="1111"/>
      <c r="R442" s="1111"/>
      <c r="S442" s="1111"/>
      <c r="T442" s="1111"/>
      <c r="U442" s="1111"/>
      <c r="V442" s="1111"/>
      <c r="W442" s="1111"/>
      <c r="X442" s="1111"/>
      <c r="Y442" s="1111"/>
      <c r="Z442" s="1111"/>
      <c r="AA442" s="1111"/>
      <c r="AB442" s="1111"/>
      <c r="AC442" s="1111"/>
      <c r="AD442" s="1111"/>
      <c r="AE442" s="1111"/>
      <c r="AF442" s="1111"/>
      <c r="AG442" s="1111"/>
    </row>
    <row r="443" spans="1:33" s="1295" customFormat="1">
      <c r="A443" s="1264"/>
      <c r="D443" s="1118"/>
      <c r="E443" s="1264"/>
      <c r="F443" s="1118"/>
      <c r="G443" s="1118"/>
      <c r="H443" s="1118"/>
      <c r="I443" s="1118"/>
      <c r="J443" s="1118"/>
      <c r="K443" s="1118"/>
      <c r="L443" s="1118"/>
      <c r="M443" s="1118"/>
      <c r="N443" s="1118"/>
      <c r="O443" s="1118"/>
      <c r="P443" s="1118"/>
      <c r="Q443" s="1111"/>
      <c r="R443" s="1111"/>
      <c r="S443" s="1111"/>
      <c r="T443" s="1111"/>
      <c r="U443" s="1111"/>
      <c r="V443" s="1111"/>
      <c r="W443" s="1111"/>
      <c r="X443" s="1111"/>
      <c r="Y443" s="1111"/>
      <c r="Z443" s="1111"/>
      <c r="AA443" s="1111"/>
      <c r="AB443" s="1111"/>
      <c r="AC443" s="1111"/>
      <c r="AD443" s="1111"/>
      <c r="AE443" s="1111"/>
      <c r="AF443" s="1111"/>
      <c r="AG443" s="1111"/>
    </row>
    <row r="444" spans="1:33" s="1295" customFormat="1">
      <c r="A444" s="1264"/>
      <c r="D444" s="1118"/>
      <c r="E444" s="1264"/>
      <c r="F444" s="1118"/>
      <c r="G444" s="1118"/>
      <c r="H444" s="1118"/>
      <c r="I444" s="1118"/>
      <c r="J444" s="1118"/>
      <c r="K444" s="1118"/>
      <c r="L444" s="1118"/>
      <c r="M444" s="1118"/>
      <c r="N444" s="1118"/>
      <c r="O444" s="1118"/>
      <c r="P444" s="1118"/>
      <c r="Q444" s="1111"/>
      <c r="R444" s="1111"/>
      <c r="S444" s="1111"/>
      <c r="T444" s="1111"/>
      <c r="U444" s="1111"/>
      <c r="V444" s="1111"/>
      <c r="W444" s="1111"/>
      <c r="X444" s="1111"/>
      <c r="Y444" s="1111"/>
      <c r="Z444" s="1111"/>
      <c r="AA444" s="1111"/>
      <c r="AB444" s="1111"/>
      <c r="AC444" s="1111"/>
      <c r="AD444" s="1111"/>
      <c r="AE444" s="1111"/>
      <c r="AF444" s="1111"/>
      <c r="AG444" s="1111"/>
    </row>
    <row r="445" spans="1:33" s="1295" customFormat="1">
      <c r="A445" s="1264"/>
      <c r="D445" s="1118"/>
      <c r="E445" s="1264"/>
      <c r="F445" s="1118"/>
      <c r="G445" s="1118"/>
      <c r="H445" s="1118"/>
      <c r="I445" s="1118"/>
      <c r="J445" s="1118"/>
      <c r="K445" s="1118"/>
      <c r="L445" s="1118"/>
      <c r="M445" s="1118"/>
      <c r="N445" s="1118"/>
      <c r="O445" s="1118"/>
      <c r="P445" s="1118"/>
      <c r="Q445" s="1111"/>
      <c r="R445" s="1111"/>
      <c r="S445" s="1111"/>
      <c r="T445" s="1111"/>
      <c r="U445" s="1111"/>
      <c r="V445" s="1111"/>
      <c r="W445" s="1111"/>
      <c r="X445" s="1111"/>
      <c r="Y445" s="1111"/>
      <c r="Z445" s="1111"/>
      <c r="AA445" s="1111"/>
      <c r="AB445" s="1111"/>
      <c r="AC445" s="1111"/>
      <c r="AD445" s="1111"/>
      <c r="AE445" s="1111"/>
      <c r="AF445" s="1111"/>
      <c r="AG445" s="1111"/>
    </row>
    <row r="446" spans="1:33" s="1295" customFormat="1">
      <c r="A446" s="1264"/>
      <c r="D446" s="1118"/>
      <c r="E446" s="1264"/>
      <c r="F446" s="1118"/>
      <c r="G446" s="1118"/>
      <c r="H446" s="1118"/>
      <c r="I446" s="1118"/>
      <c r="J446" s="1118"/>
      <c r="K446" s="1118"/>
      <c r="L446" s="1118"/>
      <c r="M446" s="1118"/>
      <c r="N446" s="1118"/>
      <c r="O446" s="1118"/>
      <c r="P446" s="1118"/>
      <c r="Q446" s="1111"/>
      <c r="R446" s="1111"/>
      <c r="S446" s="1111"/>
      <c r="T446" s="1111"/>
      <c r="U446" s="1111"/>
      <c r="V446" s="1111"/>
      <c r="W446" s="1111"/>
      <c r="X446" s="1111"/>
      <c r="Y446" s="1111"/>
      <c r="Z446" s="1111"/>
      <c r="AA446" s="1111"/>
      <c r="AB446" s="1111"/>
      <c r="AC446" s="1111"/>
      <c r="AD446" s="1111"/>
      <c r="AE446" s="1111"/>
      <c r="AF446" s="1111"/>
      <c r="AG446" s="1111"/>
    </row>
    <row r="447" spans="1:33" s="1295" customFormat="1">
      <c r="A447" s="1264"/>
      <c r="D447" s="1118"/>
      <c r="E447" s="1264"/>
      <c r="F447" s="1118"/>
      <c r="G447" s="1118"/>
      <c r="H447" s="1118"/>
      <c r="I447" s="1118"/>
      <c r="J447" s="1118"/>
      <c r="K447" s="1118"/>
      <c r="L447" s="1118"/>
      <c r="M447" s="1118"/>
      <c r="N447" s="1118"/>
      <c r="O447" s="1118"/>
      <c r="P447" s="1118"/>
      <c r="Q447" s="1111"/>
      <c r="R447" s="1111"/>
      <c r="S447" s="1111"/>
      <c r="T447" s="1111"/>
      <c r="U447" s="1111"/>
      <c r="V447" s="1111"/>
      <c r="W447" s="1111"/>
      <c r="X447" s="1111"/>
      <c r="Y447" s="1111"/>
      <c r="Z447" s="1111"/>
      <c r="AA447" s="1111"/>
      <c r="AB447" s="1111"/>
      <c r="AC447" s="1111"/>
      <c r="AD447" s="1111"/>
      <c r="AE447" s="1111"/>
      <c r="AF447" s="1111"/>
      <c r="AG447" s="1111"/>
    </row>
    <row r="448" spans="1:33" s="1295" customFormat="1">
      <c r="A448" s="1264"/>
      <c r="D448" s="1118"/>
      <c r="E448" s="1264"/>
      <c r="F448" s="1118"/>
      <c r="G448" s="1118"/>
      <c r="H448" s="1118"/>
      <c r="I448" s="1118"/>
      <c r="J448" s="1118"/>
      <c r="K448" s="1118"/>
      <c r="L448" s="1118"/>
      <c r="M448" s="1118"/>
      <c r="N448" s="1118"/>
      <c r="O448" s="1118"/>
      <c r="P448" s="1118"/>
      <c r="Q448" s="1111"/>
      <c r="R448" s="1111"/>
      <c r="S448" s="1111"/>
      <c r="T448" s="1111"/>
      <c r="U448" s="1111"/>
      <c r="V448" s="1111"/>
      <c r="W448" s="1111"/>
      <c r="X448" s="1111"/>
      <c r="Y448" s="1111"/>
      <c r="Z448" s="1111"/>
      <c r="AA448" s="1111"/>
      <c r="AB448" s="1111"/>
      <c r="AC448" s="1111"/>
      <c r="AD448" s="1111"/>
      <c r="AE448" s="1111"/>
      <c r="AF448" s="1111"/>
      <c r="AG448" s="1111"/>
    </row>
    <row r="449" spans="1:33" s="1295" customFormat="1">
      <c r="A449" s="1264"/>
      <c r="D449" s="1118"/>
      <c r="E449" s="1264"/>
      <c r="F449" s="1118"/>
      <c r="G449" s="1118"/>
      <c r="H449" s="1118"/>
      <c r="I449" s="1118"/>
      <c r="J449" s="1118"/>
      <c r="K449" s="1118"/>
      <c r="L449" s="1118"/>
      <c r="M449" s="1118"/>
      <c r="N449" s="1118"/>
      <c r="O449" s="1118"/>
      <c r="P449" s="1118"/>
      <c r="Q449" s="1111"/>
      <c r="R449" s="1111"/>
      <c r="S449" s="1111"/>
      <c r="T449" s="1111"/>
      <c r="U449" s="1111"/>
      <c r="V449" s="1111"/>
      <c r="W449" s="1111"/>
      <c r="X449" s="1111"/>
      <c r="Y449" s="1111"/>
      <c r="Z449" s="1111"/>
      <c r="AA449" s="1111"/>
      <c r="AB449" s="1111"/>
      <c r="AC449" s="1111"/>
      <c r="AD449" s="1111"/>
      <c r="AE449" s="1111"/>
      <c r="AF449" s="1111"/>
      <c r="AG449" s="1111"/>
    </row>
    <row r="450" spans="1:33" s="1295" customFormat="1">
      <c r="A450" s="1264"/>
      <c r="D450" s="1118"/>
      <c r="E450" s="1264"/>
      <c r="F450" s="1118"/>
      <c r="G450" s="1118"/>
      <c r="H450" s="1118"/>
      <c r="I450" s="1118"/>
      <c r="J450" s="1118"/>
      <c r="K450" s="1118"/>
      <c r="L450" s="1118"/>
      <c r="M450" s="1118"/>
      <c r="N450" s="1118"/>
      <c r="O450" s="1118"/>
      <c r="P450" s="1118"/>
      <c r="Q450" s="1111"/>
      <c r="R450" s="1111"/>
      <c r="S450" s="1111"/>
      <c r="T450" s="1111"/>
      <c r="U450" s="1111"/>
      <c r="V450" s="1111"/>
      <c r="W450" s="1111"/>
      <c r="X450" s="1111"/>
      <c r="Y450" s="1111"/>
      <c r="Z450" s="1111"/>
      <c r="AA450" s="1111"/>
      <c r="AB450" s="1111"/>
      <c r="AC450" s="1111"/>
      <c r="AD450" s="1111"/>
      <c r="AE450" s="1111"/>
      <c r="AF450" s="1111"/>
      <c r="AG450" s="1111"/>
    </row>
    <row r="451" spans="1:33" s="1295" customFormat="1">
      <c r="A451" s="1264"/>
      <c r="D451" s="1118"/>
      <c r="E451" s="1264"/>
      <c r="F451" s="1118"/>
      <c r="G451" s="1118"/>
      <c r="H451" s="1118"/>
      <c r="I451" s="1118"/>
      <c r="J451" s="1118"/>
      <c r="K451" s="1118"/>
      <c r="L451" s="1118"/>
      <c r="M451" s="1118"/>
      <c r="N451" s="1118"/>
      <c r="O451" s="1118"/>
      <c r="P451" s="1118"/>
      <c r="Q451" s="1111"/>
      <c r="R451" s="1111"/>
      <c r="S451" s="1111"/>
      <c r="T451" s="1111"/>
      <c r="U451" s="1111"/>
      <c r="V451" s="1111"/>
      <c r="W451" s="1111"/>
      <c r="X451" s="1111"/>
      <c r="Y451" s="1111"/>
      <c r="Z451" s="1111"/>
      <c r="AA451" s="1111"/>
      <c r="AB451" s="1111"/>
      <c r="AC451" s="1111"/>
      <c r="AD451" s="1111"/>
      <c r="AE451" s="1111"/>
      <c r="AF451" s="1111"/>
      <c r="AG451" s="1111"/>
    </row>
    <row r="452" spans="1:33" s="1295" customFormat="1">
      <c r="A452" s="1264"/>
      <c r="D452" s="1118"/>
      <c r="E452" s="1264"/>
      <c r="F452" s="1118"/>
      <c r="G452" s="1118"/>
      <c r="H452" s="1118"/>
      <c r="I452" s="1118"/>
      <c r="J452" s="1118"/>
      <c r="K452" s="1118"/>
      <c r="L452" s="1118"/>
      <c r="M452" s="1118"/>
      <c r="N452" s="1118"/>
      <c r="O452" s="1118"/>
      <c r="P452" s="1118"/>
      <c r="Q452" s="1111"/>
      <c r="R452" s="1111"/>
      <c r="S452" s="1111"/>
      <c r="T452" s="1111"/>
      <c r="U452" s="1111"/>
      <c r="V452" s="1111"/>
      <c r="W452" s="1111"/>
      <c r="X452" s="1111"/>
      <c r="Y452" s="1111"/>
      <c r="Z452" s="1111"/>
      <c r="AA452" s="1111"/>
      <c r="AB452" s="1111"/>
      <c r="AC452" s="1111"/>
      <c r="AD452" s="1111"/>
      <c r="AE452" s="1111"/>
      <c r="AF452" s="1111"/>
      <c r="AG452" s="1111"/>
    </row>
    <row r="453" spans="1:33" s="1295" customFormat="1">
      <c r="A453" s="1264"/>
      <c r="D453" s="1118"/>
      <c r="E453" s="1264"/>
      <c r="F453" s="1118"/>
      <c r="G453" s="1118"/>
      <c r="H453" s="1118"/>
      <c r="I453" s="1118"/>
      <c r="J453" s="1118"/>
      <c r="K453" s="1118"/>
      <c r="L453" s="1118"/>
      <c r="M453" s="1118"/>
      <c r="N453" s="1118"/>
      <c r="O453" s="1118"/>
      <c r="P453" s="1118"/>
      <c r="Q453" s="1111"/>
      <c r="R453" s="1111"/>
      <c r="S453" s="1111"/>
      <c r="T453" s="1111"/>
      <c r="U453" s="1111"/>
      <c r="V453" s="1111"/>
      <c r="W453" s="1111"/>
      <c r="X453" s="1111"/>
      <c r="Y453" s="1111"/>
      <c r="Z453" s="1111"/>
      <c r="AA453" s="1111"/>
      <c r="AB453" s="1111"/>
      <c r="AC453" s="1111"/>
      <c r="AD453" s="1111"/>
      <c r="AE453" s="1111"/>
      <c r="AF453" s="1111"/>
      <c r="AG453" s="1111"/>
    </row>
    <row r="454" spans="1:33" s="1295" customFormat="1">
      <c r="A454" s="1264"/>
      <c r="D454" s="1118"/>
      <c r="E454" s="1264"/>
      <c r="F454" s="1118"/>
      <c r="G454" s="1118"/>
      <c r="H454" s="1118"/>
      <c r="I454" s="1118"/>
      <c r="J454" s="1118"/>
      <c r="K454" s="1118"/>
      <c r="L454" s="1118"/>
      <c r="M454" s="1118"/>
      <c r="N454" s="1118"/>
      <c r="O454" s="1118"/>
      <c r="P454" s="1118"/>
      <c r="Q454" s="1111"/>
      <c r="R454" s="1111"/>
      <c r="S454" s="1111"/>
      <c r="T454" s="1111"/>
      <c r="U454" s="1111"/>
      <c r="V454" s="1111"/>
      <c r="W454" s="1111"/>
      <c r="X454" s="1111"/>
      <c r="Y454" s="1111"/>
      <c r="Z454" s="1111"/>
      <c r="AA454" s="1111"/>
      <c r="AB454" s="1111"/>
      <c r="AC454" s="1111"/>
      <c r="AD454" s="1111"/>
      <c r="AE454" s="1111"/>
      <c r="AF454" s="1111"/>
      <c r="AG454" s="1111"/>
    </row>
    <row r="455" spans="1:33" s="1295" customFormat="1">
      <c r="A455" s="1264"/>
      <c r="D455" s="1118"/>
      <c r="E455" s="1264"/>
      <c r="F455" s="1118"/>
      <c r="G455" s="1118"/>
      <c r="H455" s="1118"/>
      <c r="I455" s="1118"/>
      <c r="J455" s="1118"/>
      <c r="K455" s="1118"/>
      <c r="L455" s="1118"/>
      <c r="M455" s="1118"/>
      <c r="N455" s="1118"/>
      <c r="O455" s="1118"/>
      <c r="P455" s="1118"/>
      <c r="Q455" s="1111"/>
      <c r="R455" s="1111"/>
      <c r="S455" s="1111"/>
      <c r="T455" s="1111"/>
      <c r="U455" s="1111"/>
      <c r="V455" s="1111"/>
      <c r="W455" s="1111"/>
      <c r="X455" s="1111"/>
      <c r="Y455" s="1111"/>
      <c r="Z455" s="1111"/>
      <c r="AA455" s="1111"/>
      <c r="AB455" s="1111"/>
      <c r="AC455" s="1111"/>
      <c r="AD455" s="1111"/>
      <c r="AE455" s="1111"/>
      <c r="AF455" s="1111"/>
      <c r="AG455" s="1111"/>
    </row>
    <row r="456" spans="1:33" s="1295" customFormat="1">
      <c r="A456" s="1264"/>
      <c r="D456" s="1118"/>
      <c r="E456" s="1264"/>
      <c r="F456" s="1118"/>
      <c r="G456" s="1118"/>
      <c r="H456" s="1118"/>
      <c r="I456" s="1118"/>
      <c r="J456" s="1118"/>
      <c r="K456" s="1118"/>
      <c r="L456" s="1118"/>
      <c r="M456" s="1118"/>
      <c r="N456" s="1118"/>
      <c r="O456" s="1118"/>
      <c r="P456" s="1118"/>
      <c r="Q456" s="1111"/>
      <c r="R456" s="1111"/>
      <c r="S456" s="1111"/>
      <c r="T456" s="1111"/>
      <c r="U456" s="1111"/>
      <c r="V456" s="1111"/>
      <c r="W456" s="1111"/>
      <c r="X456" s="1111"/>
      <c r="Y456" s="1111"/>
      <c r="Z456" s="1111"/>
      <c r="AA456" s="1111"/>
      <c r="AB456" s="1111"/>
      <c r="AC456" s="1111"/>
      <c r="AD456" s="1111"/>
      <c r="AE456" s="1111"/>
      <c r="AF456" s="1111"/>
      <c r="AG456" s="1111"/>
    </row>
    <row r="457" spans="1:33" s="1295" customFormat="1">
      <c r="A457" s="1264"/>
      <c r="D457" s="1118"/>
      <c r="E457" s="1264"/>
      <c r="F457" s="1118"/>
      <c r="G457" s="1118"/>
      <c r="H457" s="1118"/>
      <c r="I457" s="1118"/>
      <c r="J457" s="1118"/>
      <c r="K457" s="1118"/>
      <c r="L457" s="1118"/>
      <c r="M457" s="1118"/>
      <c r="N457" s="1118"/>
      <c r="O457" s="1118"/>
      <c r="P457" s="1118"/>
      <c r="Q457" s="1111"/>
      <c r="R457" s="1111"/>
      <c r="S457" s="1111"/>
      <c r="T457" s="1111"/>
      <c r="U457" s="1111"/>
      <c r="V457" s="1111"/>
      <c r="W457" s="1111"/>
      <c r="X457" s="1111"/>
      <c r="Y457" s="1111"/>
      <c r="Z457" s="1111"/>
      <c r="AA457" s="1111"/>
      <c r="AB457" s="1111"/>
      <c r="AC457" s="1111"/>
      <c r="AD457" s="1111"/>
      <c r="AE457" s="1111"/>
      <c r="AF457" s="1111"/>
      <c r="AG457" s="1111"/>
    </row>
    <row r="458" spans="1:33" s="1295" customFormat="1">
      <c r="A458" s="1264"/>
      <c r="D458" s="1118"/>
      <c r="E458" s="1264"/>
      <c r="F458" s="1118"/>
      <c r="G458" s="1118"/>
      <c r="H458" s="1118"/>
      <c r="I458" s="1118"/>
      <c r="J458" s="1118"/>
      <c r="K458" s="1118"/>
      <c r="L458" s="1118"/>
      <c r="M458" s="1118"/>
      <c r="N458" s="1118"/>
      <c r="O458" s="1118"/>
      <c r="P458" s="1118"/>
      <c r="Q458" s="1111"/>
      <c r="R458" s="1111"/>
      <c r="S458" s="1111"/>
      <c r="T458" s="1111"/>
      <c r="U458" s="1111"/>
      <c r="V458" s="1111"/>
      <c r="W458" s="1111"/>
      <c r="X458" s="1111"/>
      <c r="Y458" s="1111"/>
      <c r="Z458" s="1111"/>
      <c r="AA458" s="1111"/>
      <c r="AB458" s="1111"/>
      <c r="AC458" s="1111"/>
      <c r="AD458" s="1111"/>
      <c r="AE458" s="1111"/>
      <c r="AF458" s="1111"/>
      <c r="AG458" s="1111"/>
    </row>
    <row r="459" spans="1:33" s="1295" customFormat="1">
      <c r="A459" s="1264"/>
      <c r="D459" s="1118"/>
      <c r="E459" s="1264"/>
      <c r="F459" s="1118"/>
      <c r="G459" s="1118"/>
      <c r="H459" s="1118"/>
      <c r="I459" s="1118"/>
      <c r="J459" s="1118"/>
      <c r="K459" s="1118"/>
      <c r="L459" s="1118"/>
      <c r="M459" s="1118"/>
      <c r="N459" s="1118"/>
      <c r="O459" s="1118"/>
      <c r="P459" s="1118"/>
      <c r="Q459" s="1111"/>
      <c r="R459" s="1111"/>
      <c r="S459" s="1111"/>
      <c r="T459" s="1111"/>
      <c r="U459" s="1111"/>
      <c r="V459" s="1111"/>
      <c r="W459" s="1111"/>
      <c r="X459" s="1111"/>
      <c r="Y459" s="1111"/>
      <c r="Z459" s="1111"/>
      <c r="AA459" s="1111"/>
      <c r="AB459" s="1111"/>
      <c r="AC459" s="1111"/>
      <c r="AD459" s="1111"/>
      <c r="AE459" s="1111"/>
      <c r="AF459" s="1111"/>
      <c r="AG459" s="1111"/>
    </row>
    <row r="460" spans="1:33" s="1295" customFormat="1">
      <c r="A460" s="1264"/>
      <c r="D460" s="1118"/>
      <c r="E460" s="1264"/>
      <c r="F460" s="1118"/>
      <c r="G460" s="1118"/>
      <c r="H460" s="1118"/>
      <c r="I460" s="1118"/>
      <c r="J460" s="1118"/>
      <c r="K460" s="1118"/>
      <c r="L460" s="1118"/>
      <c r="M460" s="1118"/>
      <c r="N460" s="1118"/>
      <c r="O460" s="1118"/>
      <c r="P460" s="1118"/>
      <c r="Q460" s="1111"/>
      <c r="R460" s="1111"/>
      <c r="S460" s="1111"/>
      <c r="T460" s="1111"/>
      <c r="U460" s="1111"/>
      <c r="V460" s="1111"/>
      <c r="W460" s="1111"/>
      <c r="X460" s="1111"/>
      <c r="Y460" s="1111"/>
      <c r="Z460" s="1111"/>
      <c r="AA460" s="1111"/>
      <c r="AB460" s="1111"/>
      <c r="AC460" s="1111"/>
      <c r="AD460" s="1111"/>
      <c r="AE460" s="1111"/>
      <c r="AF460" s="1111"/>
      <c r="AG460" s="1111"/>
    </row>
    <row r="461" spans="1:33" s="1295" customFormat="1">
      <c r="A461" s="1264"/>
      <c r="D461" s="1118"/>
      <c r="E461" s="1264"/>
      <c r="F461" s="1118"/>
      <c r="G461" s="1118"/>
      <c r="H461" s="1118"/>
      <c r="I461" s="1118"/>
      <c r="J461" s="1118"/>
      <c r="K461" s="1118"/>
      <c r="L461" s="1118"/>
      <c r="M461" s="1118"/>
      <c r="N461" s="1118"/>
      <c r="O461" s="1118"/>
      <c r="P461" s="1118"/>
      <c r="Q461" s="1111"/>
      <c r="R461" s="1111"/>
      <c r="S461" s="1111"/>
      <c r="T461" s="1111"/>
      <c r="U461" s="1111"/>
      <c r="V461" s="1111"/>
      <c r="W461" s="1111"/>
      <c r="X461" s="1111"/>
      <c r="Y461" s="1111"/>
      <c r="Z461" s="1111"/>
      <c r="AA461" s="1111"/>
      <c r="AB461" s="1111"/>
      <c r="AC461" s="1111"/>
      <c r="AD461" s="1111"/>
      <c r="AE461" s="1111"/>
      <c r="AF461" s="1111"/>
      <c r="AG461" s="1111"/>
    </row>
    <row r="462" spans="1:33" s="1295" customFormat="1">
      <c r="A462" s="1264"/>
      <c r="D462" s="1118"/>
      <c r="E462" s="1264"/>
      <c r="F462" s="1118"/>
      <c r="G462" s="1118"/>
      <c r="H462" s="1118"/>
      <c r="I462" s="1118"/>
      <c r="J462" s="1118"/>
      <c r="K462" s="1118"/>
      <c r="L462" s="1118"/>
      <c r="M462" s="1118"/>
      <c r="N462" s="1118"/>
      <c r="O462" s="1118"/>
      <c r="P462" s="1118"/>
      <c r="Q462" s="1111"/>
      <c r="R462" s="1111"/>
      <c r="S462" s="1111"/>
      <c r="T462" s="1111"/>
      <c r="U462" s="1111"/>
      <c r="V462" s="1111"/>
      <c r="W462" s="1111"/>
      <c r="X462" s="1111"/>
      <c r="Y462" s="1111"/>
      <c r="Z462" s="1111"/>
      <c r="AA462" s="1111"/>
      <c r="AB462" s="1111"/>
      <c r="AC462" s="1111"/>
      <c r="AD462" s="1111"/>
      <c r="AE462" s="1111"/>
      <c r="AF462" s="1111"/>
      <c r="AG462" s="1111"/>
    </row>
    <row r="463" spans="1:33" s="1295" customFormat="1">
      <c r="A463" s="1264"/>
      <c r="D463" s="1118"/>
      <c r="E463" s="1264"/>
      <c r="F463" s="1118"/>
      <c r="G463" s="1118"/>
      <c r="H463" s="1118"/>
      <c r="I463" s="1118"/>
      <c r="J463" s="1118"/>
      <c r="K463" s="1118"/>
      <c r="L463" s="1118"/>
      <c r="M463" s="1118"/>
      <c r="N463" s="1118"/>
      <c r="O463" s="1118"/>
      <c r="P463" s="1118"/>
      <c r="Q463" s="1111"/>
      <c r="R463" s="1111"/>
      <c r="S463" s="1111"/>
      <c r="T463" s="1111"/>
      <c r="U463" s="1111"/>
      <c r="V463" s="1111"/>
      <c r="W463" s="1111"/>
      <c r="X463" s="1111"/>
      <c r="Y463" s="1111"/>
      <c r="Z463" s="1111"/>
      <c r="AA463" s="1111"/>
      <c r="AB463" s="1111"/>
      <c r="AC463" s="1111"/>
      <c r="AD463" s="1111"/>
      <c r="AE463" s="1111"/>
      <c r="AF463" s="1111"/>
      <c r="AG463" s="1111"/>
    </row>
    <row r="464" spans="1:33" s="1295" customFormat="1">
      <c r="A464" s="1264"/>
      <c r="D464" s="1118"/>
      <c r="E464" s="1264"/>
      <c r="F464" s="1118"/>
      <c r="G464" s="1118"/>
      <c r="H464" s="1118"/>
      <c r="I464" s="1118"/>
      <c r="J464" s="1118"/>
      <c r="K464" s="1118"/>
      <c r="L464" s="1118"/>
      <c r="M464" s="1118"/>
      <c r="N464" s="1118"/>
      <c r="O464" s="1118"/>
      <c r="P464" s="1118"/>
      <c r="Q464" s="1111"/>
      <c r="R464" s="1111"/>
      <c r="S464" s="1111"/>
      <c r="T464" s="1111"/>
      <c r="U464" s="1111"/>
      <c r="V464" s="1111"/>
      <c r="W464" s="1111"/>
      <c r="X464" s="1111"/>
      <c r="Y464" s="1111"/>
      <c r="Z464" s="1111"/>
      <c r="AA464" s="1111"/>
      <c r="AB464" s="1111"/>
      <c r="AC464" s="1111"/>
      <c r="AD464" s="1111"/>
      <c r="AE464" s="1111"/>
      <c r="AF464" s="1111"/>
      <c r="AG464" s="1111"/>
    </row>
    <row r="465" spans="1:33" s="1295" customFormat="1">
      <c r="A465" s="1264"/>
      <c r="D465" s="1118"/>
      <c r="E465" s="1264"/>
      <c r="F465" s="1118"/>
      <c r="G465" s="1118"/>
      <c r="H465" s="1118"/>
      <c r="I465" s="1118"/>
      <c r="J465" s="1118"/>
      <c r="K465" s="1118"/>
      <c r="L465" s="1118"/>
      <c r="M465" s="1118"/>
      <c r="N465" s="1118"/>
      <c r="O465" s="1118"/>
      <c r="P465" s="1118"/>
      <c r="Q465" s="1111"/>
      <c r="R465" s="1111"/>
      <c r="S465" s="1111"/>
      <c r="T465" s="1111"/>
      <c r="U465" s="1111"/>
      <c r="V465" s="1111"/>
      <c r="W465" s="1111"/>
      <c r="X465" s="1111"/>
      <c r="Y465" s="1111"/>
      <c r="Z465" s="1111"/>
      <c r="AA465" s="1111"/>
      <c r="AB465" s="1111"/>
      <c r="AC465" s="1111"/>
      <c r="AD465" s="1111"/>
      <c r="AE465" s="1111"/>
      <c r="AF465" s="1111"/>
      <c r="AG465" s="1111"/>
    </row>
    <row r="466" spans="1:33" s="1295" customFormat="1">
      <c r="A466" s="1264"/>
      <c r="D466" s="1118"/>
      <c r="E466" s="1264"/>
      <c r="F466" s="1118"/>
      <c r="G466" s="1118"/>
      <c r="H466" s="1118"/>
      <c r="I466" s="1118"/>
      <c r="J466" s="1118"/>
      <c r="K466" s="1118"/>
      <c r="L466" s="1118"/>
      <c r="M466" s="1118"/>
      <c r="N466" s="1118"/>
      <c r="O466" s="1118"/>
      <c r="P466" s="1118"/>
      <c r="Q466" s="1111"/>
      <c r="R466" s="1111"/>
      <c r="S466" s="1111"/>
      <c r="T466" s="1111"/>
      <c r="U466" s="1111"/>
      <c r="V466" s="1111"/>
      <c r="W466" s="1111"/>
      <c r="X466" s="1111"/>
      <c r="Y466" s="1111"/>
      <c r="Z466" s="1111"/>
      <c r="AA466" s="1111"/>
      <c r="AB466" s="1111"/>
      <c r="AC466" s="1111"/>
      <c r="AD466" s="1111"/>
      <c r="AE466" s="1111"/>
      <c r="AF466" s="1111"/>
      <c r="AG466" s="1111"/>
    </row>
    <row r="467" spans="1:33" s="1295" customFormat="1">
      <c r="A467" s="1264"/>
      <c r="D467" s="1118"/>
      <c r="E467" s="1264"/>
      <c r="F467" s="1118"/>
      <c r="G467" s="1118"/>
      <c r="H467" s="1118"/>
      <c r="I467" s="1118"/>
      <c r="J467" s="1118"/>
      <c r="K467" s="1118"/>
      <c r="L467" s="1118"/>
      <c r="M467" s="1118"/>
      <c r="N467" s="1118"/>
      <c r="O467" s="1118"/>
      <c r="P467" s="1118"/>
      <c r="Q467" s="1111"/>
      <c r="R467" s="1111"/>
      <c r="S467" s="1111"/>
      <c r="T467" s="1111"/>
      <c r="U467" s="1111"/>
      <c r="V467" s="1111"/>
      <c r="W467" s="1111"/>
      <c r="X467" s="1111"/>
      <c r="Y467" s="1111"/>
      <c r="Z467" s="1111"/>
      <c r="AA467" s="1111"/>
      <c r="AB467" s="1111"/>
      <c r="AC467" s="1111"/>
      <c r="AD467" s="1111"/>
      <c r="AE467" s="1111"/>
      <c r="AF467" s="1111"/>
      <c r="AG467" s="1111"/>
    </row>
    <row r="468" spans="1:33" s="1295" customFormat="1">
      <c r="A468" s="1264"/>
      <c r="D468" s="1118"/>
      <c r="E468" s="1264"/>
      <c r="F468" s="1118"/>
      <c r="G468" s="1118"/>
      <c r="H468" s="1118"/>
      <c r="I468" s="1118"/>
      <c r="J468" s="1118"/>
      <c r="K468" s="1118"/>
      <c r="L468" s="1118"/>
      <c r="M468" s="1118"/>
      <c r="N468" s="1118"/>
      <c r="O468" s="1118"/>
      <c r="P468" s="1118"/>
      <c r="Q468" s="1111"/>
      <c r="R468" s="1111"/>
      <c r="S468" s="1111"/>
      <c r="T468" s="1111"/>
      <c r="U468" s="1111"/>
      <c r="V468" s="1111"/>
      <c r="W468" s="1111"/>
      <c r="X468" s="1111"/>
      <c r="Y468" s="1111"/>
      <c r="Z468" s="1111"/>
      <c r="AA468" s="1111"/>
      <c r="AB468" s="1111"/>
      <c r="AC468" s="1111"/>
      <c r="AD468" s="1111"/>
      <c r="AE468" s="1111"/>
      <c r="AF468" s="1111"/>
      <c r="AG468" s="1111"/>
    </row>
    <row r="469" spans="1:33" s="1295" customFormat="1">
      <c r="A469" s="1264"/>
      <c r="D469" s="1118"/>
      <c r="E469" s="1264"/>
      <c r="F469" s="1118"/>
      <c r="G469" s="1118"/>
      <c r="H469" s="1118"/>
      <c r="I469" s="1118"/>
      <c r="J469" s="1118"/>
      <c r="K469" s="1118"/>
      <c r="L469" s="1118"/>
      <c r="M469" s="1118"/>
      <c r="N469" s="1118"/>
      <c r="O469" s="1118"/>
      <c r="P469" s="1118"/>
      <c r="Q469" s="1111"/>
      <c r="R469" s="1111"/>
      <c r="S469" s="1111"/>
      <c r="T469" s="1111"/>
      <c r="U469" s="1111"/>
      <c r="V469" s="1111"/>
      <c r="W469" s="1111"/>
      <c r="X469" s="1111"/>
      <c r="Y469" s="1111"/>
      <c r="Z469" s="1111"/>
      <c r="AA469" s="1111"/>
      <c r="AB469" s="1111"/>
      <c r="AC469" s="1111"/>
      <c r="AD469" s="1111"/>
      <c r="AE469" s="1111"/>
      <c r="AF469" s="1111"/>
      <c r="AG469" s="1111"/>
    </row>
    <row r="470" spans="1:33" s="1295" customFormat="1">
      <c r="A470" s="1264"/>
      <c r="D470" s="1118"/>
      <c r="E470" s="1264"/>
      <c r="F470" s="1118"/>
      <c r="G470" s="1118"/>
      <c r="H470" s="1118"/>
      <c r="I470" s="1118"/>
      <c r="J470" s="1118"/>
      <c r="K470" s="1118"/>
      <c r="L470" s="1118"/>
      <c r="M470" s="1118"/>
      <c r="N470" s="1118"/>
      <c r="O470" s="1118"/>
      <c r="P470" s="1118"/>
      <c r="Q470" s="1111"/>
      <c r="R470" s="1111"/>
      <c r="S470" s="1111"/>
      <c r="T470" s="1111"/>
      <c r="U470" s="1111"/>
      <c r="V470" s="1111"/>
      <c r="W470" s="1111"/>
      <c r="X470" s="1111"/>
      <c r="Y470" s="1111"/>
      <c r="Z470" s="1111"/>
      <c r="AA470" s="1111"/>
      <c r="AB470" s="1111"/>
      <c r="AC470" s="1111"/>
      <c r="AD470" s="1111"/>
      <c r="AE470" s="1111"/>
      <c r="AF470" s="1111"/>
      <c r="AG470" s="1111"/>
    </row>
    <row r="471" spans="1:33" s="1295" customFormat="1">
      <c r="A471" s="1264"/>
      <c r="D471" s="1118"/>
      <c r="E471" s="1264"/>
      <c r="F471" s="1118"/>
      <c r="G471" s="1118"/>
      <c r="H471" s="1118"/>
      <c r="I471" s="1118"/>
      <c r="J471" s="1118"/>
      <c r="K471" s="1118"/>
      <c r="L471" s="1118"/>
      <c r="M471" s="1118"/>
      <c r="N471" s="1118"/>
      <c r="O471" s="1118"/>
      <c r="P471" s="1118"/>
      <c r="Q471" s="1111"/>
      <c r="R471" s="1111"/>
      <c r="S471" s="1111"/>
      <c r="T471" s="1111"/>
      <c r="U471" s="1111"/>
      <c r="V471" s="1111"/>
      <c r="W471" s="1111"/>
      <c r="X471" s="1111"/>
      <c r="Y471" s="1111"/>
      <c r="Z471" s="1111"/>
      <c r="AA471" s="1111"/>
      <c r="AB471" s="1111"/>
      <c r="AC471" s="1111"/>
      <c r="AD471" s="1111"/>
      <c r="AE471" s="1111"/>
      <c r="AF471" s="1111"/>
      <c r="AG471" s="1111"/>
    </row>
    <row r="472" spans="1:33" s="1295" customFormat="1">
      <c r="A472" s="1264"/>
      <c r="D472" s="1118"/>
      <c r="E472" s="1264"/>
      <c r="F472" s="1118"/>
      <c r="G472" s="1118"/>
      <c r="H472" s="1118"/>
      <c r="I472" s="1118"/>
      <c r="J472" s="1118"/>
      <c r="K472" s="1118"/>
      <c r="L472" s="1118"/>
      <c r="M472" s="1118"/>
      <c r="N472" s="1118"/>
      <c r="O472" s="1118"/>
      <c r="P472" s="1118"/>
      <c r="Q472" s="1111"/>
      <c r="R472" s="1111"/>
      <c r="S472" s="1111"/>
      <c r="T472" s="1111"/>
      <c r="U472" s="1111"/>
      <c r="V472" s="1111"/>
      <c r="W472" s="1111"/>
      <c r="X472" s="1111"/>
      <c r="Y472" s="1111"/>
      <c r="Z472" s="1111"/>
      <c r="AA472" s="1111"/>
      <c r="AB472" s="1111"/>
      <c r="AC472" s="1111"/>
      <c r="AD472" s="1111"/>
      <c r="AE472" s="1111"/>
      <c r="AF472" s="1111"/>
      <c r="AG472" s="1111"/>
    </row>
    <row r="473" spans="1:33" s="1295" customFormat="1">
      <c r="A473" s="1264"/>
      <c r="D473" s="1118"/>
      <c r="E473" s="1264"/>
      <c r="F473" s="1118"/>
      <c r="G473" s="1118"/>
      <c r="H473" s="1118"/>
      <c r="I473" s="1118"/>
      <c r="J473" s="1118"/>
      <c r="K473" s="1118"/>
      <c r="L473" s="1118"/>
      <c r="M473" s="1118"/>
      <c r="N473" s="1118"/>
      <c r="O473" s="1118"/>
      <c r="P473" s="1118"/>
      <c r="Q473" s="1111"/>
      <c r="R473" s="1111"/>
      <c r="S473" s="1111"/>
      <c r="T473" s="1111"/>
      <c r="U473" s="1111"/>
      <c r="V473" s="1111"/>
      <c r="W473" s="1111"/>
      <c r="X473" s="1111"/>
      <c r="Y473" s="1111"/>
      <c r="Z473" s="1111"/>
      <c r="AA473" s="1111"/>
      <c r="AB473" s="1111"/>
      <c r="AC473" s="1111"/>
      <c r="AD473" s="1111"/>
      <c r="AE473" s="1111"/>
      <c r="AF473" s="1111"/>
      <c r="AG473" s="1111"/>
    </row>
    <row r="474" spans="1:33" s="1295" customFormat="1">
      <c r="A474" s="1264"/>
      <c r="D474" s="1118"/>
      <c r="E474" s="1264"/>
      <c r="F474" s="1118"/>
      <c r="G474" s="1118"/>
      <c r="H474" s="1118"/>
      <c r="I474" s="1118"/>
      <c r="J474" s="1118"/>
      <c r="K474" s="1118"/>
      <c r="L474" s="1118"/>
      <c r="M474" s="1118"/>
      <c r="N474" s="1118"/>
      <c r="O474" s="1118"/>
      <c r="P474" s="1118"/>
      <c r="Q474" s="1111"/>
      <c r="R474" s="1111"/>
      <c r="S474" s="1111"/>
      <c r="T474" s="1111"/>
      <c r="U474" s="1111"/>
      <c r="V474" s="1111"/>
      <c r="W474" s="1111"/>
      <c r="X474" s="1111"/>
      <c r="Y474" s="1111"/>
      <c r="Z474" s="1111"/>
      <c r="AA474" s="1111"/>
      <c r="AB474" s="1111"/>
      <c r="AC474" s="1111"/>
      <c r="AD474" s="1111"/>
      <c r="AE474" s="1111"/>
      <c r="AF474" s="1111"/>
      <c r="AG474" s="1111"/>
    </row>
    <row r="475" spans="1:33" s="1295" customFormat="1">
      <c r="A475" s="1264"/>
      <c r="D475" s="1118"/>
      <c r="E475" s="1264"/>
      <c r="F475" s="1118"/>
      <c r="G475" s="1118"/>
      <c r="H475" s="1118"/>
      <c r="I475" s="1118"/>
      <c r="J475" s="1118"/>
      <c r="K475" s="1118"/>
      <c r="L475" s="1118"/>
      <c r="M475" s="1118"/>
      <c r="N475" s="1118"/>
      <c r="O475" s="1118"/>
      <c r="P475" s="1118"/>
      <c r="Q475" s="1111"/>
      <c r="R475" s="1111"/>
      <c r="S475" s="1111"/>
      <c r="T475" s="1111"/>
      <c r="U475" s="1111"/>
      <c r="V475" s="1111"/>
      <c r="W475" s="1111"/>
      <c r="X475" s="1111"/>
      <c r="Y475" s="1111"/>
      <c r="Z475" s="1111"/>
      <c r="AA475" s="1111"/>
      <c r="AB475" s="1111"/>
      <c r="AC475" s="1111"/>
      <c r="AD475" s="1111"/>
      <c r="AE475" s="1111"/>
      <c r="AF475" s="1111"/>
      <c r="AG475" s="1111"/>
    </row>
    <row r="476" spans="1:33" s="1295" customFormat="1">
      <c r="A476" s="1264"/>
      <c r="D476" s="1118"/>
      <c r="E476" s="1264"/>
      <c r="F476" s="1118"/>
      <c r="G476" s="1118"/>
      <c r="H476" s="1118"/>
      <c r="I476" s="1118"/>
      <c r="J476" s="1118"/>
      <c r="K476" s="1118"/>
      <c r="L476" s="1118"/>
      <c r="M476" s="1118"/>
      <c r="N476" s="1118"/>
      <c r="O476" s="1118"/>
      <c r="P476" s="1118"/>
      <c r="Q476" s="1111"/>
      <c r="R476" s="1111"/>
      <c r="S476" s="1111"/>
      <c r="T476" s="1111"/>
      <c r="U476" s="1111"/>
      <c r="V476" s="1111"/>
      <c r="W476" s="1111"/>
      <c r="X476" s="1111"/>
      <c r="Y476" s="1111"/>
      <c r="Z476" s="1111"/>
      <c r="AA476" s="1111"/>
      <c r="AB476" s="1111"/>
      <c r="AC476" s="1111"/>
      <c r="AD476" s="1111"/>
      <c r="AE476" s="1111"/>
      <c r="AF476" s="1111"/>
      <c r="AG476" s="1111"/>
    </row>
    <row r="477" spans="1:33" s="1295" customFormat="1">
      <c r="A477" s="1264"/>
      <c r="D477" s="1118"/>
      <c r="E477" s="1264"/>
      <c r="F477" s="1118"/>
      <c r="G477" s="1118"/>
      <c r="H477" s="1118"/>
      <c r="I477" s="1118"/>
      <c r="J477" s="1118"/>
      <c r="K477" s="1118"/>
      <c r="L477" s="1118"/>
      <c r="M477" s="1118"/>
      <c r="N477" s="1118"/>
      <c r="O477" s="1118"/>
      <c r="P477" s="1118"/>
      <c r="Q477" s="1111"/>
      <c r="R477" s="1111"/>
      <c r="S477" s="1111"/>
      <c r="T477" s="1111"/>
      <c r="U477" s="1111"/>
      <c r="V477" s="1111"/>
      <c r="W477" s="1111"/>
      <c r="X477" s="1111"/>
      <c r="Y477" s="1111"/>
      <c r="Z477" s="1111"/>
      <c r="AA477" s="1111"/>
      <c r="AB477" s="1111"/>
      <c r="AC477" s="1111"/>
      <c r="AD477" s="1111"/>
      <c r="AE477" s="1111"/>
      <c r="AF477" s="1111"/>
      <c r="AG477" s="1111"/>
    </row>
    <row r="478" spans="1:33" s="1295" customFormat="1">
      <c r="A478" s="1264"/>
      <c r="D478" s="1118"/>
      <c r="E478" s="1264"/>
      <c r="F478" s="1118"/>
      <c r="G478" s="1118"/>
      <c r="H478" s="1118"/>
      <c r="I478" s="1118"/>
      <c r="J478" s="1118"/>
      <c r="K478" s="1118"/>
      <c r="L478" s="1118"/>
      <c r="M478" s="1118"/>
      <c r="N478" s="1118"/>
      <c r="O478" s="1118"/>
      <c r="P478" s="1118"/>
      <c r="Q478" s="1111"/>
      <c r="R478" s="1111"/>
      <c r="S478" s="1111"/>
      <c r="T478" s="1111"/>
      <c r="U478" s="1111"/>
      <c r="V478" s="1111"/>
      <c r="W478" s="1111"/>
      <c r="X478" s="1111"/>
      <c r="Y478" s="1111"/>
      <c r="Z478" s="1111"/>
      <c r="AA478" s="1111"/>
      <c r="AB478" s="1111"/>
      <c r="AC478" s="1111"/>
      <c r="AD478" s="1111"/>
      <c r="AE478" s="1111"/>
      <c r="AF478" s="1111"/>
      <c r="AG478" s="1111"/>
    </row>
    <row r="479" spans="1:33" s="1295" customFormat="1">
      <c r="A479" s="1264"/>
      <c r="D479" s="1118"/>
      <c r="E479" s="1264"/>
      <c r="F479" s="1118"/>
      <c r="G479" s="1118"/>
      <c r="H479" s="1118"/>
      <c r="I479" s="1118"/>
      <c r="J479" s="1118"/>
      <c r="K479" s="1118"/>
      <c r="L479" s="1118"/>
      <c r="M479" s="1118"/>
      <c r="N479" s="1118"/>
      <c r="O479" s="1118"/>
      <c r="P479" s="1118"/>
      <c r="Q479" s="1111"/>
      <c r="R479" s="1111"/>
      <c r="S479" s="1111"/>
      <c r="T479" s="1111"/>
      <c r="U479" s="1111"/>
      <c r="V479" s="1111"/>
      <c r="W479" s="1111"/>
      <c r="X479" s="1111"/>
      <c r="Y479" s="1111"/>
      <c r="Z479" s="1111"/>
      <c r="AA479" s="1111"/>
      <c r="AB479" s="1111"/>
      <c r="AC479" s="1111"/>
      <c r="AD479" s="1111"/>
      <c r="AE479" s="1111"/>
      <c r="AF479" s="1111"/>
      <c r="AG479" s="1111"/>
    </row>
    <row r="480" spans="1:33" s="1295" customFormat="1">
      <c r="A480" s="1264"/>
      <c r="D480" s="1118"/>
      <c r="E480" s="1264"/>
      <c r="F480" s="1118"/>
      <c r="G480" s="1118"/>
      <c r="H480" s="1118"/>
      <c r="I480" s="1118"/>
      <c r="J480" s="1118"/>
      <c r="K480" s="1118"/>
      <c r="L480" s="1118"/>
      <c r="M480" s="1118"/>
      <c r="N480" s="1118"/>
      <c r="O480" s="1118"/>
      <c r="P480" s="1118"/>
      <c r="Q480" s="1111"/>
      <c r="R480" s="1111"/>
      <c r="S480" s="1111"/>
      <c r="T480" s="1111"/>
      <c r="U480" s="1111"/>
      <c r="V480" s="1111"/>
      <c r="W480" s="1111"/>
      <c r="X480" s="1111"/>
      <c r="Y480" s="1111"/>
      <c r="Z480" s="1111"/>
      <c r="AA480" s="1111"/>
      <c r="AB480" s="1111"/>
      <c r="AC480" s="1111"/>
      <c r="AD480" s="1111"/>
      <c r="AE480" s="1111"/>
      <c r="AF480" s="1111"/>
      <c r="AG480" s="1111"/>
    </row>
    <row r="481" spans="1:33" s="1295" customFormat="1">
      <c r="A481" s="1264"/>
      <c r="D481" s="1118"/>
      <c r="E481" s="1264"/>
      <c r="F481" s="1118"/>
      <c r="G481" s="1118"/>
      <c r="H481" s="1118"/>
      <c r="I481" s="1118"/>
      <c r="J481" s="1118"/>
      <c r="K481" s="1118"/>
      <c r="L481" s="1118"/>
      <c r="M481" s="1118"/>
      <c r="N481" s="1118"/>
      <c r="O481" s="1118"/>
      <c r="P481" s="1118"/>
      <c r="Q481" s="1111"/>
      <c r="R481" s="1111"/>
      <c r="S481" s="1111"/>
      <c r="T481" s="1111"/>
      <c r="U481" s="1111"/>
      <c r="V481" s="1111"/>
      <c r="W481" s="1111"/>
      <c r="X481" s="1111"/>
      <c r="Y481" s="1111"/>
      <c r="Z481" s="1111"/>
      <c r="AA481" s="1111"/>
      <c r="AB481" s="1111"/>
      <c r="AC481" s="1111"/>
      <c r="AD481" s="1111"/>
      <c r="AE481" s="1111"/>
      <c r="AF481" s="1111"/>
      <c r="AG481" s="1111"/>
    </row>
    <row r="482" spans="1:33" s="1295" customFormat="1">
      <c r="A482" s="1264"/>
      <c r="D482" s="1118"/>
      <c r="E482" s="1264"/>
      <c r="F482" s="1118"/>
      <c r="G482" s="1118"/>
      <c r="H482" s="1118"/>
      <c r="I482" s="1118"/>
      <c r="J482" s="1118"/>
      <c r="K482" s="1118"/>
      <c r="L482" s="1118"/>
      <c r="M482" s="1118"/>
      <c r="N482" s="1118"/>
      <c r="O482" s="1118"/>
      <c r="P482" s="1118"/>
      <c r="Q482" s="1111"/>
      <c r="R482" s="1111"/>
      <c r="S482" s="1111"/>
      <c r="T482" s="1111"/>
      <c r="U482" s="1111"/>
      <c r="V482" s="1111"/>
      <c r="W482" s="1111"/>
      <c r="X482" s="1111"/>
      <c r="Y482" s="1111"/>
      <c r="Z482" s="1111"/>
      <c r="AA482" s="1111"/>
      <c r="AB482" s="1111"/>
      <c r="AC482" s="1111"/>
      <c r="AD482" s="1111"/>
      <c r="AE482" s="1111"/>
      <c r="AF482" s="1111"/>
      <c r="AG482" s="1111"/>
    </row>
    <row r="483" spans="1:33" s="1295" customFormat="1">
      <c r="A483" s="1264"/>
      <c r="D483" s="1118"/>
      <c r="E483" s="1264"/>
      <c r="F483" s="1118"/>
      <c r="G483" s="1118"/>
      <c r="H483" s="1118"/>
      <c r="I483" s="1118"/>
      <c r="J483" s="1118"/>
      <c r="K483" s="1118"/>
      <c r="L483" s="1118"/>
      <c r="M483" s="1118"/>
      <c r="N483" s="1118"/>
      <c r="O483" s="1118"/>
      <c r="P483" s="1118"/>
      <c r="Q483" s="1111"/>
      <c r="R483" s="1111"/>
      <c r="S483" s="1111"/>
      <c r="T483" s="1111"/>
      <c r="U483" s="1111"/>
      <c r="V483" s="1111"/>
      <c r="W483" s="1111"/>
      <c r="X483" s="1111"/>
      <c r="Y483" s="1111"/>
      <c r="Z483" s="1111"/>
      <c r="AA483" s="1111"/>
      <c r="AB483" s="1111"/>
      <c r="AC483" s="1111"/>
      <c r="AD483" s="1111"/>
      <c r="AE483" s="1111"/>
      <c r="AF483" s="1111"/>
      <c r="AG483" s="1111"/>
    </row>
    <row r="484" spans="1:33" s="1295" customFormat="1">
      <c r="A484" s="1264"/>
      <c r="D484" s="1118"/>
      <c r="E484" s="1264"/>
      <c r="F484" s="1118"/>
      <c r="G484" s="1118"/>
      <c r="H484" s="1118"/>
      <c r="I484" s="1118"/>
      <c r="J484" s="1118"/>
      <c r="K484" s="1118"/>
      <c r="L484" s="1118"/>
      <c r="M484" s="1118"/>
      <c r="N484" s="1118"/>
      <c r="O484" s="1118"/>
      <c r="P484" s="1118"/>
      <c r="Q484" s="1111"/>
      <c r="R484" s="1111"/>
      <c r="S484" s="1111"/>
      <c r="T484" s="1111"/>
      <c r="U484" s="1111"/>
      <c r="V484" s="1111"/>
      <c r="W484" s="1111"/>
      <c r="X484" s="1111"/>
      <c r="Y484" s="1111"/>
      <c r="Z484" s="1111"/>
      <c r="AA484" s="1111"/>
      <c r="AB484" s="1111"/>
      <c r="AC484" s="1111"/>
      <c r="AD484" s="1111"/>
      <c r="AE484" s="1111"/>
      <c r="AF484" s="1111"/>
      <c r="AG484" s="1111"/>
    </row>
    <row r="485" spans="1:33" s="1295" customFormat="1">
      <c r="A485" s="1264"/>
      <c r="D485" s="1118"/>
      <c r="E485" s="1264"/>
      <c r="F485" s="1118"/>
      <c r="G485" s="1118"/>
      <c r="H485" s="1118"/>
      <c r="I485" s="1118"/>
      <c r="J485" s="1118"/>
      <c r="K485" s="1118"/>
      <c r="L485" s="1118"/>
      <c r="M485" s="1118"/>
      <c r="N485" s="1118"/>
      <c r="O485" s="1118"/>
      <c r="P485" s="1118"/>
      <c r="Q485" s="1111"/>
      <c r="R485" s="1111"/>
      <c r="S485" s="1111"/>
      <c r="T485" s="1111"/>
      <c r="U485" s="1111"/>
      <c r="V485" s="1111"/>
      <c r="W485" s="1111"/>
      <c r="X485" s="1111"/>
      <c r="Y485" s="1111"/>
      <c r="Z485" s="1111"/>
      <c r="AA485" s="1111"/>
      <c r="AB485" s="1111"/>
      <c r="AC485" s="1111"/>
      <c r="AD485" s="1111"/>
      <c r="AE485" s="1111"/>
      <c r="AF485" s="1111"/>
      <c r="AG485" s="1111"/>
    </row>
    <row r="486" spans="1:33" s="1295" customFormat="1">
      <c r="A486" s="1264"/>
      <c r="D486" s="1118"/>
      <c r="E486" s="1264"/>
      <c r="F486" s="1118"/>
      <c r="G486" s="1118"/>
      <c r="H486" s="1118"/>
      <c r="I486" s="1118"/>
      <c r="J486" s="1118"/>
      <c r="K486" s="1118"/>
      <c r="L486" s="1118"/>
      <c r="M486" s="1118"/>
      <c r="N486" s="1118"/>
      <c r="O486" s="1118"/>
      <c r="P486" s="1118"/>
      <c r="Q486" s="1111"/>
      <c r="R486" s="1111"/>
      <c r="S486" s="1111"/>
      <c r="T486" s="1111"/>
      <c r="U486" s="1111"/>
      <c r="V486" s="1111"/>
      <c r="W486" s="1111"/>
      <c r="X486" s="1111"/>
      <c r="Y486" s="1111"/>
      <c r="Z486" s="1111"/>
      <c r="AA486" s="1111"/>
      <c r="AB486" s="1111"/>
      <c r="AC486" s="1111"/>
      <c r="AD486" s="1111"/>
      <c r="AE486" s="1111"/>
      <c r="AF486" s="1111"/>
      <c r="AG486" s="1111"/>
    </row>
    <row r="487" spans="1:33" s="1295" customFormat="1">
      <c r="A487" s="1264"/>
      <c r="D487" s="1118"/>
      <c r="E487" s="1264"/>
      <c r="F487" s="1118"/>
      <c r="G487" s="1118"/>
      <c r="H487" s="1118"/>
      <c r="I487" s="1118"/>
      <c r="J487" s="1118"/>
      <c r="K487" s="1118"/>
      <c r="L487" s="1118"/>
      <c r="M487" s="1118"/>
      <c r="N487" s="1118"/>
      <c r="O487" s="1118"/>
      <c r="P487" s="1118"/>
      <c r="Q487" s="1111"/>
      <c r="R487" s="1111"/>
      <c r="S487" s="1111"/>
      <c r="T487" s="1111"/>
      <c r="U487" s="1111"/>
      <c r="V487" s="1111"/>
      <c r="W487" s="1111"/>
      <c r="X487" s="1111"/>
      <c r="Y487" s="1111"/>
      <c r="Z487" s="1111"/>
      <c r="AA487" s="1111"/>
      <c r="AB487" s="1111"/>
      <c r="AC487" s="1111"/>
      <c r="AD487" s="1111"/>
      <c r="AE487" s="1111"/>
      <c r="AF487" s="1111"/>
      <c r="AG487" s="1111"/>
    </row>
    <row r="488" spans="1:33" s="1295" customFormat="1">
      <c r="A488" s="1264"/>
      <c r="D488" s="1118"/>
      <c r="E488" s="1264"/>
      <c r="F488" s="1118"/>
      <c r="G488" s="1118"/>
      <c r="H488" s="1118"/>
      <c r="I488" s="1118"/>
      <c r="J488" s="1118"/>
      <c r="K488" s="1118"/>
      <c r="L488" s="1118"/>
      <c r="M488" s="1118"/>
      <c r="N488" s="1118"/>
      <c r="O488" s="1118"/>
      <c r="P488" s="1118"/>
      <c r="Q488" s="1111"/>
      <c r="R488" s="1111"/>
      <c r="S488" s="1111"/>
      <c r="T488" s="1111"/>
      <c r="U488" s="1111"/>
      <c r="V488" s="1111"/>
      <c r="W488" s="1111"/>
      <c r="X488" s="1111"/>
      <c r="Y488" s="1111"/>
      <c r="Z488" s="1111"/>
      <c r="AA488" s="1111"/>
      <c r="AB488" s="1111"/>
      <c r="AC488" s="1111"/>
      <c r="AD488" s="1111"/>
      <c r="AE488" s="1111"/>
      <c r="AF488" s="1111"/>
      <c r="AG488" s="1111"/>
    </row>
    <row r="489" spans="1:33" s="1295" customFormat="1">
      <c r="A489" s="1264"/>
      <c r="D489" s="1118"/>
      <c r="E489" s="1264"/>
      <c r="F489" s="1118"/>
      <c r="G489" s="1118"/>
      <c r="H489" s="1118"/>
      <c r="I489" s="1118"/>
      <c r="J489" s="1118"/>
      <c r="K489" s="1118"/>
      <c r="L489" s="1118"/>
      <c r="M489" s="1118"/>
      <c r="N489" s="1118"/>
      <c r="O489" s="1118"/>
      <c r="P489" s="1118"/>
      <c r="Q489" s="1111"/>
      <c r="R489" s="1111"/>
      <c r="S489" s="1111"/>
      <c r="T489" s="1111"/>
      <c r="U489" s="1111"/>
      <c r="V489" s="1111"/>
      <c r="W489" s="1111"/>
      <c r="X489" s="1111"/>
      <c r="Y489" s="1111"/>
      <c r="Z489" s="1111"/>
      <c r="AA489" s="1111"/>
      <c r="AB489" s="1111"/>
      <c r="AC489" s="1111"/>
      <c r="AD489" s="1111"/>
      <c r="AE489" s="1111"/>
      <c r="AF489" s="1111"/>
      <c r="AG489" s="1111"/>
    </row>
    <row r="490" spans="1:33" s="1295" customFormat="1">
      <c r="A490" s="1264"/>
      <c r="D490" s="1118"/>
      <c r="E490" s="1264"/>
      <c r="F490" s="1118"/>
      <c r="G490" s="1118"/>
      <c r="H490" s="1118"/>
      <c r="I490" s="1118"/>
      <c r="J490" s="1118"/>
      <c r="K490" s="1118"/>
      <c r="L490" s="1118"/>
      <c r="M490" s="1118"/>
      <c r="N490" s="1118"/>
      <c r="O490" s="1118"/>
      <c r="P490" s="1118"/>
      <c r="Q490" s="1111"/>
      <c r="R490" s="1111"/>
      <c r="S490" s="1111"/>
      <c r="T490" s="1111"/>
      <c r="U490" s="1111"/>
      <c r="V490" s="1111"/>
      <c r="W490" s="1111"/>
      <c r="X490" s="1111"/>
      <c r="Y490" s="1111"/>
      <c r="Z490" s="1111"/>
      <c r="AA490" s="1111"/>
      <c r="AB490" s="1111"/>
      <c r="AC490" s="1111"/>
      <c r="AD490" s="1111"/>
      <c r="AE490" s="1111"/>
      <c r="AF490" s="1111"/>
      <c r="AG490" s="1111"/>
    </row>
    <row r="491" spans="1:33" s="1295" customFormat="1">
      <c r="A491" s="1264"/>
      <c r="D491" s="1118"/>
      <c r="E491" s="1264"/>
      <c r="F491" s="1118"/>
      <c r="G491" s="1118"/>
      <c r="H491" s="1118"/>
      <c r="I491" s="1118"/>
      <c r="J491" s="1118"/>
      <c r="K491" s="1118"/>
      <c r="L491" s="1118"/>
      <c r="M491" s="1118"/>
      <c r="N491" s="1118"/>
      <c r="O491" s="1118"/>
      <c r="P491" s="1118"/>
      <c r="Q491" s="1111"/>
      <c r="R491" s="1111"/>
      <c r="S491" s="1111"/>
      <c r="T491" s="1111"/>
      <c r="U491" s="1111"/>
      <c r="V491" s="1111"/>
      <c r="W491" s="1111"/>
      <c r="X491" s="1111"/>
      <c r="Y491" s="1111"/>
      <c r="Z491" s="1111"/>
      <c r="AA491" s="1111"/>
      <c r="AB491" s="1111"/>
      <c r="AC491" s="1111"/>
      <c r="AD491" s="1111"/>
      <c r="AE491" s="1111"/>
      <c r="AF491" s="1111"/>
      <c r="AG491" s="1111"/>
    </row>
    <row r="492" spans="1:33" s="1295" customFormat="1">
      <c r="A492" s="1264"/>
      <c r="D492" s="1118"/>
      <c r="E492" s="1264"/>
      <c r="F492" s="1118"/>
      <c r="G492" s="1118"/>
      <c r="H492" s="1118"/>
      <c r="I492" s="1118"/>
      <c r="J492" s="1118"/>
      <c r="K492" s="1118"/>
      <c r="L492" s="1118"/>
      <c r="M492" s="1118"/>
      <c r="N492" s="1118"/>
      <c r="O492" s="1118"/>
      <c r="P492" s="1118"/>
      <c r="Q492" s="1111"/>
      <c r="R492" s="1111"/>
      <c r="S492" s="1111"/>
      <c r="T492" s="1111"/>
      <c r="U492" s="1111"/>
      <c r="V492" s="1111"/>
      <c r="W492" s="1111"/>
      <c r="X492" s="1111"/>
      <c r="Y492" s="1111"/>
      <c r="Z492" s="1111"/>
      <c r="AA492" s="1111"/>
      <c r="AB492" s="1111"/>
      <c r="AC492" s="1111"/>
      <c r="AD492" s="1111"/>
      <c r="AE492" s="1111"/>
      <c r="AF492" s="1111"/>
      <c r="AG492" s="1111"/>
    </row>
    <row r="493" spans="1:33" s="1295" customFormat="1">
      <c r="A493" s="1264"/>
      <c r="D493" s="1118"/>
      <c r="E493" s="1264"/>
      <c r="F493" s="1118"/>
      <c r="G493" s="1118"/>
      <c r="H493" s="1118"/>
      <c r="I493" s="1118"/>
      <c r="J493" s="1118"/>
      <c r="K493" s="1118"/>
      <c r="L493" s="1118"/>
      <c r="M493" s="1118"/>
      <c r="N493" s="1118"/>
      <c r="O493" s="1118"/>
      <c r="P493" s="1118"/>
      <c r="Q493" s="1111"/>
      <c r="R493" s="1111"/>
      <c r="S493" s="1111"/>
      <c r="T493" s="1111"/>
      <c r="U493" s="1111"/>
      <c r="V493" s="1111"/>
      <c r="W493" s="1111"/>
      <c r="X493" s="1111"/>
      <c r="Y493" s="1111"/>
      <c r="Z493" s="1111"/>
      <c r="AA493" s="1111"/>
      <c r="AB493" s="1111"/>
      <c r="AC493" s="1111"/>
      <c r="AD493" s="1111"/>
      <c r="AE493" s="1111"/>
      <c r="AF493" s="1111"/>
      <c r="AG493" s="1111"/>
    </row>
    <row r="494" spans="1:33" s="1295" customFormat="1">
      <c r="A494" s="1264"/>
      <c r="D494" s="1118"/>
      <c r="E494" s="1264"/>
      <c r="F494" s="1118"/>
      <c r="G494" s="1118"/>
      <c r="H494" s="1118"/>
      <c r="I494" s="1118"/>
      <c r="J494" s="1118"/>
      <c r="K494" s="1118"/>
      <c r="L494" s="1118"/>
      <c r="M494" s="1118"/>
      <c r="N494" s="1118"/>
      <c r="O494" s="1118"/>
      <c r="P494" s="1118"/>
      <c r="Q494" s="1111"/>
      <c r="R494" s="1111"/>
      <c r="S494" s="1111"/>
      <c r="T494" s="1111"/>
      <c r="U494" s="1111"/>
      <c r="V494" s="1111"/>
      <c r="W494" s="1111"/>
      <c r="X494" s="1111"/>
      <c r="Y494" s="1111"/>
      <c r="Z494" s="1111"/>
      <c r="AA494" s="1111"/>
      <c r="AB494" s="1111"/>
      <c r="AC494" s="1111"/>
      <c r="AD494" s="1111"/>
      <c r="AE494" s="1111"/>
      <c r="AF494" s="1111"/>
      <c r="AG494" s="1111"/>
    </row>
    <row r="495" spans="1:33" s="1295" customFormat="1">
      <c r="A495" s="1264"/>
      <c r="D495" s="1118"/>
      <c r="E495" s="1264"/>
      <c r="F495" s="1118"/>
      <c r="G495" s="1118"/>
      <c r="H495" s="1118"/>
      <c r="I495" s="1118"/>
      <c r="J495" s="1118"/>
      <c r="K495" s="1118"/>
      <c r="L495" s="1118"/>
      <c r="M495" s="1118"/>
      <c r="N495" s="1118"/>
      <c r="O495" s="1118"/>
      <c r="P495" s="1118"/>
      <c r="Q495" s="1111"/>
      <c r="R495" s="1111"/>
      <c r="S495" s="1111"/>
      <c r="T495" s="1111"/>
      <c r="U495" s="1111"/>
      <c r="V495" s="1111"/>
      <c r="W495" s="1111"/>
      <c r="X495" s="1111"/>
      <c r="Y495" s="1111"/>
      <c r="Z495" s="1111"/>
      <c r="AA495" s="1111"/>
      <c r="AB495" s="1111"/>
      <c r="AC495" s="1111"/>
      <c r="AD495" s="1111"/>
      <c r="AE495" s="1111"/>
      <c r="AF495" s="1111"/>
      <c r="AG495" s="1111"/>
    </row>
    <row r="496" spans="1:33" s="1295" customFormat="1">
      <c r="A496" s="1264"/>
      <c r="D496" s="1118"/>
      <c r="E496" s="1264"/>
      <c r="F496" s="1118"/>
      <c r="G496" s="1118"/>
      <c r="H496" s="1118"/>
      <c r="I496" s="1118"/>
      <c r="J496" s="1118"/>
      <c r="K496" s="1118"/>
      <c r="L496" s="1118"/>
      <c r="M496" s="1118"/>
      <c r="N496" s="1118"/>
      <c r="O496" s="1118"/>
      <c r="P496" s="1118"/>
      <c r="Q496" s="1111"/>
      <c r="R496" s="1111"/>
      <c r="S496" s="1111"/>
      <c r="T496" s="1111"/>
      <c r="U496" s="1111"/>
      <c r="V496" s="1111"/>
      <c r="W496" s="1111"/>
      <c r="X496" s="1111"/>
      <c r="Y496" s="1111"/>
      <c r="Z496" s="1111"/>
      <c r="AA496" s="1111"/>
      <c r="AB496" s="1111"/>
      <c r="AC496" s="1111"/>
      <c r="AD496" s="1111"/>
      <c r="AE496" s="1111"/>
      <c r="AF496" s="1111"/>
      <c r="AG496" s="1111"/>
    </row>
    <row r="497" spans="1:33" s="1295" customFormat="1">
      <c r="A497" s="1264"/>
      <c r="D497" s="1118"/>
      <c r="E497" s="1264"/>
      <c r="F497" s="1118"/>
      <c r="G497" s="1118"/>
      <c r="H497" s="1118"/>
      <c r="I497" s="1118"/>
      <c r="J497" s="1118"/>
      <c r="K497" s="1118"/>
      <c r="L497" s="1118"/>
      <c r="M497" s="1118"/>
      <c r="N497" s="1118"/>
      <c r="O497" s="1118"/>
      <c r="P497" s="1118"/>
      <c r="Q497" s="1111"/>
      <c r="R497" s="1111"/>
      <c r="S497" s="1111"/>
      <c r="T497" s="1111"/>
      <c r="U497" s="1111"/>
      <c r="V497" s="1111"/>
      <c r="W497" s="1111"/>
      <c r="X497" s="1111"/>
      <c r="Y497" s="1111"/>
      <c r="Z497" s="1111"/>
      <c r="AA497" s="1111"/>
      <c r="AB497" s="1111"/>
      <c r="AC497" s="1111"/>
      <c r="AD497" s="1111"/>
      <c r="AE497" s="1111"/>
      <c r="AF497" s="1111"/>
      <c r="AG497" s="1111"/>
    </row>
    <row r="498" spans="1:33" s="1295" customFormat="1">
      <c r="A498" s="1264"/>
      <c r="D498" s="1118"/>
      <c r="E498" s="1264"/>
      <c r="F498" s="1118"/>
      <c r="G498" s="1118"/>
      <c r="H498" s="1118"/>
      <c r="I498" s="1118"/>
      <c r="J498" s="1118"/>
      <c r="K498" s="1118"/>
      <c r="L498" s="1118"/>
      <c r="M498" s="1118"/>
      <c r="N498" s="1118"/>
      <c r="O498" s="1118"/>
      <c r="P498" s="1118"/>
      <c r="Q498" s="1111"/>
      <c r="R498" s="1111"/>
      <c r="S498" s="1111"/>
      <c r="T498" s="1111"/>
      <c r="U498" s="1111"/>
      <c r="V498" s="1111"/>
      <c r="W498" s="1111"/>
      <c r="X498" s="1111"/>
      <c r="Y498" s="1111"/>
      <c r="Z498" s="1111"/>
      <c r="AA498" s="1111"/>
      <c r="AB498" s="1111"/>
      <c r="AC498" s="1111"/>
      <c r="AD498" s="1111"/>
      <c r="AE498" s="1111"/>
      <c r="AF498" s="1111"/>
      <c r="AG498" s="1111"/>
    </row>
    <row r="499" spans="1:33" s="1295" customFormat="1">
      <c r="A499" s="1264"/>
      <c r="D499" s="1118"/>
      <c r="E499" s="1264"/>
      <c r="F499" s="1118"/>
      <c r="G499" s="1118"/>
      <c r="H499" s="1118"/>
      <c r="I499" s="1118"/>
      <c r="J499" s="1118"/>
      <c r="K499" s="1118"/>
      <c r="L499" s="1118"/>
      <c r="M499" s="1118"/>
      <c r="N499" s="1118"/>
      <c r="O499" s="1118"/>
      <c r="P499" s="1118"/>
      <c r="Q499" s="1111"/>
      <c r="R499" s="1111"/>
      <c r="S499" s="1111"/>
      <c r="T499" s="1111"/>
      <c r="U499" s="1111"/>
      <c r="V499" s="1111"/>
      <c r="W499" s="1111"/>
      <c r="X499" s="1111"/>
      <c r="Y499" s="1111"/>
      <c r="Z499" s="1111"/>
      <c r="AA499" s="1111"/>
      <c r="AB499" s="1111"/>
      <c r="AC499" s="1111"/>
      <c r="AD499" s="1111"/>
      <c r="AE499" s="1111"/>
      <c r="AF499" s="1111"/>
      <c r="AG499" s="1111"/>
    </row>
    <row r="500" spans="1:33" s="1295" customFormat="1">
      <c r="A500" s="1264"/>
      <c r="D500" s="1118"/>
      <c r="E500" s="1264"/>
      <c r="F500" s="1118"/>
      <c r="G500" s="1118"/>
      <c r="H500" s="1118"/>
      <c r="I500" s="1118"/>
      <c r="J500" s="1118"/>
      <c r="K500" s="1118"/>
      <c r="L500" s="1118"/>
      <c r="M500" s="1118"/>
      <c r="N500" s="1118"/>
      <c r="O500" s="1118"/>
      <c r="P500" s="1118"/>
      <c r="Q500" s="1111"/>
      <c r="R500" s="1111"/>
      <c r="S500" s="1111"/>
      <c r="T500" s="1111"/>
      <c r="U500" s="1111"/>
      <c r="V500" s="1111"/>
      <c r="W500" s="1111"/>
      <c r="X500" s="1111"/>
      <c r="Y500" s="1111"/>
      <c r="Z500" s="1111"/>
      <c r="AA500" s="1111"/>
      <c r="AB500" s="1111"/>
      <c r="AC500" s="1111"/>
      <c r="AD500" s="1111"/>
      <c r="AE500" s="1111"/>
      <c r="AF500" s="1111"/>
      <c r="AG500" s="1111"/>
    </row>
    <row r="501" spans="1:33" s="1295" customFormat="1">
      <c r="A501" s="1264"/>
      <c r="D501" s="1118"/>
      <c r="E501" s="1264"/>
      <c r="F501" s="1118"/>
      <c r="G501" s="1118"/>
      <c r="H501" s="1118"/>
      <c r="I501" s="1118"/>
      <c r="J501" s="1118"/>
      <c r="K501" s="1118"/>
      <c r="L501" s="1118"/>
      <c r="M501" s="1118"/>
      <c r="N501" s="1118"/>
      <c r="O501" s="1118"/>
      <c r="P501" s="1118"/>
      <c r="Q501" s="1111"/>
      <c r="R501" s="1111"/>
      <c r="S501" s="1111"/>
      <c r="T501" s="1111"/>
      <c r="U501" s="1111"/>
      <c r="V501" s="1111"/>
      <c r="W501" s="1111"/>
      <c r="X501" s="1111"/>
      <c r="Y501" s="1111"/>
      <c r="Z501" s="1111"/>
      <c r="AA501" s="1111"/>
      <c r="AB501" s="1111"/>
      <c r="AC501" s="1111"/>
      <c r="AD501" s="1111"/>
      <c r="AE501" s="1111"/>
      <c r="AF501" s="1111"/>
      <c r="AG501" s="1111"/>
    </row>
    <row r="502" spans="1:33" s="1295" customFormat="1">
      <c r="A502" s="1264"/>
      <c r="D502" s="1118"/>
      <c r="E502" s="1264"/>
      <c r="F502" s="1118"/>
      <c r="G502" s="1118"/>
      <c r="H502" s="1118"/>
      <c r="I502" s="1118"/>
      <c r="J502" s="1118"/>
      <c r="K502" s="1118"/>
      <c r="L502" s="1118"/>
      <c r="M502" s="1118"/>
      <c r="N502" s="1118"/>
      <c r="O502" s="1118"/>
      <c r="P502" s="1118"/>
      <c r="Q502" s="1111"/>
      <c r="R502" s="1111"/>
      <c r="S502" s="1111"/>
      <c r="T502" s="1111"/>
      <c r="U502" s="1111"/>
      <c r="V502" s="1111"/>
      <c r="W502" s="1111"/>
      <c r="X502" s="1111"/>
      <c r="Y502" s="1111"/>
      <c r="Z502" s="1111"/>
      <c r="AA502" s="1111"/>
      <c r="AB502" s="1111"/>
      <c r="AC502" s="1111"/>
      <c r="AD502" s="1111"/>
      <c r="AE502" s="1111"/>
      <c r="AF502" s="1111"/>
      <c r="AG502" s="1111"/>
    </row>
    <row r="503" spans="1:33" s="1295" customFormat="1">
      <c r="A503" s="1264"/>
      <c r="D503" s="1118"/>
      <c r="E503" s="1264"/>
      <c r="F503" s="1118"/>
      <c r="G503" s="1118"/>
      <c r="H503" s="1118"/>
      <c r="I503" s="1118"/>
      <c r="J503" s="1118"/>
      <c r="K503" s="1118"/>
      <c r="L503" s="1118"/>
      <c r="M503" s="1118"/>
      <c r="N503" s="1118"/>
      <c r="O503" s="1118"/>
      <c r="P503" s="1118"/>
      <c r="Q503" s="1111"/>
      <c r="R503" s="1111"/>
      <c r="S503" s="1111"/>
      <c r="T503" s="1111"/>
      <c r="U503" s="1111"/>
      <c r="V503" s="1111"/>
      <c r="W503" s="1111"/>
      <c r="X503" s="1111"/>
      <c r="Y503" s="1111"/>
      <c r="Z503" s="1111"/>
      <c r="AA503" s="1111"/>
      <c r="AB503" s="1111"/>
      <c r="AC503" s="1111"/>
      <c r="AD503" s="1111"/>
      <c r="AE503" s="1111"/>
      <c r="AF503" s="1111"/>
      <c r="AG503" s="1111"/>
    </row>
    <row r="504" spans="1:33" s="1295" customFormat="1">
      <c r="A504" s="1264"/>
      <c r="D504" s="1118"/>
      <c r="E504" s="1264"/>
      <c r="F504" s="1118"/>
      <c r="G504" s="1118"/>
      <c r="H504" s="1118"/>
      <c r="I504" s="1118"/>
      <c r="J504" s="1118"/>
      <c r="K504" s="1118"/>
      <c r="L504" s="1118"/>
      <c r="M504" s="1118"/>
      <c r="N504" s="1118"/>
      <c r="O504" s="1118"/>
      <c r="P504" s="1118"/>
      <c r="Q504" s="1111"/>
      <c r="R504" s="1111"/>
      <c r="S504" s="1111"/>
      <c r="T504" s="1111"/>
      <c r="U504" s="1111"/>
      <c r="V504" s="1111"/>
      <c r="W504" s="1111"/>
      <c r="X504" s="1111"/>
      <c r="Y504" s="1111"/>
      <c r="Z504" s="1111"/>
      <c r="AA504" s="1111"/>
      <c r="AB504" s="1111"/>
      <c r="AC504" s="1111"/>
      <c r="AD504" s="1111"/>
      <c r="AE504" s="1111"/>
      <c r="AF504" s="1111"/>
      <c r="AG504" s="1111"/>
    </row>
    <row r="505" spans="1:33" s="1295" customFormat="1">
      <c r="A505" s="1264"/>
      <c r="D505" s="1118"/>
      <c r="E505" s="1264"/>
      <c r="F505" s="1118"/>
      <c r="G505" s="1118"/>
      <c r="H505" s="1118"/>
      <c r="I505" s="1118"/>
      <c r="J505" s="1118"/>
      <c r="K505" s="1118"/>
      <c r="L505" s="1118"/>
      <c r="M505" s="1118"/>
      <c r="N505" s="1118"/>
      <c r="O505" s="1118"/>
      <c r="P505" s="1118"/>
      <c r="Q505" s="1111"/>
      <c r="R505" s="1111"/>
      <c r="S505" s="1111"/>
      <c r="T505" s="1111"/>
      <c r="U505" s="1111"/>
      <c r="V505" s="1111"/>
      <c r="W505" s="1111"/>
      <c r="X505" s="1111"/>
      <c r="Y505" s="1111"/>
      <c r="Z505" s="1111"/>
      <c r="AA505" s="1111"/>
      <c r="AB505" s="1111"/>
      <c r="AC505" s="1111"/>
      <c r="AD505" s="1111"/>
      <c r="AE505" s="1111"/>
      <c r="AF505" s="1111"/>
      <c r="AG505" s="1111"/>
    </row>
    <row r="506" spans="1:33" s="1295" customFormat="1">
      <c r="A506" s="1264"/>
      <c r="D506" s="1118"/>
      <c r="E506" s="1264"/>
      <c r="F506" s="1118"/>
      <c r="G506" s="1118"/>
      <c r="H506" s="1118"/>
      <c r="I506" s="1118"/>
      <c r="J506" s="1118"/>
      <c r="K506" s="1118"/>
      <c r="L506" s="1118"/>
      <c r="M506" s="1118"/>
      <c r="N506" s="1118"/>
      <c r="O506" s="1118"/>
      <c r="P506" s="1118"/>
      <c r="Q506" s="1111"/>
      <c r="R506" s="1111"/>
      <c r="S506" s="1111"/>
      <c r="T506" s="1111"/>
      <c r="U506" s="1111"/>
      <c r="V506" s="1111"/>
      <c r="W506" s="1111"/>
      <c r="X506" s="1111"/>
      <c r="Y506" s="1111"/>
      <c r="Z506" s="1111"/>
      <c r="AA506" s="1111"/>
      <c r="AB506" s="1111"/>
      <c r="AC506" s="1111"/>
      <c r="AD506" s="1111"/>
      <c r="AE506" s="1111"/>
      <c r="AF506" s="1111"/>
      <c r="AG506" s="1111"/>
    </row>
    <row r="507" spans="1:33" s="1295" customFormat="1">
      <c r="A507" s="1264"/>
      <c r="D507" s="1118"/>
      <c r="E507" s="1264"/>
      <c r="F507" s="1118"/>
      <c r="G507" s="1118"/>
      <c r="H507" s="1118"/>
      <c r="I507" s="1118"/>
      <c r="J507" s="1118"/>
      <c r="K507" s="1118"/>
      <c r="L507" s="1118"/>
      <c r="M507" s="1118"/>
      <c r="N507" s="1118"/>
      <c r="O507" s="1118"/>
      <c r="P507" s="1118"/>
      <c r="Q507" s="1111"/>
      <c r="R507" s="1111"/>
      <c r="S507" s="1111"/>
      <c r="T507" s="1111"/>
      <c r="U507" s="1111"/>
      <c r="V507" s="1111"/>
      <c r="W507" s="1111"/>
      <c r="X507" s="1111"/>
      <c r="Y507" s="1111"/>
      <c r="Z507" s="1111"/>
      <c r="AA507" s="1111"/>
      <c r="AB507" s="1111"/>
      <c r="AC507" s="1111"/>
      <c r="AD507" s="1111"/>
      <c r="AE507" s="1111"/>
      <c r="AF507" s="1111"/>
      <c r="AG507" s="1111"/>
    </row>
    <row r="508" spans="1:33" s="1295" customFormat="1">
      <c r="A508" s="1264"/>
      <c r="D508" s="1118"/>
      <c r="E508" s="1264"/>
      <c r="F508" s="1118"/>
      <c r="G508" s="1118"/>
      <c r="H508" s="1118"/>
      <c r="I508" s="1118"/>
      <c r="J508" s="1118"/>
      <c r="K508" s="1118"/>
      <c r="L508" s="1118"/>
      <c r="M508" s="1118"/>
      <c r="N508" s="1118"/>
      <c r="O508" s="1118"/>
      <c r="P508" s="1118"/>
      <c r="Q508" s="1111"/>
      <c r="R508" s="1111"/>
      <c r="S508" s="1111"/>
      <c r="T508" s="1111"/>
      <c r="U508" s="1111"/>
      <c r="V508" s="1111"/>
      <c r="W508" s="1111"/>
      <c r="X508" s="1111"/>
      <c r="Y508" s="1111"/>
      <c r="Z508" s="1111"/>
      <c r="AA508" s="1111"/>
      <c r="AB508" s="1111"/>
      <c r="AC508" s="1111"/>
      <c r="AD508" s="1111"/>
      <c r="AE508" s="1111"/>
      <c r="AF508" s="1111"/>
      <c r="AG508" s="1111"/>
    </row>
    <row r="509" spans="1:33" s="1295" customFormat="1">
      <c r="A509" s="1264"/>
      <c r="D509" s="1118"/>
      <c r="E509" s="1264"/>
      <c r="F509" s="1118"/>
      <c r="G509" s="1118"/>
      <c r="H509" s="1118"/>
      <c r="I509" s="1118"/>
      <c r="J509" s="1118"/>
      <c r="K509" s="1118"/>
      <c r="L509" s="1118"/>
      <c r="M509" s="1118"/>
      <c r="N509" s="1118"/>
      <c r="O509" s="1118"/>
      <c r="P509" s="1118"/>
      <c r="Q509" s="1111"/>
      <c r="R509" s="1111"/>
      <c r="S509" s="1111"/>
      <c r="T509" s="1111"/>
      <c r="U509" s="1111"/>
      <c r="V509" s="1111"/>
      <c r="W509" s="1111"/>
      <c r="X509" s="1111"/>
      <c r="Y509" s="1111"/>
      <c r="Z509" s="1111"/>
      <c r="AA509" s="1111"/>
      <c r="AB509" s="1111"/>
      <c r="AC509" s="1111"/>
      <c r="AD509" s="1111"/>
      <c r="AE509" s="1111"/>
      <c r="AF509" s="1111"/>
      <c r="AG509" s="1111"/>
    </row>
    <row r="510" spans="1:33" s="1295" customFormat="1">
      <c r="A510" s="1264"/>
      <c r="D510" s="1118"/>
      <c r="E510" s="1264"/>
      <c r="F510" s="1118"/>
      <c r="G510" s="1118"/>
      <c r="H510" s="1118"/>
      <c r="I510" s="1118"/>
      <c r="J510" s="1118"/>
      <c r="K510" s="1118"/>
      <c r="L510" s="1118"/>
      <c r="M510" s="1118"/>
      <c r="N510" s="1118"/>
      <c r="O510" s="1118"/>
      <c r="P510" s="1118"/>
      <c r="Q510" s="1111"/>
      <c r="R510" s="1111"/>
      <c r="S510" s="1111"/>
      <c r="T510" s="1111"/>
      <c r="U510" s="1111"/>
      <c r="V510" s="1111"/>
      <c r="W510" s="1111"/>
      <c r="X510" s="1111"/>
      <c r="Y510" s="1111"/>
      <c r="Z510" s="1111"/>
      <c r="AA510" s="1111"/>
      <c r="AB510" s="1111"/>
      <c r="AC510" s="1111"/>
      <c r="AD510" s="1111"/>
      <c r="AE510" s="1111"/>
      <c r="AF510" s="1111"/>
      <c r="AG510" s="1111"/>
    </row>
    <row r="511" spans="1:33" s="1295" customFormat="1">
      <c r="A511" s="1264"/>
      <c r="D511" s="1118"/>
      <c r="E511" s="1264"/>
      <c r="F511" s="1118"/>
      <c r="G511" s="1118"/>
      <c r="H511" s="1118"/>
      <c r="I511" s="1118"/>
      <c r="J511" s="1118"/>
      <c r="K511" s="1118"/>
      <c r="L511" s="1118"/>
      <c r="M511" s="1118"/>
      <c r="N511" s="1118"/>
      <c r="O511" s="1118"/>
      <c r="P511" s="1118"/>
      <c r="Q511" s="1111"/>
      <c r="R511" s="1111"/>
      <c r="S511" s="1111"/>
      <c r="T511" s="1111"/>
      <c r="U511" s="1111"/>
      <c r="V511" s="1111"/>
      <c r="W511" s="1111"/>
      <c r="X511" s="1111"/>
      <c r="Y511" s="1111"/>
      <c r="Z511" s="1111"/>
      <c r="AA511" s="1111"/>
      <c r="AB511" s="1111"/>
      <c r="AC511" s="1111"/>
      <c r="AD511" s="1111"/>
      <c r="AE511" s="1111"/>
      <c r="AF511" s="1111"/>
      <c r="AG511" s="1111"/>
    </row>
    <row r="512" spans="1:33" s="1295" customFormat="1">
      <c r="A512" s="1264"/>
      <c r="D512" s="1118"/>
      <c r="E512" s="1264"/>
      <c r="F512" s="1118"/>
      <c r="G512" s="1118"/>
      <c r="H512" s="1118"/>
      <c r="I512" s="1118"/>
      <c r="J512" s="1118"/>
      <c r="K512" s="1118"/>
      <c r="L512" s="1118"/>
      <c r="M512" s="1118"/>
      <c r="N512" s="1118"/>
      <c r="O512" s="1118"/>
      <c r="P512" s="1118"/>
      <c r="Q512" s="1111"/>
      <c r="R512" s="1111"/>
      <c r="S512" s="1111"/>
      <c r="T512" s="1111"/>
      <c r="U512" s="1111"/>
      <c r="V512" s="1111"/>
      <c r="W512" s="1111"/>
      <c r="X512" s="1111"/>
      <c r="Y512" s="1111"/>
      <c r="Z512" s="1111"/>
      <c r="AA512" s="1111"/>
      <c r="AB512" s="1111"/>
      <c r="AC512" s="1111"/>
      <c r="AD512" s="1111"/>
      <c r="AE512" s="1111"/>
      <c r="AF512" s="1111"/>
      <c r="AG512" s="1111"/>
    </row>
    <row r="513" spans="1:33" s="1295" customFormat="1">
      <c r="A513" s="1264"/>
      <c r="D513" s="1118"/>
      <c r="E513" s="1264"/>
      <c r="F513" s="1118"/>
      <c r="G513" s="1118"/>
      <c r="H513" s="1118"/>
      <c r="I513" s="1118"/>
      <c r="J513" s="1118"/>
      <c r="K513" s="1118"/>
      <c r="L513" s="1118"/>
      <c r="M513" s="1118"/>
      <c r="N513" s="1118"/>
      <c r="O513" s="1118"/>
      <c r="P513" s="1118"/>
      <c r="Q513" s="1111"/>
      <c r="R513" s="1111"/>
      <c r="S513" s="1111"/>
      <c r="T513" s="1111"/>
      <c r="U513" s="1111"/>
      <c r="V513" s="1111"/>
      <c r="W513" s="1111"/>
      <c r="X513" s="1111"/>
      <c r="Y513" s="1111"/>
      <c r="Z513" s="1111"/>
      <c r="AA513" s="1111"/>
      <c r="AB513" s="1111"/>
      <c r="AC513" s="1111"/>
      <c r="AD513" s="1111"/>
      <c r="AE513" s="1111"/>
      <c r="AF513" s="1111"/>
      <c r="AG513" s="1111"/>
    </row>
    <row r="514" spans="1:33" s="1295" customFormat="1">
      <c r="A514" s="1264"/>
      <c r="D514" s="1118"/>
      <c r="E514" s="1264"/>
      <c r="F514" s="1118"/>
      <c r="G514" s="1118"/>
      <c r="H514" s="1118"/>
      <c r="I514" s="1118"/>
      <c r="J514" s="1118"/>
      <c r="K514" s="1118"/>
      <c r="L514" s="1118"/>
      <c r="M514" s="1118"/>
      <c r="N514" s="1118"/>
      <c r="O514" s="1118"/>
      <c r="P514" s="1118"/>
      <c r="Q514" s="1111"/>
      <c r="R514" s="1111"/>
      <c r="S514" s="1111"/>
      <c r="T514" s="1111"/>
      <c r="U514" s="1111"/>
      <c r="V514" s="1111"/>
      <c r="W514" s="1111"/>
      <c r="X514" s="1111"/>
      <c r="Y514" s="1111"/>
      <c r="Z514" s="1111"/>
      <c r="AA514" s="1111"/>
      <c r="AB514" s="1111"/>
      <c r="AC514" s="1111"/>
      <c r="AD514" s="1111"/>
      <c r="AE514" s="1111"/>
      <c r="AF514" s="1111"/>
      <c r="AG514" s="1111"/>
    </row>
    <row r="515" spans="1:33" s="1295" customFormat="1">
      <c r="A515" s="1264"/>
      <c r="D515" s="1118"/>
      <c r="E515" s="1264"/>
      <c r="F515" s="1118"/>
      <c r="G515" s="1118"/>
      <c r="H515" s="1118"/>
      <c r="I515" s="1118"/>
      <c r="J515" s="1118"/>
      <c r="K515" s="1118"/>
      <c r="L515" s="1118"/>
      <c r="M515" s="1118"/>
      <c r="N515" s="1118"/>
      <c r="O515" s="1118"/>
      <c r="P515" s="1118"/>
      <c r="Q515" s="1111"/>
      <c r="R515" s="1111"/>
      <c r="S515" s="1111"/>
      <c r="T515" s="1111"/>
      <c r="U515" s="1111"/>
      <c r="V515" s="1111"/>
      <c r="W515" s="1111"/>
      <c r="X515" s="1111"/>
      <c r="Y515" s="1111"/>
      <c r="Z515" s="1111"/>
      <c r="AA515" s="1111"/>
      <c r="AB515" s="1111"/>
      <c r="AC515" s="1111"/>
      <c r="AD515" s="1111"/>
      <c r="AE515" s="1111"/>
      <c r="AF515" s="1111"/>
      <c r="AG515" s="1111"/>
    </row>
    <row r="516" spans="1:33" s="1295" customFormat="1">
      <c r="A516" s="1264"/>
      <c r="D516" s="1118"/>
      <c r="E516" s="1264"/>
      <c r="F516" s="1118"/>
      <c r="G516" s="1118"/>
      <c r="H516" s="1118"/>
      <c r="I516" s="1118"/>
      <c r="J516" s="1118"/>
      <c r="K516" s="1118"/>
      <c r="L516" s="1118"/>
      <c r="M516" s="1118"/>
      <c r="N516" s="1118"/>
      <c r="O516" s="1118"/>
      <c r="P516" s="1118"/>
      <c r="Q516" s="1111"/>
      <c r="R516" s="1111"/>
      <c r="S516" s="1111"/>
      <c r="T516" s="1111"/>
      <c r="U516" s="1111"/>
      <c r="V516" s="1111"/>
      <c r="W516" s="1111"/>
      <c r="X516" s="1111"/>
      <c r="Y516" s="1111"/>
      <c r="Z516" s="1111"/>
      <c r="AA516" s="1111"/>
      <c r="AB516" s="1111"/>
      <c r="AC516" s="1111"/>
      <c r="AD516" s="1111"/>
      <c r="AE516" s="1111"/>
      <c r="AF516" s="1111"/>
      <c r="AG516" s="1111"/>
    </row>
    <row r="517" spans="1:33" s="1295" customFormat="1">
      <c r="A517" s="1264"/>
      <c r="D517" s="1118"/>
      <c r="E517" s="1264"/>
      <c r="F517" s="1118"/>
      <c r="G517" s="1118"/>
      <c r="H517" s="1118"/>
      <c r="I517" s="1118"/>
      <c r="J517" s="1118"/>
      <c r="K517" s="1118"/>
      <c r="L517" s="1118"/>
      <c r="M517" s="1118"/>
      <c r="N517" s="1118"/>
      <c r="O517" s="1118"/>
      <c r="P517" s="1118"/>
      <c r="Q517" s="1111"/>
      <c r="R517" s="1111"/>
      <c r="S517" s="1111"/>
      <c r="T517" s="1111"/>
      <c r="U517" s="1111"/>
      <c r="V517" s="1111"/>
      <c r="W517" s="1111"/>
      <c r="X517" s="1111"/>
      <c r="Y517" s="1111"/>
      <c r="Z517" s="1111"/>
      <c r="AA517" s="1111"/>
      <c r="AB517" s="1111"/>
      <c r="AC517" s="1111"/>
      <c r="AD517" s="1111"/>
      <c r="AE517" s="1111"/>
      <c r="AF517" s="1111"/>
      <c r="AG517" s="1111"/>
    </row>
    <row r="518" spans="1:33" s="1295" customFormat="1">
      <c r="A518" s="1264"/>
      <c r="D518" s="1118"/>
      <c r="E518" s="1264"/>
      <c r="F518" s="1118"/>
      <c r="G518" s="1118"/>
      <c r="H518" s="1118"/>
      <c r="I518" s="1118"/>
      <c r="J518" s="1118"/>
      <c r="K518" s="1118"/>
      <c r="L518" s="1118"/>
      <c r="M518" s="1118"/>
      <c r="N518" s="1118"/>
      <c r="O518" s="1118"/>
      <c r="P518" s="1118"/>
      <c r="Q518" s="1111"/>
      <c r="R518" s="1111"/>
      <c r="S518" s="1111"/>
      <c r="T518" s="1111"/>
      <c r="U518" s="1111"/>
      <c r="V518" s="1111"/>
      <c r="W518" s="1111"/>
      <c r="X518" s="1111"/>
      <c r="Y518" s="1111"/>
      <c r="Z518" s="1111"/>
      <c r="AA518" s="1111"/>
      <c r="AB518" s="1111"/>
      <c r="AC518" s="1111"/>
      <c r="AD518" s="1111"/>
      <c r="AE518" s="1111"/>
      <c r="AF518" s="1111"/>
      <c r="AG518" s="1111"/>
    </row>
    <row r="519" spans="1:33" s="1295" customFormat="1">
      <c r="A519" s="1264"/>
      <c r="D519" s="1118"/>
      <c r="E519" s="1264"/>
      <c r="F519" s="1118"/>
      <c r="G519" s="1118"/>
      <c r="H519" s="1118"/>
      <c r="I519" s="1118"/>
      <c r="J519" s="1118"/>
      <c r="K519" s="1118"/>
      <c r="L519" s="1118"/>
      <c r="M519" s="1118"/>
      <c r="N519" s="1118"/>
      <c r="O519" s="1118"/>
      <c r="P519" s="1118"/>
      <c r="Q519" s="1111"/>
      <c r="R519" s="1111"/>
      <c r="S519" s="1111"/>
      <c r="T519" s="1111"/>
      <c r="U519" s="1111"/>
      <c r="V519" s="1111"/>
      <c r="W519" s="1111"/>
      <c r="X519" s="1111"/>
      <c r="Y519" s="1111"/>
      <c r="Z519" s="1111"/>
      <c r="AA519" s="1111"/>
      <c r="AB519" s="1111"/>
      <c r="AC519" s="1111"/>
      <c r="AD519" s="1111"/>
      <c r="AE519" s="1111"/>
      <c r="AF519" s="1111"/>
      <c r="AG519" s="1111"/>
    </row>
    <row r="520" spans="1:33" s="1295" customFormat="1">
      <c r="A520" s="1264"/>
      <c r="D520" s="1118"/>
      <c r="E520" s="1264"/>
      <c r="F520" s="1118"/>
      <c r="G520" s="1118"/>
      <c r="H520" s="1118"/>
      <c r="I520" s="1118"/>
      <c r="J520" s="1118"/>
      <c r="K520" s="1118"/>
      <c r="L520" s="1118"/>
      <c r="M520" s="1118"/>
      <c r="N520" s="1118"/>
      <c r="O520" s="1118"/>
      <c r="P520" s="1118"/>
      <c r="Q520" s="1111"/>
      <c r="R520" s="1111"/>
      <c r="S520" s="1111"/>
      <c r="T520" s="1111"/>
      <c r="U520" s="1111"/>
      <c r="V520" s="1111"/>
      <c r="W520" s="1111"/>
      <c r="X520" s="1111"/>
      <c r="Y520" s="1111"/>
      <c r="Z520" s="1111"/>
      <c r="AA520" s="1111"/>
      <c r="AB520" s="1111"/>
      <c r="AC520" s="1111"/>
      <c r="AD520" s="1111"/>
      <c r="AE520" s="1111"/>
      <c r="AF520" s="1111"/>
      <c r="AG520" s="1111"/>
    </row>
    <row r="521" spans="1:33" s="1295" customFormat="1">
      <c r="A521" s="1264"/>
      <c r="D521" s="1118"/>
      <c r="E521" s="1264"/>
      <c r="F521" s="1118"/>
      <c r="G521" s="1118"/>
      <c r="H521" s="1118"/>
      <c r="I521" s="1118"/>
      <c r="J521" s="1118"/>
      <c r="K521" s="1118"/>
      <c r="L521" s="1118"/>
      <c r="M521" s="1118"/>
      <c r="N521" s="1118"/>
      <c r="O521" s="1118"/>
      <c r="P521" s="1118"/>
      <c r="Q521" s="1111"/>
      <c r="R521" s="1111"/>
      <c r="S521" s="1111"/>
      <c r="T521" s="1111"/>
      <c r="U521" s="1111"/>
      <c r="V521" s="1111"/>
      <c r="W521" s="1111"/>
      <c r="X521" s="1111"/>
      <c r="Y521" s="1111"/>
      <c r="Z521" s="1111"/>
      <c r="AA521" s="1111"/>
      <c r="AB521" s="1111"/>
      <c r="AC521" s="1111"/>
      <c r="AD521" s="1111"/>
      <c r="AE521" s="1111"/>
      <c r="AF521" s="1111"/>
      <c r="AG521" s="1111"/>
    </row>
    <row r="522" spans="1:33" s="1295" customFormat="1">
      <c r="A522" s="1264"/>
      <c r="D522" s="1118"/>
      <c r="E522" s="1264"/>
      <c r="F522" s="1118"/>
      <c r="G522" s="1118"/>
      <c r="H522" s="1118"/>
      <c r="I522" s="1118"/>
      <c r="J522" s="1118"/>
      <c r="K522" s="1118"/>
      <c r="L522" s="1118"/>
      <c r="M522" s="1118"/>
      <c r="N522" s="1118"/>
      <c r="O522" s="1118"/>
      <c r="P522" s="1118"/>
      <c r="Q522" s="1111"/>
      <c r="R522" s="1111"/>
      <c r="S522" s="1111"/>
      <c r="T522" s="1111"/>
      <c r="U522" s="1111"/>
      <c r="V522" s="1111"/>
      <c r="W522" s="1111"/>
      <c r="X522" s="1111"/>
      <c r="Y522" s="1111"/>
      <c r="Z522" s="1111"/>
      <c r="AA522" s="1111"/>
      <c r="AB522" s="1111"/>
      <c r="AC522" s="1111"/>
      <c r="AD522" s="1111"/>
      <c r="AE522" s="1111"/>
      <c r="AF522" s="1111"/>
      <c r="AG522" s="1111"/>
    </row>
    <row r="523" spans="1:33" s="1295" customFormat="1">
      <c r="A523" s="1264"/>
      <c r="D523" s="1118"/>
      <c r="E523" s="1264"/>
      <c r="F523" s="1118"/>
      <c r="G523" s="1118"/>
      <c r="H523" s="1118"/>
      <c r="I523" s="1118"/>
      <c r="J523" s="1118"/>
      <c r="K523" s="1118"/>
      <c r="L523" s="1118"/>
      <c r="M523" s="1118"/>
      <c r="N523" s="1118"/>
      <c r="O523" s="1118"/>
      <c r="P523" s="1118"/>
      <c r="Q523" s="1111"/>
      <c r="R523" s="1111"/>
      <c r="S523" s="1111"/>
      <c r="T523" s="1111"/>
      <c r="U523" s="1111"/>
      <c r="V523" s="1111"/>
      <c r="W523" s="1111"/>
      <c r="X523" s="1111"/>
      <c r="Y523" s="1111"/>
      <c r="Z523" s="1111"/>
      <c r="AA523" s="1111"/>
      <c r="AB523" s="1111"/>
      <c r="AC523" s="1111"/>
      <c r="AD523" s="1111"/>
      <c r="AE523" s="1111"/>
      <c r="AF523" s="1111"/>
      <c r="AG523" s="1111"/>
    </row>
    <row r="524" spans="1:33" s="1295" customFormat="1">
      <c r="A524" s="1264"/>
      <c r="D524" s="1118"/>
      <c r="E524" s="1264"/>
      <c r="F524" s="1118"/>
      <c r="G524" s="1118"/>
      <c r="H524" s="1118"/>
      <c r="I524" s="1118"/>
      <c r="J524" s="1118"/>
      <c r="K524" s="1118"/>
      <c r="L524" s="1118"/>
      <c r="M524" s="1118"/>
      <c r="N524" s="1118"/>
      <c r="O524" s="1118"/>
      <c r="P524" s="1118"/>
      <c r="Q524" s="1111"/>
      <c r="R524" s="1111"/>
      <c r="S524" s="1111"/>
      <c r="T524" s="1111"/>
      <c r="U524" s="1111"/>
      <c r="V524" s="1111"/>
      <c r="W524" s="1111"/>
      <c r="X524" s="1111"/>
      <c r="Y524" s="1111"/>
      <c r="Z524" s="1111"/>
      <c r="AA524" s="1111"/>
      <c r="AB524" s="1111"/>
      <c r="AC524" s="1111"/>
      <c r="AD524" s="1111"/>
      <c r="AE524" s="1111"/>
      <c r="AF524" s="1111"/>
      <c r="AG524" s="1111"/>
    </row>
    <row r="525" spans="1:33" s="1295" customFormat="1">
      <c r="A525" s="1264"/>
      <c r="D525" s="1118"/>
      <c r="E525" s="1264"/>
      <c r="F525" s="1118"/>
      <c r="G525" s="1118"/>
      <c r="H525" s="1118"/>
      <c r="I525" s="1118"/>
      <c r="J525" s="1118"/>
      <c r="K525" s="1118"/>
      <c r="L525" s="1118"/>
      <c r="M525" s="1118"/>
      <c r="N525" s="1118"/>
      <c r="O525" s="1118"/>
      <c r="P525" s="1118"/>
      <c r="Q525" s="1111"/>
      <c r="R525" s="1111"/>
      <c r="S525" s="1111"/>
      <c r="T525" s="1111"/>
      <c r="U525" s="1111"/>
      <c r="V525" s="1111"/>
      <c r="W525" s="1111"/>
      <c r="X525" s="1111"/>
      <c r="Y525" s="1111"/>
      <c r="Z525" s="1111"/>
      <c r="AA525" s="1111"/>
      <c r="AB525" s="1111"/>
      <c r="AC525" s="1111"/>
      <c r="AD525" s="1111"/>
      <c r="AE525" s="1111"/>
      <c r="AF525" s="1111"/>
      <c r="AG525" s="1111"/>
    </row>
    <row r="526" spans="1:33" s="1295" customFormat="1">
      <c r="A526" s="1264"/>
      <c r="D526" s="1118"/>
      <c r="E526" s="1264"/>
      <c r="F526" s="1118"/>
      <c r="G526" s="1118"/>
      <c r="H526" s="1118"/>
      <c r="I526" s="1118"/>
      <c r="J526" s="1118"/>
      <c r="K526" s="1118"/>
      <c r="L526" s="1118"/>
      <c r="M526" s="1118"/>
      <c r="N526" s="1118"/>
      <c r="O526" s="1118"/>
      <c r="P526" s="1118"/>
      <c r="Q526" s="1111"/>
      <c r="R526" s="1111"/>
      <c r="S526" s="1111"/>
      <c r="T526" s="1111"/>
      <c r="U526" s="1111"/>
      <c r="V526" s="1111"/>
      <c r="W526" s="1111"/>
      <c r="X526" s="1111"/>
      <c r="Y526" s="1111"/>
      <c r="Z526" s="1111"/>
      <c r="AA526" s="1111"/>
      <c r="AB526" s="1111"/>
      <c r="AC526" s="1111"/>
      <c r="AD526" s="1111"/>
      <c r="AE526" s="1111"/>
      <c r="AF526" s="1111"/>
      <c r="AG526" s="1111"/>
    </row>
    <row r="527" spans="1:33" s="1295" customFormat="1">
      <c r="A527" s="1264"/>
      <c r="D527" s="1118"/>
      <c r="E527" s="1264"/>
      <c r="F527" s="1118"/>
      <c r="G527" s="1118"/>
      <c r="H527" s="1118"/>
      <c r="I527" s="1118"/>
      <c r="J527" s="1118"/>
      <c r="K527" s="1118"/>
      <c r="L527" s="1118"/>
      <c r="M527" s="1118"/>
      <c r="N527" s="1118"/>
      <c r="O527" s="1118"/>
      <c r="P527" s="1118"/>
      <c r="Q527" s="1111"/>
      <c r="R527" s="1111"/>
      <c r="S527" s="1111"/>
      <c r="T527" s="1111"/>
      <c r="U527" s="1111"/>
      <c r="V527" s="1111"/>
      <c r="W527" s="1111"/>
      <c r="X527" s="1111"/>
      <c r="Y527" s="1111"/>
      <c r="Z527" s="1111"/>
      <c r="AA527" s="1111"/>
      <c r="AB527" s="1111"/>
      <c r="AC527" s="1111"/>
      <c r="AD527" s="1111"/>
      <c r="AE527" s="1111"/>
      <c r="AF527" s="1111"/>
      <c r="AG527" s="1111"/>
    </row>
    <row r="528" spans="1:33" s="1295" customFormat="1">
      <c r="A528" s="1264"/>
      <c r="D528" s="1118"/>
      <c r="E528" s="1264"/>
      <c r="F528" s="1118"/>
      <c r="G528" s="1118"/>
      <c r="H528" s="1118"/>
      <c r="I528" s="1118"/>
      <c r="J528" s="1118"/>
      <c r="K528" s="1118"/>
      <c r="L528" s="1118"/>
      <c r="M528" s="1118"/>
      <c r="N528" s="1118"/>
      <c r="O528" s="1118"/>
      <c r="P528" s="1118"/>
      <c r="Q528" s="1111"/>
      <c r="R528" s="1111"/>
      <c r="S528" s="1111"/>
      <c r="T528" s="1111"/>
      <c r="U528" s="1111"/>
      <c r="V528" s="1111"/>
      <c r="W528" s="1111"/>
      <c r="X528" s="1111"/>
      <c r="Y528" s="1111"/>
      <c r="Z528" s="1111"/>
      <c r="AA528" s="1111"/>
      <c r="AB528" s="1111"/>
      <c r="AC528" s="1111"/>
      <c r="AD528" s="1111"/>
      <c r="AE528" s="1111"/>
      <c r="AF528" s="1111"/>
      <c r="AG528" s="1111"/>
    </row>
    <row r="529" spans="1:33" s="1295" customFormat="1">
      <c r="A529" s="1264"/>
      <c r="D529" s="1118"/>
      <c r="E529" s="1264"/>
      <c r="F529" s="1118"/>
      <c r="G529" s="1118"/>
      <c r="H529" s="1118"/>
      <c r="I529" s="1118"/>
      <c r="J529" s="1118"/>
      <c r="K529" s="1118"/>
      <c r="L529" s="1118"/>
      <c r="M529" s="1118"/>
      <c r="N529" s="1118"/>
      <c r="O529" s="1118"/>
      <c r="P529" s="1118"/>
      <c r="Q529" s="1111"/>
      <c r="R529" s="1111"/>
      <c r="S529" s="1111"/>
      <c r="T529" s="1111"/>
      <c r="U529" s="1111"/>
      <c r="V529" s="1111"/>
      <c r="W529" s="1111"/>
      <c r="X529" s="1111"/>
      <c r="Y529" s="1111"/>
      <c r="Z529" s="1111"/>
      <c r="AA529" s="1111"/>
      <c r="AB529" s="1111"/>
      <c r="AC529" s="1111"/>
      <c r="AD529" s="1111"/>
      <c r="AE529" s="1111"/>
      <c r="AF529" s="1111"/>
      <c r="AG529" s="1111"/>
    </row>
    <row r="530" spans="1:33" s="1295" customFormat="1">
      <c r="A530" s="1264"/>
      <c r="D530" s="1118"/>
      <c r="E530" s="1264"/>
      <c r="F530" s="1118"/>
      <c r="G530" s="1118"/>
      <c r="H530" s="1118"/>
      <c r="I530" s="1118"/>
      <c r="J530" s="1118"/>
      <c r="K530" s="1118"/>
      <c r="L530" s="1118"/>
      <c r="M530" s="1118"/>
      <c r="N530" s="1118"/>
      <c r="O530" s="1118"/>
      <c r="P530" s="1118"/>
      <c r="Q530" s="1111"/>
      <c r="R530" s="1111"/>
      <c r="S530" s="1111"/>
      <c r="T530" s="1111"/>
      <c r="U530" s="1111"/>
      <c r="V530" s="1111"/>
      <c r="W530" s="1111"/>
      <c r="X530" s="1111"/>
      <c r="Y530" s="1111"/>
      <c r="Z530" s="1111"/>
      <c r="AA530" s="1111"/>
      <c r="AB530" s="1111"/>
      <c r="AC530" s="1111"/>
      <c r="AD530" s="1111"/>
      <c r="AE530" s="1111"/>
      <c r="AF530" s="1111"/>
      <c r="AG530" s="1111"/>
    </row>
    <row r="531" spans="1:33" s="1295" customFormat="1">
      <c r="A531" s="1264"/>
      <c r="D531" s="1118"/>
      <c r="E531" s="1264"/>
      <c r="F531" s="1118"/>
      <c r="G531" s="1118"/>
      <c r="H531" s="1118"/>
      <c r="I531" s="1118"/>
      <c r="J531" s="1118"/>
      <c r="K531" s="1118"/>
      <c r="L531" s="1118"/>
      <c r="M531" s="1118"/>
      <c r="N531" s="1118"/>
      <c r="O531" s="1118"/>
      <c r="P531" s="1118"/>
      <c r="Q531" s="1111"/>
      <c r="R531" s="1111"/>
      <c r="S531" s="1111"/>
      <c r="T531" s="1111"/>
      <c r="U531" s="1111"/>
      <c r="V531" s="1111"/>
      <c r="W531" s="1111"/>
      <c r="X531" s="1111"/>
      <c r="Y531" s="1111"/>
      <c r="Z531" s="1111"/>
      <c r="AA531" s="1111"/>
      <c r="AB531" s="1111"/>
      <c r="AC531" s="1111"/>
      <c r="AD531" s="1111"/>
      <c r="AE531" s="1111"/>
      <c r="AF531" s="1111"/>
      <c r="AG531" s="1111"/>
    </row>
    <row r="532" spans="1:33" s="1295" customFormat="1">
      <c r="A532" s="1264"/>
      <c r="D532" s="1118"/>
      <c r="E532" s="1264"/>
      <c r="F532" s="1118"/>
      <c r="G532" s="1118"/>
      <c r="H532" s="1118"/>
      <c r="I532" s="1118"/>
      <c r="J532" s="1118"/>
      <c r="K532" s="1118"/>
      <c r="L532" s="1118"/>
      <c r="M532" s="1118"/>
      <c r="N532" s="1118"/>
      <c r="O532" s="1118"/>
      <c r="P532" s="1118"/>
      <c r="Q532" s="1111"/>
      <c r="R532" s="1111"/>
      <c r="S532" s="1111"/>
      <c r="T532" s="1111"/>
      <c r="U532" s="1111"/>
      <c r="V532" s="1111"/>
      <c r="W532" s="1111"/>
      <c r="X532" s="1111"/>
      <c r="Y532" s="1111"/>
      <c r="Z532" s="1111"/>
      <c r="AA532" s="1111"/>
      <c r="AB532" s="1111"/>
      <c r="AC532" s="1111"/>
      <c r="AD532" s="1111"/>
      <c r="AE532" s="1111"/>
      <c r="AF532" s="1111"/>
      <c r="AG532" s="1111"/>
    </row>
    <row r="533" spans="1:33" s="1295" customFormat="1">
      <c r="A533" s="1264"/>
      <c r="D533" s="1118"/>
      <c r="E533" s="1264"/>
      <c r="F533" s="1118"/>
      <c r="G533" s="1118"/>
      <c r="H533" s="1118"/>
      <c r="I533" s="1118"/>
      <c r="J533" s="1118"/>
      <c r="K533" s="1118"/>
      <c r="L533" s="1118"/>
      <c r="M533" s="1118"/>
      <c r="N533" s="1118"/>
      <c r="O533" s="1118"/>
      <c r="P533" s="1118"/>
      <c r="Q533" s="1111"/>
      <c r="R533" s="1111"/>
      <c r="S533" s="1111"/>
      <c r="T533" s="1111"/>
      <c r="U533" s="1111"/>
      <c r="V533" s="1111"/>
      <c r="W533" s="1111"/>
      <c r="X533" s="1111"/>
      <c r="Y533" s="1111"/>
      <c r="Z533" s="1111"/>
      <c r="AA533" s="1111"/>
      <c r="AB533" s="1111"/>
      <c r="AC533" s="1111"/>
      <c r="AD533" s="1111"/>
      <c r="AE533" s="1111"/>
      <c r="AF533" s="1111"/>
      <c r="AG533" s="1111"/>
    </row>
    <row r="534" spans="1:33" s="1295" customFormat="1">
      <c r="A534" s="1264"/>
      <c r="D534" s="1118"/>
      <c r="E534" s="1264"/>
      <c r="F534" s="1118"/>
      <c r="G534" s="1118"/>
      <c r="H534" s="1118"/>
      <c r="I534" s="1118"/>
      <c r="J534" s="1118"/>
      <c r="K534" s="1118"/>
      <c r="L534" s="1118"/>
      <c r="M534" s="1118"/>
      <c r="N534" s="1118"/>
      <c r="O534" s="1118"/>
      <c r="P534" s="1118"/>
      <c r="Q534" s="1111"/>
      <c r="R534" s="1111"/>
      <c r="S534" s="1111"/>
      <c r="T534" s="1111"/>
      <c r="U534" s="1111"/>
      <c r="V534" s="1111"/>
      <c r="W534" s="1111"/>
      <c r="X534" s="1111"/>
      <c r="Y534" s="1111"/>
      <c r="Z534" s="1111"/>
      <c r="AA534" s="1111"/>
      <c r="AB534" s="1111"/>
      <c r="AC534" s="1111"/>
      <c r="AD534" s="1111"/>
      <c r="AE534" s="1111"/>
      <c r="AF534" s="1111"/>
      <c r="AG534" s="1111"/>
    </row>
    <row r="535" spans="1:33" s="1295" customFormat="1">
      <c r="A535" s="1264"/>
      <c r="D535" s="1118"/>
      <c r="E535" s="1264"/>
      <c r="F535" s="1118"/>
      <c r="G535" s="1118"/>
      <c r="H535" s="1118"/>
      <c r="I535" s="1118"/>
      <c r="J535" s="1118"/>
      <c r="K535" s="1118"/>
      <c r="L535" s="1118"/>
      <c r="M535" s="1118"/>
      <c r="N535" s="1118"/>
      <c r="O535" s="1118"/>
      <c r="P535" s="1118"/>
      <c r="Q535" s="1111"/>
      <c r="R535" s="1111"/>
      <c r="S535" s="1111"/>
      <c r="T535" s="1111"/>
      <c r="U535" s="1111"/>
      <c r="V535" s="1111"/>
      <c r="W535" s="1111"/>
      <c r="X535" s="1111"/>
      <c r="Y535" s="1111"/>
      <c r="Z535" s="1111"/>
      <c r="AA535" s="1111"/>
      <c r="AB535" s="1111"/>
      <c r="AC535" s="1111"/>
      <c r="AD535" s="1111"/>
      <c r="AE535" s="1111"/>
      <c r="AF535" s="1111"/>
      <c r="AG535" s="1111"/>
    </row>
    <row r="536" spans="1:33" s="1295" customFormat="1">
      <c r="A536" s="1264"/>
      <c r="D536" s="1118"/>
      <c r="E536" s="1264"/>
      <c r="F536" s="1118"/>
      <c r="G536" s="1118"/>
      <c r="H536" s="1118"/>
      <c r="I536" s="1118"/>
      <c r="J536" s="1118"/>
      <c r="K536" s="1118"/>
      <c r="L536" s="1118"/>
      <c r="M536" s="1118"/>
      <c r="N536" s="1118"/>
      <c r="O536" s="1118"/>
      <c r="P536" s="1118"/>
      <c r="Q536" s="1111"/>
      <c r="R536" s="1111"/>
      <c r="S536" s="1111"/>
      <c r="T536" s="1111"/>
      <c r="U536" s="1111"/>
      <c r="V536" s="1111"/>
      <c r="W536" s="1111"/>
      <c r="X536" s="1111"/>
      <c r="Y536" s="1111"/>
      <c r="Z536" s="1111"/>
      <c r="AA536" s="1111"/>
      <c r="AB536" s="1111"/>
      <c r="AC536" s="1111"/>
      <c r="AD536" s="1111"/>
      <c r="AE536" s="1111"/>
      <c r="AF536" s="1111"/>
      <c r="AG536" s="1111"/>
    </row>
    <row r="537" spans="1:33" s="1295" customFormat="1">
      <c r="A537" s="1264"/>
      <c r="D537" s="1118"/>
      <c r="E537" s="1264"/>
      <c r="F537" s="1118"/>
      <c r="G537" s="1118"/>
      <c r="H537" s="1118"/>
      <c r="I537" s="1118"/>
      <c r="J537" s="1118"/>
      <c r="K537" s="1118"/>
      <c r="L537" s="1118"/>
      <c r="M537" s="1118"/>
      <c r="N537" s="1118"/>
      <c r="O537" s="1118"/>
      <c r="P537" s="1118"/>
      <c r="Q537" s="1111"/>
      <c r="R537" s="1111"/>
      <c r="S537" s="1111"/>
      <c r="T537" s="1111"/>
      <c r="U537" s="1111"/>
      <c r="V537" s="1111"/>
      <c r="W537" s="1111"/>
      <c r="X537" s="1111"/>
      <c r="Y537" s="1111"/>
      <c r="Z537" s="1111"/>
      <c r="AA537" s="1111"/>
      <c r="AB537" s="1111"/>
      <c r="AC537" s="1111"/>
      <c r="AD537" s="1111"/>
      <c r="AE537" s="1111"/>
      <c r="AF537" s="1111"/>
      <c r="AG537" s="1111"/>
    </row>
    <row r="538" spans="1:33" s="1295" customFormat="1">
      <c r="A538" s="1264"/>
      <c r="D538" s="1118"/>
      <c r="E538" s="1264"/>
      <c r="F538" s="1118"/>
      <c r="G538" s="1118"/>
      <c r="H538" s="1118"/>
      <c r="I538" s="1118"/>
      <c r="J538" s="1118"/>
      <c r="K538" s="1118"/>
      <c r="L538" s="1118"/>
      <c r="M538" s="1118"/>
      <c r="N538" s="1118"/>
      <c r="O538" s="1118"/>
      <c r="P538" s="1118"/>
      <c r="Q538" s="1111"/>
      <c r="R538" s="1111"/>
      <c r="S538" s="1111"/>
      <c r="T538" s="1111"/>
      <c r="U538" s="1111"/>
      <c r="V538" s="1111"/>
      <c r="W538" s="1111"/>
      <c r="X538" s="1111"/>
      <c r="Y538" s="1111"/>
      <c r="Z538" s="1111"/>
      <c r="AA538" s="1111"/>
      <c r="AB538" s="1111"/>
      <c r="AC538" s="1111"/>
      <c r="AD538" s="1111"/>
      <c r="AE538" s="1111"/>
      <c r="AF538" s="1111"/>
      <c r="AG538" s="1111"/>
    </row>
    <row r="539" spans="1:33" s="1295" customFormat="1">
      <c r="A539" s="1264"/>
      <c r="D539" s="1118"/>
      <c r="E539" s="1264"/>
      <c r="F539" s="1118"/>
      <c r="G539" s="1118"/>
      <c r="H539" s="1118"/>
      <c r="I539" s="1118"/>
      <c r="J539" s="1118"/>
      <c r="K539" s="1118"/>
      <c r="L539" s="1118"/>
      <c r="M539" s="1118"/>
      <c r="N539" s="1118"/>
      <c r="O539" s="1118"/>
      <c r="P539" s="1118"/>
      <c r="Q539" s="1111"/>
      <c r="R539" s="1111"/>
      <c r="S539" s="1111"/>
      <c r="T539" s="1111"/>
      <c r="U539" s="1111"/>
      <c r="V539" s="1111"/>
      <c r="W539" s="1111"/>
      <c r="X539" s="1111"/>
      <c r="Y539" s="1111"/>
      <c r="Z539" s="1111"/>
      <c r="AA539" s="1111"/>
      <c r="AB539" s="1111"/>
      <c r="AC539" s="1111"/>
      <c r="AD539" s="1111"/>
      <c r="AE539" s="1111"/>
      <c r="AF539" s="1111"/>
      <c r="AG539" s="1111"/>
    </row>
    <row r="540" spans="1:33" s="1295" customFormat="1">
      <c r="A540" s="1264"/>
      <c r="D540" s="1118"/>
      <c r="E540" s="1264"/>
      <c r="F540" s="1118"/>
      <c r="G540" s="1118"/>
      <c r="H540" s="1118"/>
      <c r="I540" s="1118"/>
      <c r="J540" s="1118"/>
      <c r="K540" s="1118"/>
      <c r="L540" s="1118"/>
      <c r="M540" s="1118"/>
      <c r="N540" s="1118"/>
      <c r="O540" s="1118"/>
      <c r="P540" s="1118"/>
      <c r="Q540" s="1111"/>
      <c r="R540" s="1111"/>
      <c r="S540" s="1111"/>
      <c r="T540" s="1111"/>
      <c r="U540" s="1111"/>
      <c r="V540" s="1111"/>
      <c r="W540" s="1111"/>
      <c r="X540" s="1111"/>
      <c r="Y540" s="1111"/>
      <c r="Z540" s="1111"/>
      <c r="AA540" s="1111"/>
      <c r="AB540" s="1111"/>
      <c r="AC540" s="1111"/>
      <c r="AD540" s="1111"/>
      <c r="AE540" s="1111"/>
      <c r="AF540" s="1111"/>
      <c r="AG540" s="1111"/>
    </row>
    <row r="541" spans="1:33" s="1295" customFormat="1">
      <c r="A541" s="1264"/>
      <c r="D541" s="1118"/>
      <c r="E541" s="1264"/>
      <c r="F541" s="1118"/>
      <c r="G541" s="1118"/>
      <c r="H541" s="1118"/>
      <c r="I541" s="1118"/>
      <c r="J541" s="1118"/>
      <c r="K541" s="1118"/>
      <c r="L541" s="1118"/>
      <c r="M541" s="1118"/>
      <c r="N541" s="1118"/>
      <c r="O541" s="1118"/>
      <c r="P541" s="1118"/>
      <c r="Q541" s="1111"/>
      <c r="R541" s="1111"/>
      <c r="S541" s="1111"/>
      <c r="T541" s="1111"/>
      <c r="U541" s="1111"/>
      <c r="V541" s="1111"/>
      <c r="W541" s="1111"/>
      <c r="X541" s="1111"/>
      <c r="Y541" s="1111"/>
      <c r="Z541" s="1111"/>
      <c r="AA541" s="1111"/>
      <c r="AB541" s="1111"/>
      <c r="AC541" s="1111"/>
      <c r="AD541" s="1111"/>
      <c r="AE541" s="1111"/>
      <c r="AF541" s="1111"/>
      <c r="AG541" s="1111"/>
    </row>
    <row r="542" spans="1:33" s="1295" customFormat="1">
      <c r="A542" s="1264"/>
      <c r="D542" s="1118"/>
      <c r="E542" s="1264"/>
      <c r="F542" s="1118"/>
      <c r="G542" s="1118"/>
      <c r="H542" s="1118"/>
      <c r="I542" s="1118"/>
      <c r="J542" s="1118"/>
      <c r="K542" s="1118"/>
      <c r="L542" s="1118"/>
      <c r="M542" s="1118"/>
      <c r="N542" s="1118"/>
      <c r="O542" s="1118"/>
      <c r="P542" s="1118"/>
      <c r="Q542" s="1111"/>
      <c r="R542" s="1111"/>
      <c r="S542" s="1111"/>
      <c r="T542" s="1111"/>
      <c r="U542" s="1111"/>
      <c r="V542" s="1111"/>
      <c r="W542" s="1111"/>
      <c r="X542" s="1111"/>
      <c r="Y542" s="1111"/>
      <c r="Z542" s="1111"/>
      <c r="AA542" s="1111"/>
      <c r="AB542" s="1111"/>
      <c r="AC542" s="1111"/>
      <c r="AD542" s="1111"/>
      <c r="AE542" s="1111"/>
      <c r="AF542" s="1111"/>
      <c r="AG542" s="1111"/>
    </row>
    <row r="543" spans="1:33" s="1295" customFormat="1">
      <c r="A543" s="1264"/>
      <c r="D543" s="1118"/>
      <c r="E543" s="1264"/>
      <c r="F543" s="1118"/>
      <c r="G543" s="1118"/>
      <c r="H543" s="1118"/>
      <c r="I543" s="1118"/>
      <c r="J543" s="1118"/>
      <c r="K543" s="1118"/>
      <c r="L543" s="1118"/>
      <c r="M543" s="1118"/>
      <c r="N543" s="1118"/>
      <c r="O543" s="1118"/>
      <c r="P543" s="1118"/>
      <c r="Q543" s="1111"/>
      <c r="R543" s="1111"/>
      <c r="S543" s="1111"/>
      <c r="T543" s="1111"/>
      <c r="U543" s="1111"/>
      <c r="V543" s="1111"/>
      <c r="W543" s="1111"/>
      <c r="X543" s="1111"/>
      <c r="Y543" s="1111"/>
      <c r="Z543" s="1111"/>
      <c r="AA543" s="1111"/>
      <c r="AB543" s="1111"/>
      <c r="AC543" s="1111"/>
      <c r="AD543" s="1111"/>
      <c r="AE543" s="1111"/>
      <c r="AF543" s="1111"/>
      <c r="AG543" s="1111"/>
    </row>
    <row r="544" spans="1:33" s="1295" customFormat="1">
      <c r="A544" s="1264"/>
      <c r="D544" s="1118"/>
      <c r="E544" s="1264"/>
      <c r="F544" s="1118"/>
      <c r="G544" s="1118"/>
      <c r="H544" s="1118"/>
      <c r="I544" s="1118"/>
      <c r="J544" s="1118"/>
      <c r="K544" s="1118"/>
      <c r="L544" s="1118"/>
      <c r="M544" s="1118"/>
      <c r="N544" s="1118"/>
      <c r="O544" s="1118"/>
      <c r="P544" s="1118"/>
      <c r="Q544" s="1111"/>
      <c r="R544" s="1111"/>
      <c r="S544" s="1111"/>
      <c r="T544" s="1111"/>
      <c r="U544" s="1111"/>
      <c r="V544" s="1111"/>
      <c r="W544" s="1111"/>
      <c r="X544" s="1111"/>
      <c r="Y544" s="1111"/>
      <c r="Z544" s="1111"/>
      <c r="AA544" s="1111"/>
      <c r="AB544" s="1111"/>
      <c r="AC544" s="1111"/>
      <c r="AD544" s="1111"/>
      <c r="AE544" s="1111"/>
      <c r="AF544" s="1111"/>
      <c r="AG544" s="1111"/>
    </row>
    <row r="545" spans="1:33" s="1295" customFormat="1">
      <c r="A545" s="1264"/>
      <c r="D545" s="1118"/>
      <c r="E545" s="1264"/>
      <c r="F545" s="1118"/>
      <c r="G545" s="1118"/>
      <c r="H545" s="1118"/>
      <c r="I545" s="1118"/>
      <c r="J545" s="1118"/>
      <c r="K545" s="1118"/>
      <c r="L545" s="1118"/>
      <c r="M545" s="1118"/>
      <c r="N545" s="1118"/>
      <c r="O545" s="1118"/>
      <c r="P545" s="1118"/>
      <c r="Q545" s="1111"/>
      <c r="R545" s="1111"/>
      <c r="S545" s="1111"/>
      <c r="T545" s="1111"/>
      <c r="U545" s="1111"/>
      <c r="V545" s="1111"/>
      <c r="W545" s="1111"/>
      <c r="X545" s="1111"/>
      <c r="Y545" s="1111"/>
      <c r="Z545" s="1111"/>
      <c r="AA545" s="1111"/>
      <c r="AB545" s="1111"/>
      <c r="AC545" s="1111"/>
      <c r="AD545" s="1111"/>
      <c r="AE545" s="1111"/>
      <c r="AF545" s="1111"/>
      <c r="AG545" s="1111"/>
    </row>
    <row r="546" spans="1:33" s="1295" customFormat="1">
      <c r="A546" s="1264"/>
      <c r="D546" s="1118"/>
      <c r="E546" s="1264"/>
      <c r="F546" s="1118"/>
      <c r="G546" s="1118"/>
      <c r="H546" s="1118"/>
      <c r="I546" s="1118"/>
      <c r="J546" s="1118"/>
      <c r="K546" s="1118"/>
      <c r="L546" s="1118"/>
      <c r="M546" s="1118"/>
      <c r="N546" s="1118"/>
      <c r="O546" s="1118"/>
      <c r="P546" s="1118"/>
      <c r="Q546" s="1111"/>
      <c r="R546" s="1111"/>
      <c r="S546" s="1111"/>
      <c r="T546" s="1111"/>
      <c r="U546" s="1111"/>
      <c r="V546" s="1111"/>
      <c r="W546" s="1111"/>
      <c r="X546" s="1111"/>
      <c r="Y546" s="1111"/>
      <c r="Z546" s="1111"/>
      <c r="AA546" s="1111"/>
      <c r="AB546" s="1111"/>
      <c r="AC546" s="1111"/>
      <c r="AD546" s="1111"/>
      <c r="AE546" s="1111"/>
      <c r="AF546" s="1111"/>
      <c r="AG546" s="1111"/>
    </row>
    <row r="547" spans="1:33" s="1295" customFormat="1">
      <c r="A547" s="1264"/>
      <c r="D547" s="1118"/>
      <c r="E547" s="1264"/>
      <c r="F547" s="1118"/>
      <c r="G547" s="1118"/>
      <c r="H547" s="1118"/>
      <c r="I547" s="1118"/>
      <c r="J547" s="1118"/>
      <c r="K547" s="1118"/>
      <c r="L547" s="1118"/>
      <c r="M547" s="1118"/>
      <c r="N547" s="1118"/>
      <c r="O547" s="1118"/>
      <c r="P547" s="1118"/>
      <c r="Q547" s="1111"/>
      <c r="R547" s="1111"/>
      <c r="S547" s="1111"/>
      <c r="T547" s="1111"/>
      <c r="U547" s="1111"/>
      <c r="V547" s="1111"/>
      <c r="W547" s="1111"/>
      <c r="X547" s="1111"/>
      <c r="Y547" s="1111"/>
      <c r="Z547" s="1111"/>
      <c r="AA547" s="1111"/>
      <c r="AB547" s="1111"/>
      <c r="AC547" s="1111"/>
      <c r="AD547" s="1111"/>
      <c r="AE547" s="1111"/>
      <c r="AF547" s="1111"/>
      <c r="AG547" s="1111"/>
    </row>
    <row r="548" spans="1:33" s="1295" customFormat="1">
      <c r="A548" s="1264"/>
      <c r="D548" s="1118"/>
      <c r="E548" s="1264"/>
      <c r="F548" s="1118"/>
      <c r="G548" s="1118"/>
      <c r="H548" s="1118"/>
      <c r="I548" s="1118"/>
      <c r="J548" s="1118"/>
      <c r="K548" s="1118"/>
      <c r="L548" s="1118"/>
      <c r="M548" s="1118"/>
      <c r="N548" s="1118"/>
      <c r="O548" s="1118"/>
      <c r="P548" s="1118"/>
      <c r="Q548" s="1111"/>
      <c r="R548" s="1111"/>
      <c r="S548" s="1111"/>
      <c r="T548" s="1111"/>
      <c r="U548" s="1111"/>
      <c r="V548" s="1111"/>
      <c r="W548" s="1111"/>
      <c r="X548" s="1111"/>
      <c r="Y548" s="1111"/>
      <c r="Z548" s="1111"/>
      <c r="AA548" s="1111"/>
      <c r="AB548" s="1111"/>
      <c r="AC548" s="1111"/>
      <c r="AD548" s="1111"/>
      <c r="AE548" s="1111"/>
      <c r="AF548" s="1111"/>
      <c r="AG548" s="1111"/>
    </row>
    <row r="549" spans="1:33" s="1295" customFormat="1">
      <c r="A549" s="1264"/>
      <c r="D549" s="1118"/>
      <c r="E549" s="1264"/>
      <c r="F549" s="1118"/>
      <c r="G549" s="1118"/>
      <c r="H549" s="1118"/>
      <c r="I549" s="1118"/>
      <c r="J549" s="1118"/>
      <c r="K549" s="1118"/>
      <c r="L549" s="1118"/>
      <c r="M549" s="1118"/>
      <c r="N549" s="1118"/>
      <c r="O549" s="1118"/>
      <c r="P549" s="1118"/>
      <c r="Q549" s="1111"/>
      <c r="R549" s="1111"/>
      <c r="S549" s="1111"/>
      <c r="T549" s="1111"/>
      <c r="U549" s="1111"/>
      <c r="V549" s="1111"/>
      <c r="W549" s="1111"/>
      <c r="X549" s="1111"/>
      <c r="Y549" s="1111"/>
      <c r="Z549" s="1111"/>
      <c r="AA549" s="1111"/>
      <c r="AB549" s="1111"/>
      <c r="AC549" s="1111"/>
      <c r="AD549" s="1111"/>
      <c r="AE549" s="1111"/>
      <c r="AF549" s="1111"/>
      <c r="AG549" s="1111"/>
    </row>
    <row r="550" spans="1:33" s="1295" customFormat="1">
      <c r="A550" s="1264"/>
      <c r="D550" s="1118"/>
      <c r="E550" s="1264"/>
      <c r="F550" s="1118"/>
      <c r="G550" s="1118"/>
      <c r="H550" s="1118"/>
      <c r="I550" s="1118"/>
      <c r="J550" s="1118"/>
      <c r="K550" s="1118"/>
      <c r="L550" s="1118"/>
      <c r="M550" s="1118"/>
      <c r="N550" s="1118"/>
      <c r="O550" s="1118"/>
      <c r="P550" s="1118"/>
      <c r="Q550" s="1111"/>
      <c r="R550" s="1111"/>
      <c r="S550" s="1111"/>
      <c r="T550" s="1111"/>
      <c r="U550" s="1111"/>
      <c r="V550" s="1111"/>
      <c r="W550" s="1111"/>
      <c r="X550" s="1111"/>
      <c r="Y550" s="1111"/>
      <c r="Z550" s="1111"/>
      <c r="AA550" s="1111"/>
      <c r="AB550" s="1111"/>
      <c r="AC550" s="1111"/>
      <c r="AD550" s="1111"/>
      <c r="AE550" s="1111"/>
      <c r="AF550" s="1111"/>
      <c r="AG550" s="1111"/>
    </row>
    <row r="551" spans="1:33" s="1295" customFormat="1">
      <c r="A551" s="1264"/>
      <c r="D551" s="1118"/>
      <c r="E551" s="1264"/>
      <c r="F551" s="1118"/>
      <c r="G551" s="1118"/>
      <c r="H551" s="1118"/>
      <c r="I551" s="1118"/>
      <c r="J551" s="1118"/>
      <c r="K551" s="1118"/>
      <c r="L551" s="1118"/>
      <c r="M551" s="1118"/>
      <c r="N551" s="1118"/>
      <c r="O551" s="1118"/>
      <c r="P551" s="1118"/>
      <c r="Q551" s="1111"/>
      <c r="R551" s="1111"/>
      <c r="S551" s="1111"/>
      <c r="T551" s="1111"/>
      <c r="U551" s="1111"/>
      <c r="V551" s="1111"/>
      <c r="W551" s="1111"/>
      <c r="X551" s="1111"/>
      <c r="Y551" s="1111"/>
      <c r="Z551" s="1111"/>
      <c r="AA551" s="1111"/>
      <c r="AB551" s="1111"/>
      <c r="AC551" s="1111"/>
      <c r="AD551" s="1111"/>
      <c r="AE551" s="1111"/>
      <c r="AF551" s="1111"/>
      <c r="AG551" s="1111"/>
    </row>
    <row r="552" spans="1:33" s="1295" customFormat="1">
      <c r="A552" s="1264"/>
      <c r="D552" s="1118"/>
      <c r="E552" s="1264"/>
      <c r="F552" s="1118"/>
      <c r="G552" s="1118"/>
      <c r="H552" s="1118"/>
      <c r="I552" s="1118"/>
      <c r="J552" s="1118"/>
      <c r="K552" s="1118"/>
      <c r="L552" s="1118"/>
      <c r="M552" s="1118"/>
      <c r="N552" s="1118"/>
      <c r="O552" s="1118"/>
      <c r="P552" s="1118"/>
      <c r="Q552" s="1111"/>
      <c r="R552" s="1111"/>
      <c r="S552" s="1111"/>
      <c r="T552" s="1111"/>
      <c r="U552" s="1111"/>
      <c r="V552" s="1111"/>
      <c r="W552" s="1111"/>
      <c r="X552" s="1111"/>
      <c r="Y552" s="1111"/>
      <c r="Z552" s="1111"/>
      <c r="AA552" s="1111"/>
      <c r="AB552" s="1111"/>
      <c r="AC552" s="1111"/>
      <c r="AD552" s="1111"/>
      <c r="AE552" s="1111"/>
      <c r="AF552" s="1111"/>
      <c r="AG552" s="1111"/>
    </row>
    <row r="553" spans="1:33" s="1295" customFormat="1">
      <c r="A553" s="1264"/>
      <c r="D553" s="1118"/>
      <c r="E553" s="1264"/>
      <c r="F553" s="1118"/>
      <c r="G553" s="1118"/>
      <c r="H553" s="1118"/>
      <c r="I553" s="1118"/>
      <c r="J553" s="1118"/>
      <c r="K553" s="1118"/>
      <c r="L553" s="1118"/>
      <c r="M553" s="1118"/>
      <c r="N553" s="1118"/>
      <c r="O553" s="1118"/>
      <c r="P553" s="1118"/>
      <c r="Q553" s="1111"/>
      <c r="R553" s="1111"/>
      <c r="S553" s="1111"/>
      <c r="T553" s="1111"/>
      <c r="U553" s="1111"/>
      <c r="V553" s="1111"/>
      <c r="W553" s="1111"/>
      <c r="X553" s="1111"/>
      <c r="Y553" s="1111"/>
      <c r="Z553" s="1111"/>
      <c r="AA553" s="1111"/>
      <c r="AB553" s="1111"/>
      <c r="AC553" s="1111"/>
      <c r="AD553" s="1111"/>
      <c r="AE553" s="1111"/>
      <c r="AF553" s="1111"/>
      <c r="AG553" s="1111"/>
    </row>
    <row r="554" spans="1:33" s="1295" customFormat="1">
      <c r="A554" s="1264"/>
      <c r="D554" s="1118"/>
      <c r="E554" s="1264"/>
      <c r="F554" s="1118"/>
      <c r="G554" s="1118"/>
      <c r="H554" s="1118"/>
      <c r="I554" s="1118"/>
      <c r="J554" s="1118"/>
      <c r="K554" s="1118"/>
      <c r="L554" s="1118"/>
      <c r="M554" s="1118"/>
      <c r="N554" s="1118"/>
      <c r="O554" s="1118"/>
      <c r="P554" s="1118"/>
      <c r="Q554" s="1111"/>
      <c r="R554" s="1111"/>
      <c r="S554" s="1111"/>
      <c r="T554" s="1111"/>
      <c r="U554" s="1111"/>
      <c r="V554" s="1111"/>
      <c r="W554" s="1111"/>
      <c r="X554" s="1111"/>
      <c r="Y554" s="1111"/>
      <c r="Z554" s="1111"/>
      <c r="AA554" s="1111"/>
      <c r="AB554" s="1111"/>
      <c r="AC554" s="1111"/>
      <c r="AD554" s="1111"/>
      <c r="AE554" s="1111"/>
      <c r="AF554" s="1111"/>
      <c r="AG554" s="1111"/>
    </row>
    <row r="555" spans="1:33" s="1295" customFormat="1">
      <c r="A555" s="1264"/>
      <c r="D555" s="1118"/>
      <c r="E555" s="1264"/>
      <c r="F555" s="1118"/>
      <c r="G555" s="1118"/>
      <c r="H555" s="1118"/>
      <c r="I555" s="1118"/>
      <c r="J555" s="1118"/>
      <c r="K555" s="1118"/>
      <c r="L555" s="1118"/>
      <c r="M555" s="1118"/>
      <c r="N555" s="1118"/>
      <c r="O555" s="1118"/>
      <c r="P555" s="1118"/>
      <c r="Q555" s="1111"/>
      <c r="R555" s="1111"/>
      <c r="S555" s="1111"/>
      <c r="T555" s="1111"/>
      <c r="U555" s="1111"/>
      <c r="V555" s="1111"/>
      <c r="W555" s="1111"/>
      <c r="X555" s="1111"/>
      <c r="Y555" s="1111"/>
      <c r="Z555" s="1111"/>
      <c r="AA555" s="1111"/>
      <c r="AB555" s="1111"/>
      <c r="AC555" s="1111"/>
      <c r="AD555" s="1111"/>
      <c r="AE555" s="1111"/>
      <c r="AF555" s="1111"/>
      <c r="AG555" s="1111"/>
    </row>
    <row r="556" spans="1:33" s="1295" customFormat="1">
      <c r="A556" s="1264"/>
      <c r="D556" s="1118"/>
      <c r="E556" s="1264"/>
      <c r="F556" s="1118"/>
      <c r="G556" s="1118"/>
      <c r="H556" s="1118"/>
      <c r="I556" s="1118"/>
      <c r="J556" s="1118"/>
      <c r="K556" s="1118"/>
      <c r="L556" s="1118"/>
      <c r="M556" s="1118"/>
      <c r="N556" s="1118"/>
      <c r="O556" s="1118"/>
      <c r="P556" s="1118"/>
      <c r="Q556" s="1111"/>
      <c r="R556" s="1111"/>
      <c r="S556" s="1111"/>
      <c r="T556" s="1111"/>
      <c r="U556" s="1111"/>
      <c r="V556" s="1111"/>
      <c r="W556" s="1111"/>
      <c r="X556" s="1111"/>
      <c r="Y556" s="1111"/>
      <c r="Z556" s="1111"/>
      <c r="AA556" s="1111"/>
      <c r="AB556" s="1111"/>
      <c r="AC556" s="1111"/>
      <c r="AD556" s="1111"/>
      <c r="AE556" s="1111"/>
      <c r="AF556" s="1111"/>
      <c r="AG556" s="1111"/>
    </row>
    <row r="557" spans="1:33" s="1295" customFormat="1">
      <c r="A557" s="1264"/>
      <c r="D557" s="1118"/>
      <c r="E557" s="1264"/>
      <c r="F557" s="1118"/>
      <c r="G557" s="1118"/>
      <c r="H557" s="1118"/>
      <c r="I557" s="1118"/>
      <c r="J557" s="1118"/>
      <c r="K557" s="1118"/>
      <c r="L557" s="1118"/>
      <c r="M557" s="1118"/>
      <c r="N557" s="1118"/>
      <c r="O557" s="1118"/>
      <c r="P557" s="1118"/>
      <c r="Q557" s="1111"/>
      <c r="R557" s="1111"/>
      <c r="S557" s="1111"/>
      <c r="T557" s="1111"/>
      <c r="U557" s="1111"/>
      <c r="V557" s="1111"/>
      <c r="W557" s="1111"/>
      <c r="X557" s="1111"/>
      <c r="Y557" s="1111"/>
      <c r="Z557" s="1111"/>
      <c r="AA557" s="1111"/>
      <c r="AB557" s="1111"/>
      <c r="AC557" s="1111"/>
      <c r="AD557" s="1111"/>
      <c r="AE557" s="1111"/>
      <c r="AF557" s="1111"/>
      <c r="AG557" s="1111"/>
    </row>
    <row r="558" spans="1:33" s="1295" customFormat="1">
      <c r="A558" s="1264"/>
      <c r="D558" s="1118"/>
      <c r="E558" s="1264"/>
      <c r="F558" s="1118"/>
      <c r="G558" s="1118"/>
      <c r="H558" s="1118"/>
      <c r="I558" s="1118"/>
      <c r="J558" s="1118"/>
      <c r="K558" s="1118"/>
      <c r="L558" s="1118"/>
      <c r="M558" s="1118"/>
      <c r="N558" s="1118"/>
      <c r="O558" s="1118"/>
      <c r="P558" s="1118"/>
      <c r="Q558" s="1111"/>
      <c r="R558" s="1111"/>
      <c r="S558" s="1111"/>
      <c r="T558" s="1111"/>
      <c r="U558" s="1111"/>
      <c r="V558" s="1111"/>
      <c r="W558" s="1111"/>
      <c r="X558" s="1111"/>
      <c r="Y558" s="1111"/>
      <c r="Z558" s="1111"/>
      <c r="AA558" s="1111"/>
      <c r="AB558" s="1111"/>
      <c r="AC558" s="1111"/>
      <c r="AD558" s="1111"/>
      <c r="AE558" s="1111"/>
      <c r="AF558" s="1111"/>
      <c r="AG558" s="1111"/>
    </row>
    <row r="559" spans="1:33" s="1295" customFormat="1">
      <c r="A559" s="1264"/>
      <c r="D559" s="1118"/>
      <c r="E559" s="1264"/>
      <c r="F559" s="1118"/>
      <c r="G559" s="1118"/>
      <c r="H559" s="1118"/>
      <c r="I559" s="1118"/>
      <c r="J559" s="1118"/>
      <c r="K559" s="1118"/>
      <c r="L559" s="1118"/>
      <c r="M559" s="1118"/>
      <c r="N559" s="1118"/>
      <c r="O559" s="1118"/>
      <c r="P559" s="1118"/>
      <c r="Q559" s="1111"/>
      <c r="R559" s="1111"/>
      <c r="S559" s="1111"/>
      <c r="T559" s="1111"/>
      <c r="U559" s="1111"/>
      <c r="V559" s="1111"/>
      <c r="W559" s="1111"/>
      <c r="X559" s="1111"/>
      <c r="Y559" s="1111"/>
      <c r="Z559" s="1111"/>
      <c r="AA559" s="1111"/>
      <c r="AB559" s="1111"/>
      <c r="AC559" s="1111"/>
      <c r="AD559" s="1111"/>
      <c r="AE559" s="1111"/>
      <c r="AF559" s="1111"/>
      <c r="AG559" s="1111"/>
    </row>
    <row r="560" spans="1:33" s="1295" customFormat="1">
      <c r="A560" s="1264"/>
      <c r="D560" s="1118"/>
      <c r="E560" s="1264"/>
      <c r="F560" s="1118"/>
      <c r="G560" s="1118"/>
      <c r="H560" s="1118"/>
      <c r="I560" s="1118"/>
      <c r="J560" s="1118"/>
      <c r="K560" s="1118"/>
      <c r="L560" s="1118"/>
      <c r="M560" s="1118"/>
      <c r="N560" s="1118"/>
      <c r="O560" s="1118"/>
      <c r="P560" s="1118"/>
      <c r="Q560" s="1111"/>
      <c r="R560" s="1111"/>
      <c r="S560" s="1111"/>
      <c r="T560" s="1111"/>
      <c r="U560" s="1111"/>
      <c r="V560" s="1111"/>
      <c r="W560" s="1111"/>
      <c r="X560" s="1111"/>
      <c r="Y560" s="1111"/>
      <c r="Z560" s="1111"/>
      <c r="AA560" s="1111"/>
      <c r="AB560" s="1111"/>
      <c r="AC560" s="1111"/>
      <c r="AD560" s="1111"/>
      <c r="AE560" s="1111"/>
      <c r="AF560" s="1111"/>
      <c r="AG560" s="1111"/>
    </row>
    <row r="561" spans="1:33" s="1295" customFormat="1">
      <c r="A561" s="1264"/>
      <c r="D561" s="1118"/>
      <c r="E561" s="1264"/>
      <c r="F561" s="1118"/>
      <c r="G561" s="1118"/>
      <c r="H561" s="1118"/>
      <c r="I561" s="1118"/>
      <c r="J561" s="1118"/>
      <c r="K561" s="1118"/>
      <c r="L561" s="1118"/>
      <c r="M561" s="1118"/>
      <c r="N561" s="1118"/>
      <c r="O561" s="1118"/>
      <c r="P561" s="1118"/>
      <c r="Q561" s="1111"/>
      <c r="R561" s="1111"/>
      <c r="S561" s="1111"/>
      <c r="T561" s="1111"/>
      <c r="U561" s="1111"/>
      <c r="V561" s="1111"/>
      <c r="W561" s="1111"/>
      <c r="X561" s="1111"/>
      <c r="Y561" s="1111"/>
      <c r="Z561" s="1111"/>
      <c r="AA561" s="1111"/>
      <c r="AB561" s="1111"/>
      <c r="AC561" s="1111"/>
      <c r="AD561" s="1111"/>
      <c r="AE561" s="1111"/>
      <c r="AF561" s="1111"/>
      <c r="AG561" s="1111"/>
    </row>
    <row r="562" spans="1:33" s="1295" customFormat="1">
      <c r="A562" s="1264"/>
      <c r="D562" s="1118"/>
      <c r="E562" s="1264"/>
      <c r="F562" s="1118"/>
      <c r="G562" s="1118"/>
      <c r="H562" s="1118"/>
      <c r="I562" s="1118"/>
      <c r="J562" s="1118"/>
      <c r="K562" s="1118"/>
      <c r="L562" s="1118"/>
      <c r="M562" s="1118"/>
      <c r="N562" s="1118"/>
      <c r="O562" s="1118"/>
      <c r="P562" s="1118"/>
      <c r="Q562" s="1111"/>
      <c r="R562" s="1111"/>
      <c r="S562" s="1111"/>
      <c r="T562" s="1111"/>
      <c r="U562" s="1111"/>
      <c r="V562" s="1111"/>
      <c r="W562" s="1111"/>
      <c r="X562" s="1111"/>
      <c r="Y562" s="1111"/>
      <c r="Z562" s="1111"/>
      <c r="AA562" s="1111"/>
      <c r="AB562" s="1111"/>
      <c r="AC562" s="1111"/>
      <c r="AD562" s="1111"/>
      <c r="AE562" s="1111"/>
      <c r="AF562" s="1111"/>
      <c r="AG562" s="1111"/>
    </row>
    <row r="563" spans="1:33" s="1295" customFormat="1">
      <c r="A563" s="1264"/>
      <c r="D563" s="1118"/>
      <c r="E563" s="1264"/>
      <c r="F563" s="1118"/>
      <c r="G563" s="1118"/>
      <c r="H563" s="1118"/>
      <c r="I563" s="1118"/>
      <c r="J563" s="1118"/>
      <c r="K563" s="1118"/>
      <c r="L563" s="1118"/>
      <c r="M563" s="1118"/>
      <c r="N563" s="1118"/>
      <c r="O563" s="1118"/>
      <c r="P563" s="1118"/>
      <c r="Q563" s="1111"/>
      <c r="R563" s="1111"/>
      <c r="S563" s="1111"/>
      <c r="T563" s="1111"/>
      <c r="U563" s="1111"/>
      <c r="V563" s="1111"/>
      <c r="W563" s="1111"/>
      <c r="X563" s="1111"/>
      <c r="Y563" s="1111"/>
      <c r="Z563" s="1111"/>
      <c r="AA563" s="1111"/>
      <c r="AB563" s="1111"/>
      <c r="AC563" s="1111"/>
      <c r="AD563" s="1111"/>
      <c r="AE563" s="1111"/>
      <c r="AF563" s="1111"/>
      <c r="AG563" s="1111"/>
    </row>
    <row r="564" spans="1:33" s="1295" customFormat="1">
      <c r="A564" s="1264"/>
      <c r="D564" s="1118"/>
      <c r="E564" s="1264"/>
      <c r="F564" s="1118"/>
      <c r="G564" s="1118"/>
      <c r="H564" s="1118"/>
      <c r="I564" s="1118"/>
      <c r="J564" s="1118"/>
      <c r="K564" s="1118"/>
      <c r="L564" s="1118"/>
      <c r="M564" s="1118"/>
      <c r="N564" s="1118"/>
      <c r="O564" s="1118"/>
      <c r="P564" s="1118"/>
      <c r="Q564" s="1111"/>
      <c r="R564" s="1111"/>
      <c r="S564" s="1111"/>
      <c r="T564" s="1111"/>
      <c r="U564" s="1111"/>
      <c r="V564" s="1111"/>
      <c r="W564" s="1111"/>
      <c r="X564" s="1111"/>
      <c r="Y564" s="1111"/>
      <c r="Z564" s="1111"/>
      <c r="AA564" s="1111"/>
      <c r="AB564" s="1111"/>
      <c r="AC564" s="1111"/>
      <c r="AD564" s="1111"/>
      <c r="AE564" s="1111"/>
      <c r="AF564" s="1111"/>
      <c r="AG564" s="1111"/>
    </row>
    <row r="565" spans="1:33" s="1295" customFormat="1">
      <c r="A565" s="1264"/>
      <c r="D565" s="1118"/>
      <c r="E565" s="1264"/>
      <c r="F565" s="1118"/>
      <c r="G565" s="1118"/>
      <c r="H565" s="1118"/>
      <c r="I565" s="1118"/>
      <c r="J565" s="1118"/>
      <c r="K565" s="1118"/>
      <c r="L565" s="1118"/>
      <c r="M565" s="1118"/>
      <c r="N565" s="1118"/>
      <c r="O565" s="1118"/>
      <c r="P565" s="1118"/>
      <c r="Q565" s="1111"/>
      <c r="R565" s="1111"/>
      <c r="S565" s="1111"/>
      <c r="T565" s="1111"/>
      <c r="U565" s="1111"/>
      <c r="V565" s="1111"/>
      <c r="W565" s="1111"/>
      <c r="X565" s="1111"/>
      <c r="Y565" s="1111"/>
      <c r="Z565" s="1111"/>
      <c r="AA565" s="1111"/>
      <c r="AB565" s="1111"/>
      <c r="AC565" s="1111"/>
      <c r="AD565" s="1111"/>
      <c r="AE565" s="1111"/>
      <c r="AF565" s="1111"/>
      <c r="AG565" s="1111"/>
    </row>
    <row r="566" spans="1:33" s="1295" customFormat="1">
      <c r="A566" s="1264"/>
      <c r="D566" s="1118"/>
      <c r="E566" s="1264"/>
      <c r="F566" s="1118"/>
      <c r="G566" s="1118"/>
      <c r="H566" s="1118"/>
      <c r="I566" s="1118"/>
      <c r="J566" s="1118"/>
      <c r="K566" s="1118"/>
      <c r="L566" s="1118"/>
      <c r="M566" s="1118"/>
      <c r="N566" s="1118"/>
      <c r="O566" s="1118"/>
      <c r="P566" s="1118"/>
      <c r="Q566" s="1111"/>
      <c r="R566" s="1111"/>
      <c r="S566" s="1111"/>
      <c r="T566" s="1111"/>
      <c r="U566" s="1111"/>
      <c r="V566" s="1111"/>
      <c r="W566" s="1111"/>
      <c r="X566" s="1111"/>
      <c r="Y566" s="1111"/>
      <c r="Z566" s="1111"/>
      <c r="AA566" s="1111"/>
      <c r="AB566" s="1111"/>
      <c r="AC566" s="1111"/>
      <c r="AD566" s="1111"/>
      <c r="AE566" s="1111"/>
      <c r="AF566" s="1111"/>
      <c r="AG566" s="1111"/>
    </row>
    <row r="567" spans="1:33" s="1295" customFormat="1">
      <c r="A567" s="1264"/>
      <c r="D567" s="1118"/>
      <c r="E567" s="1264"/>
      <c r="F567" s="1118"/>
      <c r="G567" s="1118"/>
      <c r="H567" s="1118"/>
      <c r="I567" s="1118"/>
      <c r="J567" s="1118"/>
      <c r="K567" s="1118"/>
      <c r="L567" s="1118"/>
      <c r="M567" s="1118"/>
      <c r="N567" s="1118"/>
      <c r="O567" s="1118"/>
      <c r="P567" s="1118"/>
      <c r="Q567" s="1111"/>
      <c r="R567" s="1111"/>
      <c r="S567" s="1111"/>
      <c r="T567" s="1111"/>
      <c r="U567" s="1111"/>
      <c r="V567" s="1111"/>
      <c r="W567" s="1111"/>
      <c r="X567" s="1111"/>
      <c r="Y567" s="1111"/>
      <c r="Z567" s="1111"/>
      <c r="AA567" s="1111"/>
      <c r="AB567" s="1111"/>
      <c r="AC567" s="1111"/>
      <c r="AD567" s="1111"/>
      <c r="AE567" s="1111"/>
      <c r="AF567" s="1111"/>
      <c r="AG567" s="1111"/>
    </row>
    <row r="568" spans="1:33" s="1295" customFormat="1">
      <c r="A568" s="1264"/>
      <c r="D568" s="1118"/>
      <c r="E568" s="1264"/>
      <c r="F568" s="1118"/>
      <c r="G568" s="1118"/>
      <c r="H568" s="1118"/>
      <c r="I568" s="1118"/>
      <c r="J568" s="1118"/>
      <c r="K568" s="1118"/>
      <c r="L568" s="1118"/>
      <c r="M568" s="1118"/>
      <c r="N568" s="1118"/>
      <c r="O568" s="1118"/>
      <c r="P568" s="1118"/>
      <c r="Q568" s="1111"/>
      <c r="R568" s="1111"/>
      <c r="S568" s="1111"/>
      <c r="T568" s="1111"/>
      <c r="U568" s="1111"/>
      <c r="V568" s="1111"/>
      <c r="W568" s="1111"/>
      <c r="X568" s="1111"/>
      <c r="Y568" s="1111"/>
      <c r="Z568" s="1111"/>
      <c r="AA568" s="1111"/>
      <c r="AB568" s="1111"/>
      <c r="AC568" s="1111"/>
      <c r="AD568" s="1111"/>
      <c r="AE568" s="1111"/>
      <c r="AF568" s="1111"/>
      <c r="AG568" s="1111"/>
    </row>
    <row r="569" spans="1:33" s="1295" customFormat="1">
      <c r="A569" s="1264"/>
      <c r="D569" s="1118"/>
      <c r="E569" s="1264"/>
      <c r="F569" s="1118"/>
      <c r="G569" s="1118"/>
      <c r="H569" s="1118"/>
      <c r="I569" s="1118"/>
      <c r="J569" s="1118"/>
      <c r="K569" s="1118"/>
      <c r="L569" s="1118"/>
      <c r="M569" s="1118"/>
      <c r="N569" s="1118"/>
      <c r="O569" s="1118"/>
      <c r="P569" s="1118"/>
      <c r="Q569" s="1111"/>
      <c r="R569" s="1111"/>
      <c r="S569" s="1111"/>
      <c r="T569" s="1111"/>
      <c r="U569" s="1111"/>
      <c r="V569" s="1111"/>
      <c r="W569" s="1111"/>
      <c r="X569" s="1111"/>
      <c r="Y569" s="1111"/>
      <c r="Z569" s="1111"/>
      <c r="AA569" s="1111"/>
      <c r="AB569" s="1111"/>
      <c r="AC569" s="1111"/>
      <c r="AD569" s="1111"/>
      <c r="AE569" s="1111"/>
      <c r="AF569" s="1111"/>
      <c r="AG569" s="1111"/>
    </row>
    <row r="570" spans="1:33" s="1295" customFormat="1">
      <c r="A570" s="1264"/>
      <c r="D570" s="1118"/>
      <c r="E570" s="1264"/>
      <c r="F570" s="1118"/>
      <c r="G570" s="1118"/>
      <c r="H570" s="1118"/>
      <c r="I570" s="1118"/>
      <c r="J570" s="1118"/>
      <c r="K570" s="1118"/>
      <c r="L570" s="1118"/>
      <c r="M570" s="1118"/>
      <c r="N570" s="1118"/>
      <c r="O570" s="1118"/>
      <c r="P570" s="1118"/>
      <c r="Q570" s="1111"/>
      <c r="R570" s="1111"/>
      <c r="S570" s="1111"/>
      <c r="T570" s="1111"/>
      <c r="U570" s="1111"/>
      <c r="V570" s="1111"/>
      <c r="W570" s="1111"/>
      <c r="X570" s="1111"/>
      <c r="Y570" s="1111"/>
      <c r="Z570" s="1111"/>
      <c r="AA570" s="1111"/>
      <c r="AB570" s="1111"/>
      <c r="AC570" s="1111"/>
      <c r="AD570" s="1111"/>
      <c r="AE570" s="1111"/>
      <c r="AF570" s="1111"/>
      <c r="AG570" s="1111"/>
    </row>
    <row r="571" spans="1:33" s="1295" customFormat="1">
      <c r="A571" s="1264"/>
      <c r="D571" s="1118"/>
      <c r="E571" s="1264"/>
      <c r="F571" s="1118"/>
      <c r="G571" s="1118"/>
      <c r="H571" s="1118"/>
      <c r="I571" s="1118"/>
      <c r="J571" s="1118"/>
      <c r="K571" s="1118"/>
      <c r="L571" s="1118"/>
      <c r="M571" s="1118"/>
      <c r="N571" s="1118"/>
      <c r="O571" s="1118"/>
      <c r="P571" s="1118"/>
      <c r="Q571" s="1111"/>
      <c r="R571" s="1111"/>
      <c r="S571" s="1111"/>
      <c r="T571" s="1111"/>
      <c r="U571" s="1111"/>
      <c r="V571" s="1111"/>
      <c r="W571" s="1111"/>
      <c r="X571" s="1111"/>
      <c r="Y571" s="1111"/>
      <c r="Z571" s="1111"/>
      <c r="AA571" s="1111"/>
      <c r="AB571" s="1111"/>
      <c r="AC571" s="1111"/>
      <c r="AD571" s="1111"/>
      <c r="AE571" s="1111"/>
      <c r="AF571" s="1111"/>
      <c r="AG571" s="1111"/>
    </row>
    <row r="572" spans="1:33" s="1295" customFormat="1">
      <c r="A572" s="1264"/>
      <c r="D572" s="1118"/>
      <c r="E572" s="1264"/>
      <c r="F572" s="1118"/>
      <c r="G572" s="1118"/>
      <c r="H572" s="1118"/>
      <c r="I572" s="1118"/>
      <c r="J572" s="1118"/>
      <c r="K572" s="1118"/>
      <c r="L572" s="1118"/>
      <c r="M572" s="1118"/>
      <c r="N572" s="1118"/>
      <c r="O572" s="1118"/>
      <c r="P572" s="1118"/>
      <c r="Q572" s="1111"/>
      <c r="R572" s="1111"/>
      <c r="S572" s="1111"/>
      <c r="T572" s="1111"/>
      <c r="U572" s="1111"/>
      <c r="V572" s="1111"/>
      <c r="W572" s="1111"/>
      <c r="X572" s="1111"/>
      <c r="Y572" s="1111"/>
      <c r="Z572" s="1111"/>
      <c r="AA572" s="1111"/>
      <c r="AB572" s="1111"/>
      <c r="AC572" s="1111"/>
      <c r="AD572" s="1111"/>
      <c r="AE572" s="1111"/>
      <c r="AF572" s="1111"/>
      <c r="AG572" s="1111"/>
    </row>
    <row r="573" spans="1:33" s="1295" customFormat="1">
      <c r="A573" s="1264"/>
      <c r="D573" s="1118"/>
      <c r="E573" s="1264"/>
      <c r="F573" s="1118"/>
      <c r="G573" s="1118"/>
      <c r="H573" s="1118"/>
      <c r="I573" s="1118"/>
      <c r="J573" s="1118"/>
      <c r="K573" s="1118"/>
      <c r="L573" s="1118"/>
      <c r="M573" s="1118"/>
      <c r="N573" s="1118"/>
      <c r="O573" s="1118"/>
      <c r="P573" s="1118"/>
      <c r="Q573" s="1111"/>
      <c r="R573" s="1111"/>
      <c r="S573" s="1111"/>
      <c r="T573" s="1111"/>
      <c r="U573" s="1111"/>
      <c r="V573" s="1111"/>
      <c r="W573" s="1111"/>
      <c r="X573" s="1111"/>
      <c r="Y573" s="1111"/>
      <c r="Z573" s="1111"/>
      <c r="AA573" s="1111"/>
      <c r="AB573" s="1111"/>
      <c r="AC573" s="1111"/>
      <c r="AD573" s="1111"/>
      <c r="AE573" s="1111"/>
      <c r="AF573" s="1111"/>
      <c r="AG573" s="1111"/>
    </row>
    <row r="574" spans="1:33" s="1295" customFormat="1">
      <c r="A574" s="1264"/>
      <c r="D574" s="1118"/>
      <c r="E574" s="1264"/>
      <c r="F574" s="1118"/>
      <c r="G574" s="1118"/>
      <c r="H574" s="1118"/>
      <c r="I574" s="1118"/>
      <c r="J574" s="1118"/>
      <c r="K574" s="1118"/>
      <c r="L574" s="1118"/>
      <c r="M574" s="1118"/>
      <c r="N574" s="1118"/>
      <c r="O574" s="1118"/>
      <c r="P574" s="1118"/>
      <c r="Q574" s="1111"/>
      <c r="R574" s="1111"/>
      <c r="S574" s="1111"/>
      <c r="T574" s="1111"/>
      <c r="U574" s="1111"/>
      <c r="V574" s="1111"/>
      <c r="W574" s="1111"/>
      <c r="X574" s="1111"/>
      <c r="Y574" s="1111"/>
      <c r="Z574" s="1111"/>
      <c r="AA574" s="1111"/>
      <c r="AB574" s="1111"/>
      <c r="AC574" s="1111"/>
      <c r="AD574" s="1111"/>
      <c r="AE574" s="1111"/>
      <c r="AF574" s="1111"/>
      <c r="AG574" s="1111"/>
    </row>
    <row r="575" spans="1:33" s="1295" customFormat="1">
      <c r="A575" s="1264"/>
      <c r="D575" s="1118"/>
      <c r="E575" s="1264"/>
      <c r="F575" s="1118"/>
      <c r="G575" s="1118"/>
      <c r="H575" s="1118"/>
      <c r="I575" s="1118"/>
      <c r="J575" s="1118"/>
      <c r="K575" s="1118"/>
      <c r="L575" s="1118"/>
      <c r="M575" s="1118"/>
      <c r="N575" s="1118"/>
      <c r="O575" s="1118"/>
      <c r="P575" s="1118"/>
      <c r="Q575" s="1111"/>
      <c r="R575" s="1111"/>
      <c r="S575" s="1111"/>
      <c r="T575" s="1111"/>
      <c r="U575" s="1111"/>
      <c r="V575" s="1111"/>
      <c r="W575" s="1111"/>
      <c r="X575" s="1111"/>
      <c r="Y575" s="1111"/>
      <c r="Z575" s="1111"/>
      <c r="AA575" s="1111"/>
      <c r="AB575" s="1111"/>
      <c r="AC575" s="1111"/>
      <c r="AD575" s="1111"/>
      <c r="AE575" s="1111"/>
      <c r="AF575" s="1111"/>
      <c r="AG575" s="1111"/>
    </row>
    <row r="576" spans="1:33" s="1295" customFormat="1">
      <c r="A576" s="1264"/>
      <c r="D576" s="1118"/>
      <c r="E576" s="1264"/>
      <c r="F576" s="1118"/>
      <c r="G576" s="1118"/>
      <c r="H576" s="1118"/>
      <c r="I576" s="1118"/>
      <c r="J576" s="1118"/>
      <c r="K576" s="1118"/>
      <c r="L576" s="1118"/>
      <c r="M576" s="1118"/>
      <c r="N576" s="1118"/>
      <c r="O576" s="1118"/>
      <c r="P576" s="1118"/>
      <c r="Q576" s="1111"/>
      <c r="R576" s="1111"/>
      <c r="S576" s="1111"/>
      <c r="T576" s="1111"/>
      <c r="U576" s="1111"/>
      <c r="V576" s="1111"/>
      <c r="W576" s="1111"/>
      <c r="X576" s="1111"/>
      <c r="Y576" s="1111"/>
      <c r="Z576" s="1111"/>
      <c r="AA576" s="1111"/>
      <c r="AB576" s="1111"/>
      <c r="AC576" s="1111"/>
      <c r="AD576" s="1111"/>
      <c r="AE576" s="1111"/>
      <c r="AF576" s="1111"/>
      <c r="AG576" s="1111"/>
    </row>
    <row r="577" spans="1:33" s="1295" customFormat="1">
      <c r="A577" s="1264"/>
      <c r="D577" s="1118"/>
      <c r="E577" s="1264"/>
      <c r="F577" s="1118"/>
      <c r="G577" s="1118"/>
      <c r="H577" s="1118"/>
      <c r="I577" s="1118"/>
      <c r="J577" s="1118"/>
      <c r="K577" s="1118"/>
      <c r="L577" s="1118"/>
      <c r="M577" s="1118"/>
      <c r="N577" s="1118"/>
      <c r="O577" s="1118"/>
      <c r="P577" s="1118"/>
      <c r="Q577" s="1111"/>
      <c r="R577" s="1111"/>
      <c r="S577" s="1111"/>
      <c r="T577" s="1111"/>
      <c r="U577" s="1111"/>
      <c r="V577" s="1111"/>
      <c r="W577" s="1111"/>
      <c r="X577" s="1111"/>
      <c r="Y577" s="1111"/>
      <c r="Z577" s="1111"/>
      <c r="AA577" s="1111"/>
      <c r="AB577" s="1111"/>
      <c r="AC577" s="1111"/>
      <c r="AD577" s="1111"/>
      <c r="AE577" s="1111"/>
      <c r="AF577" s="1111"/>
      <c r="AG577" s="1111"/>
    </row>
    <row r="578" spans="1:33" s="1295" customFormat="1">
      <c r="A578" s="1264"/>
      <c r="D578" s="1118"/>
      <c r="E578" s="1264"/>
      <c r="F578" s="1118"/>
      <c r="G578" s="1118"/>
      <c r="H578" s="1118"/>
      <c r="I578" s="1118"/>
      <c r="J578" s="1118"/>
      <c r="K578" s="1118"/>
      <c r="L578" s="1118"/>
      <c r="M578" s="1118"/>
      <c r="N578" s="1118"/>
      <c r="O578" s="1118"/>
      <c r="P578" s="1118"/>
      <c r="Q578" s="1111"/>
      <c r="R578" s="1111"/>
      <c r="S578" s="1111"/>
      <c r="T578" s="1111"/>
      <c r="U578" s="1111"/>
      <c r="V578" s="1111"/>
      <c r="W578" s="1111"/>
      <c r="X578" s="1111"/>
      <c r="Y578" s="1111"/>
      <c r="Z578" s="1111"/>
      <c r="AA578" s="1111"/>
      <c r="AB578" s="1111"/>
      <c r="AC578" s="1111"/>
      <c r="AD578" s="1111"/>
      <c r="AE578" s="1111"/>
      <c r="AF578" s="1111"/>
      <c r="AG578" s="1111"/>
    </row>
    <row r="579" spans="1:33" s="1295" customFormat="1">
      <c r="A579" s="1264"/>
      <c r="D579" s="1118"/>
      <c r="E579" s="1264"/>
      <c r="F579" s="1118"/>
      <c r="G579" s="1118"/>
      <c r="H579" s="1118"/>
      <c r="I579" s="1118"/>
      <c r="J579" s="1118"/>
      <c r="K579" s="1118"/>
      <c r="L579" s="1118"/>
      <c r="M579" s="1118"/>
      <c r="N579" s="1118"/>
      <c r="O579" s="1118"/>
      <c r="P579" s="1118"/>
      <c r="Q579" s="1111"/>
      <c r="R579" s="1111"/>
      <c r="S579" s="1111"/>
      <c r="T579" s="1111"/>
      <c r="U579" s="1111"/>
      <c r="V579" s="1111"/>
      <c r="W579" s="1111"/>
      <c r="X579" s="1111"/>
      <c r="Y579" s="1111"/>
      <c r="Z579" s="1111"/>
      <c r="AA579" s="1111"/>
      <c r="AB579" s="1111"/>
      <c r="AC579" s="1111"/>
      <c r="AD579" s="1111"/>
      <c r="AE579" s="1111"/>
      <c r="AF579" s="1111"/>
      <c r="AG579" s="1111"/>
    </row>
    <row r="580" spans="1:33" s="1295" customFormat="1">
      <c r="A580" s="1264"/>
      <c r="D580" s="1118"/>
      <c r="E580" s="1264"/>
      <c r="F580" s="1118"/>
      <c r="G580" s="1118"/>
      <c r="H580" s="1118"/>
      <c r="I580" s="1118"/>
      <c r="J580" s="1118"/>
      <c r="K580" s="1118"/>
      <c r="L580" s="1118"/>
      <c r="M580" s="1118"/>
      <c r="N580" s="1118"/>
      <c r="O580" s="1118"/>
      <c r="P580" s="1118"/>
      <c r="Q580" s="1111"/>
      <c r="R580" s="1111"/>
      <c r="S580" s="1111"/>
      <c r="T580" s="1111"/>
      <c r="U580" s="1111"/>
      <c r="V580" s="1111"/>
      <c r="W580" s="1111"/>
      <c r="X580" s="1111"/>
      <c r="Y580" s="1111"/>
      <c r="Z580" s="1111"/>
      <c r="AA580" s="1111"/>
      <c r="AB580" s="1111"/>
      <c r="AC580" s="1111"/>
      <c r="AD580" s="1111"/>
      <c r="AE580" s="1111"/>
      <c r="AF580" s="1111"/>
      <c r="AG580" s="1111"/>
    </row>
    <row r="581" spans="1:33" s="1295" customFormat="1">
      <c r="A581" s="1264"/>
      <c r="D581" s="1118"/>
      <c r="E581" s="1264"/>
      <c r="F581" s="1118"/>
      <c r="G581" s="1118"/>
      <c r="H581" s="1118"/>
      <c r="I581" s="1118"/>
      <c r="J581" s="1118"/>
      <c r="K581" s="1118"/>
      <c r="L581" s="1118"/>
      <c r="M581" s="1118"/>
      <c r="N581" s="1118"/>
      <c r="O581" s="1118"/>
      <c r="P581" s="1118"/>
      <c r="Q581" s="1111"/>
      <c r="R581" s="1111"/>
      <c r="S581" s="1111"/>
      <c r="T581" s="1111"/>
      <c r="U581" s="1111"/>
      <c r="V581" s="1111"/>
      <c r="W581" s="1111"/>
      <c r="X581" s="1111"/>
      <c r="Y581" s="1111"/>
      <c r="Z581" s="1111"/>
      <c r="AA581" s="1111"/>
      <c r="AB581" s="1111"/>
      <c r="AC581" s="1111"/>
      <c r="AD581" s="1111"/>
      <c r="AE581" s="1111"/>
      <c r="AF581" s="1111"/>
      <c r="AG581" s="1111"/>
    </row>
    <row r="582" spans="1:33" s="1295" customFormat="1">
      <c r="A582" s="1264"/>
      <c r="D582" s="1118"/>
      <c r="E582" s="1264"/>
      <c r="F582" s="1118"/>
      <c r="G582" s="1118"/>
      <c r="H582" s="1118"/>
      <c r="I582" s="1118"/>
      <c r="J582" s="1118"/>
      <c r="K582" s="1118"/>
      <c r="L582" s="1118"/>
      <c r="M582" s="1118"/>
      <c r="N582" s="1118"/>
      <c r="O582" s="1118"/>
      <c r="P582" s="1118"/>
      <c r="Q582" s="1111"/>
      <c r="R582" s="1111"/>
      <c r="S582" s="1111"/>
      <c r="T582" s="1111"/>
      <c r="U582" s="1111"/>
      <c r="V582" s="1111"/>
      <c r="W582" s="1111"/>
      <c r="X582" s="1111"/>
      <c r="Y582" s="1111"/>
      <c r="Z582" s="1111"/>
      <c r="AA582" s="1111"/>
      <c r="AB582" s="1111"/>
      <c r="AC582" s="1111"/>
      <c r="AD582" s="1111"/>
      <c r="AE582" s="1111"/>
      <c r="AF582" s="1111"/>
      <c r="AG582" s="1111"/>
    </row>
    <row r="583" spans="1:33" s="1295" customFormat="1">
      <c r="A583" s="1264"/>
      <c r="D583" s="1118"/>
      <c r="E583" s="1264"/>
      <c r="F583" s="1118"/>
      <c r="G583" s="1118"/>
      <c r="H583" s="1118"/>
      <c r="I583" s="1118"/>
      <c r="J583" s="1118"/>
      <c r="K583" s="1118"/>
      <c r="L583" s="1118"/>
      <c r="M583" s="1118"/>
      <c r="N583" s="1118"/>
      <c r="O583" s="1118"/>
      <c r="P583" s="1118"/>
      <c r="Q583" s="1111"/>
      <c r="R583" s="1111"/>
      <c r="S583" s="1111"/>
      <c r="T583" s="1111"/>
      <c r="U583" s="1111"/>
      <c r="V583" s="1111"/>
      <c r="W583" s="1111"/>
      <c r="X583" s="1111"/>
      <c r="Y583" s="1111"/>
      <c r="Z583" s="1111"/>
      <c r="AA583" s="1111"/>
      <c r="AB583" s="1111"/>
      <c r="AC583" s="1111"/>
      <c r="AD583" s="1111"/>
      <c r="AE583" s="1111"/>
      <c r="AF583" s="1111"/>
      <c r="AG583" s="1111"/>
    </row>
    <row r="584" spans="1:33" s="1295" customFormat="1">
      <c r="A584" s="1264"/>
      <c r="D584" s="1118"/>
      <c r="E584" s="1264"/>
      <c r="F584" s="1118"/>
      <c r="G584" s="1118"/>
      <c r="H584" s="1118"/>
      <c r="I584" s="1118"/>
      <c r="J584" s="1118"/>
      <c r="K584" s="1118"/>
      <c r="L584" s="1118"/>
      <c r="M584" s="1118"/>
      <c r="N584" s="1118"/>
      <c r="O584" s="1118"/>
      <c r="P584" s="1118"/>
      <c r="Q584" s="1111"/>
      <c r="R584" s="1111"/>
      <c r="S584" s="1111"/>
      <c r="T584" s="1111"/>
      <c r="U584" s="1111"/>
      <c r="V584" s="1111"/>
      <c r="W584" s="1111"/>
      <c r="X584" s="1111"/>
      <c r="Y584" s="1111"/>
      <c r="Z584" s="1111"/>
      <c r="AA584" s="1111"/>
      <c r="AB584" s="1111"/>
      <c r="AC584" s="1111"/>
      <c r="AD584" s="1111"/>
      <c r="AE584" s="1111"/>
      <c r="AF584" s="1111"/>
      <c r="AG584" s="1111"/>
    </row>
    <row r="585" spans="1:33" s="1295" customFormat="1">
      <c r="A585" s="1264"/>
      <c r="D585" s="1118"/>
      <c r="E585" s="1264"/>
      <c r="F585" s="1118"/>
      <c r="G585" s="1118"/>
      <c r="H585" s="1118"/>
      <c r="I585" s="1118"/>
      <c r="J585" s="1118"/>
      <c r="K585" s="1118"/>
      <c r="L585" s="1118"/>
      <c r="M585" s="1118"/>
      <c r="N585" s="1118"/>
      <c r="O585" s="1118"/>
      <c r="P585" s="1118"/>
      <c r="Q585" s="1111"/>
      <c r="R585" s="1111"/>
      <c r="S585" s="1111"/>
      <c r="T585" s="1111"/>
      <c r="U585" s="1111"/>
      <c r="V585" s="1111"/>
      <c r="W585" s="1111"/>
      <c r="X585" s="1111"/>
      <c r="Y585" s="1111"/>
      <c r="Z585" s="1111"/>
      <c r="AA585" s="1111"/>
      <c r="AB585" s="1111"/>
      <c r="AC585" s="1111"/>
      <c r="AD585" s="1111"/>
      <c r="AE585" s="1111"/>
      <c r="AF585" s="1111"/>
      <c r="AG585" s="1111"/>
    </row>
    <row r="586" spans="1:33" s="1295" customFormat="1">
      <c r="A586" s="1264"/>
      <c r="D586" s="1118"/>
      <c r="E586" s="1264"/>
      <c r="F586" s="1118"/>
      <c r="G586" s="1118"/>
      <c r="H586" s="1118"/>
      <c r="I586" s="1118"/>
      <c r="J586" s="1118"/>
      <c r="K586" s="1118"/>
      <c r="L586" s="1118"/>
      <c r="M586" s="1118"/>
      <c r="N586" s="1118"/>
      <c r="O586" s="1118"/>
      <c r="P586" s="1118"/>
      <c r="Q586" s="1111"/>
      <c r="R586" s="1111"/>
      <c r="S586" s="1111"/>
      <c r="T586" s="1111"/>
      <c r="U586" s="1111"/>
      <c r="V586" s="1111"/>
      <c r="W586" s="1111"/>
      <c r="X586" s="1111"/>
      <c r="Y586" s="1111"/>
      <c r="Z586" s="1111"/>
      <c r="AA586" s="1111"/>
      <c r="AB586" s="1111"/>
      <c r="AC586" s="1111"/>
      <c r="AD586" s="1111"/>
      <c r="AE586" s="1111"/>
      <c r="AF586" s="1111"/>
      <c r="AG586" s="1111"/>
    </row>
    <row r="587" spans="1:33" s="1295" customFormat="1">
      <c r="A587" s="1264"/>
      <c r="D587" s="1118"/>
      <c r="E587" s="1264"/>
      <c r="F587" s="1118"/>
      <c r="G587" s="1118"/>
      <c r="H587" s="1118"/>
      <c r="I587" s="1118"/>
      <c r="J587" s="1118"/>
      <c r="K587" s="1118"/>
      <c r="L587" s="1118"/>
      <c r="M587" s="1118"/>
      <c r="N587" s="1118"/>
      <c r="O587" s="1118"/>
      <c r="P587" s="1118"/>
      <c r="Q587" s="1111"/>
      <c r="R587" s="1111"/>
      <c r="S587" s="1111"/>
      <c r="T587" s="1111"/>
      <c r="U587" s="1111"/>
      <c r="V587" s="1111"/>
      <c r="W587" s="1111"/>
      <c r="X587" s="1111"/>
      <c r="Y587" s="1111"/>
      <c r="Z587" s="1111"/>
      <c r="AA587" s="1111"/>
      <c r="AB587" s="1111"/>
      <c r="AC587" s="1111"/>
      <c r="AD587" s="1111"/>
      <c r="AE587" s="1111"/>
      <c r="AF587" s="1111"/>
      <c r="AG587" s="1111"/>
    </row>
    <row r="588" spans="1:33" s="1295" customFormat="1">
      <c r="A588" s="1264"/>
      <c r="D588" s="1118"/>
      <c r="E588" s="1264"/>
      <c r="F588" s="1118"/>
      <c r="G588" s="1118"/>
      <c r="H588" s="1118"/>
      <c r="I588" s="1118"/>
      <c r="J588" s="1118"/>
      <c r="K588" s="1118"/>
      <c r="L588" s="1118"/>
      <c r="M588" s="1118"/>
      <c r="N588" s="1118"/>
      <c r="O588" s="1118"/>
      <c r="P588" s="1118"/>
      <c r="Q588" s="1111"/>
      <c r="R588" s="1111"/>
      <c r="S588" s="1111"/>
      <c r="T588" s="1111"/>
      <c r="U588" s="1111"/>
      <c r="V588" s="1111"/>
      <c r="W588" s="1111"/>
      <c r="X588" s="1111"/>
      <c r="Y588" s="1111"/>
      <c r="Z588" s="1111"/>
      <c r="AA588" s="1111"/>
      <c r="AB588" s="1111"/>
      <c r="AC588" s="1111"/>
      <c r="AD588" s="1111"/>
      <c r="AE588" s="1111"/>
      <c r="AF588" s="1111"/>
      <c r="AG588" s="1111"/>
    </row>
    <row r="589" spans="1:33" s="1295" customFormat="1">
      <c r="A589" s="1264"/>
      <c r="D589" s="1118"/>
      <c r="E589" s="1264"/>
      <c r="F589" s="1118"/>
      <c r="G589" s="1118"/>
      <c r="H589" s="1118"/>
      <c r="I589" s="1118"/>
      <c r="J589" s="1118"/>
      <c r="K589" s="1118"/>
      <c r="L589" s="1118"/>
      <c r="M589" s="1118"/>
      <c r="N589" s="1118"/>
      <c r="O589" s="1118"/>
      <c r="P589" s="1118"/>
      <c r="Q589" s="1111"/>
      <c r="R589" s="1111"/>
      <c r="S589" s="1111"/>
      <c r="T589" s="1111"/>
      <c r="U589" s="1111"/>
      <c r="V589" s="1111"/>
      <c r="W589" s="1111"/>
      <c r="X589" s="1111"/>
      <c r="Y589" s="1111"/>
      <c r="Z589" s="1111"/>
      <c r="AA589" s="1111"/>
      <c r="AB589" s="1111"/>
      <c r="AC589" s="1111"/>
      <c r="AD589" s="1111"/>
      <c r="AE589" s="1111"/>
      <c r="AF589" s="1111"/>
      <c r="AG589" s="1111"/>
    </row>
    <row r="590" spans="1:33" s="1295" customFormat="1">
      <c r="A590" s="1264"/>
      <c r="D590" s="1118"/>
      <c r="E590" s="1264"/>
      <c r="F590" s="1118"/>
      <c r="G590" s="1118"/>
      <c r="H590" s="1118"/>
      <c r="I590" s="1118"/>
      <c r="J590" s="1118"/>
      <c r="K590" s="1118"/>
      <c r="L590" s="1118"/>
      <c r="M590" s="1118"/>
      <c r="N590" s="1118"/>
      <c r="O590" s="1118"/>
      <c r="P590" s="1118"/>
      <c r="Q590" s="1111"/>
      <c r="R590" s="1111"/>
      <c r="S590" s="1111"/>
      <c r="T590" s="1111"/>
      <c r="U590" s="1111"/>
      <c r="V590" s="1111"/>
      <c r="W590" s="1111"/>
      <c r="X590" s="1111"/>
      <c r="Y590" s="1111"/>
      <c r="Z590" s="1111"/>
      <c r="AA590" s="1111"/>
      <c r="AB590" s="1111"/>
      <c r="AC590" s="1111"/>
      <c r="AD590" s="1111"/>
      <c r="AE590" s="1111"/>
      <c r="AF590" s="1111"/>
      <c r="AG590" s="1111"/>
    </row>
    <row r="591" spans="1:33" s="1295" customFormat="1">
      <c r="A591" s="1264"/>
      <c r="D591" s="1118"/>
      <c r="E591" s="1264"/>
      <c r="F591" s="1118"/>
      <c r="G591" s="1118"/>
      <c r="H591" s="1118"/>
      <c r="I591" s="1118"/>
      <c r="J591" s="1118"/>
      <c r="K591" s="1118"/>
      <c r="L591" s="1118"/>
      <c r="M591" s="1118"/>
      <c r="N591" s="1118"/>
      <c r="O591" s="1118"/>
      <c r="P591" s="1118"/>
      <c r="Q591" s="1111"/>
      <c r="R591" s="1111"/>
      <c r="S591" s="1111"/>
      <c r="T591" s="1111"/>
      <c r="U591" s="1111"/>
      <c r="V591" s="1111"/>
      <c r="W591" s="1111"/>
      <c r="X591" s="1111"/>
      <c r="Y591" s="1111"/>
      <c r="Z591" s="1111"/>
      <c r="AA591" s="1111"/>
      <c r="AB591" s="1111"/>
      <c r="AC591" s="1111"/>
      <c r="AD591" s="1111"/>
      <c r="AE591" s="1111"/>
      <c r="AF591" s="1111"/>
      <c r="AG591" s="1111"/>
    </row>
    <row r="592" spans="1:33" s="1295" customFormat="1">
      <c r="A592" s="1264"/>
      <c r="D592" s="1118"/>
      <c r="E592" s="1264"/>
      <c r="F592" s="1118"/>
      <c r="G592" s="1118"/>
      <c r="H592" s="1118"/>
      <c r="I592" s="1118"/>
      <c r="J592" s="1118"/>
      <c r="K592" s="1118"/>
      <c r="L592" s="1118"/>
      <c r="M592" s="1118"/>
      <c r="N592" s="1118"/>
      <c r="O592" s="1118"/>
      <c r="P592" s="1118"/>
      <c r="Q592" s="1111"/>
      <c r="R592" s="1111"/>
      <c r="S592" s="1111"/>
      <c r="T592" s="1111"/>
      <c r="U592" s="1111"/>
      <c r="V592" s="1111"/>
      <c r="W592" s="1111"/>
      <c r="X592" s="1111"/>
      <c r="Y592" s="1111"/>
      <c r="Z592" s="1111"/>
      <c r="AA592" s="1111"/>
      <c r="AB592" s="1111"/>
      <c r="AC592" s="1111"/>
      <c r="AD592" s="1111"/>
      <c r="AE592" s="1111"/>
      <c r="AF592" s="1111"/>
      <c r="AG592" s="1111"/>
    </row>
    <row r="593" spans="1:33" s="1295" customFormat="1">
      <c r="A593" s="1264"/>
      <c r="D593" s="1118"/>
      <c r="E593" s="1264"/>
      <c r="F593" s="1118"/>
      <c r="G593" s="1118"/>
      <c r="H593" s="1118"/>
      <c r="I593" s="1118"/>
      <c r="J593" s="1118"/>
      <c r="K593" s="1118"/>
      <c r="L593" s="1118"/>
      <c r="M593" s="1118"/>
      <c r="N593" s="1118"/>
      <c r="O593" s="1118"/>
      <c r="P593" s="1118"/>
      <c r="Q593" s="1111"/>
      <c r="R593" s="1111"/>
      <c r="S593" s="1111"/>
      <c r="T593" s="1111"/>
      <c r="U593" s="1111"/>
      <c r="V593" s="1111"/>
      <c r="W593" s="1111"/>
      <c r="X593" s="1111"/>
      <c r="Y593" s="1111"/>
      <c r="Z593" s="1111"/>
      <c r="AA593" s="1111"/>
      <c r="AB593" s="1111"/>
      <c r="AC593" s="1111"/>
      <c r="AD593" s="1111"/>
      <c r="AE593" s="1111"/>
      <c r="AF593" s="1111"/>
      <c r="AG593" s="1111"/>
    </row>
    <row r="594" spans="1:33" s="1295" customFormat="1">
      <c r="A594" s="1264"/>
      <c r="D594" s="1118"/>
      <c r="E594" s="1264"/>
      <c r="F594" s="1118"/>
      <c r="G594" s="1118"/>
      <c r="H594" s="1118"/>
      <c r="I594" s="1118"/>
      <c r="J594" s="1118"/>
      <c r="K594" s="1118"/>
      <c r="L594" s="1118"/>
      <c r="M594" s="1118"/>
      <c r="N594" s="1118"/>
      <c r="O594" s="1118"/>
      <c r="P594" s="1118"/>
      <c r="Q594" s="1111"/>
      <c r="R594" s="1111"/>
      <c r="S594" s="1111"/>
      <c r="T594" s="1111"/>
      <c r="U594" s="1111"/>
      <c r="V594" s="1111"/>
      <c r="W594" s="1111"/>
      <c r="X594" s="1111"/>
      <c r="Y594" s="1111"/>
      <c r="Z594" s="1111"/>
      <c r="AA594" s="1111"/>
      <c r="AB594" s="1111"/>
      <c r="AC594" s="1111"/>
      <c r="AD594" s="1111"/>
      <c r="AE594" s="1111"/>
      <c r="AF594" s="1111"/>
      <c r="AG594" s="1111"/>
    </row>
    <row r="595" spans="1:33" s="1295" customFormat="1">
      <c r="A595" s="1264"/>
      <c r="D595" s="1118"/>
      <c r="E595" s="1264"/>
      <c r="F595" s="1118"/>
      <c r="G595" s="1118"/>
      <c r="H595" s="1118"/>
      <c r="I595" s="1118"/>
      <c r="J595" s="1118"/>
      <c r="K595" s="1118"/>
      <c r="L595" s="1118"/>
      <c r="M595" s="1118"/>
      <c r="N595" s="1118"/>
      <c r="O595" s="1118"/>
      <c r="P595" s="1118"/>
      <c r="Q595" s="1111"/>
      <c r="R595" s="1111"/>
      <c r="S595" s="1111"/>
      <c r="T595" s="1111"/>
      <c r="U595" s="1111"/>
      <c r="V595" s="1111"/>
      <c r="W595" s="1111"/>
      <c r="X595" s="1111"/>
      <c r="Y595" s="1111"/>
      <c r="Z595" s="1111"/>
      <c r="AA595" s="1111"/>
      <c r="AB595" s="1111"/>
      <c r="AC595" s="1111"/>
      <c r="AD595" s="1111"/>
      <c r="AE595" s="1111"/>
      <c r="AF595" s="1111"/>
      <c r="AG595" s="1111"/>
    </row>
    <row r="596" spans="1:33" s="1295" customFormat="1">
      <c r="A596" s="1264"/>
      <c r="D596" s="1118"/>
      <c r="E596" s="1264"/>
      <c r="F596" s="1118"/>
      <c r="G596" s="1118"/>
      <c r="H596" s="1118"/>
      <c r="I596" s="1118"/>
      <c r="J596" s="1118"/>
      <c r="K596" s="1118"/>
      <c r="L596" s="1118"/>
      <c r="M596" s="1118"/>
      <c r="N596" s="1118"/>
      <c r="O596" s="1118"/>
      <c r="P596" s="1118"/>
      <c r="Q596" s="1111"/>
      <c r="R596" s="1111"/>
      <c r="S596" s="1111"/>
      <c r="T596" s="1111"/>
      <c r="U596" s="1111"/>
      <c r="V596" s="1111"/>
      <c r="W596" s="1111"/>
      <c r="X596" s="1111"/>
      <c r="Y596" s="1111"/>
      <c r="Z596" s="1111"/>
      <c r="AA596" s="1111"/>
      <c r="AB596" s="1111"/>
      <c r="AC596" s="1111"/>
      <c r="AD596" s="1111"/>
      <c r="AE596" s="1111"/>
      <c r="AF596" s="1111"/>
      <c r="AG596" s="1111"/>
    </row>
    <row r="597" spans="1:33" s="1295" customFormat="1">
      <c r="A597" s="1264"/>
      <c r="D597" s="1118"/>
      <c r="E597" s="1264"/>
      <c r="F597" s="1118"/>
      <c r="G597" s="1118"/>
      <c r="H597" s="1118"/>
      <c r="I597" s="1118"/>
      <c r="J597" s="1118"/>
      <c r="K597" s="1118"/>
      <c r="L597" s="1118"/>
      <c r="M597" s="1118"/>
      <c r="N597" s="1118"/>
      <c r="O597" s="1118"/>
      <c r="P597" s="1118"/>
      <c r="Q597" s="1111"/>
      <c r="R597" s="1111"/>
      <c r="S597" s="1111"/>
      <c r="T597" s="1111"/>
      <c r="U597" s="1111"/>
      <c r="V597" s="1111"/>
      <c r="W597" s="1111"/>
      <c r="X597" s="1111"/>
      <c r="Y597" s="1111"/>
      <c r="Z597" s="1111"/>
      <c r="AA597" s="1111"/>
      <c r="AB597" s="1111"/>
      <c r="AC597" s="1111"/>
      <c r="AD597" s="1111"/>
      <c r="AE597" s="1111"/>
      <c r="AF597" s="1111"/>
      <c r="AG597" s="1111"/>
    </row>
    <row r="598" spans="1:33" s="1295" customFormat="1">
      <c r="A598" s="1264"/>
      <c r="D598" s="1118"/>
      <c r="E598" s="1264"/>
      <c r="F598" s="1118"/>
      <c r="G598" s="1118"/>
      <c r="H598" s="1118"/>
      <c r="I598" s="1118"/>
      <c r="J598" s="1118"/>
      <c r="K598" s="1118"/>
      <c r="L598" s="1118"/>
      <c r="M598" s="1118"/>
      <c r="N598" s="1118"/>
      <c r="O598" s="1118"/>
      <c r="P598" s="1118"/>
      <c r="Q598" s="1111"/>
      <c r="R598" s="1111"/>
      <c r="S598" s="1111"/>
      <c r="T598" s="1111"/>
      <c r="U598" s="1111"/>
      <c r="V598" s="1111"/>
      <c r="W598" s="1111"/>
      <c r="X598" s="1111"/>
      <c r="Y598" s="1111"/>
      <c r="Z598" s="1111"/>
      <c r="AA598" s="1111"/>
      <c r="AB598" s="1111"/>
      <c r="AC598" s="1111"/>
      <c r="AD598" s="1111"/>
      <c r="AE598" s="1111"/>
      <c r="AF598" s="1111"/>
      <c r="AG598" s="1111"/>
    </row>
    <row r="599" spans="1:33" s="1295" customFormat="1">
      <c r="A599" s="1264"/>
      <c r="D599" s="1118"/>
      <c r="E599" s="1264"/>
      <c r="F599" s="1118"/>
      <c r="G599" s="1118"/>
      <c r="H599" s="1118"/>
      <c r="I599" s="1118"/>
      <c r="J599" s="1118"/>
      <c r="K599" s="1118"/>
      <c r="L599" s="1118"/>
      <c r="M599" s="1118"/>
      <c r="N599" s="1118"/>
      <c r="O599" s="1118"/>
      <c r="P599" s="1118"/>
      <c r="Q599" s="1111"/>
      <c r="R599" s="1111"/>
      <c r="S599" s="1111"/>
      <c r="T599" s="1111"/>
      <c r="U599" s="1111"/>
      <c r="V599" s="1111"/>
      <c r="W599" s="1111"/>
      <c r="X599" s="1111"/>
      <c r="Y599" s="1111"/>
      <c r="Z599" s="1111"/>
      <c r="AA599" s="1111"/>
      <c r="AB599" s="1111"/>
      <c r="AC599" s="1111"/>
      <c r="AD599" s="1111"/>
      <c r="AE599" s="1111"/>
      <c r="AF599" s="1111"/>
      <c r="AG599" s="1111"/>
    </row>
    <row r="600" spans="1:33" s="1295" customFormat="1">
      <c r="A600" s="1264"/>
      <c r="D600" s="1118"/>
      <c r="E600" s="1264"/>
      <c r="F600" s="1118"/>
      <c r="G600" s="1118"/>
      <c r="H600" s="1118"/>
      <c r="I600" s="1118"/>
      <c r="J600" s="1118"/>
      <c r="K600" s="1118"/>
      <c r="L600" s="1118"/>
      <c r="M600" s="1118"/>
      <c r="N600" s="1118"/>
      <c r="O600" s="1118"/>
      <c r="P600" s="1118"/>
      <c r="Q600" s="1111"/>
      <c r="R600" s="1111"/>
      <c r="S600" s="1111"/>
      <c r="T600" s="1111"/>
      <c r="U600" s="1111"/>
      <c r="V600" s="1111"/>
      <c r="W600" s="1111"/>
      <c r="X600" s="1111"/>
      <c r="Y600" s="1111"/>
      <c r="Z600" s="1111"/>
      <c r="AA600" s="1111"/>
      <c r="AB600" s="1111"/>
      <c r="AC600" s="1111"/>
      <c r="AD600" s="1111"/>
      <c r="AE600" s="1111"/>
      <c r="AF600" s="1111"/>
      <c r="AG600" s="1111"/>
    </row>
    <row r="601" spans="1:33" s="1295" customFormat="1">
      <c r="A601" s="1264"/>
      <c r="D601" s="1118"/>
      <c r="E601" s="1264"/>
      <c r="F601" s="1118"/>
      <c r="G601" s="1118"/>
      <c r="H601" s="1118"/>
      <c r="I601" s="1118"/>
      <c r="J601" s="1118"/>
      <c r="K601" s="1118"/>
      <c r="L601" s="1118"/>
      <c r="M601" s="1118"/>
      <c r="N601" s="1118"/>
      <c r="O601" s="1118"/>
      <c r="P601" s="1118"/>
      <c r="Q601" s="1111"/>
      <c r="R601" s="1111"/>
      <c r="S601" s="1111"/>
      <c r="T601" s="1111"/>
      <c r="U601" s="1111"/>
      <c r="V601" s="1111"/>
      <c r="W601" s="1111"/>
      <c r="X601" s="1111"/>
      <c r="Y601" s="1111"/>
      <c r="Z601" s="1111"/>
      <c r="AA601" s="1111"/>
      <c r="AB601" s="1111"/>
      <c r="AC601" s="1111"/>
      <c r="AD601" s="1111"/>
      <c r="AE601" s="1111"/>
      <c r="AF601" s="1111"/>
      <c r="AG601" s="1111"/>
    </row>
    <row r="602" spans="1:33" s="1295" customFormat="1">
      <c r="A602" s="1264"/>
      <c r="D602" s="1118"/>
      <c r="E602" s="1264"/>
      <c r="F602" s="1118"/>
      <c r="G602" s="1118"/>
      <c r="H602" s="1118"/>
      <c r="I602" s="1118"/>
      <c r="J602" s="1118"/>
      <c r="K602" s="1118"/>
      <c r="L602" s="1118"/>
      <c r="M602" s="1118"/>
      <c r="N602" s="1118"/>
      <c r="O602" s="1118"/>
      <c r="P602" s="1118"/>
      <c r="Q602" s="1111"/>
      <c r="R602" s="1111"/>
      <c r="S602" s="1111"/>
      <c r="T602" s="1111"/>
      <c r="U602" s="1111"/>
      <c r="V602" s="1111"/>
      <c r="W602" s="1111"/>
      <c r="X602" s="1111"/>
      <c r="Y602" s="1111"/>
      <c r="Z602" s="1111"/>
      <c r="AA602" s="1111"/>
      <c r="AB602" s="1111"/>
      <c r="AC602" s="1111"/>
      <c r="AD602" s="1111"/>
      <c r="AE602" s="1111"/>
      <c r="AF602" s="1111"/>
      <c r="AG602" s="1111"/>
    </row>
    <row r="603" spans="1:33" s="1295" customFormat="1">
      <c r="A603" s="1264"/>
      <c r="D603" s="1118"/>
      <c r="E603" s="1264"/>
      <c r="F603" s="1118"/>
      <c r="G603" s="1118"/>
      <c r="H603" s="1118"/>
      <c r="I603" s="1118"/>
      <c r="J603" s="1118"/>
      <c r="K603" s="1118"/>
      <c r="L603" s="1118"/>
      <c r="M603" s="1118"/>
      <c r="N603" s="1118"/>
      <c r="O603" s="1118"/>
      <c r="P603" s="1118"/>
      <c r="Q603" s="1111"/>
      <c r="R603" s="1111"/>
      <c r="S603" s="1111"/>
      <c r="T603" s="1111"/>
      <c r="U603" s="1111"/>
      <c r="V603" s="1111"/>
      <c r="W603" s="1111"/>
      <c r="X603" s="1111"/>
      <c r="Y603" s="1111"/>
      <c r="Z603" s="1111"/>
      <c r="AA603" s="1111"/>
      <c r="AB603" s="1111"/>
      <c r="AC603" s="1111"/>
      <c r="AD603" s="1111"/>
      <c r="AE603" s="1111"/>
      <c r="AF603" s="1111"/>
      <c r="AG603" s="1111"/>
    </row>
    <row r="604" spans="1:33" s="1295" customFormat="1">
      <c r="A604" s="1264"/>
      <c r="D604" s="1118"/>
      <c r="E604" s="1264"/>
      <c r="F604" s="1118"/>
      <c r="G604" s="1118"/>
      <c r="H604" s="1118"/>
      <c r="I604" s="1118"/>
      <c r="J604" s="1118"/>
      <c r="K604" s="1118"/>
      <c r="L604" s="1118"/>
      <c r="M604" s="1118"/>
      <c r="N604" s="1118"/>
      <c r="O604" s="1118"/>
      <c r="P604" s="1118"/>
      <c r="Q604" s="1111"/>
      <c r="R604" s="1111"/>
      <c r="S604" s="1111"/>
      <c r="T604" s="1111"/>
      <c r="U604" s="1111"/>
      <c r="V604" s="1111"/>
      <c r="W604" s="1111"/>
      <c r="X604" s="1111"/>
      <c r="Y604" s="1111"/>
      <c r="Z604" s="1111"/>
      <c r="AA604" s="1111"/>
      <c r="AB604" s="1111"/>
      <c r="AC604" s="1111"/>
      <c r="AD604" s="1111"/>
      <c r="AE604" s="1111"/>
      <c r="AF604" s="1111"/>
      <c r="AG604" s="1111"/>
    </row>
    <row r="605" spans="1:33" s="1295" customFormat="1">
      <c r="A605" s="1264"/>
      <c r="D605" s="1118"/>
      <c r="E605" s="1264"/>
      <c r="F605" s="1118"/>
      <c r="G605" s="1118"/>
      <c r="H605" s="1118"/>
      <c r="I605" s="1118"/>
      <c r="J605" s="1118"/>
      <c r="K605" s="1118"/>
      <c r="L605" s="1118"/>
      <c r="M605" s="1118"/>
      <c r="N605" s="1118"/>
      <c r="O605" s="1118"/>
      <c r="P605" s="1118"/>
      <c r="Q605" s="1111"/>
      <c r="R605" s="1111"/>
      <c r="S605" s="1111"/>
      <c r="T605" s="1111"/>
      <c r="U605" s="1111"/>
      <c r="V605" s="1111"/>
      <c r="W605" s="1111"/>
      <c r="X605" s="1111"/>
      <c r="Y605" s="1111"/>
      <c r="Z605" s="1111"/>
      <c r="AA605" s="1111"/>
      <c r="AB605" s="1111"/>
      <c r="AC605" s="1111"/>
      <c r="AD605" s="1111"/>
      <c r="AE605" s="1111"/>
      <c r="AF605" s="1111"/>
      <c r="AG605" s="1111"/>
    </row>
    <row r="606" spans="1:33" s="1295" customFormat="1">
      <c r="A606" s="1264"/>
      <c r="D606" s="1118"/>
      <c r="E606" s="1264"/>
      <c r="F606" s="1118"/>
      <c r="G606" s="1118"/>
      <c r="H606" s="1118"/>
      <c r="I606" s="1118"/>
      <c r="J606" s="1118"/>
      <c r="K606" s="1118"/>
      <c r="L606" s="1118"/>
      <c r="M606" s="1118"/>
      <c r="N606" s="1118"/>
      <c r="O606" s="1118"/>
      <c r="P606" s="1118"/>
      <c r="Q606" s="1111"/>
      <c r="R606" s="1111"/>
      <c r="S606" s="1111"/>
      <c r="T606" s="1111"/>
      <c r="U606" s="1111"/>
      <c r="V606" s="1111"/>
      <c r="W606" s="1111"/>
      <c r="X606" s="1111"/>
      <c r="Y606" s="1111"/>
      <c r="Z606" s="1111"/>
      <c r="AA606" s="1111"/>
      <c r="AB606" s="1111"/>
      <c r="AC606" s="1111"/>
      <c r="AD606" s="1111"/>
      <c r="AE606" s="1111"/>
      <c r="AF606" s="1111"/>
      <c r="AG606" s="1111"/>
    </row>
    <row r="607" spans="1:33" s="1295" customFormat="1">
      <c r="A607" s="1264"/>
      <c r="D607" s="1118"/>
      <c r="E607" s="1264"/>
      <c r="F607" s="1118"/>
      <c r="G607" s="1118"/>
      <c r="H607" s="1118"/>
      <c r="I607" s="1118"/>
      <c r="J607" s="1118"/>
      <c r="K607" s="1118"/>
      <c r="L607" s="1118"/>
      <c r="M607" s="1118"/>
      <c r="N607" s="1118"/>
      <c r="O607" s="1118"/>
      <c r="P607" s="1118"/>
      <c r="Q607" s="1111"/>
      <c r="R607" s="1111"/>
      <c r="S607" s="1111"/>
      <c r="T607" s="1111"/>
      <c r="U607" s="1111"/>
      <c r="V607" s="1111"/>
      <c r="W607" s="1111"/>
      <c r="X607" s="1111"/>
      <c r="Y607" s="1111"/>
      <c r="Z607" s="1111"/>
      <c r="AA607" s="1111"/>
      <c r="AB607" s="1111"/>
      <c r="AC607" s="1111"/>
      <c r="AD607" s="1111"/>
      <c r="AE607" s="1111"/>
      <c r="AF607" s="1111"/>
      <c r="AG607" s="1111"/>
    </row>
    <row r="608" spans="1:33" s="1295" customFormat="1">
      <c r="A608" s="1264"/>
      <c r="D608" s="1118"/>
      <c r="E608" s="1264"/>
      <c r="F608" s="1118"/>
      <c r="G608" s="1118"/>
      <c r="H608" s="1118"/>
      <c r="I608" s="1118"/>
      <c r="J608" s="1118"/>
      <c r="K608" s="1118"/>
      <c r="L608" s="1118"/>
      <c r="M608" s="1118"/>
      <c r="N608" s="1118"/>
      <c r="O608" s="1118"/>
      <c r="P608" s="1118"/>
      <c r="Q608" s="1111"/>
      <c r="R608" s="1111"/>
      <c r="S608" s="1111"/>
      <c r="T608" s="1111"/>
      <c r="U608" s="1111"/>
      <c r="V608" s="1111"/>
      <c r="W608" s="1111"/>
      <c r="X608" s="1111"/>
      <c r="Y608" s="1111"/>
      <c r="Z608" s="1111"/>
      <c r="AA608" s="1111"/>
      <c r="AB608" s="1111"/>
      <c r="AC608" s="1111"/>
      <c r="AD608" s="1111"/>
      <c r="AE608" s="1111"/>
      <c r="AF608" s="1111"/>
      <c r="AG608" s="1111"/>
    </row>
    <row r="609" spans="1:33" s="1295" customFormat="1">
      <c r="A609" s="1264"/>
      <c r="D609" s="1118"/>
      <c r="E609" s="1264"/>
      <c r="F609" s="1118"/>
      <c r="G609" s="1118"/>
      <c r="H609" s="1118"/>
      <c r="I609" s="1118"/>
      <c r="J609" s="1118"/>
      <c r="K609" s="1118"/>
      <c r="L609" s="1118"/>
      <c r="M609" s="1118"/>
      <c r="N609" s="1118"/>
      <c r="O609" s="1118"/>
      <c r="P609" s="1118"/>
      <c r="Q609" s="1111"/>
      <c r="R609" s="1111"/>
      <c r="S609" s="1111"/>
      <c r="T609" s="1111"/>
      <c r="U609" s="1111"/>
      <c r="V609" s="1111"/>
      <c r="W609" s="1111"/>
      <c r="X609" s="1111"/>
      <c r="Y609" s="1111"/>
      <c r="Z609" s="1111"/>
      <c r="AA609" s="1111"/>
      <c r="AB609" s="1111"/>
      <c r="AC609" s="1111"/>
      <c r="AD609" s="1111"/>
      <c r="AE609" s="1111"/>
      <c r="AF609" s="1111"/>
      <c r="AG609" s="1111"/>
    </row>
    <row r="610" spans="1:33" s="1295" customFormat="1">
      <c r="A610" s="1264"/>
      <c r="D610" s="1118"/>
      <c r="E610" s="1264"/>
      <c r="F610" s="1118"/>
      <c r="G610" s="1118"/>
      <c r="H610" s="1118"/>
      <c r="I610" s="1118"/>
      <c r="J610" s="1118"/>
      <c r="K610" s="1118"/>
      <c r="L610" s="1118"/>
      <c r="M610" s="1118"/>
      <c r="N610" s="1118"/>
      <c r="O610" s="1118"/>
      <c r="P610" s="1118"/>
      <c r="Q610" s="1111"/>
      <c r="R610" s="1111"/>
      <c r="S610" s="1111"/>
      <c r="T610" s="1111"/>
      <c r="U610" s="1111"/>
      <c r="V610" s="1111"/>
      <c r="W610" s="1111"/>
      <c r="X610" s="1111"/>
      <c r="Y610" s="1111"/>
      <c r="Z610" s="1111"/>
      <c r="AA610" s="1111"/>
      <c r="AB610" s="1111"/>
      <c r="AC610" s="1111"/>
      <c r="AD610" s="1111"/>
      <c r="AE610" s="1111"/>
      <c r="AF610" s="1111"/>
      <c r="AG610" s="1111"/>
    </row>
    <row r="611" spans="1:33" s="1295" customFormat="1">
      <c r="A611" s="1264"/>
      <c r="D611" s="1118"/>
      <c r="E611" s="1264"/>
      <c r="F611" s="1118"/>
      <c r="G611" s="1118"/>
      <c r="H611" s="1118"/>
      <c r="I611" s="1118"/>
      <c r="J611" s="1118"/>
      <c r="K611" s="1118"/>
      <c r="L611" s="1118"/>
      <c r="M611" s="1118"/>
      <c r="N611" s="1118"/>
      <c r="O611" s="1118"/>
      <c r="P611" s="1118"/>
      <c r="Q611" s="1111"/>
      <c r="R611" s="1111"/>
      <c r="S611" s="1111"/>
      <c r="T611" s="1111"/>
      <c r="U611" s="1111"/>
      <c r="V611" s="1111"/>
      <c r="W611" s="1111"/>
      <c r="X611" s="1111"/>
      <c r="Y611" s="1111"/>
      <c r="Z611" s="1111"/>
      <c r="AA611" s="1111"/>
      <c r="AB611" s="1111"/>
      <c r="AC611" s="1111"/>
      <c r="AD611" s="1111"/>
      <c r="AE611" s="1111"/>
      <c r="AF611" s="1111"/>
      <c r="AG611" s="1111"/>
    </row>
    <row r="612" spans="1:33" s="1295" customFormat="1">
      <c r="A612" s="1264"/>
      <c r="D612" s="1118"/>
      <c r="E612" s="1264"/>
      <c r="F612" s="1118"/>
      <c r="G612" s="1118"/>
      <c r="H612" s="1118"/>
      <c r="I612" s="1118"/>
      <c r="J612" s="1118"/>
      <c r="K612" s="1118"/>
      <c r="L612" s="1118"/>
      <c r="M612" s="1118"/>
      <c r="N612" s="1118"/>
      <c r="O612" s="1118"/>
      <c r="P612" s="1118"/>
      <c r="Q612" s="1111"/>
      <c r="R612" s="1111"/>
      <c r="S612" s="1111"/>
      <c r="T612" s="1111"/>
      <c r="U612" s="1111"/>
      <c r="V612" s="1111"/>
      <c r="W612" s="1111"/>
      <c r="X612" s="1111"/>
      <c r="Y612" s="1111"/>
      <c r="Z612" s="1111"/>
      <c r="AA612" s="1111"/>
      <c r="AB612" s="1111"/>
      <c r="AC612" s="1111"/>
      <c r="AD612" s="1111"/>
      <c r="AE612" s="1111"/>
      <c r="AF612" s="1111"/>
      <c r="AG612" s="1111"/>
    </row>
    <row r="613" spans="1:33" s="1295" customFormat="1">
      <c r="A613" s="1264"/>
      <c r="D613" s="1118"/>
      <c r="E613" s="1264"/>
      <c r="F613" s="1118"/>
      <c r="G613" s="1118"/>
      <c r="H613" s="1118"/>
      <c r="I613" s="1118"/>
      <c r="J613" s="1118"/>
      <c r="K613" s="1118"/>
      <c r="L613" s="1118"/>
      <c r="M613" s="1118"/>
      <c r="N613" s="1118"/>
      <c r="O613" s="1118"/>
      <c r="P613" s="1118"/>
      <c r="Q613" s="1111"/>
      <c r="R613" s="1111"/>
      <c r="S613" s="1111"/>
      <c r="T613" s="1111"/>
      <c r="U613" s="1111"/>
      <c r="V613" s="1111"/>
      <c r="W613" s="1111"/>
      <c r="X613" s="1111"/>
      <c r="Y613" s="1111"/>
      <c r="Z613" s="1111"/>
      <c r="AA613" s="1111"/>
      <c r="AB613" s="1111"/>
      <c r="AC613" s="1111"/>
      <c r="AD613" s="1111"/>
      <c r="AE613" s="1111"/>
      <c r="AF613" s="1111"/>
      <c r="AG613" s="1111"/>
    </row>
    <row r="614" spans="1:33" s="1295" customFormat="1">
      <c r="A614" s="1264"/>
      <c r="D614" s="1118"/>
      <c r="E614" s="1264"/>
      <c r="F614" s="1118"/>
      <c r="G614" s="1118"/>
      <c r="H614" s="1118"/>
      <c r="I614" s="1118"/>
      <c r="J614" s="1118"/>
      <c r="K614" s="1118"/>
      <c r="L614" s="1118"/>
      <c r="M614" s="1118"/>
      <c r="N614" s="1118"/>
      <c r="O614" s="1118"/>
      <c r="P614" s="1118"/>
      <c r="Q614" s="1111"/>
      <c r="R614" s="1111"/>
      <c r="S614" s="1111"/>
      <c r="T614" s="1111"/>
      <c r="U614" s="1111"/>
      <c r="V614" s="1111"/>
      <c r="W614" s="1111"/>
      <c r="X614" s="1111"/>
      <c r="Y614" s="1111"/>
      <c r="Z614" s="1111"/>
      <c r="AA614" s="1111"/>
      <c r="AB614" s="1111"/>
      <c r="AC614" s="1111"/>
      <c r="AD614" s="1111"/>
      <c r="AE614" s="1111"/>
      <c r="AF614" s="1111"/>
      <c r="AG614" s="1111"/>
    </row>
    <row r="615" spans="1:33" s="1295" customFormat="1">
      <c r="A615" s="1264"/>
      <c r="D615" s="1118"/>
      <c r="E615" s="1264"/>
      <c r="F615" s="1118"/>
      <c r="G615" s="1118"/>
      <c r="H615" s="1118"/>
      <c r="I615" s="1118"/>
      <c r="J615" s="1118"/>
      <c r="K615" s="1118"/>
      <c r="L615" s="1118"/>
      <c r="M615" s="1118"/>
      <c r="N615" s="1118"/>
      <c r="O615" s="1118"/>
      <c r="P615" s="1118"/>
      <c r="Q615" s="1111"/>
      <c r="R615" s="1111"/>
      <c r="S615" s="1111"/>
      <c r="T615" s="1111"/>
      <c r="U615" s="1111"/>
      <c r="V615" s="1111"/>
      <c r="W615" s="1111"/>
      <c r="X615" s="1111"/>
      <c r="Y615" s="1111"/>
      <c r="Z615" s="1111"/>
      <c r="AA615" s="1111"/>
      <c r="AB615" s="1111"/>
      <c r="AC615" s="1111"/>
      <c r="AD615" s="1111"/>
      <c r="AE615" s="1111"/>
      <c r="AF615" s="1111"/>
      <c r="AG615" s="1111"/>
    </row>
    <row r="616" spans="1:33" s="1295" customFormat="1">
      <c r="A616" s="1264"/>
      <c r="D616" s="1118"/>
      <c r="E616" s="1264"/>
      <c r="F616" s="1118"/>
      <c r="G616" s="1118"/>
      <c r="H616" s="1118"/>
      <c r="I616" s="1118"/>
      <c r="J616" s="1118"/>
      <c r="K616" s="1118"/>
      <c r="L616" s="1118"/>
      <c r="M616" s="1118"/>
      <c r="N616" s="1118"/>
      <c r="O616" s="1118"/>
      <c r="P616" s="1118"/>
      <c r="Q616" s="1111"/>
      <c r="R616" s="1111"/>
      <c r="S616" s="1111"/>
      <c r="T616" s="1111"/>
      <c r="U616" s="1111"/>
      <c r="V616" s="1111"/>
      <c r="W616" s="1111"/>
      <c r="X616" s="1111"/>
      <c r="Y616" s="1111"/>
      <c r="Z616" s="1111"/>
      <c r="AA616" s="1111"/>
      <c r="AB616" s="1111"/>
      <c r="AC616" s="1111"/>
      <c r="AD616" s="1111"/>
      <c r="AE616" s="1111"/>
      <c r="AF616" s="1111"/>
      <c r="AG616" s="1111"/>
    </row>
    <row r="617" spans="1:33" s="1295" customFormat="1">
      <c r="A617" s="1264"/>
      <c r="D617" s="1118"/>
      <c r="E617" s="1264"/>
      <c r="F617" s="1118"/>
      <c r="G617" s="1118"/>
      <c r="H617" s="1118"/>
      <c r="I617" s="1118"/>
      <c r="J617" s="1118"/>
      <c r="K617" s="1118"/>
      <c r="L617" s="1118"/>
      <c r="M617" s="1118"/>
      <c r="N617" s="1118"/>
      <c r="O617" s="1118"/>
      <c r="P617" s="1118"/>
      <c r="Q617" s="1111"/>
      <c r="R617" s="1111"/>
      <c r="S617" s="1111"/>
      <c r="T617" s="1111"/>
      <c r="U617" s="1111"/>
      <c r="V617" s="1111"/>
      <c r="W617" s="1111"/>
      <c r="X617" s="1111"/>
      <c r="Y617" s="1111"/>
      <c r="Z617" s="1111"/>
      <c r="AA617" s="1111"/>
      <c r="AB617" s="1111"/>
      <c r="AC617" s="1111"/>
      <c r="AD617" s="1111"/>
      <c r="AE617" s="1111"/>
      <c r="AF617" s="1111"/>
      <c r="AG617" s="1111"/>
    </row>
    <row r="618" spans="1:33" s="1295" customFormat="1">
      <c r="A618" s="1264"/>
      <c r="D618" s="1118"/>
      <c r="E618" s="1264"/>
      <c r="F618" s="1118"/>
      <c r="G618" s="1118"/>
      <c r="H618" s="1118"/>
      <c r="I618" s="1118"/>
      <c r="J618" s="1118"/>
      <c r="K618" s="1118"/>
      <c r="L618" s="1118"/>
      <c r="M618" s="1118"/>
      <c r="N618" s="1118"/>
      <c r="O618" s="1118"/>
      <c r="P618" s="1118"/>
      <c r="Q618" s="1111"/>
      <c r="R618" s="1111"/>
      <c r="S618" s="1111"/>
      <c r="T618" s="1111"/>
      <c r="U618" s="1111"/>
      <c r="V618" s="1111"/>
      <c r="W618" s="1111"/>
      <c r="X618" s="1111"/>
      <c r="Y618" s="1111"/>
      <c r="Z618" s="1111"/>
      <c r="AA618" s="1111"/>
      <c r="AB618" s="1111"/>
      <c r="AC618" s="1111"/>
      <c r="AD618" s="1111"/>
      <c r="AE618" s="1111"/>
      <c r="AF618" s="1111"/>
      <c r="AG618" s="1111"/>
    </row>
    <row r="619" spans="1:33" s="1295" customFormat="1">
      <c r="A619" s="1264"/>
      <c r="D619" s="1118"/>
      <c r="E619" s="1264"/>
      <c r="F619" s="1118"/>
      <c r="G619" s="1118"/>
      <c r="H619" s="1118"/>
      <c r="I619" s="1118"/>
      <c r="J619" s="1118"/>
      <c r="K619" s="1118"/>
      <c r="L619" s="1118"/>
      <c r="M619" s="1118"/>
      <c r="N619" s="1118"/>
      <c r="O619" s="1118"/>
      <c r="P619" s="1118"/>
      <c r="Q619" s="1111"/>
      <c r="R619" s="1111"/>
      <c r="S619" s="1111"/>
      <c r="T619" s="1111"/>
      <c r="U619" s="1111"/>
      <c r="V619" s="1111"/>
      <c r="W619" s="1111"/>
      <c r="X619" s="1111"/>
      <c r="Y619" s="1111"/>
      <c r="Z619" s="1111"/>
      <c r="AA619" s="1111"/>
      <c r="AB619" s="1111"/>
      <c r="AC619" s="1111"/>
      <c r="AD619" s="1111"/>
      <c r="AE619" s="1111"/>
      <c r="AF619" s="1111"/>
      <c r="AG619" s="1111"/>
    </row>
    <row r="620" spans="1:33" s="1295" customFormat="1">
      <c r="A620" s="1264"/>
      <c r="D620" s="1118"/>
      <c r="E620" s="1264"/>
      <c r="F620" s="1118"/>
      <c r="G620" s="1118"/>
      <c r="H620" s="1118"/>
      <c r="I620" s="1118"/>
      <c r="J620" s="1118"/>
      <c r="K620" s="1118"/>
      <c r="L620" s="1118"/>
      <c r="M620" s="1118"/>
      <c r="N620" s="1118"/>
      <c r="O620" s="1118"/>
      <c r="P620" s="1118"/>
      <c r="Q620" s="1111"/>
      <c r="R620" s="1111"/>
      <c r="S620" s="1111"/>
      <c r="T620" s="1111"/>
      <c r="U620" s="1111"/>
      <c r="V620" s="1111"/>
      <c r="W620" s="1111"/>
      <c r="X620" s="1111"/>
      <c r="Y620" s="1111"/>
      <c r="Z620" s="1111"/>
      <c r="AA620" s="1111"/>
      <c r="AB620" s="1111"/>
      <c r="AC620" s="1111"/>
      <c r="AD620" s="1111"/>
      <c r="AE620" s="1111"/>
      <c r="AF620" s="1111"/>
      <c r="AG620" s="1111"/>
    </row>
    <row r="621" spans="1:33" s="1295" customFormat="1">
      <c r="A621" s="1264"/>
      <c r="D621" s="1118"/>
      <c r="E621" s="1264"/>
      <c r="F621" s="1118"/>
      <c r="G621" s="1118"/>
      <c r="H621" s="1118"/>
      <c r="I621" s="1118"/>
      <c r="J621" s="1118"/>
      <c r="K621" s="1118"/>
      <c r="L621" s="1118"/>
      <c r="M621" s="1118"/>
      <c r="N621" s="1118"/>
      <c r="O621" s="1118"/>
      <c r="P621" s="1118"/>
      <c r="Q621" s="1111"/>
      <c r="R621" s="1111"/>
      <c r="S621" s="1111"/>
      <c r="T621" s="1111"/>
      <c r="U621" s="1111"/>
      <c r="V621" s="1111"/>
      <c r="W621" s="1111"/>
      <c r="X621" s="1111"/>
      <c r="Y621" s="1111"/>
      <c r="Z621" s="1111"/>
      <c r="AA621" s="1111"/>
      <c r="AB621" s="1111"/>
      <c r="AC621" s="1111"/>
      <c r="AD621" s="1111"/>
      <c r="AE621" s="1111"/>
      <c r="AF621" s="1111"/>
      <c r="AG621" s="1111"/>
    </row>
    <row r="622" spans="1:33" s="1295" customFormat="1">
      <c r="A622" s="1264"/>
      <c r="D622" s="1118"/>
      <c r="E622" s="1264"/>
      <c r="F622" s="1118"/>
      <c r="G622" s="1118"/>
      <c r="H622" s="1118"/>
      <c r="I622" s="1118"/>
      <c r="J622" s="1118"/>
      <c r="K622" s="1118"/>
      <c r="L622" s="1118"/>
      <c r="M622" s="1118"/>
      <c r="N622" s="1118"/>
      <c r="O622" s="1118"/>
      <c r="P622" s="1118"/>
      <c r="Q622" s="1111"/>
      <c r="R622" s="1111"/>
      <c r="S622" s="1111"/>
      <c r="T622" s="1111"/>
      <c r="U622" s="1111"/>
      <c r="V622" s="1111"/>
      <c r="W622" s="1111"/>
      <c r="X622" s="1111"/>
      <c r="Y622" s="1111"/>
      <c r="Z622" s="1111"/>
      <c r="AA622" s="1111"/>
      <c r="AB622" s="1111"/>
      <c r="AC622" s="1111"/>
      <c r="AD622" s="1111"/>
      <c r="AE622" s="1111"/>
      <c r="AF622" s="1111"/>
      <c r="AG622" s="1111"/>
    </row>
    <row r="623" spans="1:33" s="1295" customFormat="1">
      <c r="A623" s="1264"/>
      <c r="D623" s="1118"/>
      <c r="E623" s="1264"/>
      <c r="F623" s="1118"/>
      <c r="G623" s="1118"/>
      <c r="H623" s="1118"/>
      <c r="I623" s="1118"/>
      <c r="J623" s="1118"/>
      <c r="K623" s="1118"/>
      <c r="L623" s="1118"/>
      <c r="M623" s="1118"/>
      <c r="N623" s="1118"/>
      <c r="O623" s="1118"/>
      <c r="P623" s="1118"/>
      <c r="Q623" s="1111"/>
      <c r="R623" s="1111"/>
      <c r="S623" s="1111"/>
      <c r="T623" s="1111"/>
      <c r="U623" s="1111"/>
      <c r="V623" s="1111"/>
      <c r="W623" s="1111"/>
      <c r="X623" s="1111"/>
      <c r="Y623" s="1111"/>
      <c r="Z623" s="1111"/>
      <c r="AA623" s="1111"/>
      <c r="AB623" s="1111"/>
      <c r="AC623" s="1111"/>
      <c r="AD623" s="1111"/>
      <c r="AE623" s="1111"/>
      <c r="AF623" s="1111"/>
      <c r="AG623" s="1111"/>
    </row>
    <row r="624" spans="1:33" s="1295" customFormat="1">
      <c r="A624" s="1264"/>
      <c r="D624" s="1118"/>
      <c r="E624" s="1264"/>
      <c r="F624" s="1118"/>
      <c r="G624" s="1118"/>
      <c r="H624" s="1118"/>
      <c r="I624" s="1118"/>
      <c r="J624" s="1118"/>
      <c r="K624" s="1118"/>
      <c r="L624" s="1118"/>
      <c r="M624" s="1118"/>
      <c r="N624" s="1118"/>
      <c r="O624" s="1118"/>
      <c r="P624" s="1118"/>
      <c r="Q624" s="1111"/>
      <c r="R624" s="1111"/>
      <c r="S624" s="1111"/>
      <c r="T624" s="1111"/>
      <c r="U624" s="1111"/>
      <c r="V624" s="1111"/>
      <c r="W624" s="1111"/>
      <c r="X624" s="1111"/>
      <c r="Y624" s="1111"/>
      <c r="Z624" s="1111"/>
      <c r="AA624" s="1111"/>
      <c r="AB624" s="1111"/>
      <c r="AC624" s="1111"/>
      <c r="AD624" s="1111"/>
      <c r="AE624" s="1111"/>
      <c r="AF624" s="1111"/>
      <c r="AG624" s="1111"/>
    </row>
    <row r="625" spans="1:33" s="1295" customFormat="1">
      <c r="A625" s="1264"/>
      <c r="D625" s="1118"/>
      <c r="E625" s="1264"/>
      <c r="F625" s="1118"/>
      <c r="G625" s="1118"/>
      <c r="H625" s="1118"/>
      <c r="I625" s="1118"/>
      <c r="J625" s="1118"/>
      <c r="K625" s="1118"/>
      <c r="L625" s="1118"/>
      <c r="M625" s="1118"/>
      <c r="N625" s="1118"/>
      <c r="O625" s="1118"/>
      <c r="P625" s="1118"/>
      <c r="Q625" s="1111"/>
      <c r="R625" s="1111"/>
      <c r="S625" s="1111"/>
      <c r="T625" s="1111"/>
      <c r="U625" s="1111"/>
      <c r="V625" s="1111"/>
      <c r="W625" s="1111"/>
      <c r="X625" s="1111"/>
      <c r="Y625" s="1111"/>
      <c r="Z625" s="1111"/>
      <c r="AA625" s="1111"/>
      <c r="AB625" s="1111"/>
      <c r="AC625" s="1111"/>
      <c r="AD625" s="1111"/>
      <c r="AE625" s="1111"/>
      <c r="AF625" s="1111"/>
      <c r="AG625" s="1111"/>
    </row>
    <row r="626" spans="1:33" s="1295" customFormat="1">
      <c r="A626" s="1264"/>
      <c r="D626" s="1118"/>
      <c r="E626" s="1264"/>
      <c r="F626" s="1118"/>
      <c r="G626" s="1118"/>
      <c r="H626" s="1118"/>
      <c r="I626" s="1118"/>
      <c r="J626" s="1118"/>
      <c r="K626" s="1118"/>
      <c r="L626" s="1118"/>
      <c r="M626" s="1118"/>
      <c r="N626" s="1118"/>
      <c r="O626" s="1118"/>
      <c r="P626" s="1118"/>
      <c r="Q626" s="1111"/>
      <c r="R626" s="1111"/>
      <c r="S626" s="1111"/>
      <c r="T626" s="1111"/>
      <c r="U626" s="1111"/>
      <c r="V626" s="1111"/>
      <c r="W626" s="1111"/>
      <c r="X626" s="1111"/>
      <c r="Y626" s="1111"/>
      <c r="Z626" s="1111"/>
      <c r="AA626" s="1111"/>
      <c r="AB626" s="1111"/>
      <c r="AC626" s="1111"/>
      <c r="AD626" s="1111"/>
      <c r="AE626" s="1111"/>
      <c r="AF626" s="1111"/>
      <c r="AG626" s="1111"/>
    </row>
    <row r="627" spans="1:33" s="1295" customFormat="1">
      <c r="A627" s="1264"/>
      <c r="D627" s="1118"/>
      <c r="E627" s="1264"/>
      <c r="F627" s="1118"/>
      <c r="G627" s="1118"/>
      <c r="H627" s="1118"/>
      <c r="I627" s="1118"/>
      <c r="J627" s="1118"/>
      <c r="K627" s="1118"/>
      <c r="L627" s="1118"/>
      <c r="M627" s="1118"/>
      <c r="N627" s="1118"/>
      <c r="O627" s="1118"/>
      <c r="P627" s="1118"/>
      <c r="Q627" s="1111"/>
      <c r="R627" s="1111"/>
      <c r="S627" s="1111"/>
      <c r="T627" s="1111"/>
      <c r="U627" s="1111"/>
      <c r="V627" s="1111"/>
      <c r="W627" s="1111"/>
      <c r="X627" s="1111"/>
      <c r="Y627" s="1111"/>
      <c r="Z627" s="1111"/>
      <c r="AA627" s="1111"/>
      <c r="AB627" s="1111"/>
      <c r="AC627" s="1111"/>
      <c r="AD627" s="1111"/>
      <c r="AE627" s="1111"/>
      <c r="AF627" s="1111"/>
      <c r="AG627" s="1111"/>
    </row>
    <row r="628" spans="1:33" s="1295" customFormat="1">
      <c r="A628" s="1264"/>
      <c r="D628" s="1118"/>
      <c r="E628" s="1264"/>
      <c r="F628" s="1118"/>
      <c r="G628" s="1118"/>
      <c r="H628" s="1118"/>
      <c r="I628" s="1118"/>
      <c r="J628" s="1118"/>
      <c r="K628" s="1118"/>
      <c r="L628" s="1118"/>
      <c r="M628" s="1118"/>
      <c r="N628" s="1118"/>
      <c r="O628" s="1118"/>
      <c r="P628" s="1118"/>
      <c r="Q628" s="1111"/>
      <c r="R628" s="1111"/>
      <c r="S628" s="1111"/>
      <c r="T628" s="1111"/>
      <c r="U628" s="1111"/>
      <c r="V628" s="1111"/>
      <c r="W628" s="1111"/>
      <c r="X628" s="1111"/>
      <c r="Y628" s="1111"/>
      <c r="Z628" s="1111"/>
      <c r="AA628" s="1111"/>
      <c r="AB628" s="1111"/>
      <c r="AC628" s="1111"/>
      <c r="AD628" s="1111"/>
      <c r="AE628" s="1111"/>
      <c r="AF628" s="1111"/>
      <c r="AG628" s="1111"/>
    </row>
    <row r="629" spans="1:33" s="1295" customFormat="1">
      <c r="A629" s="1264"/>
      <c r="D629" s="1118"/>
      <c r="E629" s="1264"/>
      <c r="F629" s="1118"/>
      <c r="G629" s="1118"/>
      <c r="H629" s="1118"/>
      <c r="I629" s="1118"/>
      <c r="J629" s="1118"/>
      <c r="K629" s="1118"/>
      <c r="L629" s="1118"/>
      <c r="M629" s="1118"/>
      <c r="N629" s="1118"/>
      <c r="O629" s="1118"/>
      <c r="P629" s="1118"/>
      <c r="Q629" s="1111"/>
      <c r="R629" s="1111"/>
      <c r="S629" s="1111"/>
      <c r="T629" s="1111"/>
      <c r="U629" s="1111"/>
      <c r="V629" s="1111"/>
      <c r="W629" s="1111"/>
      <c r="X629" s="1111"/>
      <c r="Y629" s="1111"/>
      <c r="Z629" s="1111"/>
      <c r="AA629" s="1111"/>
      <c r="AB629" s="1111"/>
      <c r="AC629" s="1111"/>
      <c r="AD629" s="1111"/>
      <c r="AE629" s="1111"/>
      <c r="AF629" s="1111"/>
      <c r="AG629" s="1111"/>
    </row>
    <row r="630" spans="1:33" s="1295" customFormat="1">
      <c r="A630" s="1264"/>
      <c r="D630" s="1118"/>
      <c r="E630" s="1264"/>
      <c r="F630" s="1118"/>
      <c r="G630" s="1118"/>
      <c r="H630" s="1118"/>
      <c r="I630" s="1118"/>
      <c r="J630" s="1118"/>
      <c r="K630" s="1118"/>
      <c r="L630" s="1118"/>
      <c r="M630" s="1118"/>
      <c r="N630" s="1118"/>
      <c r="O630" s="1118"/>
      <c r="P630" s="1118"/>
      <c r="Q630" s="1111"/>
      <c r="R630" s="1111"/>
      <c r="S630" s="1111"/>
      <c r="T630" s="1111"/>
      <c r="U630" s="1111"/>
      <c r="V630" s="1111"/>
      <c r="W630" s="1111"/>
      <c r="X630" s="1111"/>
      <c r="Y630" s="1111"/>
      <c r="Z630" s="1111"/>
      <c r="AA630" s="1111"/>
      <c r="AB630" s="1111"/>
      <c r="AC630" s="1111"/>
      <c r="AD630" s="1111"/>
      <c r="AE630" s="1111"/>
      <c r="AF630" s="1111"/>
      <c r="AG630" s="1111"/>
    </row>
    <row r="631" spans="1:33" s="1295" customFormat="1">
      <c r="A631" s="1264"/>
      <c r="D631" s="1118"/>
      <c r="E631" s="1264"/>
      <c r="F631" s="1118"/>
      <c r="G631" s="1118"/>
      <c r="H631" s="1118"/>
      <c r="I631" s="1118"/>
      <c r="J631" s="1118"/>
      <c r="K631" s="1118"/>
      <c r="L631" s="1118"/>
      <c r="M631" s="1118"/>
      <c r="N631" s="1118"/>
      <c r="O631" s="1118"/>
      <c r="P631" s="1118"/>
      <c r="Q631" s="1111"/>
      <c r="R631" s="1111"/>
      <c r="S631" s="1111"/>
      <c r="T631" s="1111"/>
      <c r="U631" s="1111"/>
      <c r="V631" s="1111"/>
      <c r="W631" s="1111"/>
      <c r="X631" s="1111"/>
      <c r="Y631" s="1111"/>
      <c r="Z631" s="1111"/>
      <c r="AA631" s="1111"/>
      <c r="AB631" s="1111"/>
      <c r="AC631" s="1111"/>
      <c r="AD631" s="1111"/>
      <c r="AE631" s="1111"/>
      <c r="AF631" s="1111"/>
      <c r="AG631" s="1111"/>
    </row>
    <row r="632" spans="1:33" s="1295" customFormat="1">
      <c r="A632" s="1264"/>
      <c r="D632" s="1118"/>
      <c r="E632" s="1264"/>
      <c r="F632" s="1118"/>
      <c r="G632" s="1118"/>
      <c r="H632" s="1118"/>
      <c r="I632" s="1118"/>
      <c r="J632" s="1118"/>
      <c r="K632" s="1118"/>
      <c r="L632" s="1118"/>
      <c r="M632" s="1118"/>
      <c r="N632" s="1118"/>
      <c r="O632" s="1118"/>
      <c r="P632" s="1118"/>
      <c r="Q632" s="1111"/>
      <c r="R632" s="1111"/>
      <c r="S632" s="1111"/>
      <c r="T632" s="1111"/>
      <c r="U632" s="1111"/>
      <c r="V632" s="1111"/>
      <c r="W632" s="1111"/>
      <c r="X632" s="1111"/>
      <c r="Y632" s="1111"/>
      <c r="Z632" s="1111"/>
      <c r="AA632" s="1111"/>
      <c r="AB632" s="1111"/>
      <c r="AC632" s="1111"/>
      <c r="AD632" s="1111"/>
      <c r="AE632" s="1111"/>
      <c r="AF632" s="1111"/>
      <c r="AG632" s="1111"/>
    </row>
    <row r="633" spans="1:33" s="1295" customFormat="1">
      <c r="A633" s="1264"/>
      <c r="D633" s="1118"/>
      <c r="E633" s="1264"/>
      <c r="F633" s="1118"/>
      <c r="G633" s="1118"/>
      <c r="H633" s="1118"/>
      <c r="I633" s="1118"/>
      <c r="J633" s="1118"/>
      <c r="K633" s="1118"/>
      <c r="L633" s="1118"/>
      <c r="M633" s="1118"/>
      <c r="N633" s="1118"/>
      <c r="O633" s="1118"/>
      <c r="P633" s="1118"/>
      <c r="Q633" s="1111"/>
      <c r="R633" s="1111"/>
      <c r="S633" s="1111"/>
      <c r="T633" s="1111"/>
      <c r="U633" s="1111"/>
      <c r="V633" s="1111"/>
      <c r="W633" s="1111"/>
      <c r="X633" s="1111"/>
      <c r="Y633" s="1111"/>
      <c r="Z633" s="1111"/>
      <c r="AA633" s="1111"/>
      <c r="AB633" s="1111"/>
      <c r="AC633" s="1111"/>
      <c r="AD633" s="1111"/>
      <c r="AE633" s="1111"/>
      <c r="AF633" s="1111"/>
      <c r="AG633" s="1111"/>
    </row>
    <row r="634" spans="1:33" s="1295" customFormat="1">
      <c r="A634" s="1264"/>
      <c r="D634" s="1118"/>
      <c r="E634" s="1264"/>
      <c r="F634" s="1118"/>
      <c r="G634" s="1118"/>
      <c r="H634" s="1118"/>
      <c r="I634" s="1118"/>
      <c r="J634" s="1118"/>
      <c r="K634" s="1118"/>
      <c r="L634" s="1118"/>
      <c r="M634" s="1118"/>
      <c r="N634" s="1118"/>
      <c r="O634" s="1118"/>
      <c r="P634" s="1118"/>
      <c r="Q634" s="1111"/>
      <c r="R634" s="1111"/>
      <c r="S634" s="1111"/>
      <c r="T634" s="1111"/>
      <c r="U634" s="1111"/>
      <c r="V634" s="1111"/>
      <c r="W634" s="1111"/>
      <c r="X634" s="1111"/>
      <c r="Y634" s="1111"/>
      <c r="Z634" s="1111"/>
      <c r="AA634" s="1111"/>
      <c r="AB634" s="1111"/>
      <c r="AC634" s="1111"/>
      <c r="AD634" s="1111"/>
      <c r="AE634" s="1111"/>
      <c r="AF634" s="1111"/>
      <c r="AG634" s="1111"/>
    </row>
    <row r="635" spans="1:33" s="1295" customFormat="1">
      <c r="A635" s="1264"/>
      <c r="D635" s="1118"/>
      <c r="E635" s="1264"/>
      <c r="F635" s="1118"/>
      <c r="G635" s="1118"/>
      <c r="H635" s="1118"/>
      <c r="I635" s="1118"/>
      <c r="J635" s="1118"/>
      <c r="K635" s="1118"/>
      <c r="L635" s="1118"/>
      <c r="M635" s="1118"/>
      <c r="N635" s="1118"/>
      <c r="O635" s="1118"/>
      <c r="P635" s="1118"/>
      <c r="Q635" s="1111"/>
      <c r="R635" s="1111"/>
      <c r="S635" s="1111"/>
      <c r="T635" s="1111"/>
      <c r="U635" s="1111"/>
      <c r="V635" s="1111"/>
      <c r="W635" s="1111"/>
      <c r="X635" s="1111"/>
      <c r="Y635" s="1111"/>
      <c r="Z635" s="1111"/>
      <c r="AA635" s="1111"/>
      <c r="AB635" s="1111"/>
      <c r="AC635" s="1111"/>
      <c r="AD635" s="1111"/>
      <c r="AE635" s="1111"/>
      <c r="AF635" s="1111"/>
      <c r="AG635" s="1111"/>
    </row>
    <row r="636" spans="1:33" s="1295" customFormat="1">
      <c r="A636" s="1264"/>
      <c r="D636" s="1118"/>
      <c r="E636" s="1264"/>
      <c r="F636" s="1118"/>
      <c r="G636" s="1118"/>
      <c r="H636" s="1118"/>
      <c r="I636" s="1118"/>
      <c r="J636" s="1118"/>
      <c r="K636" s="1118"/>
      <c r="L636" s="1118"/>
      <c r="M636" s="1118"/>
      <c r="N636" s="1118"/>
      <c r="O636" s="1118"/>
      <c r="P636" s="1118"/>
      <c r="Q636" s="1111"/>
      <c r="R636" s="1111"/>
      <c r="S636" s="1111"/>
      <c r="T636" s="1111"/>
      <c r="U636" s="1111"/>
      <c r="V636" s="1111"/>
      <c r="W636" s="1111"/>
      <c r="X636" s="1111"/>
      <c r="Y636" s="1111"/>
      <c r="Z636" s="1111"/>
      <c r="AA636" s="1111"/>
      <c r="AB636" s="1111"/>
      <c r="AC636" s="1111"/>
      <c r="AD636" s="1111"/>
      <c r="AE636" s="1111"/>
      <c r="AF636" s="1111"/>
      <c r="AG636" s="1111"/>
    </row>
    <row r="637" spans="1:33" s="1295" customFormat="1">
      <c r="A637" s="1264"/>
      <c r="D637" s="1118"/>
      <c r="E637" s="1264"/>
      <c r="F637" s="1118"/>
      <c r="G637" s="1118"/>
      <c r="H637" s="1118"/>
      <c r="I637" s="1118"/>
      <c r="J637" s="1118"/>
      <c r="K637" s="1118"/>
      <c r="L637" s="1118"/>
      <c r="M637" s="1118"/>
      <c r="N637" s="1118"/>
      <c r="O637" s="1118"/>
      <c r="P637" s="1118"/>
      <c r="Q637" s="1111"/>
      <c r="R637" s="1111"/>
      <c r="S637" s="1111"/>
      <c r="T637" s="1111"/>
      <c r="U637" s="1111"/>
      <c r="V637" s="1111"/>
      <c r="W637" s="1111"/>
      <c r="X637" s="1111"/>
      <c r="Y637" s="1111"/>
      <c r="Z637" s="1111"/>
      <c r="AA637" s="1111"/>
      <c r="AB637" s="1111"/>
      <c r="AC637" s="1111"/>
      <c r="AD637" s="1111"/>
      <c r="AE637" s="1111"/>
      <c r="AF637" s="1111"/>
      <c r="AG637" s="1111"/>
    </row>
    <row r="638" spans="1:33" s="1295" customFormat="1">
      <c r="A638" s="1264"/>
      <c r="D638" s="1118"/>
      <c r="E638" s="1264"/>
      <c r="F638" s="1118"/>
      <c r="G638" s="1118"/>
      <c r="H638" s="1118"/>
      <c r="I638" s="1118"/>
      <c r="J638" s="1118"/>
      <c r="K638" s="1118"/>
      <c r="L638" s="1118"/>
      <c r="M638" s="1118"/>
      <c r="N638" s="1118"/>
      <c r="O638" s="1118"/>
      <c r="P638" s="1118"/>
      <c r="Q638" s="1111"/>
      <c r="R638" s="1111"/>
      <c r="S638" s="1111"/>
      <c r="T638" s="1111"/>
      <c r="U638" s="1111"/>
      <c r="V638" s="1111"/>
      <c r="W638" s="1111"/>
      <c r="X638" s="1111"/>
      <c r="Y638" s="1111"/>
      <c r="Z638" s="1111"/>
      <c r="AA638" s="1111"/>
      <c r="AB638" s="1111"/>
      <c r="AC638" s="1111"/>
      <c r="AD638" s="1111"/>
      <c r="AE638" s="1111"/>
      <c r="AF638" s="1111"/>
      <c r="AG638" s="1111"/>
    </row>
    <row r="639" spans="1:33" s="1295" customFormat="1">
      <c r="A639" s="1264"/>
      <c r="D639" s="1118"/>
      <c r="E639" s="1264"/>
      <c r="F639" s="1118"/>
      <c r="G639" s="1118"/>
      <c r="H639" s="1118"/>
      <c r="I639" s="1118"/>
      <c r="J639" s="1118"/>
      <c r="K639" s="1118"/>
      <c r="L639" s="1118"/>
      <c r="M639" s="1118"/>
      <c r="N639" s="1118"/>
      <c r="O639" s="1118"/>
      <c r="P639" s="1118"/>
      <c r="Q639" s="1111"/>
      <c r="R639" s="1111"/>
      <c r="S639" s="1111"/>
      <c r="T639" s="1111"/>
      <c r="U639" s="1111"/>
      <c r="V639" s="1111"/>
      <c r="W639" s="1111"/>
      <c r="X639" s="1111"/>
      <c r="Y639" s="1111"/>
      <c r="Z639" s="1111"/>
      <c r="AA639" s="1111"/>
      <c r="AB639" s="1111"/>
      <c r="AC639" s="1111"/>
      <c r="AD639" s="1111"/>
      <c r="AE639" s="1111"/>
      <c r="AF639" s="1111"/>
      <c r="AG639" s="1111"/>
    </row>
    <row r="640" spans="1:33" s="1295" customFormat="1">
      <c r="A640" s="1264"/>
      <c r="D640" s="1118"/>
      <c r="E640" s="1264"/>
      <c r="F640" s="1118"/>
      <c r="G640" s="1118"/>
      <c r="H640" s="1118"/>
      <c r="I640" s="1118"/>
      <c r="J640" s="1118"/>
      <c r="K640" s="1118"/>
      <c r="L640" s="1118"/>
      <c r="M640" s="1118"/>
      <c r="N640" s="1118"/>
      <c r="O640" s="1118"/>
      <c r="P640" s="1118"/>
      <c r="Q640" s="1111"/>
      <c r="R640" s="1111"/>
      <c r="S640" s="1111"/>
      <c r="T640" s="1111"/>
      <c r="U640" s="1111"/>
      <c r="V640" s="1111"/>
      <c r="W640" s="1111"/>
      <c r="X640" s="1111"/>
      <c r="Y640" s="1111"/>
      <c r="Z640" s="1111"/>
      <c r="AA640" s="1111"/>
      <c r="AB640" s="1111"/>
      <c r="AC640" s="1111"/>
      <c r="AD640" s="1111"/>
      <c r="AE640" s="1111"/>
      <c r="AF640" s="1111"/>
      <c r="AG640" s="1111"/>
    </row>
    <row r="641" spans="1:33" s="1295" customFormat="1">
      <c r="A641" s="1264"/>
      <c r="D641" s="1118"/>
      <c r="E641" s="1264"/>
      <c r="F641" s="1118"/>
      <c r="G641" s="1118"/>
      <c r="H641" s="1118"/>
      <c r="I641" s="1118"/>
      <c r="J641" s="1118"/>
      <c r="K641" s="1118"/>
      <c r="L641" s="1118"/>
      <c r="M641" s="1118"/>
      <c r="N641" s="1118"/>
      <c r="O641" s="1118"/>
      <c r="P641" s="1118"/>
      <c r="Q641" s="1111"/>
      <c r="R641" s="1111"/>
      <c r="S641" s="1111"/>
      <c r="T641" s="1111"/>
      <c r="U641" s="1111"/>
      <c r="V641" s="1111"/>
      <c r="W641" s="1111"/>
      <c r="X641" s="1111"/>
      <c r="Y641" s="1111"/>
      <c r="Z641" s="1111"/>
      <c r="AA641" s="1111"/>
      <c r="AB641" s="1111"/>
      <c r="AC641" s="1111"/>
      <c r="AD641" s="1111"/>
      <c r="AE641" s="1111"/>
      <c r="AF641" s="1111"/>
      <c r="AG641" s="1111"/>
    </row>
    <row r="642" spans="1:33" s="1295" customFormat="1">
      <c r="A642" s="1264"/>
      <c r="D642" s="1118"/>
      <c r="E642" s="1264"/>
      <c r="F642" s="1118"/>
      <c r="G642" s="1118"/>
      <c r="H642" s="1118"/>
      <c r="I642" s="1118"/>
      <c r="J642" s="1118"/>
      <c r="K642" s="1118"/>
      <c r="L642" s="1118"/>
      <c r="M642" s="1118"/>
      <c r="N642" s="1118"/>
      <c r="O642" s="1118"/>
      <c r="P642" s="1118"/>
      <c r="Q642" s="1111"/>
      <c r="R642" s="1111"/>
      <c r="S642" s="1111"/>
      <c r="T642" s="1111"/>
      <c r="U642" s="1111"/>
      <c r="V642" s="1111"/>
      <c r="W642" s="1111"/>
      <c r="X642" s="1111"/>
      <c r="Y642" s="1111"/>
      <c r="Z642" s="1111"/>
      <c r="AA642" s="1111"/>
      <c r="AB642" s="1111"/>
      <c r="AC642" s="1111"/>
      <c r="AD642" s="1111"/>
      <c r="AE642" s="1111"/>
      <c r="AF642" s="1111"/>
      <c r="AG642" s="1111"/>
    </row>
    <row r="643" spans="1:33" s="1295" customFormat="1">
      <c r="A643" s="1264"/>
      <c r="D643" s="1118"/>
      <c r="E643" s="1264"/>
      <c r="F643" s="1118"/>
      <c r="G643" s="1118"/>
      <c r="H643" s="1118"/>
      <c r="I643" s="1118"/>
      <c r="J643" s="1118"/>
      <c r="K643" s="1118"/>
      <c r="L643" s="1118"/>
      <c r="M643" s="1118"/>
      <c r="N643" s="1118"/>
      <c r="O643" s="1118"/>
      <c r="P643" s="1118"/>
      <c r="Q643" s="1111"/>
      <c r="R643" s="1111"/>
      <c r="S643" s="1111"/>
      <c r="T643" s="1111"/>
      <c r="U643" s="1111"/>
      <c r="V643" s="1111"/>
      <c r="W643" s="1111"/>
      <c r="X643" s="1111"/>
      <c r="Y643" s="1111"/>
      <c r="Z643" s="1111"/>
      <c r="AA643" s="1111"/>
      <c r="AB643" s="1111"/>
      <c r="AC643" s="1111"/>
      <c r="AD643" s="1111"/>
      <c r="AE643" s="1111"/>
      <c r="AF643" s="1111"/>
      <c r="AG643" s="1111"/>
    </row>
    <row r="644" spans="1:33" s="1295" customFormat="1">
      <c r="A644" s="1264"/>
      <c r="D644" s="1118"/>
      <c r="E644" s="1264"/>
      <c r="F644" s="1118"/>
      <c r="G644" s="1118"/>
      <c r="H644" s="1118"/>
      <c r="I644" s="1118"/>
      <c r="J644" s="1118"/>
      <c r="K644" s="1118"/>
      <c r="L644" s="1118"/>
      <c r="M644" s="1118"/>
      <c r="N644" s="1118"/>
      <c r="O644" s="1118"/>
      <c r="P644" s="1118"/>
      <c r="Q644" s="1111"/>
      <c r="R644" s="1111"/>
      <c r="S644" s="1111"/>
      <c r="T644" s="1111"/>
      <c r="U644" s="1111"/>
      <c r="V644" s="1111"/>
      <c r="W644" s="1111"/>
      <c r="X644" s="1111"/>
      <c r="Y644" s="1111"/>
      <c r="Z644" s="1111"/>
      <c r="AA644" s="1111"/>
      <c r="AB644" s="1111"/>
      <c r="AC644" s="1111"/>
      <c r="AD644" s="1111"/>
      <c r="AE644" s="1111"/>
      <c r="AF644" s="1111"/>
      <c r="AG644" s="1111"/>
    </row>
    <row r="645" spans="1:33" s="1295" customFormat="1">
      <c r="A645" s="1264"/>
      <c r="D645" s="1118"/>
      <c r="E645" s="1264"/>
      <c r="F645" s="1118"/>
      <c r="G645" s="1118"/>
      <c r="H645" s="1118"/>
      <c r="I645" s="1118"/>
      <c r="J645" s="1118"/>
      <c r="K645" s="1118"/>
      <c r="L645" s="1118"/>
      <c r="M645" s="1118"/>
      <c r="N645" s="1118"/>
      <c r="O645" s="1118"/>
      <c r="P645" s="1118"/>
      <c r="Q645" s="1111"/>
      <c r="R645" s="1111"/>
      <c r="S645" s="1111"/>
      <c r="T645" s="1111"/>
      <c r="U645" s="1111"/>
      <c r="V645" s="1111"/>
      <c r="W645" s="1111"/>
      <c r="X645" s="1111"/>
      <c r="Y645" s="1111"/>
      <c r="Z645" s="1111"/>
      <c r="AA645" s="1111"/>
      <c r="AB645" s="1111"/>
      <c r="AC645" s="1111"/>
      <c r="AD645" s="1111"/>
      <c r="AE645" s="1111"/>
      <c r="AF645" s="1111"/>
      <c r="AG645" s="1111"/>
    </row>
    <row r="646" spans="1:33" s="1295" customFormat="1">
      <c r="A646" s="1264"/>
      <c r="D646" s="1118"/>
      <c r="E646" s="1264"/>
      <c r="F646" s="1118"/>
      <c r="G646" s="1118"/>
      <c r="H646" s="1118"/>
      <c r="I646" s="1118"/>
      <c r="J646" s="1118"/>
      <c r="K646" s="1118"/>
      <c r="L646" s="1118"/>
      <c r="M646" s="1118"/>
      <c r="N646" s="1118"/>
      <c r="O646" s="1118"/>
      <c r="P646" s="1118"/>
      <c r="Q646" s="1111"/>
      <c r="R646" s="1111"/>
      <c r="S646" s="1111"/>
      <c r="T646" s="1111"/>
      <c r="U646" s="1111"/>
      <c r="V646" s="1111"/>
      <c r="W646" s="1111"/>
      <c r="X646" s="1111"/>
      <c r="Y646" s="1111"/>
      <c r="Z646" s="1111"/>
      <c r="AA646" s="1111"/>
      <c r="AB646" s="1111"/>
      <c r="AC646" s="1111"/>
      <c r="AD646" s="1111"/>
      <c r="AE646" s="1111"/>
      <c r="AF646" s="1111"/>
      <c r="AG646" s="1111"/>
    </row>
    <row r="647" spans="1:33" s="1295" customFormat="1">
      <c r="A647" s="1264"/>
      <c r="D647" s="1118"/>
      <c r="E647" s="1264"/>
      <c r="F647" s="1118"/>
      <c r="G647" s="1118"/>
      <c r="H647" s="1118"/>
      <c r="I647" s="1118"/>
      <c r="J647" s="1118"/>
      <c r="K647" s="1118"/>
      <c r="L647" s="1118"/>
      <c r="M647" s="1118"/>
      <c r="N647" s="1118"/>
      <c r="O647" s="1118"/>
      <c r="P647" s="1118"/>
      <c r="Q647" s="1111"/>
      <c r="R647" s="1111"/>
      <c r="S647" s="1111"/>
      <c r="T647" s="1111"/>
      <c r="U647" s="1111"/>
      <c r="V647" s="1111"/>
      <c r="W647" s="1111"/>
      <c r="X647" s="1111"/>
      <c r="Y647" s="1111"/>
      <c r="Z647" s="1111"/>
      <c r="AA647" s="1111"/>
      <c r="AB647" s="1111"/>
      <c r="AC647" s="1111"/>
      <c r="AD647" s="1111"/>
      <c r="AE647" s="1111"/>
      <c r="AF647" s="1111"/>
      <c r="AG647" s="1111"/>
    </row>
    <row r="648" spans="1:33" s="1295" customFormat="1">
      <c r="A648" s="1264"/>
      <c r="D648" s="1118"/>
      <c r="E648" s="1264"/>
      <c r="F648" s="1118"/>
      <c r="G648" s="1118"/>
      <c r="H648" s="1118"/>
      <c r="I648" s="1118"/>
      <c r="J648" s="1118"/>
      <c r="K648" s="1118"/>
      <c r="L648" s="1118"/>
      <c r="M648" s="1118"/>
      <c r="N648" s="1118"/>
      <c r="O648" s="1118"/>
      <c r="P648" s="1118"/>
      <c r="Q648" s="1111"/>
      <c r="R648" s="1111"/>
      <c r="S648" s="1111"/>
      <c r="T648" s="1111"/>
      <c r="U648" s="1111"/>
      <c r="V648" s="1111"/>
      <c r="W648" s="1111"/>
      <c r="X648" s="1111"/>
      <c r="Y648" s="1111"/>
      <c r="Z648" s="1111"/>
      <c r="AA648" s="1111"/>
      <c r="AB648" s="1111"/>
      <c r="AC648" s="1111"/>
      <c r="AD648" s="1111"/>
      <c r="AE648" s="1111"/>
      <c r="AF648" s="1111"/>
      <c r="AG648" s="1111"/>
    </row>
    <row r="649" spans="1:33" s="1295" customFormat="1">
      <c r="A649" s="1264"/>
      <c r="D649" s="1118"/>
      <c r="E649" s="1264"/>
      <c r="F649" s="1118"/>
      <c r="G649" s="1118"/>
      <c r="H649" s="1118"/>
      <c r="I649" s="1118"/>
      <c r="J649" s="1118"/>
      <c r="K649" s="1118"/>
      <c r="L649" s="1118"/>
      <c r="M649" s="1118"/>
      <c r="N649" s="1118"/>
      <c r="O649" s="1118"/>
      <c r="P649" s="1118"/>
      <c r="Q649" s="1111"/>
      <c r="R649" s="1111"/>
      <c r="S649" s="1111"/>
      <c r="T649" s="1111"/>
      <c r="U649" s="1111"/>
      <c r="V649" s="1111"/>
      <c r="W649" s="1111"/>
      <c r="X649" s="1111"/>
      <c r="Y649" s="1111"/>
      <c r="Z649" s="1111"/>
      <c r="AA649" s="1111"/>
      <c r="AB649" s="1111"/>
      <c r="AC649" s="1111"/>
      <c r="AD649" s="1111"/>
      <c r="AE649" s="1111"/>
      <c r="AF649" s="1111"/>
      <c r="AG649" s="1111"/>
    </row>
    <row r="650" spans="1:33" s="1295" customFormat="1">
      <c r="A650" s="1264"/>
      <c r="D650" s="1118"/>
      <c r="E650" s="1264"/>
      <c r="F650" s="1118"/>
      <c r="G650" s="1118"/>
      <c r="H650" s="1118"/>
      <c r="I650" s="1118"/>
      <c r="J650" s="1118"/>
      <c r="K650" s="1118"/>
      <c r="L650" s="1118"/>
      <c r="M650" s="1118"/>
      <c r="N650" s="1118"/>
      <c r="O650" s="1118"/>
      <c r="P650" s="1118"/>
      <c r="Q650" s="1111"/>
      <c r="R650" s="1111"/>
      <c r="S650" s="1111"/>
      <c r="T650" s="1111"/>
      <c r="U650" s="1111"/>
      <c r="V650" s="1111"/>
      <c r="W650" s="1111"/>
      <c r="X650" s="1111"/>
      <c r="Y650" s="1111"/>
      <c r="Z650" s="1111"/>
      <c r="AA650" s="1111"/>
      <c r="AB650" s="1111"/>
      <c r="AC650" s="1111"/>
      <c r="AD650" s="1111"/>
      <c r="AE650" s="1111"/>
      <c r="AF650" s="1111"/>
      <c r="AG650" s="1111"/>
    </row>
    <row r="651" spans="1:33" s="1295" customFormat="1">
      <c r="A651" s="1264"/>
      <c r="D651" s="1118"/>
      <c r="E651" s="1264"/>
      <c r="F651" s="1118"/>
      <c r="G651" s="1118"/>
      <c r="H651" s="1118"/>
      <c r="I651" s="1118"/>
      <c r="J651" s="1118"/>
      <c r="K651" s="1118"/>
      <c r="L651" s="1118"/>
      <c r="M651" s="1118"/>
      <c r="N651" s="1118"/>
      <c r="O651" s="1118"/>
      <c r="P651" s="1118"/>
      <c r="Q651" s="1111"/>
      <c r="R651" s="1111"/>
      <c r="S651" s="1111"/>
      <c r="T651" s="1111"/>
      <c r="U651" s="1111"/>
      <c r="V651" s="1111"/>
      <c r="W651" s="1111"/>
      <c r="X651" s="1111"/>
      <c r="Y651" s="1111"/>
      <c r="Z651" s="1111"/>
      <c r="AA651" s="1111"/>
      <c r="AB651" s="1111"/>
      <c r="AC651" s="1111"/>
      <c r="AD651" s="1111"/>
      <c r="AE651" s="1111"/>
      <c r="AF651" s="1111"/>
      <c r="AG651" s="1111"/>
    </row>
    <row r="652" spans="1:33" s="1295" customFormat="1">
      <c r="A652" s="1264"/>
      <c r="D652" s="1118"/>
      <c r="E652" s="1264"/>
      <c r="F652" s="1118"/>
      <c r="G652" s="1118"/>
      <c r="H652" s="1118"/>
      <c r="I652" s="1118"/>
      <c r="J652" s="1118"/>
      <c r="K652" s="1118"/>
      <c r="L652" s="1118"/>
      <c r="M652" s="1118"/>
      <c r="N652" s="1118"/>
      <c r="O652" s="1118"/>
      <c r="P652" s="1118"/>
      <c r="Q652" s="1111"/>
      <c r="R652" s="1111"/>
      <c r="S652" s="1111"/>
      <c r="T652" s="1111"/>
      <c r="U652" s="1111"/>
      <c r="V652" s="1111"/>
      <c r="W652" s="1111"/>
      <c r="X652" s="1111"/>
      <c r="Y652" s="1111"/>
      <c r="Z652" s="1111"/>
      <c r="AA652" s="1111"/>
      <c r="AB652" s="1111"/>
      <c r="AC652" s="1111"/>
      <c r="AD652" s="1111"/>
      <c r="AE652" s="1111"/>
      <c r="AF652" s="1111"/>
      <c r="AG652" s="1111"/>
    </row>
    <row r="653" spans="1:33" s="1295" customFormat="1">
      <c r="A653" s="1264"/>
      <c r="D653" s="1118"/>
      <c r="E653" s="1264"/>
      <c r="F653" s="1118"/>
      <c r="G653" s="1118"/>
      <c r="H653" s="1118"/>
      <c r="I653" s="1118"/>
      <c r="J653" s="1118"/>
      <c r="K653" s="1118"/>
      <c r="L653" s="1118"/>
      <c r="M653" s="1118"/>
      <c r="N653" s="1118"/>
      <c r="O653" s="1118"/>
      <c r="P653" s="1118"/>
      <c r="Q653" s="1111"/>
      <c r="R653" s="1111"/>
      <c r="S653" s="1111"/>
      <c r="T653" s="1111"/>
      <c r="U653" s="1111"/>
      <c r="V653" s="1111"/>
      <c r="W653" s="1111"/>
      <c r="X653" s="1111"/>
      <c r="Y653" s="1111"/>
      <c r="Z653" s="1111"/>
      <c r="AA653" s="1111"/>
      <c r="AB653" s="1111"/>
      <c r="AC653" s="1111"/>
      <c r="AD653" s="1111"/>
      <c r="AE653" s="1111"/>
      <c r="AF653" s="1111"/>
      <c r="AG653" s="1111"/>
    </row>
    <row r="654" spans="1:33" s="1295" customFormat="1">
      <c r="A654" s="1264"/>
      <c r="D654" s="1118"/>
      <c r="E654" s="1264"/>
      <c r="F654" s="1118"/>
      <c r="G654" s="1118"/>
      <c r="H654" s="1118"/>
      <c r="I654" s="1118"/>
      <c r="J654" s="1118"/>
      <c r="K654" s="1118"/>
      <c r="L654" s="1118"/>
      <c r="M654" s="1118"/>
      <c r="N654" s="1118"/>
      <c r="O654" s="1118"/>
      <c r="P654" s="1118"/>
      <c r="Q654" s="1111"/>
      <c r="R654" s="1111"/>
      <c r="S654" s="1111"/>
      <c r="T654" s="1111"/>
      <c r="U654" s="1111"/>
      <c r="V654" s="1111"/>
      <c r="W654" s="1111"/>
      <c r="X654" s="1111"/>
      <c r="Y654" s="1111"/>
      <c r="Z654" s="1111"/>
      <c r="AA654" s="1111"/>
      <c r="AB654" s="1111"/>
      <c r="AC654" s="1111"/>
      <c r="AD654" s="1111"/>
      <c r="AE654" s="1111"/>
      <c r="AF654" s="1111"/>
      <c r="AG654" s="1111"/>
    </row>
    <row r="655" spans="1:33" s="1295" customFormat="1">
      <c r="A655" s="1264"/>
      <c r="D655" s="1118"/>
      <c r="E655" s="1264"/>
      <c r="F655" s="1118"/>
      <c r="G655" s="1118"/>
      <c r="H655" s="1118"/>
      <c r="I655" s="1118"/>
      <c r="J655" s="1118"/>
      <c r="K655" s="1118"/>
      <c r="L655" s="1118"/>
      <c r="M655" s="1118"/>
      <c r="N655" s="1118"/>
      <c r="O655" s="1118"/>
      <c r="P655" s="1118"/>
      <c r="Q655" s="1111"/>
      <c r="R655" s="1111"/>
      <c r="S655" s="1111"/>
      <c r="T655" s="1111"/>
      <c r="U655" s="1111"/>
      <c r="V655" s="1111"/>
      <c r="W655" s="1111"/>
      <c r="X655" s="1111"/>
      <c r="Y655" s="1111"/>
      <c r="Z655" s="1111"/>
      <c r="AA655" s="1111"/>
      <c r="AB655" s="1111"/>
      <c r="AC655" s="1111"/>
      <c r="AD655" s="1111"/>
      <c r="AE655" s="1111"/>
      <c r="AF655" s="1111"/>
      <c r="AG655" s="1111"/>
    </row>
    <row r="656" spans="1:33" s="1295" customFormat="1">
      <c r="A656" s="1264"/>
      <c r="D656" s="1118"/>
      <c r="E656" s="1264"/>
      <c r="F656" s="1118"/>
      <c r="G656" s="1118"/>
      <c r="H656" s="1118"/>
      <c r="I656" s="1118"/>
      <c r="J656" s="1118"/>
      <c r="K656" s="1118"/>
      <c r="L656" s="1118"/>
      <c r="M656" s="1118"/>
      <c r="N656" s="1118"/>
      <c r="O656" s="1118"/>
      <c r="P656" s="1118"/>
      <c r="Q656" s="1111"/>
      <c r="R656" s="1111"/>
      <c r="S656" s="1111"/>
      <c r="T656" s="1111"/>
      <c r="U656" s="1111"/>
      <c r="V656" s="1111"/>
      <c r="W656" s="1111"/>
      <c r="X656" s="1111"/>
      <c r="Y656" s="1111"/>
      <c r="Z656" s="1111"/>
      <c r="AA656" s="1111"/>
      <c r="AB656" s="1111"/>
      <c r="AC656" s="1111"/>
      <c r="AD656" s="1111"/>
      <c r="AE656" s="1111"/>
      <c r="AF656" s="1111"/>
      <c r="AG656" s="1111"/>
    </row>
    <row r="657" spans="1:33" s="1295" customFormat="1">
      <c r="A657" s="1264"/>
      <c r="D657" s="1118"/>
      <c r="E657" s="1264"/>
      <c r="F657" s="1118"/>
      <c r="G657" s="1118"/>
      <c r="H657" s="1118"/>
      <c r="I657" s="1118"/>
      <c r="J657" s="1118"/>
      <c r="K657" s="1118"/>
      <c r="L657" s="1118"/>
      <c r="M657" s="1118"/>
      <c r="N657" s="1118"/>
      <c r="O657" s="1118"/>
      <c r="P657" s="1118"/>
      <c r="Q657" s="1111"/>
      <c r="R657" s="1111"/>
      <c r="S657" s="1111"/>
      <c r="T657" s="1111"/>
      <c r="U657" s="1111"/>
      <c r="V657" s="1111"/>
      <c r="W657" s="1111"/>
      <c r="X657" s="1111"/>
      <c r="Y657" s="1111"/>
      <c r="Z657" s="1111"/>
      <c r="AA657" s="1111"/>
      <c r="AB657" s="1111"/>
      <c r="AC657" s="1111"/>
      <c r="AD657" s="1111"/>
      <c r="AE657" s="1111"/>
      <c r="AF657" s="1111"/>
      <c r="AG657" s="1111"/>
    </row>
    <row r="658" spans="1:33" s="1295" customFormat="1">
      <c r="A658" s="1264"/>
      <c r="D658" s="1118"/>
      <c r="E658" s="1264"/>
      <c r="F658" s="1118"/>
      <c r="G658" s="1118"/>
      <c r="H658" s="1118"/>
      <c r="I658" s="1118"/>
      <c r="J658" s="1118"/>
      <c r="K658" s="1118"/>
      <c r="L658" s="1118"/>
      <c r="M658" s="1118"/>
      <c r="N658" s="1118"/>
      <c r="O658" s="1118"/>
      <c r="P658" s="1118"/>
      <c r="Q658" s="1111"/>
      <c r="R658" s="1111"/>
      <c r="S658" s="1111"/>
      <c r="T658" s="1111"/>
      <c r="U658" s="1111"/>
      <c r="V658" s="1111"/>
      <c r="W658" s="1111"/>
      <c r="X658" s="1111"/>
      <c r="Y658" s="1111"/>
      <c r="Z658" s="1111"/>
      <c r="AA658" s="1111"/>
      <c r="AB658" s="1111"/>
      <c r="AC658" s="1111"/>
      <c r="AD658" s="1111"/>
      <c r="AE658" s="1111"/>
      <c r="AF658" s="1111"/>
      <c r="AG658" s="1111"/>
    </row>
    <row r="659" spans="1:33" s="1295" customFormat="1">
      <c r="A659" s="1264"/>
      <c r="D659" s="1118"/>
      <c r="E659" s="1264"/>
      <c r="F659" s="1118"/>
      <c r="G659" s="1118"/>
      <c r="H659" s="1118"/>
      <c r="I659" s="1118"/>
      <c r="J659" s="1118"/>
      <c r="K659" s="1118"/>
      <c r="L659" s="1118"/>
      <c r="M659" s="1118"/>
      <c r="N659" s="1118"/>
      <c r="O659" s="1118"/>
      <c r="P659" s="1118"/>
      <c r="Q659" s="1111"/>
      <c r="R659" s="1111"/>
      <c r="S659" s="1111"/>
      <c r="T659" s="1111"/>
      <c r="U659" s="1111"/>
      <c r="V659" s="1111"/>
      <c r="W659" s="1111"/>
      <c r="X659" s="1111"/>
      <c r="Y659" s="1111"/>
      <c r="Z659" s="1111"/>
      <c r="AA659" s="1111"/>
      <c r="AB659" s="1111"/>
      <c r="AC659" s="1111"/>
      <c r="AD659" s="1111"/>
      <c r="AE659" s="1111"/>
      <c r="AF659" s="1111"/>
      <c r="AG659" s="1111"/>
    </row>
    <row r="660" spans="1:33" s="1295" customFormat="1">
      <c r="A660" s="1264"/>
      <c r="D660" s="1118"/>
      <c r="E660" s="1264"/>
      <c r="F660" s="1118"/>
      <c r="G660" s="1118"/>
      <c r="H660" s="1118"/>
      <c r="I660" s="1118"/>
      <c r="J660" s="1118"/>
      <c r="K660" s="1118"/>
      <c r="L660" s="1118"/>
      <c r="M660" s="1118"/>
      <c r="N660" s="1118"/>
      <c r="O660" s="1118"/>
      <c r="P660" s="1118"/>
      <c r="Q660" s="1111"/>
      <c r="R660" s="1111"/>
      <c r="S660" s="1111"/>
      <c r="T660" s="1111"/>
      <c r="U660" s="1111"/>
      <c r="V660" s="1111"/>
      <c r="W660" s="1111"/>
      <c r="X660" s="1111"/>
      <c r="Y660" s="1111"/>
      <c r="Z660" s="1111"/>
      <c r="AA660" s="1111"/>
      <c r="AB660" s="1111"/>
      <c r="AC660" s="1111"/>
      <c r="AD660" s="1111"/>
      <c r="AE660" s="1111"/>
      <c r="AF660" s="1111"/>
      <c r="AG660" s="1111"/>
    </row>
    <row r="661" spans="1:33" s="1295" customFormat="1">
      <c r="A661" s="1264"/>
      <c r="D661" s="1118"/>
      <c r="E661" s="1264"/>
      <c r="F661" s="1118"/>
      <c r="G661" s="1118"/>
      <c r="H661" s="1118"/>
      <c r="I661" s="1118"/>
      <c r="J661" s="1118"/>
      <c r="K661" s="1118"/>
      <c r="L661" s="1118"/>
      <c r="M661" s="1118"/>
      <c r="N661" s="1118"/>
      <c r="O661" s="1118"/>
      <c r="P661" s="1118"/>
      <c r="Q661" s="1111"/>
      <c r="R661" s="1111"/>
      <c r="S661" s="1111"/>
      <c r="T661" s="1111"/>
      <c r="U661" s="1111"/>
      <c r="V661" s="1111"/>
      <c r="W661" s="1111"/>
      <c r="X661" s="1111"/>
      <c r="Y661" s="1111"/>
      <c r="Z661" s="1111"/>
      <c r="AA661" s="1111"/>
      <c r="AB661" s="1111"/>
      <c r="AC661" s="1111"/>
      <c r="AD661" s="1111"/>
      <c r="AE661" s="1111"/>
      <c r="AF661" s="1111"/>
      <c r="AG661" s="1111"/>
    </row>
    <row r="662" spans="1:33" s="1295" customFormat="1">
      <c r="A662" s="1264"/>
      <c r="D662" s="1118"/>
      <c r="E662" s="1264"/>
      <c r="F662" s="1118"/>
      <c r="G662" s="1118"/>
      <c r="H662" s="1118"/>
      <c r="I662" s="1118"/>
      <c r="J662" s="1118"/>
      <c r="K662" s="1118"/>
      <c r="L662" s="1118"/>
      <c r="M662" s="1118"/>
      <c r="N662" s="1118"/>
      <c r="O662" s="1118"/>
      <c r="P662" s="1118"/>
      <c r="Q662" s="1111"/>
      <c r="R662" s="1111"/>
      <c r="S662" s="1111"/>
      <c r="T662" s="1111"/>
      <c r="U662" s="1111"/>
      <c r="V662" s="1111"/>
      <c r="W662" s="1111"/>
      <c r="X662" s="1111"/>
      <c r="Y662" s="1111"/>
      <c r="Z662" s="1111"/>
      <c r="AA662" s="1111"/>
      <c r="AB662" s="1111"/>
      <c r="AC662" s="1111"/>
      <c r="AD662" s="1111"/>
      <c r="AE662" s="1111"/>
      <c r="AF662" s="1111"/>
      <c r="AG662" s="1111"/>
    </row>
    <row r="663" spans="1:33" s="1295" customFormat="1">
      <c r="A663" s="1264"/>
      <c r="D663" s="1118"/>
      <c r="E663" s="1264"/>
      <c r="F663" s="1118"/>
      <c r="G663" s="1118"/>
      <c r="H663" s="1118"/>
      <c r="I663" s="1118"/>
      <c r="J663" s="1118"/>
      <c r="K663" s="1118"/>
      <c r="L663" s="1118"/>
      <c r="M663" s="1118"/>
      <c r="N663" s="1118"/>
      <c r="O663" s="1118"/>
      <c r="P663" s="1118"/>
      <c r="Q663" s="1111"/>
      <c r="R663" s="1111"/>
      <c r="S663" s="1111"/>
      <c r="T663" s="1111"/>
      <c r="U663" s="1111"/>
      <c r="V663" s="1111"/>
      <c r="W663" s="1111"/>
      <c r="X663" s="1111"/>
      <c r="Y663" s="1111"/>
      <c r="Z663" s="1111"/>
      <c r="AA663" s="1111"/>
      <c r="AB663" s="1111"/>
      <c r="AC663" s="1111"/>
      <c r="AD663" s="1111"/>
      <c r="AE663" s="1111"/>
      <c r="AF663" s="1111"/>
      <c r="AG663" s="1111"/>
    </row>
    <row r="664" spans="1:33" s="1295" customFormat="1">
      <c r="A664" s="1264"/>
      <c r="D664" s="1118"/>
      <c r="E664" s="1264"/>
      <c r="F664" s="1118"/>
      <c r="G664" s="1118"/>
      <c r="H664" s="1118"/>
      <c r="I664" s="1118"/>
      <c r="J664" s="1118"/>
      <c r="K664" s="1118"/>
      <c r="L664" s="1118"/>
      <c r="M664" s="1118"/>
      <c r="N664" s="1118"/>
      <c r="O664" s="1118"/>
      <c r="P664" s="1118"/>
      <c r="Q664" s="1111"/>
      <c r="R664" s="1111"/>
      <c r="S664" s="1111"/>
      <c r="T664" s="1111"/>
      <c r="U664" s="1111"/>
      <c r="V664" s="1111"/>
      <c r="W664" s="1111"/>
      <c r="X664" s="1111"/>
      <c r="Y664" s="1111"/>
      <c r="Z664" s="1111"/>
      <c r="AA664" s="1111"/>
      <c r="AB664" s="1111"/>
      <c r="AC664" s="1111"/>
      <c r="AD664" s="1111"/>
      <c r="AE664" s="1111"/>
      <c r="AF664" s="1111"/>
      <c r="AG664" s="1111"/>
    </row>
    <row r="665" spans="1:33" s="1295" customFormat="1">
      <c r="A665" s="1264"/>
      <c r="D665" s="1118"/>
      <c r="E665" s="1264"/>
      <c r="F665" s="1118"/>
      <c r="G665" s="1118"/>
      <c r="H665" s="1118"/>
      <c r="I665" s="1118"/>
      <c r="J665" s="1118"/>
      <c r="K665" s="1118"/>
      <c r="L665" s="1118"/>
      <c r="M665" s="1118"/>
      <c r="N665" s="1118"/>
      <c r="O665" s="1118"/>
      <c r="P665" s="1118"/>
      <c r="Q665" s="1111"/>
      <c r="R665" s="1111"/>
      <c r="S665" s="1111"/>
      <c r="T665" s="1111"/>
      <c r="U665" s="1111"/>
      <c r="V665" s="1111"/>
      <c r="W665" s="1111"/>
      <c r="X665" s="1111"/>
      <c r="Y665" s="1111"/>
      <c r="Z665" s="1111"/>
      <c r="AA665" s="1111"/>
      <c r="AB665" s="1111"/>
      <c r="AC665" s="1111"/>
      <c r="AD665" s="1111"/>
      <c r="AE665" s="1111"/>
      <c r="AF665" s="1111"/>
      <c r="AG665" s="1111"/>
    </row>
    <row r="666" spans="1:33" s="1295" customFormat="1">
      <c r="A666" s="1264"/>
      <c r="D666" s="1118"/>
      <c r="E666" s="1264"/>
      <c r="F666" s="1118"/>
      <c r="G666" s="1118"/>
      <c r="H666" s="1118"/>
      <c r="I666" s="1118"/>
      <c r="J666" s="1118"/>
      <c r="K666" s="1118"/>
      <c r="L666" s="1118"/>
      <c r="M666" s="1118"/>
      <c r="N666" s="1118"/>
      <c r="O666" s="1118"/>
      <c r="P666" s="1118"/>
      <c r="Q666" s="1111"/>
      <c r="R666" s="1111"/>
      <c r="S666" s="1111"/>
      <c r="T666" s="1111"/>
      <c r="U666" s="1111"/>
      <c r="V666" s="1111"/>
      <c r="W666" s="1111"/>
      <c r="X666" s="1111"/>
      <c r="Y666" s="1111"/>
      <c r="Z666" s="1111"/>
      <c r="AA666" s="1111"/>
      <c r="AB666" s="1111"/>
      <c r="AC666" s="1111"/>
      <c r="AD666" s="1111"/>
      <c r="AE666" s="1111"/>
      <c r="AF666" s="1111"/>
      <c r="AG666" s="1111"/>
    </row>
    <row r="667" spans="1:33" s="1295" customFormat="1">
      <c r="A667" s="1264"/>
      <c r="D667" s="1118"/>
      <c r="E667" s="1264"/>
      <c r="F667" s="1118"/>
      <c r="G667" s="1118"/>
      <c r="H667" s="1118"/>
      <c r="I667" s="1118"/>
      <c r="J667" s="1118"/>
      <c r="K667" s="1118"/>
      <c r="L667" s="1118"/>
      <c r="M667" s="1118"/>
      <c r="N667" s="1118"/>
      <c r="O667" s="1118"/>
      <c r="P667" s="1118"/>
      <c r="Q667" s="1111"/>
      <c r="R667" s="1111"/>
      <c r="S667" s="1111"/>
      <c r="T667" s="1111"/>
      <c r="U667" s="1111"/>
      <c r="V667" s="1111"/>
      <c r="W667" s="1111"/>
      <c r="X667" s="1111"/>
      <c r="Y667" s="1111"/>
      <c r="Z667" s="1111"/>
      <c r="AA667" s="1111"/>
      <c r="AB667" s="1111"/>
      <c r="AC667" s="1111"/>
      <c r="AD667" s="1111"/>
      <c r="AE667" s="1111"/>
      <c r="AF667" s="1111"/>
      <c r="AG667" s="1111"/>
    </row>
    <row r="668" spans="1:33" s="1295" customFormat="1">
      <c r="A668" s="1264"/>
      <c r="D668" s="1118"/>
      <c r="E668" s="1264"/>
      <c r="F668" s="1118"/>
      <c r="G668" s="1118"/>
      <c r="H668" s="1118"/>
      <c r="I668" s="1118"/>
      <c r="J668" s="1118"/>
      <c r="K668" s="1118"/>
      <c r="L668" s="1118"/>
      <c r="M668" s="1118"/>
      <c r="N668" s="1118"/>
      <c r="O668" s="1118"/>
      <c r="P668" s="1118"/>
      <c r="Q668" s="1111"/>
      <c r="R668" s="1111"/>
      <c r="S668" s="1111"/>
      <c r="T668" s="1111"/>
      <c r="U668" s="1111"/>
      <c r="V668" s="1111"/>
      <c r="W668" s="1111"/>
      <c r="X668" s="1111"/>
      <c r="Y668" s="1111"/>
      <c r="Z668" s="1111"/>
      <c r="AA668" s="1111"/>
      <c r="AB668" s="1111"/>
      <c r="AC668" s="1111"/>
      <c r="AD668" s="1111"/>
      <c r="AE668" s="1111"/>
      <c r="AF668" s="1111"/>
      <c r="AG668" s="1111"/>
    </row>
    <row r="669" spans="1:33" s="1295" customFormat="1">
      <c r="A669" s="1264"/>
      <c r="D669" s="1118"/>
      <c r="E669" s="1264"/>
      <c r="F669" s="1118"/>
      <c r="G669" s="1118"/>
      <c r="H669" s="1118"/>
      <c r="I669" s="1118"/>
      <c r="J669" s="1118"/>
      <c r="K669" s="1118"/>
      <c r="L669" s="1118"/>
      <c r="M669" s="1118"/>
      <c r="N669" s="1118"/>
      <c r="O669" s="1118"/>
      <c r="P669" s="1118"/>
      <c r="Q669" s="1111"/>
      <c r="R669" s="1111"/>
      <c r="S669" s="1111"/>
      <c r="T669" s="1111"/>
      <c r="U669" s="1111"/>
      <c r="V669" s="1111"/>
      <c r="W669" s="1111"/>
      <c r="X669" s="1111"/>
      <c r="Y669" s="1111"/>
      <c r="Z669" s="1111"/>
      <c r="AA669" s="1111"/>
      <c r="AB669" s="1111"/>
      <c r="AC669" s="1111"/>
      <c r="AD669" s="1111"/>
      <c r="AE669" s="1111"/>
      <c r="AF669" s="1111"/>
      <c r="AG669" s="1111"/>
    </row>
    <row r="670" spans="1:33" s="1295" customFormat="1">
      <c r="A670" s="1264"/>
      <c r="D670" s="1118"/>
      <c r="E670" s="1264"/>
      <c r="F670" s="1118"/>
      <c r="G670" s="1118"/>
      <c r="H670" s="1118"/>
      <c r="I670" s="1118"/>
      <c r="J670" s="1118"/>
      <c r="K670" s="1118"/>
      <c r="L670" s="1118"/>
      <c r="M670" s="1118"/>
      <c r="N670" s="1118"/>
      <c r="O670" s="1118"/>
      <c r="P670" s="1118"/>
      <c r="Q670" s="1111"/>
      <c r="R670" s="1111"/>
      <c r="S670" s="1111"/>
      <c r="T670" s="1111"/>
      <c r="U670" s="1111"/>
      <c r="V670" s="1111"/>
      <c r="W670" s="1111"/>
      <c r="X670" s="1111"/>
      <c r="Y670" s="1111"/>
      <c r="Z670" s="1111"/>
      <c r="AA670" s="1111"/>
      <c r="AB670" s="1111"/>
      <c r="AC670" s="1111"/>
      <c r="AD670" s="1111"/>
      <c r="AE670" s="1111"/>
      <c r="AF670" s="1111"/>
      <c r="AG670" s="1111"/>
    </row>
    <row r="671" spans="1:33" s="1295" customFormat="1">
      <c r="A671" s="1264"/>
      <c r="D671" s="1118"/>
      <c r="E671" s="1264"/>
      <c r="F671" s="1118"/>
      <c r="G671" s="1118"/>
      <c r="H671" s="1118"/>
      <c r="I671" s="1118"/>
      <c r="J671" s="1118"/>
      <c r="K671" s="1118"/>
      <c r="L671" s="1118"/>
      <c r="M671" s="1118"/>
      <c r="N671" s="1118"/>
      <c r="O671" s="1118"/>
      <c r="P671" s="1118"/>
      <c r="Q671" s="1111"/>
      <c r="R671" s="1111"/>
      <c r="S671" s="1111"/>
      <c r="T671" s="1111"/>
      <c r="U671" s="1111"/>
      <c r="V671" s="1111"/>
      <c r="W671" s="1111"/>
      <c r="X671" s="1111"/>
      <c r="Y671" s="1111"/>
      <c r="Z671" s="1111"/>
      <c r="AA671" s="1111"/>
      <c r="AB671" s="1111"/>
      <c r="AC671" s="1111"/>
      <c r="AD671" s="1111"/>
      <c r="AE671" s="1111"/>
      <c r="AF671" s="1111"/>
      <c r="AG671" s="1111"/>
    </row>
    <row r="672" spans="1:33" s="1295" customFormat="1">
      <c r="A672" s="1264"/>
      <c r="D672" s="1118"/>
      <c r="E672" s="1264"/>
      <c r="F672" s="1118"/>
      <c r="G672" s="1118"/>
      <c r="H672" s="1118"/>
      <c r="I672" s="1118"/>
      <c r="J672" s="1118"/>
      <c r="K672" s="1118"/>
      <c r="L672" s="1118"/>
      <c r="M672" s="1118"/>
      <c r="N672" s="1118"/>
      <c r="O672" s="1118"/>
      <c r="P672" s="1118"/>
      <c r="Q672" s="1111"/>
      <c r="R672" s="1111"/>
      <c r="S672" s="1111"/>
      <c r="T672" s="1111"/>
      <c r="U672" s="1111"/>
      <c r="V672" s="1111"/>
      <c r="W672" s="1111"/>
      <c r="X672" s="1111"/>
      <c r="Y672" s="1111"/>
      <c r="Z672" s="1111"/>
      <c r="AA672" s="1111"/>
      <c r="AB672" s="1111"/>
      <c r="AC672" s="1111"/>
      <c r="AD672" s="1111"/>
      <c r="AE672" s="1111"/>
      <c r="AF672" s="1111"/>
      <c r="AG672" s="1111"/>
    </row>
    <row r="673" spans="1:33" s="1295" customFormat="1">
      <c r="A673" s="1264"/>
      <c r="D673" s="1118"/>
      <c r="E673" s="1264"/>
      <c r="F673" s="1118"/>
      <c r="G673" s="1118"/>
      <c r="H673" s="1118"/>
      <c r="I673" s="1118"/>
      <c r="J673" s="1118"/>
      <c r="K673" s="1118"/>
      <c r="L673" s="1118"/>
      <c r="M673" s="1118"/>
      <c r="N673" s="1118"/>
      <c r="O673" s="1118"/>
      <c r="P673" s="1118"/>
      <c r="Q673" s="1111"/>
      <c r="R673" s="1111"/>
      <c r="S673" s="1111"/>
      <c r="T673" s="1111"/>
      <c r="U673" s="1111"/>
      <c r="V673" s="1111"/>
      <c r="W673" s="1111"/>
      <c r="X673" s="1111"/>
      <c r="Y673" s="1111"/>
      <c r="Z673" s="1111"/>
      <c r="AA673" s="1111"/>
      <c r="AB673" s="1111"/>
      <c r="AC673" s="1111"/>
      <c r="AD673" s="1111"/>
      <c r="AE673" s="1111"/>
      <c r="AF673" s="1111"/>
      <c r="AG673" s="1111"/>
    </row>
    <row r="674" spans="1:33" s="1295" customFormat="1">
      <c r="A674" s="1264"/>
      <c r="D674" s="1118"/>
      <c r="E674" s="1264"/>
      <c r="F674" s="1118"/>
      <c r="G674" s="1118"/>
      <c r="H674" s="1118"/>
      <c r="I674" s="1118"/>
      <c r="J674" s="1118"/>
      <c r="K674" s="1118"/>
      <c r="L674" s="1118"/>
      <c r="M674" s="1118"/>
      <c r="N674" s="1118"/>
      <c r="O674" s="1118"/>
      <c r="P674" s="1118"/>
      <c r="Q674" s="1111"/>
      <c r="R674" s="1111"/>
      <c r="S674" s="1111"/>
      <c r="T674" s="1111"/>
      <c r="U674" s="1111"/>
      <c r="V674" s="1111"/>
      <c r="W674" s="1111"/>
      <c r="X674" s="1111"/>
      <c r="Y674" s="1111"/>
      <c r="Z674" s="1111"/>
      <c r="AA674" s="1111"/>
      <c r="AB674" s="1111"/>
      <c r="AC674" s="1111"/>
      <c r="AD674" s="1111"/>
      <c r="AE674" s="1111"/>
      <c r="AF674" s="1111"/>
      <c r="AG674" s="1111"/>
    </row>
    <row r="675" spans="1:33" s="1295" customFormat="1">
      <c r="A675" s="1264"/>
      <c r="D675" s="1118"/>
      <c r="E675" s="1264"/>
      <c r="F675" s="1118"/>
      <c r="G675" s="1118"/>
      <c r="H675" s="1118"/>
      <c r="I675" s="1118"/>
      <c r="J675" s="1118"/>
      <c r="K675" s="1118"/>
      <c r="L675" s="1118"/>
      <c r="M675" s="1118"/>
      <c r="N675" s="1118"/>
      <c r="O675" s="1118"/>
      <c r="P675" s="1118"/>
      <c r="Q675" s="1111"/>
      <c r="R675" s="1111"/>
      <c r="S675" s="1111"/>
      <c r="T675" s="1111"/>
      <c r="U675" s="1111"/>
      <c r="V675" s="1111"/>
      <c r="W675" s="1111"/>
      <c r="X675" s="1111"/>
      <c r="Y675" s="1111"/>
      <c r="Z675" s="1111"/>
      <c r="AA675" s="1111"/>
      <c r="AB675" s="1111"/>
      <c r="AC675" s="1111"/>
      <c r="AD675" s="1111"/>
      <c r="AE675" s="1111"/>
      <c r="AF675" s="1111"/>
      <c r="AG675" s="1111"/>
    </row>
    <row r="676" spans="1:33" s="1295" customFormat="1">
      <c r="A676" s="1264"/>
      <c r="D676" s="1118"/>
      <c r="E676" s="1264"/>
      <c r="F676" s="1118"/>
      <c r="G676" s="1118"/>
      <c r="H676" s="1118"/>
      <c r="I676" s="1118"/>
      <c r="J676" s="1118"/>
      <c r="K676" s="1118"/>
      <c r="L676" s="1118"/>
      <c r="M676" s="1118"/>
      <c r="N676" s="1118"/>
      <c r="O676" s="1118"/>
      <c r="P676" s="1118"/>
      <c r="Q676" s="1111"/>
      <c r="R676" s="1111"/>
      <c r="S676" s="1111"/>
      <c r="T676" s="1111"/>
      <c r="U676" s="1111"/>
      <c r="V676" s="1111"/>
      <c r="W676" s="1111"/>
      <c r="X676" s="1111"/>
      <c r="Y676" s="1111"/>
      <c r="Z676" s="1111"/>
      <c r="AA676" s="1111"/>
      <c r="AB676" s="1111"/>
      <c r="AC676" s="1111"/>
      <c r="AD676" s="1111"/>
      <c r="AE676" s="1111"/>
      <c r="AF676" s="1111"/>
      <c r="AG676" s="1111"/>
    </row>
    <row r="677" spans="1:33" s="1295" customFormat="1">
      <c r="A677" s="1264"/>
      <c r="D677" s="1118"/>
      <c r="E677" s="1264"/>
      <c r="F677" s="1118"/>
      <c r="G677" s="1118"/>
      <c r="H677" s="1118"/>
      <c r="I677" s="1118"/>
      <c r="J677" s="1118"/>
      <c r="K677" s="1118"/>
      <c r="L677" s="1118"/>
      <c r="M677" s="1118"/>
      <c r="N677" s="1118"/>
      <c r="O677" s="1118"/>
      <c r="P677" s="1118"/>
      <c r="Q677" s="1111"/>
      <c r="R677" s="1111"/>
      <c r="S677" s="1111"/>
      <c r="T677" s="1111"/>
      <c r="U677" s="1111"/>
      <c r="V677" s="1111"/>
      <c r="W677" s="1111"/>
      <c r="X677" s="1111"/>
      <c r="Y677" s="1111"/>
      <c r="Z677" s="1111"/>
      <c r="AA677" s="1111"/>
      <c r="AB677" s="1111"/>
      <c r="AC677" s="1111"/>
      <c r="AD677" s="1111"/>
      <c r="AE677" s="1111"/>
      <c r="AF677" s="1111"/>
      <c r="AG677" s="1111"/>
    </row>
    <row r="678" spans="1:33" s="1295" customFormat="1">
      <c r="A678" s="1264"/>
      <c r="D678" s="1118"/>
      <c r="E678" s="1264"/>
      <c r="F678" s="1118"/>
      <c r="G678" s="1118"/>
      <c r="H678" s="1118"/>
      <c r="I678" s="1118"/>
      <c r="J678" s="1118"/>
      <c r="K678" s="1118"/>
      <c r="L678" s="1118"/>
      <c r="M678" s="1118"/>
      <c r="N678" s="1118"/>
      <c r="O678" s="1118"/>
      <c r="P678" s="1118"/>
      <c r="Q678" s="1111"/>
      <c r="R678" s="1111"/>
      <c r="S678" s="1111"/>
      <c r="T678" s="1111"/>
      <c r="U678" s="1111"/>
      <c r="V678" s="1111"/>
      <c r="W678" s="1111"/>
      <c r="X678" s="1111"/>
      <c r="Y678" s="1111"/>
      <c r="Z678" s="1111"/>
      <c r="AA678" s="1111"/>
      <c r="AB678" s="1111"/>
      <c r="AC678" s="1111"/>
      <c r="AD678" s="1111"/>
      <c r="AE678" s="1111"/>
      <c r="AF678" s="1111"/>
      <c r="AG678" s="1111"/>
    </row>
    <row r="679" spans="1:33" s="1295" customFormat="1">
      <c r="A679" s="1264"/>
      <c r="D679" s="1118"/>
      <c r="E679" s="1264"/>
      <c r="F679" s="1118"/>
      <c r="G679" s="1118"/>
      <c r="H679" s="1118"/>
      <c r="I679" s="1118"/>
      <c r="J679" s="1118"/>
      <c r="K679" s="1118"/>
      <c r="L679" s="1118"/>
      <c r="M679" s="1118"/>
      <c r="N679" s="1118"/>
      <c r="O679" s="1118"/>
      <c r="P679" s="1118"/>
      <c r="Q679" s="1111"/>
      <c r="R679" s="1111"/>
      <c r="S679" s="1111"/>
      <c r="T679" s="1111"/>
      <c r="U679" s="1111"/>
      <c r="V679" s="1111"/>
      <c r="W679" s="1111"/>
      <c r="X679" s="1111"/>
      <c r="Y679" s="1111"/>
      <c r="Z679" s="1111"/>
      <c r="AA679" s="1111"/>
      <c r="AB679" s="1111"/>
      <c r="AC679" s="1111"/>
      <c r="AD679" s="1111"/>
      <c r="AE679" s="1111"/>
      <c r="AF679" s="1111"/>
      <c r="AG679" s="1111"/>
    </row>
    <row r="680" spans="1:33" s="1295" customFormat="1">
      <c r="A680" s="1264"/>
      <c r="D680" s="1118"/>
      <c r="E680" s="1264"/>
      <c r="F680" s="1118"/>
      <c r="G680" s="1118"/>
      <c r="H680" s="1118"/>
      <c r="I680" s="1118"/>
      <c r="J680" s="1118"/>
      <c r="K680" s="1118"/>
      <c r="L680" s="1118"/>
      <c r="M680" s="1118"/>
      <c r="N680" s="1118"/>
      <c r="O680" s="1118"/>
      <c r="P680" s="1118"/>
      <c r="Q680" s="1111"/>
      <c r="R680" s="1111"/>
      <c r="S680" s="1111"/>
      <c r="T680" s="1111"/>
      <c r="U680" s="1111"/>
      <c r="V680" s="1111"/>
      <c r="W680" s="1111"/>
      <c r="X680" s="1111"/>
      <c r="Y680" s="1111"/>
      <c r="Z680" s="1111"/>
      <c r="AA680" s="1111"/>
      <c r="AB680" s="1111"/>
      <c r="AC680" s="1111"/>
      <c r="AD680" s="1111"/>
      <c r="AE680" s="1111"/>
      <c r="AF680" s="1111"/>
      <c r="AG680" s="1111"/>
    </row>
    <row r="681" spans="1:33" s="1295" customFormat="1">
      <c r="A681" s="1264"/>
      <c r="D681" s="1118"/>
      <c r="E681" s="1264"/>
      <c r="F681" s="1118"/>
      <c r="G681" s="1118"/>
      <c r="H681" s="1118"/>
      <c r="I681" s="1118"/>
      <c r="J681" s="1118"/>
      <c r="K681" s="1118"/>
      <c r="L681" s="1118"/>
      <c r="M681" s="1118"/>
      <c r="N681" s="1118"/>
      <c r="O681" s="1118"/>
      <c r="P681" s="1118"/>
      <c r="Q681" s="1111"/>
      <c r="R681" s="1111"/>
      <c r="S681" s="1111"/>
      <c r="T681" s="1111"/>
      <c r="U681" s="1111"/>
      <c r="V681" s="1111"/>
      <c r="W681" s="1111"/>
      <c r="X681" s="1111"/>
      <c r="Y681" s="1111"/>
      <c r="Z681" s="1111"/>
      <c r="AA681" s="1111"/>
      <c r="AB681" s="1111"/>
      <c r="AC681" s="1111"/>
      <c r="AD681" s="1111"/>
      <c r="AE681" s="1111"/>
      <c r="AF681" s="1111"/>
      <c r="AG681" s="1111"/>
    </row>
    <row r="682" spans="1:33" s="1295" customFormat="1">
      <c r="A682" s="1264"/>
      <c r="D682" s="1118"/>
      <c r="E682" s="1264"/>
      <c r="F682" s="1118"/>
      <c r="G682" s="1118"/>
      <c r="H682" s="1118"/>
      <c r="I682" s="1118"/>
      <c r="J682" s="1118"/>
      <c r="K682" s="1118"/>
      <c r="L682" s="1118"/>
      <c r="M682" s="1118"/>
      <c r="N682" s="1118"/>
      <c r="O682" s="1118"/>
      <c r="P682" s="1118"/>
      <c r="Q682" s="1111"/>
      <c r="R682" s="1111"/>
      <c r="S682" s="1111"/>
      <c r="T682" s="1111"/>
      <c r="U682" s="1111"/>
      <c r="V682" s="1111"/>
      <c r="W682" s="1111"/>
      <c r="X682" s="1111"/>
      <c r="Y682" s="1111"/>
      <c r="Z682" s="1111"/>
      <c r="AA682" s="1111"/>
      <c r="AB682" s="1111"/>
      <c r="AC682" s="1111"/>
      <c r="AD682" s="1111"/>
      <c r="AE682" s="1111"/>
      <c r="AF682" s="1111"/>
      <c r="AG682" s="1111"/>
    </row>
    <row r="683" spans="1:33" s="1295" customFormat="1">
      <c r="A683" s="1264"/>
      <c r="D683" s="1118"/>
      <c r="E683" s="1264"/>
      <c r="F683" s="1118"/>
      <c r="G683" s="1118"/>
      <c r="H683" s="1118"/>
      <c r="I683" s="1118"/>
      <c r="J683" s="1118"/>
      <c r="K683" s="1118"/>
      <c r="L683" s="1118"/>
      <c r="M683" s="1118"/>
      <c r="N683" s="1118"/>
      <c r="O683" s="1118"/>
      <c r="P683" s="1118"/>
      <c r="Q683" s="1111"/>
      <c r="R683" s="1111"/>
      <c r="S683" s="1111"/>
      <c r="T683" s="1111"/>
      <c r="U683" s="1111"/>
      <c r="V683" s="1111"/>
      <c r="W683" s="1111"/>
      <c r="X683" s="1111"/>
      <c r="Y683" s="1111"/>
      <c r="Z683" s="1111"/>
      <c r="AA683" s="1111"/>
      <c r="AB683" s="1111"/>
      <c r="AC683" s="1111"/>
      <c r="AD683" s="1111"/>
      <c r="AE683" s="1111"/>
      <c r="AF683" s="1111"/>
      <c r="AG683" s="1111"/>
    </row>
    <row r="684" spans="1:33" s="1295" customFormat="1">
      <c r="A684" s="1264"/>
      <c r="D684" s="1118"/>
      <c r="E684" s="1264"/>
      <c r="F684" s="1118"/>
      <c r="G684" s="1118"/>
      <c r="H684" s="1118"/>
      <c r="I684" s="1118"/>
      <c r="J684" s="1118"/>
      <c r="K684" s="1118"/>
      <c r="L684" s="1118"/>
      <c r="M684" s="1118"/>
      <c r="N684" s="1118"/>
      <c r="O684" s="1118"/>
      <c r="P684" s="1118"/>
      <c r="Q684" s="1111"/>
      <c r="R684" s="1111"/>
      <c r="S684" s="1111"/>
      <c r="T684" s="1111"/>
      <c r="U684" s="1111"/>
      <c r="V684" s="1111"/>
      <c r="W684" s="1111"/>
      <c r="X684" s="1111"/>
      <c r="Y684" s="1111"/>
      <c r="Z684" s="1111"/>
      <c r="AA684" s="1111"/>
      <c r="AB684" s="1111"/>
      <c r="AC684" s="1111"/>
      <c r="AD684" s="1111"/>
      <c r="AE684" s="1111"/>
      <c r="AF684" s="1111"/>
      <c r="AG684" s="1111"/>
    </row>
    <row r="685" spans="1:33" s="1295" customFormat="1">
      <c r="A685" s="1264"/>
      <c r="D685" s="1118"/>
      <c r="E685" s="1264"/>
      <c r="F685" s="1118"/>
      <c r="G685" s="1118"/>
      <c r="H685" s="1118"/>
      <c r="I685" s="1118"/>
      <c r="J685" s="1118"/>
      <c r="K685" s="1118"/>
      <c r="L685" s="1118"/>
      <c r="M685" s="1118"/>
      <c r="N685" s="1118"/>
      <c r="O685" s="1118"/>
      <c r="P685" s="1118"/>
      <c r="Q685" s="1111"/>
      <c r="R685" s="1111"/>
      <c r="S685" s="1111"/>
      <c r="T685" s="1111"/>
      <c r="U685" s="1111"/>
      <c r="V685" s="1111"/>
      <c r="W685" s="1111"/>
      <c r="X685" s="1111"/>
      <c r="Y685" s="1111"/>
      <c r="Z685" s="1111"/>
      <c r="AA685" s="1111"/>
      <c r="AB685" s="1111"/>
      <c r="AC685" s="1111"/>
      <c r="AD685" s="1111"/>
      <c r="AE685" s="1111"/>
      <c r="AF685" s="1111"/>
      <c r="AG685" s="1111"/>
    </row>
    <row r="686" spans="1:33" s="1295" customFormat="1">
      <c r="A686" s="1264"/>
      <c r="D686" s="1118"/>
      <c r="E686" s="1264"/>
      <c r="F686" s="1118"/>
      <c r="G686" s="1118"/>
      <c r="H686" s="1118"/>
      <c r="I686" s="1118"/>
      <c r="J686" s="1118"/>
      <c r="K686" s="1118"/>
      <c r="L686" s="1118"/>
      <c r="M686" s="1118"/>
      <c r="N686" s="1118"/>
      <c r="O686" s="1118"/>
      <c r="P686" s="1118"/>
      <c r="Q686" s="1111"/>
      <c r="R686" s="1111"/>
      <c r="S686" s="1111"/>
      <c r="T686" s="1111"/>
      <c r="U686" s="1111"/>
      <c r="V686" s="1111"/>
      <c r="W686" s="1111"/>
      <c r="X686" s="1111"/>
      <c r="Y686" s="1111"/>
      <c r="Z686" s="1111"/>
      <c r="AA686" s="1111"/>
      <c r="AB686" s="1111"/>
      <c r="AC686" s="1111"/>
      <c r="AD686" s="1111"/>
      <c r="AE686" s="1111"/>
      <c r="AF686" s="1111"/>
      <c r="AG686" s="1111"/>
    </row>
    <row r="687" spans="1:33" s="1295" customFormat="1">
      <c r="A687" s="1264"/>
      <c r="D687" s="1118"/>
      <c r="E687" s="1264"/>
      <c r="F687" s="1118"/>
      <c r="G687" s="1118"/>
      <c r="H687" s="1118"/>
      <c r="I687" s="1118"/>
      <c r="J687" s="1118"/>
      <c r="K687" s="1118"/>
      <c r="L687" s="1118"/>
      <c r="M687" s="1118"/>
      <c r="N687" s="1118"/>
      <c r="O687" s="1118"/>
      <c r="P687" s="1118"/>
      <c r="Q687" s="1111"/>
      <c r="R687" s="1111"/>
      <c r="S687" s="1111"/>
      <c r="T687" s="1111"/>
      <c r="U687" s="1111"/>
      <c r="V687" s="1111"/>
      <c r="W687" s="1111"/>
      <c r="X687" s="1111"/>
      <c r="Y687" s="1111"/>
      <c r="Z687" s="1111"/>
      <c r="AA687" s="1111"/>
      <c r="AB687" s="1111"/>
      <c r="AC687" s="1111"/>
      <c r="AD687" s="1111"/>
      <c r="AE687" s="1111"/>
      <c r="AF687" s="1111"/>
      <c r="AG687" s="1111"/>
    </row>
    <row r="688" spans="1:33" s="1295" customFormat="1">
      <c r="A688" s="1264"/>
      <c r="D688" s="1118"/>
      <c r="E688" s="1264"/>
      <c r="F688" s="1118"/>
      <c r="G688" s="1118"/>
      <c r="H688" s="1118"/>
      <c r="I688" s="1118"/>
      <c r="J688" s="1118"/>
      <c r="K688" s="1118"/>
      <c r="L688" s="1118"/>
      <c r="M688" s="1118"/>
      <c r="N688" s="1118"/>
      <c r="O688" s="1118"/>
      <c r="P688" s="1118"/>
      <c r="Q688" s="1111"/>
      <c r="R688" s="1111"/>
      <c r="S688" s="1111"/>
      <c r="T688" s="1111"/>
      <c r="U688" s="1111"/>
      <c r="V688" s="1111"/>
      <c r="W688" s="1111"/>
      <c r="X688" s="1111"/>
      <c r="Y688" s="1111"/>
      <c r="Z688" s="1111"/>
      <c r="AA688" s="1111"/>
      <c r="AB688" s="1111"/>
      <c r="AC688" s="1111"/>
      <c r="AD688" s="1111"/>
      <c r="AE688" s="1111"/>
      <c r="AF688" s="1111"/>
      <c r="AG688" s="1111"/>
    </row>
    <row r="689" spans="1:33" s="1295" customFormat="1">
      <c r="A689" s="1264"/>
      <c r="D689" s="1118"/>
      <c r="E689" s="1264"/>
      <c r="F689" s="1118"/>
      <c r="G689" s="1118"/>
      <c r="H689" s="1118"/>
      <c r="I689" s="1118"/>
      <c r="J689" s="1118"/>
      <c r="K689" s="1118"/>
      <c r="L689" s="1118"/>
      <c r="M689" s="1118"/>
      <c r="N689" s="1118"/>
      <c r="O689" s="1118"/>
      <c r="P689" s="1118"/>
      <c r="Q689" s="1111"/>
      <c r="R689" s="1111"/>
      <c r="S689" s="1111"/>
      <c r="T689" s="1111"/>
      <c r="U689" s="1111"/>
      <c r="V689" s="1111"/>
      <c r="W689" s="1111"/>
      <c r="X689" s="1111"/>
      <c r="Y689" s="1111"/>
      <c r="Z689" s="1111"/>
      <c r="AA689" s="1111"/>
      <c r="AB689" s="1111"/>
      <c r="AC689" s="1111"/>
      <c r="AD689" s="1111"/>
      <c r="AE689" s="1111"/>
      <c r="AF689" s="1111"/>
      <c r="AG689" s="1111"/>
    </row>
    <row r="690" spans="1:33" s="1295" customFormat="1">
      <c r="A690" s="1264"/>
      <c r="D690" s="1118"/>
      <c r="E690" s="1264"/>
      <c r="F690" s="1118"/>
      <c r="G690" s="1118"/>
      <c r="H690" s="1118"/>
      <c r="I690" s="1118"/>
      <c r="J690" s="1118"/>
      <c r="K690" s="1118"/>
      <c r="L690" s="1118"/>
      <c r="M690" s="1118"/>
      <c r="N690" s="1118"/>
      <c r="O690" s="1118"/>
      <c r="P690" s="1118"/>
      <c r="Q690" s="1111"/>
      <c r="R690" s="1111"/>
      <c r="S690" s="1111"/>
      <c r="T690" s="1111"/>
      <c r="U690" s="1111"/>
      <c r="V690" s="1111"/>
      <c r="W690" s="1111"/>
      <c r="X690" s="1111"/>
      <c r="Y690" s="1111"/>
      <c r="Z690" s="1111"/>
      <c r="AA690" s="1111"/>
      <c r="AB690" s="1111"/>
      <c r="AC690" s="1111"/>
      <c r="AD690" s="1111"/>
      <c r="AE690" s="1111"/>
      <c r="AF690" s="1111"/>
      <c r="AG690" s="1111"/>
    </row>
    <row r="691" spans="1:33" s="1295" customFormat="1">
      <c r="A691" s="1264"/>
      <c r="D691" s="1118"/>
      <c r="E691" s="1264"/>
      <c r="F691" s="1118"/>
      <c r="G691" s="1118"/>
      <c r="H691" s="1118"/>
      <c r="I691" s="1118"/>
      <c r="J691" s="1118"/>
      <c r="K691" s="1118"/>
      <c r="L691" s="1118"/>
      <c r="M691" s="1118"/>
      <c r="N691" s="1118"/>
      <c r="O691" s="1118"/>
      <c r="P691" s="1118"/>
      <c r="Q691" s="1111"/>
      <c r="R691" s="1111"/>
      <c r="S691" s="1111"/>
      <c r="T691" s="1111"/>
      <c r="U691" s="1111"/>
      <c r="V691" s="1111"/>
      <c r="W691" s="1111"/>
      <c r="X691" s="1111"/>
      <c r="Y691" s="1111"/>
      <c r="Z691" s="1111"/>
      <c r="AA691" s="1111"/>
      <c r="AB691" s="1111"/>
      <c r="AC691" s="1111"/>
      <c r="AD691" s="1111"/>
      <c r="AE691" s="1111"/>
      <c r="AF691" s="1111"/>
      <c r="AG691" s="1111"/>
    </row>
    <row r="692" spans="1:33" s="1295" customFormat="1">
      <c r="A692" s="1264"/>
      <c r="D692" s="1118"/>
      <c r="E692" s="1264"/>
      <c r="F692" s="1118"/>
      <c r="G692" s="1118"/>
      <c r="H692" s="1118"/>
      <c r="I692" s="1118"/>
      <c r="J692" s="1118"/>
      <c r="K692" s="1118"/>
      <c r="L692" s="1118"/>
      <c r="M692" s="1118"/>
      <c r="N692" s="1118"/>
      <c r="O692" s="1118"/>
      <c r="P692" s="1118"/>
      <c r="Q692" s="1111"/>
      <c r="R692" s="1111"/>
      <c r="S692" s="1111"/>
      <c r="T692" s="1111"/>
      <c r="U692" s="1111"/>
      <c r="V692" s="1111"/>
      <c r="W692" s="1111"/>
      <c r="X692" s="1111"/>
      <c r="Y692" s="1111"/>
      <c r="Z692" s="1111"/>
      <c r="AA692" s="1111"/>
      <c r="AB692" s="1111"/>
      <c r="AC692" s="1111"/>
      <c r="AD692" s="1111"/>
      <c r="AE692" s="1111"/>
      <c r="AF692" s="1111"/>
      <c r="AG692" s="1111"/>
    </row>
    <row r="693" spans="1:33" s="1295" customFormat="1">
      <c r="A693" s="1264"/>
      <c r="D693" s="1118"/>
      <c r="E693" s="1264"/>
      <c r="F693" s="1118"/>
      <c r="G693" s="1118"/>
      <c r="H693" s="1118"/>
      <c r="I693" s="1118"/>
      <c r="J693" s="1118"/>
      <c r="K693" s="1118"/>
      <c r="L693" s="1118"/>
      <c r="M693" s="1118"/>
      <c r="N693" s="1118"/>
      <c r="O693" s="1118"/>
      <c r="P693" s="1118"/>
      <c r="Q693" s="1111"/>
      <c r="R693" s="1111"/>
      <c r="S693" s="1111"/>
      <c r="T693" s="1111"/>
      <c r="U693" s="1111"/>
      <c r="V693" s="1111"/>
      <c r="W693" s="1111"/>
      <c r="X693" s="1111"/>
      <c r="Y693" s="1111"/>
      <c r="Z693" s="1111"/>
      <c r="AA693" s="1111"/>
      <c r="AB693" s="1111"/>
      <c r="AC693" s="1111"/>
      <c r="AD693" s="1111"/>
      <c r="AE693" s="1111"/>
      <c r="AF693" s="1111"/>
      <c r="AG693" s="1111"/>
    </row>
    <row r="694" spans="1:33" s="1295" customFormat="1">
      <c r="A694" s="1264"/>
      <c r="D694" s="1118"/>
      <c r="E694" s="1264"/>
      <c r="F694" s="1118"/>
      <c r="G694" s="1118"/>
      <c r="H694" s="1118"/>
      <c r="I694" s="1118"/>
      <c r="J694" s="1118"/>
      <c r="K694" s="1118"/>
      <c r="L694" s="1118"/>
      <c r="M694" s="1118"/>
      <c r="N694" s="1118"/>
      <c r="O694" s="1118"/>
      <c r="P694" s="1118"/>
      <c r="Q694" s="1111"/>
      <c r="R694" s="1111"/>
      <c r="S694" s="1111"/>
      <c r="T694" s="1111"/>
      <c r="U694" s="1111"/>
      <c r="V694" s="1111"/>
      <c r="W694" s="1111"/>
      <c r="X694" s="1111"/>
      <c r="Y694" s="1111"/>
      <c r="Z694" s="1111"/>
      <c r="AA694" s="1111"/>
      <c r="AB694" s="1111"/>
      <c r="AC694" s="1111"/>
      <c r="AD694" s="1111"/>
      <c r="AE694" s="1111"/>
      <c r="AF694" s="1111"/>
      <c r="AG694" s="1111"/>
    </row>
    <row r="695" spans="1:33" s="1295" customFormat="1">
      <c r="A695" s="1264"/>
      <c r="D695" s="1118"/>
      <c r="E695" s="1264"/>
      <c r="F695" s="1118"/>
      <c r="G695" s="1118"/>
      <c r="H695" s="1118"/>
      <c r="I695" s="1118"/>
      <c r="J695" s="1118"/>
      <c r="K695" s="1118"/>
      <c r="L695" s="1118"/>
      <c r="M695" s="1118"/>
      <c r="N695" s="1118"/>
      <c r="O695" s="1118"/>
      <c r="P695" s="1118"/>
      <c r="Q695" s="1111"/>
      <c r="R695" s="1111"/>
      <c r="S695" s="1111"/>
      <c r="T695" s="1111"/>
      <c r="U695" s="1111"/>
      <c r="V695" s="1111"/>
      <c r="W695" s="1111"/>
      <c r="X695" s="1111"/>
      <c r="Y695" s="1111"/>
      <c r="Z695" s="1111"/>
      <c r="AA695" s="1111"/>
      <c r="AB695" s="1111"/>
      <c r="AC695" s="1111"/>
      <c r="AD695" s="1111"/>
      <c r="AE695" s="1111"/>
      <c r="AF695" s="1111"/>
      <c r="AG695" s="1111"/>
    </row>
    <row r="696" spans="1:33" s="1295" customFormat="1">
      <c r="A696" s="1264"/>
      <c r="D696" s="1118"/>
      <c r="E696" s="1264"/>
      <c r="F696" s="1118"/>
      <c r="G696" s="1118"/>
      <c r="H696" s="1118"/>
      <c r="I696" s="1118"/>
      <c r="J696" s="1118"/>
      <c r="K696" s="1118"/>
      <c r="L696" s="1118"/>
      <c r="M696" s="1118"/>
      <c r="N696" s="1118"/>
      <c r="O696" s="1118"/>
      <c r="P696" s="1118"/>
      <c r="Q696" s="1111"/>
      <c r="R696" s="1111"/>
      <c r="S696" s="1111"/>
      <c r="T696" s="1111"/>
      <c r="U696" s="1111"/>
      <c r="V696" s="1111"/>
      <c r="W696" s="1111"/>
      <c r="X696" s="1111"/>
      <c r="Y696" s="1111"/>
      <c r="Z696" s="1111"/>
      <c r="AA696" s="1111"/>
      <c r="AB696" s="1111"/>
      <c r="AC696" s="1111"/>
      <c r="AD696" s="1111"/>
      <c r="AE696" s="1111"/>
      <c r="AF696" s="1111"/>
      <c r="AG696" s="1111"/>
    </row>
    <row r="697" spans="1:33" s="1295" customFormat="1">
      <c r="A697" s="1264"/>
      <c r="D697" s="1118"/>
      <c r="E697" s="1264"/>
      <c r="F697" s="1118"/>
      <c r="G697" s="1118"/>
      <c r="H697" s="1118"/>
      <c r="I697" s="1118"/>
      <c r="J697" s="1118"/>
      <c r="K697" s="1118"/>
      <c r="L697" s="1118"/>
      <c r="M697" s="1118"/>
      <c r="N697" s="1118"/>
      <c r="O697" s="1118"/>
      <c r="P697" s="1118"/>
      <c r="Q697" s="1111"/>
      <c r="R697" s="1111"/>
      <c r="S697" s="1111"/>
      <c r="T697" s="1111"/>
      <c r="U697" s="1111"/>
      <c r="V697" s="1111"/>
      <c r="W697" s="1111"/>
      <c r="X697" s="1111"/>
      <c r="Y697" s="1111"/>
      <c r="Z697" s="1111"/>
      <c r="AA697" s="1111"/>
      <c r="AB697" s="1111"/>
      <c r="AC697" s="1111"/>
      <c r="AD697" s="1111"/>
      <c r="AE697" s="1111"/>
      <c r="AF697" s="1111"/>
      <c r="AG697" s="1111"/>
    </row>
    <row r="698" spans="1:33" s="1295" customFormat="1">
      <c r="A698" s="1264"/>
      <c r="D698" s="1118"/>
      <c r="E698" s="1264"/>
      <c r="F698" s="1118"/>
      <c r="G698" s="1118"/>
      <c r="H698" s="1118"/>
      <c r="I698" s="1118"/>
      <c r="J698" s="1118"/>
      <c r="K698" s="1118"/>
      <c r="L698" s="1118"/>
      <c r="M698" s="1118"/>
      <c r="N698" s="1118"/>
      <c r="O698" s="1118"/>
      <c r="P698" s="1118"/>
      <c r="Q698" s="1111"/>
      <c r="R698" s="1111"/>
      <c r="S698" s="1111"/>
      <c r="T698" s="1111"/>
      <c r="U698" s="1111"/>
      <c r="V698" s="1111"/>
      <c r="W698" s="1111"/>
      <c r="X698" s="1111"/>
      <c r="Y698" s="1111"/>
      <c r="Z698" s="1111"/>
      <c r="AA698" s="1111"/>
      <c r="AB698" s="1111"/>
      <c r="AC698" s="1111"/>
      <c r="AD698" s="1111"/>
      <c r="AE698" s="1111"/>
      <c r="AF698" s="1111"/>
      <c r="AG698" s="1111"/>
    </row>
    <row r="699" spans="1:33" s="1295" customFormat="1">
      <c r="A699" s="1264"/>
      <c r="D699" s="1118"/>
      <c r="E699" s="1264"/>
      <c r="F699" s="1118"/>
      <c r="G699" s="1118"/>
      <c r="H699" s="1118"/>
      <c r="I699" s="1118"/>
      <c r="J699" s="1118"/>
      <c r="K699" s="1118"/>
      <c r="L699" s="1118"/>
      <c r="M699" s="1118"/>
      <c r="N699" s="1118"/>
      <c r="O699" s="1118"/>
      <c r="P699" s="1118"/>
      <c r="Q699" s="1111"/>
      <c r="R699" s="1111"/>
      <c r="S699" s="1111"/>
      <c r="T699" s="1111"/>
      <c r="U699" s="1111"/>
      <c r="V699" s="1111"/>
      <c r="W699" s="1111"/>
      <c r="X699" s="1111"/>
      <c r="Y699" s="1111"/>
      <c r="Z699" s="1111"/>
      <c r="AA699" s="1111"/>
      <c r="AB699" s="1111"/>
      <c r="AC699" s="1111"/>
      <c r="AD699" s="1111"/>
      <c r="AE699" s="1111"/>
      <c r="AF699" s="1111"/>
      <c r="AG699" s="1111"/>
    </row>
    <row r="700" spans="1:33" s="1295" customFormat="1">
      <c r="A700" s="1264"/>
      <c r="D700" s="1118"/>
      <c r="E700" s="1264"/>
      <c r="F700" s="1118"/>
      <c r="G700" s="1118"/>
      <c r="H700" s="1118"/>
      <c r="I700" s="1118"/>
      <c r="J700" s="1118"/>
      <c r="K700" s="1118"/>
      <c r="L700" s="1118"/>
      <c r="M700" s="1118"/>
      <c r="N700" s="1118"/>
      <c r="O700" s="1118"/>
      <c r="P700" s="1118"/>
      <c r="Q700" s="1111"/>
      <c r="R700" s="1111"/>
      <c r="S700" s="1111"/>
      <c r="T700" s="1111"/>
      <c r="U700" s="1111"/>
      <c r="V700" s="1111"/>
      <c r="W700" s="1111"/>
      <c r="X700" s="1111"/>
      <c r="Y700" s="1111"/>
      <c r="Z700" s="1111"/>
      <c r="AA700" s="1111"/>
      <c r="AB700" s="1111"/>
      <c r="AC700" s="1111"/>
      <c r="AD700" s="1111"/>
      <c r="AE700" s="1111"/>
      <c r="AF700" s="1111"/>
      <c r="AG700" s="1111"/>
    </row>
    <row r="701" spans="1:33" s="1295" customFormat="1">
      <c r="A701" s="1264"/>
      <c r="D701" s="1118"/>
      <c r="E701" s="1264"/>
      <c r="F701" s="1118"/>
      <c r="G701" s="1118"/>
      <c r="H701" s="1118"/>
      <c r="I701" s="1118"/>
      <c r="J701" s="1118"/>
      <c r="K701" s="1118"/>
      <c r="L701" s="1118"/>
      <c r="M701" s="1118"/>
      <c r="N701" s="1118"/>
      <c r="O701" s="1118"/>
      <c r="P701" s="1118"/>
      <c r="Q701" s="1111"/>
      <c r="R701" s="1111"/>
      <c r="S701" s="1111"/>
      <c r="T701" s="1111"/>
      <c r="U701" s="1111"/>
      <c r="V701" s="1111"/>
      <c r="W701" s="1111"/>
      <c r="X701" s="1111"/>
      <c r="Y701" s="1111"/>
      <c r="Z701" s="1111"/>
      <c r="AA701" s="1111"/>
      <c r="AB701" s="1111"/>
      <c r="AC701" s="1111"/>
      <c r="AD701" s="1111"/>
      <c r="AE701" s="1111"/>
      <c r="AF701" s="1111"/>
      <c r="AG701" s="1111"/>
    </row>
    <row r="702" spans="1:33" s="1295" customFormat="1">
      <c r="A702" s="1264"/>
      <c r="D702" s="1118"/>
      <c r="E702" s="1264"/>
      <c r="F702" s="1118"/>
      <c r="G702" s="1118"/>
      <c r="H702" s="1118"/>
      <c r="I702" s="1118"/>
      <c r="J702" s="1118"/>
      <c r="K702" s="1118"/>
      <c r="L702" s="1118"/>
      <c r="M702" s="1118"/>
      <c r="N702" s="1118"/>
      <c r="O702" s="1118"/>
      <c r="P702" s="1118"/>
      <c r="Q702" s="1111"/>
      <c r="R702" s="1111"/>
      <c r="S702" s="1111"/>
      <c r="T702" s="1111"/>
      <c r="U702" s="1111"/>
      <c r="V702" s="1111"/>
      <c r="W702" s="1111"/>
      <c r="X702" s="1111"/>
      <c r="Y702" s="1111"/>
      <c r="Z702" s="1111"/>
      <c r="AA702" s="1111"/>
      <c r="AB702" s="1111"/>
      <c r="AC702" s="1111"/>
      <c r="AD702" s="1111"/>
      <c r="AE702" s="1111"/>
      <c r="AF702" s="1111"/>
      <c r="AG702" s="1111"/>
    </row>
    <row r="703" spans="1:33" s="1295" customFormat="1">
      <c r="A703" s="1264"/>
      <c r="D703" s="1118"/>
      <c r="E703" s="1264"/>
      <c r="F703" s="1118"/>
      <c r="G703" s="1118"/>
      <c r="H703" s="1118"/>
      <c r="I703" s="1118"/>
      <c r="J703" s="1118"/>
      <c r="K703" s="1118"/>
      <c r="L703" s="1118"/>
      <c r="M703" s="1118"/>
      <c r="N703" s="1118"/>
      <c r="O703" s="1118"/>
      <c r="P703" s="1118"/>
      <c r="Q703" s="1111"/>
      <c r="R703" s="1111"/>
      <c r="S703" s="1111"/>
      <c r="T703" s="1111"/>
      <c r="U703" s="1111"/>
      <c r="V703" s="1111"/>
      <c r="W703" s="1111"/>
      <c r="X703" s="1111"/>
      <c r="Y703" s="1111"/>
      <c r="Z703" s="1111"/>
      <c r="AA703" s="1111"/>
      <c r="AB703" s="1111"/>
      <c r="AC703" s="1111"/>
      <c r="AD703" s="1111"/>
      <c r="AE703" s="1111"/>
      <c r="AF703" s="1111"/>
      <c r="AG703" s="1111"/>
    </row>
    <row r="704" spans="1:33" s="1295" customFormat="1">
      <c r="A704" s="1264"/>
      <c r="D704" s="1118"/>
      <c r="E704" s="1264"/>
      <c r="F704" s="1118"/>
      <c r="G704" s="1118"/>
      <c r="H704" s="1118"/>
      <c r="I704" s="1118"/>
      <c r="J704" s="1118"/>
      <c r="K704" s="1118"/>
      <c r="L704" s="1118"/>
      <c r="M704" s="1118"/>
      <c r="N704" s="1118"/>
      <c r="O704" s="1118"/>
      <c r="P704" s="1118"/>
      <c r="Q704" s="1111"/>
      <c r="R704" s="1111"/>
      <c r="S704" s="1111"/>
      <c r="T704" s="1111"/>
      <c r="U704" s="1111"/>
      <c r="V704" s="1111"/>
      <c r="W704" s="1111"/>
      <c r="X704" s="1111"/>
      <c r="Y704" s="1111"/>
      <c r="Z704" s="1111"/>
      <c r="AA704" s="1111"/>
      <c r="AB704" s="1111"/>
      <c r="AC704" s="1111"/>
      <c r="AD704" s="1111"/>
      <c r="AE704" s="1111"/>
      <c r="AF704" s="1111"/>
      <c r="AG704" s="1111"/>
    </row>
    <row r="705" spans="1:33" s="1295" customFormat="1">
      <c r="A705" s="1264"/>
      <c r="D705" s="1118"/>
      <c r="E705" s="1264"/>
      <c r="F705" s="1118"/>
      <c r="G705" s="1118"/>
      <c r="H705" s="1118"/>
      <c r="I705" s="1118"/>
      <c r="J705" s="1118"/>
      <c r="K705" s="1118"/>
      <c r="L705" s="1118"/>
      <c r="M705" s="1118"/>
      <c r="N705" s="1118"/>
      <c r="O705" s="1118"/>
      <c r="P705" s="1118"/>
      <c r="Q705" s="1111"/>
      <c r="R705" s="1111"/>
      <c r="S705" s="1111"/>
      <c r="T705" s="1111"/>
      <c r="U705" s="1111"/>
      <c r="V705" s="1111"/>
      <c r="W705" s="1111"/>
      <c r="X705" s="1111"/>
      <c r="Y705" s="1111"/>
      <c r="Z705" s="1111"/>
      <c r="AA705" s="1111"/>
      <c r="AB705" s="1111"/>
      <c r="AC705" s="1111"/>
      <c r="AD705" s="1111"/>
      <c r="AE705" s="1111"/>
      <c r="AF705" s="1111"/>
      <c r="AG705" s="1111"/>
    </row>
    <row r="706" spans="1:33" s="1295" customFormat="1">
      <c r="A706" s="1264"/>
      <c r="D706" s="1118"/>
      <c r="E706" s="1264"/>
      <c r="F706" s="1118"/>
      <c r="G706" s="1118"/>
      <c r="H706" s="1118"/>
      <c r="I706" s="1118"/>
      <c r="J706" s="1118"/>
      <c r="K706" s="1118"/>
      <c r="L706" s="1118"/>
      <c r="M706" s="1118"/>
      <c r="N706" s="1118"/>
      <c r="O706" s="1118"/>
      <c r="P706" s="1118"/>
      <c r="Q706" s="1111"/>
      <c r="R706" s="1111"/>
      <c r="S706" s="1111"/>
      <c r="T706" s="1111"/>
      <c r="U706" s="1111"/>
      <c r="V706" s="1111"/>
      <c r="W706" s="1111"/>
      <c r="X706" s="1111"/>
      <c r="Y706" s="1111"/>
      <c r="Z706" s="1111"/>
      <c r="AA706" s="1111"/>
      <c r="AB706" s="1111"/>
      <c r="AC706" s="1111"/>
      <c r="AD706" s="1111"/>
      <c r="AE706" s="1111"/>
      <c r="AF706" s="1111"/>
      <c r="AG706" s="1111"/>
    </row>
    <row r="707" spans="1:33" s="1295" customFormat="1">
      <c r="A707" s="1264"/>
      <c r="D707" s="1118"/>
      <c r="E707" s="1264"/>
      <c r="F707" s="1118"/>
      <c r="G707" s="1118"/>
      <c r="H707" s="1118"/>
      <c r="I707" s="1118"/>
      <c r="J707" s="1118"/>
      <c r="K707" s="1118"/>
      <c r="L707" s="1118"/>
      <c r="M707" s="1118"/>
      <c r="N707" s="1118"/>
      <c r="O707" s="1118"/>
      <c r="P707" s="1118"/>
      <c r="Q707" s="1111"/>
      <c r="R707" s="1111"/>
      <c r="S707" s="1111"/>
      <c r="T707" s="1111"/>
      <c r="U707" s="1111"/>
      <c r="V707" s="1111"/>
      <c r="W707" s="1111"/>
      <c r="X707" s="1111"/>
      <c r="Y707" s="1111"/>
      <c r="Z707" s="1111"/>
      <c r="AA707" s="1111"/>
      <c r="AB707" s="1111"/>
      <c r="AC707" s="1111"/>
      <c r="AD707" s="1111"/>
      <c r="AE707" s="1111"/>
      <c r="AF707" s="1111"/>
      <c r="AG707" s="1111"/>
    </row>
    <row r="708" spans="1:33" s="1295" customFormat="1">
      <c r="A708" s="1264"/>
      <c r="D708" s="1118"/>
      <c r="E708" s="1264"/>
      <c r="F708" s="1118"/>
      <c r="G708" s="1118"/>
      <c r="H708" s="1118"/>
      <c r="I708" s="1118"/>
      <c r="J708" s="1118"/>
      <c r="K708" s="1118"/>
      <c r="L708" s="1118"/>
      <c r="M708" s="1118"/>
      <c r="N708" s="1118"/>
      <c r="O708" s="1118"/>
      <c r="P708" s="1118"/>
      <c r="Q708" s="1111"/>
      <c r="R708" s="1111"/>
      <c r="S708" s="1111"/>
      <c r="T708" s="1111"/>
      <c r="U708" s="1111"/>
      <c r="V708" s="1111"/>
      <c r="W708" s="1111"/>
      <c r="X708" s="1111"/>
      <c r="Y708" s="1111"/>
      <c r="Z708" s="1111"/>
      <c r="AA708" s="1111"/>
      <c r="AB708" s="1111"/>
      <c r="AC708" s="1111"/>
      <c r="AD708" s="1111"/>
      <c r="AE708" s="1111"/>
      <c r="AF708" s="1111"/>
      <c r="AG708" s="1111"/>
    </row>
    <row r="709" spans="1:33" s="1295" customFormat="1">
      <c r="A709" s="1264"/>
      <c r="D709" s="1118"/>
      <c r="E709" s="1264"/>
      <c r="F709" s="1118"/>
      <c r="G709" s="1118"/>
      <c r="H709" s="1118"/>
      <c r="I709" s="1118"/>
      <c r="J709" s="1118"/>
      <c r="K709" s="1118"/>
      <c r="L709" s="1118"/>
      <c r="M709" s="1118"/>
      <c r="N709" s="1118"/>
      <c r="O709" s="1118"/>
      <c r="P709" s="1118"/>
      <c r="Q709" s="1111"/>
      <c r="R709" s="1111"/>
      <c r="S709" s="1111"/>
      <c r="T709" s="1111"/>
      <c r="U709" s="1111"/>
      <c r="V709" s="1111"/>
      <c r="W709" s="1111"/>
      <c r="X709" s="1111"/>
      <c r="Y709" s="1111"/>
      <c r="Z709" s="1111"/>
      <c r="AA709" s="1111"/>
      <c r="AB709" s="1111"/>
      <c r="AC709" s="1111"/>
      <c r="AD709" s="1111"/>
      <c r="AE709" s="1111"/>
      <c r="AF709" s="1111"/>
      <c r="AG709" s="1111"/>
    </row>
    <row r="710" spans="1:33" s="1295" customFormat="1">
      <c r="A710" s="1264"/>
      <c r="D710" s="1118"/>
      <c r="E710" s="1264"/>
      <c r="F710" s="1118"/>
      <c r="G710" s="1118"/>
      <c r="H710" s="1118"/>
      <c r="I710" s="1118"/>
      <c r="J710" s="1118"/>
      <c r="K710" s="1118"/>
      <c r="L710" s="1118"/>
      <c r="M710" s="1118"/>
      <c r="N710" s="1118"/>
      <c r="O710" s="1118"/>
      <c r="P710" s="1118"/>
      <c r="Q710" s="1111"/>
      <c r="R710" s="1111"/>
      <c r="S710" s="1111"/>
      <c r="T710" s="1111"/>
      <c r="U710" s="1111"/>
      <c r="V710" s="1111"/>
      <c r="W710" s="1111"/>
      <c r="X710" s="1111"/>
      <c r="Y710" s="1111"/>
      <c r="Z710" s="1111"/>
      <c r="AA710" s="1111"/>
      <c r="AB710" s="1111"/>
      <c r="AC710" s="1111"/>
      <c r="AD710" s="1111"/>
      <c r="AE710" s="1111"/>
      <c r="AF710" s="1111"/>
      <c r="AG710" s="1111"/>
    </row>
    <row r="711" spans="1:33" s="1295" customFormat="1">
      <c r="A711" s="1264"/>
      <c r="D711" s="1118"/>
      <c r="E711" s="1264"/>
      <c r="F711" s="1118"/>
      <c r="G711" s="1118"/>
      <c r="H711" s="1118"/>
      <c r="I711" s="1118"/>
      <c r="J711" s="1118"/>
      <c r="K711" s="1118"/>
      <c r="L711" s="1118"/>
      <c r="M711" s="1118"/>
      <c r="N711" s="1118"/>
      <c r="O711" s="1118"/>
      <c r="P711" s="1118"/>
      <c r="Q711" s="1111"/>
      <c r="R711" s="1111"/>
      <c r="S711" s="1111"/>
      <c r="T711" s="1111"/>
      <c r="U711" s="1111"/>
      <c r="V711" s="1111"/>
      <c r="W711" s="1111"/>
      <c r="X711" s="1111"/>
      <c r="Y711" s="1111"/>
      <c r="Z711" s="1111"/>
      <c r="AA711" s="1111"/>
      <c r="AB711" s="1111"/>
      <c r="AC711" s="1111"/>
      <c r="AD711" s="1111"/>
      <c r="AE711" s="1111"/>
      <c r="AF711" s="1111"/>
      <c r="AG711" s="1111"/>
    </row>
    <row r="712" spans="1:33" s="1295" customFormat="1">
      <c r="A712" s="1264"/>
      <c r="D712" s="1118"/>
      <c r="E712" s="1264"/>
      <c r="F712" s="1118"/>
      <c r="G712" s="1118"/>
      <c r="H712" s="1118"/>
      <c r="I712" s="1118"/>
      <c r="J712" s="1118"/>
      <c r="K712" s="1118"/>
      <c r="L712" s="1118"/>
      <c r="M712" s="1118"/>
      <c r="N712" s="1118"/>
      <c r="O712" s="1118"/>
      <c r="P712" s="1118"/>
      <c r="Q712" s="1111"/>
      <c r="R712" s="1111"/>
      <c r="S712" s="1111"/>
      <c r="T712" s="1111"/>
      <c r="U712" s="1111"/>
      <c r="V712" s="1111"/>
      <c r="W712" s="1111"/>
      <c r="X712" s="1111"/>
      <c r="Y712" s="1111"/>
      <c r="Z712" s="1111"/>
      <c r="AA712" s="1111"/>
      <c r="AB712" s="1111"/>
      <c r="AC712" s="1111"/>
      <c r="AD712" s="1111"/>
      <c r="AE712" s="1111"/>
      <c r="AF712" s="1111"/>
      <c r="AG712" s="1111"/>
    </row>
    <row r="713" spans="1:33" s="1295" customFormat="1">
      <c r="A713" s="1264"/>
      <c r="D713" s="1118"/>
      <c r="E713" s="1264"/>
      <c r="F713" s="1118"/>
      <c r="G713" s="1118"/>
      <c r="H713" s="1118"/>
      <c r="I713" s="1118"/>
      <c r="J713" s="1118"/>
      <c r="K713" s="1118"/>
      <c r="L713" s="1118"/>
      <c r="M713" s="1118"/>
      <c r="N713" s="1118"/>
      <c r="O713" s="1118"/>
      <c r="P713" s="1118"/>
      <c r="Q713" s="1111"/>
      <c r="R713" s="1111"/>
      <c r="S713" s="1111"/>
      <c r="T713" s="1111"/>
      <c r="U713" s="1111"/>
      <c r="V713" s="1111"/>
      <c r="W713" s="1111"/>
      <c r="X713" s="1111"/>
      <c r="Y713" s="1111"/>
      <c r="Z713" s="1111"/>
      <c r="AA713" s="1111"/>
      <c r="AB713" s="1111"/>
      <c r="AC713" s="1111"/>
      <c r="AD713" s="1111"/>
      <c r="AE713" s="1111"/>
      <c r="AF713" s="1111"/>
      <c r="AG713" s="1111"/>
    </row>
    <row r="714" spans="1:33" s="1295" customFormat="1">
      <c r="A714" s="1264"/>
      <c r="D714" s="1118"/>
      <c r="E714" s="1264"/>
      <c r="F714" s="1118"/>
      <c r="G714" s="1118"/>
      <c r="H714" s="1118"/>
      <c r="I714" s="1118"/>
      <c r="J714" s="1118"/>
      <c r="K714" s="1118"/>
      <c r="L714" s="1118"/>
      <c r="M714" s="1118"/>
      <c r="N714" s="1118"/>
      <c r="O714" s="1118"/>
      <c r="P714" s="1118"/>
      <c r="Q714" s="1111"/>
      <c r="R714" s="1111"/>
      <c r="S714" s="1111"/>
      <c r="T714" s="1111"/>
      <c r="U714" s="1111"/>
      <c r="V714" s="1111"/>
      <c r="W714" s="1111"/>
      <c r="X714" s="1111"/>
      <c r="Y714" s="1111"/>
      <c r="Z714" s="1111"/>
      <c r="AA714" s="1111"/>
      <c r="AB714" s="1111"/>
      <c r="AC714" s="1111"/>
      <c r="AD714" s="1111"/>
      <c r="AE714" s="1111"/>
      <c r="AF714" s="1111"/>
      <c r="AG714" s="1111"/>
    </row>
    <row r="715" spans="1:33" s="1295" customFormat="1">
      <c r="A715" s="1264"/>
      <c r="D715" s="1118"/>
      <c r="E715" s="1264"/>
      <c r="F715" s="1118"/>
      <c r="G715" s="1118"/>
      <c r="H715" s="1118"/>
      <c r="I715" s="1118"/>
      <c r="J715" s="1118"/>
      <c r="K715" s="1118"/>
      <c r="L715" s="1118"/>
      <c r="M715" s="1118"/>
      <c r="N715" s="1118"/>
      <c r="O715" s="1118"/>
      <c r="P715" s="1118"/>
      <c r="Q715" s="1111"/>
      <c r="R715" s="1111"/>
      <c r="S715" s="1111"/>
      <c r="T715" s="1111"/>
      <c r="U715" s="1111"/>
      <c r="V715" s="1111"/>
      <c r="W715" s="1111"/>
      <c r="X715" s="1111"/>
      <c r="Y715" s="1111"/>
      <c r="Z715" s="1111"/>
      <c r="AA715" s="1111"/>
      <c r="AB715" s="1111"/>
      <c r="AC715" s="1111"/>
      <c r="AD715" s="1111"/>
      <c r="AE715" s="1111"/>
      <c r="AF715" s="1111"/>
      <c r="AG715" s="1111"/>
    </row>
    <row r="716" spans="1:33" s="1295" customFormat="1">
      <c r="A716" s="1264"/>
      <c r="D716" s="1118"/>
      <c r="E716" s="1264"/>
      <c r="F716" s="1118"/>
      <c r="G716" s="1118"/>
      <c r="H716" s="1118"/>
      <c r="I716" s="1118"/>
      <c r="J716" s="1118"/>
      <c r="K716" s="1118"/>
      <c r="L716" s="1118"/>
      <c r="M716" s="1118"/>
      <c r="N716" s="1118"/>
      <c r="O716" s="1118"/>
      <c r="P716" s="1118"/>
      <c r="Q716" s="1111"/>
      <c r="R716" s="1111"/>
      <c r="S716" s="1111"/>
      <c r="T716" s="1111"/>
      <c r="U716" s="1111"/>
      <c r="V716" s="1111"/>
      <c r="W716" s="1111"/>
      <c r="X716" s="1111"/>
      <c r="Y716" s="1111"/>
      <c r="Z716" s="1111"/>
      <c r="AA716" s="1111"/>
      <c r="AB716" s="1111"/>
      <c r="AC716" s="1111"/>
      <c r="AD716" s="1111"/>
      <c r="AE716" s="1111"/>
      <c r="AF716" s="1111"/>
      <c r="AG716" s="1111"/>
    </row>
    <row r="717" spans="1:33" s="1295" customFormat="1">
      <c r="A717" s="1264"/>
      <c r="D717" s="1118"/>
      <c r="E717" s="1264"/>
      <c r="F717" s="1118"/>
      <c r="G717" s="1118"/>
      <c r="H717" s="1118"/>
      <c r="I717" s="1118"/>
      <c r="J717" s="1118"/>
      <c r="K717" s="1118"/>
      <c r="L717" s="1118"/>
      <c r="M717" s="1118"/>
      <c r="N717" s="1118"/>
      <c r="O717" s="1118"/>
      <c r="P717" s="1118"/>
      <c r="Q717" s="1111"/>
      <c r="R717" s="1111"/>
      <c r="S717" s="1111"/>
      <c r="T717" s="1111"/>
      <c r="U717" s="1111"/>
      <c r="V717" s="1111"/>
      <c r="W717" s="1111"/>
      <c r="X717" s="1111"/>
      <c r="Y717" s="1111"/>
      <c r="Z717" s="1111"/>
      <c r="AA717" s="1111"/>
      <c r="AB717" s="1111"/>
      <c r="AC717" s="1111"/>
      <c r="AD717" s="1111"/>
      <c r="AE717" s="1111"/>
      <c r="AF717" s="1111"/>
      <c r="AG717" s="1111"/>
    </row>
    <row r="718" spans="1:33" s="1295" customFormat="1">
      <c r="A718" s="1264"/>
      <c r="D718" s="1118"/>
      <c r="E718" s="1264"/>
      <c r="F718" s="1118"/>
      <c r="G718" s="1118"/>
      <c r="H718" s="1118"/>
      <c r="I718" s="1118"/>
      <c r="J718" s="1118"/>
      <c r="K718" s="1118"/>
      <c r="L718" s="1118"/>
      <c r="M718" s="1118"/>
      <c r="N718" s="1118"/>
      <c r="O718" s="1118"/>
      <c r="P718" s="1118"/>
      <c r="Q718" s="1111"/>
      <c r="R718" s="1111"/>
      <c r="S718" s="1111"/>
      <c r="T718" s="1111"/>
      <c r="U718" s="1111"/>
      <c r="V718" s="1111"/>
      <c r="W718" s="1111"/>
      <c r="X718" s="1111"/>
      <c r="Y718" s="1111"/>
      <c r="Z718" s="1111"/>
      <c r="AA718" s="1111"/>
      <c r="AB718" s="1111"/>
      <c r="AC718" s="1111"/>
      <c r="AD718" s="1111"/>
      <c r="AE718" s="1111"/>
      <c r="AF718" s="1111"/>
      <c r="AG718" s="1111"/>
    </row>
    <row r="719" spans="1:33" s="1295" customFormat="1">
      <c r="A719" s="1264"/>
      <c r="D719" s="1118"/>
      <c r="E719" s="1264"/>
      <c r="F719" s="1118"/>
      <c r="G719" s="1118"/>
      <c r="H719" s="1118"/>
      <c r="I719" s="1118"/>
      <c r="J719" s="1118"/>
      <c r="K719" s="1118"/>
      <c r="L719" s="1118"/>
      <c r="M719" s="1118"/>
      <c r="N719" s="1118"/>
      <c r="O719" s="1118"/>
      <c r="P719" s="1118"/>
      <c r="Q719" s="1111"/>
      <c r="R719" s="1111"/>
      <c r="S719" s="1111"/>
      <c r="T719" s="1111"/>
      <c r="U719" s="1111"/>
      <c r="V719" s="1111"/>
      <c r="W719" s="1111"/>
      <c r="X719" s="1111"/>
      <c r="Y719" s="1111"/>
      <c r="Z719" s="1111"/>
      <c r="AA719" s="1111"/>
      <c r="AB719" s="1111"/>
      <c r="AC719" s="1111"/>
      <c r="AD719" s="1111"/>
      <c r="AE719" s="1111"/>
      <c r="AF719" s="1111"/>
      <c r="AG719" s="1111"/>
    </row>
    <row r="720" spans="1:33" s="1295" customFormat="1">
      <c r="A720" s="1264"/>
      <c r="D720" s="1118"/>
      <c r="E720" s="1264"/>
      <c r="F720" s="1118"/>
      <c r="G720" s="1118"/>
      <c r="H720" s="1118"/>
      <c r="I720" s="1118"/>
      <c r="J720" s="1118"/>
      <c r="K720" s="1118"/>
      <c r="L720" s="1118"/>
      <c r="M720" s="1118"/>
      <c r="N720" s="1118"/>
      <c r="O720" s="1118"/>
      <c r="P720" s="1118"/>
      <c r="Q720" s="1111"/>
      <c r="R720" s="1111"/>
      <c r="S720" s="1111"/>
      <c r="T720" s="1111"/>
      <c r="U720" s="1111"/>
      <c r="V720" s="1111"/>
      <c r="W720" s="1111"/>
      <c r="X720" s="1111"/>
      <c r="Y720" s="1111"/>
      <c r="Z720" s="1111"/>
      <c r="AA720" s="1111"/>
      <c r="AB720" s="1111"/>
      <c r="AC720" s="1111"/>
      <c r="AD720" s="1111"/>
      <c r="AE720" s="1111"/>
      <c r="AF720" s="1111"/>
      <c r="AG720" s="1111"/>
    </row>
    <row r="721" spans="1:33" s="1295" customFormat="1">
      <c r="A721" s="1264"/>
      <c r="D721" s="1118"/>
      <c r="E721" s="1264"/>
      <c r="F721" s="1118"/>
      <c r="G721" s="1118"/>
      <c r="H721" s="1118"/>
      <c r="I721" s="1118"/>
      <c r="J721" s="1118"/>
      <c r="K721" s="1118"/>
      <c r="L721" s="1118"/>
      <c r="M721" s="1118"/>
      <c r="N721" s="1118"/>
      <c r="O721" s="1118"/>
      <c r="P721" s="1118"/>
      <c r="Q721" s="1111"/>
      <c r="R721" s="1111"/>
      <c r="S721" s="1111"/>
      <c r="T721" s="1111"/>
      <c r="U721" s="1111"/>
      <c r="V721" s="1111"/>
      <c r="W721" s="1111"/>
      <c r="X721" s="1111"/>
      <c r="Y721" s="1111"/>
      <c r="Z721" s="1111"/>
      <c r="AA721" s="1111"/>
      <c r="AB721" s="1111"/>
      <c r="AC721" s="1111"/>
      <c r="AD721" s="1111"/>
      <c r="AE721" s="1111"/>
      <c r="AF721" s="1111"/>
      <c r="AG721" s="1111"/>
    </row>
    <row r="722" spans="1:33" s="1295" customFormat="1">
      <c r="A722" s="1264"/>
      <c r="D722" s="1118"/>
      <c r="E722" s="1264"/>
      <c r="F722" s="1118"/>
      <c r="G722" s="1118"/>
      <c r="H722" s="1118"/>
      <c r="I722" s="1118"/>
      <c r="J722" s="1118"/>
      <c r="K722" s="1118"/>
      <c r="L722" s="1118"/>
      <c r="M722" s="1118"/>
      <c r="N722" s="1118"/>
      <c r="O722" s="1118"/>
      <c r="P722" s="1118"/>
      <c r="Q722" s="1111"/>
      <c r="R722" s="1111"/>
      <c r="S722" s="1111"/>
      <c r="T722" s="1111"/>
      <c r="U722" s="1111"/>
      <c r="V722" s="1111"/>
      <c r="W722" s="1111"/>
      <c r="X722" s="1111"/>
      <c r="Y722" s="1111"/>
      <c r="Z722" s="1111"/>
      <c r="AA722" s="1111"/>
      <c r="AB722" s="1111"/>
      <c r="AC722" s="1111"/>
      <c r="AD722" s="1111"/>
      <c r="AE722" s="1111"/>
      <c r="AF722" s="1111"/>
      <c r="AG722" s="1111"/>
    </row>
    <row r="723" spans="1:33" s="1295" customFormat="1">
      <c r="A723" s="1264"/>
      <c r="D723" s="1118"/>
      <c r="E723" s="1264"/>
      <c r="F723" s="1118"/>
      <c r="G723" s="1118"/>
      <c r="H723" s="1118"/>
      <c r="I723" s="1118"/>
      <c r="J723" s="1118"/>
      <c r="K723" s="1118"/>
      <c r="L723" s="1118"/>
      <c r="M723" s="1118"/>
      <c r="N723" s="1118"/>
      <c r="O723" s="1118"/>
      <c r="P723" s="1118"/>
      <c r="Q723" s="1111"/>
      <c r="R723" s="1111"/>
      <c r="S723" s="1111"/>
      <c r="T723" s="1111"/>
      <c r="U723" s="1111"/>
      <c r="V723" s="1111"/>
      <c r="W723" s="1111"/>
      <c r="X723" s="1111"/>
      <c r="Y723" s="1111"/>
      <c r="Z723" s="1111"/>
      <c r="AA723" s="1111"/>
      <c r="AB723" s="1111"/>
      <c r="AC723" s="1111"/>
      <c r="AD723" s="1111"/>
      <c r="AE723" s="1111"/>
      <c r="AF723" s="1111"/>
      <c r="AG723" s="1111"/>
    </row>
    <row r="724" spans="1:33" s="1295" customFormat="1">
      <c r="A724" s="1264"/>
      <c r="D724" s="1118"/>
      <c r="E724" s="1264"/>
      <c r="F724" s="1118"/>
      <c r="G724" s="1118"/>
      <c r="H724" s="1118"/>
      <c r="I724" s="1118"/>
      <c r="J724" s="1118"/>
      <c r="K724" s="1118"/>
      <c r="L724" s="1118"/>
      <c r="M724" s="1118"/>
      <c r="N724" s="1118"/>
      <c r="O724" s="1118"/>
      <c r="P724" s="1118"/>
      <c r="Q724" s="1111"/>
      <c r="R724" s="1111"/>
      <c r="S724" s="1111"/>
      <c r="T724" s="1111"/>
      <c r="U724" s="1111"/>
      <c r="V724" s="1111"/>
      <c r="W724" s="1111"/>
      <c r="X724" s="1111"/>
      <c r="Y724" s="1111"/>
      <c r="Z724" s="1111"/>
      <c r="AA724" s="1111"/>
      <c r="AB724" s="1111"/>
      <c r="AC724" s="1111"/>
      <c r="AD724" s="1111"/>
      <c r="AE724" s="1111"/>
      <c r="AF724" s="1111"/>
      <c r="AG724" s="1111"/>
    </row>
    <row r="725" spans="1:33" s="1295" customFormat="1">
      <c r="A725" s="1264"/>
      <c r="D725" s="1118"/>
      <c r="E725" s="1264"/>
      <c r="F725" s="1118"/>
      <c r="G725" s="1118"/>
      <c r="H725" s="1118"/>
      <c r="I725" s="1118"/>
      <c r="J725" s="1118"/>
      <c r="K725" s="1118"/>
      <c r="L725" s="1118"/>
      <c r="M725" s="1118"/>
      <c r="N725" s="1118"/>
      <c r="O725" s="1118"/>
      <c r="P725" s="1118"/>
      <c r="Q725" s="1111"/>
      <c r="R725" s="1111"/>
      <c r="S725" s="1111"/>
      <c r="T725" s="1111"/>
      <c r="U725" s="1111"/>
      <c r="V725" s="1111"/>
      <c r="W725" s="1111"/>
      <c r="X725" s="1111"/>
      <c r="Y725" s="1111"/>
      <c r="Z725" s="1111"/>
      <c r="AA725" s="1111"/>
      <c r="AB725" s="1111"/>
      <c r="AC725" s="1111"/>
      <c r="AD725" s="1111"/>
      <c r="AE725" s="1111"/>
      <c r="AF725" s="1111"/>
      <c r="AG725" s="1111"/>
    </row>
    <row r="726" spans="1:33" s="1295" customFormat="1">
      <c r="A726" s="1264"/>
      <c r="D726" s="1118"/>
      <c r="E726" s="1264"/>
      <c r="F726" s="1118"/>
      <c r="G726" s="1118"/>
      <c r="H726" s="1118"/>
      <c r="I726" s="1118"/>
      <c r="J726" s="1118"/>
      <c r="K726" s="1118"/>
      <c r="L726" s="1118"/>
      <c r="M726" s="1118"/>
      <c r="N726" s="1118"/>
      <c r="O726" s="1118"/>
      <c r="P726" s="1118"/>
      <c r="Q726" s="1111"/>
      <c r="R726" s="1111"/>
      <c r="S726" s="1111"/>
      <c r="T726" s="1111"/>
      <c r="U726" s="1111"/>
      <c r="V726" s="1111"/>
      <c r="W726" s="1111"/>
      <c r="X726" s="1111"/>
      <c r="Y726" s="1111"/>
      <c r="Z726" s="1111"/>
      <c r="AA726" s="1111"/>
      <c r="AB726" s="1111"/>
      <c r="AC726" s="1111"/>
      <c r="AD726" s="1111"/>
      <c r="AE726" s="1111"/>
      <c r="AF726" s="1111"/>
      <c r="AG726" s="1111"/>
    </row>
    <row r="727" spans="1:33" s="1295" customFormat="1">
      <c r="A727" s="1264"/>
      <c r="D727" s="1118"/>
      <c r="E727" s="1264"/>
      <c r="F727" s="1118"/>
      <c r="G727" s="1118"/>
      <c r="H727" s="1118"/>
      <c r="I727" s="1118"/>
      <c r="J727" s="1118"/>
      <c r="K727" s="1118"/>
      <c r="L727" s="1118"/>
      <c r="M727" s="1118"/>
      <c r="N727" s="1118"/>
      <c r="O727" s="1118"/>
      <c r="P727" s="1118"/>
      <c r="Q727" s="1111"/>
      <c r="R727" s="1111"/>
      <c r="S727" s="1111"/>
      <c r="T727" s="1111"/>
      <c r="U727" s="1111"/>
      <c r="V727" s="1111"/>
      <c r="W727" s="1111"/>
      <c r="X727" s="1111"/>
      <c r="Y727" s="1111"/>
      <c r="Z727" s="1111"/>
      <c r="AA727" s="1111"/>
      <c r="AB727" s="1111"/>
      <c r="AC727" s="1111"/>
      <c r="AD727" s="1111"/>
      <c r="AE727" s="1111"/>
      <c r="AF727" s="1111"/>
      <c r="AG727" s="1111"/>
    </row>
    <row r="728" spans="1:33" s="1295" customFormat="1">
      <c r="A728" s="1264"/>
      <c r="D728" s="1118"/>
      <c r="E728" s="1264"/>
      <c r="F728" s="1118"/>
      <c r="G728" s="1118"/>
      <c r="H728" s="1118"/>
      <c r="I728" s="1118"/>
      <c r="J728" s="1118"/>
      <c r="K728" s="1118"/>
      <c r="L728" s="1118"/>
      <c r="M728" s="1118"/>
      <c r="N728" s="1118"/>
      <c r="O728" s="1118"/>
      <c r="P728" s="1118"/>
      <c r="Q728" s="1111"/>
      <c r="R728" s="1111"/>
      <c r="S728" s="1111"/>
      <c r="T728" s="1111"/>
      <c r="U728" s="1111"/>
      <c r="V728" s="1111"/>
      <c r="W728" s="1111"/>
      <c r="X728" s="1111"/>
      <c r="Y728" s="1111"/>
      <c r="Z728" s="1111"/>
      <c r="AA728" s="1111"/>
      <c r="AB728" s="1111"/>
      <c r="AC728" s="1111"/>
      <c r="AD728" s="1111"/>
      <c r="AE728" s="1111"/>
      <c r="AF728" s="1111"/>
      <c r="AG728" s="1111"/>
    </row>
    <row r="729" spans="1:33" s="1295" customFormat="1">
      <c r="A729" s="1264"/>
      <c r="D729" s="1118"/>
      <c r="E729" s="1264"/>
      <c r="F729" s="1118"/>
      <c r="G729" s="1118"/>
      <c r="H729" s="1118"/>
      <c r="I729" s="1118"/>
      <c r="J729" s="1118"/>
      <c r="K729" s="1118"/>
      <c r="L729" s="1118"/>
      <c r="M729" s="1118"/>
      <c r="N729" s="1118"/>
      <c r="O729" s="1118"/>
      <c r="P729" s="1118"/>
      <c r="Q729" s="1111"/>
      <c r="R729" s="1111"/>
      <c r="S729" s="1111"/>
      <c r="T729" s="1111"/>
      <c r="U729" s="1111"/>
      <c r="V729" s="1111"/>
      <c r="W729" s="1111"/>
      <c r="X729" s="1111"/>
      <c r="Y729" s="1111"/>
      <c r="Z729" s="1111"/>
      <c r="AA729" s="1111"/>
      <c r="AB729" s="1111"/>
      <c r="AC729" s="1111"/>
      <c r="AD729" s="1111"/>
      <c r="AE729" s="1111"/>
      <c r="AF729" s="1111"/>
      <c r="AG729" s="1111"/>
    </row>
    <row r="730" spans="1:33" s="1295" customFormat="1">
      <c r="A730" s="1264"/>
      <c r="D730" s="1118"/>
      <c r="E730" s="1264"/>
      <c r="F730" s="1118"/>
      <c r="G730" s="1118"/>
      <c r="H730" s="1118"/>
      <c r="I730" s="1118"/>
      <c r="J730" s="1118"/>
      <c r="K730" s="1118"/>
      <c r="L730" s="1118"/>
      <c r="M730" s="1118"/>
      <c r="N730" s="1118"/>
      <c r="O730" s="1118"/>
      <c r="P730" s="1118"/>
      <c r="Q730" s="1111"/>
      <c r="R730" s="1111"/>
      <c r="S730" s="1111"/>
      <c r="T730" s="1111"/>
      <c r="U730" s="1111"/>
      <c r="V730" s="1111"/>
      <c r="W730" s="1111"/>
      <c r="X730" s="1111"/>
      <c r="Y730" s="1111"/>
      <c r="Z730" s="1111"/>
      <c r="AA730" s="1111"/>
      <c r="AB730" s="1111"/>
      <c r="AC730" s="1111"/>
      <c r="AD730" s="1111"/>
      <c r="AE730" s="1111"/>
      <c r="AF730" s="1111"/>
      <c r="AG730" s="1111"/>
    </row>
    <row r="731" spans="1:33" s="1295" customFormat="1">
      <c r="A731" s="1264"/>
      <c r="D731" s="1118"/>
      <c r="E731" s="1264"/>
      <c r="F731" s="1118"/>
      <c r="G731" s="1118"/>
      <c r="H731" s="1118"/>
      <c r="I731" s="1118"/>
      <c r="J731" s="1118"/>
      <c r="K731" s="1118"/>
      <c r="L731" s="1118"/>
      <c r="M731" s="1118"/>
      <c r="N731" s="1118"/>
      <c r="O731" s="1118"/>
      <c r="P731" s="1118"/>
      <c r="Q731" s="1111"/>
      <c r="R731" s="1111"/>
      <c r="S731" s="1111"/>
      <c r="T731" s="1111"/>
      <c r="U731" s="1111"/>
      <c r="V731" s="1111"/>
      <c r="W731" s="1111"/>
      <c r="X731" s="1111"/>
      <c r="Y731" s="1111"/>
      <c r="Z731" s="1111"/>
      <c r="AA731" s="1111"/>
      <c r="AB731" s="1111"/>
      <c r="AC731" s="1111"/>
      <c r="AD731" s="1111"/>
      <c r="AE731" s="1111"/>
      <c r="AF731" s="1111"/>
      <c r="AG731" s="1111"/>
    </row>
    <row r="732" spans="1:33" s="1295" customFormat="1">
      <c r="A732" s="1264"/>
      <c r="D732" s="1118"/>
      <c r="E732" s="1264"/>
      <c r="F732" s="1118"/>
      <c r="G732" s="1118"/>
      <c r="H732" s="1118"/>
      <c r="I732" s="1118"/>
      <c r="J732" s="1118"/>
      <c r="K732" s="1118"/>
      <c r="L732" s="1118"/>
      <c r="M732" s="1118"/>
      <c r="N732" s="1118"/>
      <c r="O732" s="1118"/>
      <c r="P732" s="1118"/>
      <c r="Q732" s="1111"/>
      <c r="R732" s="1111"/>
      <c r="S732" s="1111"/>
      <c r="T732" s="1111"/>
      <c r="U732" s="1111"/>
      <c r="V732" s="1111"/>
      <c r="W732" s="1111"/>
      <c r="X732" s="1111"/>
      <c r="Y732" s="1111"/>
      <c r="Z732" s="1111"/>
      <c r="AA732" s="1111"/>
      <c r="AB732" s="1111"/>
      <c r="AC732" s="1111"/>
      <c r="AD732" s="1111"/>
      <c r="AE732" s="1111"/>
      <c r="AF732" s="1111"/>
      <c r="AG732" s="1111"/>
    </row>
    <row r="733" spans="1:33" s="1295" customFormat="1">
      <c r="A733" s="1264"/>
      <c r="D733" s="1118"/>
      <c r="E733" s="1264"/>
      <c r="F733" s="1118"/>
      <c r="G733" s="1118"/>
      <c r="H733" s="1118"/>
      <c r="I733" s="1118"/>
      <c r="J733" s="1118"/>
      <c r="K733" s="1118"/>
      <c r="L733" s="1118"/>
      <c r="M733" s="1118"/>
      <c r="N733" s="1118"/>
      <c r="O733" s="1118"/>
      <c r="P733" s="1118"/>
      <c r="Q733" s="1111"/>
      <c r="R733" s="1111"/>
      <c r="S733" s="1111"/>
      <c r="T733" s="1111"/>
      <c r="U733" s="1111"/>
      <c r="V733" s="1111"/>
      <c r="W733" s="1111"/>
      <c r="X733" s="1111"/>
      <c r="Y733" s="1111"/>
      <c r="Z733" s="1111"/>
      <c r="AA733" s="1111"/>
      <c r="AB733" s="1111"/>
      <c r="AC733" s="1111"/>
      <c r="AD733" s="1111"/>
      <c r="AE733" s="1111"/>
      <c r="AF733" s="1111"/>
      <c r="AG733" s="1111"/>
    </row>
    <row r="734" spans="1:33" s="1295" customFormat="1">
      <c r="A734" s="1264"/>
      <c r="D734" s="1118"/>
      <c r="E734" s="1264"/>
      <c r="F734" s="1118"/>
      <c r="G734" s="1118"/>
      <c r="H734" s="1118"/>
      <c r="I734" s="1118"/>
      <c r="J734" s="1118"/>
      <c r="K734" s="1118"/>
      <c r="L734" s="1118"/>
      <c r="M734" s="1118"/>
      <c r="N734" s="1118"/>
      <c r="O734" s="1118"/>
      <c r="P734" s="1118"/>
      <c r="Q734" s="1111"/>
      <c r="R734" s="1111"/>
      <c r="S734" s="1111"/>
      <c r="T734" s="1111"/>
      <c r="U734" s="1111"/>
      <c r="V734" s="1111"/>
      <c r="W734" s="1111"/>
      <c r="X734" s="1111"/>
      <c r="Y734" s="1111"/>
      <c r="Z734" s="1111"/>
      <c r="AA734" s="1111"/>
      <c r="AB734" s="1111"/>
      <c r="AC734" s="1111"/>
      <c r="AD734" s="1111"/>
      <c r="AE734" s="1111"/>
      <c r="AF734" s="1111"/>
      <c r="AG734" s="1111"/>
    </row>
    <row r="735" spans="1:33" s="1295" customFormat="1">
      <c r="A735" s="1264"/>
      <c r="D735" s="1118"/>
      <c r="E735" s="1264"/>
      <c r="F735" s="1118"/>
      <c r="G735" s="1118"/>
      <c r="H735" s="1118"/>
      <c r="I735" s="1118"/>
      <c r="J735" s="1118"/>
      <c r="K735" s="1118"/>
      <c r="L735" s="1118"/>
      <c r="M735" s="1118"/>
      <c r="N735" s="1118"/>
      <c r="O735" s="1118"/>
      <c r="P735" s="1118"/>
      <c r="Q735" s="1111"/>
      <c r="R735" s="1111"/>
      <c r="S735" s="1111"/>
      <c r="T735" s="1111"/>
      <c r="U735" s="1111"/>
      <c r="V735" s="1111"/>
      <c r="W735" s="1111"/>
      <c r="X735" s="1111"/>
      <c r="Y735" s="1111"/>
      <c r="Z735" s="1111"/>
      <c r="AA735" s="1111"/>
      <c r="AB735" s="1111"/>
      <c r="AC735" s="1111"/>
      <c r="AD735" s="1111"/>
      <c r="AE735" s="1111"/>
      <c r="AF735" s="1111"/>
      <c r="AG735" s="1111"/>
    </row>
    <row r="736" spans="1:33" s="1295" customFormat="1">
      <c r="A736" s="1264"/>
      <c r="D736" s="1118"/>
      <c r="E736" s="1264"/>
      <c r="F736" s="1118"/>
      <c r="G736" s="1118"/>
      <c r="H736" s="1118"/>
      <c r="I736" s="1118"/>
      <c r="J736" s="1118"/>
      <c r="K736" s="1118"/>
      <c r="L736" s="1118"/>
      <c r="M736" s="1118"/>
      <c r="N736" s="1118"/>
      <c r="O736" s="1118"/>
      <c r="P736" s="1118"/>
      <c r="Q736" s="1111"/>
      <c r="R736" s="1111"/>
      <c r="S736" s="1111"/>
      <c r="T736" s="1111"/>
      <c r="U736" s="1111"/>
      <c r="V736" s="1111"/>
      <c r="W736" s="1111"/>
      <c r="X736" s="1111"/>
      <c r="Y736" s="1111"/>
      <c r="Z736" s="1111"/>
      <c r="AA736" s="1111"/>
      <c r="AB736" s="1111"/>
      <c r="AC736" s="1111"/>
      <c r="AD736" s="1111"/>
      <c r="AE736" s="1111"/>
      <c r="AF736" s="1111"/>
      <c r="AG736" s="1111"/>
    </row>
    <row r="737" spans="1:33" s="1295" customFormat="1">
      <c r="A737" s="1264"/>
      <c r="D737" s="1118"/>
      <c r="E737" s="1264"/>
      <c r="F737" s="1118"/>
      <c r="G737" s="1118"/>
      <c r="H737" s="1118"/>
      <c r="I737" s="1118"/>
      <c r="J737" s="1118"/>
      <c r="K737" s="1118"/>
      <c r="L737" s="1118"/>
      <c r="M737" s="1118"/>
      <c r="N737" s="1118"/>
      <c r="O737" s="1118"/>
      <c r="P737" s="1118"/>
      <c r="Q737" s="1111"/>
      <c r="R737" s="1111"/>
      <c r="S737" s="1111"/>
      <c r="T737" s="1111"/>
      <c r="U737" s="1111"/>
      <c r="V737" s="1111"/>
      <c r="W737" s="1111"/>
      <c r="X737" s="1111"/>
      <c r="Y737" s="1111"/>
      <c r="Z737" s="1111"/>
      <c r="AA737" s="1111"/>
      <c r="AB737" s="1111"/>
      <c r="AC737" s="1111"/>
      <c r="AD737" s="1111"/>
      <c r="AE737" s="1111"/>
      <c r="AF737" s="1111"/>
      <c r="AG737" s="1111"/>
    </row>
    <row r="738" spans="1:33" s="1295" customFormat="1">
      <c r="A738" s="1264"/>
      <c r="D738" s="1118"/>
      <c r="E738" s="1264"/>
      <c r="F738" s="1118"/>
      <c r="G738" s="1118"/>
      <c r="H738" s="1118"/>
      <c r="I738" s="1118"/>
      <c r="J738" s="1118"/>
      <c r="K738" s="1118"/>
      <c r="L738" s="1118"/>
      <c r="M738" s="1118"/>
      <c r="N738" s="1118"/>
      <c r="O738" s="1118"/>
      <c r="P738" s="1118"/>
      <c r="Q738" s="1111"/>
      <c r="R738" s="1111"/>
      <c r="S738" s="1111"/>
      <c r="T738" s="1111"/>
      <c r="U738" s="1111"/>
      <c r="V738" s="1111"/>
      <c r="W738" s="1111"/>
      <c r="X738" s="1111"/>
      <c r="Y738" s="1111"/>
      <c r="Z738" s="1111"/>
      <c r="AA738" s="1111"/>
      <c r="AB738" s="1111"/>
      <c r="AC738" s="1111"/>
      <c r="AD738" s="1111"/>
      <c r="AE738" s="1111"/>
      <c r="AF738" s="1111"/>
      <c r="AG738" s="1111"/>
    </row>
    <row r="739" spans="1:33" s="1295" customFormat="1">
      <c r="A739" s="1264"/>
      <c r="D739" s="1118"/>
      <c r="E739" s="1264"/>
      <c r="F739" s="1118"/>
      <c r="G739" s="1118"/>
      <c r="H739" s="1118"/>
      <c r="I739" s="1118"/>
      <c r="J739" s="1118"/>
      <c r="K739" s="1118"/>
      <c r="L739" s="1118"/>
      <c r="M739" s="1118"/>
      <c r="N739" s="1118"/>
      <c r="O739" s="1118"/>
      <c r="P739" s="1118"/>
      <c r="Q739" s="1111"/>
      <c r="R739" s="1111"/>
      <c r="S739" s="1111"/>
      <c r="T739" s="1111"/>
      <c r="U739" s="1111"/>
      <c r="V739" s="1111"/>
      <c r="W739" s="1111"/>
      <c r="X739" s="1111"/>
      <c r="Y739" s="1111"/>
      <c r="Z739" s="1111"/>
      <c r="AA739" s="1111"/>
      <c r="AB739" s="1111"/>
      <c r="AC739" s="1111"/>
      <c r="AD739" s="1111"/>
      <c r="AE739" s="1111"/>
      <c r="AF739" s="1111"/>
      <c r="AG739" s="1111"/>
    </row>
    <row r="740" spans="1:33" s="1295" customFormat="1">
      <c r="A740" s="1264"/>
      <c r="D740" s="1118"/>
      <c r="E740" s="1264"/>
      <c r="F740" s="1118"/>
      <c r="G740" s="1118"/>
      <c r="H740" s="1118"/>
      <c r="I740" s="1118"/>
      <c r="J740" s="1118"/>
      <c r="K740" s="1118"/>
      <c r="L740" s="1118"/>
      <c r="M740" s="1118"/>
      <c r="N740" s="1118"/>
      <c r="O740" s="1118"/>
      <c r="P740" s="1118"/>
      <c r="Q740" s="1111"/>
      <c r="R740" s="1111"/>
      <c r="S740" s="1111"/>
      <c r="T740" s="1111"/>
      <c r="U740" s="1111"/>
      <c r="V740" s="1111"/>
      <c r="W740" s="1111"/>
      <c r="X740" s="1111"/>
      <c r="Y740" s="1111"/>
      <c r="Z740" s="1111"/>
      <c r="AA740" s="1111"/>
      <c r="AB740" s="1111"/>
      <c r="AC740" s="1111"/>
      <c r="AD740" s="1111"/>
      <c r="AE740" s="1111"/>
      <c r="AF740" s="1111"/>
      <c r="AG740" s="1111"/>
    </row>
    <row r="741" spans="1:33" s="1295" customFormat="1">
      <c r="A741" s="1264"/>
      <c r="D741" s="1118"/>
      <c r="E741" s="1264"/>
      <c r="F741" s="1118"/>
      <c r="G741" s="1118"/>
      <c r="H741" s="1118"/>
      <c r="I741" s="1118"/>
      <c r="J741" s="1118"/>
      <c r="K741" s="1118"/>
      <c r="L741" s="1118"/>
      <c r="M741" s="1118"/>
      <c r="N741" s="1118"/>
      <c r="O741" s="1118"/>
      <c r="P741" s="1118"/>
      <c r="Q741" s="1111"/>
      <c r="R741" s="1111"/>
      <c r="S741" s="1111"/>
      <c r="T741" s="1111"/>
      <c r="U741" s="1111"/>
      <c r="V741" s="1111"/>
      <c r="W741" s="1111"/>
      <c r="X741" s="1111"/>
      <c r="Y741" s="1111"/>
      <c r="Z741" s="1111"/>
      <c r="AA741" s="1111"/>
      <c r="AB741" s="1111"/>
      <c r="AC741" s="1111"/>
      <c r="AD741" s="1111"/>
      <c r="AE741" s="1111"/>
      <c r="AF741" s="1111"/>
      <c r="AG741" s="1111"/>
    </row>
    <row r="742" spans="1:33" s="1295" customFormat="1">
      <c r="A742" s="1264"/>
      <c r="D742" s="1118"/>
      <c r="E742" s="1264"/>
      <c r="F742" s="1118"/>
      <c r="G742" s="1118"/>
      <c r="H742" s="1118"/>
      <c r="I742" s="1118"/>
      <c r="J742" s="1118"/>
      <c r="K742" s="1118"/>
      <c r="L742" s="1118"/>
      <c r="M742" s="1118"/>
      <c r="N742" s="1118"/>
      <c r="O742" s="1118"/>
      <c r="P742" s="1118"/>
      <c r="Q742" s="1111"/>
      <c r="R742" s="1111"/>
      <c r="S742" s="1111"/>
      <c r="T742" s="1111"/>
      <c r="U742" s="1111"/>
      <c r="V742" s="1111"/>
      <c r="W742" s="1111"/>
      <c r="X742" s="1111"/>
      <c r="Y742" s="1111"/>
      <c r="Z742" s="1111"/>
      <c r="AA742" s="1111"/>
      <c r="AB742" s="1111"/>
      <c r="AC742" s="1111"/>
      <c r="AD742" s="1111"/>
      <c r="AE742" s="1111"/>
      <c r="AF742" s="1111"/>
      <c r="AG742" s="1111"/>
    </row>
    <row r="743" spans="1:33" s="1295" customFormat="1">
      <c r="A743" s="1264"/>
      <c r="D743" s="1118"/>
      <c r="E743" s="1264"/>
      <c r="F743" s="1118"/>
      <c r="G743" s="1118"/>
      <c r="H743" s="1118"/>
      <c r="I743" s="1118"/>
      <c r="J743" s="1118"/>
      <c r="K743" s="1118"/>
      <c r="L743" s="1118"/>
      <c r="M743" s="1118"/>
      <c r="N743" s="1118"/>
      <c r="O743" s="1118"/>
      <c r="P743" s="1118"/>
      <c r="Q743" s="1111"/>
      <c r="R743" s="1111"/>
      <c r="S743" s="1111"/>
      <c r="T743" s="1111"/>
      <c r="U743" s="1111"/>
      <c r="V743" s="1111"/>
      <c r="W743" s="1111"/>
      <c r="X743" s="1111"/>
      <c r="Y743" s="1111"/>
      <c r="Z743" s="1111"/>
      <c r="AA743" s="1111"/>
      <c r="AB743" s="1111"/>
      <c r="AC743" s="1111"/>
      <c r="AD743" s="1111"/>
      <c r="AE743" s="1111"/>
      <c r="AF743" s="1111"/>
      <c r="AG743" s="1111"/>
    </row>
    <row r="744" spans="1:33" s="1295" customFormat="1">
      <c r="A744" s="1264"/>
      <c r="D744" s="1118"/>
      <c r="E744" s="1264"/>
      <c r="F744" s="1118"/>
      <c r="G744" s="1118"/>
      <c r="H744" s="1118"/>
      <c r="I744" s="1118"/>
      <c r="J744" s="1118"/>
      <c r="K744" s="1118"/>
      <c r="L744" s="1118"/>
      <c r="M744" s="1118"/>
      <c r="N744" s="1118"/>
      <c r="O744" s="1118"/>
      <c r="P744" s="1118"/>
      <c r="Q744" s="1111"/>
      <c r="R744" s="1111"/>
      <c r="S744" s="1111"/>
      <c r="T744" s="1111"/>
      <c r="U744" s="1111"/>
      <c r="V744" s="1111"/>
      <c r="W744" s="1111"/>
      <c r="X744" s="1111"/>
      <c r="Y744" s="1111"/>
      <c r="Z744" s="1111"/>
      <c r="AA744" s="1111"/>
      <c r="AB744" s="1111"/>
      <c r="AC744" s="1111"/>
      <c r="AD744" s="1111"/>
      <c r="AE744" s="1111"/>
      <c r="AF744" s="1111"/>
      <c r="AG744" s="1111"/>
    </row>
    <row r="745" spans="1:33" s="1295" customFormat="1">
      <c r="A745" s="1264"/>
      <c r="D745" s="1118"/>
      <c r="E745" s="1264"/>
      <c r="F745" s="1118"/>
      <c r="G745" s="1118"/>
      <c r="H745" s="1118"/>
      <c r="I745" s="1118"/>
      <c r="J745" s="1118"/>
      <c r="K745" s="1118"/>
      <c r="L745" s="1118"/>
      <c r="M745" s="1118"/>
      <c r="N745" s="1118"/>
      <c r="O745" s="1118"/>
      <c r="P745" s="1118"/>
      <c r="Q745" s="1111"/>
      <c r="R745" s="1111"/>
      <c r="S745" s="1111"/>
      <c r="T745" s="1111"/>
      <c r="U745" s="1111"/>
      <c r="V745" s="1111"/>
      <c r="W745" s="1111"/>
      <c r="X745" s="1111"/>
      <c r="Y745" s="1111"/>
      <c r="Z745" s="1111"/>
      <c r="AA745" s="1111"/>
      <c r="AB745" s="1111"/>
      <c r="AC745" s="1111"/>
      <c r="AD745" s="1111"/>
      <c r="AE745" s="1111"/>
      <c r="AF745" s="1111"/>
      <c r="AG745" s="1111"/>
    </row>
    <row r="746" spans="1:33" s="1295" customFormat="1">
      <c r="A746" s="1264"/>
      <c r="D746" s="1118"/>
      <c r="E746" s="1264"/>
      <c r="F746" s="1118"/>
      <c r="G746" s="1118"/>
      <c r="H746" s="1118"/>
      <c r="I746" s="1118"/>
      <c r="J746" s="1118"/>
      <c r="K746" s="1118"/>
      <c r="L746" s="1118"/>
      <c r="M746" s="1118"/>
      <c r="N746" s="1118"/>
      <c r="O746" s="1118"/>
      <c r="P746" s="1118"/>
      <c r="Q746" s="1111"/>
      <c r="R746" s="1111"/>
      <c r="S746" s="1111"/>
      <c r="T746" s="1111"/>
      <c r="U746" s="1111"/>
      <c r="V746" s="1111"/>
      <c r="W746" s="1111"/>
      <c r="X746" s="1111"/>
      <c r="Y746" s="1111"/>
      <c r="Z746" s="1111"/>
      <c r="AA746" s="1111"/>
      <c r="AB746" s="1111"/>
      <c r="AC746" s="1111"/>
      <c r="AD746" s="1111"/>
      <c r="AE746" s="1111"/>
      <c r="AF746" s="1111"/>
      <c r="AG746" s="1111"/>
    </row>
    <row r="747" spans="1:33" s="1295" customFormat="1">
      <c r="A747" s="1264"/>
      <c r="D747" s="1118"/>
      <c r="E747" s="1264"/>
      <c r="F747" s="1118"/>
      <c r="G747" s="1118"/>
      <c r="H747" s="1118"/>
      <c r="I747" s="1118"/>
      <c r="J747" s="1118"/>
      <c r="K747" s="1118"/>
      <c r="L747" s="1118"/>
      <c r="M747" s="1118"/>
      <c r="N747" s="1118"/>
      <c r="O747" s="1118"/>
      <c r="P747" s="1118"/>
      <c r="Q747" s="1111"/>
      <c r="R747" s="1111"/>
      <c r="S747" s="1111"/>
      <c r="T747" s="1111"/>
      <c r="U747" s="1111"/>
      <c r="V747" s="1111"/>
      <c r="W747" s="1111"/>
      <c r="X747" s="1111"/>
      <c r="Y747" s="1111"/>
      <c r="Z747" s="1111"/>
      <c r="AA747" s="1111"/>
      <c r="AB747" s="1111"/>
      <c r="AC747" s="1111"/>
      <c r="AD747" s="1111"/>
      <c r="AE747" s="1111"/>
      <c r="AF747" s="1111"/>
      <c r="AG747" s="1111"/>
    </row>
    <row r="748" spans="1:33" s="1295" customFormat="1">
      <c r="A748" s="1264"/>
      <c r="D748" s="1118"/>
      <c r="E748" s="1264"/>
      <c r="F748" s="1118"/>
      <c r="G748" s="1118"/>
      <c r="H748" s="1118"/>
      <c r="I748" s="1118"/>
      <c r="J748" s="1118"/>
      <c r="K748" s="1118"/>
      <c r="L748" s="1118"/>
      <c r="M748" s="1118"/>
      <c r="N748" s="1118"/>
      <c r="O748" s="1118"/>
      <c r="P748" s="1118"/>
      <c r="Q748" s="1111"/>
      <c r="R748" s="1111"/>
      <c r="S748" s="1111"/>
      <c r="T748" s="1111"/>
      <c r="U748" s="1111"/>
      <c r="V748" s="1111"/>
      <c r="W748" s="1111"/>
      <c r="X748" s="1111"/>
      <c r="Y748" s="1111"/>
      <c r="Z748" s="1111"/>
      <c r="AA748" s="1111"/>
      <c r="AB748" s="1111"/>
      <c r="AC748" s="1111"/>
      <c r="AD748" s="1111"/>
      <c r="AE748" s="1111"/>
      <c r="AF748" s="1111"/>
      <c r="AG748" s="1111"/>
    </row>
    <row r="749" spans="1:33" s="1295" customFormat="1">
      <c r="A749" s="1264"/>
      <c r="D749" s="1118"/>
      <c r="E749" s="1264"/>
      <c r="F749" s="1118"/>
      <c r="G749" s="1118"/>
      <c r="H749" s="1118"/>
      <c r="I749" s="1118"/>
      <c r="J749" s="1118"/>
      <c r="K749" s="1118"/>
      <c r="L749" s="1118"/>
      <c r="M749" s="1118"/>
      <c r="N749" s="1118"/>
      <c r="O749" s="1118"/>
      <c r="P749" s="1118"/>
      <c r="Q749" s="1111"/>
      <c r="R749" s="1111"/>
      <c r="S749" s="1111"/>
      <c r="T749" s="1111"/>
      <c r="U749" s="1111"/>
      <c r="V749" s="1111"/>
      <c r="W749" s="1111"/>
      <c r="X749" s="1111"/>
      <c r="Y749" s="1111"/>
      <c r="Z749" s="1111"/>
      <c r="AA749" s="1111"/>
      <c r="AB749" s="1111"/>
      <c r="AC749" s="1111"/>
      <c r="AD749" s="1111"/>
      <c r="AE749" s="1111"/>
      <c r="AF749" s="1111"/>
      <c r="AG749" s="1111"/>
    </row>
    <row r="750" spans="1:33" s="1295" customFormat="1">
      <c r="A750" s="1264"/>
      <c r="D750" s="1118"/>
      <c r="E750" s="1264"/>
      <c r="F750" s="1118"/>
      <c r="G750" s="1118"/>
      <c r="H750" s="1118"/>
      <c r="I750" s="1118"/>
      <c r="J750" s="1118"/>
      <c r="K750" s="1118"/>
      <c r="L750" s="1118"/>
      <c r="M750" s="1118"/>
      <c r="N750" s="1118"/>
      <c r="O750" s="1118"/>
      <c r="P750" s="1118"/>
      <c r="Q750" s="1111"/>
      <c r="R750" s="1111"/>
      <c r="S750" s="1111"/>
      <c r="T750" s="1111"/>
      <c r="U750" s="1111"/>
      <c r="V750" s="1111"/>
      <c r="W750" s="1111"/>
      <c r="X750" s="1111"/>
      <c r="Y750" s="1111"/>
      <c r="Z750" s="1111"/>
      <c r="AA750" s="1111"/>
      <c r="AB750" s="1111"/>
      <c r="AC750" s="1111"/>
      <c r="AD750" s="1111"/>
      <c r="AE750" s="1111"/>
      <c r="AF750" s="1111"/>
      <c r="AG750" s="1111"/>
    </row>
    <row r="751" spans="1:33" s="1295" customFormat="1">
      <c r="A751" s="1264"/>
      <c r="D751" s="1118"/>
      <c r="E751" s="1264"/>
      <c r="F751" s="1118"/>
      <c r="G751" s="1118"/>
      <c r="H751" s="1118"/>
      <c r="I751" s="1118"/>
      <c r="J751" s="1118"/>
      <c r="K751" s="1118"/>
      <c r="L751" s="1118"/>
      <c r="M751" s="1118"/>
      <c r="N751" s="1118"/>
      <c r="O751" s="1118"/>
      <c r="P751" s="1118"/>
      <c r="Q751" s="1111"/>
      <c r="R751" s="1111"/>
      <c r="S751" s="1111"/>
      <c r="T751" s="1111"/>
      <c r="U751" s="1111"/>
      <c r="V751" s="1111"/>
      <c r="W751" s="1111"/>
      <c r="X751" s="1111"/>
      <c r="Y751" s="1111"/>
      <c r="Z751" s="1111"/>
      <c r="AA751" s="1111"/>
      <c r="AB751" s="1111"/>
      <c r="AC751" s="1111"/>
      <c r="AD751" s="1111"/>
      <c r="AE751" s="1111"/>
      <c r="AF751" s="1111"/>
      <c r="AG751" s="1111"/>
    </row>
    <row r="752" spans="1:33" s="1295" customFormat="1">
      <c r="A752" s="1264"/>
      <c r="D752" s="1118"/>
      <c r="E752" s="1264"/>
      <c r="F752" s="1118"/>
      <c r="G752" s="1118"/>
      <c r="H752" s="1118"/>
      <c r="I752" s="1118"/>
      <c r="J752" s="1118"/>
      <c r="K752" s="1118"/>
      <c r="L752" s="1118"/>
      <c r="M752" s="1118"/>
      <c r="N752" s="1118"/>
      <c r="O752" s="1118"/>
      <c r="P752" s="1118"/>
      <c r="Q752" s="1111"/>
      <c r="R752" s="1111"/>
      <c r="S752" s="1111"/>
      <c r="T752" s="1111"/>
      <c r="U752" s="1111"/>
      <c r="V752" s="1111"/>
      <c r="W752" s="1111"/>
      <c r="X752" s="1111"/>
      <c r="Y752" s="1111"/>
      <c r="Z752" s="1111"/>
      <c r="AA752" s="1111"/>
      <c r="AB752" s="1111"/>
      <c r="AC752" s="1111"/>
      <c r="AD752" s="1111"/>
      <c r="AE752" s="1111"/>
      <c r="AF752" s="1111"/>
      <c r="AG752" s="1111"/>
    </row>
    <row r="753" spans="1:33" s="1295" customFormat="1">
      <c r="A753" s="1264"/>
      <c r="D753" s="1118"/>
      <c r="E753" s="1264"/>
      <c r="F753" s="1118"/>
      <c r="G753" s="1118"/>
      <c r="H753" s="1118"/>
      <c r="I753" s="1118"/>
      <c r="J753" s="1118"/>
      <c r="K753" s="1118"/>
      <c r="L753" s="1118"/>
      <c r="M753" s="1118"/>
      <c r="N753" s="1118"/>
      <c r="O753" s="1118"/>
      <c r="P753" s="1118"/>
      <c r="Q753" s="1111"/>
      <c r="R753" s="1111"/>
      <c r="S753" s="1111"/>
      <c r="T753" s="1111"/>
      <c r="U753" s="1111"/>
      <c r="V753" s="1111"/>
      <c r="W753" s="1111"/>
      <c r="X753" s="1111"/>
      <c r="Y753" s="1111"/>
      <c r="Z753" s="1111"/>
      <c r="AA753" s="1111"/>
      <c r="AB753" s="1111"/>
      <c r="AC753" s="1111"/>
      <c r="AD753" s="1111"/>
      <c r="AE753" s="1111"/>
      <c r="AF753" s="1111"/>
      <c r="AG753" s="1111"/>
    </row>
    <row r="754" spans="1:33" s="1295" customFormat="1">
      <c r="A754" s="1264"/>
      <c r="D754" s="1118"/>
      <c r="E754" s="1264"/>
      <c r="F754" s="1118"/>
      <c r="G754" s="1118"/>
      <c r="H754" s="1118"/>
      <c r="I754" s="1118"/>
      <c r="J754" s="1118"/>
      <c r="K754" s="1118"/>
      <c r="L754" s="1118"/>
      <c r="M754" s="1118"/>
      <c r="N754" s="1118"/>
      <c r="O754" s="1118"/>
      <c r="P754" s="1118"/>
      <c r="Q754" s="1111"/>
      <c r="R754" s="1111"/>
      <c r="S754" s="1111"/>
      <c r="T754" s="1111"/>
      <c r="U754" s="1111"/>
      <c r="V754" s="1111"/>
      <c r="W754" s="1111"/>
      <c r="X754" s="1111"/>
      <c r="Y754" s="1111"/>
      <c r="Z754" s="1111"/>
      <c r="AA754" s="1111"/>
      <c r="AB754" s="1111"/>
      <c r="AC754" s="1111"/>
      <c r="AD754" s="1111"/>
      <c r="AE754" s="1111"/>
      <c r="AF754" s="1111"/>
      <c r="AG754" s="1111"/>
    </row>
    <row r="755" spans="1:33" s="1295" customFormat="1">
      <c r="A755" s="1264"/>
      <c r="D755" s="1118"/>
      <c r="E755" s="1264"/>
      <c r="F755" s="1118"/>
      <c r="G755" s="1118"/>
      <c r="H755" s="1118"/>
      <c r="I755" s="1118"/>
      <c r="J755" s="1118"/>
      <c r="K755" s="1118"/>
      <c r="L755" s="1118"/>
      <c r="M755" s="1118"/>
      <c r="N755" s="1118"/>
      <c r="O755" s="1118"/>
      <c r="P755" s="1118"/>
      <c r="Q755" s="1111"/>
      <c r="R755" s="1111"/>
      <c r="S755" s="1111"/>
      <c r="T755" s="1111"/>
      <c r="U755" s="1111"/>
      <c r="V755" s="1111"/>
      <c r="W755" s="1111"/>
      <c r="X755" s="1111"/>
      <c r="Y755" s="1111"/>
      <c r="Z755" s="1111"/>
      <c r="AA755" s="1111"/>
      <c r="AB755" s="1111"/>
      <c r="AC755" s="1111"/>
      <c r="AD755" s="1111"/>
      <c r="AE755" s="1111"/>
      <c r="AF755" s="1111"/>
      <c r="AG755" s="1111"/>
    </row>
    <row r="756" spans="1:33" s="1295" customFormat="1">
      <c r="A756" s="1264"/>
      <c r="D756" s="1118"/>
      <c r="E756" s="1264"/>
      <c r="F756" s="1118"/>
      <c r="G756" s="1118"/>
      <c r="H756" s="1118"/>
      <c r="I756" s="1118"/>
      <c r="J756" s="1118"/>
      <c r="K756" s="1118"/>
      <c r="L756" s="1118"/>
      <c r="M756" s="1118"/>
      <c r="N756" s="1118"/>
      <c r="O756" s="1118"/>
      <c r="P756" s="1118"/>
      <c r="Q756" s="1111"/>
      <c r="R756" s="1111"/>
      <c r="S756" s="1111"/>
      <c r="T756" s="1111"/>
      <c r="U756" s="1111"/>
      <c r="V756" s="1111"/>
      <c r="W756" s="1111"/>
      <c r="X756" s="1111"/>
      <c r="Y756" s="1111"/>
      <c r="Z756" s="1111"/>
      <c r="AA756" s="1111"/>
      <c r="AB756" s="1111"/>
      <c r="AC756" s="1111"/>
      <c r="AD756" s="1111"/>
      <c r="AE756" s="1111"/>
      <c r="AF756" s="1111"/>
      <c r="AG756" s="1111"/>
    </row>
    <row r="757" spans="1:33" s="1295" customFormat="1">
      <c r="A757" s="1264"/>
      <c r="D757" s="1118"/>
      <c r="E757" s="1264"/>
      <c r="F757" s="1118"/>
      <c r="G757" s="1118"/>
      <c r="H757" s="1118"/>
      <c r="I757" s="1118"/>
      <c r="J757" s="1118"/>
      <c r="K757" s="1118"/>
      <c r="L757" s="1118"/>
      <c r="M757" s="1118"/>
      <c r="N757" s="1118"/>
      <c r="O757" s="1118"/>
      <c r="P757" s="1118"/>
      <c r="Q757" s="1111"/>
      <c r="R757" s="1111"/>
      <c r="S757" s="1111"/>
      <c r="T757" s="1111"/>
      <c r="U757" s="1111"/>
      <c r="V757" s="1111"/>
      <c r="W757" s="1111"/>
      <c r="X757" s="1111"/>
      <c r="Y757" s="1111"/>
      <c r="Z757" s="1111"/>
      <c r="AA757" s="1111"/>
      <c r="AB757" s="1111"/>
      <c r="AC757" s="1111"/>
      <c r="AD757" s="1111"/>
      <c r="AE757" s="1111"/>
      <c r="AF757" s="1111"/>
      <c r="AG757" s="1111"/>
    </row>
    <row r="758" spans="1:33" s="1295" customFormat="1">
      <c r="A758" s="1264"/>
      <c r="D758" s="1118"/>
      <c r="E758" s="1264"/>
      <c r="F758" s="1118"/>
      <c r="G758" s="1118"/>
      <c r="H758" s="1118"/>
      <c r="I758" s="1118"/>
      <c r="J758" s="1118"/>
      <c r="K758" s="1118"/>
      <c r="L758" s="1118"/>
      <c r="M758" s="1118"/>
      <c r="N758" s="1118"/>
      <c r="O758" s="1118"/>
      <c r="P758" s="1118"/>
      <c r="Q758" s="1111"/>
      <c r="R758" s="1111"/>
      <c r="S758" s="1111"/>
      <c r="T758" s="1111"/>
      <c r="U758" s="1111"/>
      <c r="V758" s="1111"/>
      <c r="W758" s="1111"/>
      <c r="X758" s="1111"/>
      <c r="Y758" s="1111"/>
      <c r="Z758" s="1111"/>
      <c r="AA758" s="1111"/>
      <c r="AB758" s="1111"/>
      <c r="AC758" s="1111"/>
      <c r="AD758" s="1111"/>
      <c r="AE758" s="1111"/>
      <c r="AF758" s="1111"/>
      <c r="AG758" s="1111"/>
    </row>
    <row r="759" spans="1:33" s="1295" customFormat="1">
      <c r="A759" s="1264"/>
      <c r="D759" s="1118"/>
      <c r="E759" s="1264"/>
      <c r="F759" s="1118"/>
      <c r="G759" s="1118"/>
      <c r="H759" s="1118"/>
      <c r="I759" s="1118"/>
      <c r="J759" s="1118"/>
      <c r="K759" s="1118"/>
      <c r="L759" s="1118"/>
      <c r="M759" s="1118"/>
      <c r="N759" s="1118"/>
      <c r="O759" s="1118"/>
      <c r="P759" s="1118"/>
      <c r="Q759" s="1111"/>
      <c r="R759" s="1111"/>
      <c r="S759" s="1111"/>
      <c r="T759" s="1111"/>
      <c r="U759" s="1111"/>
      <c r="V759" s="1111"/>
      <c r="W759" s="1111"/>
      <c r="X759" s="1111"/>
      <c r="Y759" s="1111"/>
      <c r="Z759" s="1111"/>
      <c r="AA759" s="1111"/>
      <c r="AB759" s="1111"/>
      <c r="AC759" s="1111"/>
      <c r="AD759" s="1111"/>
      <c r="AE759" s="1111"/>
      <c r="AF759" s="1111"/>
      <c r="AG759" s="1111"/>
    </row>
    <row r="760" spans="1:33" s="1295" customFormat="1">
      <c r="A760" s="1264"/>
      <c r="D760" s="1118"/>
      <c r="E760" s="1264"/>
      <c r="F760" s="1118"/>
      <c r="G760" s="1118"/>
      <c r="H760" s="1118"/>
      <c r="I760" s="1118"/>
      <c r="J760" s="1118"/>
      <c r="K760" s="1118"/>
      <c r="L760" s="1118"/>
      <c r="M760" s="1118"/>
      <c r="N760" s="1118"/>
      <c r="O760" s="1118"/>
      <c r="P760" s="1118"/>
      <c r="Q760" s="1111"/>
      <c r="R760" s="1111"/>
      <c r="S760" s="1111"/>
      <c r="T760" s="1111"/>
      <c r="U760" s="1111"/>
      <c r="V760" s="1111"/>
      <c r="W760" s="1111"/>
      <c r="X760" s="1111"/>
      <c r="Y760" s="1111"/>
      <c r="Z760" s="1111"/>
      <c r="AA760" s="1111"/>
      <c r="AB760" s="1111"/>
      <c r="AC760" s="1111"/>
      <c r="AD760" s="1111"/>
      <c r="AE760" s="1111"/>
      <c r="AF760" s="1111"/>
      <c r="AG760" s="1111"/>
    </row>
    <row r="761" spans="1:33" s="1295" customFormat="1">
      <c r="A761" s="1264"/>
      <c r="D761" s="1118"/>
      <c r="E761" s="1264"/>
      <c r="F761" s="1118"/>
      <c r="G761" s="1118"/>
      <c r="H761" s="1118"/>
      <c r="I761" s="1118"/>
      <c r="J761" s="1118"/>
      <c r="K761" s="1118"/>
      <c r="L761" s="1118"/>
      <c r="M761" s="1118"/>
      <c r="N761" s="1118"/>
      <c r="O761" s="1118"/>
      <c r="P761" s="1118"/>
      <c r="Q761" s="1111"/>
      <c r="R761" s="1111"/>
      <c r="S761" s="1111"/>
      <c r="T761" s="1111"/>
      <c r="U761" s="1111"/>
      <c r="V761" s="1111"/>
      <c r="W761" s="1111"/>
      <c r="X761" s="1111"/>
      <c r="Y761" s="1111"/>
      <c r="Z761" s="1111"/>
      <c r="AA761" s="1111"/>
      <c r="AB761" s="1111"/>
      <c r="AC761" s="1111"/>
      <c r="AD761" s="1111"/>
      <c r="AE761" s="1111"/>
      <c r="AF761" s="1111"/>
      <c r="AG761" s="1111"/>
    </row>
    <row r="762" spans="1:33" s="1295" customFormat="1">
      <c r="A762" s="1264"/>
      <c r="D762" s="1118"/>
      <c r="E762" s="1264"/>
      <c r="F762" s="1118"/>
      <c r="G762" s="1118"/>
      <c r="H762" s="1118"/>
      <c r="I762" s="1118"/>
      <c r="J762" s="1118"/>
      <c r="K762" s="1118"/>
      <c r="L762" s="1118"/>
      <c r="M762" s="1118"/>
      <c r="N762" s="1118"/>
      <c r="O762" s="1118"/>
      <c r="P762" s="1118"/>
      <c r="Q762" s="1111"/>
      <c r="R762" s="1111"/>
      <c r="S762" s="1111"/>
      <c r="T762" s="1111"/>
      <c r="U762" s="1111"/>
      <c r="V762" s="1111"/>
      <c r="W762" s="1111"/>
      <c r="X762" s="1111"/>
      <c r="Y762" s="1111"/>
      <c r="Z762" s="1111"/>
      <c r="AA762" s="1111"/>
      <c r="AB762" s="1111"/>
      <c r="AC762" s="1111"/>
      <c r="AD762" s="1111"/>
      <c r="AE762" s="1111"/>
      <c r="AF762" s="1111"/>
      <c r="AG762" s="1111"/>
    </row>
    <row r="763" spans="1:33" s="1295" customFormat="1">
      <c r="A763" s="1264"/>
      <c r="D763" s="1118"/>
      <c r="E763" s="1264"/>
      <c r="F763" s="1118"/>
      <c r="G763" s="1118"/>
      <c r="H763" s="1118"/>
      <c r="I763" s="1118"/>
      <c r="J763" s="1118"/>
      <c r="K763" s="1118"/>
      <c r="L763" s="1118"/>
      <c r="M763" s="1118"/>
      <c r="N763" s="1118"/>
      <c r="O763" s="1118"/>
      <c r="P763" s="1118"/>
      <c r="Q763" s="1111"/>
      <c r="R763" s="1111"/>
      <c r="S763" s="1111"/>
      <c r="T763" s="1111"/>
      <c r="U763" s="1111"/>
      <c r="V763" s="1111"/>
      <c r="W763" s="1111"/>
      <c r="X763" s="1111"/>
      <c r="Y763" s="1111"/>
      <c r="Z763" s="1111"/>
      <c r="AA763" s="1111"/>
      <c r="AB763" s="1111"/>
      <c r="AC763" s="1111"/>
      <c r="AD763" s="1111"/>
      <c r="AE763" s="1111"/>
      <c r="AF763" s="1111"/>
      <c r="AG763" s="1111"/>
    </row>
    <row r="764" spans="1:33" s="1295" customFormat="1">
      <c r="A764" s="1264"/>
      <c r="D764" s="1118"/>
      <c r="E764" s="1264"/>
      <c r="F764" s="1118"/>
      <c r="G764" s="1118"/>
      <c r="H764" s="1118"/>
      <c r="I764" s="1118"/>
      <c r="J764" s="1118"/>
      <c r="K764" s="1118"/>
      <c r="L764" s="1118"/>
      <c r="M764" s="1118"/>
      <c r="N764" s="1118"/>
      <c r="O764" s="1118"/>
      <c r="P764" s="1118"/>
      <c r="Q764" s="1111"/>
      <c r="R764" s="1111"/>
      <c r="S764" s="1111"/>
      <c r="T764" s="1111"/>
      <c r="U764" s="1111"/>
      <c r="V764" s="1111"/>
      <c r="W764" s="1111"/>
      <c r="X764" s="1111"/>
      <c r="Y764" s="1111"/>
      <c r="Z764" s="1111"/>
      <c r="AA764" s="1111"/>
      <c r="AB764" s="1111"/>
      <c r="AC764" s="1111"/>
      <c r="AD764" s="1111"/>
      <c r="AE764" s="1111"/>
      <c r="AF764" s="1111"/>
      <c r="AG764" s="1111"/>
    </row>
    <row r="765" spans="1:33" s="1295" customFormat="1">
      <c r="A765" s="1264"/>
      <c r="D765" s="1118"/>
      <c r="E765" s="1264"/>
      <c r="F765" s="1118"/>
      <c r="G765" s="1118"/>
      <c r="H765" s="1118"/>
      <c r="I765" s="1118"/>
      <c r="J765" s="1118"/>
      <c r="K765" s="1118"/>
      <c r="L765" s="1118"/>
      <c r="M765" s="1118"/>
      <c r="N765" s="1118"/>
      <c r="O765" s="1118"/>
      <c r="P765" s="1118"/>
      <c r="Q765" s="1111"/>
      <c r="R765" s="1111"/>
      <c r="S765" s="1111"/>
      <c r="T765" s="1111"/>
      <c r="U765" s="1111"/>
      <c r="V765" s="1111"/>
      <c r="W765" s="1111"/>
      <c r="X765" s="1111"/>
      <c r="Y765" s="1111"/>
      <c r="Z765" s="1111"/>
      <c r="AA765" s="1111"/>
      <c r="AB765" s="1111"/>
      <c r="AC765" s="1111"/>
      <c r="AD765" s="1111"/>
      <c r="AE765" s="1111"/>
      <c r="AF765" s="1111"/>
      <c r="AG765" s="1111"/>
    </row>
    <row r="766" spans="1:33" s="1295" customFormat="1">
      <c r="A766" s="1264"/>
      <c r="D766" s="1118"/>
      <c r="E766" s="1264"/>
      <c r="F766" s="1118"/>
      <c r="G766" s="1118"/>
      <c r="H766" s="1118"/>
      <c r="I766" s="1118"/>
      <c r="J766" s="1118"/>
      <c r="K766" s="1118"/>
      <c r="L766" s="1118"/>
      <c r="M766" s="1118"/>
      <c r="N766" s="1118"/>
      <c r="O766" s="1118"/>
      <c r="P766" s="1118"/>
      <c r="Q766" s="1111"/>
      <c r="R766" s="1111"/>
      <c r="S766" s="1111"/>
      <c r="T766" s="1111"/>
      <c r="U766" s="1111"/>
      <c r="V766" s="1111"/>
      <c r="W766" s="1111"/>
      <c r="X766" s="1111"/>
      <c r="Y766" s="1111"/>
      <c r="Z766" s="1111"/>
      <c r="AA766" s="1111"/>
      <c r="AB766" s="1111"/>
      <c r="AC766" s="1111"/>
      <c r="AD766" s="1111"/>
      <c r="AE766" s="1111"/>
      <c r="AF766" s="1111"/>
      <c r="AG766" s="1111"/>
    </row>
    <row r="767" spans="1:33" s="1295" customFormat="1">
      <c r="A767" s="1264"/>
      <c r="D767" s="1118"/>
      <c r="E767" s="1264"/>
      <c r="F767" s="1118"/>
      <c r="G767" s="1118"/>
      <c r="H767" s="1118"/>
      <c r="I767" s="1118"/>
      <c r="J767" s="1118"/>
      <c r="K767" s="1118"/>
      <c r="L767" s="1118"/>
      <c r="M767" s="1118"/>
      <c r="N767" s="1118"/>
      <c r="O767" s="1118"/>
      <c r="P767" s="1118"/>
      <c r="Q767" s="1111"/>
      <c r="R767" s="1111"/>
      <c r="S767" s="1111"/>
      <c r="T767" s="1111"/>
      <c r="U767" s="1111"/>
      <c r="V767" s="1111"/>
      <c r="W767" s="1111"/>
      <c r="X767" s="1111"/>
      <c r="Y767" s="1111"/>
      <c r="Z767" s="1111"/>
      <c r="AA767" s="1111"/>
      <c r="AB767" s="1111"/>
      <c r="AC767" s="1111"/>
      <c r="AD767" s="1111"/>
      <c r="AE767" s="1111"/>
      <c r="AF767" s="1111"/>
      <c r="AG767" s="1111"/>
    </row>
    <row r="768" spans="1:33" s="1295" customFormat="1">
      <c r="A768" s="1264"/>
      <c r="D768" s="1118"/>
      <c r="E768" s="1264"/>
      <c r="F768" s="1118"/>
      <c r="G768" s="1118"/>
      <c r="H768" s="1118"/>
      <c r="I768" s="1118"/>
      <c r="J768" s="1118"/>
      <c r="K768" s="1118"/>
      <c r="L768" s="1118"/>
      <c r="M768" s="1118"/>
      <c r="N768" s="1118"/>
      <c r="O768" s="1118"/>
      <c r="P768" s="1118"/>
      <c r="Q768" s="1111"/>
      <c r="R768" s="1111"/>
      <c r="S768" s="1111"/>
      <c r="T768" s="1111"/>
      <c r="U768" s="1111"/>
      <c r="V768" s="1111"/>
      <c r="W768" s="1111"/>
      <c r="X768" s="1111"/>
      <c r="Y768" s="1111"/>
      <c r="Z768" s="1111"/>
      <c r="AA768" s="1111"/>
      <c r="AB768" s="1111"/>
      <c r="AC768" s="1111"/>
      <c r="AD768" s="1111"/>
      <c r="AE768" s="1111"/>
      <c r="AF768" s="1111"/>
      <c r="AG768" s="1111"/>
    </row>
    <row r="769" spans="1:33" s="1295" customFormat="1">
      <c r="A769" s="1264"/>
      <c r="D769" s="1118"/>
      <c r="E769" s="1264"/>
      <c r="F769" s="1118"/>
      <c r="G769" s="1118"/>
      <c r="H769" s="1118"/>
      <c r="I769" s="1118"/>
      <c r="J769" s="1118"/>
      <c r="K769" s="1118"/>
      <c r="L769" s="1118"/>
      <c r="M769" s="1118"/>
      <c r="N769" s="1118"/>
      <c r="O769" s="1118"/>
      <c r="P769" s="1118"/>
      <c r="Q769" s="1111"/>
      <c r="R769" s="1111"/>
      <c r="S769" s="1111"/>
      <c r="T769" s="1111"/>
      <c r="U769" s="1111"/>
      <c r="V769" s="1111"/>
      <c r="W769" s="1111"/>
      <c r="X769" s="1111"/>
      <c r="Y769" s="1111"/>
      <c r="Z769" s="1111"/>
      <c r="AA769" s="1111"/>
      <c r="AB769" s="1111"/>
      <c r="AC769" s="1111"/>
      <c r="AD769" s="1111"/>
      <c r="AE769" s="1111"/>
      <c r="AF769" s="1111"/>
      <c r="AG769" s="1111"/>
    </row>
    <row r="770" spans="1:33" s="1295" customFormat="1">
      <c r="A770" s="1264"/>
      <c r="D770" s="1118"/>
      <c r="E770" s="1264"/>
      <c r="F770" s="1118"/>
      <c r="G770" s="1118"/>
      <c r="H770" s="1118"/>
      <c r="I770" s="1118"/>
      <c r="J770" s="1118"/>
      <c r="K770" s="1118"/>
      <c r="L770" s="1118"/>
      <c r="M770" s="1118"/>
      <c r="N770" s="1118"/>
      <c r="O770" s="1118"/>
      <c r="P770" s="1118"/>
      <c r="Q770" s="1111"/>
      <c r="R770" s="1111"/>
      <c r="S770" s="1111"/>
      <c r="T770" s="1111"/>
      <c r="U770" s="1111"/>
      <c r="V770" s="1111"/>
      <c r="W770" s="1111"/>
      <c r="X770" s="1111"/>
      <c r="Y770" s="1111"/>
      <c r="Z770" s="1111"/>
      <c r="AA770" s="1111"/>
      <c r="AB770" s="1111"/>
      <c r="AC770" s="1111"/>
      <c r="AD770" s="1111"/>
      <c r="AE770" s="1111"/>
      <c r="AF770" s="1111"/>
      <c r="AG770" s="1111"/>
    </row>
    <row r="771" spans="1:33" s="1295" customFormat="1">
      <c r="A771" s="1264"/>
      <c r="D771" s="1118"/>
      <c r="E771" s="1264"/>
      <c r="F771" s="1118"/>
      <c r="G771" s="1118"/>
      <c r="H771" s="1118"/>
      <c r="I771" s="1118"/>
      <c r="J771" s="1118"/>
      <c r="K771" s="1118"/>
      <c r="L771" s="1118"/>
      <c r="M771" s="1118"/>
      <c r="N771" s="1118"/>
      <c r="O771" s="1118"/>
      <c r="P771" s="1118"/>
      <c r="Q771" s="1111"/>
      <c r="R771" s="1111"/>
      <c r="S771" s="1111"/>
      <c r="T771" s="1111"/>
      <c r="U771" s="1111"/>
      <c r="V771" s="1111"/>
      <c r="W771" s="1111"/>
      <c r="X771" s="1111"/>
      <c r="Y771" s="1111"/>
      <c r="Z771" s="1111"/>
      <c r="AA771" s="1111"/>
      <c r="AB771" s="1111"/>
      <c r="AC771" s="1111"/>
      <c r="AD771" s="1111"/>
      <c r="AE771" s="1111"/>
      <c r="AF771" s="1111"/>
      <c r="AG771" s="1111"/>
    </row>
    <row r="772" spans="1:33" s="1295" customFormat="1">
      <c r="A772" s="1264"/>
      <c r="D772" s="1118"/>
      <c r="E772" s="1264"/>
      <c r="F772" s="1118"/>
      <c r="G772" s="1118"/>
      <c r="H772" s="1118"/>
      <c r="I772" s="1118"/>
      <c r="J772" s="1118"/>
      <c r="K772" s="1118"/>
      <c r="L772" s="1118"/>
      <c r="M772" s="1118"/>
      <c r="N772" s="1118"/>
      <c r="O772" s="1118"/>
      <c r="P772" s="1118"/>
      <c r="Q772" s="1111"/>
      <c r="R772" s="1111"/>
      <c r="S772" s="1111"/>
      <c r="T772" s="1111"/>
      <c r="U772" s="1111"/>
      <c r="V772" s="1111"/>
      <c r="W772" s="1111"/>
      <c r="X772" s="1111"/>
      <c r="Y772" s="1111"/>
      <c r="Z772" s="1111"/>
      <c r="AA772" s="1111"/>
      <c r="AB772" s="1111"/>
      <c r="AC772" s="1111"/>
      <c r="AD772" s="1111"/>
      <c r="AE772" s="1111"/>
      <c r="AF772" s="1111"/>
      <c r="AG772" s="1111"/>
    </row>
    <row r="773" spans="1:33" s="1295" customFormat="1">
      <c r="A773" s="1264"/>
      <c r="D773" s="1118"/>
      <c r="E773" s="1264"/>
      <c r="F773" s="1118"/>
      <c r="G773" s="1118"/>
      <c r="H773" s="1118"/>
      <c r="I773" s="1118"/>
      <c r="J773" s="1118"/>
      <c r="K773" s="1118"/>
      <c r="L773" s="1118"/>
      <c r="M773" s="1118"/>
      <c r="N773" s="1118"/>
      <c r="O773" s="1118"/>
      <c r="P773" s="1118"/>
      <c r="Q773" s="1111"/>
      <c r="R773" s="1111"/>
      <c r="S773" s="1111"/>
      <c r="T773" s="1111"/>
      <c r="U773" s="1111"/>
      <c r="V773" s="1111"/>
      <c r="W773" s="1111"/>
      <c r="X773" s="1111"/>
      <c r="Y773" s="1111"/>
      <c r="Z773" s="1111"/>
      <c r="AA773" s="1111"/>
      <c r="AB773" s="1111"/>
      <c r="AC773" s="1111"/>
      <c r="AD773" s="1111"/>
      <c r="AE773" s="1111"/>
      <c r="AF773" s="1111"/>
      <c r="AG773" s="1111"/>
    </row>
    <row r="774" spans="1:33" s="1295" customFormat="1">
      <c r="A774" s="1264"/>
      <c r="D774" s="1118"/>
      <c r="E774" s="1264"/>
      <c r="F774" s="1118"/>
      <c r="G774" s="1118"/>
      <c r="H774" s="1118"/>
      <c r="I774" s="1118"/>
      <c r="J774" s="1118"/>
      <c r="K774" s="1118"/>
      <c r="L774" s="1118"/>
      <c r="M774" s="1118"/>
      <c r="N774" s="1118"/>
      <c r="O774" s="1118"/>
      <c r="P774" s="1118"/>
      <c r="Q774" s="1111"/>
      <c r="R774" s="1111"/>
      <c r="S774" s="1111"/>
      <c r="T774" s="1111"/>
      <c r="U774" s="1111"/>
      <c r="V774" s="1111"/>
      <c r="W774" s="1111"/>
      <c r="X774" s="1111"/>
      <c r="Y774" s="1111"/>
      <c r="Z774" s="1111"/>
      <c r="AA774" s="1111"/>
      <c r="AB774" s="1111"/>
      <c r="AC774" s="1111"/>
      <c r="AD774" s="1111"/>
      <c r="AE774" s="1111"/>
      <c r="AF774" s="1111"/>
      <c r="AG774" s="1111"/>
    </row>
    <row r="775" spans="1:33" s="1295" customFormat="1">
      <c r="A775" s="1264"/>
      <c r="D775" s="1118"/>
      <c r="E775" s="1264"/>
      <c r="F775" s="1118"/>
      <c r="G775" s="1118"/>
      <c r="H775" s="1118"/>
      <c r="I775" s="1118"/>
      <c r="J775" s="1118"/>
      <c r="K775" s="1118"/>
      <c r="L775" s="1118"/>
      <c r="M775" s="1118"/>
      <c r="N775" s="1118"/>
      <c r="O775" s="1118"/>
      <c r="P775" s="1118"/>
      <c r="Q775" s="1111"/>
      <c r="R775" s="1111"/>
      <c r="S775" s="1111"/>
      <c r="T775" s="1111"/>
      <c r="U775" s="1111"/>
      <c r="V775" s="1111"/>
      <c r="W775" s="1111"/>
      <c r="X775" s="1111"/>
      <c r="Y775" s="1111"/>
      <c r="Z775" s="1111"/>
      <c r="AA775" s="1111"/>
      <c r="AB775" s="1111"/>
      <c r="AC775" s="1111"/>
      <c r="AD775" s="1111"/>
      <c r="AE775" s="1111"/>
      <c r="AF775" s="1111"/>
      <c r="AG775" s="1111"/>
    </row>
    <row r="776" spans="1:33" s="1295" customFormat="1">
      <c r="A776" s="1264"/>
      <c r="D776" s="1118"/>
      <c r="E776" s="1264"/>
      <c r="F776" s="1118"/>
      <c r="G776" s="1118"/>
      <c r="H776" s="1118"/>
      <c r="I776" s="1118"/>
      <c r="J776" s="1118"/>
      <c r="K776" s="1118"/>
      <c r="L776" s="1118"/>
      <c r="M776" s="1118"/>
      <c r="N776" s="1118"/>
      <c r="O776" s="1118"/>
      <c r="P776" s="1118"/>
      <c r="Q776" s="1111"/>
      <c r="R776" s="1111"/>
      <c r="S776" s="1111"/>
      <c r="T776" s="1111"/>
      <c r="U776" s="1111"/>
      <c r="V776" s="1111"/>
      <c r="W776" s="1111"/>
      <c r="X776" s="1111"/>
      <c r="Y776" s="1111"/>
      <c r="Z776" s="1111"/>
      <c r="AA776" s="1111"/>
      <c r="AB776" s="1111"/>
      <c r="AC776" s="1111"/>
      <c r="AD776" s="1111"/>
      <c r="AE776" s="1111"/>
      <c r="AF776" s="1111"/>
      <c r="AG776" s="1111"/>
    </row>
    <row r="777" spans="1:33" s="1295" customFormat="1">
      <c r="A777" s="1264"/>
      <c r="D777" s="1118"/>
      <c r="E777" s="1264"/>
      <c r="F777" s="1118"/>
      <c r="G777" s="1118"/>
      <c r="H777" s="1118"/>
      <c r="I777" s="1118"/>
      <c r="J777" s="1118"/>
      <c r="K777" s="1118"/>
      <c r="L777" s="1118"/>
      <c r="M777" s="1118"/>
      <c r="N777" s="1118"/>
      <c r="O777" s="1118"/>
      <c r="P777" s="1118"/>
      <c r="Q777" s="1111"/>
      <c r="R777" s="1111"/>
      <c r="S777" s="1111"/>
      <c r="T777" s="1111"/>
      <c r="U777" s="1111"/>
      <c r="V777" s="1111"/>
      <c r="W777" s="1111"/>
      <c r="X777" s="1111"/>
      <c r="Y777" s="1111"/>
      <c r="Z777" s="1111"/>
      <c r="AA777" s="1111"/>
      <c r="AB777" s="1111"/>
      <c r="AC777" s="1111"/>
      <c r="AD777" s="1111"/>
      <c r="AE777" s="1111"/>
      <c r="AF777" s="1111"/>
      <c r="AG777" s="1111"/>
    </row>
    <row r="778" spans="1:33" s="1295" customFormat="1">
      <c r="A778" s="1264"/>
      <c r="D778" s="1118"/>
      <c r="E778" s="1264"/>
      <c r="F778" s="1118"/>
      <c r="G778" s="1118"/>
      <c r="H778" s="1118"/>
      <c r="I778" s="1118"/>
      <c r="J778" s="1118"/>
      <c r="K778" s="1118"/>
      <c r="L778" s="1118"/>
      <c r="M778" s="1118"/>
      <c r="N778" s="1118"/>
      <c r="O778" s="1118"/>
      <c r="P778" s="1118"/>
      <c r="Q778" s="1111"/>
      <c r="R778" s="1111"/>
      <c r="S778" s="1111"/>
      <c r="T778" s="1111"/>
      <c r="U778" s="1111"/>
      <c r="V778" s="1111"/>
      <c r="W778" s="1111"/>
      <c r="X778" s="1111"/>
      <c r="Y778" s="1111"/>
      <c r="Z778" s="1111"/>
      <c r="AA778" s="1111"/>
      <c r="AB778" s="1111"/>
      <c r="AC778" s="1111"/>
      <c r="AD778" s="1111"/>
      <c r="AE778" s="1111"/>
      <c r="AF778" s="1111"/>
      <c r="AG778" s="1111"/>
    </row>
    <row r="779" spans="1:33" s="1295" customFormat="1">
      <c r="A779" s="1264"/>
      <c r="D779" s="1118"/>
      <c r="E779" s="1264"/>
      <c r="F779" s="1118"/>
      <c r="G779" s="1118"/>
      <c r="H779" s="1118"/>
      <c r="I779" s="1118"/>
      <c r="J779" s="1118"/>
      <c r="K779" s="1118"/>
      <c r="L779" s="1118"/>
      <c r="M779" s="1118"/>
      <c r="N779" s="1118"/>
      <c r="O779" s="1118"/>
      <c r="P779" s="1118"/>
      <c r="Q779" s="1111"/>
      <c r="R779" s="1111"/>
      <c r="S779" s="1111"/>
      <c r="T779" s="1111"/>
      <c r="U779" s="1111"/>
      <c r="V779" s="1111"/>
      <c r="W779" s="1111"/>
      <c r="X779" s="1111"/>
      <c r="Y779" s="1111"/>
      <c r="Z779" s="1111"/>
      <c r="AA779" s="1111"/>
      <c r="AB779" s="1111"/>
      <c r="AC779" s="1111"/>
      <c r="AD779" s="1111"/>
      <c r="AE779" s="1111"/>
      <c r="AF779" s="1111"/>
      <c r="AG779" s="1111"/>
    </row>
    <row r="780" spans="1:33" s="1295" customFormat="1">
      <c r="A780" s="1264"/>
      <c r="D780" s="1118"/>
      <c r="E780" s="1264"/>
      <c r="F780" s="1118"/>
      <c r="G780" s="1118"/>
      <c r="H780" s="1118"/>
      <c r="I780" s="1118"/>
      <c r="J780" s="1118"/>
      <c r="K780" s="1118"/>
      <c r="L780" s="1118"/>
      <c r="M780" s="1118"/>
      <c r="N780" s="1118"/>
      <c r="O780" s="1118"/>
      <c r="P780" s="1118"/>
      <c r="Q780" s="1111"/>
      <c r="R780" s="1111"/>
      <c r="S780" s="1111"/>
      <c r="T780" s="1111"/>
      <c r="U780" s="1111"/>
      <c r="V780" s="1111"/>
      <c r="W780" s="1111"/>
      <c r="X780" s="1111"/>
      <c r="Y780" s="1111"/>
      <c r="Z780" s="1111"/>
      <c r="AA780" s="1111"/>
      <c r="AB780" s="1111"/>
      <c r="AC780" s="1111"/>
      <c r="AD780" s="1111"/>
      <c r="AE780" s="1111"/>
      <c r="AF780" s="1111"/>
      <c r="AG780" s="1111"/>
    </row>
    <row r="781" spans="1:33" s="1295" customFormat="1">
      <c r="A781" s="1264"/>
      <c r="D781" s="1118"/>
      <c r="E781" s="1264"/>
      <c r="F781" s="1118"/>
      <c r="G781" s="1118"/>
      <c r="H781" s="1118"/>
      <c r="I781" s="1118"/>
      <c r="J781" s="1118"/>
      <c r="K781" s="1118"/>
      <c r="L781" s="1118"/>
      <c r="M781" s="1118"/>
      <c r="N781" s="1118"/>
      <c r="O781" s="1118"/>
      <c r="P781" s="1118"/>
      <c r="Q781" s="1111"/>
      <c r="R781" s="1111"/>
      <c r="S781" s="1111"/>
      <c r="T781" s="1111"/>
      <c r="U781" s="1111"/>
      <c r="V781" s="1111"/>
      <c r="W781" s="1111"/>
      <c r="X781" s="1111"/>
      <c r="Y781" s="1111"/>
      <c r="Z781" s="1111"/>
      <c r="AA781" s="1111"/>
      <c r="AB781" s="1111"/>
      <c r="AC781" s="1111"/>
      <c r="AD781" s="1111"/>
      <c r="AE781" s="1111"/>
      <c r="AF781" s="1111"/>
      <c r="AG781" s="1111"/>
    </row>
    <row r="782" spans="1:33" s="1295" customFormat="1">
      <c r="A782" s="1264"/>
      <c r="D782" s="1118"/>
      <c r="E782" s="1264"/>
      <c r="F782" s="1118"/>
      <c r="G782" s="1118"/>
      <c r="H782" s="1118"/>
      <c r="I782" s="1118"/>
      <c r="J782" s="1118"/>
      <c r="K782" s="1118"/>
      <c r="L782" s="1118"/>
      <c r="M782" s="1118"/>
      <c r="N782" s="1118"/>
      <c r="O782" s="1118"/>
      <c r="P782" s="1118"/>
      <c r="Q782" s="1111"/>
      <c r="R782" s="1111"/>
      <c r="S782" s="1111"/>
      <c r="T782" s="1111"/>
      <c r="U782" s="1111"/>
      <c r="V782" s="1111"/>
      <c r="W782" s="1111"/>
      <c r="X782" s="1111"/>
      <c r="Y782" s="1111"/>
      <c r="Z782" s="1111"/>
      <c r="AA782" s="1111"/>
      <c r="AB782" s="1111"/>
      <c r="AC782" s="1111"/>
      <c r="AD782" s="1111"/>
      <c r="AE782" s="1111"/>
      <c r="AF782" s="1111"/>
      <c r="AG782" s="1111"/>
    </row>
    <row r="783" spans="1:33" s="1295" customFormat="1">
      <c r="A783" s="1264"/>
      <c r="D783" s="1118"/>
      <c r="E783" s="1264"/>
      <c r="F783" s="1118"/>
      <c r="G783" s="1118"/>
      <c r="H783" s="1118"/>
      <c r="I783" s="1118"/>
      <c r="J783" s="1118"/>
      <c r="K783" s="1118"/>
      <c r="L783" s="1118"/>
      <c r="M783" s="1118"/>
      <c r="N783" s="1118"/>
      <c r="O783" s="1118"/>
      <c r="P783" s="1118"/>
      <c r="Q783" s="1111"/>
      <c r="R783" s="1111"/>
      <c r="S783" s="1111"/>
      <c r="T783" s="1111"/>
      <c r="U783" s="1111"/>
      <c r="V783" s="1111"/>
      <c r="W783" s="1111"/>
      <c r="X783" s="1111"/>
      <c r="Y783" s="1111"/>
      <c r="Z783" s="1111"/>
      <c r="AA783" s="1111"/>
      <c r="AB783" s="1111"/>
      <c r="AC783" s="1111"/>
      <c r="AD783" s="1111"/>
      <c r="AE783" s="1111"/>
      <c r="AF783" s="1111"/>
      <c r="AG783" s="1111"/>
    </row>
    <row r="784" spans="1:33" s="1295" customFormat="1">
      <c r="A784" s="1264"/>
      <c r="D784" s="1118"/>
      <c r="E784" s="1264"/>
      <c r="F784" s="1118"/>
      <c r="G784" s="1118"/>
      <c r="H784" s="1118"/>
      <c r="I784" s="1118"/>
      <c r="J784" s="1118"/>
      <c r="K784" s="1118"/>
      <c r="L784" s="1118"/>
      <c r="M784" s="1118"/>
      <c r="N784" s="1118"/>
      <c r="O784" s="1118"/>
      <c r="P784" s="1118"/>
      <c r="Q784" s="1111"/>
      <c r="R784" s="1111"/>
      <c r="S784" s="1111"/>
      <c r="T784" s="1111"/>
      <c r="U784" s="1111"/>
      <c r="V784" s="1111"/>
      <c r="W784" s="1111"/>
      <c r="X784" s="1111"/>
      <c r="Y784" s="1111"/>
      <c r="Z784" s="1111"/>
      <c r="AA784" s="1111"/>
      <c r="AB784" s="1111"/>
      <c r="AC784" s="1111"/>
      <c r="AD784" s="1111"/>
      <c r="AE784" s="1111"/>
      <c r="AF784" s="1111"/>
      <c r="AG784" s="1111"/>
    </row>
    <row r="785" spans="1:33" s="1295" customFormat="1">
      <c r="A785" s="1264"/>
      <c r="D785" s="1118"/>
      <c r="E785" s="1264"/>
      <c r="F785" s="1118"/>
      <c r="G785" s="1118"/>
      <c r="H785" s="1118"/>
      <c r="I785" s="1118"/>
      <c r="J785" s="1118"/>
      <c r="K785" s="1118"/>
      <c r="L785" s="1118"/>
      <c r="M785" s="1118"/>
      <c r="N785" s="1118"/>
      <c r="O785" s="1118"/>
      <c r="P785" s="1118"/>
      <c r="Q785" s="1111"/>
      <c r="R785" s="1111"/>
      <c r="S785" s="1111"/>
      <c r="T785" s="1111"/>
      <c r="U785" s="1111"/>
      <c r="V785" s="1111"/>
      <c r="W785" s="1111"/>
      <c r="X785" s="1111"/>
      <c r="Y785" s="1111"/>
      <c r="Z785" s="1111"/>
      <c r="AA785" s="1111"/>
      <c r="AB785" s="1111"/>
      <c r="AC785" s="1111"/>
      <c r="AD785" s="1111"/>
      <c r="AE785" s="1111"/>
      <c r="AF785" s="1111"/>
      <c r="AG785" s="1111"/>
    </row>
    <row r="786" spans="1:33" s="1295" customFormat="1">
      <c r="A786" s="1264"/>
      <c r="D786" s="1118"/>
      <c r="E786" s="1264"/>
      <c r="F786" s="1118"/>
      <c r="G786" s="1118"/>
      <c r="H786" s="1118"/>
      <c r="I786" s="1118"/>
      <c r="J786" s="1118"/>
      <c r="K786" s="1118"/>
      <c r="L786" s="1118"/>
      <c r="M786" s="1118"/>
      <c r="N786" s="1118"/>
      <c r="O786" s="1118"/>
      <c r="P786" s="1118"/>
      <c r="Q786" s="1111"/>
      <c r="R786" s="1111"/>
      <c r="S786" s="1111"/>
      <c r="T786" s="1111"/>
      <c r="U786" s="1111"/>
      <c r="V786" s="1111"/>
      <c r="W786" s="1111"/>
      <c r="X786" s="1111"/>
      <c r="Y786" s="1111"/>
      <c r="Z786" s="1111"/>
      <c r="AA786" s="1111"/>
      <c r="AB786" s="1111"/>
      <c r="AC786" s="1111"/>
      <c r="AD786" s="1111"/>
      <c r="AE786" s="1111"/>
      <c r="AF786" s="1111"/>
      <c r="AG786" s="1111"/>
    </row>
    <row r="787" spans="1:33" s="1295" customFormat="1">
      <c r="A787" s="1264"/>
      <c r="D787" s="1118"/>
      <c r="E787" s="1264"/>
      <c r="F787" s="1118"/>
      <c r="G787" s="1118"/>
      <c r="H787" s="1118"/>
      <c r="I787" s="1118"/>
      <c r="J787" s="1118"/>
      <c r="K787" s="1118"/>
      <c r="L787" s="1118"/>
      <c r="M787" s="1118"/>
      <c r="N787" s="1118"/>
      <c r="O787" s="1118"/>
      <c r="P787" s="1118"/>
      <c r="Q787" s="1111"/>
      <c r="R787" s="1111"/>
      <c r="S787" s="1111"/>
      <c r="T787" s="1111"/>
      <c r="U787" s="1111"/>
      <c r="V787" s="1111"/>
      <c r="W787" s="1111"/>
      <c r="X787" s="1111"/>
      <c r="Y787" s="1111"/>
      <c r="Z787" s="1111"/>
      <c r="AA787" s="1111"/>
      <c r="AB787" s="1111"/>
      <c r="AC787" s="1111"/>
      <c r="AD787" s="1111"/>
      <c r="AE787" s="1111"/>
      <c r="AF787" s="1111"/>
      <c r="AG787" s="1111"/>
    </row>
    <row r="788" spans="1:33" s="1295" customFormat="1">
      <c r="A788" s="1264"/>
      <c r="D788" s="1118"/>
      <c r="E788" s="1264"/>
      <c r="F788" s="1118"/>
      <c r="G788" s="1118"/>
      <c r="H788" s="1118"/>
      <c r="I788" s="1118"/>
      <c r="J788" s="1118"/>
      <c r="K788" s="1118"/>
      <c r="L788" s="1118"/>
      <c r="M788" s="1118"/>
      <c r="N788" s="1118"/>
      <c r="O788" s="1118"/>
      <c r="P788" s="1118"/>
      <c r="Q788" s="1111"/>
      <c r="R788" s="1111"/>
      <c r="S788" s="1111"/>
      <c r="T788" s="1111"/>
      <c r="U788" s="1111"/>
      <c r="V788" s="1111"/>
      <c r="W788" s="1111"/>
      <c r="X788" s="1111"/>
      <c r="Y788" s="1111"/>
      <c r="Z788" s="1111"/>
      <c r="AA788" s="1111"/>
      <c r="AB788" s="1111"/>
      <c r="AC788" s="1111"/>
      <c r="AD788" s="1111"/>
      <c r="AE788" s="1111"/>
      <c r="AF788" s="1111"/>
      <c r="AG788" s="1111"/>
    </row>
    <row r="789" spans="1:33" s="1295" customFormat="1">
      <c r="A789" s="1264"/>
      <c r="D789" s="1118"/>
      <c r="E789" s="1264"/>
      <c r="F789" s="1118"/>
      <c r="G789" s="1118"/>
      <c r="H789" s="1118"/>
      <c r="I789" s="1118"/>
      <c r="J789" s="1118"/>
      <c r="K789" s="1118"/>
      <c r="L789" s="1118"/>
      <c r="M789" s="1118"/>
      <c r="N789" s="1118"/>
      <c r="O789" s="1118"/>
      <c r="P789" s="1118"/>
      <c r="Q789" s="1111"/>
      <c r="R789" s="1111"/>
      <c r="S789" s="1111"/>
      <c r="T789" s="1111"/>
      <c r="U789" s="1111"/>
      <c r="V789" s="1111"/>
      <c r="W789" s="1111"/>
      <c r="X789" s="1111"/>
      <c r="Y789" s="1111"/>
      <c r="Z789" s="1111"/>
      <c r="AA789" s="1111"/>
      <c r="AB789" s="1111"/>
      <c r="AC789" s="1111"/>
      <c r="AD789" s="1111"/>
      <c r="AE789" s="1111"/>
      <c r="AF789" s="1111"/>
      <c r="AG789" s="1111"/>
    </row>
    <row r="790" spans="1:33" s="1295" customFormat="1">
      <c r="A790" s="1264"/>
      <c r="D790" s="1118"/>
      <c r="E790" s="1264"/>
      <c r="F790" s="1118"/>
      <c r="G790" s="1118"/>
      <c r="H790" s="1118"/>
      <c r="I790" s="1118"/>
      <c r="J790" s="1118"/>
      <c r="K790" s="1118"/>
      <c r="L790" s="1118"/>
      <c r="M790" s="1118"/>
      <c r="N790" s="1118"/>
      <c r="O790" s="1118"/>
      <c r="P790" s="1118"/>
      <c r="Q790" s="1111"/>
      <c r="R790" s="1111"/>
      <c r="S790" s="1111"/>
      <c r="T790" s="1111"/>
      <c r="U790" s="1111"/>
      <c r="V790" s="1111"/>
      <c r="W790" s="1111"/>
      <c r="X790" s="1111"/>
      <c r="Y790" s="1111"/>
      <c r="Z790" s="1111"/>
      <c r="AA790" s="1111"/>
      <c r="AB790" s="1111"/>
      <c r="AC790" s="1111"/>
      <c r="AD790" s="1111"/>
      <c r="AE790" s="1111"/>
      <c r="AF790" s="1111"/>
      <c r="AG790" s="1111"/>
    </row>
    <row r="791" spans="1:33" s="1295" customFormat="1">
      <c r="A791" s="1264"/>
      <c r="D791" s="1118"/>
      <c r="E791" s="1264"/>
      <c r="F791" s="1118"/>
      <c r="G791" s="1118"/>
      <c r="H791" s="1118"/>
      <c r="I791" s="1118"/>
      <c r="J791" s="1118"/>
      <c r="K791" s="1118"/>
      <c r="L791" s="1118"/>
      <c r="M791" s="1118"/>
      <c r="N791" s="1118"/>
      <c r="O791" s="1118"/>
      <c r="P791" s="1118"/>
      <c r="Q791" s="1111"/>
      <c r="R791" s="1111"/>
      <c r="S791" s="1111"/>
      <c r="T791" s="1111"/>
      <c r="U791" s="1111"/>
      <c r="V791" s="1111"/>
      <c r="W791" s="1111"/>
      <c r="X791" s="1111"/>
      <c r="Y791" s="1111"/>
      <c r="Z791" s="1111"/>
      <c r="AA791" s="1111"/>
      <c r="AB791" s="1111"/>
      <c r="AC791" s="1111"/>
      <c r="AD791" s="1111"/>
      <c r="AE791" s="1111"/>
      <c r="AF791" s="1111"/>
      <c r="AG791" s="1111"/>
    </row>
    <row r="792" spans="1:33" s="1295" customFormat="1">
      <c r="A792" s="1264"/>
      <c r="D792" s="1118"/>
      <c r="E792" s="1264"/>
      <c r="F792" s="1118"/>
      <c r="G792" s="1118"/>
      <c r="H792" s="1118"/>
      <c r="I792" s="1118"/>
      <c r="J792" s="1118"/>
      <c r="K792" s="1118"/>
      <c r="L792" s="1118"/>
      <c r="M792" s="1118"/>
      <c r="N792" s="1118"/>
      <c r="O792" s="1118"/>
      <c r="P792" s="1118"/>
      <c r="Q792" s="1111"/>
      <c r="R792" s="1111"/>
      <c r="S792" s="1111"/>
      <c r="T792" s="1111"/>
      <c r="U792" s="1111"/>
      <c r="V792" s="1111"/>
      <c r="W792" s="1111"/>
      <c r="X792" s="1111"/>
      <c r="Y792" s="1111"/>
      <c r="Z792" s="1111"/>
      <c r="AA792" s="1111"/>
      <c r="AB792" s="1111"/>
      <c r="AC792" s="1111"/>
      <c r="AD792" s="1111"/>
      <c r="AE792" s="1111"/>
      <c r="AF792" s="1111"/>
      <c r="AG792" s="1111"/>
    </row>
    <row r="793" spans="1:33" s="1295" customFormat="1">
      <c r="A793" s="1264"/>
      <c r="D793" s="1118"/>
      <c r="E793" s="1264"/>
      <c r="F793" s="1118"/>
      <c r="G793" s="1118"/>
      <c r="H793" s="1118"/>
      <c r="I793" s="1118"/>
      <c r="J793" s="1118"/>
      <c r="K793" s="1118"/>
      <c r="L793" s="1118"/>
      <c r="M793" s="1118"/>
      <c r="N793" s="1118"/>
      <c r="O793" s="1118"/>
      <c r="P793" s="1118"/>
      <c r="Q793" s="1111"/>
      <c r="R793" s="1111"/>
      <c r="S793" s="1111"/>
      <c r="T793" s="1111"/>
      <c r="U793" s="1111"/>
      <c r="V793" s="1111"/>
      <c r="W793" s="1111"/>
      <c r="X793" s="1111"/>
      <c r="Y793" s="1111"/>
      <c r="Z793" s="1111"/>
      <c r="AA793" s="1111"/>
      <c r="AB793" s="1111"/>
      <c r="AC793" s="1111"/>
      <c r="AD793" s="1111"/>
      <c r="AE793" s="1111"/>
      <c r="AF793" s="1111"/>
      <c r="AG793" s="1111"/>
    </row>
    <row r="794" spans="1:33" s="1295" customFormat="1">
      <c r="A794" s="1264"/>
      <c r="D794" s="1118"/>
      <c r="E794" s="1264"/>
      <c r="F794" s="1118"/>
      <c r="G794" s="1118"/>
      <c r="H794" s="1118"/>
      <c r="I794" s="1118"/>
      <c r="J794" s="1118"/>
      <c r="K794" s="1118"/>
      <c r="L794" s="1118"/>
      <c r="M794" s="1118"/>
      <c r="N794" s="1118"/>
      <c r="O794" s="1118"/>
      <c r="P794" s="1118"/>
      <c r="Q794" s="1111"/>
      <c r="R794" s="1111"/>
      <c r="S794" s="1111"/>
      <c r="T794" s="1111"/>
      <c r="U794" s="1111"/>
      <c r="V794" s="1111"/>
      <c r="W794" s="1111"/>
      <c r="X794" s="1111"/>
      <c r="Y794" s="1111"/>
      <c r="Z794" s="1111"/>
      <c r="AA794" s="1111"/>
      <c r="AB794" s="1111"/>
      <c r="AC794" s="1111"/>
      <c r="AD794" s="1111"/>
      <c r="AE794" s="1111"/>
      <c r="AF794" s="1111"/>
      <c r="AG794" s="1111"/>
    </row>
    <row r="795" spans="1:33" s="1295" customFormat="1">
      <c r="A795" s="1264"/>
      <c r="D795" s="1118"/>
      <c r="E795" s="1264"/>
      <c r="F795" s="1118"/>
      <c r="G795" s="1118"/>
      <c r="H795" s="1118"/>
      <c r="I795" s="1118"/>
      <c r="J795" s="1118"/>
      <c r="K795" s="1118"/>
      <c r="L795" s="1118"/>
      <c r="M795" s="1118"/>
      <c r="N795" s="1118"/>
      <c r="O795" s="1118"/>
      <c r="P795" s="1118"/>
      <c r="Q795" s="1111"/>
      <c r="R795" s="1111"/>
      <c r="S795" s="1111"/>
      <c r="T795" s="1111"/>
      <c r="U795" s="1111"/>
      <c r="V795" s="1111"/>
      <c r="W795" s="1111"/>
      <c r="X795" s="1111"/>
      <c r="Y795" s="1111"/>
      <c r="Z795" s="1111"/>
      <c r="AA795" s="1111"/>
      <c r="AB795" s="1111"/>
      <c r="AC795" s="1111"/>
      <c r="AD795" s="1111"/>
      <c r="AE795" s="1111"/>
      <c r="AF795" s="1111"/>
      <c r="AG795" s="1111"/>
    </row>
    <row r="796" spans="1:33" s="1295" customFormat="1">
      <c r="A796" s="1264"/>
      <c r="D796" s="1118"/>
      <c r="E796" s="1264"/>
      <c r="F796" s="1118"/>
      <c r="G796" s="1118"/>
      <c r="H796" s="1118"/>
      <c r="I796" s="1118"/>
      <c r="J796" s="1118"/>
      <c r="K796" s="1118"/>
      <c r="L796" s="1118"/>
      <c r="M796" s="1118"/>
      <c r="N796" s="1118"/>
      <c r="O796" s="1118"/>
      <c r="P796" s="1118"/>
      <c r="Q796" s="1111"/>
      <c r="R796" s="1111"/>
      <c r="S796" s="1111"/>
      <c r="T796" s="1111"/>
      <c r="U796" s="1111"/>
      <c r="V796" s="1111"/>
      <c r="W796" s="1111"/>
      <c r="X796" s="1111"/>
      <c r="Y796" s="1111"/>
      <c r="Z796" s="1111"/>
      <c r="AA796" s="1111"/>
      <c r="AB796" s="1111"/>
      <c r="AC796" s="1111"/>
      <c r="AD796" s="1111"/>
      <c r="AE796" s="1111"/>
      <c r="AF796" s="1111"/>
      <c r="AG796" s="1111"/>
    </row>
    <row r="797" spans="1:33" s="1295" customFormat="1">
      <c r="A797" s="1264"/>
      <c r="D797" s="1118"/>
      <c r="E797" s="1264"/>
      <c r="F797" s="1118"/>
      <c r="G797" s="1118"/>
      <c r="H797" s="1118"/>
      <c r="I797" s="1118"/>
      <c r="J797" s="1118"/>
      <c r="K797" s="1118"/>
      <c r="L797" s="1118"/>
      <c r="M797" s="1118"/>
      <c r="N797" s="1118"/>
      <c r="O797" s="1118"/>
      <c r="P797" s="1118"/>
      <c r="Q797" s="1111"/>
      <c r="R797" s="1111"/>
      <c r="S797" s="1111"/>
      <c r="T797" s="1111"/>
      <c r="U797" s="1111"/>
      <c r="V797" s="1111"/>
      <c r="W797" s="1111"/>
      <c r="X797" s="1111"/>
      <c r="Y797" s="1111"/>
      <c r="Z797" s="1111"/>
      <c r="AA797" s="1111"/>
      <c r="AB797" s="1111"/>
      <c r="AC797" s="1111"/>
      <c r="AD797" s="1111"/>
      <c r="AE797" s="1111"/>
      <c r="AF797" s="1111"/>
      <c r="AG797" s="1111"/>
    </row>
    <row r="798" spans="1:33" s="1295" customFormat="1">
      <c r="A798" s="1264"/>
      <c r="D798" s="1118"/>
      <c r="E798" s="1264"/>
      <c r="F798" s="1118"/>
      <c r="G798" s="1118"/>
      <c r="H798" s="1118"/>
      <c r="I798" s="1118"/>
      <c r="J798" s="1118"/>
      <c r="K798" s="1118"/>
      <c r="L798" s="1118"/>
      <c r="M798" s="1118"/>
      <c r="N798" s="1118"/>
      <c r="O798" s="1118"/>
      <c r="P798" s="1118"/>
      <c r="Q798" s="1111"/>
      <c r="R798" s="1111"/>
      <c r="S798" s="1111"/>
      <c r="T798" s="1111"/>
      <c r="U798" s="1111"/>
      <c r="V798" s="1111"/>
      <c r="W798" s="1111"/>
      <c r="X798" s="1111"/>
      <c r="Y798" s="1111"/>
      <c r="Z798" s="1111"/>
      <c r="AA798" s="1111"/>
      <c r="AB798" s="1111"/>
      <c r="AC798" s="1111"/>
      <c r="AD798" s="1111"/>
      <c r="AE798" s="1111"/>
      <c r="AF798" s="1111"/>
      <c r="AG798" s="1111"/>
    </row>
    <row r="799" spans="1:33" s="1295" customFormat="1">
      <c r="A799" s="1264"/>
      <c r="D799" s="1118"/>
      <c r="E799" s="1264"/>
      <c r="F799" s="1118"/>
      <c r="G799" s="1118"/>
      <c r="H799" s="1118"/>
      <c r="I799" s="1118"/>
      <c r="J799" s="1118"/>
      <c r="K799" s="1118"/>
      <c r="L799" s="1118"/>
      <c r="M799" s="1118"/>
      <c r="N799" s="1118"/>
      <c r="O799" s="1118"/>
      <c r="P799" s="1118"/>
      <c r="Q799" s="1111"/>
      <c r="R799" s="1111"/>
      <c r="S799" s="1111"/>
      <c r="T799" s="1111"/>
      <c r="U799" s="1111"/>
      <c r="V799" s="1111"/>
      <c r="W799" s="1111"/>
      <c r="X799" s="1111"/>
      <c r="Y799" s="1111"/>
      <c r="Z799" s="1111"/>
      <c r="AA799" s="1111"/>
      <c r="AB799" s="1111"/>
      <c r="AC799" s="1111"/>
      <c r="AD799" s="1111"/>
      <c r="AE799" s="1111"/>
      <c r="AF799" s="1111"/>
      <c r="AG799" s="1111"/>
    </row>
    <row r="800" spans="1:33" s="1295" customFormat="1">
      <c r="A800" s="1264"/>
      <c r="D800" s="1118"/>
      <c r="E800" s="1264"/>
      <c r="F800" s="1118"/>
      <c r="G800" s="1118"/>
      <c r="H800" s="1118"/>
      <c r="I800" s="1118"/>
      <c r="J800" s="1118"/>
      <c r="K800" s="1118"/>
      <c r="L800" s="1118"/>
      <c r="M800" s="1118"/>
      <c r="N800" s="1118"/>
      <c r="O800" s="1118"/>
      <c r="P800" s="1118"/>
      <c r="Q800" s="1111"/>
      <c r="R800" s="1111"/>
      <c r="S800" s="1111"/>
      <c r="T800" s="1111"/>
      <c r="U800" s="1111"/>
      <c r="V800" s="1111"/>
      <c r="W800" s="1111"/>
      <c r="X800" s="1111"/>
      <c r="Y800" s="1111"/>
      <c r="Z800" s="1111"/>
      <c r="AA800" s="1111"/>
      <c r="AB800" s="1111"/>
      <c r="AC800" s="1111"/>
      <c r="AD800" s="1111"/>
      <c r="AE800" s="1111"/>
      <c r="AF800" s="1111"/>
      <c r="AG800" s="1111"/>
    </row>
    <row r="801" spans="1:33" s="1295" customFormat="1">
      <c r="A801" s="1264"/>
      <c r="D801" s="1118"/>
      <c r="E801" s="1264"/>
      <c r="F801" s="1118"/>
      <c r="G801" s="1118"/>
      <c r="H801" s="1118"/>
      <c r="I801" s="1118"/>
      <c r="J801" s="1118"/>
      <c r="K801" s="1118"/>
      <c r="L801" s="1118"/>
      <c r="M801" s="1118"/>
      <c r="N801" s="1118"/>
      <c r="O801" s="1118"/>
      <c r="P801" s="1118"/>
      <c r="Q801" s="1111"/>
      <c r="R801" s="1111"/>
      <c r="S801" s="1111"/>
      <c r="T801" s="1111"/>
      <c r="U801" s="1111"/>
      <c r="V801" s="1111"/>
      <c r="W801" s="1111"/>
      <c r="X801" s="1111"/>
      <c r="Y801" s="1111"/>
      <c r="Z801" s="1111"/>
      <c r="AA801" s="1111"/>
      <c r="AB801" s="1111"/>
      <c r="AC801" s="1111"/>
      <c r="AD801" s="1111"/>
      <c r="AE801" s="1111"/>
      <c r="AF801" s="1111"/>
      <c r="AG801" s="1111"/>
    </row>
    <row r="802" spans="1:33" s="1295" customFormat="1">
      <c r="A802" s="1264"/>
      <c r="D802" s="1118"/>
      <c r="E802" s="1264"/>
      <c r="F802" s="1118"/>
      <c r="G802" s="1118"/>
      <c r="H802" s="1118"/>
      <c r="I802" s="1118"/>
      <c r="J802" s="1118"/>
      <c r="K802" s="1118"/>
      <c r="L802" s="1118"/>
      <c r="M802" s="1118"/>
      <c r="N802" s="1118"/>
      <c r="O802" s="1118"/>
      <c r="P802" s="1118"/>
      <c r="Q802" s="1111"/>
      <c r="R802" s="1111"/>
      <c r="S802" s="1111"/>
      <c r="T802" s="1111"/>
      <c r="U802" s="1111"/>
      <c r="V802" s="1111"/>
      <c r="W802" s="1111"/>
      <c r="X802" s="1111"/>
      <c r="Y802" s="1111"/>
      <c r="Z802" s="1111"/>
      <c r="AA802" s="1111"/>
      <c r="AB802" s="1111"/>
      <c r="AC802" s="1111"/>
      <c r="AD802" s="1111"/>
      <c r="AE802" s="1111"/>
      <c r="AF802" s="1111"/>
      <c r="AG802" s="1111"/>
    </row>
    <row r="803" spans="1:33" s="1295" customFormat="1">
      <c r="A803" s="1264"/>
      <c r="D803" s="1118"/>
      <c r="E803" s="1264"/>
      <c r="F803" s="1118"/>
      <c r="G803" s="1118"/>
      <c r="H803" s="1118"/>
      <c r="I803" s="1118"/>
      <c r="J803" s="1118"/>
      <c r="K803" s="1118"/>
      <c r="L803" s="1118"/>
      <c r="M803" s="1118"/>
      <c r="N803" s="1118"/>
      <c r="O803" s="1118"/>
      <c r="P803" s="1118"/>
      <c r="Q803" s="1111"/>
      <c r="R803" s="1111"/>
      <c r="S803" s="1111"/>
      <c r="T803" s="1111"/>
      <c r="U803" s="1111"/>
      <c r="V803" s="1111"/>
      <c r="W803" s="1111"/>
      <c r="X803" s="1111"/>
      <c r="Y803" s="1111"/>
      <c r="Z803" s="1111"/>
      <c r="AA803" s="1111"/>
      <c r="AB803" s="1111"/>
      <c r="AC803" s="1111"/>
      <c r="AD803" s="1111"/>
      <c r="AE803" s="1111"/>
      <c r="AF803" s="1111"/>
      <c r="AG803" s="1111"/>
    </row>
    <row r="804" spans="1:33" s="1295" customFormat="1">
      <c r="A804" s="1264"/>
      <c r="D804" s="1118"/>
      <c r="E804" s="1264"/>
      <c r="F804" s="1118"/>
      <c r="G804" s="1118"/>
      <c r="H804" s="1118"/>
      <c r="I804" s="1118"/>
      <c r="J804" s="1118"/>
      <c r="K804" s="1118"/>
      <c r="L804" s="1118"/>
      <c r="M804" s="1118"/>
      <c r="N804" s="1118"/>
      <c r="O804" s="1118"/>
      <c r="P804" s="1118"/>
      <c r="Q804" s="1111"/>
      <c r="R804" s="1111"/>
      <c r="S804" s="1111"/>
      <c r="T804" s="1111"/>
      <c r="U804" s="1111"/>
      <c r="V804" s="1111"/>
      <c r="W804" s="1111"/>
      <c r="X804" s="1111"/>
      <c r="Y804" s="1111"/>
      <c r="Z804" s="1111"/>
      <c r="AA804" s="1111"/>
      <c r="AB804" s="1111"/>
      <c r="AC804" s="1111"/>
      <c r="AD804" s="1111"/>
      <c r="AE804" s="1111"/>
      <c r="AF804" s="1111"/>
      <c r="AG804" s="1111"/>
    </row>
    <row r="805" spans="1:33" s="1295" customFormat="1">
      <c r="A805" s="1264"/>
      <c r="D805" s="1118"/>
      <c r="E805" s="1264"/>
      <c r="F805" s="1118"/>
      <c r="G805" s="1118"/>
      <c r="H805" s="1118"/>
      <c r="I805" s="1118"/>
      <c r="J805" s="1118"/>
      <c r="K805" s="1118"/>
      <c r="L805" s="1118"/>
      <c r="M805" s="1118"/>
      <c r="N805" s="1118"/>
      <c r="O805" s="1118"/>
      <c r="P805" s="1118"/>
      <c r="Q805" s="1111"/>
      <c r="R805" s="1111"/>
      <c r="S805" s="1111"/>
      <c r="T805" s="1111"/>
      <c r="U805" s="1111"/>
      <c r="V805" s="1111"/>
      <c r="W805" s="1111"/>
      <c r="X805" s="1111"/>
      <c r="Y805" s="1111"/>
      <c r="Z805" s="1111"/>
      <c r="AA805" s="1111"/>
      <c r="AB805" s="1111"/>
      <c r="AC805" s="1111"/>
      <c r="AD805" s="1111"/>
      <c r="AE805" s="1111"/>
      <c r="AF805" s="1111"/>
      <c r="AG805" s="1111"/>
    </row>
    <row r="806" spans="1:33" s="1295" customFormat="1">
      <c r="A806" s="1264"/>
      <c r="D806" s="1118"/>
      <c r="E806" s="1264"/>
      <c r="F806" s="1118"/>
      <c r="G806" s="1118"/>
      <c r="H806" s="1118"/>
      <c r="I806" s="1118"/>
      <c r="J806" s="1118"/>
      <c r="K806" s="1118"/>
      <c r="L806" s="1118"/>
      <c r="M806" s="1118"/>
      <c r="N806" s="1118"/>
      <c r="O806" s="1118"/>
      <c r="P806" s="1118"/>
      <c r="Q806" s="1111"/>
      <c r="R806" s="1111"/>
      <c r="S806" s="1111"/>
      <c r="T806" s="1111"/>
      <c r="U806" s="1111"/>
      <c r="V806" s="1111"/>
      <c r="W806" s="1111"/>
      <c r="X806" s="1111"/>
      <c r="Y806" s="1111"/>
      <c r="Z806" s="1111"/>
      <c r="AA806" s="1111"/>
      <c r="AB806" s="1111"/>
      <c r="AC806" s="1111"/>
      <c r="AD806" s="1111"/>
      <c r="AE806" s="1111"/>
      <c r="AF806" s="1111"/>
      <c r="AG806" s="1111"/>
    </row>
    <row r="807" spans="1:33" s="1295" customFormat="1">
      <c r="A807" s="1264"/>
      <c r="D807" s="1118"/>
      <c r="E807" s="1264"/>
      <c r="F807" s="1118"/>
      <c r="G807" s="1118"/>
      <c r="H807" s="1118"/>
      <c r="I807" s="1118"/>
      <c r="J807" s="1118"/>
      <c r="K807" s="1118"/>
      <c r="L807" s="1118"/>
      <c r="M807" s="1118"/>
      <c r="N807" s="1118"/>
      <c r="O807" s="1118"/>
      <c r="P807" s="1118"/>
      <c r="Q807" s="1111"/>
      <c r="R807" s="1111"/>
      <c r="S807" s="1111"/>
      <c r="T807" s="1111"/>
      <c r="U807" s="1111"/>
      <c r="V807" s="1111"/>
      <c r="W807" s="1111"/>
      <c r="X807" s="1111"/>
      <c r="Y807" s="1111"/>
      <c r="Z807" s="1111"/>
      <c r="AA807" s="1111"/>
      <c r="AB807" s="1111"/>
      <c r="AC807" s="1111"/>
      <c r="AD807" s="1111"/>
      <c r="AE807" s="1111"/>
      <c r="AF807" s="1111"/>
      <c r="AG807" s="1111"/>
    </row>
    <row r="808" spans="1:33" s="1295" customFormat="1">
      <c r="A808" s="1264"/>
      <c r="D808" s="1118"/>
      <c r="E808" s="1264"/>
      <c r="F808" s="1118"/>
      <c r="G808" s="1118"/>
      <c r="H808" s="1118"/>
      <c r="I808" s="1118"/>
      <c r="J808" s="1118"/>
      <c r="K808" s="1118"/>
      <c r="L808" s="1118"/>
      <c r="M808" s="1118"/>
      <c r="N808" s="1118"/>
      <c r="O808" s="1118"/>
      <c r="P808" s="1118"/>
      <c r="Q808" s="1111"/>
      <c r="R808" s="1111"/>
      <c r="S808" s="1111"/>
      <c r="T808" s="1111"/>
      <c r="U808" s="1111"/>
      <c r="V808" s="1111"/>
      <c r="W808" s="1111"/>
      <c r="X808" s="1111"/>
      <c r="Y808" s="1111"/>
      <c r="Z808" s="1111"/>
      <c r="AA808" s="1111"/>
      <c r="AB808" s="1111"/>
      <c r="AC808" s="1111"/>
      <c r="AD808" s="1111"/>
      <c r="AE808" s="1111"/>
      <c r="AF808" s="1111"/>
      <c r="AG808" s="1111"/>
    </row>
    <row r="809" spans="1:33" s="1295" customFormat="1">
      <c r="A809" s="1264"/>
      <c r="D809" s="1118"/>
      <c r="E809" s="1264"/>
      <c r="F809" s="1118"/>
      <c r="G809" s="1118"/>
      <c r="H809" s="1118"/>
      <c r="I809" s="1118"/>
      <c r="J809" s="1118"/>
      <c r="K809" s="1118"/>
      <c r="L809" s="1118"/>
      <c r="M809" s="1118"/>
      <c r="N809" s="1118"/>
      <c r="O809" s="1118"/>
      <c r="P809" s="1118"/>
      <c r="Q809" s="1111"/>
      <c r="R809" s="1111"/>
      <c r="S809" s="1111"/>
      <c r="T809" s="1111"/>
      <c r="U809" s="1111"/>
      <c r="V809" s="1111"/>
      <c r="W809" s="1111"/>
      <c r="X809" s="1111"/>
      <c r="Y809" s="1111"/>
      <c r="Z809" s="1111"/>
      <c r="AA809" s="1111"/>
      <c r="AB809" s="1111"/>
      <c r="AC809" s="1111"/>
      <c r="AD809" s="1111"/>
      <c r="AE809" s="1111"/>
      <c r="AF809" s="1111"/>
      <c r="AG809" s="1111"/>
    </row>
    <row r="810" spans="1:33" s="1295" customFormat="1">
      <c r="A810" s="1264"/>
      <c r="D810" s="1118"/>
      <c r="E810" s="1264"/>
      <c r="F810" s="1118"/>
      <c r="G810" s="1118"/>
      <c r="H810" s="1118"/>
      <c r="I810" s="1118"/>
      <c r="J810" s="1118"/>
      <c r="K810" s="1118"/>
      <c r="L810" s="1118"/>
      <c r="M810" s="1118"/>
      <c r="N810" s="1118"/>
      <c r="O810" s="1118"/>
      <c r="P810" s="1118"/>
      <c r="Q810" s="1111"/>
      <c r="R810" s="1111"/>
      <c r="S810" s="1111"/>
      <c r="T810" s="1111"/>
      <c r="U810" s="1111"/>
      <c r="V810" s="1111"/>
      <c r="W810" s="1111"/>
      <c r="X810" s="1111"/>
      <c r="Y810" s="1111"/>
      <c r="Z810" s="1111"/>
      <c r="AA810" s="1111"/>
      <c r="AB810" s="1111"/>
      <c r="AC810" s="1111"/>
      <c r="AD810" s="1111"/>
      <c r="AE810" s="1111"/>
      <c r="AF810" s="1111"/>
      <c r="AG810" s="1111"/>
    </row>
    <row r="811" spans="1:33" s="1295" customFormat="1">
      <c r="A811" s="1264"/>
      <c r="D811" s="1118"/>
      <c r="E811" s="1264"/>
      <c r="F811" s="1118"/>
      <c r="G811" s="1118"/>
      <c r="H811" s="1118"/>
      <c r="I811" s="1118"/>
      <c r="J811" s="1118"/>
      <c r="K811" s="1118"/>
      <c r="L811" s="1118"/>
      <c r="M811" s="1118"/>
      <c r="N811" s="1118"/>
      <c r="O811" s="1118"/>
      <c r="P811" s="1118"/>
      <c r="Q811" s="1111"/>
      <c r="R811" s="1111"/>
      <c r="S811" s="1111"/>
      <c r="T811" s="1111"/>
      <c r="U811" s="1111"/>
      <c r="V811" s="1111"/>
      <c r="W811" s="1111"/>
      <c r="X811" s="1111"/>
      <c r="Y811" s="1111"/>
      <c r="Z811" s="1111"/>
      <c r="AA811" s="1111"/>
      <c r="AB811" s="1111"/>
      <c r="AC811" s="1111"/>
      <c r="AD811" s="1111"/>
      <c r="AE811" s="1111"/>
      <c r="AF811" s="1111"/>
      <c r="AG811" s="1111"/>
    </row>
    <row r="812" spans="1:33" s="1295" customFormat="1">
      <c r="A812" s="1264"/>
      <c r="D812" s="1118"/>
      <c r="E812" s="1264"/>
      <c r="F812" s="1118"/>
      <c r="G812" s="1118"/>
      <c r="H812" s="1118"/>
      <c r="I812" s="1118"/>
      <c r="J812" s="1118"/>
      <c r="K812" s="1118"/>
      <c r="L812" s="1118"/>
      <c r="M812" s="1118"/>
      <c r="N812" s="1118"/>
      <c r="O812" s="1118"/>
      <c r="P812" s="1118"/>
      <c r="Q812" s="1111"/>
      <c r="R812" s="1111"/>
      <c r="S812" s="1111"/>
      <c r="T812" s="1111"/>
      <c r="U812" s="1111"/>
      <c r="V812" s="1111"/>
      <c r="W812" s="1111"/>
      <c r="X812" s="1111"/>
      <c r="Y812" s="1111"/>
      <c r="Z812" s="1111"/>
      <c r="AA812" s="1111"/>
      <c r="AB812" s="1111"/>
      <c r="AC812" s="1111"/>
      <c r="AD812" s="1111"/>
      <c r="AE812" s="1111"/>
      <c r="AF812" s="1111"/>
      <c r="AG812" s="1111"/>
    </row>
    <row r="813" spans="1:33" s="1295" customFormat="1">
      <c r="A813" s="1264"/>
      <c r="D813" s="1118"/>
      <c r="E813" s="1264"/>
      <c r="F813" s="1118"/>
      <c r="G813" s="1118"/>
      <c r="H813" s="1118"/>
      <c r="I813" s="1118"/>
      <c r="J813" s="1118"/>
      <c r="K813" s="1118"/>
      <c r="L813" s="1118"/>
      <c r="M813" s="1118"/>
      <c r="N813" s="1118"/>
      <c r="O813" s="1118"/>
      <c r="P813" s="1118"/>
      <c r="Q813" s="1111"/>
      <c r="R813" s="1111"/>
      <c r="S813" s="1111"/>
      <c r="T813" s="1111"/>
      <c r="U813" s="1111"/>
      <c r="V813" s="1111"/>
      <c r="W813" s="1111"/>
      <c r="X813" s="1111"/>
      <c r="Y813" s="1111"/>
      <c r="Z813" s="1111"/>
      <c r="AA813" s="1111"/>
      <c r="AB813" s="1111"/>
      <c r="AC813" s="1111"/>
      <c r="AD813" s="1111"/>
      <c r="AE813" s="1111"/>
      <c r="AF813" s="1111"/>
      <c r="AG813" s="1111"/>
    </row>
    <row r="814" spans="1:33" s="1295" customFormat="1">
      <c r="A814" s="1264"/>
      <c r="D814" s="1118"/>
      <c r="E814" s="1264"/>
      <c r="F814" s="1118"/>
      <c r="G814" s="1118"/>
      <c r="H814" s="1118"/>
      <c r="I814" s="1118"/>
      <c r="J814" s="1118"/>
      <c r="K814" s="1118"/>
      <c r="L814" s="1118"/>
      <c r="M814" s="1118"/>
      <c r="N814" s="1118"/>
      <c r="O814" s="1118"/>
      <c r="P814" s="1118"/>
      <c r="Q814" s="1111"/>
      <c r="R814" s="1111"/>
      <c r="S814" s="1111"/>
      <c r="T814" s="1111"/>
      <c r="U814" s="1111"/>
      <c r="V814" s="1111"/>
      <c r="W814" s="1111"/>
      <c r="X814" s="1111"/>
      <c r="Y814" s="1111"/>
      <c r="Z814" s="1111"/>
      <c r="AA814" s="1111"/>
      <c r="AB814" s="1111"/>
      <c r="AC814" s="1111"/>
      <c r="AD814" s="1111"/>
      <c r="AE814" s="1111"/>
      <c r="AF814" s="1111"/>
      <c r="AG814" s="1111"/>
    </row>
    <row r="815" spans="1:33" s="1295" customFormat="1">
      <c r="A815" s="1264"/>
      <c r="D815" s="1118"/>
      <c r="E815" s="1264"/>
      <c r="F815" s="1118"/>
      <c r="G815" s="1118"/>
      <c r="H815" s="1118"/>
      <c r="I815" s="1118"/>
      <c r="J815" s="1118"/>
      <c r="K815" s="1118"/>
      <c r="L815" s="1118"/>
      <c r="M815" s="1118"/>
      <c r="N815" s="1118"/>
      <c r="O815" s="1118"/>
      <c r="P815" s="1118"/>
      <c r="Q815" s="1111"/>
      <c r="R815" s="1111"/>
      <c r="S815" s="1111"/>
      <c r="T815" s="1111"/>
      <c r="U815" s="1111"/>
      <c r="V815" s="1111"/>
      <c r="W815" s="1111"/>
      <c r="X815" s="1111"/>
      <c r="Y815" s="1111"/>
      <c r="Z815" s="1111"/>
      <c r="AA815" s="1111"/>
      <c r="AB815" s="1111"/>
      <c r="AC815" s="1111"/>
      <c r="AD815" s="1111"/>
      <c r="AE815" s="1111"/>
      <c r="AF815" s="1111"/>
      <c r="AG815" s="1111"/>
    </row>
    <row r="816" spans="1:33" s="1295" customFormat="1">
      <c r="A816" s="1264"/>
      <c r="D816" s="1118"/>
      <c r="E816" s="1264"/>
      <c r="F816" s="1118"/>
      <c r="G816" s="1118"/>
      <c r="H816" s="1118"/>
      <c r="I816" s="1118"/>
      <c r="J816" s="1118"/>
      <c r="K816" s="1118"/>
      <c r="L816" s="1118"/>
      <c r="M816" s="1118"/>
      <c r="N816" s="1118"/>
      <c r="O816" s="1118"/>
      <c r="P816" s="1118"/>
      <c r="Q816" s="1111"/>
      <c r="R816" s="1111"/>
      <c r="S816" s="1111"/>
      <c r="T816" s="1111"/>
      <c r="U816" s="1111"/>
      <c r="V816" s="1111"/>
      <c r="W816" s="1111"/>
      <c r="X816" s="1111"/>
      <c r="Y816" s="1111"/>
      <c r="Z816" s="1111"/>
      <c r="AA816" s="1111"/>
      <c r="AB816" s="1111"/>
      <c r="AC816" s="1111"/>
      <c r="AD816" s="1111"/>
      <c r="AE816" s="1111"/>
      <c r="AF816" s="1111"/>
      <c r="AG816" s="1111"/>
    </row>
    <row r="817" spans="1:33" s="1295" customFormat="1">
      <c r="A817" s="1264"/>
      <c r="D817" s="1118"/>
      <c r="E817" s="1264"/>
      <c r="F817" s="1118"/>
      <c r="G817" s="1118"/>
      <c r="H817" s="1118"/>
      <c r="I817" s="1118"/>
      <c r="J817" s="1118"/>
      <c r="K817" s="1118"/>
      <c r="L817" s="1118"/>
      <c r="M817" s="1118"/>
      <c r="N817" s="1118"/>
      <c r="O817" s="1118"/>
      <c r="P817" s="1118"/>
      <c r="Q817" s="1111"/>
      <c r="R817" s="1111"/>
      <c r="S817" s="1111"/>
      <c r="T817" s="1111"/>
      <c r="U817" s="1111"/>
      <c r="V817" s="1111"/>
      <c r="W817" s="1111"/>
      <c r="X817" s="1111"/>
      <c r="Y817" s="1111"/>
      <c r="Z817" s="1111"/>
      <c r="AA817" s="1111"/>
      <c r="AB817" s="1111"/>
      <c r="AC817" s="1111"/>
      <c r="AD817" s="1111"/>
      <c r="AE817" s="1111"/>
      <c r="AF817" s="1111"/>
      <c r="AG817" s="1111"/>
    </row>
    <row r="818" spans="1:33" s="1295" customFormat="1">
      <c r="A818" s="1264"/>
      <c r="D818" s="1118"/>
      <c r="E818" s="1264"/>
      <c r="F818" s="1118"/>
      <c r="G818" s="1118"/>
      <c r="H818" s="1118"/>
      <c r="I818" s="1118"/>
      <c r="J818" s="1118"/>
      <c r="K818" s="1118"/>
      <c r="L818" s="1118"/>
      <c r="M818" s="1118"/>
      <c r="N818" s="1118"/>
      <c r="O818" s="1118"/>
      <c r="P818" s="1118"/>
      <c r="Q818" s="1111"/>
      <c r="R818" s="1111"/>
      <c r="S818" s="1111"/>
      <c r="T818" s="1111"/>
      <c r="U818" s="1111"/>
      <c r="V818" s="1111"/>
      <c r="W818" s="1111"/>
      <c r="X818" s="1111"/>
      <c r="Y818" s="1111"/>
      <c r="Z818" s="1111"/>
      <c r="AA818" s="1111"/>
      <c r="AB818" s="1111"/>
      <c r="AC818" s="1111"/>
      <c r="AD818" s="1111"/>
      <c r="AE818" s="1111"/>
      <c r="AF818" s="1111"/>
      <c r="AG818" s="1111"/>
    </row>
    <row r="819" spans="1:33" s="1295" customFormat="1">
      <c r="A819" s="1264"/>
      <c r="D819" s="1118"/>
      <c r="E819" s="1264"/>
      <c r="F819" s="1118"/>
      <c r="G819" s="1118"/>
      <c r="H819" s="1118"/>
      <c r="I819" s="1118"/>
      <c r="J819" s="1118"/>
      <c r="K819" s="1118"/>
      <c r="L819" s="1118"/>
      <c r="M819" s="1118"/>
      <c r="N819" s="1118"/>
      <c r="O819" s="1118"/>
      <c r="P819" s="1118"/>
      <c r="Q819" s="1111"/>
      <c r="R819" s="1111"/>
      <c r="S819" s="1111"/>
      <c r="T819" s="1111"/>
      <c r="U819" s="1111"/>
      <c r="V819" s="1111"/>
      <c r="W819" s="1111"/>
      <c r="X819" s="1111"/>
      <c r="Y819" s="1111"/>
      <c r="Z819" s="1111"/>
      <c r="AA819" s="1111"/>
      <c r="AB819" s="1111"/>
      <c r="AC819" s="1111"/>
      <c r="AD819" s="1111"/>
      <c r="AE819" s="1111"/>
      <c r="AF819" s="1111"/>
      <c r="AG819" s="1111"/>
    </row>
    <row r="820" spans="1:33" s="1295" customFormat="1">
      <c r="A820" s="1264"/>
      <c r="D820" s="1118"/>
      <c r="E820" s="1264"/>
      <c r="F820" s="1118"/>
      <c r="G820" s="1118"/>
      <c r="H820" s="1118"/>
      <c r="I820" s="1118"/>
      <c r="J820" s="1118"/>
      <c r="K820" s="1118"/>
      <c r="L820" s="1118"/>
      <c r="M820" s="1118"/>
      <c r="N820" s="1118"/>
      <c r="O820" s="1118"/>
      <c r="P820" s="1118"/>
      <c r="Q820" s="1111"/>
      <c r="R820" s="1111"/>
      <c r="S820" s="1111"/>
      <c r="T820" s="1111"/>
      <c r="U820" s="1111"/>
      <c r="V820" s="1111"/>
      <c r="W820" s="1111"/>
      <c r="X820" s="1111"/>
      <c r="Y820" s="1111"/>
      <c r="Z820" s="1111"/>
      <c r="AA820" s="1111"/>
      <c r="AB820" s="1111"/>
      <c r="AC820" s="1111"/>
      <c r="AD820" s="1111"/>
      <c r="AE820" s="1111"/>
      <c r="AF820" s="1111"/>
      <c r="AG820" s="1111"/>
    </row>
    <row r="821" spans="1:33" s="1295" customFormat="1">
      <c r="A821" s="1264"/>
      <c r="D821" s="1118"/>
      <c r="E821" s="1264"/>
      <c r="F821" s="1118"/>
      <c r="G821" s="1118"/>
      <c r="H821" s="1118"/>
      <c r="I821" s="1118"/>
      <c r="J821" s="1118"/>
      <c r="K821" s="1118"/>
      <c r="L821" s="1118"/>
      <c r="M821" s="1118"/>
      <c r="N821" s="1118"/>
      <c r="O821" s="1118"/>
      <c r="P821" s="1118"/>
      <c r="Q821" s="1111"/>
      <c r="R821" s="1111"/>
      <c r="S821" s="1111"/>
      <c r="T821" s="1111"/>
      <c r="U821" s="1111"/>
      <c r="V821" s="1111"/>
      <c r="W821" s="1111"/>
      <c r="X821" s="1111"/>
      <c r="Y821" s="1111"/>
      <c r="Z821" s="1111"/>
      <c r="AA821" s="1111"/>
      <c r="AB821" s="1111"/>
      <c r="AC821" s="1111"/>
      <c r="AD821" s="1111"/>
      <c r="AE821" s="1111"/>
      <c r="AF821" s="1111"/>
      <c r="AG821" s="1111"/>
    </row>
    <row r="822" spans="1:33" s="1295" customFormat="1">
      <c r="A822" s="1264"/>
      <c r="D822" s="1118"/>
      <c r="E822" s="1264"/>
      <c r="F822" s="1118"/>
      <c r="G822" s="1118"/>
      <c r="H822" s="1118"/>
      <c r="I822" s="1118"/>
      <c r="J822" s="1118"/>
      <c r="K822" s="1118"/>
      <c r="L822" s="1118"/>
      <c r="M822" s="1118"/>
      <c r="N822" s="1118"/>
      <c r="O822" s="1118"/>
      <c r="P822" s="1118"/>
      <c r="Q822" s="1111"/>
      <c r="R822" s="1111"/>
      <c r="S822" s="1111"/>
      <c r="T822" s="1111"/>
      <c r="U822" s="1111"/>
      <c r="V822" s="1111"/>
      <c r="W822" s="1111"/>
      <c r="X822" s="1111"/>
      <c r="Y822" s="1111"/>
      <c r="Z822" s="1111"/>
      <c r="AA822" s="1111"/>
      <c r="AB822" s="1111"/>
      <c r="AC822" s="1111"/>
      <c r="AD822" s="1111"/>
      <c r="AE822" s="1111"/>
      <c r="AF822" s="1111"/>
      <c r="AG822" s="1111"/>
    </row>
    <row r="823" spans="1:33" s="1295" customFormat="1">
      <c r="A823" s="1264"/>
      <c r="D823" s="1118"/>
      <c r="E823" s="1264"/>
      <c r="F823" s="1118"/>
      <c r="G823" s="1118"/>
      <c r="H823" s="1118"/>
      <c r="I823" s="1118"/>
      <c r="J823" s="1118"/>
      <c r="K823" s="1118"/>
      <c r="L823" s="1118"/>
      <c r="M823" s="1118"/>
      <c r="N823" s="1118"/>
      <c r="O823" s="1118"/>
      <c r="P823" s="1118"/>
      <c r="Q823" s="1111"/>
      <c r="R823" s="1111"/>
      <c r="S823" s="1111"/>
      <c r="T823" s="1111"/>
      <c r="U823" s="1111"/>
      <c r="V823" s="1111"/>
      <c r="W823" s="1111"/>
      <c r="X823" s="1111"/>
      <c r="Y823" s="1111"/>
      <c r="Z823" s="1111"/>
      <c r="AA823" s="1111"/>
      <c r="AB823" s="1111"/>
      <c r="AC823" s="1111"/>
      <c r="AD823" s="1111"/>
      <c r="AE823" s="1111"/>
      <c r="AF823" s="1111"/>
      <c r="AG823" s="1111"/>
    </row>
    <row r="824" spans="1:33" s="1295" customFormat="1">
      <c r="A824" s="1264"/>
      <c r="D824" s="1118"/>
      <c r="E824" s="1264"/>
      <c r="F824" s="1118"/>
      <c r="G824" s="1118"/>
      <c r="H824" s="1118"/>
      <c r="I824" s="1118"/>
      <c r="J824" s="1118"/>
      <c r="K824" s="1118"/>
      <c r="L824" s="1118"/>
      <c r="M824" s="1118"/>
      <c r="N824" s="1118"/>
      <c r="O824" s="1118"/>
      <c r="P824" s="1118"/>
      <c r="Q824" s="1111"/>
      <c r="R824" s="1111"/>
      <c r="S824" s="1111"/>
      <c r="T824" s="1111"/>
      <c r="U824" s="1111"/>
      <c r="V824" s="1111"/>
      <c r="W824" s="1111"/>
      <c r="X824" s="1111"/>
      <c r="Y824" s="1111"/>
      <c r="Z824" s="1111"/>
      <c r="AA824" s="1111"/>
      <c r="AB824" s="1111"/>
      <c r="AC824" s="1111"/>
      <c r="AD824" s="1111"/>
      <c r="AE824" s="1111"/>
      <c r="AF824" s="1111"/>
      <c r="AG824" s="1111"/>
    </row>
    <row r="825" spans="1:33" s="1295" customFormat="1">
      <c r="A825" s="1264"/>
      <c r="D825" s="1118"/>
      <c r="E825" s="1264"/>
      <c r="F825" s="1118"/>
      <c r="G825" s="1118"/>
      <c r="H825" s="1118"/>
      <c r="I825" s="1118"/>
      <c r="J825" s="1118"/>
      <c r="K825" s="1118"/>
      <c r="L825" s="1118"/>
      <c r="M825" s="1118"/>
      <c r="N825" s="1118"/>
      <c r="O825" s="1118"/>
      <c r="P825" s="1118"/>
      <c r="Q825" s="1111"/>
      <c r="R825" s="1111"/>
      <c r="S825" s="1111"/>
      <c r="T825" s="1111"/>
      <c r="U825" s="1111"/>
      <c r="V825" s="1111"/>
      <c r="W825" s="1111"/>
      <c r="X825" s="1111"/>
      <c r="Y825" s="1111"/>
      <c r="Z825" s="1111"/>
      <c r="AA825" s="1111"/>
      <c r="AB825" s="1111"/>
      <c r="AC825" s="1111"/>
      <c r="AD825" s="1111"/>
      <c r="AE825" s="1111"/>
      <c r="AF825" s="1111"/>
      <c r="AG825" s="1111"/>
    </row>
    <row r="826" spans="1:33" s="1295" customFormat="1">
      <c r="A826" s="1264"/>
      <c r="D826" s="1118"/>
      <c r="E826" s="1264"/>
      <c r="F826" s="1118"/>
      <c r="G826" s="1118"/>
      <c r="H826" s="1118"/>
      <c r="I826" s="1118"/>
      <c r="J826" s="1118"/>
      <c r="K826" s="1118"/>
      <c r="L826" s="1118"/>
      <c r="M826" s="1118"/>
      <c r="N826" s="1118"/>
      <c r="O826" s="1118"/>
      <c r="P826" s="1118"/>
      <c r="Q826" s="1111"/>
      <c r="R826" s="1111"/>
      <c r="S826" s="1111"/>
      <c r="T826" s="1111"/>
      <c r="U826" s="1111"/>
      <c r="V826" s="1111"/>
      <c r="W826" s="1111"/>
      <c r="X826" s="1111"/>
      <c r="Y826" s="1111"/>
      <c r="Z826" s="1111"/>
      <c r="AA826" s="1111"/>
      <c r="AB826" s="1111"/>
      <c r="AC826" s="1111"/>
      <c r="AD826" s="1111"/>
      <c r="AE826" s="1111"/>
      <c r="AF826" s="1111"/>
      <c r="AG826" s="1111"/>
    </row>
    <row r="827" spans="1:33" s="1295" customFormat="1">
      <c r="A827" s="1264"/>
      <c r="D827" s="1118"/>
      <c r="E827" s="1264"/>
      <c r="F827" s="1118"/>
      <c r="G827" s="1118"/>
      <c r="H827" s="1118"/>
      <c r="I827" s="1118"/>
      <c r="J827" s="1118"/>
      <c r="K827" s="1118"/>
      <c r="L827" s="1118"/>
      <c r="M827" s="1118"/>
      <c r="N827" s="1118"/>
      <c r="O827" s="1118"/>
      <c r="P827" s="1118"/>
      <c r="Q827" s="1111"/>
      <c r="R827" s="1111"/>
      <c r="S827" s="1111"/>
      <c r="T827" s="1111"/>
      <c r="U827" s="1111"/>
      <c r="V827" s="1111"/>
      <c r="W827" s="1111"/>
      <c r="X827" s="1111"/>
      <c r="Y827" s="1111"/>
      <c r="Z827" s="1111"/>
      <c r="AA827" s="1111"/>
      <c r="AB827" s="1111"/>
      <c r="AC827" s="1111"/>
      <c r="AD827" s="1111"/>
      <c r="AE827" s="1111"/>
      <c r="AF827" s="1111"/>
      <c r="AG827" s="1111"/>
    </row>
    <row r="828" spans="1:33" s="1295" customFormat="1">
      <c r="A828" s="1264"/>
      <c r="D828" s="1118"/>
      <c r="E828" s="1264"/>
      <c r="F828" s="1118"/>
      <c r="G828" s="1118"/>
      <c r="H828" s="1118"/>
      <c r="I828" s="1118"/>
      <c r="J828" s="1118"/>
      <c r="K828" s="1118"/>
      <c r="L828" s="1118"/>
      <c r="M828" s="1118"/>
      <c r="N828" s="1118"/>
      <c r="O828" s="1118"/>
      <c r="P828" s="1118"/>
      <c r="Q828" s="1111"/>
      <c r="R828" s="1111"/>
      <c r="S828" s="1111"/>
      <c r="T828" s="1111"/>
      <c r="U828" s="1111"/>
      <c r="V828" s="1111"/>
      <c r="W828" s="1111"/>
      <c r="X828" s="1111"/>
      <c r="Y828" s="1111"/>
      <c r="Z828" s="1111"/>
      <c r="AA828" s="1111"/>
      <c r="AB828" s="1111"/>
      <c r="AC828" s="1111"/>
      <c r="AD828" s="1111"/>
      <c r="AE828" s="1111"/>
      <c r="AF828" s="1111"/>
      <c r="AG828" s="1111"/>
    </row>
    <row r="829" spans="1:33" s="1295" customFormat="1">
      <c r="A829" s="1264"/>
      <c r="D829" s="1118"/>
      <c r="E829" s="1264"/>
      <c r="F829" s="1118"/>
      <c r="G829" s="1118"/>
      <c r="H829" s="1118"/>
      <c r="I829" s="1118"/>
      <c r="J829" s="1118"/>
      <c r="K829" s="1118"/>
      <c r="L829" s="1118"/>
      <c r="M829" s="1118"/>
      <c r="N829" s="1118"/>
      <c r="O829" s="1118"/>
      <c r="P829" s="1118"/>
      <c r="Q829" s="1111"/>
      <c r="R829" s="1111"/>
      <c r="S829" s="1111"/>
      <c r="T829" s="1111"/>
      <c r="U829" s="1111"/>
      <c r="V829" s="1111"/>
      <c r="W829" s="1111"/>
      <c r="X829" s="1111"/>
      <c r="Y829" s="1111"/>
      <c r="Z829" s="1111"/>
      <c r="AA829" s="1111"/>
      <c r="AB829" s="1111"/>
      <c r="AC829" s="1111"/>
      <c r="AD829" s="1111"/>
      <c r="AE829" s="1111"/>
      <c r="AF829" s="1111"/>
      <c r="AG829" s="1111"/>
    </row>
    <row r="830" spans="1:33" s="1295" customFormat="1">
      <c r="A830" s="1264"/>
      <c r="D830" s="1118"/>
      <c r="E830" s="1264"/>
      <c r="F830" s="1118"/>
      <c r="G830" s="1118"/>
      <c r="H830" s="1118"/>
      <c r="I830" s="1118"/>
      <c r="J830" s="1118"/>
      <c r="K830" s="1118"/>
      <c r="L830" s="1118"/>
      <c r="M830" s="1118"/>
      <c r="N830" s="1118"/>
      <c r="O830" s="1118"/>
      <c r="P830" s="1118"/>
      <c r="Q830" s="1111"/>
      <c r="R830" s="1111"/>
      <c r="S830" s="1111"/>
      <c r="T830" s="1111"/>
      <c r="U830" s="1111"/>
      <c r="V830" s="1111"/>
      <c r="W830" s="1111"/>
      <c r="X830" s="1111"/>
      <c r="Y830" s="1111"/>
      <c r="Z830" s="1111"/>
      <c r="AA830" s="1111"/>
      <c r="AB830" s="1111"/>
      <c r="AC830" s="1111"/>
      <c r="AD830" s="1111"/>
      <c r="AE830" s="1111"/>
      <c r="AF830" s="1111"/>
      <c r="AG830" s="1111"/>
    </row>
    <row r="831" spans="1:33" s="1295" customFormat="1">
      <c r="A831" s="1264"/>
      <c r="D831" s="1118"/>
      <c r="E831" s="1264"/>
      <c r="F831" s="1118"/>
      <c r="G831" s="1118"/>
      <c r="H831" s="1118"/>
      <c r="I831" s="1118"/>
      <c r="J831" s="1118"/>
      <c r="K831" s="1118"/>
      <c r="L831" s="1118"/>
      <c r="M831" s="1118"/>
      <c r="N831" s="1118"/>
      <c r="O831" s="1118"/>
      <c r="P831" s="1118"/>
      <c r="Q831" s="1111"/>
      <c r="R831" s="1111"/>
      <c r="S831" s="1111"/>
      <c r="T831" s="1111"/>
      <c r="U831" s="1111"/>
      <c r="V831" s="1111"/>
      <c r="W831" s="1111"/>
      <c r="X831" s="1111"/>
      <c r="Y831" s="1111"/>
      <c r="Z831" s="1111"/>
      <c r="AA831" s="1111"/>
      <c r="AB831" s="1111"/>
      <c r="AC831" s="1111"/>
      <c r="AD831" s="1111"/>
      <c r="AE831" s="1111"/>
      <c r="AF831" s="1111"/>
      <c r="AG831" s="1111"/>
    </row>
    <row r="832" spans="1:33" s="1295" customFormat="1">
      <c r="A832" s="1264"/>
      <c r="D832" s="1118"/>
      <c r="E832" s="1264"/>
      <c r="F832" s="1118"/>
      <c r="G832" s="1118"/>
      <c r="H832" s="1118"/>
      <c r="I832" s="1118"/>
      <c r="J832" s="1118"/>
      <c r="K832" s="1118"/>
      <c r="L832" s="1118"/>
      <c r="M832" s="1118"/>
      <c r="N832" s="1118"/>
      <c r="O832" s="1118"/>
      <c r="P832" s="1118"/>
      <c r="Q832" s="1111"/>
      <c r="R832" s="1111"/>
      <c r="S832" s="1111"/>
      <c r="T832" s="1111"/>
      <c r="U832" s="1111"/>
      <c r="V832" s="1111"/>
      <c r="W832" s="1111"/>
      <c r="X832" s="1111"/>
      <c r="Y832" s="1111"/>
      <c r="Z832" s="1111"/>
      <c r="AA832" s="1111"/>
      <c r="AB832" s="1111"/>
      <c r="AC832" s="1111"/>
      <c r="AD832" s="1111"/>
      <c r="AE832" s="1111"/>
      <c r="AF832" s="1111"/>
      <c r="AG832" s="1111"/>
    </row>
    <row r="833" spans="1:33" s="1295" customFormat="1">
      <c r="A833" s="1264"/>
      <c r="D833" s="1118"/>
      <c r="E833" s="1264"/>
      <c r="F833" s="1118"/>
      <c r="G833" s="1118"/>
      <c r="H833" s="1118"/>
      <c r="I833" s="1118"/>
      <c r="J833" s="1118"/>
      <c r="K833" s="1118"/>
      <c r="L833" s="1118"/>
      <c r="M833" s="1118"/>
      <c r="N833" s="1118"/>
      <c r="O833" s="1118"/>
      <c r="P833" s="1118"/>
      <c r="Q833" s="1111"/>
      <c r="R833" s="1111"/>
      <c r="S833" s="1111"/>
      <c r="T833" s="1111"/>
      <c r="U833" s="1111"/>
      <c r="V833" s="1111"/>
      <c r="W833" s="1111"/>
      <c r="X833" s="1111"/>
      <c r="Y833" s="1111"/>
      <c r="Z833" s="1111"/>
      <c r="AA833" s="1111"/>
      <c r="AB833" s="1111"/>
      <c r="AC833" s="1111"/>
      <c r="AD833" s="1111"/>
      <c r="AE833" s="1111"/>
      <c r="AF833" s="1111"/>
      <c r="AG833" s="1111"/>
    </row>
    <row r="834" spans="1:33" s="1295" customFormat="1">
      <c r="A834" s="1264"/>
      <c r="D834" s="1118"/>
      <c r="E834" s="1264"/>
      <c r="F834" s="1118"/>
      <c r="G834" s="1118"/>
      <c r="H834" s="1118"/>
      <c r="I834" s="1118"/>
      <c r="J834" s="1118"/>
      <c r="K834" s="1118"/>
      <c r="L834" s="1118"/>
      <c r="M834" s="1118"/>
      <c r="N834" s="1118"/>
      <c r="O834" s="1118"/>
      <c r="P834" s="1118"/>
      <c r="Q834" s="1111"/>
      <c r="R834" s="1111"/>
      <c r="S834" s="1111"/>
      <c r="T834" s="1111"/>
      <c r="U834" s="1111"/>
      <c r="V834" s="1111"/>
      <c r="W834" s="1111"/>
      <c r="X834" s="1111"/>
      <c r="Y834" s="1111"/>
      <c r="Z834" s="1111"/>
      <c r="AA834" s="1111"/>
      <c r="AB834" s="1111"/>
      <c r="AC834" s="1111"/>
      <c r="AD834" s="1111"/>
      <c r="AE834" s="1111"/>
      <c r="AF834" s="1111"/>
      <c r="AG834" s="1111"/>
    </row>
    <row r="835" spans="1:33" s="1295" customFormat="1">
      <c r="A835" s="1264"/>
      <c r="D835" s="1118"/>
      <c r="E835" s="1264"/>
      <c r="F835" s="1118"/>
      <c r="G835" s="1118"/>
      <c r="H835" s="1118"/>
      <c r="I835" s="1118"/>
      <c r="J835" s="1118"/>
      <c r="K835" s="1118"/>
      <c r="L835" s="1118"/>
      <c r="M835" s="1118"/>
      <c r="N835" s="1118"/>
      <c r="O835" s="1118"/>
      <c r="P835" s="1118"/>
      <c r="Q835" s="1111"/>
      <c r="R835" s="1111"/>
      <c r="S835" s="1111"/>
      <c r="T835" s="1111"/>
      <c r="U835" s="1111"/>
      <c r="V835" s="1111"/>
      <c r="W835" s="1111"/>
      <c r="X835" s="1111"/>
      <c r="Y835" s="1111"/>
      <c r="Z835" s="1111"/>
      <c r="AA835" s="1111"/>
      <c r="AB835" s="1111"/>
      <c r="AC835" s="1111"/>
      <c r="AD835" s="1111"/>
      <c r="AE835" s="1111"/>
      <c r="AF835" s="1111"/>
      <c r="AG835" s="1111"/>
    </row>
    <row r="836" spans="1:33" s="1295" customFormat="1">
      <c r="A836" s="1264"/>
      <c r="D836" s="1118"/>
      <c r="E836" s="1264"/>
      <c r="F836" s="1118"/>
      <c r="G836" s="1118"/>
      <c r="H836" s="1118"/>
      <c r="I836" s="1118"/>
      <c r="J836" s="1118"/>
      <c r="K836" s="1118"/>
      <c r="L836" s="1118"/>
      <c r="M836" s="1118"/>
      <c r="N836" s="1118"/>
      <c r="O836" s="1118"/>
      <c r="P836" s="1118"/>
      <c r="Q836" s="1111"/>
      <c r="R836" s="1111"/>
      <c r="S836" s="1111"/>
      <c r="T836" s="1111"/>
      <c r="U836" s="1111"/>
      <c r="V836" s="1111"/>
      <c r="W836" s="1111"/>
      <c r="X836" s="1111"/>
      <c r="Y836" s="1111"/>
      <c r="Z836" s="1111"/>
      <c r="AA836" s="1111"/>
      <c r="AB836" s="1111"/>
      <c r="AC836" s="1111"/>
      <c r="AD836" s="1111"/>
      <c r="AE836" s="1111"/>
      <c r="AF836" s="1111"/>
      <c r="AG836" s="1111"/>
    </row>
    <row r="837" spans="1:33" s="1295" customFormat="1">
      <c r="A837" s="1264"/>
      <c r="D837" s="1118"/>
      <c r="E837" s="1264"/>
      <c r="F837" s="1118"/>
      <c r="G837" s="1118"/>
      <c r="H837" s="1118"/>
      <c r="I837" s="1118"/>
      <c r="J837" s="1118"/>
      <c r="K837" s="1118"/>
      <c r="L837" s="1118"/>
      <c r="M837" s="1118"/>
      <c r="N837" s="1118"/>
      <c r="O837" s="1118"/>
      <c r="P837" s="1118"/>
      <c r="Q837" s="1111"/>
      <c r="R837" s="1111"/>
      <c r="S837" s="1111"/>
      <c r="T837" s="1111"/>
      <c r="U837" s="1111"/>
      <c r="V837" s="1111"/>
      <c r="W837" s="1111"/>
      <c r="X837" s="1111"/>
      <c r="Y837" s="1111"/>
      <c r="Z837" s="1111"/>
      <c r="AA837" s="1111"/>
      <c r="AB837" s="1111"/>
      <c r="AC837" s="1111"/>
      <c r="AD837" s="1111"/>
      <c r="AE837" s="1111"/>
      <c r="AF837" s="1111"/>
      <c r="AG837" s="1111"/>
    </row>
    <row r="838" spans="1:33" s="1295" customFormat="1">
      <c r="A838" s="1264"/>
      <c r="D838" s="1118"/>
      <c r="E838" s="1264"/>
      <c r="F838" s="1118"/>
      <c r="G838" s="1118"/>
      <c r="H838" s="1118"/>
      <c r="I838" s="1118"/>
      <c r="J838" s="1118"/>
      <c r="K838" s="1118"/>
      <c r="L838" s="1118"/>
      <c r="M838" s="1118"/>
      <c r="N838" s="1118"/>
      <c r="O838" s="1118"/>
      <c r="P838" s="1118"/>
      <c r="Q838" s="1111"/>
      <c r="R838" s="1111"/>
      <c r="S838" s="1111"/>
      <c r="T838" s="1111"/>
      <c r="U838" s="1111"/>
      <c r="V838" s="1111"/>
      <c r="W838" s="1111"/>
      <c r="X838" s="1111"/>
      <c r="Y838" s="1111"/>
      <c r="Z838" s="1111"/>
      <c r="AA838" s="1111"/>
      <c r="AB838" s="1111"/>
      <c r="AC838" s="1111"/>
      <c r="AD838" s="1111"/>
      <c r="AE838" s="1111"/>
      <c r="AF838" s="1111"/>
      <c r="AG838" s="1111"/>
    </row>
    <row r="839" spans="1:33" s="1295" customFormat="1">
      <c r="A839" s="1264"/>
      <c r="D839" s="1118"/>
      <c r="E839" s="1264"/>
      <c r="F839" s="1118"/>
      <c r="G839" s="1118"/>
      <c r="H839" s="1118"/>
      <c r="I839" s="1118"/>
      <c r="J839" s="1118"/>
      <c r="K839" s="1118"/>
      <c r="L839" s="1118"/>
      <c r="M839" s="1118"/>
      <c r="N839" s="1118"/>
      <c r="O839" s="1118"/>
      <c r="P839" s="1118"/>
      <c r="Q839" s="1111"/>
      <c r="R839" s="1111"/>
      <c r="S839" s="1111"/>
      <c r="T839" s="1111"/>
      <c r="U839" s="1111"/>
      <c r="V839" s="1111"/>
      <c r="W839" s="1111"/>
      <c r="X839" s="1111"/>
      <c r="Y839" s="1111"/>
      <c r="Z839" s="1111"/>
      <c r="AA839" s="1111"/>
      <c r="AB839" s="1111"/>
      <c r="AC839" s="1111"/>
      <c r="AD839" s="1111"/>
      <c r="AE839" s="1111"/>
      <c r="AF839" s="1111"/>
      <c r="AG839" s="1111"/>
    </row>
    <row r="840" spans="1:33" s="1295" customFormat="1">
      <c r="A840" s="1264"/>
      <c r="D840" s="1118"/>
      <c r="E840" s="1264"/>
      <c r="F840" s="1118"/>
      <c r="G840" s="1118"/>
      <c r="H840" s="1118"/>
      <c r="I840" s="1118"/>
      <c r="J840" s="1118"/>
      <c r="K840" s="1118"/>
      <c r="L840" s="1118"/>
      <c r="M840" s="1118"/>
      <c r="N840" s="1118"/>
      <c r="O840" s="1118"/>
      <c r="P840" s="1118"/>
      <c r="Q840" s="1111"/>
      <c r="R840" s="1111"/>
      <c r="S840" s="1111"/>
      <c r="T840" s="1111"/>
      <c r="U840" s="1111"/>
      <c r="V840" s="1111"/>
      <c r="W840" s="1111"/>
      <c r="X840" s="1111"/>
      <c r="Y840" s="1111"/>
      <c r="Z840" s="1111"/>
      <c r="AA840" s="1111"/>
      <c r="AB840" s="1111"/>
      <c r="AC840" s="1111"/>
      <c r="AD840" s="1111"/>
      <c r="AE840" s="1111"/>
      <c r="AF840" s="1111"/>
      <c r="AG840" s="1111"/>
    </row>
    <row r="841" spans="1:33" s="1295" customFormat="1">
      <c r="A841" s="1264"/>
      <c r="D841" s="1118"/>
      <c r="E841" s="1264"/>
      <c r="F841" s="1118"/>
      <c r="G841" s="1118"/>
      <c r="H841" s="1118"/>
      <c r="I841" s="1118"/>
      <c r="J841" s="1118"/>
      <c r="K841" s="1118"/>
      <c r="L841" s="1118"/>
      <c r="M841" s="1118"/>
      <c r="N841" s="1118"/>
      <c r="O841" s="1118"/>
      <c r="P841" s="1118"/>
      <c r="Q841" s="1111"/>
      <c r="R841" s="1111"/>
      <c r="S841" s="1111"/>
      <c r="T841" s="1111"/>
      <c r="U841" s="1111"/>
      <c r="V841" s="1111"/>
      <c r="W841" s="1111"/>
      <c r="X841" s="1111"/>
      <c r="Y841" s="1111"/>
      <c r="Z841" s="1111"/>
      <c r="AA841" s="1111"/>
      <c r="AB841" s="1111"/>
      <c r="AC841" s="1111"/>
      <c r="AD841" s="1111"/>
      <c r="AE841" s="1111"/>
      <c r="AF841" s="1111"/>
      <c r="AG841" s="1111"/>
    </row>
    <row r="842" spans="1:33" s="1295" customFormat="1">
      <c r="A842" s="1264"/>
      <c r="D842" s="1118"/>
      <c r="E842" s="1264"/>
      <c r="F842" s="1118"/>
      <c r="G842" s="1118"/>
      <c r="H842" s="1118"/>
      <c r="I842" s="1118"/>
      <c r="J842" s="1118"/>
      <c r="K842" s="1118"/>
      <c r="L842" s="1118"/>
      <c r="M842" s="1118"/>
      <c r="N842" s="1118"/>
      <c r="O842" s="1118"/>
      <c r="P842" s="1118"/>
      <c r="Q842" s="1111"/>
      <c r="R842" s="1111"/>
      <c r="S842" s="1111"/>
      <c r="T842" s="1111"/>
      <c r="U842" s="1111"/>
      <c r="V842" s="1111"/>
      <c r="W842" s="1111"/>
      <c r="X842" s="1111"/>
      <c r="Y842" s="1111"/>
      <c r="Z842" s="1111"/>
      <c r="AA842" s="1111"/>
      <c r="AB842" s="1111"/>
      <c r="AC842" s="1111"/>
      <c r="AD842" s="1111"/>
      <c r="AE842" s="1111"/>
      <c r="AF842" s="1111"/>
      <c r="AG842" s="1111"/>
    </row>
    <row r="843" spans="1:33" s="1295" customFormat="1">
      <c r="A843" s="1264"/>
      <c r="D843" s="1118"/>
      <c r="E843" s="1264"/>
      <c r="F843" s="1118"/>
      <c r="G843" s="1118"/>
      <c r="H843" s="1118"/>
      <c r="I843" s="1118"/>
      <c r="J843" s="1118"/>
      <c r="K843" s="1118"/>
      <c r="L843" s="1118"/>
      <c r="M843" s="1118"/>
      <c r="N843" s="1118"/>
      <c r="O843" s="1118"/>
      <c r="P843" s="1118"/>
      <c r="Q843" s="1111"/>
      <c r="R843" s="1111"/>
      <c r="S843" s="1111"/>
      <c r="T843" s="1111"/>
      <c r="U843" s="1111"/>
      <c r="V843" s="1111"/>
      <c r="W843" s="1111"/>
      <c r="X843" s="1111"/>
      <c r="Y843" s="1111"/>
      <c r="Z843" s="1111"/>
      <c r="AA843" s="1111"/>
      <c r="AB843" s="1111"/>
      <c r="AC843" s="1111"/>
      <c r="AD843" s="1111"/>
      <c r="AE843" s="1111"/>
      <c r="AF843" s="1111"/>
      <c r="AG843" s="1111"/>
    </row>
    <row r="844" spans="1:33" s="1295" customFormat="1">
      <c r="A844" s="1264"/>
      <c r="D844" s="1118"/>
      <c r="E844" s="1264"/>
      <c r="F844" s="1118"/>
      <c r="G844" s="1118"/>
      <c r="H844" s="1118"/>
      <c r="I844" s="1118"/>
      <c r="J844" s="1118"/>
      <c r="K844" s="1118"/>
      <c r="L844" s="1118"/>
      <c r="M844" s="1118"/>
      <c r="N844" s="1118"/>
      <c r="O844" s="1118"/>
      <c r="P844" s="1118"/>
      <c r="Q844" s="1111"/>
      <c r="R844" s="1111"/>
      <c r="S844" s="1111"/>
      <c r="T844" s="1111"/>
      <c r="U844" s="1111"/>
      <c r="V844" s="1111"/>
      <c r="W844" s="1111"/>
      <c r="X844" s="1111"/>
      <c r="Y844" s="1111"/>
      <c r="Z844" s="1111"/>
      <c r="AA844" s="1111"/>
      <c r="AB844" s="1111"/>
      <c r="AC844" s="1111"/>
      <c r="AD844" s="1111"/>
      <c r="AE844" s="1111"/>
      <c r="AF844" s="1111"/>
      <c r="AG844" s="1111"/>
    </row>
    <row r="845" spans="1:33" s="1295" customFormat="1">
      <c r="A845" s="1264"/>
      <c r="D845" s="1118"/>
      <c r="E845" s="1264"/>
      <c r="F845" s="1118"/>
      <c r="G845" s="1118"/>
      <c r="H845" s="1118"/>
      <c r="I845" s="1118"/>
      <c r="J845" s="1118"/>
      <c r="K845" s="1118"/>
      <c r="L845" s="1118"/>
      <c r="M845" s="1118"/>
      <c r="N845" s="1118"/>
      <c r="O845" s="1118"/>
      <c r="P845" s="1118"/>
      <c r="Q845" s="1111"/>
      <c r="R845" s="1111"/>
      <c r="S845" s="1111"/>
      <c r="T845" s="1111"/>
      <c r="U845" s="1111"/>
      <c r="V845" s="1111"/>
      <c r="W845" s="1111"/>
      <c r="X845" s="1111"/>
      <c r="Y845" s="1111"/>
      <c r="Z845" s="1111"/>
      <c r="AA845" s="1111"/>
      <c r="AB845" s="1111"/>
      <c r="AC845" s="1111"/>
      <c r="AD845" s="1111"/>
      <c r="AE845" s="1111"/>
      <c r="AF845" s="1111"/>
      <c r="AG845" s="1111"/>
    </row>
    <row r="846" spans="1:33" s="1295" customFormat="1">
      <c r="A846" s="1264"/>
      <c r="D846" s="1118"/>
      <c r="E846" s="1264"/>
      <c r="F846" s="1118"/>
      <c r="G846" s="1118"/>
      <c r="H846" s="1118"/>
      <c r="I846" s="1118"/>
      <c r="J846" s="1118"/>
      <c r="K846" s="1118"/>
      <c r="L846" s="1118"/>
      <c r="M846" s="1118"/>
      <c r="N846" s="1118"/>
      <c r="O846" s="1118"/>
      <c r="P846" s="1118"/>
      <c r="Q846" s="1111"/>
      <c r="R846" s="1111"/>
      <c r="S846" s="1111"/>
      <c r="T846" s="1111"/>
      <c r="U846" s="1111"/>
      <c r="V846" s="1111"/>
      <c r="W846" s="1111"/>
      <c r="X846" s="1111"/>
      <c r="Y846" s="1111"/>
      <c r="Z846" s="1111"/>
      <c r="AA846" s="1111"/>
      <c r="AB846" s="1111"/>
      <c r="AC846" s="1111"/>
      <c r="AD846" s="1111"/>
      <c r="AE846" s="1111"/>
      <c r="AF846" s="1111"/>
      <c r="AG846" s="1111"/>
    </row>
    <row r="847" spans="1:33" s="1295" customFormat="1">
      <c r="A847" s="1264"/>
      <c r="D847" s="1118"/>
      <c r="E847" s="1264"/>
      <c r="F847" s="1118"/>
      <c r="G847" s="1118"/>
      <c r="H847" s="1118"/>
      <c r="I847" s="1118"/>
      <c r="J847" s="1118"/>
      <c r="K847" s="1118"/>
      <c r="L847" s="1118"/>
      <c r="M847" s="1118"/>
      <c r="N847" s="1118"/>
      <c r="O847" s="1118"/>
      <c r="P847" s="1118"/>
      <c r="Q847" s="1111"/>
      <c r="R847" s="1111"/>
      <c r="S847" s="1111"/>
      <c r="T847" s="1111"/>
      <c r="U847" s="1111"/>
      <c r="V847" s="1111"/>
      <c r="W847" s="1111"/>
      <c r="X847" s="1111"/>
      <c r="Y847" s="1111"/>
      <c r="Z847" s="1111"/>
      <c r="AA847" s="1111"/>
      <c r="AB847" s="1111"/>
      <c r="AC847" s="1111"/>
      <c r="AD847" s="1111"/>
      <c r="AE847" s="1111"/>
      <c r="AF847" s="1111"/>
      <c r="AG847" s="1111"/>
    </row>
    <row r="848" spans="1:33" s="1295" customFormat="1">
      <c r="A848" s="1264"/>
      <c r="D848" s="1118"/>
      <c r="E848" s="1264"/>
      <c r="F848" s="1118"/>
      <c r="G848" s="1118"/>
      <c r="H848" s="1118"/>
      <c r="I848" s="1118"/>
      <c r="J848" s="1118"/>
      <c r="K848" s="1118"/>
      <c r="L848" s="1118"/>
      <c r="M848" s="1118"/>
      <c r="N848" s="1118"/>
      <c r="O848" s="1118"/>
      <c r="P848" s="1118"/>
      <c r="Q848" s="1111"/>
      <c r="R848" s="1111"/>
      <c r="S848" s="1111"/>
      <c r="T848" s="1111"/>
      <c r="U848" s="1111"/>
      <c r="V848" s="1111"/>
      <c r="W848" s="1111"/>
      <c r="X848" s="1111"/>
      <c r="Y848" s="1111"/>
      <c r="Z848" s="1111"/>
      <c r="AA848" s="1111"/>
      <c r="AB848" s="1111"/>
      <c r="AC848" s="1111"/>
      <c r="AD848" s="1111"/>
      <c r="AE848" s="1111"/>
      <c r="AF848" s="1111"/>
      <c r="AG848" s="1111"/>
    </row>
    <row r="849" spans="1:33" s="1295" customFormat="1">
      <c r="A849" s="1264"/>
      <c r="D849" s="1118"/>
      <c r="E849" s="1264"/>
      <c r="F849" s="1118"/>
      <c r="G849" s="1118"/>
      <c r="H849" s="1118"/>
      <c r="I849" s="1118"/>
      <c r="J849" s="1118"/>
      <c r="K849" s="1118"/>
      <c r="L849" s="1118"/>
      <c r="M849" s="1118"/>
      <c r="N849" s="1118"/>
      <c r="O849" s="1118"/>
      <c r="P849" s="1118"/>
      <c r="Q849" s="1111"/>
      <c r="R849" s="1111"/>
      <c r="S849" s="1111"/>
      <c r="T849" s="1111"/>
      <c r="U849" s="1111"/>
      <c r="V849" s="1111"/>
      <c r="W849" s="1111"/>
      <c r="X849" s="1111"/>
      <c r="Y849" s="1111"/>
      <c r="Z849" s="1111"/>
      <c r="AA849" s="1111"/>
      <c r="AB849" s="1111"/>
      <c r="AC849" s="1111"/>
      <c r="AD849" s="1111"/>
      <c r="AE849" s="1111"/>
      <c r="AF849" s="1111"/>
      <c r="AG849" s="1111"/>
    </row>
    <row r="850" spans="1:33" s="1295" customFormat="1">
      <c r="A850" s="1264"/>
      <c r="D850" s="1118"/>
      <c r="E850" s="1264"/>
      <c r="F850" s="1118"/>
      <c r="G850" s="1118"/>
      <c r="H850" s="1118"/>
      <c r="I850" s="1118"/>
      <c r="J850" s="1118"/>
      <c r="K850" s="1118"/>
      <c r="L850" s="1118"/>
      <c r="M850" s="1118"/>
      <c r="N850" s="1118"/>
      <c r="O850" s="1118"/>
      <c r="P850" s="1118"/>
      <c r="Q850" s="1111"/>
      <c r="R850" s="1111"/>
      <c r="S850" s="1111"/>
      <c r="T850" s="1111"/>
      <c r="U850" s="1111"/>
      <c r="V850" s="1111"/>
      <c r="W850" s="1111"/>
      <c r="X850" s="1111"/>
      <c r="Y850" s="1111"/>
      <c r="Z850" s="1111"/>
      <c r="AA850" s="1111"/>
      <c r="AB850" s="1111"/>
      <c r="AC850" s="1111"/>
      <c r="AD850" s="1111"/>
      <c r="AE850" s="1111"/>
      <c r="AF850" s="1111"/>
      <c r="AG850" s="1111"/>
    </row>
    <row r="851" spans="1:33" s="1295" customFormat="1">
      <c r="A851" s="1264"/>
      <c r="D851" s="1118"/>
      <c r="E851" s="1264"/>
      <c r="F851" s="1118"/>
      <c r="G851" s="1118"/>
      <c r="H851" s="1118"/>
      <c r="I851" s="1118"/>
      <c r="J851" s="1118"/>
      <c r="K851" s="1118"/>
      <c r="L851" s="1118"/>
      <c r="M851" s="1118"/>
      <c r="N851" s="1118"/>
      <c r="O851" s="1118"/>
      <c r="P851" s="1118"/>
      <c r="Q851" s="1111"/>
      <c r="R851" s="1111"/>
      <c r="S851" s="1111"/>
      <c r="T851" s="1111"/>
      <c r="U851" s="1111"/>
      <c r="V851" s="1111"/>
      <c r="W851" s="1111"/>
      <c r="X851" s="1111"/>
      <c r="Y851" s="1111"/>
      <c r="Z851" s="1111"/>
      <c r="AA851" s="1111"/>
      <c r="AB851" s="1111"/>
      <c r="AC851" s="1111"/>
      <c r="AD851" s="1111"/>
      <c r="AE851" s="1111"/>
      <c r="AF851" s="1111"/>
      <c r="AG851" s="1111"/>
    </row>
    <row r="852" spans="1:33" s="1295" customFormat="1">
      <c r="A852" s="1264"/>
      <c r="D852" s="1118"/>
      <c r="E852" s="1264"/>
      <c r="F852" s="1118"/>
      <c r="G852" s="1118"/>
      <c r="H852" s="1118"/>
      <c r="I852" s="1118"/>
      <c r="J852" s="1118"/>
      <c r="K852" s="1118"/>
      <c r="L852" s="1118"/>
      <c r="M852" s="1118"/>
      <c r="N852" s="1118"/>
      <c r="O852" s="1118"/>
      <c r="P852" s="1118"/>
      <c r="Q852" s="1111"/>
      <c r="R852" s="1111"/>
      <c r="S852" s="1111"/>
      <c r="T852" s="1111"/>
      <c r="U852" s="1111"/>
      <c r="V852" s="1111"/>
      <c r="W852" s="1111"/>
      <c r="X852" s="1111"/>
      <c r="Y852" s="1111"/>
      <c r="Z852" s="1111"/>
      <c r="AA852" s="1111"/>
      <c r="AB852" s="1111"/>
      <c r="AC852" s="1111"/>
      <c r="AD852" s="1111"/>
      <c r="AE852" s="1111"/>
      <c r="AF852" s="1111"/>
      <c r="AG852" s="1111"/>
    </row>
    <row r="853" spans="1:33" s="1295" customFormat="1">
      <c r="A853" s="1264"/>
      <c r="D853" s="1118"/>
      <c r="E853" s="1264"/>
      <c r="F853" s="1118"/>
      <c r="G853" s="1118"/>
      <c r="H853" s="1118"/>
      <c r="I853" s="1118"/>
      <c r="J853" s="1118"/>
      <c r="K853" s="1118"/>
      <c r="L853" s="1118"/>
      <c r="M853" s="1118"/>
      <c r="N853" s="1118"/>
      <c r="O853" s="1118"/>
      <c r="P853" s="1118"/>
      <c r="Q853" s="1111"/>
      <c r="R853" s="1111"/>
      <c r="S853" s="1111"/>
      <c r="T853" s="1111"/>
      <c r="U853" s="1111"/>
      <c r="V853" s="1111"/>
      <c r="W853" s="1111"/>
      <c r="X853" s="1111"/>
      <c r="Y853" s="1111"/>
      <c r="Z853" s="1111"/>
      <c r="AA853" s="1111"/>
      <c r="AB853" s="1111"/>
      <c r="AC853" s="1111"/>
      <c r="AD853" s="1111"/>
      <c r="AE853" s="1111"/>
      <c r="AF853" s="1111"/>
      <c r="AG853" s="1111"/>
    </row>
    <row r="854" spans="1:33" s="1295" customFormat="1">
      <c r="A854" s="1264"/>
      <c r="D854" s="1118"/>
      <c r="E854" s="1264"/>
      <c r="F854" s="1118"/>
      <c r="G854" s="1118"/>
      <c r="H854" s="1118"/>
      <c r="I854" s="1118"/>
      <c r="J854" s="1118"/>
      <c r="K854" s="1118"/>
      <c r="L854" s="1118"/>
      <c r="M854" s="1118"/>
      <c r="N854" s="1118"/>
      <c r="O854" s="1118"/>
      <c r="P854" s="1118"/>
      <c r="Q854" s="1111"/>
      <c r="R854" s="1111"/>
      <c r="S854" s="1111"/>
      <c r="T854" s="1111"/>
      <c r="U854" s="1111"/>
      <c r="V854" s="1111"/>
      <c r="W854" s="1111"/>
      <c r="X854" s="1111"/>
      <c r="Y854" s="1111"/>
      <c r="Z854" s="1111"/>
      <c r="AA854" s="1111"/>
      <c r="AB854" s="1111"/>
      <c r="AC854" s="1111"/>
      <c r="AD854" s="1111"/>
      <c r="AE854" s="1111"/>
      <c r="AF854" s="1111"/>
      <c r="AG854" s="1111"/>
    </row>
    <row r="855" spans="1:33" s="1295" customFormat="1">
      <c r="A855" s="1264"/>
      <c r="D855" s="1118"/>
      <c r="E855" s="1264"/>
      <c r="F855" s="1118"/>
      <c r="G855" s="1118"/>
      <c r="H855" s="1118"/>
      <c r="I855" s="1118"/>
      <c r="J855" s="1118"/>
      <c r="K855" s="1118"/>
      <c r="L855" s="1118"/>
      <c r="M855" s="1118"/>
      <c r="N855" s="1118"/>
      <c r="O855" s="1118"/>
      <c r="P855" s="1118"/>
      <c r="Q855" s="1111"/>
      <c r="R855" s="1111"/>
      <c r="S855" s="1111"/>
      <c r="T855" s="1111"/>
      <c r="U855" s="1111"/>
      <c r="V855" s="1111"/>
      <c r="W855" s="1111"/>
      <c r="X855" s="1111"/>
      <c r="Y855" s="1111"/>
      <c r="Z855" s="1111"/>
      <c r="AA855" s="1111"/>
      <c r="AB855" s="1111"/>
      <c r="AC855" s="1111"/>
      <c r="AD855" s="1111"/>
      <c r="AE855" s="1111"/>
      <c r="AF855" s="1111"/>
      <c r="AG855" s="1111"/>
    </row>
    <row r="856" spans="1:33" s="1295" customFormat="1">
      <c r="A856" s="1264"/>
      <c r="D856" s="1118"/>
      <c r="E856" s="1264"/>
      <c r="F856" s="1118"/>
      <c r="G856" s="1118"/>
      <c r="H856" s="1118"/>
      <c r="I856" s="1118"/>
      <c r="J856" s="1118"/>
      <c r="K856" s="1118"/>
      <c r="L856" s="1118"/>
      <c r="M856" s="1118"/>
      <c r="N856" s="1118"/>
      <c r="O856" s="1118"/>
      <c r="P856" s="1118"/>
      <c r="Q856" s="1111"/>
      <c r="R856" s="1111"/>
      <c r="S856" s="1111"/>
      <c r="T856" s="1111"/>
      <c r="U856" s="1111"/>
      <c r="V856" s="1111"/>
      <c r="W856" s="1111"/>
      <c r="X856" s="1111"/>
      <c r="Y856" s="1111"/>
      <c r="Z856" s="1111"/>
      <c r="AA856" s="1111"/>
      <c r="AB856" s="1111"/>
      <c r="AC856" s="1111"/>
      <c r="AD856" s="1111"/>
      <c r="AE856" s="1111"/>
      <c r="AF856" s="1111"/>
      <c r="AG856" s="1111"/>
    </row>
    <row r="857" spans="1:33" s="1295" customFormat="1">
      <c r="A857" s="1264"/>
      <c r="D857" s="1118"/>
      <c r="E857" s="1264"/>
      <c r="F857" s="1118"/>
      <c r="G857" s="1118"/>
      <c r="H857" s="1118"/>
      <c r="I857" s="1118"/>
      <c r="J857" s="1118"/>
      <c r="K857" s="1118"/>
      <c r="L857" s="1118"/>
      <c r="M857" s="1118"/>
      <c r="N857" s="1118"/>
      <c r="O857" s="1118"/>
      <c r="P857" s="1118"/>
      <c r="Q857" s="1111"/>
      <c r="R857" s="1111"/>
      <c r="S857" s="1111"/>
      <c r="T857" s="1111"/>
      <c r="U857" s="1111"/>
      <c r="V857" s="1111"/>
      <c r="W857" s="1111"/>
      <c r="X857" s="1111"/>
      <c r="Y857" s="1111"/>
      <c r="Z857" s="1111"/>
      <c r="AA857" s="1111"/>
      <c r="AB857" s="1111"/>
      <c r="AC857" s="1111"/>
      <c r="AD857" s="1111"/>
      <c r="AE857" s="1111"/>
      <c r="AF857" s="1111"/>
      <c r="AG857" s="1111"/>
    </row>
    <row r="858" spans="1:33" s="1295" customFormat="1">
      <c r="A858" s="1264"/>
      <c r="D858" s="1118"/>
      <c r="E858" s="1264"/>
      <c r="F858" s="1118"/>
      <c r="G858" s="1118"/>
      <c r="H858" s="1118"/>
      <c r="I858" s="1118"/>
      <c r="J858" s="1118"/>
      <c r="K858" s="1118"/>
      <c r="L858" s="1118"/>
      <c r="M858" s="1118"/>
      <c r="N858" s="1118"/>
      <c r="O858" s="1118"/>
      <c r="P858" s="1118"/>
      <c r="Q858" s="1111"/>
      <c r="R858" s="1111"/>
      <c r="S858" s="1111"/>
      <c r="T858" s="1111"/>
      <c r="U858" s="1111"/>
      <c r="V858" s="1111"/>
      <c r="W858" s="1111"/>
      <c r="X858" s="1111"/>
      <c r="Y858" s="1111"/>
      <c r="Z858" s="1111"/>
      <c r="AA858" s="1111"/>
      <c r="AB858" s="1111"/>
      <c r="AC858" s="1111"/>
      <c r="AD858" s="1111"/>
      <c r="AE858" s="1111"/>
      <c r="AF858" s="1111"/>
      <c r="AG858" s="1111"/>
    </row>
    <row r="859" spans="1:33" s="1295" customFormat="1">
      <c r="A859" s="1264"/>
      <c r="D859" s="1118"/>
      <c r="E859" s="1264"/>
      <c r="F859" s="1118"/>
      <c r="G859" s="1118"/>
      <c r="H859" s="1118"/>
      <c r="I859" s="1118"/>
      <c r="J859" s="1118"/>
      <c r="K859" s="1118"/>
      <c r="L859" s="1118"/>
      <c r="M859" s="1118"/>
      <c r="N859" s="1118"/>
      <c r="O859" s="1118"/>
      <c r="P859" s="1118"/>
      <c r="Q859" s="1111"/>
      <c r="R859" s="1111"/>
      <c r="S859" s="1111"/>
      <c r="T859" s="1111"/>
      <c r="U859" s="1111"/>
      <c r="V859" s="1111"/>
      <c r="W859" s="1111"/>
      <c r="X859" s="1111"/>
      <c r="Y859" s="1111"/>
      <c r="Z859" s="1111"/>
      <c r="AA859" s="1111"/>
      <c r="AB859" s="1111"/>
      <c r="AC859" s="1111"/>
      <c r="AD859" s="1111"/>
      <c r="AE859" s="1111"/>
      <c r="AF859" s="1111"/>
      <c r="AG859" s="1111"/>
    </row>
    <row r="860" spans="1:33" s="1295" customFormat="1">
      <c r="A860" s="1264"/>
      <c r="D860" s="1118"/>
      <c r="E860" s="1264"/>
      <c r="F860" s="1118"/>
      <c r="G860" s="1118"/>
      <c r="H860" s="1118"/>
      <c r="I860" s="1118"/>
      <c r="J860" s="1118"/>
      <c r="K860" s="1118"/>
      <c r="L860" s="1118"/>
      <c r="M860" s="1118"/>
      <c r="N860" s="1118"/>
      <c r="O860" s="1118"/>
      <c r="P860" s="1118"/>
      <c r="Q860" s="1111"/>
      <c r="R860" s="1111"/>
      <c r="S860" s="1111"/>
      <c r="T860" s="1111"/>
      <c r="U860" s="1111"/>
      <c r="V860" s="1111"/>
      <c r="W860" s="1111"/>
      <c r="X860" s="1111"/>
      <c r="Y860" s="1111"/>
      <c r="Z860" s="1111"/>
      <c r="AA860" s="1111"/>
      <c r="AB860" s="1111"/>
      <c r="AC860" s="1111"/>
      <c r="AD860" s="1111"/>
      <c r="AE860" s="1111"/>
      <c r="AF860" s="1111"/>
      <c r="AG860" s="1111"/>
    </row>
    <row r="861" spans="1:33" s="1295" customFormat="1">
      <c r="A861" s="1264"/>
      <c r="D861" s="1118"/>
      <c r="E861" s="1264"/>
      <c r="F861" s="1118"/>
      <c r="G861" s="1118"/>
      <c r="H861" s="1118"/>
      <c r="I861" s="1118"/>
      <c r="J861" s="1118"/>
      <c r="K861" s="1118"/>
      <c r="L861" s="1118"/>
      <c r="M861" s="1118"/>
      <c r="N861" s="1118"/>
      <c r="O861" s="1118"/>
      <c r="P861" s="1118"/>
      <c r="Q861" s="1111"/>
      <c r="R861" s="1111"/>
      <c r="S861" s="1111"/>
      <c r="T861" s="1111"/>
      <c r="U861" s="1111"/>
      <c r="V861" s="1111"/>
      <c r="W861" s="1111"/>
      <c r="X861" s="1111"/>
      <c r="Y861" s="1111"/>
      <c r="Z861" s="1111"/>
      <c r="AA861" s="1111"/>
      <c r="AB861" s="1111"/>
      <c r="AC861" s="1111"/>
      <c r="AD861" s="1111"/>
      <c r="AE861" s="1111"/>
      <c r="AF861" s="1111"/>
      <c r="AG861" s="1111"/>
    </row>
    <row r="862" spans="1:33" s="1295" customFormat="1">
      <c r="A862" s="1264"/>
      <c r="D862" s="1118"/>
      <c r="E862" s="1264"/>
      <c r="F862" s="1118"/>
      <c r="G862" s="1118"/>
      <c r="H862" s="1118"/>
      <c r="I862" s="1118"/>
      <c r="J862" s="1118"/>
      <c r="K862" s="1118"/>
      <c r="L862" s="1118"/>
      <c r="M862" s="1118"/>
      <c r="N862" s="1118"/>
      <c r="O862" s="1118"/>
      <c r="P862" s="1118"/>
      <c r="Q862" s="1111"/>
      <c r="R862" s="1111"/>
      <c r="S862" s="1111"/>
      <c r="T862" s="1111"/>
      <c r="U862" s="1111"/>
      <c r="V862" s="1111"/>
      <c r="W862" s="1111"/>
      <c r="X862" s="1111"/>
      <c r="Y862" s="1111"/>
      <c r="Z862" s="1111"/>
      <c r="AA862" s="1111"/>
      <c r="AB862" s="1111"/>
      <c r="AC862" s="1111"/>
      <c r="AD862" s="1111"/>
      <c r="AE862" s="1111"/>
      <c r="AF862" s="1111"/>
      <c r="AG862" s="1111"/>
    </row>
    <row r="863" spans="1:33" s="1295" customFormat="1">
      <c r="A863" s="1264"/>
      <c r="D863" s="1118"/>
      <c r="E863" s="1264"/>
      <c r="F863" s="1118"/>
      <c r="G863" s="1118"/>
      <c r="H863" s="1118"/>
      <c r="I863" s="1118"/>
      <c r="J863" s="1118"/>
      <c r="K863" s="1118"/>
      <c r="L863" s="1118"/>
      <c r="M863" s="1118"/>
      <c r="N863" s="1118"/>
      <c r="O863" s="1118"/>
      <c r="P863" s="1118"/>
      <c r="Q863" s="1111"/>
      <c r="R863" s="1111"/>
      <c r="S863" s="1111"/>
      <c r="T863" s="1111"/>
      <c r="U863" s="1111"/>
      <c r="V863" s="1111"/>
      <c r="W863" s="1111"/>
      <c r="X863" s="1111"/>
      <c r="Y863" s="1111"/>
      <c r="Z863" s="1111"/>
      <c r="AA863" s="1111"/>
      <c r="AB863" s="1111"/>
      <c r="AC863" s="1111"/>
      <c r="AD863" s="1111"/>
      <c r="AE863" s="1111"/>
      <c r="AF863" s="1111"/>
      <c r="AG863" s="1111"/>
    </row>
    <row r="864" spans="1:33" s="1295" customFormat="1">
      <c r="A864" s="1264"/>
      <c r="D864" s="1118"/>
      <c r="E864" s="1264"/>
      <c r="F864" s="1118"/>
      <c r="G864" s="1118"/>
      <c r="H864" s="1118"/>
      <c r="I864" s="1118"/>
      <c r="J864" s="1118"/>
      <c r="K864" s="1118"/>
      <c r="L864" s="1118"/>
      <c r="M864" s="1118"/>
      <c r="N864" s="1118"/>
      <c r="O864" s="1118"/>
      <c r="P864" s="1118"/>
      <c r="Q864" s="1111"/>
      <c r="R864" s="1111"/>
      <c r="S864" s="1111"/>
      <c r="T864" s="1111"/>
      <c r="U864" s="1111"/>
      <c r="V864" s="1111"/>
      <c r="W864" s="1111"/>
      <c r="X864" s="1111"/>
      <c r="Y864" s="1111"/>
      <c r="Z864" s="1111"/>
      <c r="AA864" s="1111"/>
      <c r="AB864" s="1111"/>
      <c r="AC864" s="1111"/>
      <c r="AD864" s="1111"/>
      <c r="AE864" s="1111"/>
      <c r="AF864" s="1111"/>
      <c r="AG864" s="1111"/>
    </row>
    <row r="865" spans="1:33" s="1295" customFormat="1">
      <c r="A865" s="1264"/>
      <c r="D865" s="1118"/>
      <c r="E865" s="1264"/>
      <c r="F865" s="1118"/>
      <c r="G865" s="1118"/>
      <c r="H865" s="1118"/>
      <c r="I865" s="1118"/>
      <c r="J865" s="1118"/>
      <c r="K865" s="1118"/>
      <c r="L865" s="1118"/>
      <c r="M865" s="1118"/>
      <c r="N865" s="1118"/>
      <c r="O865" s="1118"/>
      <c r="P865" s="1118"/>
      <c r="Q865" s="1111"/>
      <c r="R865" s="1111"/>
      <c r="S865" s="1111"/>
      <c r="T865" s="1111"/>
      <c r="U865" s="1111"/>
      <c r="V865" s="1111"/>
      <c r="W865" s="1111"/>
      <c r="X865" s="1111"/>
      <c r="Y865" s="1111"/>
      <c r="Z865" s="1111"/>
      <c r="AA865" s="1111"/>
      <c r="AB865" s="1111"/>
      <c r="AC865" s="1111"/>
      <c r="AD865" s="1111"/>
      <c r="AE865" s="1111"/>
      <c r="AF865" s="1111"/>
      <c r="AG865" s="1111"/>
    </row>
    <row r="866" spans="1:33" s="1295" customFormat="1">
      <c r="A866" s="1264"/>
      <c r="D866" s="1118"/>
      <c r="E866" s="1264"/>
      <c r="F866" s="1118"/>
      <c r="G866" s="1118"/>
      <c r="H866" s="1118"/>
      <c r="I866" s="1118"/>
      <c r="J866" s="1118"/>
      <c r="K866" s="1118"/>
      <c r="L866" s="1118"/>
      <c r="M866" s="1118"/>
      <c r="N866" s="1118"/>
      <c r="O866" s="1118"/>
      <c r="P866" s="1118"/>
      <c r="Q866" s="1111"/>
      <c r="R866" s="1111"/>
      <c r="S866" s="1111"/>
      <c r="T866" s="1111"/>
      <c r="U866" s="1111"/>
      <c r="V866" s="1111"/>
      <c r="W866" s="1111"/>
      <c r="X866" s="1111"/>
      <c r="Y866" s="1111"/>
      <c r="Z866" s="1111"/>
      <c r="AA866" s="1111"/>
      <c r="AB866" s="1111"/>
      <c r="AC866" s="1111"/>
      <c r="AD866" s="1111"/>
      <c r="AE866" s="1111"/>
      <c r="AF866" s="1111"/>
      <c r="AG866" s="1111"/>
    </row>
    <row r="867" spans="1:33" s="1295" customFormat="1">
      <c r="A867" s="1264"/>
      <c r="D867" s="1118"/>
      <c r="E867" s="1264"/>
      <c r="F867" s="1118"/>
      <c r="G867" s="1118"/>
      <c r="H867" s="1118"/>
      <c r="I867" s="1118"/>
      <c r="J867" s="1118"/>
      <c r="K867" s="1118"/>
      <c r="L867" s="1118"/>
      <c r="M867" s="1118"/>
      <c r="N867" s="1118"/>
      <c r="O867" s="1118"/>
      <c r="P867" s="1118"/>
      <c r="Q867" s="1111"/>
      <c r="R867" s="1111"/>
      <c r="S867" s="1111"/>
      <c r="T867" s="1111"/>
      <c r="U867" s="1111"/>
      <c r="V867" s="1111"/>
      <c r="W867" s="1111"/>
      <c r="X867" s="1111"/>
      <c r="Y867" s="1111"/>
      <c r="Z867" s="1111"/>
      <c r="AA867" s="1111"/>
      <c r="AB867" s="1111"/>
      <c r="AC867" s="1111"/>
      <c r="AD867" s="1111"/>
      <c r="AE867" s="1111"/>
      <c r="AF867" s="1111"/>
      <c r="AG867" s="1111"/>
    </row>
    <row r="868" spans="1:33" s="1295" customFormat="1">
      <c r="A868" s="1264"/>
      <c r="D868" s="1118"/>
      <c r="E868" s="1264"/>
      <c r="F868" s="1118"/>
      <c r="G868" s="1118"/>
      <c r="H868" s="1118"/>
      <c r="I868" s="1118"/>
      <c r="J868" s="1118"/>
      <c r="K868" s="1118"/>
      <c r="L868" s="1118"/>
      <c r="M868" s="1118"/>
      <c r="N868" s="1118"/>
      <c r="O868" s="1118"/>
      <c r="P868" s="1118"/>
      <c r="Q868" s="1111"/>
      <c r="R868" s="1111"/>
      <c r="S868" s="1111"/>
      <c r="T868" s="1111"/>
      <c r="U868" s="1111"/>
      <c r="V868" s="1111"/>
      <c r="W868" s="1111"/>
      <c r="X868" s="1111"/>
      <c r="Y868" s="1111"/>
      <c r="Z868" s="1111"/>
      <c r="AA868" s="1111"/>
      <c r="AB868" s="1111"/>
      <c r="AC868" s="1111"/>
      <c r="AD868" s="1111"/>
      <c r="AE868" s="1111"/>
      <c r="AF868" s="1111"/>
      <c r="AG868" s="1111"/>
    </row>
    <row r="869" spans="1:33" s="1295" customFormat="1">
      <c r="A869" s="1264"/>
      <c r="D869" s="1118"/>
      <c r="E869" s="1264"/>
      <c r="F869" s="1118"/>
      <c r="G869" s="1118"/>
      <c r="H869" s="1118"/>
      <c r="I869" s="1118"/>
      <c r="J869" s="1118"/>
      <c r="K869" s="1118"/>
      <c r="L869" s="1118"/>
      <c r="M869" s="1118"/>
      <c r="N869" s="1118"/>
      <c r="O869" s="1118"/>
      <c r="P869" s="1118"/>
      <c r="Q869" s="1111"/>
      <c r="R869" s="1111"/>
      <c r="S869" s="1111"/>
      <c r="T869" s="1111"/>
      <c r="U869" s="1111"/>
      <c r="V869" s="1111"/>
      <c r="W869" s="1111"/>
      <c r="X869" s="1111"/>
      <c r="Y869" s="1111"/>
      <c r="Z869" s="1111"/>
      <c r="AA869" s="1111"/>
      <c r="AB869" s="1111"/>
      <c r="AC869" s="1111"/>
      <c r="AD869" s="1111"/>
      <c r="AE869" s="1111"/>
      <c r="AF869" s="1111"/>
      <c r="AG869" s="1111"/>
    </row>
    <row r="870" spans="1:33" s="1295" customFormat="1">
      <c r="A870" s="1264"/>
      <c r="D870" s="1118"/>
      <c r="E870" s="1264"/>
      <c r="F870" s="1118"/>
      <c r="G870" s="1118"/>
      <c r="H870" s="1118"/>
      <c r="I870" s="1118"/>
      <c r="J870" s="1118"/>
      <c r="K870" s="1118"/>
      <c r="L870" s="1118"/>
      <c r="M870" s="1118"/>
      <c r="N870" s="1118"/>
      <c r="O870" s="1118"/>
      <c r="P870" s="1118"/>
      <c r="Q870" s="1111"/>
      <c r="R870" s="1111"/>
      <c r="S870" s="1111"/>
      <c r="T870" s="1111"/>
      <c r="U870" s="1111"/>
      <c r="V870" s="1111"/>
      <c r="W870" s="1111"/>
      <c r="X870" s="1111"/>
      <c r="Y870" s="1111"/>
      <c r="Z870" s="1111"/>
      <c r="AA870" s="1111"/>
      <c r="AB870" s="1111"/>
      <c r="AC870" s="1111"/>
      <c r="AD870" s="1111"/>
      <c r="AE870" s="1111"/>
      <c r="AF870" s="1111"/>
      <c r="AG870" s="1111"/>
    </row>
    <row r="871" spans="1:33" s="1295" customFormat="1">
      <c r="A871" s="1264"/>
      <c r="D871" s="1118"/>
      <c r="E871" s="1264"/>
      <c r="F871" s="1118"/>
      <c r="G871" s="1118"/>
      <c r="H871" s="1118"/>
      <c r="I871" s="1118"/>
      <c r="J871" s="1118"/>
      <c r="K871" s="1118"/>
      <c r="L871" s="1118"/>
      <c r="M871" s="1118"/>
      <c r="N871" s="1118"/>
      <c r="O871" s="1118"/>
      <c r="P871" s="1118"/>
      <c r="Q871" s="1111"/>
      <c r="R871" s="1111"/>
      <c r="S871" s="1111"/>
      <c r="T871" s="1111"/>
      <c r="U871" s="1111"/>
      <c r="V871" s="1111"/>
      <c r="W871" s="1111"/>
      <c r="X871" s="1111"/>
      <c r="Y871" s="1111"/>
      <c r="Z871" s="1111"/>
      <c r="AA871" s="1111"/>
      <c r="AB871" s="1111"/>
      <c r="AC871" s="1111"/>
      <c r="AD871" s="1111"/>
      <c r="AE871" s="1111"/>
      <c r="AF871" s="1111"/>
      <c r="AG871" s="1111"/>
    </row>
    <row r="872" spans="1:33" s="1295" customFormat="1">
      <c r="A872" s="1264"/>
      <c r="D872" s="1118"/>
      <c r="E872" s="1264"/>
      <c r="F872" s="1118"/>
      <c r="G872" s="1118"/>
      <c r="H872" s="1118"/>
      <c r="I872" s="1118"/>
      <c r="J872" s="1118"/>
      <c r="K872" s="1118"/>
      <c r="L872" s="1118"/>
      <c r="M872" s="1118"/>
      <c r="N872" s="1118"/>
      <c r="O872" s="1118"/>
      <c r="P872" s="1118"/>
      <c r="Q872" s="1111"/>
      <c r="R872" s="1111"/>
      <c r="S872" s="1111"/>
      <c r="T872" s="1111"/>
      <c r="U872" s="1111"/>
      <c r="V872" s="1111"/>
      <c r="W872" s="1111"/>
      <c r="X872" s="1111"/>
      <c r="Y872" s="1111"/>
      <c r="Z872" s="1111"/>
      <c r="AA872" s="1111"/>
      <c r="AB872" s="1111"/>
      <c r="AC872" s="1111"/>
      <c r="AD872" s="1111"/>
      <c r="AE872" s="1111"/>
      <c r="AF872" s="1111"/>
      <c r="AG872" s="1111"/>
    </row>
    <row r="873" spans="1:33" s="1295" customFormat="1">
      <c r="A873" s="1264"/>
      <c r="D873" s="1118"/>
      <c r="E873" s="1264"/>
      <c r="F873" s="1118"/>
      <c r="G873" s="1118"/>
      <c r="H873" s="1118"/>
      <c r="I873" s="1118"/>
      <c r="J873" s="1118"/>
      <c r="K873" s="1118"/>
      <c r="L873" s="1118"/>
      <c r="M873" s="1118"/>
      <c r="N873" s="1118"/>
      <c r="O873" s="1118"/>
      <c r="P873" s="1118"/>
      <c r="Q873" s="1111"/>
      <c r="R873" s="1111"/>
      <c r="S873" s="1111"/>
      <c r="T873" s="1111"/>
      <c r="U873" s="1111"/>
      <c r="V873" s="1111"/>
      <c r="W873" s="1111"/>
      <c r="X873" s="1111"/>
      <c r="Y873" s="1111"/>
      <c r="Z873" s="1111"/>
      <c r="AA873" s="1111"/>
      <c r="AB873" s="1111"/>
      <c r="AC873" s="1111"/>
      <c r="AD873" s="1111"/>
      <c r="AE873" s="1111"/>
      <c r="AF873" s="1111"/>
      <c r="AG873" s="1111"/>
    </row>
    <row r="874" spans="1:33" s="1295" customFormat="1">
      <c r="A874" s="1264"/>
      <c r="D874" s="1118"/>
      <c r="E874" s="1264"/>
      <c r="F874" s="1118"/>
      <c r="G874" s="1118"/>
      <c r="H874" s="1118"/>
      <c r="I874" s="1118"/>
      <c r="J874" s="1118"/>
      <c r="K874" s="1118"/>
      <c r="L874" s="1118"/>
      <c r="M874" s="1118"/>
      <c r="N874" s="1118"/>
      <c r="O874" s="1118"/>
      <c r="P874" s="1118"/>
      <c r="Q874" s="1111"/>
      <c r="R874" s="1111"/>
      <c r="S874" s="1111"/>
      <c r="T874" s="1111"/>
      <c r="U874" s="1111"/>
      <c r="V874" s="1111"/>
      <c r="W874" s="1111"/>
      <c r="X874" s="1111"/>
      <c r="Y874" s="1111"/>
      <c r="Z874" s="1111"/>
      <c r="AA874" s="1111"/>
      <c r="AB874" s="1111"/>
      <c r="AC874" s="1111"/>
      <c r="AD874" s="1111"/>
      <c r="AE874" s="1111"/>
      <c r="AF874" s="1111"/>
      <c r="AG874" s="1111"/>
    </row>
    <row r="875" spans="1:33" s="1295" customFormat="1">
      <c r="A875" s="1264"/>
      <c r="D875" s="1118"/>
      <c r="E875" s="1264"/>
      <c r="F875" s="1118"/>
      <c r="G875" s="1118"/>
      <c r="H875" s="1118"/>
      <c r="I875" s="1118"/>
      <c r="J875" s="1118"/>
      <c r="K875" s="1118"/>
      <c r="L875" s="1118"/>
      <c r="M875" s="1118"/>
      <c r="N875" s="1118"/>
      <c r="O875" s="1118"/>
      <c r="P875" s="1118"/>
      <c r="Q875" s="1111"/>
      <c r="R875" s="1111"/>
      <c r="S875" s="1111"/>
      <c r="T875" s="1111"/>
      <c r="U875" s="1111"/>
      <c r="V875" s="1111"/>
      <c r="W875" s="1111"/>
      <c r="X875" s="1111"/>
      <c r="Y875" s="1111"/>
      <c r="Z875" s="1111"/>
      <c r="AA875" s="1111"/>
      <c r="AB875" s="1111"/>
      <c r="AC875" s="1111"/>
      <c r="AD875" s="1111"/>
      <c r="AE875" s="1111"/>
      <c r="AF875" s="1111"/>
      <c r="AG875" s="1111"/>
    </row>
    <row r="876" spans="1:33" s="1295" customFormat="1">
      <c r="A876" s="1264"/>
      <c r="D876" s="1118"/>
      <c r="E876" s="1264"/>
      <c r="F876" s="1118"/>
      <c r="G876" s="1118"/>
      <c r="H876" s="1118"/>
      <c r="I876" s="1118"/>
      <c r="J876" s="1118"/>
      <c r="K876" s="1118"/>
      <c r="L876" s="1118"/>
      <c r="M876" s="1118"/>
      <c r="N876" s="1118"/>
      <c r="O876" s="1118"/>
      <c r="P876" s="1118"/>
      <c r="Q876" s="1111"/>
      <c r="R876" s="1111"/>
      <c r="S876" s="1111"/>
      <c r="T876" s="1111"/>
      <c r="U876" s="1111"/>
      <c r="V876" s="1111"/>
      <c r="W876" s="1111"/>
      <c r="X876" s="1111"/>
      <c r="Y876" s="1111"/>
      <c r="Z876" s="1111"/>
      <c r="AA876" s="1111"/>
      <c r="AB876" s="1111"/>
      <c r="AC876" s="1111"/>
      <c r="AD876" s="1111"/>
      <c r="AE876" s="1111"/>
      <c r="AF876" s="1111"/>
      <c r="AG876" s="1111"/>
    </row>
    <row r="877" spans="1:33" s="1295" customFormat="1">
      <c r="A877" s="1264"/>
      <c r="D877" s="1118"/>
      <c r="E877" s="1264"/>
      <c r="F877" s="1118"/>
      <c r="G877" s="1118"/>
      <c r="H877" s="1118"/>
      <c r="I877" s="1118"/>
      <c r="J877" s="1118"/>
      <c r="K877" s="1118"/>
      <c r="L877" s="1118"/>
      <c r="M877" s="1118"/>
      <c r="N877" s="1118"/>
      <c r="O877" s="1118"/>
      <c r="P877" s="1118"/>
      <c r="Q877" s="1111"/>
      <c r="R877" s="1111"/>
      <c r="S877" s="1111"/>
      <c r="T877" s="1111"/>
      <c r="U877" s="1111"/>
      <c r="V877" s="1111"/>
      <c r="W877" s="1111"/>
      <c r="X877" s="1111"/>
      <c r="Y877" s="1111"/>
      <c r="Z877" s="1111"/>
      <c r="AA877" s="1111"/>
      <c r="AB877" s="1111"/>
      <c r="AC877" s="1111"/>
      <c r="AD877" s="1111"/>
      <c r="AE877" s="1111"/>
      <c r="AF877" s="1111"/>
      <c r="AG877" s="1111"/>
    </row>
    <row r="878" spans="1:33" s="1295" customFormat="1">
      <c r="A878" s="1264"/>
      <c r="D878" s="1118"/>
      <c r="E878" s="1264"/>
      <c r="F878" s="1118"/>
      <c r="G878" s="1118"/>
      <c r="H878" s="1118"/>
      <c r="I878" s="1118"/>
      <c r="J878" s="1118"/>
      <c r="K878" s="1118"/>
      <c r="L878" s="1118"/>
      <c r="M878" s="1118"/>
      <c r="N878" s="1118"/>
      <c r="O878" s="1118"/>
      <c r="P878" s="1118"/>
      <c r="Q878" s="1111"/>
      <c r="R878" s="1111"/>
      <c r="S878" s="1111"/>
      <c r="T878" s="1111"/>
      <c r="U878" s="1111"/>
      <c r="V878" s="1111"/>
      <c r="W878" s="1111"/>
      <c r="X878" s="1111"/>
      <c r="Y878" s="1111"/>
      <c r="Z878" s="1111"/>
      <c r="AA878" s="1111"/>
      <c r="AB878" s="1111"/>
      <c r="AC878" s="1111"/>
      <c r="AD878" s="1111"/>
      <c r="AE878" s="1111"/>
      <c r="AF878" s="1111"/>
      <c r="AG878" s="1111"/>
    </row>
    <row r="879" spans="1:33" s="1295" customFormat="1">
      <c r="A879" s="1264"/>
      <c r="D879" s="1118"/>
      <c r="E879" s="1264"/>
      <c r="F879" s="1118"/>
      <c r="G879" s="1118"/>
      <c r="H879" s="1118"/>
      <c r="I879" s="1118"/>
      <c r="J879" s="1118"/>
      <c r="K879" s="1118"/>
      <c r="L879" s="1118"/>
      <c r="M879" s="1118"/>
      <c r="N879" s="1118"/>
      <c r="O879" s="1118"/>
      <c r="P879" s="1118"/>
      <c r="Q879" s="1111"/>
      <c r="R879" s="1111"/>
      <c r="S879" s="1111"/>
      <c r="T879" s="1111"/>
      <c r="U879" s="1111"/>
      <c r="V879" s="1111"/>
      <c r="W879" s="1111"/>
      <c r="X879" s="1111"/>
      <c r="Y879" s="1111"/>
      <c r="Z879" s="1111"/>
      <c r="AA879" s="1111"/>
      <c r="AB879" s="1111"/>
      <c r="AC879" s="1111"/>
      <c r="AD879" s="1111"/>
      <c r="AE879" s="1111"/>
      <c r="AF879" s="1111"/>
      <c r="AG879" s="1111"/>
    </row>
    <row r="880" spans="1:33" s="1295" customFormat="1">
      <c r="A880" s="1264"/>
      <c r="D880" s="1118"/>
      <c r="E880" s="1264"/>
      <c r="F880" s="1118"/>
      <c r="G880" s="1118"/>
      <c r="H880" s="1118"/>
      <c r="I880" s="1118"/>
      <c r="J880" s="1118"/>
      <c r="K880" s="1118"/>
      <c r="L880" s="1118"/>
      <c r="M880" s="1118"/>
      <c r="N880" s="1118"/>
      <c r="O880" s="1118"/>
      <c r="P880" s="1118"/>
      <c r="Q880" s="1111"/>
      <c r="R880" s="1111"/>
      <c r="S880" s="1111"/>
      <c r="T880" s="1111"/>
      <c r="U880" s="1111"/>
      <c r="V880" s="1111"/>
      <c r="W880" s="1111"/>
      <c r="X880" s="1111"/>
      <c r="Y880" s="1111"/>
      <c r="Z880" s="1111"/>
      <c r="AA880" s="1111"/>
      <c r="AB880" s="1111"/>
      <c r="AC880" s="1111"/>
      <c r="AD880" s="1111"/>
      <c r="AE880" s="1111"/>
      <c r="AF880" s="1111"/>
      <c r="AG880" s="1111"/>
    </row>
    <row r="881" spans="1:33" s="1295" customFormat="1">
      <c r="A881" s="1264"/>
      <c r="D881" s="1118"/>
      <c r="E881" s="1264"/>
      <c r="F881" s="1118"/>
      <c r="G881" s="1118"/>
      <c r="H881" s="1118"/>
      <c r="I881" s="1118"/>
      <c r="J881" s="1118"/>
      <c r="K881" s="1118"/>
      <c r="L881" s="1118"/>
      <c r="M881" s="1118"/>
      <c r="N881" s="1118"/>
      <c r="O881" s="1118"/>
      <c r="P881" s="1118"/>
      <c r="Q881" s="1111"/>
      <c r="R881" s="1111"/>
      <c r="S881" s="1111"/>
      <c r="T881" s="1111"/>
      <c r="U881" s="1111"/>
      <c r="V881" s="1111"/>
      <c r="W881" s="1111"/>
      <c r="X881" s="1111"/>
      <c r="Y881" s="1111"/>
      <c r="Z881" s="1111"/>
      <c r="AA881" s="1111"/>
      <c r="AB881" s="1111"/>
      <c r="AC881" s="1111"/>
      <c r="AD881" s="1111"/>
      <c r="AE881" s="1111"/>
      <c r="AF881" s="1111"/>
      <c r="AG881" s="1111"/>
    </row>
    <row r="882" spans="1:33" s="1295" customFormat="1">
      <c r="A882" s="1264"/>
      <c r="D882" s="1118"/>
      <c r="E882" s="1264"/>
      <c r="F882" s="1118"/>
      <c r="G882" s="1118"/>
      <c r="H882" s="1118"/>
      <c r="I882" s="1118"/>
      <c r="J882" s="1118"/>
      <c r="K882" s="1118"/>
      <c r="L882" s="1118"/>
      <c r="M882" s="1118"/>
      <c r="N882" s="1118"/>
      <c r="O882" s="1118"/>
      <c r="P882" s="1118"/>
      <c r="Q882" s="1111"/>
      <c r="R882" s="1111"/>
      <c r="S882" s="1111"/>
      <c r="T882" s="1111"/>
      <c r="U882" s="1111"/>
      <c r="V882" s="1111"/>
      <c r="W882" s="1111"/>
      <c r="X882" s="1111"/>
      <c r="Y882" s="1111"/>
      <c r="Z882" s="1111"/>
      <c r="AA882" s="1111"/>
      <c r="AB882" s="1111"/>
      <c r="AC882" s="1111"/>
      <c r="AD882" s="1111"/>
      <c r="AE882" s="1111"/>
      <c r="AF882" s="1111"/>
      <c r="AG882" s="1111"/>
    </row>
    <row r="883" spans="1:33" s="1295" customFormat="1">
      <c r="A883" s="1264"/>
      <c r="D883" s="1118"/>
      <c r="E883" s="1264"/>
      <c r="F883" s="1118"/>
      <c r="G883" s="1118"/>
      <c r="H883" s="1118"/>
      <c r="I883" s="1118"/>
      <c r="J883" s="1118"/>
      <c r="K883" s="1118"/>
      <c r="L883" s="1118"/>
      <c r="M883" s="1118"/>
      <c r="N883" s="1118"/>
      <c r="O883" s="1118"/>
      <c r="P883" s="1118"/>
      <c r="Q883" s="1111"/>
      <c r="R883" s="1111"/>
      <c r="S883" s="1111"/>
      <c r="T883" s="1111"/>
      <c r="U883" s="1111"/>
      <c r="V883" s="1111"/>
      <c r="W883" s="1111"/>
      <c r="X883" s="1111"/>
      <c r="Y883" s="1111"/>
      <c r="Z883" s="1111"/>
      <c r="AA883" s="1111"/>
      <c r="AB883" s="1111"/>
      <c r="AC883" s="1111"/>
      <c r="AD883" s="1111"/>
      <c r="AE883" s="1111"/>
      <c r="AF883" s="1111"/>
      <c r="AG883" s="1111"/>
    </row>
    <row r="884" spans="1:33" s="1295" customFormat="1">
      <c r="A884" s="1264"/>
      <c r="D884" s="1118"/>
      <c r="E884" s="1264"/>
      <c r="F884" s="1118"/>
      <c r="G884" s="1118"/>
      <c r="H884" s="1118"/>
      <c r="I884" s="1118"/>
      <c r="J884" s="1118"/>
      <c r="K884" s="1118"/>
      <c r="L884" s="1118"/>
      <c r="M884" s="1118"/>
      <c r="N884" s="1118"/>
      <c r="O884" s="1118"/>
      <c r="P884" s="1118"/>
      <c r="Q884" s="1111"/>
      <c r="R884" s="1111"/>
      <c r="S884" s="1111"/>
      <c r="T884" s="1111"/>
      <c r="U884" s="1111"/>
      <c r="V884" s="1111"/>
      <c r="W884" s="1111"/>
      <c r="X884" s="1111"/>
      <c r="Y884" s="1111"/>
      <c r="Z884" s="1111"/>
      <c r="AA884" s="1111"/>
      <c r="AB884" s="1111"/>
      <c r="AC884" s="1111"/>
      <c r="AD884" s="1111"/>
      <c r="AE884" s="1111"/>
      <c r="AF884" s="1111"/>
      <c r="AG884" s="1111"/>
    </row>
    <row r="885" spans="1:33" s="1295" customFormat="1">
      <c r="A885" s="1264"/>
      <c r="D885" s="1118"/>
      <c r="E885" s="1264"/>
      <c r="F885" s="1118"/>
      <c r="G885" s="1118"/>
      <c r="H885" s="1118"/>
      <c r="I885" s="1118"/>
      <c r="J885" s="1118"/>
      <c r="K885" s="1118"/>
      <c r="L885" s="1118"/>
      <c r="M885" s="1118"/>
      <c r="N885" s="1118"/>
      <c r="O885" s="1118"/>
      <c r="P885" s="1118"/>
      <c r="Q885" s="1111"/>
      <c r="R885" s="1111"/>
      <c r="S885" s="1111"/>
      <c r="T885" s="1111"/>
      <c r="U885" s="1111"/>
      <c r="V885" s="1111"/>
      <c r="W885" s="1111"/>
      <c r="X885" s="1111"/>
      <c r="Y885" s="1111"/>
      <c r="Z885" s="1111"/>
      <c r="AA885" s="1111"/>
      <c r="AB885" s="1111"/>
      <c r="AC885" s="1111"/>
      <c r="AD885" s="1111"/>
      <c r="AE885" s="1111"/>
      <c r="AF885" s="1111"/>
      <c r="AG885" s="1111"/>
    </row>
    <row r="886" spans="1:33" s="1295" customFormat="1">
      <c r="A886" s="1264"/>
      <c r="D886" s="1118"/>
      <c r="E886" s="1264"/>
      <c r="F886" s="1118"/>
      <c r="G886" s="1118"/>
      <c r="H886" s="1118"/>
      <c r="I886" s="1118"/>
      <c r="J886" s="1118"/>
      <c r="K886" s="1118"/>
      <c r="L886" s="1118"/>
      <c r="M886" s="1118"/>
      <c r="N886" s="1118"/>
      <c r="O886" s="1118"/>
      <c r="P886" s="1118"/>
      <c r="Q886" s="1111"/>
      <c r="R886" s="1111"/>
      <c r="S886" s="1111"/>
      <c r="T886" s="1111"/>
      <c r="U886" s="1111"/>
      <c r="V886" s="1111"/>
      <c r="W886" s="1111"/>
      <c r="X886" s="1111"/>
      <c r="Y886" s="1111"/>
      <c r="Z886" s="1111"/>
      <c r="AA886" s="1111"/>
      <c r="AB886" s="1111"/>
      <c r="AC886" s="1111"/>
      <c r="AD886" s="1111"/>
      <c r="AE886" s="1111"/>
      <c r="AF886" s="1111"/>
      <c r="AG886" s="1111"/>
    </row>
    <row r="887" spans="1:33" s="1295" customFormat="1">
      <c r="A887" s="1264"/>
      <c r="D887" s="1118"/>
      <c r="E887" s="1264"/>
      <c r="F887" s="1118"/>
      <c r="G887" s="1118"/>
      <c r="H887" s="1118"/>
      <c r="I887" s="1118"/>
      <c r="J887" s="1118"/>
      <c r="K887" s="1118"/>
      <c r="L887" s="1118"/>
      <c r="M887" s="1118"/>
      <c r="N887" s="1118"/>
      <c r="O887" s="1118"/>
      <c r="P887" s="1118"/>
      <c r="Q887" s="1111"/>
      <c r="R887" s="1111"/>
      <c r="S887" s="1111"/>
      <c r="T887" s="1111"/>
      <c r="U887" s="1111"/>
      <c r="V887" s="1111"/>
      <c r="W887" s="1111"/>
      <c r="X887" s="1111"/>
      <c r="Y887" s="1111"/>
      <c r="Z887" s="1111"/>
      <c r="AA887" s="1111"/>
      <c r="AB887" s="1111"/>
      <c r="AC887" s="1111"/>
      <c r="AD887" s="1111"/>
      <c r="AE887" s="1111"/>
      <c r="AF887" s="1111"/>
      <c r="AG887" s="1111"/>
    </row>
    <row r="888" spans="1:33" s="1295" customFormat="1">
      <c r="A888" s="1264"/>
      <c r="D888" s="1118"/>
      <c r="E888" s="1264"/>
      <c r="F888" s="1118"/>
      <c r="G888" s="1118"/>
      <c r="H888" s="1118"/>
      <c r="I888" s="1118"/>
      <c r="J888" s="1118"/>
      <c r="K888" s="1118"/>
      <c r="L888" s="1118"/>
      <c r="M888" s="1118"/>
      <c r="N888" s="1118"/>
      <c r="O888" s="1118"/>
      <c r="P888" s="1118"/>
      <c r="Q888" s="1111"/>
      <c r="R888" s="1111"/>
      <c r="S888" s="1111"/>
      <c r="T888" s="1111"/>
      <c r="U888" s="1111"/>
      <c r="V888" s="1111"/>
      <c r="W888" s="1111"/>
      <c r="X888" s="1111"/>
      <c r="Y888" s="1111"/>
      <c r="Z888" s="1111"/>
      <c r="AA888" s="1111"/>
      <c r="AB888" s="1111"/>
      <c r="AC888" s="1111"/>
      <c r="AD888" s="1111"/>
      <c r="AE888" s="1111"/>
      <c r="AF888" s="1111"/>
      <c r="AG888" s="1111"/>
    </row>
    <row r="889" spans="1:33" s="1295" customFormat="1">
      <c r="A889" s="1264"/>
      <c r="D889" s="1118"/>
      <c r="E889" s="1264"/>
      <c r="F889" s="1118"/>
      <c r="G889" s="1118"/>
      <c r="H889" s="1118"/>
      <c r="I889" s="1118"/>
      <c r="J889" s="1118"/>
      <c r="K889" s="1118"/>
      <c r="L889" s="1118"/>
      <c r="M889" s="1118"/>
      <c r="N889" s="1118"/>
      <c r="O889" s="1118"/>
      <c r="P889" s="1118"/>
      <c r="Q889" s="1111"/>
      <c r="R889" s="1111"/>
      <c r="S889" s="1111"/>
      <c r="T889" s="1111"/>
      <c r="U889" s="1111"/>
      <c r="V889" s="1111"/>
      <c r="W889" s="1111"/>
      <c r="X889" s="1111"/>
      <c r="Y889" s="1111"/>
      <c r="Z889" s="1111"/>
      <c r="AA889" s="1111"/>
      <c r="AB889" s="1111"/>
      <c r="AC889" s="1111"/>
      <c r="AD889" s="1111"/>
      <c r="AE889" s="1111"/>
      <c r="AF889" s="1111"/>
      <c r="AG889" s="1111"/>
    </row>
    <row r="890" spans="1:33" s="1295" customFormat="1">
      <c r="A890" s="1264"/>
      <c r="D890" s="1118"/>
      <c r="E890" s="1264"/>
      <c r="F890" s="1118"/>
      <c r="G890" s="1118"/>
      <c r="H890" s="1118"/>
      <c r="I890" s="1118"/>
      <c r="J890" s="1118"/>
      <c r="K890" s="1118"/>
      <c r="L890" s="1118"/>
      <c r="M890" s="1118"/>
      <c r="N890" s="1118"/>
      <c r="O890" s="1118"/>
      <c r="P890" s="1118"/>
      <c r="Q890" s="1111"/>
      <c r="R890" s="1111"/>
      <c r="S890" s="1111"/>
      <c r="T890" s="1111"/>
      <c r="U890" s="1111"/>
      <c r="V890" s="1111"/>
      <c r="W890" s="1111"/>
      <c r="X890" s="1111"/>
      <c r="Y890" s="1111"/>
      <c r="Z890" s="1111"/>
      <c r="AA890" s="1111"/>
      <c r="AB890" s="1111"/>
      <c r="AC890" s="1111"/>
      <c r="AD890" s="1111"/>
      <c r="AE890" s="1111"/>
      <c r="AF890" s="1111"/>
      <c r="AG890" s="1111"/>
    </row>
    <row r="891" spans="1:33" s="1295" customFormat="1">
      <c r="A891" s="1264"/>
      <c r="D891" s="1118"/>
      <c r="E891" s="1264"/>
      <c r="F891" s="1118"/>
      <c r="G891" s="1118"/>
      <c r="H891" s="1118"/>
      <c r="I891" s="1118"/>
      <c r="J891" s="1118"/>
      <c r="K891" s="1118"/>
      <c r="L891" s="1118"/>
      <c r="M891" s="1118"/>
      <c r="N891" s="1118"/>
      <c r="O891" s="1118"/>
      <c r="P891" s="1118"/>
      <c r="Q891" s="1111"/>
      <c r="R891" s="1111"/>
      <c r="S891" s="1111"/>
      <c r="T891" s="1111"/>
      <c r="U891" s="1111"/>
      <c r="V891" s="1111"/>
      <c r="W891" s="1111"/>
      <c r="X891" s="1111"/>
      <c r="Y891" s="1111"/>
      <c r="Z891" s="1111"/>
      <c r="AA891" s="1111"/>
      <c r="AB891" s="1111"/>
      <c r="AC891" s="1111"/>
      <c r="AD891" s="1111"/>
      <c r="AE891" s="1111"/>
      <c r="AF891" s="1111"/>
      <c r="AG891" s="1111"/>
    </row>
    <row r="892" spans="1:33" s="1295" customFormat="1">
      <c r="A892" s="1264"/>
      <c r="D892" s="1118"/>
      <c r="E892" s="1264"/>
      <c r="F892" s="1118"/>
      <c r="G892" s="1118"/>
      <c r="H892" s="1118"/>
      <c r="I892" s="1118"/>
      <c r="J892" s="1118"/>
      <c r="K892" s="1118"/>
      <c r="L892" s="1118"/>
      <c r="M892" s="1118"/>
      <c r="N892" s="1118"/>
      <c r="O892" s="1118"/>
      <c r="P892" s="1118"/>
      <c r="Q892" s="1111"/>
      <c r="R892" s="1111"/>
      <c r="S892" s="1111"/>
      <c r="T892" s="1111"/>
      <c r="U892" s="1111"/>
      <c r="V892" s="1111"/>
      <c r="W892" s="1111"/>
      <c r="X892" s="1111"/>
      <c r="Y892" s="1111"/>
      <c r="Z892" s="1111"/>
      <c r="AA892" s="1111"/>
      <c r="AB892" s="1111"/>
      <c r="AC892" s="1111"/>
      <c r="AD892" s="1111"/>
      <c r="AE892" s="1111"/>
      <c r="AF892" s="1111"/>
      <c r="AG892" s="1111"/>
    </row>
    <row r="893" spans="1:33" s="1295" customFormat="1">
      <c r="A893" s="1264"/>
      <c r="D893" s="1118"/>
      <c r="E893" s="1264"/>
      <c r="F893" s="1118"/>
      <c r="G893" s="1118"/>
      <c r="H893" s="1118"/>
      <c r="I893" s="1118"/>
      <c r="J893" s="1118"/>
      <c r="K893" s="1118"/>
      <c r="L893" s="1118"/>
      <c r="M893" s="1118"/>
      <c r="N893" s="1118"/>
      <c r="O893" s="1118"/>
      <c r="P893" s="1118"/>
      <c r="Q893" s="1111"/>
      <c r="R893" s="1111"/>
      <c r="S893" s="1111"/>
      <c r="T893" s="1111"/>
      <c r="U893" s="1111"/>
      <c r="V893" s="1111"/>
      <c r="W893" s="1111"/>
      <c r="X893" s="1111"/>
      <c r="Y893" s="1111"/>
      <c r="Z893" s="1111"/>
      <c r="AA893" s="1111"/>
      <c r="AB893" s="1111"/>
      <c r="AC893" s="1111"/>
      <c r="AD893" s="1111"/>
      <c r="AE893" s="1111"/>
      <c r="AF893" s="1111"/>
      <c r="AG893" s="1111"/>
    </row>
    <row r="894" spans="1:33" s="1295" customFormat="1">
      <c r="A894" s="1264"/>
      <c r="D894" s="1118"/>
      <c r="E894" s="1264"/>
      <c r="F894" s="1118"/>
      <c r="G894" s="1118"/>
      <c r="H894" s="1118"/>
      <c r="I894" s="1118"/>
      <c r="J894" s="1118"/>
      <c r="K894" s="1118"/>
      <c r="L894" s="1118"/>
      <c r="M894" s="1118"/>
      <c r="N894" s="1118"/>
      <c r="O894" s="1118"/>
      <c r="P894" s="1118"/>
      <c r="Q894" s="1111"/>
      <c r="R894" s="1111"/>
      <c r="S894" s="1111"/>
      <c r="T894" s="1111"/>
      <c r="U894" s="1111"/>
      <c r="V894" s="1111"/>
      <c r="W894" s="1111"/>
      <c r="X894" s="1111"/>
      <c r="Y894" s="1111"/>
      <c r="Z894" s="1111"/>
      <c r="AA894" s="1111"/>
      <c r="AB894" s="1111"/>
      <c r="AC894" s="1111"/>
      <c r="AD894" s="1111"/>
      <c r="AE894" s="1111"/>
      <c r="AF894" s="1111"/>
      <c r="AG894" s="1111"/>
    </row>
    <row r="895" spans="1:33" s="1295" customFormat="1">
      <c r="A895" s="1264"/>
      <c r="D895" s="1118"/>
      <c r="E895" s="1264"/>
      <c r="F895" s="1118"/>
      <c r="G895" s="1118"/>
      <c r="H895" s="1118"/>
      <c r="I895" s="1118"/>
      <c r="J895" s="1118"/>
      <c r="K895" s="1118"/>
      <c r="L895" s="1118"/>
      <c r="M895" s="1118"/>
      <c r="N895" s="1118"/>
      <c r="O895" s="1118"/>
      <c r="P895" s="1118"/>
      <c r="Q895" s="1111"/>
      <c r="R895" s="1111"/>
      <c r="S895" s="1111"/>
      <c r="T895" s="1111"/>
      <c r="U895" s="1111"/>
      <c r="V895" s="1111"/>
      <c r="W895" s="1111"/>
      <c r="X895" s="1111"/>
      <c r="Y895" s="1111"/>
      <c r="Z895" s="1111"/>
      <c r="AA895" s="1111"/>
      <c r="AB895" s="1111"/>
      <c r="AC895" s="1111"/>
      <c r="AD895" s="1111"/>
      <c r="AE895" s="1111"/>
      <c r="AF895" s="1111"/>
      <c r="AG895" s="1111"/>
    </row>
    <row r="896" spans="1:33" s="1295" customFormat="1">
      <c r="A896" s="1264"/>
      <c r="D896" s="1118"/>
      <c r="E896" s="1264"/>
      <c r="F896" s="1118"/>
      <c r="G896" s="1118"/>
      <c r="H896" s="1118"/>
      <c r="I896" s="1118"/>
      <c r="J896" s="1118"/>
      <c r="K896" s="1118"/>
      <c r="L896" s="1118"/>
      <c r="M896" s="1118"/>
      <c r="N896" s="1118"/>
      <c r="O896" s="1118"/>
      <c r="P896" s="1118"/>
      <c r="Q896" s="1111"/>
      <c r="R896" s="1111"/>
      <c r="S896" s="1111"/>
      <c r="T896" s="1111"/>
      <c r="U896" s="1111"/>
      <c r="V896" s="1111"/>
      <c r="W896" s="1111"/>
      <c r="X896" s="1111"/>
      <c r="Y896" s="1111"/>
      <c r="Z896" s="1111"/>
      <c r="AA896" s="1111"/>
      <c r="AB896" s="1111"/>
      <c r="AC896" s="1111"/>
      <c r="AD896" s="1111"/>
      <c r="AE896" s="1111"/>
      <c r="AF896" s="1111"/>
      <c r="AG896" s="1111"/>
    </row>
    <row r="897" spans="1:33" s="1295" customFormat="1">
      <c r="A897" s="1264"/>
      <c r="D897" s="1118"/>
      <c r="E897" s="1264"/>
      <c r="F897" s="1118"/>
      <c r="G897" s="1118"/>
      <c r="H897" s="1118"/>
      <c r="I897" s="1118"/>
      <c r="J897" s="1118"/>
      <c r="K897" s="1118"/>
      <c r="L897" s="1118"/>
      <c r="M897" s="1118"/>
      <c r="N897" s="1118"/>
      <c r="O897" s="1118"/>
      <c r="P897" s="1118"/>
      <c r="Q897" s="1111"/>
      <c r="R897" s="1111"/>
      <c r="S897" s="1111"/>
      <c r="T897" s="1111"/>
      <c r="U897" s="1111"/>
      <c r="V897" s="1111"/>
      <c r="W897" s="1111"/>
      <c r="X897" s="1111"/>
      <c r="Y897" s="1111"/>
      <c r="Z897" s="1111"/>
      <c r="AA897" s="1111"/>
      <c r="AB897" s="1111"/>
      <c r="AC897" s="1111"/>
      <c r="AD897" s="1111"/>
      <c r="AE897" s="1111"/>
      <c r="AF897" s="1111"/>
      <c r="AG897" s="1111"/>
    </row>
    <row r="898" spans="1:33" s="1295" customFormat="1">
      <c r="A898" s="1264"/>
      <c r="D898" s="1118"/>
      <c r="E898" s="1264"/>
      <c r="F898" s="1118"/>
      <c r="G898" s="1118"/>
      <c r="H898" s="1118"/>
      <c r="I898" s="1118"/>
      <c r="J898" s="1118"/>
      <c r="K898" s="1118"/>
      <c r="L898" s="1118"/>
      <c r="M898" s="1118"/>
      <c r="N898" s="1118"/>
      <c r="O898" s="1118"/>
      <c r="P898" s="1118"/>
      <c r="Q898" s="1111"/>
      <c r="R898" s="1111"/>
      <c r="S898" s="1111"/>
      <c r="T898" s="1111"/>
      <c r="U898" s="1111"/>
      <c r="V898" s="1111"/>
      <c r="W898" s="1111"/>
      <c r="X898" s="1111"/>
      <c r="Y898" s="1111"/>
      <c r="Z898" s="1111"/>
      <c r="AA898" s="1111"/>
      <c r="AB898" s="1111"/>
      <c r="AC898" s="1111"/>
      <c r="AD898" s="1111"/>
      <c r="AE898" s="1111"/>
      <c r="AF898" s="1111"/>
      <c r="AG898" s="1111"/>
    </row>
    <row r="899" spans="1:33" s="1295" customFormat="1">
      <c r="A899" s="1264"/>
      <c r="D899" s="1118"/>
      <c r="E899" s="1264"/>
      <c r="F899" s="1118"/>
      <c r="G899" s="1118"/>
      <c r="H899" s="1118"/>
      <c r="I899" s="1118"/>
      <c r="J899" s="1118"/>
      <c r="K899" s="1118"/>
      <c r="L899" s="1118"/>
      <c r="M899" s="1118"/>
      <c r="N899" s="1118"/>
      <c r="O899" s="1118"/>
      <c r="P899" s="1118"/>
      <c r="Q899" s="1111"/>
      <c r="R899" s="1111"/>
      <c r="S899" s="1111"/>
      <c r="T899" s="1111"/>
      <c r="U899" s="1111"/>
      <c r="V899" s="1111"/>
      <c r="W899" s="1111"/>
      <c r="X899" s="1111"/>
      <c r="Y899" s="1111"/>
      <c r="Z899" s="1111"/>
      <c r="AA899" s="1111"/>
      <c r="AB899" s="1111"/>
      <c r="AC899" s="1111"/>
      <c r="AD899" s="1111"/>
      <c r="AE899" s="1111"/>
      <c r="AF899" s="1111"/>
      <c r="AG899" s="1111"/>
    </row>
    <row r="900" spans="1:33" s="1295" customFormat="1">
      <c r="A900" s="1264"/>
      <c r="D900" s="1118"/>
      <c r="E900" s="1264"/>
      <c r="F900" s="1118"/>
      <c r="G900" s="1118"/>
      <c r="H900" s="1118"/>
      <c r="I900" s="1118"/>
      <c r="J900" s="1118"/>
      <c r="K900" s="1118"/>
      <c r="L900" s="1118"/>
      <c r="M900" s="1118"/>
      <c r="N900" s="1118"/>
      <c r="O900" s="1118"/>
      <c r="P900" s="1118"/>
      <c r="Q900" s="1111"/>
      <c r="R900" s="1111"/>
      <c r="S900" s="1111"/>
      <c r="T900" s="1111"/>
      <c r="U900" s="1111"/>
      <c r="V900" s="1111"/>
      <c r="W900" s="1111"/>
      <c r="X900" s="1111"/>
      <c r="Y900" s="1111"/>
      <c r="Z900" s="1111"/>
      <c r="AA900" s="1111"/>
      <c r="AB900" s="1111"/>
      <c r="AC900" s="1111"/>
      <c r="AD900" s="1111"/>
      <c r="AE900" s="1111"/>
      <c r="AF900" s="1111"/>
      <c r="AG900" s="1111"/>
    </row>
    <row r="901" spans="1:33" s="1295" customFormat="1">
      <c r="A901" s="1264"/>
      <c r="D901" s="1118"/>
      <c r="E901" s="1264"/>
      <c r="F901" s="1118"/>
      <c r="G901" s="1118"/>
      <c r="H901" s="1118"/>
      <c r="I901" s="1118"/>
      <c r="J901" s="1118"/>
      <c r="K901" s="1118"/>
      <c r="L901" s="1118"/>
      <c r="M901" s="1118"/>
      <c r="N901" s="1118"/>
      <c r="O901" s="1118"/>
      <c r="P901" s="1118"/>
      <c r="Q901" s="1111"/>
      <c r="R901" s="1111"/>
      <c r="S901" s="1111"/>
      <c r="T901" s="1111"/>
      <c r="U901" s="1111"/>
      <c r="V901" s="1111"/>
      <c r="W901" s="1111"/>
      <c r="X901" s="1111"/>
      <c r="Y901" s="1111"/>
      <c r="Z901" s="1111"/>
      <c r="AA901" s="1111"/>
      <c r="AB901" s="1111"/>
      <c r="AC901" s="1111"/>
      <c r="AD901" s="1111"/>
      <c r="AE901" s="1111"/>
      <c r="AF901" s="1111"/>
      <c r="AG901" s="1111"/>
    </row>
    <row r="902" spans="1:33" s="1295" customFormat="1">
      <c r="A902" s="1264"/>
      <c r="D902" s="1118"/>
      <c r="E902" s="1264"/>
      <c r="F902" s="1118"/>
      <c r="G902" s="1118"/>
      <c r="H902" s="1118"/>
      <c r="I902" s="1118"/>
      <c r="J902" s="1118"/>
      <c r="K902" s="1118"/>
      <c r="L902" s="1118"/>
      <c r="M902" s="1118"/>
      <c r="N902" s="1118"/>
      <c r="O902" s="1118"/>
      <c r="P902" s="1118"/>
      <c r="Q902" s="1111"/>
      <c r="R902" s="1111"/>
      <c r="S902" s="1111"/>
      <c r="T902" s="1111"/>
      <c r="U902" s="1111"/>
      <c r="V902" s="1111"/>
      <c r="W902" s="1111"/>
      <c r="X902" s="1111"/>
      <c r="Y902" s="1111"/>
      <c r="Z902" s="1111"/>
      <c r="AA902" s="1111"/>
      <c r="AB902" s="1111"/>
      <c r="AC902" s="1111"/>
      <c r="AD902" s="1111"/>
      <c r="AE902" s="1111"/>
      <c r="AF902" s="1111"/>
      <c r="AG902" s="1111"/>
    </row>
    <row r="903" spans="1:33" s="1295" customFormat="1">
      <c r="A903" s="1264"/>
      <c r="D903" s="1118"/>
      <c r="E903" s="1264"/>
      <c r="F903" s="1118"/>
      <c r="G903" s="1118"/>
      <c r="H903" s="1118"/>
      <c r="I903" s="1118"/>
      <c r="J903" s="1118"/>
      <c r="K903" s="1118"/>
      <c r="L903" s="1118"/>
      <c r="M903" s="1118"/>
      <c r="N903" s="1118"/>
      <c r="O903" s="1118"/>
      <c r="P903" s="1118"/>
      <c r="Q903" s="1111"/>
      <c r="R903" s="1111"/>
      <c r="S903" s="1111"/>
      <c r="T903" s="1111"/>
      <c r="U903" s="1111"/>
      <c r="V903" s="1111"/>
      <c r="W903" s="1111"/>
      <c r="X903" s="1111"/>
      <c r="Y903" s="1111"/>
      <c r="Z903" s="1111"/>
      <c r="AA903" s="1111"/>
      <c r="AB903" s="1111"/>
      <c r="AC903" s="1111"/>
      <c r="AD903" s="1111"/>
      <c r="AE903" s="1111"/>
      <c r="AF903" s="1111"/>
      <c r="AG903" s="1111"/>
    </row>
    <row r="904" spans="1:33" s="1295" customFormat="1">
      <c r="A904" s="1264"/>
      <c r="D904" s="1118"/>
      <c r="E904" s="1264"/>
      <c r="F904" s="1118"/>
      <c r="G904" s="1118"/>
      <c r="H904" s="1118"/>
      <c r="I904" s="1118"/>
      <c r="J904" s="1118"/>
      <c r="K904" s="1118"/>
      <c r="L904" s="1118"/>
      <c r="M904" s="1118"/>
      <c r="N904" s="1118"/>
      <c r="O904" s="1118"/>
      <c r="P904" s="1118"/>
      <c r="Q904" s="1111"/>
      <c r="R904" s="1111"/>
      <c r="S904" s="1111"/>
      <c r="T904" s="1111"/>
      <c r="U904" s="1111"/>
      <c r="V904" s="1111"/>
      <c r="W904" s="1111"/>
      <c r="X904" s="1111"/>
      <c r="Y904" s="1111"/>
      <c r="Z904" s="1111"/>
      <c r="AA904" s="1111"/>
      <c r="AB904" s="1111"/>
      <c r="AC904" s="1111"/>
      <c r="AD904" s="1111"/>
      <c r="AE904" s="1111"/>
      <c r="AF904" s="1111"/>
      <c r="AG904" s="1111"/>
    </row>
    <row r="905" spans="1:33" s="1295" customFormat="1">
      <c r="A905" s="1264"/>
      <c r="D905" s="1118"/>
      <c r="E905" s="1264"/>
      <c r="F905" s="1118"/>
      <c r="G905" s="1118"/>
      <c r="H905" s="1118"/>
      <c r="I905" s="1118"/>
      <c r="J905" s="1118"/>
      <c r="K905" s="1118"/>
      <c r="L905" s="1118"/>
      <c r="M905" s="1118"/>
      <c r="N905" s="1118"/>
      <c r="O905" s="1118"/>
      <c r="P905" s="1118"/>
      <c r="Q905" s="1111"/>
      <c r="R905" s="1111"/>
      <c r="S905" s="1111"/>
      <c r="T905" s="1111"/>
      <c r="U905" s="1111"/>
      <c r="V905" s="1111"/>
      <c r="W905" s="1111"/>
      <c r="X905" s="1111"/>
      <c r="Y905" s="1111"/>
      <c r="Z905" s="1111"/>
      <c r="AA905" s="1111"/>
      <c r="AB905" s="1111"/>
      <c r="AC905" s="1111"/>
      <c r="AD905" s="1111"/>
      <c r="AE905" s="1111"/>
      <c r="AF905" s="1111"/>
      <c r="AG905" s="1111"/>
    </row>
    <row r="906" spans="1:33" s="1295" customFormat="1">
      <c r="A906" s="1264"/>
      <c r="D906" s="1118"/>
      <c r="E906" s="1264"/>
      <c r="F906" s="1118"/>
      <c r="G906" s="1118"/>
      <c r="H906" s="1118"/>
      <c r="I906" s="1118"/>
      <c r="J906" s="1118"/>
      <c r="K906" s="1118"/>
      <c r="L906" s="1118"/>
      <c r="M906" s="1118"/>
      <c r="N906" s="1118"/>
      <c r="O906" s="1118"/>
      <c r="P906" s="1118"/>
      <c r="Q906" s="1111"/>
      <c r="R906" s="1111"/>
      <c r="S906" s="1111"/>
      <c r="T906" s="1111"/>
      <c r="U906" s="1111"/>
      <c r="V906" s="1111"/>
      <c r="W906" s="1111"/>
      <c r="X906" s="1111"/>
      <c r="Y906" s="1111"/>
      <c r="Z906" s="1111"/>
      <c r="AA906" s="1111"/>
      <c r="AB906" s="1111"/>
      <c r="AC906" s="1111"/>
      <c r="AD906" s="1111"/>
      <c r="AE906" s="1111"/>
      <c r="AF906" s="1111"/>
      <c r="AG906" s="1111"/>
    </row>
    <row r="907" spans="1:33" s="1295" customFormat="1">
      <c r="A907" s="1264"/>
      <c r="D907" s="1118"/>
      <c r="E907" s="1264"/>
      <c r="F907" s="1118"/>
      <c r="G907" s="1118"/>
      <c r="H907" s="1118"/>
      <c r="I907" s="1118"/>
      <c r="J907" s="1118"/>
      <c r="K907" s="1118"/>
      <c r="L907" s="1118"/>
      <c r="M907" s="1118"/>
      <c r="N907" s="1118"/>
      <c r="O907" s="1118"/>
      <c r="P907" s="1118"/>
      <c r="Q907" s="1111"/>
      <c r="R907" s="1111"/>
      <c r="S907" s="1111"/>
      <c r="T907" s="1111"/>
      <c r="U907" s="1111"/>
      <c r="V907" s="1111"/>
      <c r="W907" s="1111"/>
      <c r="X907" s="1111"/>
      <c r="Y907" s="1111"/>
      <c r="Z907" s="1111"/>
      <c r="AA907" s="1111"/>
      <c r="AB907" s="1111"/>
      <c r="AC907" s="1111"/>
      <c r="AD907" s="1111"/>
      <c r="AE907" s="1111"/>
      <c r="AF907" s="1111"/>
      <c r="AG907" s="1111"/>
    </row>
    <row r="908" spans="1:33" s="1295" customFormat="1">
      <c r="A908" s="1264"/>
      <c r="D908" s="1118"/>
      <c r="E908" s="1264"/>
      <c r="F908" s="1118"/>
      <c r="G908" s="1118"/>
      <c r="H908" s="1118"/>
      <c r="I908" s="1118"/>
      <c r="J908" s="1118"/>
      <c r="K908" s="1118"/>
      <c r="L908" s="1118"/>
      <c r="M908" s="1118"/>
      <c r="N908" s="1118"/>
      <c r="O908" s="1118"/>
      <c r="P908" s="1118"/>
      <c r="Q908" s="1111"/>
      <c r="R908" s="1111"/>
      <c r="S908" s="1111"/>
      <c r="T908" s="1111"/>
      <c r="U908" s="1111"/>
      <c r="V908" s="1111"/>
      <c r="W908" s="1111"/>
      <c r="X908" s="1111"/>
      <c r="Y908" s="1111"/>
      <c r="Z908" s="1111"/>
      <c r="AA908" s="1111"/>
      <c r="AB908" s="1111"/>
      <c r="AC908" s="1111"/>
      <c r="AD908" s="1111"/>
      <c r="AE908" s="1111"/>
      <c r="AF908" s="1111"/>
      <c r="AG908" s="1111"/>
    </row>
    <row r="909" spans="1:33" s="1295" customFormat="1">
      <c r="A909" s="1264"/>
      <c r="D909" s="1118"/>
      <c r="E909" s="1264"/>
      <c r="F909" s="1118"/>
      <c r="G909" s="1118"/>
      <c r="H909" s="1118"/>
      <c r="I909" s="1118"/>
      <c r="J909" s="1118"/>
      <c r="K909" s="1118"/>
      <c r="L909" s="1118"/>
      <c r="M909" s="1118"/>
      <c r="N909" s="1118"/>
      <c r="O909" s="1118"/>
      <c r="P909" s="1118"/>
      <c r="Q909" s="1111"/>
      <c r="R909" s="1111"/>
      <c r="S909" s="1111"/>
      <c r="T909" s="1111"/>
      <c r="U909" s="1111"/>
      <c r="V909" s="1111"/>
      <c r="W909" s="1111"/>
      <c r="X909" s="1111"/>
      <c r="Y909" s="1111"/>
      <c r="Z909" s="1111"/>
      <c r="AA909" s="1111"/>
      <c r="AB909" s="1111"/>
      <c r="AC909" s="1111"/>
      <c r="AD909" s="1111"/>
      <c r="AE909" s="1111"/>
      <c r="AF909" s="1111"/>
      <c r="AG909" s="1111"/>
    </row>
    <row r="910" spans="1:33" s="1295" customFormat="1">
      <c r="A910" s="1264"/>
      <c r="D910" s="1118"/>
      <c r="E910" s="1264"/>
      <c r="F910" s="1118"/>
      <c r="G910" s="1118"/>
      <c r="H910" s="1118"/>
      <c r="I910" s="1118"/>
      <c r="J910" s="1118"/>
      <c r="K910" s="1118"/>
      <c r="L910" s="1118"/>
      <c r="M910" s="1118"/>
      <c r="N910" s="1118"/>
      <c r="O910" s="1118"/>
      <c r="P910" s="1118"/>
      <c r="Q910" s="1111"/>
      <c r="R910" s="1111"/>
      <c r="S910" s="1111"/>
      <c r="T910" s="1111"/>
      <c r="U910" s="1111"/>
      <c r="V910" s="1111"/>
      <c r="W910" s="1111"/>
      <c r="X910" s="1111"/>
      <c r="Y910" s="1111"/>
      <c r="Z910" s="1111"/>
      <c r="AA910" s="1111"/>
      <c r="AB910" s="1111"/>
      <c r="AC910" s="1111"/>
      <c r="AD910" s="1111"/>
      <c r="AE910" s="1111"/>
      <c r="AF910" s="1111"/>
      <c r="AG910" s="1111"/>
    </row>
    <row r="911" spans="1:33" s="1295" customFormat="1">
      <c r="A911" s="1264"/>
      <c r="D911" s="1118"/>
      <c r="E911" s="1264"/>
      <c r="F911" s="1118"/>
      <c r="G911" s="1118"/>
      <c r="H911" s="1118"/>
      <c r="I911" s="1118"/>
      <c r="J911" s="1118"/>
      <c r="K911" s="1118"/>
      <c r="L911" s="1118"/>
      <c r="M911" s="1118"/>
      <c r="N911" s="1118"/>
      <c r="O911" s="1118"/>
      <c r="P911" s="1118"/>
      <c r="Q911" s="1111"/>
      <c r="R911" s="1111"/>
      <c r="S911" s="1111"/>
      <c r="T911" s="1111"/>
      <c r="U911" s="1111"/>
      <c r="V911" s="1111"/>
      <c r="W911" s="1111"/>
      <c r="X911" s="1111"/>
      <c r="Y911" s="1111"/>
      <c r="Z911" s="1111"/>
      <c r="AA911" s="1111"/>
      <c r="AB911" s="1111"/>
      <c r="AC911" s="1111"/>
      <c r="AD911" s="1111"/>
      <c r="AE911" s="1111"/>
      <c r="AF911" s="1111"/>
      <c r="AG911" s="1111"/>
    </row>
    <row r="912" spans="1:33" s="1295" customFormat="1">
      <c r="A912" s="1264"/>
      <c r="D912" s="1118"/>
      <c r="E912" s="1264"/>
      <c r="F912" s="1118"/>
      <c r="G912" s="1118"/>
      <c r="H912" s="1118"/>
      <c r="I912" s="1118"/>
      <c r="J912" s="1118"/>
      <c r="K912" s="1118"/>
      <c r="L912" s="1118"/>
      <c r="M912" s="1118"/>
      <c r="N912" s="1118"/>
      <c r="O912" s="1118"/>
      <c r="P912" s="1118"/>
      <c r="Q912" s="1111"/>
      <c r="R912" s="1111"/>
      <c r="S912" s="1111"/>
      <c r="T912" s="1111"/>
      <c r="U912" s="1111"/>
      <c r="V912" s="1111"/>
      <c r="W912" s="1111"/>
      <c r="X912" s="1111"/>
      <c r="Y912" s="1111"/>
      <c r="Z912" s="1111"/>
      <c r="AA912" s="1111"/>
      <c r="AB912" s="1111"/>
      <c r="AC912" s="1111"/>
      <c r="AD912" s="1111"/>
      <c r="AE912" s="1111"/>
      <c r="AF912" s="1111"/>
      <c r="AG912" s="1111"/>
    </row>
    <row r="913" spans="1:33" s="1295" customFormat="1">
      <c r="A913" s="1264"/>
      <c r="D913" s="1118"/>
      <c r="E913" s="1264"/>
      <c r="F913" s="1118"/>
      <c r="G913" s="1118"/>
      <c r="H913" s="1118"/>
      <c r="I913" s="1118"/>
      <c r="J913" s="1118"/>
      <c r="K913" s="1118"/>
      <c r="L913" s="1118"/>
      <c r="M913" s="1118"/>
      <c r="N913" s="1118"/>
      <c r="O913" s="1118"/>
      <c r="P913" s="1118"/>
      <c r="Q913" s="1111"/>
      <c r="R913" s="1111"/>
      <c r="S913" s="1111"/>
      <c r="T913" s="1111"/>
      <c r="U913" s="1111"/>
      <c r="V913" s="1111"/>
      <c r="W913" s="1111"/>
      <c r="X913" s="1111"/>
      <c r="Y913" s="1111"/>
      <c r="Z913" s="1111"/>
      <c r="AA913" s="1111"/>
      <c r="AB913" s="1111"/>
      <c r="AC913" s="1111"/>
      <c r="AD913" s="1111"/>
      <c r="AE913" s="1111"/>
      <c r="AF913" s="1111"/>
      <c r="AG913" s="1111"/>
    </row>
    <row r="914" spans="1:33" s="1295" customFormat="1">
      <c r="A914" s="1264"/>
      <c r="D914" s="1118"/>
      <c r="E914" s="1264"/>
      <c r="F914" s="1118"/>
      <c r="G914" s="1118"/>
      <c r="H914" s="1118"/>
      <c r="I914" s="1118"/>
      <c r="J914" s="1118"/>
      <c r="K914" s="1118"/>
      <c r="L914" s="1118"/>
      <c r="M914" s="1118"/>
      <c r="N914" s="1118"/>
      <c r="O914" s="1118"/>
      <c r="P914" s="1118"/>
      <c r="Q914" s="1111"/>
      <c r="R914" s="1111"/>
      <c r="S914" s="1111"/>
      <c r="T914" s="1111"/>
      <c r="U914" s="1111"/>
      <c r="V914" s="1111"/>
      <c r="W914" s="1111"/>
      <c r="X914" s="1111"/>
      <c r="Y914" s="1111"/>
      <c r="Z914" s="1111"/>
      <c r="AA914" s="1111"/>
      <c r="AB914" s="1111"/>
      <c r="AC914" s="1111"/>
      <c r="AD914" s="1111"/>
      <c r="AE914" s="1111"/>
      <c r="AF914" s="1111"/>
      <c r="AG914" s="1111"/>
    </row>
    <row r="915" spans="1:33" s="1295" customFormat="1">
      <c r="A915" s="1264"/>
      <c r="D915" s="1118"/>
      <c r="E915" s="1264"/>
      <c r="F915" s="1118"/>
      <c r="G915" s="1118"/>
      <c r="H915" s="1118"/>
      <c r="I915" s="1118"/>
      <c r="J915" s="1118"/>
      <c r="K915" s="1118"/>
      <c r="L915" s="1118"/>
      <c r="M915" s="1118"/>
      <c r="N915" s="1118"/>
      <c r="O915" s="1118"/>
      <c r="P915" s="1118"/>
      <c r="Q915" s="1111"/>
      <c r="R915" s="1111"/>
      <c r="S915" s="1111"/>
      <c r="T915" s="1111"/>
      <c r="U915" s="1111"/>
      <c r="V915" s="1111"/>
      <c r="W915" s="1111"/>
      <c r="X915" s="1111"/>
      <c r="Y915" s="1111"/>
      <c r="Z915" s="1111"/>
      <c r="AA915" s="1111"/>
      <c r="AB915" s="1111"/>
      <c r="AC915" s="1111"/>
      <c r="AD915" s="1111"/>
      <c r="AE915" s="1111"/>
      <c r="AF915" s="1111"/>
      <c r="AG915" s="1111"/>
    </row>
    <row r="916" spans="1:33" s="1295" customFormat="1">
      <c r="A916" s="1264"/>
      <c r="D916" s="1118"/>
      <c r="E916" s="1264"/>
      <c r="F916" s="1118"/>
      <c r="G916" s="1118"/>
      <c r="H916" s="1118"/>
      <c r="I916" s="1118"/>
      <c r="J916" s="1118"/>
      <c r="K916" s="1118"/>
      <c r="L916" s="1118"/>
      <c r="M916" s="1118"/>
      <c r="N916" s="1118"/>
      <c r="O916" s="1118"/>
      <c r="P916" s="1118"/>
      <c r="Q916" s="1111"/>
      <c r="R916" s="1111"/>
      <c r="S916" s="1111"/>
      <c r="T916" s="1111"/>
      <c r="U916" s="1111"/>
      <c r="V916" s="1111"/>
      <c r="W916" s="1111"/>
      <c r="X916" s="1111"/>
      <c r="Y916" s="1111"/>
      <c r="Z916" s="1111"/>
      <c r="AA916" s="1111"/>
      <c r="AB916" s="1111"/>
      <c r="AC916" s="1111"/>
      <c r="AD916" s="1111"/>
      <c r="AE916" s="1111"/>
      <c r="AF916" s="1111"/>
      <c r="AG916" s="1111"/>
    </row>
    <row r="917" spans="1:33" s="1295" customFormat="1">
      <c r="A917" s="1264"/>
      <c r="D917" s="1118"/>
      <c r="E917" s="1264"/>
      <c r="F917" s="1118"/>
      <c r="G917" s="1118"/>
      <c r="H917" s="1118"/>
      <c r="I917" s="1118"/>
      <c r="J917" s="1118"/>
      <c r="K917" s="1118"/>
      <c r="L917" s="1118"/>
      <c r="M917" s="1118"/>
      <c r="N917" s="1118"/>
      <c r="O917" s="1118"/>
      <c r="P917" s="1118"/>
      <c r="Q917" s="1111"/>
      <c r="R917" s="1111"/>
      <c r="S917" s="1111"/>
      <c r="T917" s="1111"/>
      <c r="U917" s="1111"/>
      <c r="V917" s="1111"/>
      <c r="W917" s="1111"/>
      <c r="X917" s="1111"/>
      <c r="Y917" s="1111"/>
      <c r="Z917" s="1111"/>
      <c r="AA917" s="1111"/>
      <c r="AB917" s="1111"/>
      <c r="AC917" s="1111"/>
      <c r="AD917" s="1111"/>
      <c r="AE917" s="1111"/>
      <c r="AF917" s="1111"/>
      <c r="AG917" s="1111"/>
    </row>
    <row r="918" spans="1:33" s="1295" customFormat="1">
      <c r="A918" s="1264"/>
      <c r="D918" s="1118"/>
      <c r="E918" s="1264"/>
      <c r="F918" s="1118"/>
      <c r="G918" s="1118"/>
      <c r="H918" s="1118"/>
      <c r="I918" s="1118"/>
      <c r="J918" s="1118"/>
      <c r="K918" s="1118"/>
      <c r="L918" s="1118"/>
      <c r="M918" s="1118"/>
      <c r="N918" s="1118"/>
      <c r="O918" s="1118"/>
      <c r="P918" s="1118"/>
      <c r="Q918" s="1111"/>
      <c r="R918" s="1111"/>
      <c r="S918" s="1111"/>
      <c r="T918" s="1111"/>
      <c r="U918" s="1111"/>
      <c r="V918" s="1111"/>
      <c r="W918" s="1111"/>
      <c r="X918" s="1111"/>
      <c r="Y918" s="1111"/>
      <c r="Z918" s="1111"/>
      <c r="AA918" s="1111"/>
      <c r="AB918" s="1111"/>
      <c r="AC918" s="1111"/>
      <c r="AD918" s="1111"/>
      <c r="AE918" s="1111"/>
      <c r="AF918" s="1111"/>
      <c r="AG918" s="1111"/>
    </row>
    <row r="919" spans="1:33" s="1295" customFormat="1">
      <c r="A919" s="1264"/>
      <c r="D919" s="1118"/>
      <c r="E919" s="1264"/>
      <c r="F919" s="1118"/>
      <c r="G919" s="1118"/>
      <c r="H919" s="1118"/>
      <c r="I919" s="1118"/>
      <c r="J919" s="1118"/>
      <c r="K919" s="1118"/>
      <c r="L919" s="1118"/>
      <c r="M919" s="1118"/>
      <c r="N919" s="1118"/>
      <c r="O919" s="1118"/>
      <c r="P919" s="1118"/>
      <c r="Q919" s="1111"/>
      <c r="R919" s="1111"/>
      <c r="S919" s="1111"/>
      <c r="T919" s="1111"/>
      <c r="U919" s="1111"/>
      <c r="V919" s="1111"/>
      <c r="W919" s="1111"/>
      <c r="X919" s="1111"/>
      <c r="Y919" s="1111"/>
      <c r="Z919" s="1111"/>
      <c r="AA919" s="1111"/>
      <c r="AB919" s="1111"/>
      <c r="AC919" s="1111"/>
      <c r="AD919" s="1111"/>
      <c r="AE919" s="1111"/>
      <c r="AF919" s="1111"/>
      <c r="AG919" s="1111"/>
    </row>
    <row r="920" spans="1:33" s="1295" customFormat="1">
      <c r="A920" s="1264"/>
      <c r="D920" s="1118"/>
      <c r="E920" s="1264"/>
      <c r="F920" s="1118"/>
      <c r="G920" s="1118"/>
      <c r="H920" s="1118"/>
      <c r="I920" s="1118"/>
      <c r="J920" s="1118"/>
      <c r="K920" s="1118"/>
      <c r="L920" s="1118"/>
      <c r="M920" s="1118"/>
      <c r="N920" s="1118"/>
      <c r="O920" s="1118"/>
      <c r="P920" s="1118"/>
      <c r="Q920" s="1111"/>
      <c r="R920" s="1111"/>
      <c r="S920" s="1111"/>
      <c r="T920" s="1111"/>
      <c r="U920" s="1111"/>
      <c r="V920" s="1111"/>
      <c r="W920" s="1111"/>
      <c r="X920" s="1111"/>
      <c r="Y920" s="1111"/>
      <c r="Z920" s="1111"/>
      <c r="AA920" s="1111"/>
      <c r="AB920" s="1111"/>
      <c r="AC920" s="1111"/>
      <c r="AD920" s="1111"/>
      <c r="AE920" s="1111"/>
      <c r="AF920" s="1111"/>
      <c r="AG920" s="1111"/>
    </row>
    <row r="921" spans="1:33" s="1295" customFormat="1">
      <c r="A921" s="1264"/>
      <c r="D921" s="1118"/>
      <c r="E921" s="1264"/>
      <c r="F921" s="1118"/>
      <c r="G921" s="1118"/>
      <c r="H921" s="1118"/>
      <c r="I921" s="1118"/>
      <c r="J921" s="1118"/>
      <c r="K921" s="1118"/>
      <c r="L921" s="1118"/>
      <c r="M921" s="1118"/>
      <c r="N921" s="1118"/>
      <c r="O921" s="1118"/>
      <c r="P921" s="1118"/>
      <c r="Q921" s="1111"/>
      <c r="R921" s="1111"/>
      <c r="S921" s="1111"/>
      <c r="T921" s="1111"/>
      <c r="U921" s="1111"/>
      <c r="V921" s="1111"/>
      <c r="W921" s="1111"/>
      <c r="X921" s="1111"/>
      <c r="Y921" s="1111"/>
      <c r="Z921" s="1111"/>
      <c r="AA921" s="1111"/>
      <c r="AB921" s="1111"/>
      <c r="AC921" s="1111"/>
      <c r="AD921" s="1111"/>
      <c r="AE921" s="1111"/>
      <c r="AF921" s="1111"/>
      <c r="AG921" s="1111"/>
    </row>
    <row r="922" spans="1:33" s="1295" customFormat="1">
      <c r="A922" s="1264"/>
      <c r="D922" s="1118"/>
      <c r="E922" s="1264"/>
      <c r="F922" s="1118"/>
      <c r="G922" s="1118"/>
      <c r="H922" s="1118"/>
      <c r="I922" s="1118"/>
      <c r="J922" s="1118"/>
      <c r="K922" s="1118"/>
      <c r="L922" s="1118"/>
      <c r="M922" s="1118"/>
      <c r="N922" s="1118"/>
      <c r="O922" s="1118"/>
      <c r="P922" s="1118"/>
      <c r="Q922" s="1111"/>
      <c r="R922" s="1111"/>
      <c r="S922" s="1111"/>
      <c r="T922" s="1111"/>
      <c r="U922" s="1111"/>
      <c r="V922" s="1111"/>
      <c r="W922" s="1111"/>
      <c r="X922" s="1111"/>
      <c r="Y922" s="1111"/>
      <c r="Z922" s="1111"/>
      <c r="AA922" s="1111"/>
      <c r="AB922" s="1111"/>
      <c r="AC922" s="1111"/>
      <c r="AD922" s="1111"/>
      <c r="AE922" s="1111"/>
      <c r="AF922" s="1111"/>
      <c r="AG922" s="1111"/>
    </row>
    <row r="923" spans="1:33" s="1295" customFormat="1">
      <c r="A923" s="1264"/>
      <c r="D923" s="1118"/>
      <c r="E923" s="1264"/>
      <c r="F923" s="1118"/>
      <c r="G923" s="1118"/>
      <c r="H923" s="1118"/>
      <c r="I923" s="1118"/>
      <c r="J923" s="1118"/>
      <c r="K923" s="1118"/>
      <c r="L923" s="1118"/>
      <c r="M923" s="1118"/>
      <c r="N923" s="1118"/>
      <c r="O923" s="1118"/>
      <c r="P923" s="1118"/>
      <c r="Q923" s="1111"/>
      <c r="R923" s="1111"/>
      <c r="S923" s="1111"/>
      <c r="T923" s="1111"/>
      <c r="U923" s="1111"/>
      <c r="V923" s="1111"/>
      <c r="W923" s="1111"/>
      <c r="X923" s="1111"/>
      <c r="Y923" s="1111"/>
      <c r="Z923" s="1111"/>
      <c r="AA923" s="1111"/>
      <c r="AB923" s="1111"/>
      <c r="AC923" s="1111"/>
      <c r="AD923" s="1111"/>
      <c r="AE923" s="1111"/>
      <c r="AF923" s="1111"/>
      <c r="AG923" s="1111"/>
    </row>
    <row r="924" spans="1:33" s="1295" customFormat="1">
      <c r="A924" s="1264"/>
      <c r="D924" s="1118"/>
      <c r="E924" s="1264"/>
      <c r="F924" s="1118"/>
      <c r="G924" s="1118"/>
      <c r="H924" s="1118"/>
      <c r="I924" s="1118"/>
      <c r="J924" s="1118"/>
      <c r="K924" s="1118"/>
      <c r="L924" s="1118"/>
      <c r="M924" s="1118"/>
      <c r="N924" s="1118"/>
      <c r="O924" s="1118"/>
      <c r="P924" s="1118"/>
      <c r="Q924" s="1111"/>
      <c r="R924" s="1111"/>
      <c r="S924" s="1111"/>
      <c r="T924" s="1111"/>
      <c r="U924" s="1111"/>
      <c r="V924" s="1111"/>
      <c r="W924" s="1111"/>
      <c r="X924" s="1111"/>
      <c r="Y924" s="1111"/>
      <c r="Z924" s="1111"/>
      <c r="AA924" s="1111"/>
      <c r="AB924" s="1111"/>
      <c r="AC924" s="1111"/>
      <c r="AD924" s="1111"/>
      <c r="AE924" s="1111"/>
      <c r="AF924" s="1111"/>
      <c r="AG924" s="1111"/>
    </row>
    <row r="925" spans="1:33" s="1295" customFormat="1">
      <c r="A925" s="1264"/>
      <c r="D925" s="1118"/>
      <c r="E925" s="1264"/>
      <c r="F925" s="1118"/>
      <c r="G925" s="1118"/>
      <c r="H925" s="1118"/>
      <c r="I925" s="1118"/>
      <c r="J925" s="1118"/>
      <c r="K925" s="1118"/>
      <c r="L925" s="1118"/>
      <c r="M925" s="1118"/>
      <c r="N925" s="1118"/>
      <c r="O925" s="1118"/>
      <c r="P925" s="1118"/>
      <c r="Q925" s="1111"/>
      <c r="R925" s="1111"/>
      <c r="S925" s="1111"/>
      <c r="T925" s="1111"/>
      <c r="U925" s="1111"/>
      <c r="V925" s="1111"/>
      <c r="W925" s="1111"/>
      <c r="X925" s="1111"/>
      <c r="Y925" s="1111"/>
      <c r="Z925" s="1111"/>
      <c r="AA925" s="1111"/>
      <c r="AB925" s="1111"/>
      <c r="AC925" s="1111"/>
      <c r="AD925" s="1111"/>
      <c r="AE925" s="1111"/>
      <c r="AF925" s="1111"/>
      <c r="AG925" s="1111"/>
    </row>
    <row r="926" spans="1:33" s="1295" customFormat="1">
      <c r="A926" s="1264"/>
      <c r="D926" s="1118"/>
      <c r="E926" s="1264"/>
      <c r="F926" s="1118"/>
      <c r="G926" s="1118"/>
      <c r="H926" s="1118"/>
      <c r="I926" s="1118"/>
      <c r="J926" s="1118"/>
      <c r="K926" s="1118"/>
      <c r="L926" s="1118"/>
      <c r="M926" s="1118"/>
      <c r="N926" s="1118"/>
      <c r="O926" s="1118"/>
      <c r="P926" s="1118"/>
      <c r="Q926" s="1111"/>
      <c r="R926" s="1111"/>
      <c r="S926" s="1111"/>
      <c r="T926" s="1111"/>
      <c r="U926" s="1111"/>
      <c r="V926" s="1111"/>
      <c r="W926" s="1111"/>
      <c r="X926" s="1111"/>
      <c r="Y926" s="1111"/>
      <c r="Z926" s="1111"/>
      <c r="AA926" s="1111"/>
      <c r="AB926" s="1111"/>
      <c r="AC926" s="1111"/>
      <c r="AD926" s="1111"/>
      <c r="AE926" s="1111"/>
      <c r="AF926" s="1111"/>
      <c r="AG926" s="1111"/>
    </row>
    <row r="927" spans="1:33" s="1295" customFormat="1">
      <c r="A927" s="1264"/>
      <c r="D927" s="1118"/>
      <c r="E927" s="1264"/>
      <c r="F927" s="1118"/>
      <c r="G927" s="1118"/>
      <c r="H927" s="1118"/>
      <c r="I927" s="1118"/>
      <c r="J927" s="1118"/>
      <c r="K927" s="1118"/>
      <c r="L927" s="1118"/>
      <c r="M927" s="1118"/>
      <c r="N927" s="1118"/>
      <c r="O927" s="1118"/>
      <c r="P927" s="1118"/>
      <c r="Q927" s="1111"/>
      <c r="R927" s="1111"/>
      <c r="S927" s="1111"/>
      <c r="T927" s="1111"/>
      <c r="U927" s="1111"/>
      <c r="V927" s="1111"/>
      <c r="W927" s="1111"/>
      <c r="X927" s="1111"/>
      <c r="Y927" s="1111"/>
      <c r="Z927" s="1111"/>
      <c r="AA927" s="1111"/>
      <c r="AB927" s="1111"/>
      <c r="AC927" s="1111"/>
      <c r="AD927" s="1111"/>
      <c r="AE927" s="1111"/>
      <c r="AF927" s="1111"/>
      <c r="AG927" s="1111"/>
    </row>
    <row r="928" spans="1:33" s="1295" customFormat="1">
      <c r="A928" s="1264"/>
      <c r="D928" s="1118"/>
      <c r="E928" s="1264"/>
      <c r="F928" s="1118"/>
      <c r="G928" s="1118"/>
      <c r="H928" s="1118"/>
      <c r="I928" s="1118"/>
      <c r="J928" s="1118"/>
      <c r="K928" s="1118"/>
      <c r="L928" s="1118"/>
      <c r="M928" s="1118"/>
      <c r="N928" s="1118"/>
      <c r="O928" s="1118"/>
      <c r="P928" s="1118"/>
      <c r="Q928" s="1111"/>
      <c r="R928" s="1111"/>
      <c r="S928" s="1111"/>
      <c r="T928" s="1111"/>
      <c r="U928" s="1111"/>
      <c r="V928" s="1111"/>
      <c r="W928" s="1111"/>
      <c r="X928" s="1111"/>
      <c r="Y928" s="1111"/>
      <c r="Z928" s="1111"/>
      <c r="AA928" s="1111"/>
      <c r="AB928" s="1111"/>
      <c r="AC928" s="1111"/>
      <c r="AD928" s="1111"/>
      <c r="AE928" s="1111"/>
      <c r="AF928" s="1111"/>
      <c r="AG928" s="1111"/>
    </row>
    <row r="929" spans="1:33" s="1295" customFormat="1">
      <c r="A929" s="1264"/>
      <c r="D929" s="1118"/>
      <c r="E929" s="1264"/>
      <c r="F929" s="1118"/>
      <c r="G929" s="1118"/>
      <c r="H929" s="1118"/>
      <c r="I929" s="1118"/>
      <c r="J929" s="1118"/>
      <c r="K929" s="1118"/>
      <c r="L929" s="1118"/>
      <c r="M929" s="1118"/>
      <c r="N929" s="1118"/>
      <c r="O929" s="1118"/>
      <c r="P929" s="1118"/>
      <c r="Q929" s="1111"/>
      <c r="R929" s="1111"/>
      <c r="S929" s="1111"/>
      <c r="T929" s="1111"/>
      <c r="U929" s="1111"/>
      <c r="V929" s="1111"/>
      <c r="W929" s="1111"/>
      <c r="X929" s="1111"/>
      <c r="Y929" s="1111"/>
      <c r="Z929" s="1111"/>
      <c r="AA929" s="1111"/>
      <c r="AB929" s="1111"/>
      <c r="AC929" s="1111"/>
      <c r="AD929" s="1111"/>
      <c r="AE929" s="1111"/>
      <c r="AF929" s="1111"/>
      <c r="AG929" s="1111"/>
    </row>
    <row r="930" spans="1:33" s="1295" customFormat="1">
      <c r="A930" s="1264"/>
      <c r="D930" s="1118"/>
      <c r="E930" s="1264"/>
      <c r="F930" s="1118"/>
      <c r="G930" s="1118"/>
      <c r="H930" s="1118"/>
      <c r="I930" s="1118"/>
      <c r="J930" s="1118"/>
      <c r="K930" s="1118"/>
      <c r="L930" s="1118"/>
      <c r="M930" s="1118"/>
      <c r="N930" s="1118"/>
      <c r="O930" s="1118"/>
      <c r="P930" s="1118"/>
      <c r="Q930" s="1111"/>
      <c r="R930" s="1111"/>
      <c r="S930" s="1111"/>
      <c r="T930" s="1111"/>
      <c r="U930" s="1111"/>
      <c r="V930" s="1111"/>
      <c r="W930" s="1111"/>
      <c r="X930" s="1111"/>
      <c r="Y930" s="1111"/>
      <c r="Z930" s="1111"/>
      <c r="AA930" s="1111"/>
      <c r="AB930" s="1111"/>
      <c r="AC930" s="1111"/>
      <c r="AD930" s="1111"/>
      <c r="AE930" s="1111"/>
      <c r="AF930" s="1111"/>
      <c r="AG930" s="1111"/>
    </row>
    <row r="931" spans="1:33" s="1295" customFormat="1">
      <c r="A931" s="1264"/>
      <c r="D931" s="1118"/>
      <c r="E931" s="1264"/>
      <c r="F931" s="1118"/>
      <c r="G931" s="1118"/>
      <c r="H931" s="1118"/>
      <c r="I931" s="1118"/>
      <c r="J931" s="1118"/>
      <c r="K931" s="1118"/>
      <c r="L931" s="1118"/>
      <c r="M931" s="1118"/>
      <c r="N931" s="1118"/>
      <c r="O931" s="1118"/>
      <c r="P931" s="1118"/>
      <c r="Q931" s="1111"/>
      <c r="R931" s="1111"/>
      <c r="S931" s="1111"/>
      <c r="T931" s="1111"/>
      <c r="U931" s="1111"/>
      <c r="V931" s="1111"/>
      <c r="W931" s="1111"/>
      <c r="X931" s="1111"/>
      <c r="Y931" s="1111"/>
      <c r="Z931" s="1111"/>
      <c r="AA931" s="1111"/>
      <c r="AB931" s="1111"/>
      <c r="AC931" s="1111"/>
      <c r="AD931" s="1111"/>
      <c r="AE931" s="1111"/>
      <c r="AF931" s="1111"/>
      <c r="AG931" s="1111"/>
    </row>
    <row r="932" spans="1:33" s="1295" customFormat="1">
      <c r="A932" s="1264"/>
      <c r="D932" s="1118"/>
      <c r="E932" s="1264"/>
      <c r="F932" s="1118"/>
      <c r="G932" s="1118"/>
      <c r="H932" s="1118"/>
      <c r="I932" s="1118"/>
      <c r="J932" s="1118"/>
      <c r="K932" s="1118"/>
      <c r="L932" s="1118"/>
      <c r="M932" s="1118"/>
      <c r="N932" s="1118"/>
      <c r="O932" s="1118"/>
      <c r="P932" s="1118"/>
      <c r="Q932" s="1111"/>
      <c r="R932" s="1111"/>
      <c r="S932" s="1111"/>
      <c r="T932" s="1111"/>
      <c r="U932" s="1111"/>
      <c r="V932" s="1111"/>
      <c r="W932" s="1111"/>
      <c r="X932" s="1111"/>
      <c r="Y932" s="1111"/>
      <c r="Z932" s="1111"/>
      <c r="AA932" s="1111"/>
      <c r="AB932" s="1111"/>
      <c r="AC932" s="1111"/>
      <c r="AD932" s="1111"/>
      <c r="AE932" s="1111"/>
      <c r="AF932" s="1111"/>
      <c r="AG932" s="1111"/>
    </row>
    <row r="933" spans="1:33" s="1295" customFormat="1">
      <c r="A933" s="1264"/>
      <c r="D933" s="1118"/>
      <c r="E933" s="1264"/>
      <c r="F933" s="1118"/>
      <c r="G933" s="1118"/>
      <c r="H933" s="1118"/>
      <c r="I933" s="1118"/>
      <c r="J933" s="1118"/>
      <c r="K933" s="1118"/>
      <c r="L933" s="1118"/>
      <c r="M933" s="1118"/>
      <c r="N933" s="1118"/>
      <c r="O933" s="1118"/>
      <c r="P933" s="1118"/>
      <c r="Q933" s="1111"/>
      <c r="R933" s="1111"/>
      <c r="S933" s="1111"/>
      <c r="T933" s="1111"/>
      <c r="U933" s="1111"/>
      <c r="V933" s="1111"/>
      <c r="W933" s="1111"/>
      <c r="X933" s="1111"/>
      <c r="Y933" s="1111"/>
      <c r="Z933" s="1111"/>
      <c r="AA933" s="1111"/>
      <c r="AB933" s="1111"/>
      <c r="AC933" s="1111"/>
      <c r="AD933" s="1111"/>
      <c r="AE933" s="1111"/>
      <c r="AF933" s="1111"/>
      <c r="AG933" s="1111"/>
    </row>
    <row r="934" spans="1:33" s="1295" customFormat="1">
      <c r="A934" s="1264"/>
      <c r="D934" s="1118"/>
      <c r="E934" s="1264"/>
      <c r="F934" s="1118"/>
      <c r="G934" s="1118"/>
      <c r="H934" s="1118"/>
      <c r="I934" s="1118"/>
      <c r="J934" s="1118"/>
      <c r="K934" s="1118"/>
      <c r="L934" s="1118"/>
      <c r="M934" s="1118"/>
      <c r="N934" s="1118"/>
      <c r="O934" s="1118"/>
      <c r="P934" s="1118"/>
      <c r="Q934" s="1111"/>
      <c r="R934" s="1111"/>
      <c r="S934" s="1111"/>
      <c r="T934" s="1111"/>
      <c r="U934" s="1111"/>
      <c r="V934" s="1111"/>
      <c r="W934" s="1111"/>
      <c r="X934" s="1111"/>
      <c r="Y934" s="1111"/>
      <c r="Z934" s="1111"/>
      <c r="AA934" s="1111"/>
      <c r="AB934" s="1111"/>
      <c r="AC934" s="1111"/>
      <c r="AD934" s="1111"/>
      <c r="AE934" s="1111"/>
      <c r="AF934" s="1111"/>
      <c r="AG934" s="1111"/>
    </row>
    <row r="935" spans="1:33" s="1295" customFormat="1">
      <c r="A935" s="1264"/>
      <c r="D935" s="1118"/>
      <c r="E935" s="1264"/>
      <c r="F935" s="1118"/>
      <c r="G935" s="1118"/>
      <c r="H935" s="1118"/>
      <c r="I935" s="1118"/>
      <c r="J935" s="1118"/>
      <c r="K935" s="1118"/>
      <c r="L935" s="1118"/>
      <c r="M935" s="1118"/>
      <c r="N935" s="1118"/>
      <c r="O935" s="1118"/>
      <c r="P935" s="1118"/>
      <c r="Q935" s="1111"/>
      <c r="R935" s="1111"/>
      <c r="S935" s="1111"/>
      <c r="T935" s="1111"/>
      <c r="U935" s="1111"/>
      <c r="V935" s="1111"/>
      <c r="W935" s="1111"/>
      <c r="X935" s="1111"/>
      <c r="Y935" s="1111"/>
      <c r="Z935" s="1111"/>
      <c r="AA935" s="1111"/>
      <c r="AB935" s="1111"/>
      <c r="AC935" s="1111"/>
      <c r="AD935" s="1111"/>
      <c r="AE935" s="1111"/>
      <c r="AF935" s="1111"/>
      <c r="AG935" s="1111"/>
    </row>
    <row r="936" spans="1:33" s="1295" customFormat="1">
      <c r="A936" s="1264"/>
      <c r="D936" s="1118"/>
      <c r="E936" s="1264"/>
      <c r="F936" s="1118"/>
      <c r="G936" s="1118"/>
      <c r="H936" s="1118"/>
      <c r="I936" s="1118"/>
      <c r="J936" s="1118"/>
      <c r="K936" s="1118"/>
      <c r="L936" s="1118"/>
      <c r="M936" s="1118"/>
      <c r="N936" s="1118"/>
      <c r="O936" s="1118"/>
      <c r="P936" s="1118"/>
      <c r="Q936" s="1111"/>
      <c r="R936" s="1111"/>
      <c r="S936" s="1111"/>
      <c r="T936" s="1111"/>
      <c r="U936" s="1111"/>
      <c r="V936" s="1111"/>
      <c r="W936" s="1111"/>
      <c r="X936" s="1111"/>
      <c r="Y936" s="1111"/>
      <c r="Z936" s="1111"/>
      <c r="AA936" s="1111"/>
      <c r="AB936" s="1111"/>
      <c r="AC936" s="1111"/>
      <c r="AD936" s="1111"/>
      <c r="AE936" s="1111"/>
      <c r="AF936" s="1111"/>
      <c r="AG936" s="1111"/>
    </row>
    <row r="937" spans="1:33" s="1295" customFormat="1">
      <c r="A937" s="1264"/>
      <c r="D937" s="1118"/>
      <c r="E937" s="1264"/>
      <c r="F937" s="1118"/>
      <c r="G937" s="1118"/>
      <c r="H937" s="1118"/>
      <c r="I937" s="1118"/>
      <c r="J937" s="1118"/>
      <c r="K937" s="1118"/>
      <c r="L937" s="1118"/>
      <c r="M937" s="1118"/>
      <c r="N937" s="1118"/>
      <c r="O937" s="1118"/>
      <c r="P937" s="1118"/>
      <c r="Q937" s="1111"/>
      <c r="R937" s="1111"/>
      <c r="S937" s="1111"/>
      <c r="T937" s="1111"/>
      <c r="U937" s="1111"/>
      <c r="V937" s="1111"/>
      <c r="W937" s="1111"/>
      <c r="X937" s="1111"/>
      <c r="Y937" s="1111"/>
      <c r="Z937" s="1111"/>
      <c r="AA937" s="1111"/>
      <c r="AB937" s="1111"/>
      <c r="AC937" s="1111"/>
      <c r="AD937" s="1111"/>
      <c r="AE937" s="1111"/>
      <c r="AF937" s="1111"/>
      <c r="AG937" s="1111"/>
    </row>
    <row r="938" spans="1:33" s="1295" customFormat="1">
      <c r="A938" s="1264"/>
      <c r="D938" s="1118"/>
      <c r="E938" s="1264"/>
      <c r="F938" s="1118"/>
      <c r="G938" s="1118"/>
      <c r="H938" s="1118"/>
      <c r="I938" s="1118"/>
      <c r="J938" s="1118"/>
      <c r="K938" s="1118"/>
      <c r="L938" s="1118"/>
      <c r="M938" s="1118"/>
      <c r="N938" s="1118"/>
      <c r="O938" s="1118"/>
      <c r="P938" s="1118"/>
      <c r="Q938" s="1111"/>
      <c r="R938" s="1111"/>
      <c r="S938" s="1111"/>
      <c r="T938" s="1111"/>
      <c r="U938" s="1111"/>
      <c r="V938" s="1111"/>
      <c r="W938" s="1111"/>
      <c r="X938" s="1111"/>
      <c r="Y938" s="1111"/>
      <c r="Z938" s="1111"/>
      <c r="AA938" s="1111"/>
      <c r="AB938" s="1111"/>
      <c r="AC938" s="1111"/>
      <c r="AD938" s="1111"/>
      <c r="AE938" s="1111"/>
      <c r="AF938" s="1111"/>
      <c r="AG938" s="1111"/>
    </row>
    <row r="939" spans="1:33" s="1295" customFormat="1">
      <c r="A939" s="1264"/>
      <c r="D939" s="1118"/>
      <c r="E939" s="1264"/>
      <c r="F939" s="1118"/>
      <c r="G939" s="1118"/>
      <c r="H939" s="1118"/>
      <c r="I939" s="1118"/>
      <c r="J939" s="1118"/>
      <c r="K939" s="1118"/>
      <c r="L939" s="1118"/>
      <c r="M939" s="1118"/>
      <c r="N939" s="1118"/>
      <c r="O939" s="1118"/>
      <c r="P939" s="1118"/>
      <c r="Q939" s="1111"/>
      <c r="R939" s="1111"/>
      <c r="S939" s="1111"/>
      <c r="T939" s="1111"/>
      <c r="U939" s="1111"/>
      <c r="V939" s="1111"/>
      <c r="W939" s="1111"/>
      <c r="X939" s="1111"/>
      <c r="Y939" s="1111"/>
      <c r="Z939" s="1111"/>
      <c r="AA939" s="1111"/>
      <c r="AB939" s="1111"/>
      <c r="AC939" s="1111"/>
      <c r="AD939" s="1111"/>
      <c r="AE939" s="1111"/>
      <c r="AF939" s="1111"/>
      <c r="AG939" s="1111"/>
    </row>
    <row r="940" spans="1:33" s="1295" customFormat="1">
      <c r="A940" s="1264"/>
      <c r="D940" s="1118"/>
      <c r="E940" s="1264"/>
      <c r="F940" s="1118"/>
      <c r="G940" s="1118"/>
      <c r="H940" s="1118"/>
      <c r="I940" s="1118"/>
      <c r="J940" s="1118"/>
      <c r="K940" s="1118"/>
      <c r="L940" s="1118"/>
      <c r="M940" s="1118"/>
      <c r="N940" s="1118"/>
      <c r="O940" s="1118"/>
      <c r="P940" s="1118"/>
      <c r="Q940" s="1111"/>
      <c r="R940" s="1111"/>
      <c r="S940" s="1111"/>
      <c r="T940" s="1111"/>
      <c r="U940" s="1111"/>
      <c r="V940" s="1111"/>
      <c r="W940" s="1111"/>
      <c r="X940" s="1111"/>
      <c r="Y940" s="1111"/>
      <c r="Z940" s="1111"/>
      <c r="AA940" s="1111"/>
      <c r="AB940" s="1111"/>
      <c r="AC940" s="1111"/>
      <c r="AD940" s="1111"/>
      <c r="AE940" s="1111"/>
      <c r="AF940" s="1111"/>
      <c r="AG940" s="1111"/>
    </row>
    <row r="941" spans="1:33" s="1295" customFormat="1">
      <c r="A941" s="1264"/>
      <c r="D941" s="1118"/>
      <c r="E941" s="1264"/>
      <c r="F941" s="1118"/>
      <c r="G941" s="1118"/>
      <c r="H941" s="1118"/>
      <c r="I941" s="1118"/>
      <c r="J941" s="1118"/>
      <c r="K941" s="1118"/>
      <c r="L941" s="1118"/>
      <c r="M941" s="1118"/>
      <c r="N941" s="1118"/>
      <c r="O941" s="1118"/>
      <c r="P941" s="1118"/>
      <c r="Q941" s="1111"/>
      <c r="R941" s="1111"/>
      <c r="S941" s="1111"/>
      <c r="T941" s="1111"/>
      <c r="U941" s="1111"/>
      <c r="V941" s="1111"/>
      <c r="W941" s="1111"/>
      <c r="X941" s="1111"/>
      <c r="Y941" s="1111"/>
      <c r="Z941" s="1111"/>
      <c r="AA941" s="1111"/>
      <c r="AB941" s="1111"/>
      <c r="AC941" s="1111"/>
      <c r="AD941" s="1111"/>
      <c r="AE941" s="1111"/>
      <c r="AF941" s="1111"/>
      <c r="AG941" s="1111"/>
    </row>
    <row r="942" spans="1:33" s="1295" customFormat="1">
      <c r="A942" s="1264"/>
      <c r="D942" s="1118"/>
      <c r="E942" s="1264"/>
      <c r="F942" s="1118"/>
      <c r="G942" s="1118"/>
      <c r="H942" s="1118"/>
      <c r="I942" s="1118"/>
      <c r="J942" s="1118"/>
      <c r="K942" s="1118"/>
      <c r="L942" s="1118"/>
      <c r="M942" s="1118"/>
      <c r="N942" s="1118"/>
      <c r="O942" s="1118"/>
      <c r="P942" s="1118"/>
      <c r="Q942" s="1111"/>
      <c r="R942" s="1111"/>
      <c r="S942" s="1111"/>
      <c r="T942" s="1111"/>
      <c r="U942" s="1111"/>
      <c r="V942" s="1111"/>
      <c r="W942" s="1111"/>
      <c r="X942" s="1111"/>
      <c r="Y942" s="1111"/>
      <c r="Z942" s="1111"/>
      <c r="AA942" s="1111"/>
      <c r="AB942" s="1111"/>
      <c r="AC942" s="1111"/>
      <c r="AD942" s="1111"/>
      <c r="AE942" s="1111"/>
      <c r="AF942" s="1111"/>
      <c r="AG942" s="1111"/>
    </row>
    <row r="943" spans="1:33" s="1295" customFormat="1">
      <c r="A943" s="1264"/>
      <c r="D943" s="1118"/>
      <c r="E943" s="1264"/>
      <c r="F943" s="1118"/>
      <c r="G943" s="1118"/>
      <c r="H943" s="1118"/>
      <c r="I943" s="1118"/>
      <c r="J943" s="1118"/>
      <c r="K943" s="1118"/>
      <c r="L943" s="1118"/>
      <c r="M943" s="1118"/>
      <c r="N943" s="1118"/>
      <c r="O943" s="1118"/>
      <c r="P943" s="1118"/>
      <c r="Q943" s="1111"/>
      <c r="R943" s="1111"/>
      <c r="S943" s="1111"/>
      <c r="T943" s="1111"/>
      <c r="U943" s="1111"/>
      <c r="V943" s="1111"/>
      <c r="W943" s="1111"/>
      <c r="X943" s="1111"/>
      <c r="Y943" s="1111"/>
      <c r="Z943" s="1111"/>
      <c r="AA943" s="1111"/>
      <c r="AB943" s="1111"/>
      <c r="AC943" s="1111"/>
      <c r="AD943" s="1111"/>
      <c r="AE943" s="1111"/>
      <c r="AF943" s="1111"/>
      <c r="AG943" s="1111"/>
    </row>
    <row r="944" spans="1:33" s="1295" customFormat="1">
      <c r="A944" s="1264"/>
      <c r="D944" s="1118"/>
      <c r="E944" s="1264"/>
      <c r="F944" s="1118"/>
      <c r="G944" s="1118"/>
      <c r="H944" s="1118"/>
      <c r="I944" s="1118"/>
      <c r="J944" s="1118"/>
      <c r="K944" s="1118"/>
      <c r="L944" s="1118"/>
      <c r="M944" s="1118"/>
      <c r="N944" s="1118"/>
      <c r="O944" s="1118"/>
      <c r="P944" s="1118"/>
      <c r="Q944" s="1111"/>
      <c r="R944" s="1111"/>
      <c r="S944" s="1111"/>
      <c r="T944" s="1111"/>
      <c r="U944" s="1111"/>
      <c r="V944" s="1111"/>
      <c r="W944" s="1111"/>
      <c r="X944" s="1111"/>
      <c r="Y944" s="1111"/>
      <c r="Z944" s="1111"/>
      <c r="AA944" s="1111"/>
      <c r="AB944" s="1111"/>
      <c r="AC944" s="1111"/>
      <c r="AD944" s="1111"/>
      <c r="AE944" s="1111"/>
      <c r="AF944" s="1111"/>
      <c r="AG944" s="1111"/>
    </row>
    <row r="945" spans="1:33" s="1295" customFormat="1">
      <c r="A945" s="1264"/>
      <c r="D945" s="1118"/>
      <c r="E945" s="1264"/>
      <c r="F945" s="1118"/>
      <c r="G945" s="1118"/>
      <c r="H945" s="1118"/>
      <c r="I945" s="1118"/>
      <c r="J945" s="1118"/>
      <c r="K945" s="1118"/>
      <c r="L945" s="1118"/>
      <c r="M945" s="1118"/>
      <c r="N945" s="1118"/>
      <c r="O945" s="1118"/>
      <c r="P945" s="1118"/>
      <c r="Q945" s="1111"/>
      <c r="R945" s="1111"/>
      <c r="S945" s="1111"/>
      <c r="T945" s="1111"/>
      <c r="U945" s="1111"/>
      <c r="V945" s="1111"/>
      <c r="W945" s="1111"/>
      <c r="X945" s="1111"/>
      <c r="Y945" s="1111"/>
      <c r="Z945" s="1111"/>
      <c r="AA945" s="1111"/>
      <c r="AB945" s="1111"/>
      <c r="AC945" s="1111"/>
      <c r="AD945" s="1111"/>
      <c r="AE945" s="1111"/>
      <c r="AF945" s="1111"/>
      <c r="AG945" s="1111"/>
    </row>
    <row r="946" spans="1:33" s="1295" customFormat="1">
      <c r="A946" s="1264"/>
      <c r="D946" s="1118"/>
      <c r="E946" s="1264"/>
      <c r="F946" s="1118"/>
      <c r="G946" s="1118"/>
      <c r="H946" s="1118"/>
      <c r="I946" s="1118"/>
      <c r="J946" s="1118"/>
      <c r="K946" s="1118"/>
      <c r="L946" s="1118"/>
      <c r="M946" s="1118"/>
      <c r="N946" s="1118"/>
      <c r="O946" s="1118"/>
      <c r="P946" s="1118"/>
      <c r="Q946" s="1111"/>
      <c r="R946" s="1111"/>
      <c r="S946" s="1111"/>
      <c r="T946" s="1111"/>
      <c r="U946" s="1111"/>
      <c r="V946" s="1111"/>
      <c r="W946" s="1111"/>
      <c r="X946" s="1111"/>
      <c r="Y946" s="1111"/>
      <c r="Z946" s="1111"/>
      <c r="AA946" s="1111"/>
      <c r="AB946" s="1111"/>
      <c r="AC946" s="1111"/>
      <c r="AD946" s="1111"/>
      <c r="AE946" s="1111"/>
      <c r="AF946" s="1111"/>
      <c r="AG946" s="1111"/>
    </row>
    <row r="947" spans="1:33" s="1295" customFormat="1">
      <c r="A947" s="1264"/>
      <c r="D947" s="1118"/>
      <c r="E947" s="1264"/>
      <c r="F947" s="1118"/>
      <c r="G947" s="1118"/>
      <c r="H947" s="1118"/>
      <c r="I947" s="1118"/>
      <c r="J947" s="1118"/>
      <c r="K947" s="1118"/>
      <c r="L947" s="1118"/>
      <c r="M947" s="1118"/>
      <c r="N947" s="1118"/>
      <c r="O947" s="1118"/>
      <c r="P947" s="1118"/>
      <c r="Q947" s="1111"/>
      <c r="R947" s="1111"/>
      <c r="S947" s="1111"/>
      <c r="T947" s="1111"/>
      <c r="U947" s="1111"/>
      <c r="V947" s="1111"/>
      <c r="W947" s="1111"/>
      <c r="X947" s="1111"/>
      <c r="Y947" s="1111"/>
      <c r="Z947" s="1111"/>
      <c r="AA947" s="1111"/>
      <c r="AB947" s="1111"/>
      <c r="AC947" s="1111"/>
      <c r="AD947" s="1111"/>
      <c r="AE947" s="1111"/>
      <c r="AF947" s="1111"/>
      <c r="AG947" s="1111"/>
    </row>
    <row r="948" spans="1:33" s="1295" customFormat="1">
      <c r="A948" s="1264"/>
      <c r="D948" s="1118"/>
      <c r="E948" s="1264"/>
      <c r="F948" s="1118"/>
      <c r="G948" s="1118"/>
      <c r="H948" s="1118"/>
      <c r="I948" s="1118"/>
      <c r="J948" s="1118"/>
      <c r="K948" s="1118"/>
      <c r="L948" s="1118"/>
      <c r="M948" s="1118"/>
      <c r="N948" s="1118"/>
      <c r="O948" s="1118"/>
      <c r="P948" s="1118"/>
      <c r="Q948" s="1111"/>
      <c r="R948" s="1111"/>
      <c r="S948" s="1111"/>
      <c r="T948" s="1111"/>
      <c r="U948" s="1111"/>
      <c r="V948" s="1111"/>
      <c r="W948" s="1111"/>
      <c r="X948" s="1111"/>
      <c r="Y948" s="1111"/>
      <c r="Z948" s="1111"/>
      <c r="AA948" s="1111"/>
      <c r="AB948" s="1111"/>
      <c r="AC948" s="1111"/>
      <c r="AD948" s="1111"/>
      <c r="AE948" s="1111"/>
      <c r="AF948" s="1111"/>
      <c r="AG948" s="1111"/>
    </row>
    <row r="949" spans="1:33" s="1295" customFormat="1">
      <c r="A949" s="1264"/>
      <c r="D949" s="1118"/>
      <c r="E949" s="1264"/>
      <c r="F949" s="1118"/>
      <c r="G949" s="1118"/>
      <c r="H949" s="1118"/>
      <c r="I949" s="1118"/>
      <c r="J949" s="1118"/>
      <c r="K949" s="1118"/>
      <c r="L949" s="1118"/>
      <c r="M949" s="1118"/>
      <c r="N949" s="1118"/>
      <c r="O949" s="1118"/>
      <c r="P949" s="1118"/>
      <c r="Q949" s="1111"/>
      <c r="R949" s="1111"/>
      <c r="S949" s="1111"/>
      <c r="T949" s="1111"/>
      <c r="U949" s="1111"/>
      <c r="V949" s="1111"/>
      <c r="W949" s="1111"/>
      <c r="X949" s="1111"/>
      <c r="Y949" s="1111"/>
      <c r="Z949" s="1111"/>
      <c r="AA949" s="1111"/>
      <c r="AB949" s="1111"/>
      <c r="AC949" s="1111"/>
      <c r="AD949" s="1111"/>
      <c r="AE949" s="1111"/>
      <c r="AF949" s="1111"/>
      <c r="AG949" s="1111"/>
    </row>
    <row r="950" spans="1:33" s="1295" customFormat="1">
      <c r="A950" s="1264"/>
      <c r="D950" s="1118"/>
      <c r="E950" s="1264"/>
      <c r="F950" s="1118"/>
      <c r="G950" s="1118"/>
      <c r="H950" s="1118"/>
      <c r="I950" s="1118"/>
      <c r="J950" s="1118"/>
      <c r="K950" s="1118"/>
      <c r="L950" s="1118"/>
      <c r="M950" s="1118"/>
      <c r="N950" s="1118"/>
      <c r="O950" s="1118"/>
      <c r="P950" s="1118"/>
      <c r="Q950" s="1111"/>
      <c r="R950" s="1111"/>
      <c r="S950" s="1111"/>
      <c r="T950" s="1111"/>
      <c r="U950" s="1111"/>
      <c r="V950" s="1111"/>
      <c r="W950" s="1111"/>
      <c r="X950" s="1111"/>
      <c r="Y950" s="1111"/>
      <c r="Z950" s="1111"/>
      <c r="AA950" s="1111"/>
      <c r="AB950" s="1111"/>
      <c r="AC950" s="1111"/>
      <c r="AD950" s="1111"/>
      <c r="AE950" s="1111"/>
      <c r="AF950" s="1111"/>
      <c r="AG950" s="1111"/>
    </row>
    <row r="951" spans="1:33" s="1295" customFormat="1">
      <c r="A951" s="1264"/>
      <c r="D951" s="1118"/>
      <c r="E951" s="1264"/>
      <c r="F951" s="1118"/>
      <c r="G951" s="1118"/>
      <c r="H951" s="1118"/>
      <c r="I951" s="1118"/>
      <c r="J951" s="1118"/>
      <c r="K951" s="1118"/>
      <c r="L951" s="1118"/>
      <c r="M951" s="1118"/>
      <c r="N951" s="1118"/>
      <c r="O951" s="1118"/>
      <c r="P951" s="1118"/>
      <c r="Q951" s="1111"/>
      <c r="R951" s="1111"/>
      <c r="S951" s="1111"/>
      <c r="T951" s="1111"/>
      <c r="U951" s="1111"/>
      <c r="V951" s="1111"/>
      <c r="W951" s="1111"/>
      <c r="X951" s="1111"/>
      <c r="Y951" s="1111"/>
      <c r="Z951" s="1111"/>
      <c r="AA951" s="1111"/>
      <c r="AB951" s="1111"/>
      <c r="AC951" s="1111"/>
      <c r="AD951" s="1111"/>
      <c r="AE951" s="1111"/>
      <c r="AF951" s="1111"/>
      <c r="AG951" s="1111"/>
    </row>
    <row r="952" spans="1:33" s="1295" customFormat="1">
      <c r="A952" s="1264"/>
      <c r="D952" s="1118"/>
      <c r="E952" s="1264"/>
      <c r="F952" s="1118"/>
      <c r="G952" s="1118"/>
      <c r="H952" s="1118"/>
      <c r="I952" s="1118"/>
      <c r="J952" s="1118"/>
      <c r="K952" s="1118"/>
      <c r="L952" s="1118"/>
      <c r="M952" s="1118"/>
      <c r="N952" s="1118"/>
      <c r="O952" s="1118"/>
      <c r="P952" s="1118"/>
      <c r="Q952" s="1111"/>
      <c r="R952" s="1111"/>
      <c r="S952" s="1111"/>
      <c r="T952" s="1111"/>
      <c r="U952" s="1111"/>
      <c r="V952" s="1111"/>
      <c r="W952" s="1111"/>
      <c r="X952" s="1111"/>
      <c r="Y952" s="1111"/>
      <c r="Z952" s="1111"/>
      <c r="AA952" s="1111"/>
      <c r="AB952" s="1111"/>
      <c r="AC952" s="1111"/>
      <c r="AD952" s="1111"/>
      <c r="AE952" s="1111"/>
      <c r="AF952" s="1111"/>
      <c r="AG952" s="1111"/>
    </row>
    <row r="953" spans="1:33" s="1295" customFormat="1">
      <c r="A953" s="1264"/>
      <c r="D953" s="1118"/>
      <c r="E953" s="1264"/>
      <c r="F953" s="1118"/>
      <c r="G953" s="1118"/>
      <c r="H953" s="1118"/>
      <c r="I953" s="1118"/>
      <c r="J953" s="1118"/>
      <c r="K953" s="1118"/>
      <c r="L953" s="1118"/>
      <c r="M953" s="1118"/>
      <c r="N953" s="1118"/>
      <c r="O953" s="1118"/>
      <c r="P953" s="1118"/>
      <c r="Q953" s="1111"/>
      <c r="R953" s="1111"/>
      <c r="S953" s="1111"/>
      <c r="T953" s="1111"/>
      <c r="U953" s="1111"/>
      <c r="V953" s="1111"/>
      <c r="W953" s="1111"/>
      <c r="X953" s="1111"/>
      <c r="Y953" s="1111"/>
      <c r="Z953" s="1111"/>
      <c r="AA953" s="1111"/>
      <c r="AB953" s="1111"/>
      <c r="AC953" s="1111"/>
      <c r="AD953" s="1111"/>
      <c r="AE953" s="1111"/>
      <c r="AF953" s="1111"/>
      <c r="AG953" s="1111"/>
    </row>
    <row r="954" spans="1:33" s="1295" customFormat="1">
      <c r="A954" s="1264"/>
      <c r="D954" s="1118"/>
      <c r="E954" s="1264"/>
      <c r="F954" s="1118"/>
      <c r="G954" s="1118"/>
      <c r="H954" s="1118"/>
      <c r="I954" s="1118"/>
      <c r="J954" s="1118"/>
      <c r="K954" s="1118"/>
      <c r="L954" s="1118"/>
      <c r="M954" s="1118"/>
      <c r="N954" s="1118"/>
      <c r="O954" s="1118"/>
      <c r="P954" s="1118"/>
      <c r="Q954" s="1111"/>
      <c r="R954" s="1111"/>
      <c r="S954" s="1111"/>
      <c r="T954" s="1111"/>
      <c r="U954" s="1111"/>
      <c r="V954" s="1111"/>
      <c r="W954" s="1111"/>
      <c r="X954" s="1111"/>
      <c r="Y954" s="1111"/>
      <c r="Z954" s="1111"/>
      <c r="AA954" s="1111"/>
      <c r="AB954" s="1111"/>
      <c r="AC954" s="1111"/>
      <c r="AD954" s="1111"/>
      <c r="AE954" s="1111"/>
      <c r="AF954" s="1111"/>
      <c r="AG954" s="1111"/>
    </row>
    <row r="955" spans="1:33" s="1295" customFormat="1">
      <c r="A955" s="1264"/>
      <c r="D955" s="1118"/>
      <c r="E955" s="1264"/>
      <c r="F955" s="1118"/>
      <c r="G955" s="1118"/>
      <c r="H955" s="1118"/>
      <c r="I955" s="1118"/>
      <c r="J955" s="1118"/>
      <c r="K955" s="1118"/>
      <c r="L955" s="1118"/>
      <c r="M955" s="1118"/>
      <c r="N955" s="1118"/>
      <c r="O955" s="1118"/>
      <c r="P955" s="1118"/>
      <c r="Q955" s="1111"/>
      <c r="R955" s="1111"/>
      <c r="S955" s="1111"/>
      <c r="T955" s="1111"/>
      <c r="U955" s="1111"/>
      <c r="V955" s="1111"/>
      <c r="W955" s="1111"/>
      <c r="X955" s="1111"/>
      <c r="Y955" s="1111"/>
      <c r="Z955" s="1111"/>
      <c r="AA955" s="1111"/>
      <c r="AB955" s="1111"/>
      <c r="AC955" s="1111"/>
      <c r="AD955" s="1111"/>
      <c r="AE955" s="1111"/>
      <c r="AF955" s="1111"/>
      <c r="AG955" s="1111"/>
    </row>
    <row r="956" spans="1:33" s="1295" customFormat="1">
      <c r="A956" s="1264"/>
      <c r="D956" s="1118"/>
      <c r="E956" s="1264"/>
      <c r="F956" s="1118"/>
      <c r="G956" s="1118"/>
      <c r="H956" s="1118"/>
      <c r="I956" s="1118"/>
      <c r="J956" s="1118"/>
      <c r="K956" s="1118"/>
      <c r="L956" s="1118"/>
      <c r="M956" s="1118"/>
      <c r="N956" s="1118"/>
      <c r="O956" s="1118"/>
      <c r="P956" s="1118"/>
      <c r="Q956" s="1111"/>
      <c r="R956" s="1111"/>
      <c r="S956" s="1111"/>
      <c r="T956" s="1111"/>
      <c r="U956" s="1111"/>
      <c r="V956" s="1111"/>
      <c r="W956" s="1111"/>
      <c r="X956" s="1111"/>
      <c r="Y956" s="1111"/>
      <c r="Z956" s="1111"/>
      <c r="AA956" s="1111"/>
      <c r="AB956" s="1111"/>
      <c r="AC956" s="1111"/>
      <c r="AD956" s="1111"/>
      <c r="AE956" s="1111"/>
      <c r="AF956" s="1111"/>
      <c r="AG956" s="1111"/>
    </row>
    <row r="957" spans="1:33" s="1295" customFormat="1">
      <c r="A957" s="1264"/>
      <c r="D957" s="1118"/>
      <c r="E957" s="1264"/>
      <c r="F957" s="1118"/>
      <c r="G957" s="1118"/>
      <c r="H957" s="1118"/>
      <c r="I957" s="1118"/>
      <c r="J957" s="1118"/>
      <c r="K957" s="1118"/>
      <c r="L957" s="1118"/>
      <c r="M957" s="1118"/>
      <c r="N957" s="1118"/>
      <c r="O957" s="1118"/>
      <c r="P957" s="1118"/>
      <c r="Q957" s="1111"/>
      <c r="R957" s="1111"/>
      <c r="S957" s="1111"/>
      <c r="T957" s="1111"/>
      <c r="U957" s="1111"/>
      <c r="V957" s="1111"/>
      <c r="W957" s="1111"/>
      <c r="X957" s="1111"/>
      <c r="Y957" s="1111"/>
      <c r="Z957" s="1111"/>
      <c r="AA957" s="1111"/>
      <c r="AB957" s="1111"/>
      <c r="AC957" s="1111"/>
      <c r="AD957" s="1111"/>
      <c r="AE957" s="1111"/>
      <c r="AF957" s="1111"/>
      <c r="AG957" s="1111"/>
    </row>
    <row r="958" spans="1:33" s="1295" customFormat="1">
      <c r="A958" s="1264"/>
      <c r="D958" s="1118"/>
      <c r="E958" s="1264"/>
      <c r="F958" s="1118"/>
      <c r="G958" s="1118"/>
      <c r="H958" s="1118"/>
      <c r="I958" s="1118"/>
      <c r="J958" s="1118"/>
      <c r="K958" s="1118"/>
      <c r="L958" s="1118"/>
      <c r="M958" s="1118"/>
      <c r="N958" s="1118"/>
      <c r="O958" s="1118"/>
      <c r="P958" s="1118"/>
      <c r="Q958" s="1111"/>
      <c r="R958" s="1111"/>
      <c r="S958" s="1111"/>
      <c r="T958" s="1111"/>
      <c r="U958" s="1111"/>
      <c r="V958" s="1111"/>
      <c r="W958" s="1111"/>
      <c r="X958" s="1111"/>
      <c r="Y958" s="1111"/>
      <c r="Z958" s="1111"/>
      <c r="AA958" s="1111"/>
      <c r="AB958" s="1111"/>
      <c r="AC958" s="1111"/>
      <c r="AD958" s="1111"/>
      <c r="AE958" s="1111"/>
      <c r="AF958" s="1111"/>
      <c r="AG958" s="1111"/>
    </row>
    <row r="959" spans="1:33" s="1295" customFormat="1">
      <c r="A959" s="1264"/>
      <c r="D959" s="1118"/>
      <c r="E959" s="1264"/>
      <c r="F959" s="1118"/>
      <c r="G959" s="1118"/>
      <c r="H959" s="1118"/>
      <c r="I959" s="1118"/>
      <c r="J959" s="1118"/>
      <c r="K959" s="1118"/>
      <c r="L959" s="1118"/>
      <c r="M959" s="1118"/>
      <c r="N959" s="1118"/>
      <c r="O959" s="1118"/>
      <c r="P959" s="1118"/>
      <c r="Q959" s="1111"/>
      <c r="R959" s="1111"/>
      <c r="S959" s="1111"/>
      <c r="T959" s="1111"/>
      <c r="U959" s="1111"/>
      <c r="V959" s="1111"/>
      <c r="W959" s="1111"/>
      <c r="X959" s="1111"/>
      <c r="Y959" s="1111"/>
      <c r="Z959" s="1111"/>
      <c r="AA959" s="1111"/>
      <c r="AB959" s="1111"/>
      <c r="AC959" s="1111"/>
      <c r="AD959" s="1111"/>
      <c r="AE959" s="1111"/>
      <c r="AF959" s="1111"/>
      <c r="AG959" s="1111"/>
    </row>
    <row r="960" spans="1:33" s="1295" customFormat="1">
      <c r="A960" s="1264"/>
      <c r="D960" s="1118"/>
      <c r="E960" s="1264"/>
      <c r="F960" s="1118"/>
      <c r="G960" s="1118"/>
      <c r="H960" s="1118"/>
      <c r="I960" s="1118"/>
      <c r="J960" s="1118"/>
      <c r="K960" s="1118"/>
      <c r="L960" s="1118"/>
      <c r="M960" s="1118"/>
      <c r="N960" s="1118"/>
      <c r="O960" s="1118"/>
      <c r="P960" s="1118"/>
      <c r="Q960" s="1111"/>
      <c r="R960" s="1111"/>
      <c r="S960" s="1111"/>
      <c r="T960" s="1111"/>
      <c r="U960" s="1111"/>
      <c r="V960" s="1111"/>
      <c r="W960" s="1111"/>
      <c r="X960" s="1111"/>
      <c r="Y960" s="1111"/>
      <c r="Z960" s="1111"/>
      <c r="AA960" s="1111"/>
      <c r="AB960" s="1111"/>
      <c r="AC960" s="1111"/>
      <c r="AD960" s="1111"/>
      <c r="AE960" s="1111"/>
      <c r="AF960" s="1111"/>
      <c r="AG960" s="1111"/>
    </row>
    <row r="961" spans="1:33" s="1295" customFormat="1">
      <c r="A961" s="1264"/>
      <c r="D961" s="1118"/>
      <c r="E961" s="1264"/>
      <c r="F961" s="1118"/>
      <c r="G961" s="1118"/>
      <c r="H961" s="1118"/>
      <c r="I961" s="1118"/>
      <c r="J961" s="1118"/>
      <c r="K961" s="1118"/>
      <c r="L961" s="1118"/>
      <c r="M961" s="1118"/>
      <c r="N961" s="1118"/>
      <c r="O961" s="1118"/>
      <c r="P961" s="1118"/>
      <c r="Q961" s="1111"/>
      <c r="R961" s="1111"/>
      <c r="S961" s="1111"/>
      <c r="T961" s="1111"/>
      <c r="U961" s="1111"/>
      <c r="V961" s="1111"/>
      <c r="W961" s="1111"/>
      <c r="X961" s="1111"/>
      <c r="Y961" s="1111"/>
      <c r="Z961" s="1111"/>
      <c r="AA961" s="1111"/>
      <c r="AB961" s="1111"/>
      <c r="AC961" s="1111"/>
      <c r="AD961" s="1111"/>
      <c r="AE961" s="1111"/>
      <c r="AF961" s="1111"/>
      <c r="AG961" s="1111"/>
    </row>
    <row r="962" spans="1:33" s="1295" customFormat="1">
      <c r="A962" s="1264"/>
      <c r="D962" s="1118"/>
      <c r="E962" s="1264"/>
      <c r="F962" s="1118"/>
      <c r="G962" s="1118"/>
      <c r="H962" s="1118"/>
      <c r="I962" s="1118"/>
      <c r="J962" s="1118"/>
      <c r="K962" s="1118"/>
      <c r="L962" s="1118"/>
      <c r="M962" s="1118"/>
      <c r="N962" s="1118"/>
      <c r="O962" s="1118"/>
      <c r="P962" s="1118"/>
      <c r="Q962" s="1111"/>
      <c r="R962" s="1111"/>
      <c r="S962" s="1111"/>
      <c r="T962" s="1111"/>
      <c r="U962" s="1111"/>
      <c r="V962" s="1111"/>
      <c r="W962" s="1111"/>
      <c r="X962" s="1111"/>
      <c r="Y962" s="1111"/>
      <c r="Z962" s="1111"/>
      <c r="AA962" s="1111"/>
      <c r="AB962" s="1111"/>
      <c r="AC962" s="1111"/>
      <c r="AD962" s="1111"/>
      <c r="AE962" s="1111"/>
      <c r="AF962" s="1111"/>
      <c r="AG962" s="1111"/>
    </row>
    <row r="963" spans="1:33" s="1295" customFormat="1">
      <c r="A963" s="1264"/>
      <c r="D963" s="1118"/>
      <c r="E963" s="1264"/>
      <c r="F963" s="1118"/>
      <c r="G963" s="1118"/>
      <c r="H963" s="1118"/>
      <c r="I963" s="1118"/>
      <c r="J963" s="1118"/>
      <c r="K963" s="1118"/>
      <c r="L963" s="1118"/>
      <c r="M963" s="1118"/>
      <c r="N963" s="1118"/>
      <c r="O963" s="1118"/>
      <c r="P963" s="1118"/>
      <c r="Q963" s="1111"/>
      <c r="R963" s="1111"/>
      <c r="S963" s="1111"/>
      <c r="T963" s="1111"/>
      <c r="U963" s="1111"/>
      <c r="V963" s="1111"/>
      <c r="W963" s="1111"/>
      <c r="X963" s="1111"/>
      <c r="Y963" s="1111"/>
      <c r="Z963" s="1111"/>
      <c r="AA963" s="1111"/>
      <c r="AB963" s="1111"/>
      <c r="AC963" s="1111"/>
      <c r="AD963" s="1111"/>
      <c r="AE963" s="1111"/>
      <c r="AF963" s="1111"/>
      <c r="AG963" s="1111"/>
    </row>
    <row r="964" spans="1:33" s="1295" customFormat="1">
      <c r="A964" s="1264"/>
      <c r="D964" s="1118"/>
      <c r="E964" s="1264"/>
      <c r="F964" s="1118"/>
      <c r="G964" s="1118"/>
      <c r="H964" s="1118"/>
      <c r="I964" s="1118"/>
      <c r="J964" s="1118"/>
      <c r="K964" s="1118"/>
      <c r="L964" s="1118"/>
      <c r="M964" s="1118"/>
      <c r="N964" s="1118"/>
      <c r="O964" s="1118"/>
      <c r="P964" s="1118"/>
      <c r="Q964" s="1111"/>
      <c r="R964" s="1111"/>
      <c r="S964" s="1111"/>
      <c r="T964" s="1111"/>
      <c r="U964" s="1111"/>
      <c r="V964" s="1111"/>
      <c r="W964" s="1111"/>
      <c r="X964" s="1111"/>
      <c r="Y964" s="1111"/>
      <c r="Z964" s="1111"/>
      <c r="AA964" s="1111"/>
      <c r="AB964" s="1111"/>
      <c r="AC964" s="1111"/>
      <c r="AD964" s="1111"/>
      <c r="AE964" s="1111"/>
      <c r="AF964" s="1111"/>
      <c r="AG964" s="1111"/>
    </row>
    <row r="965" spans="1:33" s="1295" customFormat="1">
      <c r="A965" s="1264"/>
      <c r="D965" s="1118"/>
      <c r="E965" s="1264"/>
      <c r="F965" s="1118"/>
      <c r="G965" s="1118"/>
      <c r="H965" s="1118"/>
      <c r="I965" s="1118"/>
      <c r="J965" s="1118"/>
      <c r="K965" s="1118"/>
      <c r="L965" s="1118"/>
      <c r="M965" s="1118"/>
      <c r="N965" s="1118"/>
      <c r="O965" s="1118"/>
      <c r="P965" s="1118"/>
      <c r="Q965" s="1111"/>
      <c r="R965" s="1111"/>
      <c r="S965" s="1111"/>
      <c r="T965" s="1111"/>
      <c r="U965" s="1111"/>
      <c r="V965" s="1111"/>
      <c r="W965" s="1111"/>
      <c r="X965" s="1111"/>
      <c r="Y965" s="1111"/>
      <c r="Z965" s="1111"/>
      <c r="AA965" s="1111"/>
      <c r="AB965" s="1111"/>
      <c r="AC965" s="1111"/>
      <c r="AD965" s="1111"/>
      <c r="AE965" s="1111"/>
      <c r="AF965" s="1111"/>
      <c r="AG965" s="1111"/>
    </row>
    <row r="966" spans="1:33" s="1295" customFormat="1">
      <c r="A966" s="1264"/>
      <c r="D966" s="1118"/>
      <c r="E966" s="1264"/>
      <c r="F966" s="1118"/>
      <c r="G966" s="1118"/>
      <c r="H966" s="1118"/>
      <c r="I966" s="1118"/>
      <c r="J966" s="1118"/>
      <c r="K966" s="1118"/>
      <c r="L966" s="1118"/>
      <c r="M966" s="1118"/>
      <c r="N966" s="1118"/>
      <c r="O966" s="1118"/>
      <c r="P966" s="1118"/>
      <c r="Q966" s="1111"/>
      <c r="R966" s="1111"/>
      <c r="S966" s="1111"/>
      <c r="T966" s="1111"/>
      <c r="U966" s="1111"/>
      <c r="V966" s="1111"/>
      <c r="W966" s="1111"/>
      <c r="X966" s="1111"/>
      <c r="Y966" s="1111"/>
      <c r="Z966" s="1111"/>
      <c r="AA966" s="1111"/>
      <c r="AB966" s="1111"/>
      <c r="AC966" s="1111"/>
      <c r="AD966" s="1111"/>
      <c r="AE966" s="1111"/>
      <c r="AF966" s="1111"/>
      <c r="AG966" s="1111"/>
    </row>
    <row r="967" spans="1:33" s="1295" customFormat="1">
      <c r="A967" s="1264"/>
      <c r="D967" s="1118"/>
      <c r="E967" s="1264"/>
      <c r="F967" s="1118"/>
      <c r="G967" s="1118"/>
      <c r="H967" s="1118"/>
      <c r="I967" s="1118"/>
      <c r="J967" s="1118"/>
      <c r="K967" s="1118"/>
      <c r="L967" s="1118"/>
      <c r="M967" s="1118"/>
      <c r="N967" s="1118"/>
      <c r="O967" s="1118"/>
      <c r="P967" s="1118"/>
      <c r="Q967" s="1111"/>
      <c r="R967" s="1111"/>
      <c r="S967" s="1111"/>
      <c r="T967" s="1111"/>
      <c r="U967" s="1111"/>
      <c r="V967" s="1111"/>
      <c r="W967" s="1111"/>
      <c r="X967" s="1111"/>
      <c r="Y967" s="1111"/>
      <c r="Z967" s="1111"/>
      <c r="AA967" s="1111"/>
      <c r="AB967" s="1111"/>
      <c r="AC967" s="1111"/>
      <c r="AD967" s="1111"/>
      <c r="AE967" s="1111"/>
      <c r="AF967" s="1111"/>
      <c r="AG967" s="1111"/>
    </row>
    <row r="968" spans="1:33" s="1295" customFormat="1">
      <c r="A968" s="1264"/>
      <c r="D968" s="1118"/>
      <c r="E968" s="1264"/>
      <c r="F968" s="1118"/>
      <c r="G968" s="1118"/>
      <c r="H968" s="1118"/>
      <c r="I968" s="1118"/>
      <c r="J968" s="1118"/>
      <c r="K968" s="1118"/>
      <c r="L968" s="1118"/>
      <c r="M968" s="1118"/>
      <c r="N968" s="1118"/>
      <c r="O968" s="1118"/>
      <c r="P968" s="1118"/>
      <c r="Q968" s="1111"/>
      <c r="R968" s="1111"/>
      <c r="S968" s="1111"/>
      <c r="T968" s="1111"/>
      <c r="U968" s="1111"/>
      <c r="V968" s="1111"/>
      <c r="W968" s="1111"/>
      <c r="X968" s="1111"/>
      <c r="Y968" s="1111"/>
      <c r="Z968" s="1111"/>
      <c r="AA968" s="1111"/>
      <c r="AB968" s="1111"/>
      <c r="AC968" s="1111"/>
      <c r="AD968" s="1111"/>
      <c r="AE968" s="1111"/>
      <c r="AF968" s="1111"/>
      <c r="AG968" s="1111"/>
    </row>
    <row r="969" spans="1:33" s="1295" customFormat="1">
      <c r="A969" s="1264"/>
      <c r="D969" s="1118"/>
      <c r="E969" s="1264"/>
      <c r="F969" s="1118"/>
      <c r="G969" s="1118"/>
      <c r="H969" s="1118"/>
      <c r="I969" s="1118"/>
      <c r="J969" s="1118"/>
      <c r="K969" s="1118"/>
      <c r="L969" s="1118"/>
      <c r="M969" s="1118"/>
      <c r="N969" s="1118"/>
      <c r="O969" s="1118"/>
      <c r="P969" s="1118"/>
      <c r="Q969" s="1111"/>
      <c r="R969" s="1111"/>
      <c r="S969" s="1111"/>
      <c r="T969" s="1111"/>
      <c r="U969" s="1111"/>
      <c r="V969" s="1111"/>
      <c r="W969" s="1111"/>
      <c r="X969" s="1111"/>
      <c r="Y969" s="1111"/>
      <c r="Z969" s="1111"/>
      <c r="AA969" s="1111"/>
      <c r="AB969" s="1111"/>
      <c r="AC969" s="1111"/>
      <c r="AD969" s="1111"/>
      <c r="AE969" s="1111"/>
      <c r="AF969" s="1111"/>
      <c r="AG969" s="1111"/>
    </row>
    <row r="970" spans="1:33" s="1295" customFormat="1">
      <c r="A970" s="1264"/>
      <c r="D970" s="1118"/>
      <c r="E970" s="1264"/>
      <c r="F970" s="1118"/>
      <c r="G970" s="1118"/>
      <c r="H970" s="1118"/>
      <c r="I970" s="1118"/>
      <c r="J970" s="1118"/>
      <c r="K970" s="1118"/>
      <c r="L970" s="1118"/>
      <c r="M970" s="1118"/>
      <c r="N970" s="1118"/>
      <c r="O970" s="1118"/>
      <c r="P970" s="1118"/>
      <c r="Q970" s="1111"/>
      <c r="R970" s="1111"/>
      <c r="S970" s="1111"/>
      <c r="T970" s="1111"/>
      <c r="U970" s="1111"/>
      <c r="V970" s="1111"/>
      <c r="W970" s="1111"/>
      <c r="X970" s="1111"/>
      <c r="Y970" s="1111"/>
      <c r="Z970" s="1111"/>
      <c r="AA970" s="1111"/>
      <c r="AB970" s="1111"/>
      <c r="AC970" s="1111"/>
      <c r="AD970" s="1111"/>
      <c r="AE970" s="1111"/>
      <c r="AF970" s="1111"/>
      <c r="AG970" s="1111"/>
    </row>
    <row r="971" spans="1:33" s="1295" customFormat="1">
      <c r="A971" s="1264"/>
      <c r="D971" s="1118"/>
      <c r="E971" s="1264"/>
      <c r="F971" s="1118"/>
      <c r="G971" s="1118"/>
      <c r="H971" s="1118"/>
      <c r="I971" s="1118"/>
      <c r="J971" s="1118"/>
      <c r="K971" s="1118"/>
      <c r="L971" s="1118"/>
      <c r="M971" s="1118"/>
      <c r="N971" s="1118"/>
      <c r="O971" s="1118"/>
      <c r="P971" s="1118"/>
      <c r="Q971" s="1111"/>
      <c r="R971" s="1111"/>
      <c r="S971" s="1111"/>
      <c r="T971" s="1111"/>
      <c r="U971" s="1111"/>
      <c r="V971" s="1111"/>
      <c r="W971" s="1111"/>
      <c r="X971" s="1111"/>
      <c r="Y971" s="1111"/>
      <c r="Z971" s="1111"/>
      <c r="AA971" s="1111"/>
      <c r="AB971" s="1111"/>
      <c r="AC971" s="1111"/>
      <c r="AD971" s="1111"/>
      <c r="AE971" s="1111"/>
      <c r="AF971" s="1111"/>
      <c r="AG971" s="1111"/>
    </row>
    <row r="972" spans="1:33" s="1295" customFormat="1">
      <c r="A972" s="1264"/>
      <c r="D972" s="1118"/>
      <c r="E972" s="1264"/>
      <c r="F972" s="1118"/>
      <c r="G972" s="1118"/>
      <c r="H972" s="1118"/>
      <c r="I972" s="1118"/>
      <c r="J972" s="1118"/>
      <c r="K972" s="1118"/>
      <c r="L972" s="1118"/>
      <c r="M972" s="1118"/>
      <c r="N972" s="1118"/>
      <c r="O972" s="1118"/>
      <c r="P972" s="1118"/>
      <c r="Q972" s="1111"/>
      <c r="R972" s="1111"/>
      <c r="S972" s="1111"/>
      <c r="T972" s="1111"/>
      <c r="U972" s="1111"/>
      <c r="V972" s="1111"/>
      <c r="W972" s="1111"/>
      <c r="X972" s="1111"/>
      <c r="Y972" s="1111"/>
      <c r="Z972" s="1111"/>
      <c r="AA972" s="1111"/>
      <c r="AB972" s="1111"/>
      <c r="AC972" s="1111"/>
      <c r="AD972" s="1111"/>
      <c r="AE972" s="1111"/>
      <c r="AF972" s="1111"/>
      <c r="AG972" s="1111"/>
    </row>
    <row r="973" spans="1:33" s="1295" customFormat="1">
      <c r="A973" s="1264"/>
      <c r="D973" s="1118"/>
      <c r="E973" s="1264"/>
      <c r="F973" s="1118"/>
      <c r="G973" s="1118"/>
      <c r="H973" s="1118"/>
      <c r="I973" s="1118"/>
      <c r="J973" s="1118"/>
      <c r="K973" s="1118"/>
      <c r="L973" s="1118"/>
      <c r="M973" s="1118"/>
      <c r="N973" s="1118"/>
      <c r="O973" s="1118"/>
      <c r="P973" s="1118"/>
      <c r="Q973" s="1111"/>
      <c r="R973" s="1111"/>
      <c r="S973" s="1111"/>
      <c r="T973" s="1111"/>
      <c r="U973" s="1111"/>
      <c r="V973" s="1111"/>
      <c r="W973" s="1111"/>
      <c r="X973" s="1111"/>
      <c r="Y973" s="1111"/>
      <c r="Z973" s="1111"/>
      <c r="AA973" s="1111"/>
      <c r="AB973" s="1111"/>
      <c r="AC973" s="1111"/>
      <c r="AD973" s="1111"/>
      <c r="AE973" s="1111"/>
      <c r="AF973" s="1111"/>
      <c r="AG973" s="1111"/>
    </row>
    <row r="974" spans="1:33" s="1295" customFormat="1">
      <c r="A974" s="1264"/>
      <c r="D974" s="1118"/>
      <c r="E974" s="1264"/>
      <c r="F974" s="1118"/>
      <c r="G974" s="1118"/>
      <c r="H974" s="1118"/>
      <c r="I974" s="1118"/>
      <c r="J974" s="1118"/>
      <c r="K974" s="1118"/>
      <c r="L974" s="1118"/>
      <c r="M974" s="1118"/>
      <c r="N974" s="1118"/>
      <c r="O974" s="1118"/>
      <c r="P974" s="1118"/>
      <c r="Q974" s="1111"/>
      <c r="R974" s="1111"/>
      <c r="S974" s="1111"/>
      <c r="T974" s="1111"/>
      <c r="U974" s="1111"/>
      <c r="V974" s="1111"/>
      <c r="W974" s="1111"/>
      <c r="X974" s="1111"/>
      <c r="Y974" s="1111"/>
      <c r="Z974" s="1111"/>
      <c r="AA974" s="1111"/>
      <c r="AB974" s="1111"/>
      <c r="AC974" s="1111"/>
      <c r="AD974" s="1111"/>
      <c r="AE974" s="1111"/>
      <c r="AF974" s="1111"/>
      <c r="AG974" s="1111"/>
    </row>
    <row r="975" spans="1:33" s="1295" customFormat="1">
      <c r="A975" s="1264"/>
      <c r="D975" s="1118"/>
      <c r="E975" s="1264"/>
      <c r="F975" s="1118"/>
      <c r="G975" s="1118"/>
      <c r="H975" s="1118"/>
      <c r="I975" s="1118"/>
      <c r="J975" s="1118"/>
      <c r="K975" s="1118"/>
      <c r="L975" s="1118"/>
      <c r="M975" s="1118"/>
      <c r="N975" s="1118"/>
      <c r="O975" s="1118"/>
      <c r="P975" s="1118"/>
      <c r="Q975" s="1111"/>
      <c r="R975" s="1111"/>
      <c r="S975" s="1111"/>
      <c r="T975" s="1111"/>
      <c r="U975" s="1111"/>
      <c r="V975" s="1111"/>
      <c r="W975" s="1111"/>
      <c r="X975" s="1111"/>
      <c r="Y975" s="1111"/>
      <c r="Z975" s="1111"/>
      <c r="AA975" s="1111"/>
      <c r="AB975" s="1111"/>
      <c r="AC975" s="1111"/>
      <c r="AD975" s="1111"/>
      <c r="AE975" s="1111"/>
      <c r="AF975" s="1111"/>
      <c r="AG975" s="1111"/>
    </row>
    <row r="976" spans="1:33" s="1295" customFormat="1">
      <c r="A976" s="1264"/>
      <c r="D976" s="1118"/>
      <c r="E976" s="1264"/>
      <c r="F976" s="1118"/>
      <c r="G976" s="1118"/>
      <c r="H976" s="1118"/>
      <c r="I976" s="1118"/>
      <c r="J976" s="1118"/>
      <c r="K976" s="1118"/>
      <c r="L976" s="1118"/>
      <c r="M976" s="1118"/>
      <c r="N976" s="1118"/>
      <c r="O976" s="1118"/>
      <c r="P976" s="1118"/>
      <c r="Q976" s="1111"/>
      <c r="R976" s="1111"/>
      <c r="S976" s="1111"/>
      <c r="T976" s="1111"/>
      <c r="U976" s="1111"/>
      <c r="V976" s="1111"/>
      <c r="W976" s="1111"/>
      <c r="X976" s="1111"/>
      <c r="Y976" s="1111"/>
      <c r="Z976" s="1111"/>
      <c r="AA976" s="1111"/>
      <c r="AB976" s="1111"/>
      <c r="AC976" s="1111"/>
      <c r="AD976" s="1111"/>
      <c r="AE976" s="1111"/>
      <c r="AF976" s="1111"/>
      <c r="AG976" s="1111"/>
    </row>
    <row r="977" spans="1:33" s="1295" customFormat="1">
      <c r="A977" s="1264"/>
      <c r="D977" s="1118"/>
      <c r="E977" s="1264"/>
      <c r="F977" s="1118"/>
      <c r="G977" s="1118"/>
      <c r="H977" s="1118"/>
      <c r="I977" s="1118"/>
      <c r="J977" s="1118"/>
      <c r="K977" s="1118"/>
      <c r="L977" s="1118"/>
      <c r="M977" s="1118"/>
      <c r="N977" s="1118"/>
      <c r="O977" s="1118"/>
      <c r="P977" s="1118"/>
      <c r="Q977" s="1111"/>
      <c r="R977" s="1111"/>
      <c r="S977" s="1111"/>
      <c r="T977" s="1111"/>
      <c r="U977" s="1111"/>
      <c r="V977" s="1111"/>
      <c r="W977" s="1111"/>
      <c r="X977" s="1111"/>
      <c r="Y977" s="1111"/>
      <c r="Z977" s="1111"/>
      <c r="AA977" s="1111"/>
      <c r="AB977" s="1111"/>
      <c r="AC977" s="1111"/>
      <c r="AD977" s="1111"/>
      <c r="AE977" s="1111"/>
      <c r="AF977" s="1111"/>
      <c r="AG977" s="1111"/>
    </row>
    <row r="978" spans="1:33" s="1295" customFormat="1">
      <c r="A978" s="1264"/>
      <c r="D978" s="1118"/>
      <c r="E978" s="1264"/>
      <c r="F978" s="1118"/>
      <c r="G978" s="1118"/>
      <c r="H978" s="1118"/>
      <c r="I978" s="1118"/>
      <c r="J978" s="1118"/>
      <c r="K978" s="1118"/>
      <c r="L978" s="1118"/>
      <c r="M978" s="1118"/>
      <c r="N978" s="1118"/>
      <c r="O978" s="1118"/>
      <c r="P978" s="1118"/>
      <c r="Q978" s="1111"/>
      <c r="R978" s="1111"/>
      <c r="S978" s="1111"/>
      <c r="T978" s="1111"/>
      <c r="U978" s="1111"/>
      <c r="V978" s="1111"/>
      <c r="W978" s="1111"/>
      <c r="X978" s="1111"/>
      <c r="Y978" s="1111"/>
      <c r="Z978" s="1111"/>
      <c r="AA978" s="1111"/>
      <c r="AB978" s="1111"/>
      <c r="AC978" s="1111"/>
      <c r="AD978" s="1111"/>
      <c r="AE978" s="1111"/>
      <c r="AF978" s="1111"/>
      <c r="AG978" s="1111"/>
    </row>
    <row r="979" spans="1:33" s="1295" customFormat="1">
      <c r="A979" s="1264"/>
      <c r="D979" s="1118"/>
      <c r="E979" s="1264"/>
      <c r="F979" s="1118"/>
      <c r="G979" s="1118"/>
      <c r="H979" s="1118"/>
      <c r="I979" s="1118"/>
      <c r="J979" s="1118"/>
      <c r="K979" s="1118"/>
      <c r="L979" s="1118"/>
      <c r="M979" s="1118"/>
      <c r="N979" s="1118"/>
      <c r="O979" s="1118"/>
      <c r="P979" s="1118"/>
      <c r="Q979" s="1111"/>
      <c r="R979" s="1111"/>
      <c r="S979" s="1111"/>
      <c r="T979" s="1111"/>
      <c r="U979" s="1111"/>
      <c r="V979" s="1111"/>
      <c r="W979" s="1111"/>
      <c r="X979" s="1111"/>
      <c r="Y979" s="1111"/>
      <c r="Z979" s="1111"/>
      <c r="AA979" s="1111"/>
      <c r="AB979" s="1111"/>
      <c r="AC979" s="1111"/>
      <c r="AD979" s="1111"/>
      <c r="AE979" s="1111"/>
      <c r="AF979" s="1111"/>
      <c r="AG979" s="1111"/>
    </row>
    <row r="980" spans="1:33" s="1295" customFormat="1">
      <c r="A980" s="1264"/>
      <c r="D980" s="1118"/>
      <c r="E980" s="1264"/>
      <c r="F980" s="1118"/>
      <c r="G980" s="1118"/>
      <c r="H980" s="1118"/>
      <c r="I980" s="1118"/>
      <c r="J980" s="1118"/>
      <c r="K980" s="1118"/>
      <c r="L980" s="1118"/>
      <c r="M980" s="1118"/>
      <c r="N980" s="1118"/>
      <c r="O980" s="1118"/>
      <c r="P980" s="1118"/>
      <c r="Q980" s="1111"/>
      <c r="R980" s="1111"/>
      <c r="S980" s="1111"/>
      <c r="T980" s="1111"/>
      <c r="U980" s="1111"/>
      <c r="V980" s="1111"/>
      <c r="W980" s="1111"/>
      <c r="X980" s="1111"/>
      <c r="Y980" s="1111"/>
      <c r="Z980" s="1111"/>
      <c r="AA980" s="1111"/>
      <c r="AB980" s="1111"/>
      <c r="AC980" s="1111"/>
      <c r="AD980" s="1111"/>
      <c r="AE980" s="1111"/>
      <c r="AF980" s="1111"/>
      <c r="AG980" s="1111"/>
    </row>
    <row r="981" spans="1:33" s="1295" customFormat="1">
      <c r="A981" s="1264"/>
      <c r="D981" s="1118"/>
      <c r="E981" s="1264"/>
      <c r="F981" s="1118"/>
      <c r="G981" s="1118"/>
      <c r="H981" s="1118"/>
      <c r="I981" s="1118"/>
      <c r="J981" s="1118"/>
      <c r="K981" s="1118"/>
      <c r="L981" s="1118"/>
      <c r="M981" s="1118"/>
      <c r="N981" s="1118"/>
      <c r="O981" s="1118"/>
      <c r="P981" s="1118"/>
      <c r="Q981" s="1111"/>
      <c r="R981" s="1111"/>
      <c r="S981" s="1111"/>
      <c r="T981" s="1111"/>
      <c r="U981" s="1111"/>
      <c r="V981" s="1111"/>
      <c r="W981" s="1111"/>
      <c r="X981" s="1111"/>
      <c r="Y981" s="1111"/>
      <c r="Z981" s="1111"/>
      <c r="AA981" s="1111"/>
      <c r="AB981" s="1111"/>
      <c r="AC981" s="1111"/>
      <c r="AD981" s="1111"/>
      <c r="AE981" s="1111"/>
      <c r="AF981" s="1111"/>
      <c r="AG981" s="1111"/>
    </row>
    <row r="982" spans="1:33" s="1295" customFormat="1">
      <c r="A982" s="1264"/>
      <c r="D982" s="1118"/>
      <c r="E982" s="1264"/>
      <c r="F982" s="1118"/>
      <c r="G982" s="1118"/>
      <c r="H982" s="1118"/>
      <c r="I982" s="1118"/>
      <c r="J982" s="1118"/>
      <c r="K982" s="1118"/>
      <c r="L982" s="1118"/>
      <c r="M982" s="1118"/>
      <c r="N982" s="1118"/>
      <c r="O982" s="1118"/>
      <c r="P982" s="1118"/>
      <c r="Q982" s="1111"/>
      <c r="R982" s="1111"/>
      <c r="S982" s="1111"/>
      <c r="T982" s="1111"/>
      <c r="U982" s="1111"/>
      <c r="V982" s="1111"/>
      <c r="W982" s="1111"/>
      <c r="X982" s="1111"/>
      <c r="Y982" s="1111"/>
      <c r="Z982" s="1111"/>
      <c r="AA982" s="1111"/>
      <c r="AB982" s="1111"/>
      <c r="AC982" s="1111"/>
      <c r="AD982" s="1111"/>
      <c r="AE982" s="1111"/>
      <c r="AF982" s="1111"/>
      <c r="AG982" s="1111"/>
    </row>
    <row r="983" spans="1:33" s="1295" customFormat="1">
      <c r="A983" s="1264"/>
      <c r="D983" s="1118"/>
      <c r="E983" s="1264"/>
      <c r="F983" s="1118"/>
      <c r="G983" s="1118"/>
      <c r="H983" s="1118"/>
      <c r="I983" s="1118"/>
      <c r="J983" s="1118"/>
      <c r="K983" s="1118"/>
      <c r="L983" s="1118"/>
      <c r="M983" s="1118"/>
      <c r="N983" s="1118"/>
      <c r="O983" s="1118"/>
      <c r="P983" s="1118"/>
      <c r="Q983" s="1111"/>
      <c r="R983" s="1111"/>
      <c r="S983" s="1111"/>
      <c r="T983" s="1111"/>
      <c r="U983" s="1111"/>
      <c r="V983" s="1111"/>
      <c r="W983" s="1111"/>
      <c r="X983" s="1111"/>
      <c r="Y983" s="1111"/>
      <c r="Z983" s="1111"/>
      <c r="AA983" s="1111"/>
      <c r="AB983" s="1111"/>
      <c r="AC983" s="1111"/>
      <c r="AD983" s="1111"/>
      <c r="AE983" s="1111"/>
      <c r="AF983" s="1111"/>
      <c r="AG983" s="1111"/>
    </row>
    <row r="984" spans="1:33" s="1295" customFormat="1">
      <c r="A984" s="1264"/>
      <c r="D984" s="1118"/>
      <c r="E984" s="1264"/>
      <c r="F984" s="1118"/>
      <c r="G984" s="1118"/>
      <c r="H984" s="1118"/>
      <c r="I984" s="1118"/>
      <c r="J984" s="1118"/>
      <c r="K984" s="1118"/>
      <c r="L984" s="1118"/>
      <c r="M984" s="1118"/>
      <c r="N984" s="1118"/>
      <c r="O984" s="1118"/>
      <c r="P984" s="1118"/>
      <c r="Q984" s="1111"/>
      <c r="R984" s="1111"/>
      <c r="S984" s="1111"/>
      <c r="T984" s="1111"/>
      <c r="U984" s="1111"/>
      <c r="V984" s="1111"/>
      <c r="W984" s="1111"/>
      <c r="X984" s="1111"/>
      <c r="Y984" s="1111"/>
      <c r="Z984" s="1111"/>
      <c r="AA984" s="1111"/>
      <c r="AB984" s="1111"/>
      <c r="AC984" s="1111"/>
      <c r="AD984" s="1111"/>
      <c r="AE984" s="1111"/>
      <c r="AF984" s="1111"/>
      <c r="AG984" s="1111"/>
    </row>
    <row r="985" spans="1:33" s="1295" customFormat="1">
      <c r="A985" s="1264"/>
      <c r="D985" s="1118"/>
      <c r="E985" s="1264"/>
      <c r="F985" s="1118"/>
      <c r="G985" s="1118"/>
      <c r="H985" s="1118"/>
      <c r="I985" s="1118"/>
      <c r="J985" s="1118"/>
      <c r="K985" s="1118"/>
      <c r="L985" s="1118"/>
      <c r="M985" s="1118"/>
      <c r="N985" s="1118"/>
      <c r="O985" s="1118"/>
      <c r="P985" s="1118"/>
      <c r="Q985" s="1111"/>
      <c r="R985" s="1111"/>
      <c r="S985" s="1111"/>
      <c r="T985" s="1111"/>
      <c r="U985" s="1111"/>
      <c r="V985" s="1111"/>
      <c r="W985" s="1111"/>
      <c r="X985" s="1111"/>
      <c r="Y985" s="1111"/>
      <c r="Z985" s="1111"/>
      <c r="AA985" s="1111"/>
      <c r="AB985" s="1111"/>
      <c r="AC985" s="1111"/>
      <c r="AD985" s="1111"/>
      <c r="AE985" s="1111"/>
      <c r="AF985" s="1111"/>
      <c r="AG985" s="1111"/>
    </row>
    <row r="986" spans="1:33" s="1295" customFormat="1">
      <c r="A986" s="1264"/>
      <c r="D986" s="1118"/>
      <c r="E986" s="1264"/>
      <c r="F986" s="1118"/>
      <c r="G986" s="1118"/>
      <c r="H986" s="1118"/>
      <c r="I986" s="1118"/>
      <c r="J986" s="1118"/>
      <c r="K986" s="1118"/>
      <c r="L986" s="1118"/>
      <c r="M986" s="1118"/>
      <c r="N986" s="1118"/>
      <c r="O986" s="1118"/>
      <c r="P986" s="1118"/>
      <c r="Q986" s="1111"/>
      <c r="R986" s="1111"/>
      <c r="S986" s="1111"/>
      <c r="T986" s="1111"/>
      <c r="U986" s="1111"/>
      <c r="V986" s="1111"/>
      <c r="W986" s="1111"/>
      <c r="X986" s="1111"/>
      <c r="Y986" s="1111"/>
      <c r="Z986" s="1111"/>
      <c r="AA986" s="1111"/>
      <c r="AB986" s="1111"/>
      <c r="AC986" s="1111"/>
      <c r="AD986" s="1111"/>
      <c r="AE986" s="1111"/>
      <c r="AF986" s="1111"/>
      <c r="AG986" s="1111"/>
    </row>
    <row r="987" spans="1:33" s="1295" customFormat="1">
      <c r="A987" s="1264"/>
      <c r="D987" s="1118"/>
      <c r="E987" s="1264"/>
      <c r="F987" s="1118"/>
      <c r="G987" s="1118"/>
      <c r="H987" s="1118"/>
      <c r="I987" s="1118"/>
      <c r="J987" s="1118"/>
      <c r="K987" s="1118"/>
      <c r="L987" s="1118"/>
      <c r="M987" s="1118"/>
      <c r="N987" s="1118"/>
      <c r="O987" s="1118"/>
      <c r="P987" s="1118"/>
      <c r="Q987" s="1111"/>
      <c r="R987" s="1111"/>
      <c r="S987" s="1111"/>
      <c r="T987" s="1111"/>
      <c r="U987" s="1111"/>
      <c r="V987" s="1111"/>
      <c r="W987" s="1111"/>
      <c r="X987" s="1111"/>
      <c r="Y987" s="1111"/>
      <c r="Z987" s="1111"/>
      <c r="AA987" s="1111"/>
      <c r="AB987" s="1111"/>
      <c r="AC987" s="1111"/>
      <c r="AD987" s="1111"/>
      <c r="AE987" s="1111"/>
      <c r="AF987" s="1111"/>
      <c r="AG987" s="1111"/>
    </row>
    <row r="988" spans="1:33" s="1295" customFormat="1">
      <c r="A988" s="1264"/>
      <c r="D988" s="1118"/>
      <c r="E988" s="1264"/>
      <c r="F988" s="1118"/>
      <c r="G988" s="1118"/>
      <c r="H988" s="1118"/>
      <c r="I988" s="1118"/>
      <c r="J988" s="1118"/>
      <c r="K988" s="1118"/>
      <c r="L988" s="1118"/>
      <c r="M988" s="1118"/>
      <c r="N988" s="1118"/>
      <c r="O988" s="1118"/>
      <c r="P988" s="1118"/>
      <c r="Q988" s="1111"/>
      <c r="R988" s="1111"/>
      <c r="S988" s="1111"/>
      <c r="T988" s="1111"/>
      <c r="U988" s="1111"/>
      <c r="V988" s="1111"/>
      <c r="W988" s="1111"/>
      <c r="X988" s="1111"/>
      <c r="Y988" s="1111"/>
      <c r="Z988" s="1111"/>
      <c r="AA988" s="1111"/>
      <c r="AB988" s="1111"/>
      <c r="AC988" s="1111"/>
      <c r="AD988" s="1111"/>
      <c r="AE988" s="1111"/>
      <c r="AF988" s="1111"/>
      <c r="AG988" s="1111"/>
    </row>
    <row r="989" spans="1:33" s="1295" customFormat="1">
      <c r="A989" s="1264"/>
      <c r="D989" s="1118"/>
      <c r="E989" s="1264"/>
      <c r="F989" s="1118"/>
      <c r="G989" s="1118"/>
      <c r="H989" s="1118"/>
      <c r="I989" s="1118"/>
      <c r="J989" s="1118"/>
      <c r="K989" s="1118"/>
      <c r="L989" s="1118"/>
      <c r="M989" s="1118"/>
      <c r="N989" s="1118"/>
      <c r="O989" s="1118"/>
      <c r="P989" s="1118"/>
      <c r="Q989" s="1111"/>
      <c r="R989" s="1111"/>
      <c r="S989" s="1111"/>
      <c r="T989" s="1111"/>
      <c r="U989" s="1111"/>
      <c r="V989" s="1111"/>
      <c r="W989" s="1111"/>
      <c r="X989" s="1111"/>
      <c r="Y989" s="1111"/>
      <c r="Z989" s="1111"/>
      <c r="AA989" s="1111"/>
      <c r="AB989" s="1111"/>
      <c r="AC989" s="1111"/>
      <c r="AD989" s="1111"/>
      <c r="AE989" s="1111"/>
      <c r="AF989" s="1111"/>
      <c r="AG989" s="1111"/>
    </row>
    <row r="990" spans="1:33" s="1295" customFormat="1">
      <c r="A990" s="1264"/>
      <c r="D990" s="1118"/>
      <c r="E990" s="1264"/>
      <c r="F990" s="1118"/>
      <c r="G990" s="1118"/>
      <c r="H990" s="1118"/>
      <c r="I990" s="1118"/>
      <c r="J990" s="1118"/>
      <c r="K990" s="1118"/>
      <c r="L990" s="1118"/>
      <c r="M990" s="1118"/>
      <c r="N990" s="1118"/>
      <c r="O990" s="1118"/>
      <c r="P990" s="1118"/>
      <c r="Q990" s="1111"/>
      <c r="R990" s="1111"/>
      <c r="S990" s="1111"/>
      <c r="T990" s="1111"/>
      <c r="U990" s="1111"/>
      <c r="V990" s="1111"/>
      <c r="W990" s="1111"/>
      <c r="X990" s="1111"/>
      <c r="Y990" s="1111"/>
      <c r="Z990" s="1111"/>
      <c r="AA990" s="1111"/>
      <c r="AB990" s="1111"/>
      <c r="AC990" s="1111"/>
      <c r="AD990" s="1111"/>
      <c r="AE990" s="1111"/>
      <c r="AF990" s="1111"/>
      <c r="AG990" s="1111"/>
    </row>
    <row r="991" spans="1:33" s="1295" customFormat="1">
      <c r="A991" s="1264"/>
      <c r="D991" s="1118"/>
      <c r="E991" s="1264"/>
      <c r="F991" s="1118"/>
      <c r="G991" s="1118"/>
      <c r="H991" s="1118"/>
      <c r="I991" s="1118"/>
      <c r="J991" s="1118"/>
      <c r="K991" s="1118"/>
      <c r="L991" s="1118"/>
      <c r="M991" s="1118"/>
      <c r="N991" s="1118"/>
      <c r="O991" s="1118"/>
      <c r="P991" s="1118"/>
      <c r="Q991" s="1111"/>
      <c r="R991" s="1111"/>
      <c r="S991" s="1111"/>
      <c r="T991" s="1111"/>
      <c r="U991" s="1111"/>
      <c r="V991" s="1111"/>
      <c r="W991" s="1111"/>
      <c r="X991" s="1111"/>
      <c r="Y991" s="1111"/>
      <c r="Z991" s="1111"/>
      <c r="AA991" s="1111"/>
      <c r="AB991" s="1111"/>
      <c r="AC991" s="1111"/>
      <c r="AD991" s="1111"/>
      <c r="AE991" s="1111"/>
      <c r="AF991" s="1111"/>
      <c r="AG991" s="1111"/>
    </row>
    <row r="992" spans="1:33" s="1295" customFormat="1">
      <c r="A992" s="1264"/>
      <c r="D992" s="1118"/>
      <c r="E992" s="1264"/>
      <c r="F992" s="1118"/>
      <c r="G992" s="1118"/>
      <c r="H992" s="1118"/>
      <c r="I992" s="1118"/>
      <c r="J992" s="1118"/>
      <c r="K992" s="1118"/>
      <c r="L992" s="1118"/>
      <c r="M992" s="1118"/>
      <c r="N992" s="1118"/>
      <c r="O992" s="1118"/>
      <c r="P992" s="1118"/>
      <c r="Q992" s="1111"/>
      <c r="R992" s="1111"/>
      <c r="S992" s="1111"/>
      <c r="T992" s="1111"/>
      <c r="U992" s="1111"/>
      <c r="V992" s="1111"/>
      <c r="W992" s="1111"/>
      <c r="X992" s="1111"/>
      <c r="Y992" s="1111"/>
      <c r="Z992" s="1111"/>
      <c r="AA992" s="1111"/>
      <c r="AB992" s="1111"/>
      <c r="AC992" s="1111"/>
      <c r="AD992" s="1111"/>
      <c r="AE992" s="1111"/>
      <c r="AF992" s="1111"/>
      <c r="AG992" s="1111"/>
    </row>
    <row r="993" spans="1:33" s="1295" customFormat="1">
      <c r="A993" s="1264"/>
      <c r="D993" s="1118"/>
      <c r="E993" s="1264"/>
      <c r="F993" s="1118"/>
      <c r="G993" s="1118"/>
      <c r="H993" s="1118"/>
      <c r="I993" s="1118"/>
      <c r="J993" s="1118"/>
      <c r="K993" s="1118"/>
      <c r="L993" s="1118"/>
      <c r="M993" s="1118"/>
      <c r="N993" s="1118"/>
      <c r="O993" s="1118"/>
      <c r="P993" s="1118"/>
      <c r="Q993" s="1111"/>
      <c r="R993" s="1111"/>
      <c r="S993" s="1111"/>
      <c r="T993" s="1111"/>
      <c r="U993" s="1111"/>
      <c r="V993" s="1111"/>
      <c r="W993" s="1111"/>
      <c r="X993" s="1111"/>
      <c r="Y993" s="1111"/>
      <c r="Z993" s="1111"/>
      <c r="AA993" s="1111"/>
      <c r="AB993" s="1111"/>
      <c r="AC993" s="1111"/>
      <c r="AD993" s="1111"/>
      <c r="AE993" s="1111"/>
      <c r="AF993" s="1111"/>
      <c r="AG993" s="1111"/>
    </row>
    <row r="994" spans="1:33" s="1295" customFormat="1">
      <c r="A994" s="1264"/>
      <c r="D994" s="1118"/>
      <c r="E994" s="1264"/>
      <c r="F994" s="1118"/>
      <c r="G994" s="1118"/>
      <c r="H994" s="1118"/>
      <c r="I994" s="1118"/>
      <c r="J994" s="1118"/>
      <c r="K994" s="1118"/>
      <c r="L994" s="1118"/>
      <c r="M994" s="1118"/>
      <c r="N994" s="1118"/>
      <c r="O994" s="1118"/>
      <c r="P994" s="1118"/>
      <c r="Q994" s="1111"/>
      <c r="R994" s="1111"/>
      <c r="S994" s="1111"/>
      <c r="T994" s="1111"/>
      <c r="U994" s="1111"/>
      <c r="V994" s="1111"/>
      <c r="W994" s="1111"/>
      <c r="X994" s="1111"/>
      <c r="Y994" s="1111"/>
      <c r="Z994" s="1111"/>
      <c r="AA994" s="1111"/>
      <c r="AB994" s="1111"/>
      <c r="AC994" s="1111"/>
      <c r="AD994" s="1111"/>
      <c r="AE994" s="1111"/>
      <c r="AF994" s="1111"/>
      <c r="AG994" s="1111"/>
    </row>
    <row r="995" spans="1:33" s="1295" customFormat="1">
      <c r="A995" s="1264"/>
      <c r="D995" s="1118"/>
      <c r="E995" s="1264"/>
      <c r="F995" s="1118"/>
      <c r="G995" s="1118"/>
      <c r="H995" s="1118"/>
      <c r="I995" s="1118"/>
      <c r="J995" s="1118"/>
      <c r="K995" s="1118"/>
      <c r="L995" s="1118"/>
      <c r="M995" s="1118"/>
      <c r="N995" s="1118"/>
      <c r="O995" s="1118"/>
      <c r="P995" s="1118"/>
      <c r="Q995" s="1111"/>
      <c r="R995" s="1111"/>
      <c r="S995" s="1111"/>
      <c r="T995" s="1111"/>
      <c r="U995" s="1111"/>
      <c r="V995" s="1111"/>
      <c r="W995" s="1111"/>
      <c r="X995" s="1111"/>
      <c r="Y995" s="1111"/>
      <c r="Z995" s="1111"/>
      <c r="AA995" s="1111"/>
      <c r="AB995" s="1111"/>
      <c r="AC995" s="1111"/>
      <c r="AD995" s="1111"/>
      <c r="AE995" s="1111"/>
      <c r="AF995" s="1111"/>
      <c r="AG995" s="1111"/>
    </row>
    <row r="996" spans="1:33" s="1295" customFormat="1">
      <c r="A996" s="1264"/>
      <c r="D996" s="1118"/>
      <c r="E996" s="1264"/>
      <c r="F996" s="1118"/>
      <c r="G996" s="1118"/>
      <c r="H996" s="1118"/>
      <c r="I996" s="1118"/>
      <c r="J996" s="1118"/>
      <c r="K996" s="1118"/>
      <c r="L996" s="1118"/>
      <c r="M996" s="1118"/>
      <c r="N996" s="1118"/>
      <c r="O996" s="1118"/>
      <c r="P996" s="1118"/>
      <c r="Q996" s="1111"/>
      <c r="R996" s="1111"/>
      <c r="S996" s="1111"/>
      <c r="T996" s="1111"/>
      <c r="U996" s="1111"/>
      <c r="V996" s="1111"/>
      <c r="W996" s="1111"/>
      <c r="X996" s="1111"/>
      <c r="Y996" s="1111"/>
      <c r="Z996" s="1111"/>
      <c r="AA996" s="1111"/>
      <c r="AB996" s="1111"/>
      <c r="AC996" s="1111"/>
      <c r="AD996" s="1111"/>
      <c r="AE996" s="1111"/>
      <c r="AF996" s="1111"/>
      <c r="AG996" s="1111"/>
    </row>
    <row r="997" spans="1:33" s="1295" customFormat="1">
      <c r="A997" s="1264"/>
      <c r="D997" s="1118"/>
      <c r="E997" s="1264"/>
      <c r="F997" s="1118"/>
      <c r="G997" s="1118"/>
      <c r="H997" s="1118"/>
      <c r="I997" s="1118"/>
      <c r="J997" s="1118"/>
      <c r="K997" s="1118"/>
      <c r="L997" s="1118"/>
      <c r="M997" s="1118"/>
      <c r="N997" s="1118"/>
      <c r="O997" s="1118"/>
      <c r="P997" s="1118"/>
      <c r="Q997" s="1111"/>
      <c r="R997" s="1111"/>
      <c r="S997" s="1111"/>
      <c r="T997" s="1111"/>
      <c r="U997" s="1111"/>
      <c r="V997" s="1111"/>
      <c r="W997" s="1111"/>
      <c r="X997" s="1111"/>
      <c r="Y997" s="1111"/>
      <c r="Z997" s="1111"/>
      <c r="AA997" s="1111"/>
      <c r="AB997" s="1111"/>
      <c r="AC997" s="1111"/>
      <c r="AD997" s="1111"/>
      <c r="AE997" s="1111"/>
      <c r="AF997" s="1111"/>
      <c r="AG997" s="1111"/>
    </row>
    <row r="998" spans="1:33" s="1295" customFormat="1">
      <c r="A998" s="1264"/>
      <c r="D998" s="1118"/>
      <c r="E998" s="1264"/>
      <c r="F998" s="1118"/>
      <c r="G998" s="1118"/>
      <c r="H998" s="1118"/>
      <c r="I998" s="1118"/>
      <c r="J998" s="1118"/>
      <c r="K998" s="1118"/>
      <c r="L998" s="1118"/>
      <c r="M998" s="1118"/>
      <c r="N998" s="1118"/>
      <c r="O998" s="1118"/>
      <c r="P998" s="1118"/>
      <c r="Q998" s="1111"/>
      <c r="R998" s="1111"/>
      <c r="S998" s="1111"/>
      <c r="T998" s="1111"/>
      <c r="U998" s="1111"/>
      <c r="V998" s="1111"/>
      <c r="W998" s="1111"/>
      <c r="X998" s="1111"/>
      <c r="Y998" s="1111"/>
      <c r="Z998" s="1111"/>
      <c r="AA998" s="1111"/>
      <c r="AB998" s="1111"/>
      <c r="AC998" s="1111"/>
      <c r="AD998" s="1111"/>
      <c r="AE998" s="1111"/>
      <c r="AF998" s="1111"/>
      <c r="AG998" s="1111"/>
    </row>
    <row r="999" spans="1:33" s="1295" customFormat="1">
      <c r="A999" s="1264"/>
      <c r="D999" s="1118"/>
      <c r="E999" s="1264"/>
      <c r="F999" s="1118"/>
      <c r="G999" s="1118"/>
      <c r="H999" s="1118"/>
      <c r="I999" s="1118"/>
      <c r="J999" s="1118"/>
      <c r="K999" s="1118"/>
      <c r="L999" s="1118"/>
      <c r="M999" s="1118"/>
      <c r="N999" s="1118"/>
      <c r="O999" s="1118"/>
      <c r="P999" s="1118"/>
      <c r="Q999" s="1111"/>
      <c r="R999" s="1111"/>
      <c r="S999" s="1111"/>
      <c r="T999" s="1111"/>
      <c r="U999" s="1111"/>
      <c r="V999" s="1111"/>
      <c r="W999" s="1111"/>
      <c r="X999" s="1111"/>
      <c r="Y999" s="1111"/>
      <c r="Z999" s="1111"/>
      <c r="AA999" s="1111"/>
      <c r="AB999" s="1111"/>
      <c r="AC999" s="1111"/>
      <c r="AD999" s="1111"/>
      <c r="AE999" s="1111"/>
      <c r="AF999" s="1111"/>
      <c r="AG999" s="1111"/>
    </row>
    <row r="1000" spans="1:33" s="1295" customFormat="1">
      <c r="A1000" s="1264"/>
      <c r="D1000" s="1118"/>
      <c r="E1000" s="1264"/>
      <c r="F1000" s="1118"/>
      <c r="G1000" s="1118"/>
      <c r="H1000" s="1118"/>
      <c r="I1000" s="1118"/>
      <c r="J1000" s="1118"/>
      <c r="K1000" s="1118"/>
      <c r="L1000" s="1118"/>
      <c r="M1000" s="1118"/>
      <c r="N1000" s="1118"/>
      <c r="O1000" s="1118"/>
      <c r="P1000" s="1118"/>
      <c r="Q1000" s="1111"/>
      <c r="R1000" s="1111"/>
      <c r="S1000" s="1111"/>
      <c r="T1000" s="1111"/>
      <c r="U1000" s="1111"/>
      <c r="V1000" s="1111"/>
      <c r="W1000" s="1111"/>
      <c r="X1000" s="1111"/>
      <c r="Y1000" s="1111"/>
      <c r="Z1000" s="1111"/>
      <c r="AA1000" s="1111"/>
      <c r="AB1000" s="1111"/>
      <c r="AC1000" s="1111"/>
      <c r="AD1000" s="1111"/>
      <c r="AE1000" s="1111"/>
      <c r="AF1000" s="1111"/>
      <c r="AG1000" s="1111"/>
    </row>
    <row r="1001" spans="1:33" s="1295" customFormat="1">
      <c r="A1001" s="1264"/>
      <c r="D1001" s="1118"/>
      <c r="E1001" s="1264"/>
      <c r="F1001" s="1118"/>
      <c r="G1001" s="1118"/>
      <c r="H1001" s="1118"/>
      <c r="I1001" s="1118"/>
      <c r="J1001" s="1118"/>
      <c r="K1001" s="1118"/>
      <c r="L1001" s="1118"/>
      <c r="M1001" s="1118"/>
      <c r="N1001" s="1118"/>
      <c r="O1001" s="1118"/>
      <c r="P1001" s="1118"/>
      <c r="Q1001" s="1111"/>
      <c r="R1001" s="1111"/>
      <c r="S1001" s="1111"/>
      <c r="T1001" s="1111"/>
      <c r="U1001" s="1111"/>
      <c r="V1001" s="1111"/>
      <c r="W1001" s="1111"/>
      <c r="X1001" s="1111"/>
      <c r="Y1001" s="1111"/>
      <c r="Z1001" s="1111"/>
      <c r="AA1001" s="1111"/>
      <c r="AB1001" s="1111"/>
      <c r="AC1001" s="1111"/>
      <c r="AD1001" s="1111"/>
      <c r="AE1001" s="1111"/>
      <c r="AF1001" s="1111"/>
      <c r="AG1001" s="1111"/>
    </row>
    <row r="1002" spans="1:33" s="1295" customFormat="1">
      <c r="A1002" s="1264"/>
      <c r="D1002" s="1118"/>
      <c r="E1002" s="1264"/>
      <c r="F1002" s="1118"/>
      <c r="G1002" s="1118"/>
      <c r="H1002" s="1118"/>
      <c r="I1002" s="1118"/>
      <c r="J1002" s="1118"/>
      <c r="K1002" s="1118"/>
      <c r="L1002" s="1118"/>
      <c r="M1002" s="1118"/>
      <c r="N1002" s="1118"/>
      <c r="O1002" s="1118"/>
      <c r="P1002" s="1118"/>
      <c r="Q1002" s="1111"/>
      <c r="R1002" s="1111"/>
      <c r="S1002" s="1111"/>
      <c r="T1002" s="1111"/>
      <c r="U1002" s="1111"/>
      <c r="V1002" s="1111"/>
      <c r="W1002" s="1111"/>
      <c r="X1002" s="1111"/>
      <c r="Y1002" s="1111"/>
      <c r="Z1002" s="1111"/>
      <c r="AA1002" s="1111"/>
      <c r="AB1002" s="1111"/>
      <c r="AC1002" s="1111"/>
      <c r="AD1002" s="1111"/>
      <c r="AE1002" s="1111"/>
      <c r="AF1002" s="1111"/>
      <c r="AG1002" s="1111"/>
    </row>
    <row r="1003" spans="1:33" s="1295" customFormat="1">
      <c r="A1003" s="1264"/>
      <c r="D1003" s="1118"/>
      <c r="E1003" s="1264"/>
      <c r="F1003" s="1118"/>
      <c r="G1003" s="1118"/>
      <c r="H1003" s="1118"/>
      <c r="I1003" s="1118"/>
      <c r="J1003" s="1118"/>
      <c r="K1003" s="1118"/>
      <c r="L1003" s="1118"/>
      <c r="M1003" s="1118"/>
      <c r="N1003" s="1118"/>
      <c r="O1003" s="1118"/>
      <c r="P1003" s="1118"/>
      <c r="Q1003" s="1111"/>
      <c r="R1003" s="1111"/>
      <c r="S1003" s="1111"/>
      <c r="T1003" s="1111"/>
      <c r="U1003" s="1111"/>
      <c r="V1003" s="1111"/>
      <c r="W1003" s="1111"/>
      <c r="X1003" s="1111"/>
      <c r="Y1003" s="1111"/>
      <c r="Z1003" s="1111"/>
      <c r="AA1003" s="1111"/>
      <c r="AB1003" s="1111"/>
      <c r="AC1003" s="1111"/>
      <c r="AD1003" s="1111"/>
      <c r="AE1003" s="1111"/>
      <c r="AF1003" s="1111"/>
      <c r="AG1003" s="1111"/>
    </row>
    <row r="1004" spans="1:33" s="1295" customFormat="1">
      <c r="A1004" s="1264"/>
      <c r="D1004" s="1118"/>
      <c r="E1004" s="1264"/>
      <c r="F1004" s="1118"/>
      <c r="G1004" s="1118"/>
      <c r="H1004" s="1118"/>
      <c r="I1004" s="1118"/>
      <c r="J1004" s="1118"/>
      <c r="K1004" s="1118"/>
      <c r="L1004" s="1118"/>
      <c r="M1004" s="1118"/>
      <c r="N1004" s="1118"/>
      <c r="O1004" s="1118"/>
      <c r="P1004" s="1118"/>
      <c r="Q1004" s="1111"/>
      <c r="R1004" s="1111"/>
      <c r="S1004" s="1111"/>
      <c r="T1004" s="1111"/>
      <c r="U1004" s="1111"/>
      <c r="V1004" s="1111"/>
      <c r="W1004" s="1111"/>
      <c r="X1004" s="1111"/>
      <c r="Y1004" s="1111"/>
      <c r="Z1004" s="1111"/>
      <c r="AA1004" s="1111"/>
      <c r="AB1004" s="1111"/>
      <c r="AC1004" s="1111"/>
      <c r="AD1004" s="1111"/>
      <c r="AE1004" s="1111"/>
      <c r="AF1004" s="1111"/>
      <c r="AG1004" s="1111"/>
    </row>
    <row r="1005" spans="1:33" s="1295" customFormat="1">
      <c r="A1005" s="1264"/>
      <c r="D1005" s="1118"/>
      <c r="E1005" s="1264"/>
      <c r="F1005" s="1118"/>
      <c r="G1005" s="1118"/>
      <c r="H1005" s="1118"/>
      <c r="I1005" s="1118"/>
      <c r="J1005" s="1118"/>
      <c r="K1005" s="1118"/>
      <c r="L1005" s="1118"/>
      <c r="M1005" s="1118"/>
      <c r="N1005" s="1118"/>
      <c r="O1005" s="1118"/>
      <c r="P1005" s="1118"/>
      <c r="Q1005" s="1111"/>
      <c r="R1005" s="1111"/>
      <c r="S1005" s="1111"/>
      <c r="T1005" s="1111"/>
      <c r="U1005" s="1111"/>
      <c r="V1005" s="1111"/>
      <c r="W1005" s="1111"/>
      <c r="X1005" s="1111"/>
      <c r="Y1005" s="1111"/>
      <c r="Z1005" s="1111"/>
      <c r="AA1005" s="1111"/>
      <c r="AB1005" s="1111"/>
      <c r="AC1005" s="1111"/>
      <c r="AD1005" s="1111"/>
      <c r="AE1005" s="1111"/>
      <c r="AF1005" s="1111"/>
      <c r="AG1005" s="1111"/>
    </row>
    <row r="1006" spans="1:33" s="1295" customFormat="1">
      <c r="A1006" s="1264"/>
      <c r="D1006" s="1118"/>
      <c r="E1006" s="1264"/>
      <c r="F1006" s="1118"/>
      <c r="G1006" s="1118"/>
      <c r="H1006" s="1118"/>
      <c r="I1006" s="1118"/>
      <c r="J1006" s="1118"/>
      <c r="K1006" s="1118"/>
      <c r="L1006" s="1118"/>
      <c r="M1006" s="1118"/>
      <c r="N1006" s="1118"/>
      <c r="O1006" s="1118"/>
      <c r="P1006" s="1118"/>
      <c r="Q1006" s="1111"/>
      <c r="R1006" s="1111"/>
      <c r="S1006" s="1111"/>
      <c r="T1006" s="1111"/>
      <c r="U1006" s="1111"/>
      <c r="V1006" s="1111"/>
      <c r="W1006" s="1111"/>
      <c r="X1006" s="1111"/>
      <c r="Y1006" s="1111"/>
      <c r="Z1006" s="1111"/>
      <c r="AA1006" s="1111"/>
      <c r="AB1006" s="1111"/>
      <c r="AC1006" s="1111"/>
      <c r="AD1006" s="1111"/>
      <c r="AE1006" s="1111"/>
      <c r="AF1006" s="1111"/>
      <c r="AG1006" s="1111"/>
    </row>
    <row r="1007" spans="1:33" s="1295" customFormat="1">
      <c r="A1007" s="1264"/>
      <c r="D1007" s="1118"/>
      <c r="E1007" s="1264"/>
      <c r="F1007" s="1118"/>
      <c r="G1007" s="1118"/>
      <c r="H1007" s="1118"/>
      <c r="I1007" s="1118"/>
      <c r="J1007" s="1118"/>
      <c r="K1007" s="1118"/>
      <c r="L1007" s="1118"/>
      <c r="M1007" s="1118"/>
      <c r="N1007" s="1118"/>
      <c r="O1007" s="1118"/>
      <c r="P1007" s="1118"/>
      <c r="Q1007" s="1111"/>
      <c r="R1007" s="1111"/>
      <c r="S1007" s="1111"/>
      <c r="T1007" s="1111"/>
      <c r="U1007" s="1111"/>
      <c r="V1007" s="1111"/>
      <c r="W1007" s="1111"/>
      <c r="X1007" s="1111"/>
      <c r="Y1007" s="1111"/>
      <c r="Z1007" s="1111"/>
      <c r="AA1007" s="1111"/>
      <c r="AB1007" s="1111"/>
      <c r="AC1007" s="1111"/>
      <c r="AD1007" s="1111"/>
      <c r="AE1007" s="1111"/>
      <c r="AF1007" s="1111"/>
      <c r="AG1007" s="1111"/>
    </row>
    <row r="1008" spans="1:33" s="1295" customFormat="1">
      <c r="A1008" s="1264"/>
      <c r="D1008" s="1118"/>
      <c r="E1008" s="1264"/>
      <c r="F1008" s="1118"/>
      <c r="G1008" s="1118"/>
      <c r="H1008" s="1118"/>
      <c r="I1008" s="1118"/>
      <c r="J1008" s="1118"/>
      <c r="K1008" s="1118"/>
      <c r="L1008" s="1118"/>
      <c r="M1008" s="1118"/>
      <c r="N1008" s="1118"/>
      <c r="O1008" s="1118"/>
      <c r="P1008" s="1118"/>
      <c r="Q1008" s="1111"/>
      <c r="R1008" s="1111"/>
      <c r="S1008" s="1111"/>
      <c r="T1008" s="1111"/>
      <c r="U1008" s="1111"/>
      <c r="V1008" s="1111"/>
      <c r="W1008" s="1111"/>
      <c r="X1008" s="1111"/>
      <c r="Y1008" s="1111"/>
      <c r="Z1008" s="1111"/>
      <c r="AA1008" s="1111"/>
      <c r="AB1008" s="1111"/>
      <c r="AC1008" s="1111"/>
      <c r="AD1008" s="1111"/>
      <c r="AE1008" s="1111"/>
      <c r="AF1008" s="1111"/>
      <c r="AG1008" s="1111"/>
    </row>
    <row r="1009" spans="1:33" s="1295" customFormat="1">
      <c r="A1009" s="1264"/>
      <c r="D1009" s="1118"/>
      <c r="E1009" s="1264"/>
      <c r="F1009" s="1118"/>
      <c r="G1009" s="1118"/>
      <c r="H1009" s="1118"/>
      <c r="I1009" s="1118"/>
      <c r="J1009" s="1118"/>
      <c r="K1009" s="1118"/>
      <c r="L1009" s="1118"/>
      <c r="M1009" s="1118"/>
      <c r="N1009" s="1118"/>
      <c r="O1009" s="1118"/>
      <c r="P1009" s="1118"/>
      <c r="Q1009" s="1111"/>
      <c r="R1009" s="1111"/>
      <c r="S1009" s="1111"/>
      <c r="T1009" s="1111"/>
      <c r="U1009" s="1111"/>
      <c r="V1009" s="1111"/>
      <c r="W1009" s="1111"/>
      <c r="X1009" s="1111"/>
      <c r="Y1009" s="1111"/>
      <c r="Z1009" s="1111"/>
      <c r="AA1009" s="1111"/>
      <c r="AB1009" s="1111"/>
      <c r="AC1009" s="1111"/>
      <c r="AD1009" s="1111"/>
      <c r="AE1009" s="1111"/>
      <c r="AF1009" s="1111"/>
      <c r="AG1009" s="1111"/>
    </row>
    <row r="1010" spans="1:33" s="1295" customFormat="1">
      <c r="A1010" s="1264"/>
      <c r="D1010" s="1118"/>
      <c r="E1010" s="1264"/>
      <c r="F1010" s="1118"/>
      <c r="G1010" s="1118"/>
      <c r="H1010" s="1118"/>
      <c r="I1010" s="1118"/>
      <c r="J1010" s="1118"/>
      <c r="K1010" s="1118"/>
      <c r="L1010" s="1118"/>
      <c r="M1010" s="1118"/>
      <c r="N1010" s="1118"/>
      <c r="O1010" s="1118"/>
      <c r="P1010" s="1118"/>
      <c r="Q1010" s="1111"/>
      <c r="R1010" s="1111"/>
      <c r="S1010" s="1111"/>
      <c r="T1010" s="1111"/>
      <c r="U1010" s="1111"/>
      <c r="V1010" s="1111"/>
      <c r="W1010" s="1111"/>
      <c r="X1010" s="1111"/>
      <c r="Y1010" s="1111"/>
      <c r="Z1010" s="1111"/>
      <c r="AA1010" s="1111"/>
      <c r="AB1010" s="1111"/>
      <c r="AC1010" s="1111"/>
      <c r="AD1010" s="1111"/>
      <c r="AE1010" s="1111"/>
      <c r="AF1010" s="1111"/>
      <c r="AG1010" s="1111"/>
    </row>
    <row r="1011" spans="1:33" s="1295" customFormat="1">
      <c r="A1011" s="1264"/>
      <c r="D1011" s="1118"/>
      <c r="E1011" s="1264"/>
      <c r="F1011" s="1118"/>
      <c r="G1011" s="1118"/>
      <c r="H1011" s="1118"/>
      <c r="I1011" s="1118"/>
      <c r="J1011" s="1118"/>
      <c r="K1011" s="1118"/>
      <c r="L1011" s="1118"/>
      <c r="M1011" s="1118"/>
      <c r="N1011" s="1118"/>
      <c r="O1011" s="1118"/>
      <c r="P1011" s="1118"/>
      <c r="Q1011" s="1111"/>
      <c r="R1011" s="1111"/>
      <c r="S1011" s="1111"/>
      <c r="T1011" s="1111"/>
      <c r="U1011" s="1111"/>
      <c r="V1011" s="1111"/>
      <c r="W1011" s="1111"/>
      <c r="X1011" s="1111"/>
      <c r="Y1011" s="1111"/>
      <c r="Z1011" s="1111"/>
      <c r="AA1011" s="1111"/>
      <c r="AB1011" s="1111"/>
      <c r="AC1011" s="1111"/>
      <c r="AD1011" s="1111"/>
      <c r="AE1011" s="1111"/>
      <c r="AF1011" s="1111"/>
      <c r="AG1011" s="1111"/>
    </row>
    <row r="1012" spans="1:33" s="1295" customFormat="1">
      <c r="A1012" s="1264"/>
      <c r="D1012" s="1118"/>
      <c r="E1012" s="1264"/>
      <c r="F1012" s="1118"/>
      <c r="G1012" s="1118"/>
      <c r="H1012" s="1118"/>
      <c r="I1012" s="1118"/>
      <c r="J1012" s="1118"/>
      <c r="K1012" s="1118"/>
      <c r="L1012" s="1118"/>
      <c r="M1012" s="1118"/>
      <c r="N1012" s="1118"/>
      <c r="O1012" s="1118"/>
      <c r="P1012" s="1118"/>
      <c r="Q1012" s="1111"/>
      <c r="R1012" s="1111"/>
      <c r="S1012" s="1111"/>
      <c r="T1012" s="1111"/>
      <c r="U1012" s="1111"/>
      <c r="V1012" s="1111"/>
      <c r="W1012" s="1111"/>
      <c r="X1012" s="1111"/>
      <c r="Y1012" s="1111"/>
      <c r="Z1012" s="1111"/>
      <c r="AA1012" s="1111"/>
      <c r="AB1012" s="1111"/>
      <c r="AC1012" s="1111"/>
      <c r="AD1012" s="1111"/>
      <c r="AE1012" s="1111"/>
      <c r="AF1012" s="1111"/>
      <c r="AG1012" s="1111"/>
    </row>
    <row r="1013" spans="1:33" s="1295" customFormat="1">
      <c r="A1013" s="1264"/>
      <c r="D1013" s="1118"/>
      <c r="E1013" s="1264"/>
      <c r="F1013" s="1118"/>
      <c r="G1013" s="1118"/>
      <c r="H1013" s="1118"/>
      <c r="I1013" s="1118"/>
      <c r="J1013" s="1118"/>
      <c r="K1013" s="1118"/>
      <c r="L1013" s="1118"/>
      <c r="M1013" s="1118"/>
      <c r="N1013" s="1118"/>
      <c r="O1013" s="1118"/>
      <c r="P1013" s="1118"/>
      <c r="Q1013" s="1111"/>
      <c r="R1013" s="1111"/>
      <c r="S1013" s="1111"/>
      <c r="T1013" s="1111"/>
      <c r="U1013" s="1111"/>
      <c r="V1013" s="1111"/>
      <c r="W1013" s="1111"/>
      <c r="X1013" s="1111"/>
      <c r="Y1013" s="1111"/>
      <c r="Z1013" s="1111"/>
      <c r="AA1013" s="1111"/>
      <c r="AB1013" s="1111"/>
      <c r="AC1013" s="1111"/>
      <c r="AD1013" s="1111"/>
      <c r="AE1013" s="1111"/>
      <c r="AF1013" s="1111"/>
      <c r="AG1013" s="1111"/>
    </row>
    <row r="1014" spans="1:33" s="1295" customFormat="1">
      <c r="A1014" s="1264"/>
      <c r="D1014" s="1118"/>
      <c r="E1014" s="1264"/>
      <c r="F1014" s="1118"/>
      <c r="G1014" s="1118"/>
      <c r="H1014" s="1118"/>
      <c r="I1014" s="1118"/>
      <c r="J1014" s="1118"/>
      <c r="K1014" s="1118"/>
      <c r="L1014" s="1118"/>
      <c r="M1014" s="1118"/>
      <c r="N1014" s="1118"/>
      <c r="O1014" s="1118"/>
      <c r="P1014" s="1118"/>
      <c r="Q1014" s="1111"/>
      <c r="R1014" s="1111"/>
      <c r="S1014" s="1111"/>
      <c r="T1014" s="1111"/>
      <c r="U1014" s="1111"/>
      <c r="V1014" s="1111"/>
      <c r="W1014" s="1111"/>
      <c r="X1014" s="1111"/>
      <c r="Y1014" s="1111"/>
      <c r="Z1014" s="1111"/>
      <c r="AA1014" s="1111"/>
      <c r="AB1014" s="1111"/>
      <c r="AC1014" s="1111"/>
      <c r="AD1014" s="1111"/>
      <c r="AE1014" s="1111"/>
      <c r="AF1014" s="1111"/>
      <c r="AG1014" s="1111"/>
    </row>
    <row r="1015" spans="1:33" s="1295" customFormat="1">
      <c r="A1015" s="1264"/>
      <c r="D1015" s="1118"/>
      <c r="E1015" s="1264"/>
      <c r="F1015" s="1118"/>
      <c r="G1015" s="1118"/>
      <c r="H1015" s="1118"/>
      <c r="I1015" s="1118"/>
      <c r="J1015" s="1118"/>
      <c r="K1015" s="1118"/>
      <c r="L1015" s="1118"/>
      <c r="M1015" s="1118"/>
      <c r="N1015" s="1118"/>
      <c r="O1015" s="1118"/>
      <c r="P1015" s="1118"/>
      <c r="Q1015" s="1111"/>
      <c r="R1015" s="1111"/>
      <c r="S1015" s="1111"/>
      <c r="T1015" s="1111"/>
      <c r="U1015" s="1111"/>
      <c r="V1015" s="1111"/>
      <c r="W1015" s="1111"/>
      <c r="X1015" s="1111"/>
      <c r="Y1015" s="1111"/>
      <c r="Z1015" s="1111"/>
      <c r="AA1015" s="1111"/>
      <c r="AB1015" s="1111"/>
      <c r="AC1015" s="1111"/>
      <c r="AD1015" s="1111"/>
      <c r="AE1015" s="1111"/>
      <c r="AF1015" s="1111"/>
      <c r="AG1015" s="1111"/>
    </row>
    <row r="1016" spans="1:33" s="1295" customFormat="1">
      <c r="A1016" s="1264"/>
      <c r="D1016" s="1118"/>
      <c r="E1016" s="1264"/>
      <c r="F1016" s="1118"/>
      <c r="G1016" s="1118"/>
      <c r="H1016" s="1118"/>
      <c r="I1016" s="1118"/>
      <c r="J1016" s="1118"/>
      <c r="K1016" s="1118"/>
      <c r="L1016" s="1118"/>
      <c r="M1016" s="1118"/>
      <c r="N1016" s="1118"/>
      <c r="O1016" s="1118"/>
      <c r="P1016" s="1118"/>
      <c r="Q1016" s="1111"/>
      <c r="R1016" s="1111"/>
      <c r="S1016" s="1111"/>
      <c r="T1016" s="1111"/>
      <c r="U1016" s="1111"/>
      <c r="V1016" s="1111"/>
      <c r="W1016" s="1111"/>
      <c r="X1016" s="1111"/>
      <c r="Y1016" s="1111"/>
      <c r="Z1016" s="1111"/>
      <c r="AA1016" s="1111"/>
      <c r="AB1016" s="1111"/>
      <c r="AC1016" s="1111"/>
      <c r="AD1016" s="1111"/>
      <c r="AE1016" s="1111"/>
      <c r="AF1016" s="1111"/>
      <c r="AG1016" s="1111"/>
    </row>
    <row r="1017" spans="1:33" s="1295" customFormat="1">
      <c r="A1017" s="1264"/>
      <c r="D1017" s="1118"/>
      <c r="E1017" s="1264"/>
      <c r="F1017" s="1118"/>
      <c r="G1017" s="1118"/>
      <c r="H1017" s="1118"/>
      <c r="I1017" s="1118"/>
      <c r="J1017" s="1118"/>
      <c r="K1017" s="1118"/>
      <c r="L1017" s="1118"/>
      <c r="M1017" s="1118"/>
      <c r="N1017" s="1118"/>
      <c r="O1017" s="1118"/>
      <c r="P1017" s="1118"/>
      <c r="Q1017" s="1111"/>
      <c r="R1017" s="1111"/>
      <c r="S1017" s="1111"/>
      <c r="T1017" s="1111"/>
      <c r="U1017" s="1111"/>
      <c r="V1017" s="1111"/>
      <c r="W1017" s="1111"/>
      <c r="X1017" s="1111"/>
      <c r="Y1017" s="1111"/>
      <c r="Z1017" s="1111"/>
      <c r="AA1017" s="1111"/>
      <c r="AB1017" s="1111"/>
      <c r="AC1017" s="1111"/>
      <c r="AD1017" s="1111"/>
      <c r="AE1017" s="1111"/>
      <c r="AF1017" s="1111"/>
      <c r="AG1017" s="1111"/>
    </row>
    <row r="1018" spans="1:33" s="1295" customFormat="1">
      <c r="A1018" s="1264"/>
      <c r="D1018" s="1118"/>
      <c r="E1018" s="1264"/>
      <c r="F1018" s="1118"/>
      <c r="G1018" s="1118"/>
      <c r="H1018" s="1118"/>
      <c r="I1018" s="1118"/>
      <c r="J1018" s="1118"/>
      <c r="K1018" s="1118"/>
      <c r="L1018" s="1118"/>
      <c r="M1018" s="1118"/>
      <c r="N1018" s="1118"/>
      <c r="O1018" s="1118"/>
      <c r="P1018" s="1118"/>
      <c r="Q1018" s="1111"/>
      <c r="R1018" s="1111"/>
      <c r="S1018" s="1111"/>
      <c r="T1018" s="1111"/>
      <c r="U1018" s="1111"/>
      <c r="V1018" s="1111"/>
      <c r="W1018" s="1111"/>
      <c r="X1018" s="1111"/>
      <c r="Y1018" s="1111"/>
      <c r="Z1018" s="1111"/>
      <c r="AA1018" s="1111"/>
      <c r="AB1018" s="1111"/>
      <c r="AC1018" s="1111"/>
      <c r="AD1018" s="1111"/>
      <c r="AE1018" s="1111"/>
      <c r="AF1018" s="1111"/>
      <c r="AG1018" s="1111"/>
    </row>
    <row r="1019" spans="1:33" s="1295" customFormat="1">
      <c r="A1019" s="1264"/>
      <c r="D1019" s="1118"/>
      <c r="E1019" s="1264"/>
      <c r="F1019" s="1118"/>
      <c r="G1019" s="1118"/>
      <c r="H1019" s="1118"/>
      <c r="I1019" s="1118"/>
      <c r="J1019" s="1118"/>
      <c r="K1019" s="1118"/>
      <c r="L1019" s="1118"/>
      <c r="M1019" s="1118"/>
      <c r="N1019" s="1118"/>
      <c r="O1019" s="1118"/>
      <c r="P1019" s="1118"/>
      <c r="Q1019" s="1111"/>
      <c r="R1019" s="1111"/>
      <c r="S1019" s="1111"/>
      <c r="T1019" s="1111"/>
      <c r="U1019" s="1111"/>
      <c r="V1019" s="1111"/>
      <c r="W1019" s="1111"/>
      <c r="X1019" s="1111"/>
      <c r="Y1019" s="1111"/>
      <c r="Z1019" s="1111"/>
      <c r="AA1019" s="1111"/>
      <c r="AB1019" s="1111"/>
      <c r="AC1019" s="1111"/>
      <c r="AD1019" s="1111"/>
      <c r="AE1019" s="1111"/>
      <c r="AF1019" s="1111"/>
      <c r="AG1019" s="1111"/>
    </row>
    <row r="1020" spans="1:33" s="1295" customFormat="1">
      <c r="A1020" s="1264"/>
      <c r="D1020" s="1118"/>
      <c r="E1020" s="1264"/>
      <c r="F1020" s="1118"/>
      <c r="G1020" s="1118"/>
      <c r="H1020" s="1118"/>
      <c r="I1020" s="1118"/>
      <c r="J1020" s="1118"/>
      <c r="K1020" s="1118"/>
      <c r="L1020" s="1118"/>
      <c r="M1020" s="1118"/>
      <c r="N1020" s="1118"/>
      <c r="O1020" s="1118"/>
      <c r="P1020" s="1118"/>
      <c r="Q1020" s="1111"/>
      <c r="R1020" s="1111"/>
      <c r="S1020" s="1111"/>
      <c r="T1020" s="1111"/>
      <c r="U1020" s="1111"/>
      <c r="V1020" s="1111"/>
      <c r="W1020" s="1111"/>
      <c r="X1020" s="1111"/>
      <c r="Y1020" s="1111"/>
      <c r="Z1020" s="1111"/>
      <c r="AA1020" s="1111"/>
      <c r="AB1020" s="1111"/>
      <c r="AC1020" s="1111"/>
      <c r="AD1020" s="1111"/>
      <c r="AE1020" s="1111"/>
      <c r="AF1020" s="1111"/>
      <c r="AG1020" s="1111"/>
    </row>
    <row r="1021" spans="1:33" s="1295" customFormat="1">
      <c r="A1021" s="1264"/>
      <c r="D1021" s="1118"/>
      <c r="E1021" s="1264"/>
      <c r="F1021" s="1118"/>
      <c r="G1021" s="1118"/>
      <c r="H1021" s="1118"/>
      <c r="I1021" s="1118"/>
      <c r="J1021" s="1118"/>
      <c r="K1021" s="1118"/>
      <c r="L1021" s="1118"/>
      <c r="M1021" s="1118"/>
      <c r="N1021" s="1118"/>
      <c r="O1021" s="1118"/>
      <c r="P1021" s="1118"/>
      <c r="Q1021" s="1111"/>
      <c r="R1021" s="1111"/>
      <c r="S1021" s="1111"/>
      <c r="T1021" s="1111"/>
      <c r="U1021" s="1111"/>
      <c r="V1021" s="1111"/>
      <c r="W1021" s="1111"/>
      <c r="X1021" s="1111"/>
      <c r="Y1021" s="1111"/>
      <c r="Z1021" s="1111"/>
      <c r="AA1021" s="1111"/>
      <c r="AB1021" s="1111"/>
      <c r="AC1021" s="1111"/>
      <c r="AD1021" s="1111"/>
      <c r="AE1021" s="1111"/>
      <c r="AF1021" s="1111"/>
      <c r="AG1021" s="1111"/>
    </row>
    <row r="1022" spans="1:33" s="1295" customFormat="1">
      <c r="A1022" s="1264"/>
      <c r="D1022" s="1118"/>
      <c r="E1022" s="1264"/>
      <c r="F1022" s="1118"/>
      <c r="G1022" s="1118"/>
      <c r="H1022" s="1118"/>
      <c r="I1022" s="1118"/>
      <c r="J1022" s="1118"/>
      <c r="K1022" s="1118"/>
      <c r="L1022" s="1118"/>
      <c r="M1022" s="1118"/>
      <c r="N1022" s="1118"/>
      <c r="O1022" s="1118"/>
      <c r="P1022" s="1118"/>
      <c r="Q1022" s="1111"/>
      <c r="R1022" s="1111"/>
      <c r="S1022" s="1111"/>
      <c r="T1022" s="1111"/>
      <c r="U1022" s="1111"/>
      <c r="V1022" s="1111"/>
      <c r="W1022" s="1111"/>
      <c r="X1022" s="1111"/>
      <c r="Y1022" s="1111"/>
      <c r="Z1022" s="1111"/>
      <c r="AA1022" s="1111"/>
      <c r="AB1022" s="1111"/>
      <c r="AC1022" s="1111"/>
      <c r="AD1022" s="1111"/>
      <c r="AE1022" s="1111"/>
      <c r="AF1022" s="1111"/>
      <c r="AG1022" s="1111"/>
    </row>
    <row r="1023" spans="1:33" s="1295" customFormat="1">
      <c r="A1023" s="1264"/>
      <c r="D1023" s="1118"/>
      <c r="E1023" s="1264"/>
      <c r="F1023" s="1118"/>
      <c r="G1023" s="1118"/>
      <c r="H1023" s="1118"/>
      <c r="I1023" s="1118"/>
      <c r="J1023" s="1118"/>
      <c r="K1023" s="1118"/>
      <c r="L1023" s="1118"/>
      <c r="M1023" s="1118"/>
      <c r="N1023" s="1118"/>
      <c r="O1023" s="1118"/>
      <c r="P1023" s="1118"/>
      <c r="Q1023" s="1111"/>
      <c r="R1023" s="1111"/>
      <c r="S1023" s="1111"/>
      <c r="T1023" s="1111"/>
      <c r="U1023" s="1111"/>
      <c r="V1023" s="1111"/>
      <c r="W1023" s="1111"/>
      <c r="X1023" s="1111"/>
      <c r="Y1023" s="1111"/>
      <c r="Z1023" s="1111"/>
      <c r="AA1023" s="1111"/>
      <c r="AB1023" s="1111"/>
      <c r="AC1023" s="1111"/>
      <c r="AD1023" s="1111"/>
      <c r="AE1023" s="1111"/>
      <c r="AF1023" s="1111"/>
      <c r="AG1023" s="1111"/>
    </row>
    <row r="1024" spans="1:33" s="1295" customFormat="1">
      <c r="A1024" s="1264"/>
      <c r="D1024" s="1118"/>
      <c r="E1024" s="1264"/>
      <c r="F1024" s="1118"/>
      <c r="G1024" s="1118"/>
      <c r="H1024" s="1118"/>
      <c r="I1024" s="1118"/>
      <c r="J1024" s="1118"/>
      <c r="K1024" s="1118"/>
      <c r="L1024" s="1118"/>
      <c r="M1024" s="1118"/>
      <c r="N1024" s="1118"/>
      <c r="O1024" s="1118"/>
      <c r="P1024" s="1118"/>
      <c r="Q1024" s="1111"/>
      <c r="R1024" s="1111"/>
      <c r="S1024" s="1111"/>
      <c r="T1024" s="1111"/>
      <c r="U1024" s="1111"/>
      <c r="V1024" s="1111"/>
      <c r="W1024" s="1111"/>
      <c r="X1024" s="1111"/>
      <c r="Y1024" s="1111"/>
      <c r="Z1024" s="1111"/>
      <c r="AA1024" s="1111"/>
      <c r="AB1024" s="1111"/>
      <c r="AC1024" s="1111"/>
      <c r="AD1024" s="1111"/>
      <c r="AE1024" s="1111"/>
      <c r="AF1024" s="1111"/>
      <c r="AG1024" s="1111"/>
    </row>
    <row r="1025" spans="1:33" s="1295" customFormat="1">
      <c r="A1025" s="1264"/>
      <c r="D1025" s="1118"/>
      <c r="E1025" s="1264"/>
      <c r="F1025" s="1118"/>
      <c r="G1025" s="1118"/>
      <c r="H1025" s="1118"/>
      <c r="I1025" s="1118"/>
      <c r="J1025" s="1118"/>
      <c r="K1025" s="1118"/>
      <c r="L1025" s="1118"/>
      <c r="M1025" s="1118"/>
      <c r="N1025" s="1118"/>
      <c r="O1025" s="1118"/>
      <c r="P1025" s="1118"/>
      <c r="Q1025" s="1111"/>
      <c r="R1025" s="1111"/>
      <c r="S1025" s="1111"/>
      <c r="T1025" s="1111"/>
      <c r="U1025" s="1111"/>
      <c r="V1025" s="1111"/>
      <c r="W1025" s="1111"/>
      <c r="X1025" s="1111"/>
      <c r="Y1025" s="1111"/>
      <c r="Z1025" s="1111"/>
      <c r="AA1025" s="1111"/>
      <c r="AB1025" s="1111"/>
      <c r="AC1025" s="1111"/>
      <c r="AD1025" s="1111"/>
      <c r="AE1025" s="1111"/>
      <c r="AF1025" s="1111"/>
      <c r="AG1025" s="1111"/>
    </row>
    <row r="1026" spans="1:33" s="1295" customFormat="1">
      <c r="A1026" s="1264"/>
      <c r="D1026" s="1118"/>
      <c r="E1026" s="1264"/>
      <c r="F1026" s="1118"/>
      <c r="G1026" s="1118"/>
      <c r="H1026" s="1118"/>
      <c r="I1026" s="1118"/>
      <c r="J1026" s="1118"/>
      <c r="K1026" s="1118"/>
      <c r="L1026" s="1118"/>
      <c r="M1026" s="1118"/>
      <c r="N1026" s="1118"/>
      <c r="O1026" s="1118"/>
      <c r="P1026" s="1118"/>
      <c r="Q1026" s="1111"/>
      <c r="R1026" s="1111"/>
      <c r="S1026" s="1111"/>
      <c r="T1026" s="1111"/>
      <c r="U1026" s="1111"/>
      <c r="V1026" s="1111"/>
      <c r="W1026" s="1111"/>
      <c r="X1026" s="1111"/>
      <c r="Y1026" s="1111"/>
      <c r="Z1026" s="1111"/>
      <c r="AA1026" s="1111"/>
      <c r="AB1026" s="1111"/>
      <c r="AC1026" s="1111"/>
      <c r="AD1026" s="1111"/>
      <c r="AE1026" s="1111"/>
      <c r="AF1026" s="1111"/>
      <c r="AG1026" s="1111"/>
    </row>
    <row r="1027" spans="1:33" s="1295" customFormat="1">
      <c r="A1027" s="1264"/>
      <c r="D1027" s="1118"/>
      <c r="E1027" s="1264"/>
      <c r="F1027" s="1118"/>
      <c r="G1027" s="1118"/>
      <c r="H1027" s="1118"/>
      <c r="I1027" s="1118"/>
      <c r="J1027" s="1118"/>
      <c r="K1027" s="1118"/>
      <c r="L1027" s="1118"/>
      <c r="M1027" s="1118"/>
      <c r="N1027" s="1118"/>
      <c r="O1027" s="1118"/>
      <c r="P1027" s="1118"/>
      <c r="Q1027" s="1111"/>
      <c r="R1027" s="1111"/>
      <c r="S1027" s="1111"/>
      <c r="T1027" s="1111"/>
      <c r="U1027" s="1111"/>
      <c r="V1027" s="1111"/>
      <c r="W1027" s="1111"/>
      <c r="X1027" s="1111"/>
      <c r="Y1027" s="1111"/>
      <c r="Z1027" s="1111"/>
      <c r="AA1027" s="1111"/>
      <c r="AB1027" s="1111"/>
      <c r="AC1027" s="1111"/>
      <c r="AD1027" s="1111"/>
      <c r="AE1027" s="1111"/>
      <c r="AF1027" s="1111"/>
      <c r="AG1027" s="1111"/>
    </row>
    <row r="1028" spans="1:33" s="1295" customFormat="1">
      <c r="A1028" s="1264"/>
      <c r="D1028" s="1118"/>
      <c r="E1028" s="1264"/>
      <c r="F1028" s="1118"/>
      <c r="G1028" s="1118"/>
      <c r="H1028" s="1118"/>
      <c r="I1028" s="1118"/>
      <c r="J1028" s="1118"/>
      <c r="K1028" s="1118"/>
      <c r="L1028" s="1118"/>
      <c r="M1028" s="1118"/>
      <c r="N1028" s="1118"/>
      <c r="O1028" s="1118"/>
      <c r="P1028" s="1118"/>
      <c r="Q1028" s="1111"/>
      <c r="R1028" s="1111"/>
      <c r="S1028" s="1111"/>
      <c r="T1028" s="1111"/>
      <c r="U1028" s="1111"/>
      <c r="V1028" s="1111"/>
      <c r="W1028" s="1111"/>
      <c r="X1028" s="1111"/>
      <c r="Y1028" s="1111"/>
      <c r="Z1028" s="1111"/>
      <c r="AA1028" s="1111"/>
      <c r="AB1028" s="1111"/>
      <c r="AC1028" s="1111"/>
      <c r="AD1028" s="1111"/>
      <c r="AE1028" s="1111"/>
      <c r="AF1028" s="1111"/>
      <c r="AG1028" s="1111"/>
    </row>
    <row r="1029" spans="1:33" s="1295" customFormat="1">
      <c r="A1029" s="1264"/>
      <c r="D1029" s="1118"/>
      <c r="E1029" s="1264"/>
      <c r="F1029" s="1118"/>
      <c r="G1029" s="1118"/>
      <c r="H1029" s="1118"/>
      <c r="I1029" s="1118"/>
      <c r="J1029" s="1118"/>
      <c r="K1029" s="1118"/>
      <c r="L1029" s="1118"/>
      <c r="M1029" s="1118"/>
      <c r="N1029" s="1118"/>
      <c r="O1029" s="1118"/>
      <c r="P1029" s="1118"/>
      <c r="Q1029" s="1111"/>
      <c r="R1029" s="1111"/>
      <c r="S1029" s="1111"/>
      <c r="T1029" s="1111"/>
      <c r="U1029" s="1111"/>
      <c r="V1029" s="1111"/>
      <c r="W1029" s="1111"/>
      <c r="X1029" s="1111"/>
      <c r="Y1029" s="1111"/>
      <c r="Z1029" s="1111"/>
      <c r="AA1029" s="1111"/>
      <c r="AB1029" s="1111"/>
      <c r="AC1029" s="1111"/>
      <c r="AD1029" s="1111"/>
      <c r="AE1029" s="1111"/>
      <c r="AF1029" s="1111"/>
      <c r="AG1029" s="1111"/>
    </row>
    <row r="1030" spans="1:33" s="1295" customFormat="1">
      <c r="A1030" s="1264"/>
      <c r="D1030" s="1118"/>
      <c r="E1030" s="1264"/>
      <c r="F1030" s="1118"/>
      <c r="G1030" s="1118"/>
      <c r="H1030" s="1118"/>
      <c r="I1030" s="1118"/>
      <c r="J1030" s="1118"/>
      <c r="K1030" s="1118"/>
      <c r="L1030" s="1118"/>
      <c r="M1030" s="1118"/>
      <c r="N1030" s="1118"/>
      <c r="O1030" s="1118"/>
      <c r="P1030" s="1118"/>
      <c r="Q1030" s="1111"/>
      <c r="R1030" s="1111"/>
      <c r="S1030" s="1111"/>
      <c r="T1030" s="1111"/>
      <c r="U1030" s="1111"/>
      <c r="V1030" s="1111"/>
      <c r="W1030" s="1111"/>
      <c r="X1030" s="1111"/>
      <c r="Y1030" s="1111"/>
      <c r="Z1030" s="1111"/>
      <c r="AA1030" s="1111"/>
      <c r="AB1030" s="1111"/>
      <c r="AC1030" s="1111"/>
      <c r="AD1030" s="1111"/>
      <c r="AE1030" s="1111"/>
      <c r="AF1030" s="1111"/>
      <c r="AG1030" s="1111"/>
    </row>
    <row r="1031" spans="1:33" s="1295" customFormat="1">
      <c r="A1031" s="1264"/>
      <c r="D1031" s="1118"/>
      <c r="E1031" s="1264"/>
      <c r="F1031" s="1118"/>
      <c r="G1031" s="1118"/>
      <c r="H1031" s="1118"/>
      <c r="I1031" s="1118"/>
      <c r="J1031" s="1118"/>
      <c r="K1031" s="1118"/>
      <c r="L1031" s="1118"/>
      <c r="M1031" s="1118"/>
      <c r="N1031" s="1118"/>
      <c r="O1031" s="1118"/>
      <c r="P1031" s="1118"/>
      <c r="Q1031" s="1111"/>
      <c r="R1031" s="1111"/>
      <c r="S1031" s="1111"/>
      <c r="T1031" s="1111"/>
      <c r="U1031" s="1111"/>
      <c r="V1031" s="1111"/>
      <c r="W1031" s="1111"/>
      <c r="X1031" s="1111"/>
      <c r="Y1031" s="1111"/>
      <c r="Z1031" s="1111"/>
      <c r="AA1031" s="1111"/>
      <c r="AB1031" s="1111"/>
      <c r="AC1031" s="1111"/>
      <c r="AD1031" s="1111"/>
      <c r="AE1031" s="1111"/>
      <c r="AF1031" s="1111"/>
      <c r="AG1031" s="1111"/>
    </row>
    <row r="1032" spans="1:33" s="1295" customFormat="1">
      <c r="A1032" s="1264"/>
      <c r="D1032" s="1118"/>
      <c r="E1032" s="1264"/>
      <c r="F1032" s="1118"/>
      <c r="G1032" s="1118"/>
      <c r="H1032" s="1118"/>
      <c r="I1032" s="1118"/>
      <c r="J1032" s="1118"/>
      <c r="K1032" s="1118"/>
      <c r="L1032" s="1118"/>
      <c r="M1032" s="1118"/>
      <c r="N1032" s="1118"/>
      <c r="O1032" s="1118"/>
      <c r="P1032" s="1118"/>
      <c r="Q1032" s="1111"/>
      <c r="R1032" s="1111"/>
      <c r="S1032" s="1111"/>
      <c r="T1032" s="1111"/>
      <c r="U1032" s="1111"/>
      <c r="V1032" s="1111"/>
      <c r="W1032" s="1111"/>
      <c r="X1032" s="1111"/>
      <c r="Y1032" s="1111"/>
      <c r="Z1032" s="1111"/>
      <c r="AA1032" s="1111"/>
      <c r="AB1032" s="1111"/>
      <c r="AC1032" s="1111"/>
      <c r="AD1032" s="1111"/>
      <c r="AE1032" s="1111"/>
      <c r="AF1032" s="1111"/>
      <c r="AG1032" s="1111"/>
    </row>
    <row r="1033" spans="1:33" s="1295" customFormat="1">
      <c r="A1033" s="1264"/>
      <c r="D1033" s="1118"/>
      <c r="E1033" s="1264"/>
      <c r="F1033" s="1118"/>
      <c r="G1033" s="1118"/>
      <c r="H1033" s="1118"/>
      <c r="I1033" s="1118"/>
      <c r="J1033" s="1118"/>
      <c r="K1033" s="1118"/>
      <c r="L1033" s="1118"/>
      <c r="M1033" s="1118"/>
      <c r="N1033" s="1118"/>
      <c r="O1033" s="1118"/>
      <c r="P1033" s="1118"/>
      <c r="Q1033" s="1111"/>
      <c r="R1033" s="1111"/>
      <c r="S1033" s="1111"/>
      <c r="T1033" s="1111"/>
      <c r="U1033" s="1111"/>
      <c r="V1033" s="1111"/>
      <c r="W1033" s="1111"/>
      <c r="X1033" s="1111"/>
      <c r="Y1033" s="1111"/>
      <c r="Z1033" s="1111"/>
      <c r="AA1033" s="1111"/>
      <c r="AB1033" s="1111"/>
      <c r="AC1033" s="1111"/>
      <c r="AD1033" s="1111"/>
      <c r="AE1033" s="1111"/>
      <c r="AF1033" s="1111"/>
      <c r="AG1033" s="1111"/>
    </row>
    <row r="1034" spans="1:33" s="1295" customFormat="1">
      <c r="A1034" s="1264"/>
      <c r="D1034" s="1118"/>
      <c r="E1034" s="1264"/>
      <c r="F1034" s="1118"/>
      <c r="G1034" s="1118"/>
      <c r="H1034" s="1118"/>
      <c r="I1034" s="1118"/>
      <c r="J1034" s="1118"/>
      <c r="K1034" s="1118"/>
      <c r="L1034" s="1118"/>
      <c r="M1034" s="1118"/>
      <c r="N1034" s="1118"/>
      <c r="O1034" s="1118"/>
      <c r="P1034" s="1118"/>
      <c r="Q1034" s="1111"/>
      <c r="R1034" s="1111"/>
      <c r="S1034" s="1111"/>
      <c r="T1034" s="1111"/>
      <c r="U1034" s="1111"/>
      <c r="V1034" s="1111"/>
      <c r="W1034" s="1111"/>
      <c r="X1034" s="1111"/>
      <c r="Y1034" s="1111"/>
      <c r="Z1034" s="1111"/>
      <c r="AA1034" s="1111"/>
      <c r="AB1034" s="1111"/>
      <c r="AC1034" s="1111"/>
      <c r="AD1034" s="1111"/>
      <c r="AE1034" s="1111"/>
      <c r="AF1034" s="1111"/>
      <c r="AG1034" s="1111"/>
    </row>
    <row r="1035" spans="1:33" s="1295" customFormat="1">
      <c r="A1035" s="1264"/>
      <c r="D1035" s="1118"/>
      <c r="E1035" s="1264"/>
      <c r="F1035" s="1118"/>
      <c r="G1035" s="1118"/>
      <c r="H1035" s="1118"/>
      <c r="I1035" s="1118"/>
      <c r="J1035" s="1118"/>
      <c r="K1035" s="1118"/>
      <c r="L1035" s="1118"/>
      <c r="M1035" s="1118"/>
      <c r="N1035" s="1118"/>
      <c r="O1035" s="1118"/>
      <c r="P1035" s="1118"/>
      <c r="Q1035" s="1111"/>
      <c r="R1035" s="1111"/>
      <c r="S1035" s="1111"/>
      <c r="T1035" s="1111"/>
      <c r="U1035" s="1111"/>
      <c r="V1035" s="1111"/>
      <c r="W1035" s="1111"/>
      <c r="X1035" s="1111"/>
      <c r="Y1035" s="1111"/>
      <c r="Z1035" s="1111"/>
      <c r="AA1035" s="1111"/>
      <c r="AB1035" s="1111"/>
      <c r="AC1035" s="1111"/>
      <c r="AD1035" s="1111"/>
      <c r="AE1035" s="1111"/>
      <c r="AF1035" s="1111"/>
      <c r="AG1035" s="1111"/>
    </row>
    <row r="1036" spans="1:33" s="1295" customFormat="1">
      <c r="A1036" s="1264"/>
      <c r="D1036" s="1118"/>
      <c r="E1036" s="1264"/>
      <c r="F1036" s="1118"/>
      <c r="G1036" s="1118"/>
      <c r="H1036" s="1118"/>
      <c r="I1036" s="1118"/>
      <c r="J1036" s="1118"/>
      <c r="K1036" s="1118"/>
      <c r="L1036" s="1118"/>
      <c r="M1036" s="1118"/>
      <c r="N1036" s="1118"/>
      <c r="O1036" s="1118"/>
      <c r="P1036" s="1118"/>
      <c r="Q1036" s="1111"/>
      <c r="R1036" s="1111"/>
      <c r="S1036" s="1111"/>
      <c r="T1036" s="1111"/>
      <c r="U1036" s="1111"/>
      <c r="V1036" s="1111"/>
      <c r="W1036" s="1111"/>
      <c r="X1036" s="1111"/>
      <c r="Y1036" s="1111"/>
      <c r="Z1036" s="1111"/>
      <c r="AA1036" s="1111"/>
      <c r="AB1036" s="1111"/>
      <c r="AC1036" s="1111"/>
      <c r="AD1036" s="1111"/>
      <c r="AE1036" s="1111"/>
      <c r="AF1036" s="1111"/>
      <c r="AG1036" s="1111"/>
    </row>
    <row r="1037" spans="1:33" s="1295" customFormat="1">
      <c r="A1037" s="1264"/>
      <c r="D1037" s="1118"/>
      <c r="E1037" s="1264"/>
      <c r="F1037" s="1118"/>
      <c r="G1037" s="1118"/>
      <c r="H1037" s="1118"/>
      <c r="I1037" s="1118"/>
      <c r="J1037" s="1118"/>
      <c r="K1037" s="1118"/>
      <c r="L1037" s="1118"/>
      <c r="M1037" s="1118"/>
      <c r="N1037" s="1118"/>
      <c r="O1037" s="1118"/>
      <c r="P1037" s="1118"/>
      <c r="Q1037" s="1111"/>
      <c r="R1037" s="1111"/>
      <c r="S1037" s="1111"/>
      <c r="T1037" s="1111"/>
      <c r="U1037" s="1111"/>
      <c r="V1037" s="1111"/>
      <c r="W1037" s="1111"/>
      <c r="X1037" s="1111"/>
      <c r="Y1037" s="1111"/>
      <c r="Z1037" s="1111"/>
      <c r="AA1037" s="1111"/>
      <c r="AB1037" s="1111"/>
      <c r="AC1037" s="1111"/>
      <c r="AD1037" s="1111"/>
      <c r="AE1037" s="1111"/>
      <c r="AF1037" s="1111"/>
      <c r="AG1037" s="1111"/>
    </row>
    <row r="1038" spans="1:33" s="1295" customFormat="1">
      <c r="A1038" s="1264"/>
      <c r="D1038" s="1118"/>
      <c r="E1038" s="1264"/>
      <c r="F1038" s="1118"/>
      <c r="G1038" s="1118"/>
      <c r="H1038" s="1118"/>
      <c r="I1038" s="1118"/>
      <c r="J1038" s="1118"/>
      <c r="K1038" s="1118"/>
      <c r="L1038" s="1118"/>
      <c r="M1038" s="1118"/>
      <c r="N1038" s="1118"/>
      <c r="O1038" s="1118"/>
      <c r="P1038" s="1118"/>
      <c r="Q1038" s="1111"/>
      <c r="R1038" s="1111"/>
      <c r="S1038" s="1111"/>
      <c r="T1038" s="1111"/>
      <c r="U1038" s="1111"/>
      <c r="V1038" s="1111"/>
      <c r="W1038" s="1111"/>
      <c r="X1038" s="1111"/>
      <c r="Y1038" s="1111"/>
      <c r="Z1038" s="1111"/>
      <c r="AA1038" s="1111"/>
      <c r="AB1038" s="1111"/>
      <c r="AC1038" s="1111"/>
      <c r="AD1038" s="1111"/>
      <c r="AE1038" s="1111"/>
      <c r="AF1038" s="1111"/>
      <c r="AG1038" s="1111"/>
    </row>
    <row r="1039" spans="1:33" s="1295" customFormat="1">
      <c r="A1039" s="1264"/>
      <c r="D1039" s="1118"/>
      <c r="E1039" s="1264"/>
      <c r="F1039" s="1118"/>
      <c r="G1039" s="1118"/>
      <c r="H1039" s="1118"/>
      <c r="I1039" s="1118"/>
      <c r="J1039" s="1118"/>
      <c r="K1039" s="1118"/>
      <c r="L1039" s="1118"/>
      <c r="M1039" s="1118"/>
      <c r="N1039" s="1118"/>
      <c r="O1039" s="1118"/>
      <c r="P1039" s="1118"/>
      <c r="Q1039" s="1111"/>
      <c r="R1039" s="1111"/>
      <c r="S1039" s="1111"/>
      <c r="T1039" s="1111"/>
      <c r="U1039" s="1111"/>
      <c r="V1039" s="1111"/>
      <c r="W1039" s="1111"/>
      <c r="X1039" s="1111"/>
      <c r="Y1039" s="1111"/>
      <c r="Z1039" s="1111"/>
      <c r="AA1039" s="1111"/>
      <c r="AB1039" s="1111"/>
      <c r="AC1039" s="1111"/>
      <c r="AD1039" s="1111"/>
      <c r="AE1039" s="1111"/>
      <c r="AF1039" s="1111"/>
      <c r="AG1039" s="1111"/>
    </row>
    <row r="1040" spans="1:33" s="1295" customFormat="1">
      <c r="A1040" s="1264"/>
      <c r="D1040" s="1118"/>
      <c r="E1040" s="1264"/>
      <c r="F1040" s="1118"/>
      <c r="G1040" s="1118"/>
      <c r="H1040" s="1118"/>
      <c r="I1040" s="1118"/>
      <c r="J1040" s="1118"/>
      <c r="K1040" s="1118"/>
      <c r="L1040" s="1118"/>
      <c r="M1040" s="1118"/>
      <c r="N1040" s="1118"/>
      <c r="O1040" s="1118"/>
      <c r="P1040" s="1118"/>
      <c r="Q1040" s="1111"/>
      <c r="R1040" s="1111"/>
      <c r="S1040" s="1111"/>
      <c r="T1040" s="1111"/>
      <c r="U1040" s="1111"/>
      <c r="V1040" s="1111"/>
      <c r="W1040" s="1111"/>
      <c r="X1040" s="1111"/>
      <c r="Y1040" s="1111"/>
      <c r="Z1040" s="1111"/>
      <c r="AA1040" s="1111"/>
      <c r="AB1040" s="1111"/>
      <c r="AC1040" s="1111"/>
      <c r="AD1040" s="1111"/>
      <c r="AE1040" s="1111"/>
      <c r="AF1040" s="1111"/>
      <c r="AG1040" s="1111"/>
    </row>
    <row r="1041" spans="1:33" s="1295" customFormat="1">
      <c r="A1041" s="1264"/>
      <c r="D1041" s="1118"/>
      <c r="E1041" s="1264"/>
      <c r="F1041" s="1118"/>
      <c r="G1041" s="1118"/>
      <c r="H1041" s="1118"/>
      <c r="I1041" s="1118"/>
      <c r="J1041" s="1118"/>
      <c r="K1041" s="1118"/>
      <c r="L1041" s="1118"/>
      <c r="M1041" s="1118"/>
      <c r="N1041" s="1118"/>
      <c r="O1041" s="1118"/>
      <c r="P1041" s="1118"/>
      <c r="Q1041" s="1111"/>
      <c r="R1041" s="1111"/>
      <c r="S1041" s="1111"/>
      <c r="T1041" s="1111"/>
      <c r="U1041" s="1111"/>
      <c r="V1041" s="1111"/>
      <c r="W1041" s="1111"/>
      <c r="X1041" s="1111"/>
      <c r="Y1041" s="1111"/>
      <c r="Z1041" s="1111"/>
      <c r="AA1041" s="1111"/>
      <c r="AB1041" s="1111"/>
      <c r="AC1041" s="1111"/>
      <c r="AD1041" s="1111"/>
      <c r="AE1041" s="1111"/>
      <c r="AF1041" s="1111"/>
      <c r="AG1041" s="1111"/>
    </row>
    <row r="1042" spans="1:33" s="1295" customFormat="1">
      <c r="A1042" s="1264"/>
      <c r="D1042" s="1118"/>
      <c r="E1042" s="1264"/>
      <c r="F1042" s="1118"/>
      <c r="G1042" s="1118"/>
      <c r="H1042" s="1118"/>
      <c r="I1042" s="1118"/>
      <c r="J1042" s="1118"/>
      <c r="K1042" s="1118"/>
      <c r="L1042" s="1118"/>
      <c r="M1042" s="1118"/>
      <c r="N1042" s="1118"/>
      <c r="O1042" s="1118"/>
      <c r="P1042" s="1118"/>
      <c r="Q1042" s="1111"/>
      <c r="R1042" s="1111"/>
      <c r="S1042" s="1111"/>
      <c r="T1042" s="1111"/>
      <c r="U1042" s="1111"/>
      <c r="V1042" s="1111"/>
      <c r="W1042" s="1111"/>
      <c r="X1042" s="1111"/>
      <c r="Y1042" s="1111"/>
      <c r="Z1042" s="1111"/>
      <c r="AA1042" s="1111"/>
      <c r="AB1042" s="1111"/>
      <c r="AC1042" s="1111"/>
      <c r="AD1042" s="1111"/>
      <c r="AE1042" s="1111"/>
      <c r="AF1042" s="1111"/>
      <c r="AG1042" s="1111"/>
    </row>
    <row r="1043" spans="1:33" s="1295" customFormat="1">
      <c r="A1043" s="1264"/>
      <c r="D1043" s="1118"/>
      <c r="E1043" s="1264"/>
      <c r="F1043" s="1118"/>
      <c r="G1043" s="1118"/>
      <c r="H1043" s="1118"/>
      <c r="I1043" s="1118"/>
      <c r="J1043" s="1118"/>
      <c r="K1043" s="1118"/>
      <c r="L1043" s="1118"/>
      <c r="M1043" s="1118"/>
      <c r="N1043" s="1118"/>
      <c r="O1043" s="1118"/>
      <c r="P1043" s="1118"/>
      <c r="Q1043" s="1111"/>
      <c r="R1043" s="1111"/>
      <c r="S1043" s="1111"/>
      <c r="T1043" s="1111"/>
      <c r="U1043" s="1111"/>
      <c r="V1043" s="1111"/>
      <c r="W1043" s="1111"/>
      <c r="X1043" s="1111"/>
      <c r="Y1043" s="1111"/>
      <c r="Z1043" s="1111"/>
      <c r="AA1043" s="1111"/>
      <c r="AB1043" s="1111"/>
      <c r="AC1043" s="1111"/>
      <c r="AD1043" s="1111"/>
      <c r="AE1043" s="1111"/>
      <c r="AF1043" s="1111"/>
      <c r="AG1043" s="1111"/>
    </row>
    <row r="1044" spans="1:33" s="1295" customFormat="1">
      <c r="A1044" s="1264"/>
      <c r="D1044" s="1118"/>
      <c r="E1044" s="1264"/>
      <c r="F1044" s="1118"/>
      <c r="G1044" s="1118"/>
      <c r="H1044" s="1118"/>
      <c r="I1044" s="1118"/>
      <c r="J1044" s="1118"/>
      <c r="K1044" s="1118"/>
      <c r="L1044" s="1118"/>
      <c r="M1044" s="1118"/>
      <c r="N1044" s="1118"/>
      <c r="O1044" s="1118"/>
      <c r="P1044" s="1118"/>
      <c r="Q1044" s="1111"/>
      <c r="R1044" s="1111"/>
      <c r="S1044" s="1111"/>
      <c r="T1044" s="1111"/>
      <c r="U1044" s="1111"/>
      <c r="V1044" s="1111"/>
      <c r="W1044" s="1111"/>
      <c r="X1044" s="1111"/>
      <c r="Y1044" s="1111"/>
      <c r="Z1044" s="1111"/>
      <c r="AA1044" s="1111"/>
      <c r="AB1044" s="1111"/>
      <c r="AC1044" s="1111"/>
      <c r="AD1044" s="1111"/>
      <c r="AE1044" s="1111"/>
      <c r="AF1044" s="1111"/>
      <c r="AG1044" s="1111"/>
    </row>
    <row r="1045" spans="1:33" s="1295" customFormat="1">
      <c r="A1045" s="1264"/>
      <c r="D1045" s="1118"/>
      <c r="E1045" s="1264"/>
      <c r="F1045" s="1118"/>
      <c r="G1045" s="1118"/>
      <c r="H1045" s="1118"/>
      <c r="I1045" s="1118"/>
      <c r="J1045" s="1118"/>
      <c r="K1045" s="1118"/>
      <c r="L1045" s="1118"/>
      <c r="M1045" s="1118"/>
      <c r="N1045" s="1118"/>
      <c r="O1045" s="1118"/>
      <c r="P1045" s="1118"/>
      <c r="Q1045" s="1111"/>
      <c r="R1045" s="1111"/>
      <c r="S1045" s="1111"/>
      <c r="T1045" s="1111"/>
      <c r="U1045" s="1111"/>
      <c r="V1045" s="1111"/>
      <c r="W1045" s="1111"/>
      <c r="X1045" s="1111"/>
      <c r="Y1045" s="1111"/>
      <c r="Z1045" s="1111"/>
      <c r="AA1045" s="1111"/>
      <c r="AB1045" s="1111"/>
      <c r="AC1045" s="1111"/>
      <c r="AD1045" s="1111"/>
      <c r="AE1045" s="1111"/>
      <c r="AF1045" s="1111"/>
      <c r="AG1045" s="1111"/>
    </row>
    <row r="1046" spans="1:33" s="1295" customFormat="1">
      <c r="A1046" s="1264"/>
      <c r="D1046" s="1118"/>
      <c r="E1046" s="1264"/>
      <c r="F1046" s="1118"/>
      <c r="G1046" s="1118"/>
      <c r="H1046" s="1118"/>
      <c r="I1046" s="1118"/>
      <c r="J1046" s="1118"/>
      <c r="K1046" s="1118"/>
      <c r="L1046" s="1118"/>
      <c r="M1046" s="1118"/>
      <c r="N1046" s="1118"/>
      <c r="O1046" s="1118"/>
      <c r="P1046" s="1118"/>
      <c r="Q1046" s="1111"/>
      <c r="R1046" s="1111"/>
      <c r="S1046" s="1111"/>
      <c r="T1046" s="1111"/>
      <c r="U1046" s="1111"/>
      <c r="V1046" s="1111"/>
      <c r="W1046" s="1111"/>
      <c r="X1046" s="1111"/>
      <c r="Y1046" s="1111"/>
      <c r="Z1046" s="1111"/>
      <c r="AA1046" s="1111"/>
      <c r="AB1046" s="1111"/>
      <c r="AC1046" s="1111"/>
      <c r="AD1046" s="1111"/>
      <c r="AE1046" s="1111"/>
      <c r="AF1046" s="1111"/>
      <c r="AG1046" s="1111"/>
    </row>
    <row r="1047" spans="1:33" s="1295" customFormat="1">
      <c r="A1047" s="1264"/>
      <c r="D1047" s="1118"/>
      <c r="E1047" s="1264"/>
      <c r="F1047" s="1118"/>
      <c r="G1047" s="1118"/>
      <c r="H1047" s="1118"/>
      <c r="I1047" s="1118"/>
      <c r="J1047" s="1118"/>
      <c r="K1047" s="1118"/>
      <c r="L1047" s="1118"/>
      <c r="M1047" s="1118"/>
      <c r="N1047" s="1118"/>
      <c r="O1047" s="1118"/>
      <c r="P1047" s="1118"/>
      <c r="Q1047" s="1111"/>
      <c r="R1047" s="1111"/>
      <c r="S1047" s="1111"/>
      <c r="T1047" s="1111"/>
      <c r="U1047" s="1111"/>
      <c r="V1047" s="1111"/>
      <c r="W1047" s="1111"/>
      <c r="X1047" s="1111"/>
      <c r="Y1047" s="1111"/>
      <c r="Z1047" s="1111"/>
      <c r="AA1047" s="1111"/>
      <c r="AB1047" s="1111"/>
      <c r="AC1047" s="1111"/>
      <c r="AD1047" s="1111"/>
      <c r="AE1047" s="1111"/>
      <c r="AF1047" s="1111"/>
      <c r="AG1047" s="1111"/>
    </row>
    <row r="1048" spans="1:33" s="1295" customFormat="1">
      <c r="A1048" s="1264"/>
      <c r="D1048" s="1118"/>
      <c r="E1048" s="1264"/>
      <c r="F1048" s="1118"/>
      <c r="G1048" s="1118"/>
      <c r="H1048" s="1118"/>
      <c r="I1048" s="1118"/>
      <c r="J1048" s="1118"/>
      <c r="K1048" s="1118"/>
      <c r="L1048" s="1118"/>
      <c r="M1048" s="1118"/>
      <c r="N1048" s="1118"/>
      <c r="O1048" s="1118"/>
      <c r="P1048" s="1118"/>
      <c r="Q1048" s="1111"/>
      <c r="R1048" s="1111"/>
      <c r="S1048" s="1111"/>
      <c r="T1048" s="1111"/>
      <c r="U1048" s="1111"/>
      <c r="V1048" s="1111"/>
      <c r="W1048" s="1111"/>
      <c r="X1048" s="1111"/>
      <c r="Y1048" s="1111"/>
      <c r="Z1048" s="1111"/>
      <c r="AA1048" s="1111"/>
      <c r="AB1048" s="1111"/>
      <c r="AC1048" s="1111"/>
      <c r="AD1048" s="1111"/>
      <c r="AE1048" s="1111"/>
      <c r="AF1048" s="1111"/>
      <c r="AG1048" s="1111"/>
    </row>
    <row r="1049" spans="1:33" s="1295" customFormat="1">
      <c r="A1049" s="1264"/>
      <c r="D1049" s="1118"/>
      <c r="E1049" s="1264"/>
      <c r="F1049" s="1118"/>
      <c r="G1049" s="1118"/>
      <c r="H1049" s="1118"/>
      <c r="I1049" s="1118"/>
      <c r="J1049" s="1118"/>
      <c r="K1049" s="1118"/>
      <c r="L1049" s="1118"/>
      <c r="M1049" s="1118"/>
      <c r="N1049" s="1118"/>
      <c r="O1049" s="1118"/>
      <c r="P1049" s="1118"/>
      <c r="Q1049" s="1111"/>
      <c r="R1049" s="1111"/>
      <c r="S1049" s="1111"/>
      <c r="T1049" s="1111"/>
      <c r="U1049" s="1111"/>
      <c r="V1049" s="1111"/>
      <c r="W1049" s="1111"/>
      <c r="X1049" s="1111"/>
      <c r="Y1049" s="1111"/>
      <c r="Z1049" s="1111"/>
      <c r="AA1049" s="1111"/>
      <c r="AB1049" s="1111"/>
      <c r="AC1049" s="1111"/>
      <c r="AD1049" s="1111"/>
      <c r="AE1049" s="1111"/>
      <c r="AF1049" s="1111"/>
      <c r="AG1049" s="1111"/>
    </row>
    <row r="1050" spans="1:33" s="1295" customFormat="1">
      <c r="A1050" s="1264"/>
      <c r="D1050" s="1118"/>
      <c r="E1050" s="1264"/>
      <c r="F1050" s="1118"/>
      <c r="G1050" s="1118"/>
      <c r="H1050" s="1118"/>
      <c r="I1050" s="1118"/>
      <c r="J1050" s="1118"/>
      <c r="K1050" s="1118"/>
      <c r="L1050" s="1118"/>
      <c r="M1050" s="1118"/>
      <c r="N1050" s="1118"/>
      <c r="O1050" s="1118"/>
      <c r="P1050" s="1118"/>
      <c r="Q1050" s="1111"/>
      <c r="R1050" s="1111"/>
      <c r="S1050" s="1111"/>
      <c r="T1050" s="1111"/>
      <c r="U1050" s="1111"/>
      <c r="V1050" s="1111"/>
      <c r="W1050" s="1111"/>
      <c r="X1050" s="1111"/>
      <c r="Y1050" s="1111"/>
      <c r="Z1050" s="1111"/>
      <c r="AA1050" s="1111"/>
      <c r="AB1050" s="1111"/>
      <c r="AC1050" s="1111"/>
      <c r="AD1050" s="1111"/>
      <c r="AE1050" s="1111"/>
      <c r="AF1050" s="1111"/>
      <c r="AG1050" s="1111"/>
    </row>
    <row r="1051" spans="1:33" s="1295" customFormat="1">
      <c r="A1051" s="1264"/>
      <c r="D1051" s="1118"/>
      <c r="E1051" s="1264"/>
      <c r="F1051" s="1118"/>
      <c r="G1051" s="1118"/>
      <c r="H1051" s="1118"/>
      <c r="I1051" s="1118"/>
      <c r="J1051" s="1118"/>
      <c r="K1051" s="1118"/>
      <c r="L1051" s="1118"/>
      <c r="M1051" s="1118"/>
      <c r="N1051" s="1118"/>
      <c r="O1051" s="1118"/>
      <c r="P1051" s="1118"/>
      <c r="Q1051" s="1111"/>
      <c r="R1051" s="1111"/>
      <c r="S1051" s="1111"/>
      <c r="T1051" s="1111"/>
      <c r="U1051" s="1111"/>
      <c r="V1051" s="1111"/>
      <c r="W1051" s="1111"/>
      <c r="X1051" s="1111"/>
      <c r="Y1051" s="1111"/>
      <c r="Z1051" s="1111"/>
      <c r="AA1051" s="1111"/>
      <c r="AB1051" s="1111"/>
      <c r="AC1051" s="1111"/>
      <c r="AD1051" s="1111"/>
      <c r="AE1051" s="1111"/>
      <c r="AF1051" s="1111"/>
      <c r="AG1051" s="1111"/>
    </row>
    <row r="1052" spans="1:33" s="1295" customFormat="1">
      <c r="A1052" s="1264"/>
      <c r="D1052" s="1118"/>
      <c r="E1052" s="1264"/>
      <c r="F1052" s="1118"/>
      <c r="G1052" s="1118"/>
      <c r="H1052" s="1118"/>
      <c r="I1052" s="1118"/>
      <c r="J1052" s="1118"/>
      <c r="K1052" s="1118"/>
      <c r="L1052" s="1118"/>
      <c r="M1052" s="1118"/>
      <c r="N1052" s="1118"/>
      <c r="O1052" s="1118"/>
      <c r="P1052" s="1118"/>
      <c r="Q1052" s="1111"/>
      <c r="R1052" s="1111"/>
      <c r="S1052" s="1111"/>
      <c r="T1052" s="1111"/>
      <c r="U1052" s="1111"/>
      <c r="V1052" s="1111"/>
      <c r="W1052" s="1111"/>
      <c r="X1052" s="1111"/>
      <c r="Y1052" s="1111"/>
      <c r="Z1052" s="1111"/>
      <c r="AA1052" s="1111"/>
      <c r="AB1052" s="1111"/>
      <c r="AC1052" s="1111"/>
      <c r="AD1052" s="1111"/>
      <c r="AE1052" s="1111"/>
      <c r="AF1052" s="1111"/>
      <c r="AG1052" s="1111"/>
    </row>
    <row r="1053" spans="1:33" s="1295" customFormat="1">
      <c r="A1053" s="1264"/>
      <c r="D1053" s="1118"/>
      <c r="E1053" s="1264"/>
      <c r="F1053" s="1118"/>
      <c r="G1053" s="1118"/>
      <c r="H1053" s="1118"/>
      <c r="I1053" s="1118"/>
      <c r="J1053" s="1118"/>
      <c r="K1053" s="1118"/>
      <c r="L1053" s="1118"/>
      <c r="M1053" s="1118"/>
      <c r="N1053" s="1118"/>
      <c r="O1053" s="1118"/>
      <c r="P1053" s="1118"/>
      <c r="Q1053" s="1111"/>
      <c r="R1053" s="1111"/>
      <c r="S1053" s="1111"/>
      <c r="T1053" s="1111"/>
      <c r="U1053" s="1111"/>
      <c r="V1053" s="1111"/>
      <c r="W1053" s="1111"/>
      <c r="X1053" s="1111"/>
      <c r="Y1053" s="1111"/>
      <c r="Z1053" s="1111"/>
      <c r="AA1053" s="1111"/>
      <c r="AB1053" s="1111"/>
      <c r="AC1053" s="1111"/>
      <c r="AD1053" s="1111"/>
      <c r="AE1053" s="1111"/>
      <c r="AF1053" s="1111"/>
      <c r="AG1053" s="1111"/>
    </row>
    <row r="1054" spans="1:33" s="1295" customFormat="1">
      <c r="A1054" s="1264"/>
      <c r="D1054" s="1118"/>
      <c r="E1054" s="1264"/>
      <c r="F1054" s="1118"/>
      <c r="G1054" s="1118"/>
      <c r="H1054" s="1118"/>
      <c r="I1054" s="1118"/>
      <c r="J1054" s="1118"/>
      <c r="K1054" s="1118"/>
      <c r="L1054" s="1118"/>
      <c r="M1054" s="1118"/>
      <c r="N1054" s="1118"/>
      <c r="O1054" s="1118"/>
      <c r="P1054" s="1118"/>
      <c r="Q1054" s="1111"/>
      <c r="R1054" s="1111"/>
      <c r="S1054" s="1111"/>
      <c r="T1054" s="1111"/>
      <c r="U1054" s="1111"/>
      <c r="V1054" s="1111"/>
      <c r="W1054" s="1111"/>
      <c r="X1054" s="1111"/>
      <c r="Y1054" s="1111"/>
      <c r="Z1054" s="1111"/>
      <c r="AA1054" s="1111"/>
      <c r="AB1054" s="1111"/>
      <c r="AC1054" s="1111"/>
      <c r="AD1054" s="1111"/>
      <c r="AE1054" s="1111"/>
      <c r="AF1054" s="1111"/>
      <c r="AG1054" s="1111"/>
    </row>
    <row r="1055" spans="1:33" s="1295" customFormat="1">
      <c r="A1055" s="1264"/>
      <c r="D1055" s="1118"/>
      <c r="E1055" s="1264"/>
      <c r="F1055" s="1118"/>
      <c r="G1055" s="1118"/>
      <c r="H1055" s="1118"/>
      <c r="I1055" s="1118"/>
      <c r="J1055" s="1118"/>
      <c r="K1055" s="1118"/>
      <c r="L1055" s="1118"/>
      <c r="M1055" s="1118"/>
      <c r="N1055" s="1118"/>
      <c r="O1055" s="1118"/>
      <c r="P1055" s="1118"/>
      <c r="Q1055" s="1111"/>
      <c r="R1055" s="1111"/>
      <c r="S1055" s="1111"/>
      <c r="T1055" s="1111"/>
      <c r="U1055" s="1111"/>
      <c r="V1055" s="1111"/>
      <c r="W1055" s="1111"/>
      <c r="X1055" s="1111"/>
      <c r="Y1055" s="1111"/>
      <c r="Z1055" s="1111"/>
      <c r="AA1055" s="1111"/>
      <c r="AB1055" s="1111"/>
      <c r="AC1055" s="1111"/>
      <c r="AD1055" s="1111"/>
      <c r="AE1055" s="1111"/>
      <c r="AF1055" s="1111"/>
      <c r="AG1055" s="1111"/>
    </row>
    <row r="1056" spans="1:33" s="1295" customFormat="1">
      <c r="A1056" s="1264"/>
      <c r="D1056" s="1118"/>
      <c r="E1056" s="1264"/>
      <c r="F1056" s="1118"/>
      <c r="G1056" s="1118"/>
      <c r="H1056" s="1118"/>
      <c r="I1056" s="1118"/>
      <c r="J1056" s="1118"/>
      <c r="K1056" s="1118"/>
      <c r="L1056" s="1118"/>
      <c r="M1056" s="1118"/>
      <c r="N1056" s="1118"/>
      <c r="O1056" s="1118"/>
      <c r="P1056" s="1118"/>
      <c r="Q1056" s="1111"/>
      <c r="R1056" s="1111"/>
      <c r="S1056" s="1111"/>
      <c r="T1056" s="1111"/>
      <c r="U1056" s="1111"/>
      <c r="V1056" s="1111"/>
      <c r="W1056" s="1111"/>
      <c r="X1056" s="1111"/>
      <c r="Y1056" s="1111"/>
      <c r="Z1056" s="1111"/>
      <c r="AA1056" s="1111"/>
      <c r="AB1056" s="1111"/>
      <c r="AC1056" s="1111"/>
      <c r="AD1056" s="1111"/>
      <c r="AE1056" s="1111"/>
      <c r="AF1056" s="1111"/>
      <c r="AG1056" s="1111"/>
    </row>
    <row r="1057" spans="1:33" s="1295" customFormat="1">
      <c r="A1057" s="1264"/>
      <c r="D1057" s="1118"/>
      <c r="E1057" s="1264"/>
      <c r="F1057" s="1118"/>
      <c r="G1057" s="1118"/>
      <c r="H1057" s="1118"/>
      <c r="I1057" s="1118"/>
      <c r="J1057" s="1118"/>
      <c r="K1057" s="1118"/>
      <c r="L1057" s="1118"/>
      <c r="M1057" s="1118"/>
      <c r="N1057" s="1118"/>
      <c r="O1057" s="1118"/>
      <c r="P1057" s="1118"/>
      <c r="Q1057" s="1111"/>
      <c r="R1057" s="1111"/>
      <c r="S1057" s="1111"/>
      <c r="T1057" s="1111"/>
      <c r="U1057" s="1111"/>
      <c r="V1057" s="1111"/>
      <c r="W1057" s="1111"/>
      <c r="X1057" s="1111"/>
      <c r="Y1057" s="1111"/>
      <c r="Z1057" s="1111"/>
      <c r="AA1057" s="1111"/>
      <c r="AB1057" s="1111"/>
      <c r="AC1057" s="1111"/>
      <c r="AD1057" s="1111"/>
      <c r="AE1057" s="1111"/>
      <c r="AF1057" s="1111"/>
      <c r="AG1057" s="1111"/>
    </row>
    <row r="1058" spans="1:33" s="1295" customFormat="1">
      <c r="A1058" s="1264"/>
      <c r="D1058" s="1118"/>
      <c r="E1058" s="1264"/>
      <c r="F1058" s="1118"/>
      <c r="G1058" s="1118"/>
      <c r="H1058" s="1118"/>
      <c r="I1058" s="1118"/>
      <c r="J1058" s="1118"/>
      <c r="K1058" s="1118"/>
      <c r="L1058" s="1118"/>
      <c r="M1058" s="1118"/>
      <c r="N1058" s="1118"/>
      <c r="O1058" s="1118"/>
      <c r="P1058" s="1118"/>
      <c r="Q1058" s="1111"/>
      <c r="R1058" s="1111"/>
      <c r="S1058" s="1111"/>
      <c r="T1058" s="1111"/>
      <c r="U1058" s="1111"/>
      <c r="V1058" s="1111"/>
      <c r="W1058" s="1111"/>
      <c r="X1058" s="1111"/>
      <c r="Y1058" s="1111"/>
      <c r="Z1058" s="1111"/>
      <c r="AA1058" s="1111"/>
      <c r="AB1058" s="1111"/>
      <c r="AC1058" s="1111"/>
      <c r="AD1058" s="1111"/>
      <c r="AE1058" s="1111"/>
      <c r="AF1058" s="1111"/>
      <c r="AG1058" s="1111"/>
    </row>
    <row r="1059" spans="1:33" s="1295" customFormat="1">
      <c r="A1059" s="1264"/>
      <c r="D1059" s="1118"/>
      <c r="E1059" s="1264"/>
      <c r="F1059" s="1118"/>
      <c r="G1059" s="1118"/>
      <c r="H1059" s="1118"/>
      <c r="I1059" s="1118"/>
      <c r="J1059" s="1118"/>
      <c r="K1059" s="1118"/>
      <c r="L1059" s="1118"/>
      <c r="M1059" s="1118"/>
      <c r="N1059" s="1118"/>
      <c r="O1059" s="1118"/>
      <c r="P1059" s="1118"/>
      <c r="Q1059" s="1111"/>
      <c r="R1059" s="1111"/>
      <c r="S1059" s="1111"/>
      <c r="T1059" s="1111"/>
      <c r="U1059" s="1111"/>
      <c r="V1059" s="1111"/>
      <c r="W1059" s="1111"/>
      <c r="X1059" s="1111"/>
      <c r="Y1059" s="1111"/>
      <c r="Z1059" s="1111"/>
      <c r="AA1059" s="1111"/>
      <c r="AB1059" s="1111"/>
      <c r="AC1059" s="1111"/>
      <c r="AD1059" s="1111"/>
      <c r="AE1059" s="1111"/>
      <c r="AF1059" s="1111"/>
      <c r="AG1059" s="1111"/>
    </row>
    <row r="1060" spans="1:33" s="1295" customFormat="1">
      <c r="A1060" s="1264"/>
      <c r="D1060" s="1118"/>
      <c r="E1060" s="1264"/>
      <c r="F1060" s="1118"/>
      <c r="G1060" s="1118"/>
      <c r="H1060" s="1118"/>
      <c r="I1060" s="1118"/>
      <c r="J1060" s="1118"/>
      <c r="K1060" s="1118"/>
      <c r="L1060" s="1118"/>
      <c r="M1060" s="1118"/>
      <c r="N1060" s="1118"/>
      <c r="O1060" s="1118"/>
      <c r="P1060" s="1118"/>
      <c r="Q1060" s="1111"/>
      <c r="R1060" s="1111"/>
      <c r="S1060" s="1111"/>
      <c r="T1060" s="1111"/>
      <c r="U1060" s="1111"/>
      <c r="V1060" s="1111"/>
      <c r="W1060" s="1111"/>
      <c r="X1060" s="1111"/>
      <c r="Y1060" s="1111"/>
      <c r="Z1060" s="1111"/>
      <c r="AA1060" s="1111"/>
      <c r="AB1060" s="1111"/>
      <c r="AC1060" s="1111"/>
      <c r="AD1060" s="1111"/>
      <c r="AE1060" s="1111"/>
      <c r="AF1060" s="1111"/>
      <c r="AG1060" s="1111"/>
    </row>
    <row r="1061" spans="1:33" s="1295" customFormat="1">
      <c r="A1061" s="1264"/>
      <c r="D1061" s="1118"/>
      <c r="E1061" s="1264"/>
      <c r="F1061" s="1118"/>
      <c r="G1061" s="1118"/>
      <c r="H1061" s="1118"/>
      <c r="I1061" s="1118"/>
      <c r="J1061" s="1118"/>
      <c r="K1061" s="1118"/>
      <c r="L1061" s="1118"/>
      <c r="M1061" s="1118"/>
      <c r="N1061" s="1118"/>
      <c r="O1061" s="1118"/>
      <c r="P1061" s="1118"/>
      <c r="Q1061" s="1111"/>
      <c r="R1061" s="1111"/>
      <c r="S1061" s="1111"/>
      <c r="T1061" s="1111"/>
      <c r="U1061" s="1111"/>
      <c r="V1061" s="1111"/>
      <c r="W1061" s="1111"/>
      <c r="X1061" s="1111"/>
      <c r="Y1061" s="1111"/>
      <c r="Z1061" s="1111"/>
      <c r="AA1061" s="1111"/>
      <c r="AB1061" s="1111"/>
      <c r="AC1061" s="1111"/>
      <c r="AD1061" s="1111"/>
      <c r="AE1061" s="1111"/>
      <c r="AF1061" s="1111"/>
      <c r="AG1061" s="1111"/>
    </row>
    <row r="1062" spans="1:33" s="1295" customFormat="1">
      <c r="A1062" s="1264"/>
      <c r="D1062" s="1118"/>
      <c r="E1062" s="1264"/>
      <c r="F1062" s="1118"/>
      <c r="G1062" s="1118"/>
      <c r="H1062" s="1118"/>
      <c r="I1062" s="1118"/>
      <c r="J1062" s="1118"/>
      <c r="K1062" s="1118"/>
      <c r="L1062" s="1118"/>
      <c r="M1062" s="1118"/>
      <c r="N1062" s="1118"/>
      <c r="O1062" s="1118"/>
      <c r="P1062" s="1118"/>
      <c r="Q1062" s="1111"/>
      <c r="R1062" s="1111"/>
      <c r="S1062" s="1111"/>
      <c r="T1062" s="1111"/>
      <c r="U1062" s="1111"/>
      <c r="V1062" s="1111"/>
      <c r="W1062" s="1111"/>
      <c r="X1062" s="1111"/>
      <c r="Y1062" s="1111"/>
      <c r="Z1062" s="1111"/>
      <c r="AA1062" s="1111"/>
      <c r="AB1062" s="1111"/>
      <c r="AC1062" s="1111"/>
      <c r="AD1062" s="1111"/>
      <c r="AE1062" s="1111"/>
      <c r="AF1062" s="1111"/>
      <c r="AG1062" s="1111"/>
    </row>
    <row r="1063" spans="1:33" s="1295" customFormat="1">
      <c r="A1063" s="1264"/>
      <c r="D1063" s="1118"/>
      <c r="E1063" s="1264"/>
      <c r="F1063" s="1118"/>
      <c r="G1063" s="1118"/>
      <c r="H1063" s="1118"/>
      <c r="I1063" s="1118"/>
      <c r="J1063" s="1118"/>
      <c r="K1063" s="1118"/>
      <c r="L1063" s="1118"/>
      <c r="M1063" s="1118"/>
      <c r="N1063" s="1118"/>
      <c r="O1063" s="1118"/>
      <c r="P1063" s="1118"/>
      <c r="Q1063" s="1111"/>
      <c r="R1063" s="1111"/>
      <c r="S1063" s="1111"/>
      <c r="T1063" s="1111"/>
      <c r="U1063" s="1111"/>
      <c r="V1063" s="1111"/>
      <c r="W1063" s="1111"/>
      <c r="X1063" s="1111"/>
      <c r="Y1063" s="1111"/>
      <c r="Z1063" s="1111"/>
      <c r="AA1063" s="1111"/>
      <c r="AB1063" s="1111"/>
      <c r="AC1063" s="1111"/>
      <c r="AD1063" s="1111"/>
      <c r="AE1063" s="1111"/>
      <c r="AF1063" s="1111"/>
      <c r="AG1063" s="1111"/>
    </row>
    <row r="1064" spans="1:33" s="1295" customFormat="1">
      <c r="A1064" s="1264"/>
      <c r="D1064" s="1118"/>
      <c r="E1064" s="1264"/>
      <c r="F1064" s="1118"/>
      <c r="G1064" s="1118"/>
      <c r="H1064" s="1118"/>
      <c r="I1064" s="1118"/>
      <c r="J1064" s="1118"/>
      <c r="K1064" s="1118"/>
      <c r="L1064" s="1118"/>
      <c r="M1064" s="1118"/>
      <c r="N1064" s="1118"/>
      <c r="O1064" s="1118"/>
      <c r="P1064" s="1118"/>
      <c r="Q1064" s="1111"/>
      <c r="R1064" s="1111"/>
      <c r="S1064" s="1111"/>
      <c r="T1064" s="1111"/>
      <c r="U1064" s="1111"/>
      <c r="V1064" s="1111"/>
      <c r="W1064" s="1111"/>
      <c r="X1064" s="1111"/>
      <c r="Y1064" s="1111"/>
      <c r="Z1064" s="1111"/>
      <c r="AA1064" s="1111"/>
      <c r="AB1064" s="1111"/>
      <c r="AC1064" s="1111"/>
      <c r="AD1064" s="1111"/>
      <c r="AE1064" s="1111"/>
      <c r="AF1064" s="1111"/>
      <c r="AG1064" s="1111"/>
    </row>
    <row r="1065" spans="1:33" s="1295" customFormat="1">
      <c r="A1065" s="1264"/>
      <c r="D1065" s="1118"/>
      <c r="E1065" s="1264"/>
      <c r="F1065" s="1118"/>
      <c r="G1065" s="1118"/>
      <c r="H1065" s="1118"/>
      <c r="I1065" s="1118"/>
      <c r="J1065" s="1118"/>
      <c r="K1065" s="1118"/>
      <c r="L1065" s="1118"/>
      <c r="M1065" s="1118"/>
      <c r="N1065" s="1118"/>
      <c r="O1065" s="1118"/>
      <c r="P1065" s="1118"/>
      <c r="Q1065" s="1111"/>
      <c r="R1065" s="1111"/>
      <c r="S1065" s="1111"/>
      <c r="T1065" s="1111"/>
      <c r="U1065" s="1111"/>
      <c r="V1065" s="1111"/>
      <c r="W1065" s="1111"/>
      <c r="X1065" s="1111"/>
      <c r="Y1065" s="1111"/>
      <c r="Z1065" s="1111"/>
      <c r="AA1065" s="1111"/>
      <c r="AB1065" s="1111"/>
      <c r="AC1065" s="1111"/>
      <c r="AD1065" s="1111"/>
      <c r="AE1065" s="1111"/>
      <c r="AF1065" s="1111"/>
      <c r="AG1065" s="1111"/>
    </row>
    <row r="1066" spans="1:33" s="1295" customFormat="1">
      <c r="A1066" s="1264"/>
      <c r="D1066" s="1118"/>
      <c r="E1066" s="1264"/>
      <c r="F1066" s="1118"/>
      <c r="G1066" s="1118"/>
      <c r="H1066" s="1118"/>
      <c r="I1066" s="1118"/>
      <c r="J1066" s="1118"/>
      <c r="K1066" s="1118"/>
      <c r="L1066" s="1118"/>
      <c r="M1066" s="1118"/>
      <c r="N1066" s="1118"/>
      <c r="O1066" s="1118"/>
      <c r="P1066" s="1118"/>
      <c r="Q1066" s="1111"/>
      <c r="R1066" s="1111"/>
      <c r="S1066" s="1111"/>
      <c r="T1066" s="1111"/>
      <c r="U1066" s="1111"/>
      <c r="V1066" s="1111"/>
      <c r="W1066" s="1111"/>
      <c r="X1066" s="1111"/>
      <c r="Y1066" s="1111"/>
      <c r="Z1066" s="1111"/>
      <c r="AA1066" s="1111"/>
      <c r="AB1066" s="1111"/>
      <c r="AC1066" s="1111"/>
      <c r="AD1066" s="1111"/>
      <c r="AE1066" s="1111"/>
      <c r="AF1066" s="1111"/>
      <c r="AG1066" s="1111"/>
    </row>
    <row r="1067" spans="1:33" s="1295" customFormat="1">
      <c r="A1067" s="1264"/>
      <c r="D1067" s="1118"/>
      <c r="E1067" s="1264"/>
      <c r="F1067" s="1118"/>
      <c r="G1067" s="1118"/>
      <c r="H1067" s="1118"/>
      <c r="I1067" s="1118"/>
      <c r="J1067" s="1118"/>
      <c r="K1067" s="1118"/>
      <c r="L1067" s="1118"/>
      <c r="M1067" s="1118"/>
      <c r="N1067" s="1118"/>
      <c r="O1067" s="1118"/>
      <c r="P1067" s="1118"/>
      <c r="Q1067" s="1111"/>
      <c r="R1067" s="1111"/>
      <c r="S1067" s="1111"/>
      <c r="T1067" s="1111"/>
      <c r="U1067" s="1111"/>
      <c r="V1067" s="1111"/>
      <c r="W1067" s="1111"/>
      <c r="X1067" s="1111"/>
      <c r="Y1067" s="1111"/>
      <c r="Z1067" s="1111"/>
      <c r="AA1067" s="1111"/>
      <c r="AB1067" s="1111"/>
      <c r="AC1067" s="1111"/>
      <c r="AD1067" s="1111"/>
      <c r="AE1067" s="1111"/>
      <c r="AF1067" s="1111"/>
      <c r="AG1067" s="1111"/>
    </row>
    <row r="1068" spans="1:33" s="1295" customFormat="1">
      <c r="A1068" s="1264"/>
      <c r="D1068" s="1118"/>
      <c r="E1068" s="1264"/>
      <c r="F1068" s="1118"/>
      <c r="G1068" s="1118"/>
      <c r="H1068" s="1118"/>
      <c r="I1068" s="1118"/>
      <c r="J1068" s="1118"/>
      <c r="K1068" s="1118"/>
      <c r="L1068" s="1118"/>
      <c r="M1068" s="1118"/>
      <c r="N1068" s="1118"/>
      <c r="O1068" s="1118"/>
      <c r="P1068" s="1118"/>
      <c r="Q1068" s="1111"/>
      <c r="R1068" s="1111"/>
      <c r="S1068" s="1111"/>
      <c r="T1068" s="1111"/>
      <c r="U1068" s="1111"/>
      <c r="V1068" s="1111"/>
      <c r="W1068" s="1111"/>
      <c r="X1068" s="1111"/>
      <c r="Y1068" s="1111"/>
      <c r="Z1068" s="1111"/>
      <c r="AA1068" s="1111"/>
      <c r="AB1068" s="1111"/>
      <c r="AC1068" s="1111"/>
      <c r="AD1068" s="1111"/>
      <c r="AE1068" s="1111"/>
      <c r="AF1068" s="1111"/>
      <c r="AG1068" s="1111"/>
    </row>
    <row r="1069" spans="1:33" s="1295" customFormat="1">
      <c r="A1069" s="1264"/>
      <c r="D1069" s="1118"/>
      <c r="E1069" s="1264"/>
      <c r="F1069" s="1118"/>
      <c r="G1069" s="1118"/>
      <c r="H1069" s="1118"/>
      <c r="I1069" s="1118"/>
      <c r="J1069" s="1118"/>
      <c r="K1069" s="1118"/>
      <c r="L1069" s="1118"/>
      <c r="M1069" s="1118"/>
      <c r="N1069" s="1118"/>
      <c r="O1069" s="1118"/>
      <c r="P1069" s="1118"/>
      <c r="Q1069" s="1111"/>
      <c r="R1069" s="1111"/>
      <c r="S1069" s="1111"/>
      <c r="T1069" s="1111"/>
      <c r="U1069" s="1111"/>
      <c r="V1069" s="1111"/>
      <c r="W1069" s="1111"/>
      <c r="X1069" s="1111"/>
      <c r="Y1069" s="1111"/>
      <c r="Z1069" s="1111"/>
      <c r="AA1069" s="1111"/>
      <c r="AB1069" s="1111"/>
      <c r="AC1069" s="1111"/>
      <c r="AD1069" s="1111"/>
      <c r="AE1069" s="1111"/>
      <c r="AF1069" s="1111"/>
      <c r="AG1069" s="1111"/>
    </row>
    <row r="1070" spans="1:33" s="1295" customFormat="1">
      <c r="A1070" s="1264"/>
      <c r="D1070" s="1118"/>
      <c r="E1070" s="1264"/>
      <c r="F1070" s="1118"/>
      <c r="G1070" s="1118"/>
      <c r="H1070" s="1118"/>
      <c r="I1070" s="1118"/>
      <c r="J1070" s="1118"/>
      <c r="K1070" s="1118"/>
      <c r="L1070" s="1118"/>
      <c r="M1070" s="1118"/>
      <c r="N1070" s="1118"/>
      <c r="O1070" s="1118"/>
      <c r="P1070" s="1118"/>
      <c r="Q1070" s="1111"/>
      <c r="R1070" s="1111"/>
      <c r="S1070" s="1111"/>
      <c r="T1070" s="1111"/>
      <c r="U1070" s="1111"/>
      <c r="V1070" s="1111"/>
      <c r="W1070" s="1111"/>
      <c r="X1070" s="1111"/>
      <c r="Y1070" s="1111"/>
      <c r="Z1070" s="1111"/>
      <c r="AA1070" s="1111"/>
      <c r="AB1070" s="1111"/>
      <c r="AC1070" s="1111"/>
      <c r="AD1070" s="1111"/>
      <c r="AE1070" s="1111"/>
      <c r="AF1070" s="1111"/>
      <c r="AG1070" s="1111"/>
    </row>
    <row r="1071" spans="1:33" s="1295" customFormat="1">
      <c r="A1071" s="1264"/>
      <c r="D1071" s="1118"/>
      <c r="E1071" s="1264"/>
      <c r="F1071" s="1118"/>
      <c r="G1071" s="1118"/>
      <c r="H1071" s="1118"/>
      <c r="I1071" s="1118"/>
      <c r="J1071" s="1118"/>
      <c r="K1071" s="1118"/>
      <c r="L1071" s="1118"/>
      <c r="M1071" s="1118"/>
      <c r="N1071" s="1118"/>
      <c r="O1071" s="1118"/>
      <c r="P1071" s="1118"/>
      <c r="Q1071" s="1111"/>
      <c r="R1071" s="1111"/>
      <c r="S1071" s="1111"/>
      <c r="T1071" s="1111"/>
      <c r="U1071" s="1111"/>
      <c r="V1071" s="1111"/>
      <c r="W1071" s="1111"/>
      <c r="X1071" s="1111"/>
      <c r="Y1071" s="1111"/>
      <c r="Z1071" s="1111"/>
      <c r="AA1071" s="1111"/>
      <c r="AB1071" s="1111"/>
      <c r="AC1071" s="1111"/>
      <c r="AD1071" s="1111"/>
      <c r="AE1071" s="1111"/>
      <c r="AF1071" s="1111"/>
      <c r="AG1071" s="1111"/>
    </row>
    <row r="1072" spans="1:33" s="1295" customFormat="1">
      <c r="A1072" s="1264"/>
      <c r="D1072" s="1118"/>
      <c r="E1072" s="1264"/>
      <c r="F1072" s="1118"/>
      <c r="G1072" s="1118"/>
      <c r="H1072" s="1118"/>
      <c r="I1072" s="1118"/>
      <c r="J1072" s="1118"/>
      <c r="K1072" s="1118"/>
      <c r="L1072" s="1118"/>
      <c r="M1072" s="1118"/>
      <c r="N1072" s="1118"/>
      <c r="O1072" s="1118"/>
      <c r="P1072" s="1118"/>
      <c r="Q1072" s="1111"/>
      <c r="R1072" s="1111"/>
      <c r="S1072" s="1111"/>
      <c r="T1072" s="1111"/>
      <c r="U1072" s="1111"/>
      <c r="V1072" s="1111"/>
      <c r="W1072" s="1111"/>
      <c r="X1072" s="1111"/>
      <c r="Y1072" s="1111"/>
      <c r="Z1072" s="1111"/>
      <c r="AA1072" s="1111"/>
      <c r="AB1072" s="1111"/>
      <c r="AC1072" s="1111"/>
      <c r="AD1072" s="1111"/>
      <c r="AE1072" s="1111"/>
      <c r="AF1072" s="1111"/>
      <c r="AG1072" s="1111"/>
    </row>
    <row r="1073" spans="1:33" s="1295" customFormat="1">
      <c r="A1073" s="1264"/>
      <c r="D1073" s="1118"/>
      <c r="E1073" s="1264"/>
      <c r="F1073" s="1118"/>
      <c r="G1073" s="1118"/>
      <c r="H1073" s="1118"/>
      <c r="I1073" s="1118"/>
      <c r="J1073" s="1118"/>
      <c r="K1073" s="1118"/>
      <c r="L1073" s="1118"/>
      <c r="M1073" s="1118"/>
      <c r="N1073" s="1118"/>
      <c r="O1073" s="1118"/>
      <c r="P1073" s="1118"/>
      <c r="Q1073" s="1111"/>
      <c r="R1073" s="1111"/>
      <c r="S1073" s="1111"/>
      <c r="T1073" s="1111"/>
      <c r="U1073" s="1111"/>
      <c r="V1073" s="1111"/>
      <c r="W1073" s="1111"/>
      <c r="X1073" s="1111"/>
      <c r="Y1073" s="1111"/>
      <c r="Z1073" s="1111"/>
      <c r="AA1073" s="1111"/>
      <c r="AB1073" s="1111"/>
      <c r="AC1073" s="1111"/>
      <c r="AD1073" s="1111"/>
      <c r="AE1073" s="1111"/>
      <c r="AF1073" s="1111"/>
      <c r="AG1073" s="1111"/>
    </row>
    <row r="1074" spans="1:33" s="1295" customFormat="1">
      <c r="A1074" s="1264"/>
      <c r="D1074" s="1118"/>
      <c r="E1074" s="1264"/>
      <c r="F1074" s="1118"/>
      <c r="G1074" s="1118"/>
      <c r="H1074" s="1118"/>
      <c r="I1074" s="1118"/>
      <c r="J1074" s="1118"/>
      <c r="K1074" s="1118"/>
      <c r="L1074" s="1118"/>
      <c r="M1074" s="1118"/>
      <c r="N1074" s="1118"/>
      <c r="O1074" s="1118"/>
      <c r="P1074" s="1118"/>
      <c r="Q1074" s="1111"/>
      <c r="R1074" s="1111"/>
      <c r="S1074" s="1111"/>
      <c r="T1074" s="1111"/>
      <c r="U1074" s="1111"/>
      <c r="V1074" s="1111"/>
      <c r="W1074" s="1111"/>
      <c r="X1074" s="1111"/>
      <c r="Y1074" s="1111"/>
      <c r="Z1074" s="1111"/>
      <c r="AA1074" s="1111"/>
      <c r="AB1074" s="1111"/>
      <c r="AC1074" s="1111"/>
      <c r="AD1074" s="1111"/>
      <c r="AE1074" s="1111"/>
      <c r="AF1074" s="1111"/>
      <c r="AG1074" s="1111"/>
    </row>
    <row r="1075" spans="1:33" s="1295" customFormat="1">
      <c r="A1075" s="1264"/>
      <c r="D1075" s="1118"/>
      <c r="E1075" s="1264"/>
      <c r="F1075" s="1118"/>
      <c r="G1075" s="1118"/>
      <c r="H1075" s="1118"/>
      <c r="I1075" s="1118"/>
      <c r="J1075" s="1118"/>
      <c r="K1075" s="1118"/>
      <c r="L1075" s="1118"/>
      <c r="M1075" s="1118"/>
      <c r="N1075" s="1118"/>
      <c r="O1075" s="1118"/>
      <c r="P1075" s="1118"/>
      <c r="Q1075" s="1111"/>
      <c r="R1075" s="1111"/>
      <c r="S1075" s="1111"/>
      <c r="T1075" s="1111"/>
      <c r="U1075" s="1111"/>
      <c r="V1075" s="1111"/>
      <c r="W1075" s="1111"/>
      <c r="X1075" s="1111"/>
      <c r="Y1075" s="1111"/>
      <c r="Z1075" s="1111"/>
      <c r="AA1075" s="1111"/>
      <c r="AB1075" s="1111"/>
      <c r="AC1075" s="1111"/>
      <c r="AD1075" s="1111"/>
      <c r="AE1075" s="1111"/>
      <c r="AF1075" s="1111"/>
      <c r="AG1075" s="1111"/>
    </row>
    <row r="1076" spans="1:33" s="1295" customFormat="1">
      <c r="A1076" s="1264"/>
      <c r="D1076" s="1118"/>
      <c r="E1076" s="1264"/>
      <c r="F1076" s="1118"/>
      <c r="G1076" s="1118"/>
      <c r="H1076" s="1118"/>
      <c r="I1076" s="1118"/>
      <c r="J1076" s="1118"/>
      <c r="K1076" s="1118"/>
      <c r="L1076" s="1118"/>
      <c r="M1076" s="1118"/>
      <c r="N1076" s="1118"/>
      <c r="O1076" s="1118"/>
      <c r="P1076" s="1118"/>
      <c r="Q1076" s="1111"/>
      <c r="R1076" s="1111"/>
      <c r="S1076" s="1111"/>
      <c r="T1076" s="1111"/>
      <c r="U1076" s="1111"/>
      <c r="V1076" s="1111"/>
      <c r="W1076" s="1111"/>
      <c r="X1076" s="1111"/>
      <c r="Y1076" s="1111"/>
      <c r="Z1076" s="1111"/>
      <c r="AA1076" s="1111"/>
      <c r="AB1076" s="1111"/>
      <c r="AC1076" s="1111"/>
      <c r="AD1076" s="1111"/>
      <c r="AE1076" s="1111"/>
      <c r="AF1076" s="1111"/>
      <c r="AG1076" s="1111"/>
    </row>
    <row r="1077" spans="1:33" s="1295" customFormat="1">
      <c r="A1077" s="1264"/>
      <c r="D1077" s="1118"/>
      <c r="E1077" s="1264"/>
      <c r="F1077" s="1118"/>
      <c r="G1077" s="1118"/>
      <c r="H1077" s="1118"/>
      <c r="I1077" s="1118"/>
      <c r="J1077" s="1118"/>
      <c r="K1077" s="1118"/>
      <c r="L1077" s="1118"/>
      <c r="M1077" s="1118"/>
      <c r="N1077" s="1118"/>
      <c r="O1077" s="1118"/>
      <c r="P1077" s="1118"/>
      <c r="Q1077" s="1111"/>
      <c r="R1077" s="1111"/>
      <c r="S1077" s="1111"/>
      <c r="T1077" s="1111"/>
      <c r="U1077" s="1111"/>
      <c r="V1077" s="1111"/>
      <c r="W1077" s="1111"/>
      <c r="X1077" s="1111"/>
      <c r="Y1077" s="1111"/>
      <c r="Z1077" s="1111"/>
      <c r="AA1077" s="1111"/>
      <c r="AB1077" s="1111"/>
      <c r="AC1077" s="1111"/>
      <c r="AD1077" s="1111"/>
      <c r="AE1077" s="1111"/>
      <c r="AF1077" s="1111"/>
      <c r="AG1077" s="1111"/>
    </row>
    <row r="1078" spans="1:33" s="1295" customFormat="1">
      <c r="A1078" s="1264"/>
      <c r="D1078" s="1118"/>
      <c r="E1078" s="1264"/>
      <c r="F1078" s="1118"/>
      <c r="G1078" s="1118"/>
      <c r="H1078" s="1118"/>
      <c r="I1078" s="1118"/>
      <c r="J1078" s="1118"/>
      <c r="K1078" s="1118"/>
      <c r="L1078" s="1118"/>
      <c r="M1078" s="1118"/>
      <c r="N1078" s="1118"/>
      <c r="O1078" s="1118"/>
      <c r="P1078" s="1118"/>
      <c r="Q1078" s="1111"/>
      <c r="R1078" s="1111"/>
      <c r="S1078" s="1111"/>
      <c r="T1078" s="1111"/>
      <c r="U1078" s="1111"/>
      <c r="V1078" s="1111"/>
      <c r="W1078" s="1111"/>
      <c r="X1078" s="1111"/>
      <c r="Y1078" s="1111"/>
      <c r="Z1078" s="1111"/>
      <c r="AA1078" s="1111"/>
      <c r="AB1078" s="1111"/>
      <c r="AC1078" s="1111"/>
      <c r="AD1078" s="1111"/>
      <c r="AE1078" s="1111"/>
      <c r="AF1078" s="1111"/>
      <c r="AG1078" s="1111"/>
    </row>
    <row r="1079" spans="1:33" s="1295" customFormat="1">
      <c r="A1079" s="1264"/>
      <c r="D1079" s="1118"/>
      <c r="E1079" s="1264"/>
      <c r="F1079" s="1118"/>
      <c r="G1079" s="1118"/>
      <c r="H1079" s="1118"/>
      <c r="I1079" s="1118"/>
      <c r="J1079" s="1118"/>
      <c r="K1079" s="1118"/>
      <c r="L1079" s="1118"/>
      <c r="M1079" s="1118"/>
      <c r="N1079" s="1118"/>
      <c r="O1079" s="1118"/>
      <c r="P1079" s="1118"/>
      <c r="Q1079" s="1111"/>
      <c r="R1079" s="1111"/>
      <c r="S1079" s="1111"/>
      <c r="T1079" s="1111"/>
      <c r="U1079" s="1111"/>
      <c r="V1079" s="1111"/>
      <c r="W1079" s="1111"/>
      <c r="X1079" s="1111"/>
      <c r="Y1079" s="1111"/>
      <c r="Z1079" s="1111"/>
      <c r="AA1079" s="1111"/>
      <c r="AB1079" s="1111"/>
      <c r="AC1079" s="1111"/>
      <c r="AD1079" s="1111"/>
      <c r="AE1079" s="1111"/>
      <c r="AF1079" s="1111"/>
      <c r="AG1079" s="1111"/>
    </row>
    <row r="1080" spans="1:33" s="1295" customFormat="1">
      <c r="A1080" s="1264"/>
      <c r="D1080" s="1118"/>
      <c r="E1080" s="1264"/>
      <c r="F1080" s="1118"/>
      <c r="G1080" s="1118"/>
      <c r="H1080" s="1118"/>
      <c r="I1080" s="1118"/>
      <c r="J1080" s="1118"/>
      <c r="K1080" s="1118"/>
      <c r="L1080" s="1118"/>
      <c r="M1080" s="1118"/>
      <c r="N1080" s="1118"/>
      <c r="O1080" s="1118"/>
      <c r="P1080" s="1118"/>
      <c r="Q1080" s="1111"/>
      <c r="R1080" s="1111"/>
      <c r="S1080" s="1111"/>
      <c r="T1080" s="1111"/>
      <c r="U1080" s="1111"/>
      <c r="V1080" s="1111"/>
      <c r="W1080" s="1111"/>
      <c r="X1080" s="1111"/>
      <c r="Y1080" s="1111"/>
      <c r="Z1080" s="1111"/>
      <c r="AA1080" s="1111"/>
      <c r="AB1080" s="1111"/>
      <c r="AC1080" s="1111"/>
      <c r="AD1080" s="1111"/>
      <c r="AE1080" s="1111"/>
      <c r="AF1080" s="1111"/>
      <c r="AG1080" s="1111"/>
    </row>
    <row r="1081" spans="1:33" s="1295" customFormat="1">
      <c r="A1081" s="1264"/>
      <c r="D1081" s="1118"/>
      <c r="E1081" s="1264"/>
      <c r="F1081" s="1118"/>
      <c r="G1081" s="1118"/>
      <c r="H1081" s="1118"/>
      <c r="I1081" s="1118"/>
      <c r="J1081" s="1118"/>
      <c r="K1081" s="1118"/>
      <c r="L1081" s="1118"/>
      <c r="M1081" s="1118"/>
      <c r="N1081" s="1118"/>
      <c r="O1081" s="1118"/>
      <c r="P1081" s="1118"/>
      <c r="Q1081" s="1111"/>
      <c r="R1081" s="1111"/>
      <c r="S1081" s="1111"/>
      <c r="T1081" s="1111"/>
      <c r="U1081" s="1111"/>
      <c r="V1081" s="1111"/>
      <c r="W1081" s="1111"/>
      <c r="X1081" s="1111"/>
      <c r="Y1081" s="1111"/>
      <c r="Z1081" s="1111"/>
      <c r="AA1081" s="1111"/>
      <c r="AB1081" s="1111"/>
      <c r="AC1081" s="1111"/>
      <c r="AD1081" s="1111"/>
      <c r="AE1081" s="1111"/>
      <c r="AF1081" s="1111"/>
      <c r="AG1081" s="1111"/>
    </row>
    <row r="1082" spans="1:33" s="1295" customFormat="1">
      <c r="A1082" s="1264"/>
      <c r="D1082" s="1118"/>
      <c r="E1082" s="1264"/>
      <c r="F1082" s="1118"/>
      <c r="G1082" s="1118"/>
      <c r="H1082" s="1118"/>
      <c r="I1082" s="1118"/>
      <c r="J1082" s="1118"/>
      <c r="K1082" s="1118"/>
      <c r="L1082" s="1118"/>
      <c r="M1082" s="1118"/>
      <c r="N1082" s="1118"/>
      <c r="O1082" s="1118"/>
      <c r="P1082" s="1118"/>
      <c r="Q1082" s="1111"/>
      <c r="R1082" s="1111"/>
      <c r="S1082" s="1111"/>
      <c r="T1082" s="1111"/>
      <c r="U1082" s="1111"/>
      <c r="V1082" s="1111"/>
      <c r="W1082" s="1111"/>
      <c r="X1082" s="1111"/>
      <c r="Y1082" s="1111"/>
      <c r="Z1082" s="1111"/>
      <c r="AA1082" s="1111"/>
      <c r="AB1082" s="1111"/>
      <c r="AC1082" s="1111"/>
      <c r="AD1082" s="1111"/>
      <c r="AE1082" s="1111"/>
      <c r="AF1082" s="1111"/>
      <c r="AG1082" s="1111"/>
    </row>
    <row r="1083" spans="1:33" s="1295" customFormat="1">
      <c r="A1083" s="1264"/>
      <c r="D1083" s="1118"/>
      <c r="E1083" s="1264"/>
      <c r="F1083" s="1118"/>
      <c r="G1083" s="1118"/>
      <c r="H1083" s="1118"/>
      <c r="I1083" s="1118"/>
      <c r="J1083" s="1118"/>
      <c r="K1083" s="1118"/>
      <c r="L1083" s="1118"/>
      <c r="M1083" s="1118"/>
      <c r="N1083" s="1118"/>
      <c r="O1083" s="1118"/>
      <c r="P1083" s="1118"/>
      <c r="Q1083" s="1111"/>
      <c r="R1083" s="1111"/>
      <c r="S1083" s="1111"/>
      <c r="T1083" s="1111"/>
      <c r="U1083" s="1111"/>
      <c r="V1083" s="1111"/>
      <c r="W1083" s="1111"/>
      <c r="X1083" s="1111"/>
      <c r="Y1083" s="1111"/>
      <c r="Z1083" s="1111"/>
      <c r="AA1083" s="1111"/>
      <c r="AB1083" s="1111"/>
      <c r="AC1083" s="1111"/>
      <c r="AD1083" s="1111"/>
      <c r="AE1083" s="1111"/>
      <c r="AF1083" s="1111"/>
      <c r="AG1083" s="1111"/>
    </row>
    <row r="1084" spans="1:33" s="1295" customFormat="1">
      <c r="A1084" s="1264"/>
      <c r="D1084" s="1118"/>
      <c r="E1084" s="1264"/>
      <c r="F1084" s="1118"/>
      <c r="G1084" s="1118"/>
      <c r="H1084" s="1118"/>
      <c r="I1084" s="1118"/>
      <c r="J1084" s="1118"/>
      <c r="K1084" s="1118"/>
      <c r="L1084" s="1118"/>
      <c r="M1084" s="1118"/>
      <c r="N1084" s="1118"/>
      <c r="O1084" s="1118"/>
      <c r="P1084" s="1118"/>
      <c r="Q1084" s="1111"/>
      <c r="R1084" s="1111"/>
      <c r="S1084" s="1111"/>
      <c r="T1084" s="1111"/>
      <c r="U1084" s="1111"/>
      <c r="V1084" s="1111"/>
      <c r="W1084" s="1111"/>
      <c r="X1084" s="1111"/>
      <c r="Y1084" s="1111"/>
      <c r="Z1084" s="1111"/>
      <c r="AA1084" s="1111"/>
      <c r="AB1084" s="1111"/>
      <c r="AC1084" s="1111"/>
      <c r="AD1084" s="1111"/>
      <c r="AE1084" s="1111"/>
      <c r="AF1084" s="1111"/>
      <c r="AG1084" s="1111"/>
    </row>
    <row r="1085" spans="1:33" s="1295" customFormat="1">
      <c r="A1085" s="1264"/>
      <c r="D1085" s="1118"/>
      <c r="E1085" s="1264"/>
      <c r="F1085" s="1118"/>
      <c r="G1085" s="1118"/>
      <c r="H1085" s="1118"/>
      <c r="I1085" s="1118"/>
      <c r="J1085" s="1118"/>
      <c r="K1085" s="1118"/>
      <c r="L1085" s="1118"/>
      <c r="M1085" s="1118"/>
      <c r="N1085" s="1118"/>
      <c r="O1085" s="1118"/>
      <c r="P1085" s="1118"/>
      <c r="Q1085" s="1111"/>
      <c r="R1085" s="1111"/>
      <c r="S1085" s="1111"/>
      <c r="T1085" s="1111"/>
      <c r="U1085" s="1111"/>
      <c r="V1085" s="1111"/>
      <c r="W1085" s="1111"/>
      <c r="X1085" s="1111"/>
      <c r="Y1085" s="1111"/>
      <c r="Z1085" s="1111"/>
      <c r="AA1085" s="1111"/>
      <c r="AB1085" s="1111"/>
      <c r="AC1085" s="1111"/>
      <c r="AD1085" s="1111"/>
      <c r="AE1085" s="1111"/>
      <c r="AF1085" s="1111"/>
      <c r="AG1085" s="1111"/>
    </row>
    <row r="1086" spans="1:33" s="1295" customFormat="1">
      <c r="A1086" s="1264"/>
      <c r="D1086" s="1118"/>
      <c r="E1086" s="1264"/>
      <c r="F1086" s="1118"/>
      <c r="G1086" s="1118"/>
      <c r="H1086" s="1118"/>
      <c r="I1086" s="1118"/>
      <c r="J1086" s="1118"/>
      <c r="K1086" s="1118"/>
      <c r="L1086" s="1118"/>
      <c r="M1086" s="1118"/>
      <c r="N1086" s="1118"/>
      <c r="O1086" s="1118"/>
      <c r="P1086" s="1118"/>
      <c r="Q1086" s="1111"/>
      <c r="R1086" s="1111"/>
      <c r="S1086" s="1111"/>
      <c r="T1086" s="1111"/>
      <c r="U1086" s="1111"/>
      <c r="V1086" s="1111"/>
      <c r="W1086" s="1111"/>
      <c r="X1086" s="1111"/>
      <c r="Y1086" s="1111"/>
      <c r="Z1086" s="1111"/>
      <c r="AA1086" s="1111"/>
      <c r="AB1086" s="1111"/>
      <c r="AC1086" s="1111"/>
      <c r="AD1086" s="1111"/>
      <c r="AE1086" s="1111"/>
      <c r="AF1086" s="1111"/>
      <c r="AG1086" s="1111"/>
    </row>
    <row r="1087" spans="1:33" s="1295" customFormat="1">
      <c r="A1087" s="1264"/>
      <c r="D1087" s="1118"/>
      <c r="E1087" s="1264"/>
      <c r="F1087" s="1118"/>
      <c r="G1087" s="1118"/>
      <c r="H1087" s="1118"/>
      <c r="I1087" s="1118"/>
      <c r="J1087" s="1118"/>
      <c r="K1087" s="1118"/>
      <c r="L1087" s="1118"/>
      <c r="M1087" s="1118"/>
      <c r="N1087" s="1118"/>
      <c r="O1087" s="1118"/>
      <c r="P1087" s="1118"/>
      <c r="Q1087" s="1111"/>
      <c r="R1087" s="1111"/>
      <c r="S1087" s="1111"/>
      <c r="T1087" s="1111"/>
      <c r="U1087" s="1111"/>
      <c r="V1087" s="1111"/>
      <c r="W1087" s="1111"/>
      <c r="X1087" s="1111"/>
      <c r="Y1087" s="1111"/>
      <c r="Z1087" s="1111"/>
      <c r="AA1087" s="1111"/>
      <c r="AB1087" s="1111"/>
      <c r="AC1087" s="1111"/>
      <c r="AD1087" s="1111"/>
      <c r="AE1087" s="1111"/>
      <c r="AF1087" s="1111"/>
      <c r="AG1087" s="1111"/>
    </row>
    <row r="1088" spans="1:33" s="1295" customFormat="1">
      <c r="A1088" s="1264"/>
      <c r="D1088" s="1118"/>
      <c r="E1088" s="1264"/>
      <c r="F1088" s="1118"/>
      <c r="G1088" s="1118"/>
      <c r="H1088" s="1118"/>
      <c r="I1088" s="1118"/>
      <c r="J1088" s="1118"/>
      <c r="K1088" s="1118"/>
      <c r="L1088" s="1118"/>
      <c r="M1088" s="1118"/>
      <c r="N1088" s="1118"/>
      <c r="O1088" s="1118"/>
      <c r="P1088" s="1118"/>
      <c r="Q1088" s="1111"/>
      <c r="R1088" s="1111"/>
      <c r="S1088" s="1111"/>
      <c r="T1088" s="1111"/>
      <c r="U1088" s="1111"/>
      <c r="V1088" s="1111"/>
      <c r="W1088" s="1111"/>
      <c r="X1088" s="1111"/>
      <c r="Y1088" s="1111"/>
      <c r="Z1088" s="1111"/>
      <c r="AA1088" s="1111"/>
      <c r="AB1088" s="1111"/>
      <c r="AC1088" s="1111"/>
      <c r="AD1088" s="1111"/>
      <c r="AE1088" s="1111"/>
      <c r="AF1088" s="1111"/>
      <c r="AG1088" s="1111"/>
    </row>
    <row r="1089" spans="1:33" s="1295" customFormat="1">
      <c r="A1089" s="1264"/>
      <c r="D1089" s="1118"/>
      <c r="E1089" s="1264"/>
      <c r="F1089" s="1118"/>
      <c r="G1089" s="1118"/>
      <c r="H1089" s="1118"/>
      <c r="I1089" s="1118"/>
      <c r="J1089" s="1118"/>
      <c r="K1089" s="1118"/>
      <c r="L1089" s="1118"/>
      <c r="M1089" s="1118"/>
      <c r="N1089" s="1118"/>
      <c r="O1089" s="1118"/>
      <c r="P1089" s="1118"/>
      <c r="Q1089" s="1111"/>
      <c r="R1089" s="1111"/>
      <c r="S1089" s="1111"/>
      <c r="T1089" s="1111"/>
      <c r="U1089" s="1111"/>
      <c r="V1089" s="1111"/>
      <c r="W1089" s="1111"/>
      <c r="X1089" s="1111"/>
      <c r="Y1089" s="1111"/>
      <c r="Z1089" s="1111"/>
      <c r="AA1089" s="1111"/>
      <c r="AB1089" s="1111"/>
      <c r="AC1089" s="1111"/>
      <c r="AD1089" s="1111"/>
      <c r="AE1089" s="1111"/>
      <c r="AF1089" s="1111"/>
      <c r="AG1089" s="1111"/>
    </row>
    <row r="1090" spans="1:33" s="1295" customFormat="1">
      <c r="A1090" s="1264"/>
      <c r="D1090" s="1118"/>
      <c r="E1090" s="1264"/>
      <c r="F1090" s="1118"/>
      <c r="G1090" s="1118"/>
      <c r="H1090" s="1118"/>
      <c r="I1090" s="1118"/>
      <c r="J1090" s="1118"/>
      <c r="K1090" s="1118"/>
      <c r="L1090" s="1118"/>
      <c r="M1090" s="1118"/>
      <c r="N1090" s="1118"/>
      <c r="O1090" s="1118"/>
      <c r="P1090" s="1118"/>
      <c r="Q1090" s="1111"/>
      <c r="R1090" s="1111"/>
      <c r="S1090" s="1111"/>
      <c r="T1090" s="1111"/>
      <c r="U1090" s="1111"/>
      <c r="V1090" s="1111"/>
      <c r="W1090" s="1111"/>
      <c r="X1090" s="1111"/>
      <c r="Y1090" s="1111"/>
      <c r="Z1090" s="1111"/>
      <c r="AA1090" s="1111"/>
      <c r="AB1090" s="1111"/>
      <c r="AC1090" s="1111"/>
      <c r="AD1090" s="1111"/>
      <c r="AE1090" s="1111"/>
      <c r="AF1090" s="1111"/>
      <c r="AG1090" s="1111"/>
    </row>
    <row r="1091" spans="1:33" s="1295" customFormat="1">
      <c r="A1091" s="1264"/>
      <c r="D1091" s="1118"/>
      <c r="E1091" s="1264"/>
      <c r="F1091" s="1118"/>
      <c r="G1091" s="1118"/>
      <c r="H1091" s="1118"/>
      <c r="I1091" s="1118"/>
      <c r="J1091" s="1118"/>
      <c r="K1091" s="1118"/>
      <c r="L1091" s="1118"/>
      <c r="M1091" s="1118"/>
      <c r="N1091" s="1118"/>
      <c r="O1091" s="1118"/>
      <c r="P1091" s="1118"/>
      <c r="Q1091" s="1111"/>
      <c r="R1091" s="1111"/>
      <c r="S1091" s="1111"/>
      <c r="T1091" s="1111"/>
      <c r="U1091" s="1111"/>
      <c r="V1091" s="1111"/>
      <c r="W1091" s="1111"/>
      <c r="X1091" s="1111"/>
      <c r="Y1091" s="1111"/>
      <c r="Z1091" s="1111"/>
      <c r="AA1091" s="1111"/>
      <c r="AB1091" s="1111"/>
      <c r="AC1091" s="1111"/>
      <c r="AD1091" s="1111"/>
      <c r="AE1091" s="1111"/>
      <c r="AF1091" s="1111"/>
      <c r="AG1091" s="1111"/>
    </row>
    <row r="1092" spans="1:33" s="1295" customFormat="1">
      <c r="A1092" s="1264"/>
      <c r="D1092" s="1118"/>
      <c r="E1092" s="1264"/>
      <c r="F1092" s="1118"/>
      <c r="G1092" s="1118"/>
      <c r="H1092" s="1118"/>
      <c r="I1092" s="1118"/>
      <c r="J1092" s="1118"/>
      <c r="K1092" s="1118"/>
      <c r="L1092" s="1118"/>
      <c r="M1092" s="1118"/>
      <c r="N1092" s="1118"/>
      <c r="O1092" s="1118"/>
      <c r="P1092" s="1118"/>
      <c r="Q1092" s="1111"/>
      <c r="R1092" s="1111"/>
      <c r="S1092" s="1111"/>
      <c r="T1092" s="1111"/>
      <c r="U1092" s="1111"/>
      <c r="V1092" s="1111"/>
      <c r="W1092" s="1111"/>
      <c r="X1092" s="1111"/>
      <c r="Y1092" s="1111"/>
      <c r="Z1092" s="1111"/>
      <c r="AA1092" s="1111"/>
      <c r="AB1092" s="1111"/>
      <c r="AC1092" s="1111"/>
      <c r="AD1092" s="1111"/>
      <c r="AE1092" s="1111"/>
      <c r="AF1092" s="1111"/>
      <c r="AG1092" s="1111"/>
    </row>
    <row r="1093" spans="1:33" s="1295" customFormat="1">
      <c r="A1093" s="1264"/>
      <c r="D1093" s="1118"/>
      <c r="E1093" s="1264"/>
      <c r="F1093" s="1118"/>
      <c r="G1093" s="1118"/>
      <c r="H1093" s="1118"/>
      <c r="I1093" s="1118"/>
      <c r="J1093" s="1118"/>
      <c r="K1093" s="1118"/>
      <c r="L1093" s="1118"/>
      <c r="M1093" s="1118"/>
      <c r="N1093" s="1118"/>
      <c r="O1093" s="1118"/>
      <c r="P1093" s="1118"/>
      <c r="Q1093" s="1111"/>
      <c r="R1093" s="1111"/>
      <c r="S1093" s="1111"/>
      <c r="T1093" s="1111"/>
      <c r="U1093" s="1111"/>
      <c r="V1093" s="1111"/>
      <c r="W1093" s="1111"/>
      <c r="X1093" s="1111"/>
      <c r="Y1093" s="1111"/>
      <c r="Z1093" s="1111"/>
      <c r="AA1093" s="1111"/>
      <c r="AB1093" s="1111"/>
      <c r="AC1093" s="1111"/>
      <c r="AD1093" s="1111"/>
      <c r="AE1093" s="1111"/>
      <c r="AF1093" s="1111"/>
      <c r="AG1093" s="1111"/>
    </row>
    <row r="1094" spans="1:33" s="1295" customFormat="1">
      <c r="A1094" s="1264"/>
      <c r="D1094" s="1118"/>
      <c r="E1094" s="1264"/>
      <c r="F1094" s="1118"/>
      <c r="G1094" s="1118"/>
      <c r="H1094" s="1118"/>
      <c r="I1094" s="1118"/>
      <c r="J1094" s="1118"/>
      <c r="K1094" s="1118"/>
      <c r="L1094" s="1118"/>
      <c r="M1094" s="1118"/>
      <c r="N1094" s="1118"/>
      <c r="O1094" s="1118"/>
      <c r="P1094" s="1118"/>
      <c r="Q1094" s="1111"/>
      <c r="R1094" s="1111"/>
      <c r="S1094" s="1111"/>
      <c r="T1094" s="1111"/>
      <c r="U1094" s="1111"/>
      <c r="V1094" s="1111"/>
      <c r="W1094" s="1111"/>
      <c r="X1094" s="1111"/>
      <c r="Y1094" s="1111"/>
      <c r="Z1094" s="1111"/>
      <c r="AA1094" s="1111"/>
      <c r="AB1094" s="1111"/>
      <c r="AC1094" s="1111"/>
      <c r="AD1094" s="1111"/>
      <c r="AE1094" s="1111"/>
      <c r="AF1094" s="1111"/>
      <c r="AG1094" s="1111"/>
    </row>
    <row r="1095" spans="1:33" s="1295" customFormat="1">
      <c r="A1095" s="1264"/>
      <c r="D1095" s="1118"/>
      <c r="E1095" s="1264"/>
      <c r="F1095" s="1118"/>
      <c r="G1095" s="1118"/>
      <c r="H1095" s="1118"/>
      <c r="I1095" s="1118"/>
      <c r="J1095" s="1118"/>
      <c r="K1095" s="1118"/>
      <c r="L1095" s="1118"/>
      <c r="M1095" s="1118"/>
      <c r="N1095" s="1118"/>
      <c r="O1095" s="1118"/>
      <c r="P1095" s="1118"/>
      <c r="Q1095" s="1111"/>
      <c r="R1095" s="1111"/>
      <c r="S1095" s="1111"/>
      <c r="T1095" s="1111"/>
      <c r="U1095" s="1111"/>
      <c r="V1095" s="1111"/>
      <c r="W1095" s="1111"/>
      <c r="X1095" s="1111"/>
      <c r="Y1095" s="1111"/>
      <c r="Z1095" s="1111"/>
      <c r="AA1095" s="1111"/>
      <c r="AB1095" s="1111"/>
      <c r="AC1095" s="1111"/>
      <c r="AD1095" s="1111"/>
      <c r="AE1095" s="1111"/>
      <c r="AF1095" s="1111"/>
      <c r="AG1095" s="1111"/>
    </row>
    <row r="1096" spans="1:33" s="1295" customFormat="1">
      <c r="A1096" s="1264"/>
      <c r="D1096" s="1118"/>
      <c r="E1096" s="1264"/>
      <c r="F1096" s="1118"/>
      <c r="G1096" s="1118"/>
      <c r="H1096" s="1118"/>
      <c r="I1096" s="1118"/>
      <c r="J1096" s="1118"/>
      <c r="K1096" s="1118"/>
      <c r="L1096" s="1118"/>
      <c r="M1096" s="1118"/>
      <c r="N1096" s="1118"/>
      <c r="O1096" s="1118"/>
      <c r="P1096" s="1118"/>
      <c r="Q1096" s="1111"/>
      <c r="R1096" s="1111"/>
      <c r="S1096" s="1111"/>
      <c r="T1096" s="1111"/>
      <c r="U1096" s="1111"/>
      <c r="V1096" s="1111"/>
      <c r="W1096" s="1111"/>
      <c r="X1096" s="1111"/>
      <c r="Y1096" s="1111"/>
      <c r="Z1096" s="1111"/>
      <c r="AA1096" s="1111"/>
      <c r="AB1096" s="1111"/>
      <c r="AC1096" s="1111"/>
      <c r="AD1096" s="1111"/>
      <c r="AE1096" s="1111"/>
      <c r="AF1096" s="1111"/>
      <c r="AG1096" s="1111"/>
    </row>
    <row r="1097" spans="1:33" s="1295" customFormat="1">
      <c r="A1097" s="1264"/>
      <c r="D1097" s="1118"/>
      <c r="E1097" s="1264"/>
      <c r="F1097" s="1118"/>
      <c r="G1097" s="1118"/>
      <c r="H1097" s="1118"/>
      <c r="I1097" s="1118"/>
      <c r="J1097" s="1118"/>
      <c r="K1097" s="1118"/>
      <c r="L1097" s="1118"/>
      <c r="M1097" s="1118"/>
      <c r="N1097" s="1118"/>
      <c r="O1097" s="1118"/>
      <c r="P1097" s="1118"/>
      <c r="Q1097" s="1111"/>
      <c r="R1097" s="1111"/>
      <c r="S1097" s="1111"/>
      <c r="T1097" s="1111"/>
      <c r="U1097" s="1111"/>
      <c r="V1097" s="1111"/>
      <c r="W1097" s="1111"/>
      <c r="X1097" s="1111"/>
      <c r="Y1097" s="1111"/>
      <c r="Z1097" s="1111"/>
      <c r="AA1097" s="1111"/>
      <c r="AB1097" s="1111"/>
      <c r="AC1097" s="1111"/>
      <c r="AD1097" s="1111"/>
      <c r="AE1097" s="1111"/>
      <c r="AF1097" s="1111"/>
      <c r="AG1097" s="1111"/>
    </row>
    <row r="1098" spans="1:33" s="1295" customFormat="1">
      <c r="A1098" s="1264"/>
      <c r="D1098" s="1118"/>
      <c r="E1098" s="1264"/>
      <c r="F1098" s="1118"/>
      <c r="G1098" s="1118"/>
      <c r="H1098" s="1118"/>
      <c r="I1098" s="1118"/>
      <c r="J1098" s="1118"/>
      <c r="K1098" s="1118"/>
      <c r="L1098" s="1118"/>
      <c r="M1098" s="1118"/>
      <c r="N1098" s="1118"/>
      <c r="O1098" s="1118"/>
      <c r="P1098" s="1118"/>
      <c r="Q1098" s="1111"/>
      <c r="R1098" s="1111"/>
      <c r="S1098" s="1111"/>
      <c r="T1098" s="1111"/>
      <c r="U1098" s="1111"/>
      <c r="V1098" s="1111"/>
      <c r="W1098" s="1111"/>
      <c r="X1098" s="1111"/>
      <c r="Y1098" s="1111"/>
      <c r="Z1098" s="1111"/>
      <c r="AA1098" s="1111"/>
      <c r="AB1098" s="1111"/>
      <c r="AC1098" s="1111"/>
      <c r="AD1098" s="1111"/>
      <c r="AE1098" s="1111"/>
      <c r="AF1098" s="1111"/>
      <c r="AG1098" s="1111"/>
    </row>
    <row r="1099" spans="1:33" s="1295" customFormat="1">
      <c r="A1099" s="1264"/>
      <c r="D1099" s="1118"/>
      <c r="E1099" s="1264"/>
      <c r="F1099" s="1118"/>
      <c r="G1099" s="1118"/>
      <c r="H1099" s="1118"/>
      <c r="I1099" s="1118"/>
      <c r="J1099" s="1118"/>
      <c r="K1099" s="1118"/>
      <c r="L1099" s="1118"/>
      <c r="M1099" s="1118"/>
      <c r="N1099" s="1118"/>
      <c r="O1099" s="1118"/>
      <c r="P1099" s="1118"/>
      <c r="Q1099" s="1111"/>
      <c r="R1099" s="1111"/>
      <c r="S1099" s="1111"/>
      <c r="T1099" s="1111"/>
      <c r="U1099" s="1111"/>
      <c r="V1099" s="1111"/>
      <c r="W1099" s="1111"/>
      <c r="X1099" s="1111"/>
      <c r="Y1099" s="1111"/>
      <c r="Z1099" s="1111"/>
      <c r="AA1099" s="1111"/>
      <c r="AB1099" s="1111"/>
      <c r="AC1099" s="1111"/>
      <c r="AD1099" s="1111"/>
      <c r="AE1099" s="1111"/>
      <c r="AF1099" s="1111"/>
      <c r="AG1099" s="1111"/>
    </row>
    <row r="1100" spans="1:33" s="1295" customFormat="1">
      <c r="A1100" s="1264"/>
      <c r="D1100" s="1118"/>
      <c r="E1100" s="1264"/>
      <c r="F1100" s="1118"/>
      <c r="G1100" s="1118"/>
      <c r="H1100" s="1118"/>
      <c r="I1100" s="1118"/>
      <c r="J1100" s="1118"/>
      <c r="K1100" s="1118"/>
      <c r="L1100" s="1118"/>
      <c r="M1100" s="1118"/>
      <c r="N1100" s="1118"/>
      <c r="O1100" s="1118"/>
      <c r="P1100" s="1118"/>
      <c r="Q1100" s="1111"/>
      <c r="R1100" s="1111"/>
      <c r="S1100" s="1111"/>
      <c r="T1100" s="1111"/>
      <c r="U1100" s="1111"/>
      <c r="V1100" s="1111"/>
      <c r="W1100" s="1111"/>
      <c r="X1100" s="1111"/>
      <c r="Y1100" s="1111"/>
      <c r="Z1100" s="1111"/>
      <c r="AA1100" s="1111"/>
      <c r="AB1100" s="1111"/>
      <c r="AC1100" s="1111"/>
      <c r="AD1100" s="1111"/>
      <c r="AE1100" s="1111"/>
      <c r="AF1100" s="1111"/>
      <c r="AG1100" s="1111"/>
    </row>
    <row r="1101" spans="1:33" s="1295" customFormat="1">
      <c r="A1101" s="1264"/>
      <c r="D1101" s="1118"/>
      <c r="E1101" s="1264"/>
      <c r="F1101" s="1118"/>
      <c r="G1101" s="1118"/>
      <c r="H1101" s="1118"/>
      <c r="I1101" s="1118"/>
      <c r="J1101" s="1118"/>
      <c r="K1101" s="1118"/>
      <c r="L1101" s="1118"/>
      <c r="M1101" s="1118"/>
      <c r="N1101" s="1118"/>
      <c r="O1101" s="1118"/>
      <c r="P1101" s="1118"/>
      <c r="Q1101" s="1111"/>
      <c r="R1101" s="1111"/>
      <c r="S1101" s="1111"/>
      <c r="T1101" s="1111"/>
      <c r="U1101" s="1111"/>
      <c r="V1101" s="1111"/>
      <c r="W1101" s="1111"/>
      <c r="X1101" s="1111"/>
      <c r="Y1101" s="1111"/>
      <c r="Z1101" s="1111"/>
      <c r="AA1101" s="1111"/>
      <c r="AB1101" s="1111"/>
      <c r="AC1101" s="1111"/>
      <c r="AD1101" s="1111"/>
      <c r="AE1101" s="1111"/>
      <c r="AF1101" s="1111"/>
      <c r="AG1101" s="1111"/>
    </row>
    <row r="1102" spans="1:33" s="1295" customFormat="1">
      <c r="A1102" s="1264"/>
      <c r="D1102" s="1118"/>
      <c r="E1102" s="1264"/>
      <c r="F1102" s="1118"/>
      <c r="G1102" s="1118"/>
      <c r="H1102" s="1118"/>
      <c r="I1102" s="1118"/>
      <c r="J1102" s="1118"/>
      <c r="K1102" s="1118"/>
      <c r="L1102" s="1118"/>
      <c r="M1102" s="1118"/>
      <c r="N1102" s="1118"/>
      <c r="O1102" s="1118"/>
      <c r="P1102" s="1118"/>
      <c r="Q1102" s="1111"/>
      <c r="R1102" s="1111"/>
      <c r="S1102" s="1111"/>
      <c r="T1102" s="1111"/>
      <c r="U1102" s="1111"/>
      <c r="V1102" s="1111"/>
      <c r="W1102" s="1111"/>
      <c r="X1102" s="1111"/>
      <c r="Y1102" s="1111"/>
      <c r="Z1102" s="1111"/>
      <c r="AA1102" s="1111"/>
      <c r="AB1102" s="1111"/>
      <c r="AC1102" s="1111"/>
      <c r="AD1102" s="1111"/>
      <c r="AE1102" s="1111"/>
      <c r="AF1102" s="1111"/>
      <c r="AG1102" s="1111"/>
    </row>
    <row r="1103" spans="1:33" s="1295" customFormat="1">
      <c r="A1103" s="1264"/>
      <c r="D1103" s="1118"/>
      <c r="E1103" s="1264"/>
      <c r="F1103" s="1118"/>
      <c r="G1103" s="1118"/>
      <c r="H1103" s="1118"/>
      <c r="I1103" s="1118"/>
      <c r="J1103" s="1118"/>
      <c r="K1103" s="1118"/>
      <c r="L1103" s="1118"/>
      <c r="M1103" s="1118"/>
      <c r="N1103" s="1118"/>
      <c r="O1103" s="1118"/>
      <c r="P1103" s="1118"/>
      <c r="Q1103" s="1111"/>
      <c r="R1103" s="1111"/>
      <c r="S1103" s="1111"/>
      <c r="T1103" s="1111"/>
      <c r="U1103" s="1111"/>
      <c r="V1103" s="1111"/>
      <c r="W1103" s="1111"/>
      <c r="X1103" s="1111"/>
      <c r="Y1103" s="1111"/>
      <c r="Z1103" s="1111"/>
      <c r="AA1103" s="1111"/>
      <c r="AB1103" s="1111"/>
      <c r="AC1103" s="1111"/>
      <c r="AD1103" s="1111"/>
      <c r="AE1103" s="1111"/>
      <c r="AF1103" s="1111"/>
      <c r="AG1103" s="1111"/>
    </row>
    <row r="1104" spans="1:33" s="1295" customFormat="1">
      <c r="A1104" s="1264"/>
      <c r="D1104" s="1118"/>
      <c r="E1104" s="1264"/>
      <c r="F1104" s="1118"/>
      <c r="G1104" s="1118"/>
      <c r="H1104" s="1118"/>
      <c r="I1104" s="1118"/>
      <c r="J1104" s="1118"/>
      <c r="K1104" s="1118"/>
      <c r="L1104" s="1118"/>
      <c r="M1104" s="1118"/>
      <c r="N1104" s="1118"/>
      <c r="O1104" s="1118"/>
      <c r="P1104" s="1118"/>
      <c r="Q1104" s="1111"/>
      <c r="R1104" s="1111"/>
      <c r="S1104" s="1111"/>
      <c r="T1104" s="1111"/>
      <c r="U1104" s="1111"/>
      <c r="V1104" s="1111"/>
      <c r="W1104" s="1111"/>
      <c r="X1104" s="1111"/>
      <c r="Y1104" s="1111"/>
      <c r="Z1104" s="1111"/>
      <c r="AA1104" s="1111"/>
      <c r="AB1104" s="1111"/>
      <c r="AC1104" s="1111"/>
      <c r="AD1104" s="1111"/>
      <c r="AE1104" s="1111"/>
      <c r="AF1104" s="1111"/>
      <c r="AG1104" s="1111"/>
    </row>
    <row r="1105" spans="1:33" s="1295" customFormat="1">
      <c r="A1105" s="1264"/>
      <c r="D1105" s="1118"/>
      <c r="E1105" s="1264"/>
      <c r="F1105" s="1118"/>
      <c r="G1105" s="1118"/>
      <c r="H1105" s="1118"/>
      <c r="I1105" s="1118"/>
      <c r="J1105" s="1118"/>
      <c r="K1105" s="1118"/>
      <c r="L1105" s="1118"/>
      <c r="M1105" s="1118"/>
      <c r="N1105" s="1118"/>
      <c r="O1105" s="1118"/>
      <c r="P1105" s="1118"/>
      <c r="Q1105" s="1111"/>
      <c r="R1105" s="1111"/>
      <c r="S1105" s="1111"/>
      <c r="T1105" s="1111"/>
      <c r="U1105" s="1111"/>
      <c r="V1105" s="1111"/>
      <c r="W1105" s="1111"/>
      <c r="X1105" s="1111"/>
      <c r="Y1105" s="1111"/>
      <c r="Z1105" s="1111"/>
      <c r="AA1105" s="1111"/>
      <c r="AB1105" s="1111"/>
      <c r="AC1105" s="1111"/>
      <c r="AD1105" s="1111"/>
      <c r="AE1105" s="1111"/>
      <c r="AF1105" s="1111"/>
      <c r="AG1105" s="1111"/>
    </row>
    <row r="1106" spans="1:33" s="1295" customFormat="1">
      <c r="A1106" s="1264"/>
      <c r="D1106" s="1118"/>
      <c r="E1106" s="1264"/>
      <c r="F1106" s="1118"/>
      <c r="G1106" s="1118"/>
      <c r="H1106" s="1118"/>
      <c r="I1106" s="1118"/>
      <c r="J1106" s="1118"/>
      <c r="K1106" s="1118"/>
      <c r="L1106" s="1118"/>
      <c r="M1106" s="1118"/>
      <c r="N1106" s="1118"/>
      <c r="O1106" s="1118"/>
      <c r="P1106" s="1118"/>
      <c r="Q1106" s="1111"/>
      <c r="R1106" s="1111"/>
      <c r="S1106" s="1111"/>
      <c r="T1106" s="1111"/>
      <c r="U1106" s="1111"/>
      <c r="V1106" s="1111"/>
      <c r="W1106" s="1111"/>
      <c r="X1106" s="1111"/>
      <c r="Y1106" s="1111"/>
      <c r="Z1106" s="1111"/>
      <c r="AA1106" s="1111"/>
      <c r="AB1106" s="1111"/>
      <c r="AC1106" s="1111"/>
      <c r="AD1106" s="1111"/>
      <c r="AE1106" s="1111"/>
      <c r="AF1106" s="1111"/>
      <c r="AG1106" s="1111"/>
    </row>
    <row r="1107" spans="1:33" s="1295" customFormat="1">
      <c r="A1107" s="1264"/>
      <c r="D1107" s="1118"/>
      <c r="E1107" s="1264"/>
      <c r="F1107" s="1118"/>
      <c r="G1107" s="1118"/>
      <c r="H1107" s="1118"/>
      <c r="I1107" s="1118"/>
      <c r="J1107" s="1118"/>
      <c r="K1107" s="1118"/>
      <c r="L1107" s="1118"/>
      <c r="M1107" s="1118"/>
      <c r="N1107" s="1118"/>
      <c r="O1107" s="1118"/>
      <c r="P1107" s="1118"/>
      <c r="Q1107" s="1111"/>
      <c r="R1107" s="1111"/>
      <c r="S1107" s="1111"/>
      <c r="T1107" s="1111"/>
      <c r="U1107" s="1111"/>
      <c r="V1107" s="1111"/>
      <c r="W1107" s="1111"/>
      <c r="X1107" s="1111"/>
      <c r="Y1107" s="1111"/>
      <c r="Z1107" s="1111"/>
      <c r="AA1107" s="1111"/>
      <c r="AB1107" s="1111"/>
      <c r="AC1107" s="1111"/>
      <c r="AD1107" s="1111"/>
      <c r="AE1107" s="1111"/>
      <c r="AF1107" s="1111"/>
      <c r="AG1107" s="1111"/>
    </row>
    <row r="1108" spans="1:33" s="1295" customFormat="1">
      <c r="A1108" s="1264"/>
      <c r="D1108" s="1118"/>
      <c r="E1108" s="1264"/>
      <c r="F1108" s="1118"/>
      <c r="G1108" s="1118"/>
      <c r="H1108" s="1118"/>
      <c r="I1108" s="1118"/>
      <c r="J1108" s="1118"/>
      <c r="K1108" s="1118"/>
      <c r="L1108" s="1118"/>
      <c r="M1108" s="1118"/>
      <c r="N1108" s="1118"/>
      <c r="O1108" s="1118"/>
      <c r="P1108" s="1118"/>
      <c r="Q1108" s="1111"/>
      <c r="R1108" s="1111"/>
      <c r="S1108" s="1111"/>
      <c r="T1108" s="1111"/>
      <c r="U1108" s="1111"/>
      <c r="V1108" s="1111"/>
      <c r="W1108" s="1111"/>
      <c r="X1108" s="1111"/>
      <c r="Y1108" s="1111"/>
      <c r="Z1108" s="1111"/>
      <c r="AA1108" s="1111"/>
      <c r="AB1108" s="1111"/>
      <c r="AC1108" s="1111"/>
      <c r="AD1108" s="1111"/>
      <c r="AE1108" s="1111"/>
      <c r="AF1108" s="1111"/>
      <c r="AG1108" s="1111"/>
    </row>
    <row r="1109" spans="1:33" s="1295" customFormat="1">
      <c r="A1109" s="1264"/>
      <c r="D1109" s="1118"/>
      <c r="E1109" s="1264"/>
      <c r="F1109" s="1118"/>
      <c r="G1109" s="1118"/>
      <c r="H1109" s="1118"/>
      <c r="I1109" s="1118"/>
      <c r="J1109" s="1118"/>
      <c r="K1109" s="1118"/>
      <c r="L1109" s="1118"/>
      <c r="M1109" s="1118"/>
      <c r="N1109" s="1118"/>
      <c r="O1109" s="1118"/>
      <c r="P1109" s="1118"/>
      <c r="Q1109" s="1111"/>
      <c r="R1109" s="1111"/>
      <c r="S1109" s="1111"/>
      <c r="T1109" s="1111"/>
      <c r="U1109" s="1111"/>
      <c r="V1109" s="1111"/>
      <c r="W1109" s="1111"/>
      <c r="X1109" s="1111"/>
      <c r="Y1109" s="1111"/>
      <c r="Z1109" s="1111"/>
      <c r="AA1109" s="1111"/>
      <c r="AB1109" s="1111"/>
      <c r="AC1109" s="1111"/>
      <c r="AD1109" s="1111"/>
      <c r="AE1109" s="1111"/>
      <c r="AF1109" s="1111"/>
      <c r="AG1109" s="1111"/>
    </row>
    <row r="1110" spans="1:33" s="1295" customFormat="1">
      <c r="A1110" s="1264"/>
      <c r="D1110" s="1118"/>
      <c r="E1110" s="1264"/>
      <c r="F1110" s="1118"/>
      <c r="G1110" s="1118"/>
      <c r="H1110" s="1118"/>
      <c r="I1110" s="1118"/>
      <c r="J1110" s="1118"/>
      <c r="K1110" s="1118"/>
      <c r="L1110" s="1118"/>
      <c r="M1110" s="1118"/>
      <c r="N1110" s="1118"/>
      <c r="O1110" s="1118"/>
      <c r="P1110" s="1118"/>
      <c r="Q1110" s="1111"/>
      <c r="R1110" s="1111"/>
      <c r="S1110" s="1111"/>
      <c r="T1110" s="1111"/>
      <c r="U1110" s="1111"/>
      <c r="V1110" s="1111"/>
      <c r="W1110" s="1111"/>
      <c r="X1110" s="1111"/>
      <c r="Y1110" s="1111"/>
      <c r="Z1110" s="1111"/>
      <c r="AA1110" s="1111"/>
      <c r="AB1110" s="1111"/>
      <c r="AC1110" s="1111"/>
      <c r="AD1110" s="1111"/>
      <c r="AE1110" s="1111"/>
      <c r="AF1110" s="1111"/>
      <c r="AG1110" s="1111"/>
    </row>
    <row r="1111" spans="1:33" s="1295" customFormat="1">
      <c r="A1111" s="1264"/>
      <c r="D1111" s="1118"/>
      <c r="E1111" s="1264"/>
      <c r="F1111" s="1118"/>
      <c r="G1111" s="1118"/>
      <c r="H1111" s="1118"/>
      <c r="I1111" s="1118"/>
      <c r="J1111" s="1118"/>
      <c r="K1111" s="1118"/>
      <c r="L1111" s="1118"/>
      <c r="M1111" s="1118"/>
      <c r="N1111" s="1118"/>
      <c r="O1111" s="1118"/>
      <c r="P1111" s="1118"/>
      <c r="Q1111" s="1111"/>
      <c r="R1111" s="1111"/>
      <c r="S1111" s="1111"/>
      <c r="T1111" s="1111"/>
      <c r="U1111" s="1111"/>
      <c r="V1111" s="1111"/>
      <c r="W1111" s="1111"/>
      <c r="X1111" s="1111"/>
      <c r="Y1111" s="1111"/>
      <c r="Z1111" s="1111"/>
      <c r="AA1111" s="1111"/>
      <c r="AB1111" s="1111"/>
      <c r="AC1111" s="1111"/>
      <c r="AD1111" s="1111"/>
      <c r="AE1111" s="1111"/>
      <c r="AF1111" s="1111"/>
      <c r="AG1111" s="1111"/>
    </row>
    <row r="1112" spans="1:33" s="1295" customFormat="1">
      <c r="A1112" s="1264"/>
      <c r="D1112" s="1118"/>
      <c r="E1112" s="1264"/>
      <c r="F1112" s="1118"/>
      <c r="G1112" s="1118"/>
      <c r="H1112" s="1118"/>
      <c r="I1112" s="1118"/>
      <c r="J1112" s="1118"/>
      <c r="K1112" s="1118"/>
      <c r="L1112" s="1118"/>
      <c r="M1112" s="1118"/>
      <c r="N1112" s="1118"/>
      <c r="O1112" s="1118"/>
      <c r="P1112" s="1118"/>
      <c r="Q1112" s="1111"/>
      <c r="R1112" s="1111"/>
      <c r="S1112" s="1111"/>
      <c r="T1112" s="1111"/>
      <c r="U1112" s="1111"/>
      <c r="V1112" s="1111"/>
      <c r="W1112" s="1111"/>
      <c r="X1112" s="1111"/>
      <c r="Y1112" s="1111"/>
      <c r="Z1112" s="1111"/>
      <c r="AA1112" s="1111"/>
      <c r="AB1112" s="1111"/>
      <c r="AC1112" s="1111"/>
      <c r="AD1112" s="1111"/>
      <c r="AE1112" s="1111"/>
      <c r="AF1112" s="1111"/>
      <c r="AG1112" s="1111"/>
    </row>
    <row r="1113" spans="1:33" s="1295" customFormat="1">
      <c r="A1113" s="1264"/>
      <c r="D1113" s="1118"/>
      <c r="E1113" s="1264"/>
      <c r="F1113" s="1118"/>
      <c r="G1113" s="1118"/>
      <c r="H1113" s="1118"/>
      <c r="I1113" s="1118"/>
      <c r="J1113" s="1118"/>
      <c r="K1113" s="1118"/>
      <c r="L1113" s="1118"/>
      <c r="M1113" s="1118"/>
      <c r="N1113" s="1118"/>
      <c r="O1113" s="1118"/>
      <c r="P1113" s="1118"/>
      <c r="Q1113" s="1111"/>
      <c r="R1113" s="1111"/>
      <c r="S1113" s="1111"/>
      <c r="T1113" s="1111"/>
      <c r="U1113" s="1111"/>
      <c r="V1113" s="1111"/>
      <c r="W1113" s="1111"/>
      <c r="X1113" s="1111"/>
      <c r="Y1113" s="1111"/>
      <c r="Z1113" s="1111"/>
      <c r="AA1113" s="1111"/>
      <c r="AB1113" s="1111"/>
      <c r="AC1113" s="1111"/>
      <c r="AD1113" s="1111"/>
      <c r="AE1113" s="1111"/>
      <c r="AF1113" s="1111"/>
      <c r="AG1113" s="1111"/>
    </row>
    <row r="1114" spans="1:33" s="1295" customFormat="1">
      <c r="A1114" s="1264"/>
      <c r="D1114" s="1118"/>
      <c r="E1114" s="1264"/>
      <c r="F1114" s="1118"/>
      <c r="G1114" s="1118"/>
      <c r="H1114" s="1118"/>
      <c r="I1114" s="1118"/>
      <c r="J1114" s="1118"/>
      <c r="K1114" s="1118"/>
      <c r="L1114" s="1118"/>
      <c r="M1114" s="1118"/>
      <c r="N1114" s="1118"/>
      <c r="O1114" s="1118"/>
      <c r="P1114" s="1118"/>
      <c r="Q1114" s="1111"/>
      <c r="R1114" s="1111"/>
      <c r="S1114" s="1111"/>
      <c r="T1114" s="1111"/>
      <c r="U1114" s="1111"/>
      <c r="V1114" s="1111"/>
      <c r="W1114" s="1111"/>
      <c r="X1114" s="1111"/>
      <c r="Y1114" s="1111"/>
      <c r="Z1114" s="1111"/>
      <c r="AA1114" s="1111"/>
      <c r="AB1114" s="1111"/>
      <c r="AC1114" s="1111"/>
      <c r="AD1114" s="1111"/>
      <c r="AE1114" s="1111"/>
      <c r="AF1114" s="1111"/>
      <c r="AG1114" s="1111"/>
    </row>
    <row r="1115" spans="1:33" s="1295" customFormat="1">
      <c r="A1115" s="1264"/>
      <c r="D1115" s="1118"/>
      <c r="E1115" s="1264"/>
      <c r="F1115" s="1118"/>
      <c r="G1115" s="1118"/>
      <c r="H1115" s="1118"/>
      <c r="I1115" s="1118"/>
      <c r="J1115" s="1118"/>
      <c r="K1115" s="1118"/>
      <c r="L1115" s="1118"/>
      <c r="M1115" s="1118"/>
      <c r="N1115" s="1118"/>
      <c r="O1115" s="1118"/>
      <c r="P1115" s="1118"/>
      <c r="Q1115" s="1111"/>
      <c r="R1115" s="1111"/>
      <c r="S1115" s="1111"/>
      <c r="T1115" s="1111"/>
      <c r="U1115" s="1111"/>
      <c r="V1115" s="1111"/>
      <c r="W1115" s="1111"/>
      <c r="X1115" s="1111"/>
      <c r="Y1115" s="1111"/>
      <c r="Z1115" s="1111"/>
      <c r="AA1115" s="1111"/>
      <c r="AB1115" s="1111"/>
      <c r="AC1115" s="1111"/>
      <c r="AD1115" s="1111"/>
      <c r="AE1115" s="1111"/>
      <c r="AF1115" s="1111"/>
      <c r="AG1115" s="1111"/>
    </row>
    <row r="1116" spans="1:33" s="1295" customFormat="1">
      <c r="A1116" s="1264"/>
      <c r="D1116" s="1118"/>
      <c r="E1116" s="1264"/>
      <c r="F1116" s="1118"/>
      <c r="G1116" s="1118"/>
      <c r="H1116" s="1118"/>
      <c r="I1116" s="1118"/>
      <c r="J1116" s="1118"/>
      <c r="K1116" s="1118"/>
      <c r="L1116" s="1118"/>
      <c r="M1116" s="1118"/>
      <c r="N1116" s="1118"/>
      <c r="O1116" s="1118"/>
      <c r="P1116" s="1118"/>
      <c r="Q1116" s="1111"/>
      <c r="R1116" s="1111"/>
      <c r="S1116" s="1111"/>
      <c r="T1116" s="1111"/>
      <c r="U1116" s="1111"/>
      <c r="V1116" s="1111"/>
      <c r="W1116" s="1111"/>
      <c r="X1116" s="1111"/>
      <c r="Y1116" s="1111"/>
      <c r="Z1116" s="1111"/>
      <c r="AA1116" s="1111"/>
      <c r="AB1116" s="1111"/>
      <c r="AC1116" s="1111"/>
      <c r="AD1116" s="1111"/>
      <c r="AE1116" s="1111"/>
      <c r="AF1116" s="1111"/>
      <c r="AG1116" s="1111"/>
    </row>
    <row r="1117" spans="1:33" s="1295" customFormat="1">
      <c r="A1117" s="1264"/>
      <c r="D1117" s="1118"/>
      <c r="E1117" s="1264"/>
      <c r="F1117" s="1118"/>
      <c r="G1117" s="1118"/>
      <c r="H1117" s="1118"/>
      <c r="I1117" s="1118"/>
      <c r="J1117" s="1118"/>
      <c r="K1117" s="1118"/>
      <c r="L1117" s="1118"/>
      <c r="M1117" s="1118"/>
      <c r="N1117" s="1118"/>
      <c r="O1117" s="1118"/>
      <c r="P1117" s="1118"/>
      <c r="Q1117" s="1111"/>
      <c r="R1117" s="1111"/>
      <c r="S1117" s="1111"/>
      <c r="T1117" s="1111"/>
      <c r="U1117" s="1111"/>
      <c r="V1117" s="1111"/>
      <c r="W1117" s="1111"/>
      <c r="X1117" s="1111"/>
      <c r="Y1117" s="1111"/>
      <c r="Z1117" s="1111"/>
      <c r="AA1117" s="1111"/>
      <c r="AB1117" s="1111"/>
      <c r="AC1117" s="1111"/>
      <c r="AD1117" s="1111"/>
      <c r="AE1117" s="1111"/>
      <c r="AF1117" s="1111"/>
      <c r="AG1117" s="1111"/>
    </row>
    <row r="1118" spans="1:33" s="1295" customFormat="1">
      <c r="A1118" s="1264"/>
      <c r="D1118" s="1118"/>
      <c r="E1118" s="1264"/>
      <c r="F1118" s="1118"/>
      <c r="G1118" s="1118"/>
      <c r="H1118" s="1118"/>
      <c r="I1118" s="1118"/>
      <c r="J1118" s="1118"/>
      <c r="K1118" s="1118"/>
      <c r="L1118" s="1118"/>
      <c r="M1118" s="1118"/>
      <c r="N1118" s="1118"/>
      <c r="O1118" s="1118"/>
      <c r="P1118" s="1118"/>
      <c r="Q1118" s="1111"/>
      <c r="R1118" s="1111"/>
      <c r="S1118" s="1111"/>
      <c r="T1118" s="1111"/>
      <c r="U1118" s="1111"/>
      <c r="V1118" s="1111"/>
      <c r="W1118" s="1111"/>
      <c r="X1118" s="1111"/>
      <c r="Y1118" s="1111"/>
      <c r="Z1118" s="1111"/>
      <c r="AA1118" s="1111"/>
      <c r="AB1118" s="1111"/>
      <c r="AC1118" s="1111"/>
      <c r="AD1118" s="1111"/>
      <c r="AE1118" s="1111"/>
      <c r="AF1118" s="1111"/>
      <c r="AG1118" s="1111"/>
    </row>
    <row r="1119" spans="1:33" s="1295" customFormat="1">
      <c r="A1119" s="1264"/>
      <c r="D1119" s="1118"/>
      <c r="E1119" s="1264"/>
      <c r="F1119" s="1118"/>
      <c r="G1119" s="1118"/>
      <c r="H1119" s="1118"/>
      <c r="I1119" s="1118"/>
      <c r="J1119" s="1118"/>
      <c r="K1119" s="1118"/>
      <c r="L1119" s="1118"/>
      <c r="M1119" s="1118"/>
      <c r="N1119" s="1118"/>
      <c r="O1119" s="1118"/>
      <c r="P1119" s="1118"/>
      <c r="Q1119" s="1111"/>
      <c r="R1119" s="1111"/>
      <c r="S1119" s="1111"/>
      <c r="T1119" s="1111"/>
      <c r="U1119" s="1111"/>
      <c r="V1119" s="1111"/>
      <c r="W1119" s="1111"/>
      <c r="X1119" s="1111"/>
      <c r="Y1119" s="1111"/>
      <c r="Z1119" s="1111"/>
      <c r="AA1119" s="1111"/>
      <c r="AB1119" s="1111"/>
      <c r="AC1119" s="1111"/>
      <c r="AD1119" s="1111"/>
      <c r="AE1119" s="1111"/>
      <c r="AF1119" s="1111"/>
      <c r="AG1119" s="1111"/>
    </row>
    <row r="1120" spans="1:33" s="1295" customFormat="1">
      <c r="A1120" s="1264"/>
      <c r="D1120" s="1118"/>
      <c r="E1120" s="1264"/>
      <c r="F1120" s="1118"/>
      <c r="G1120" s="1118"/>
      <c r="H1120" s="1118"/>
      <c r="I1120" s="1118"/>
      <c r="J1120" s="1118"/>
      <c r="K1120" s="1118"/>
      <c r="L1120" s="1118"/>
      <c r="M1120" s="1118"/>
      <c r="N1120" s="1118"/>
      <c r="O1120" s="1118"/>
      <c r="P1120" s="1118"/>
      <c r="Q1120" s="1111"/>
      <c r="R1120" s="1111"/>
      <c r="S1120" s="1111"/>
      <c r="T1120" s="1111"/>
      <c r="U1120" s="1111"/>
      <c r="V1120" s="1111"/>
      <c r="W1120" s="1111"/>
      <c r="X1120" s="1111"/>
      <c r="Y1120" s="1111"/>
      <c r="Z1120" s="1111"/>
      <c r="AA1120" s="1111"/>
      <c r="AB1120" s="1111"/>
      <c r="AC1120" s="1111"/>
      <c r="AD1120" s="1111"/>
      <c r="AE1120" s="1111"/>
      <c r="AF1120" s="1111"/>
      <c r="AG1120" s="1111"/>
    </row>
    <row r="1121" spans="1:33" s="1295" customFormat="1">
      <c r="A1121" s="1264"/>
      <c r="D1121" s="1118"/>
      <c r="E1121" s="1264"/>
      <c r="F1121" s="1118"/>
      <c r="G1121" s="1118"/>
      <c r="H1121" s="1118"/>
      <c r="I1121" s="1118"/>
      <c r="J1121" s="1118"/>
      <c r="K1121" s="1118"/>
      <c r="L1121" s="1118"/>
      <c r="M1121" s="1118"/>
      <c r="N1121" s="1118"/>
      <c r="O1121" s="1118"/>
      <c r="P1121" s="1118"/>
      <c r="Q1121" s="1111"/>
      <c r="R1121" s="1111"/>
      <c r="S1121" s="1111"/>
      <c r="T1121" s="1111"/>
      <c r="U1121" s="1111"/>
      <c r="V1121" s="1111"/>
      <c r="W1121" s="1111"/>
      <c r="X1121" s="1111"/>
      <c r="Y1121" s="1111"/>
      <c r="Z1121" s="1111"/>
      <c r="AA1121" s="1111"/>
      <c r="AB1121" s="1111"/>
      <c r="AC1121" s="1111"/>
      <c r="AD1121" s="1111"/>
      <c r="AE1121" s="1111"/>
      <c r="AF1121" s="1111"/>
      <c r="AG1121" s="1111"/>
    </row>
    <row r="1122" spans="1:33" s="1295" customFormat="1">
      <c r="A1122" s="1264"/>
      <c r="D1122" s="1118"/>
      <c r="E1122" s="1264"/>
      <c r="F1122" s="1118"/>
      <c r="G1122" s="1118"/>
      <c r="H1122" s="1118"/>
      <c r="I1122" s="1118"/>
      <c r="J1122" s="1118"/>
      <c r="K1122" s="1118"/>
      <c r="L1122" s="1118"/>
      <c r="M1122" s="1118"/>
      <c r="N1122" s="1118"/>
      <c r="O1122" s="1118"/>
      <c r="P1122" s="1118"/>
      <c r="Q1122" s="1111"/>
      <c r="R1122" s="1111"/>
      <c r="S1122" s="1111"/>
      <c r="T1122" s="1111"/>
      <c r="U1122" s="1111"/>
      <c r="V1122" s="1111"/>
      <c r="W1122" s="1111"/>
      <c r="X1122" s="1111"/>
      <c r="Y1122" s="1111"/>
      <c r="Z1122" s="1111"/>
      <c r="AA1122" s="1111"/>
      <c r="AB1122" s="1111"/>
      <c r="AC1122" s="1111"/>
      <c r="AD1122" s="1111"/>
      <c r="AE1122" s="1111"/>
      <c r="AF1122" s="1111"/>
      <c r="AG1122" s="1111"/>
    </row>
    <row r="1123" spans="1:33" s="1295" customFormat="1">
      <c r="A1123" s="1264"/>
      <c r="D1123" s="1118"/>
      <c r="E1123" s="1264"/>
      <c r="F1123" s="1118"/>
      <c r="G1123" s="1118"/>
      <c r="H1123" s="1118"/>
      <c r="I1123" s="1118"/>
      <c r="J1123" s="1118"/>
      <c r="K1123" s="1118"/>
      <c r="L1123" s="1118"/>
      <c r="M1123" s="1118"/>
      <c r="N1123" s="1118"/>
      <c r="O1123" s="1118"/>
      <c r="P1123" s="1118"/>
      <c r="Q1123" s="1111"/>
      <c r="R1123" s="1111"/>
      <c r="S1123" s="1111"/>
      <c r="T1123" s="1111"/>
      <c r="U1123" s="1111"/>
      <c r="V1123" s="1111"/>
      <c r="W1123" s="1111"/>
      <c r="X1123" s="1111"/>
      <c r="Y1123" s="1111"/>
      <c r="Z1123" s="1111"/>
      <c r="AA1123" s="1111"/>
      <c r="AB1123" s="1111"/>
      <c r="AC1123" s="1111"/>
      <c r="AD1123" s="1111"/>
      <c r="AE1123" s="1111"/>
      <c r="AF1123" s="1111"/>
      <c r="AG1123" s="1111"/>
    </row>
    <row r="1124" spans="1:33" s="1295" customFormat="1">
      <c r="A1124" s="1264"/>
      <c r="D1124" s="1118"/>
      <c r="E1124" s="1264"/>
      <c r="F1124" s="1118"/>
      <c r="G1124" s="1118"/>
      <c r="H1124" s="1118"/>
      <c r="I1124" s="1118"/>
      <c r="J1124" s="1118"/>
      <c r="K1124" s="1118"/>
      <c r="L1124" s="1118"/>
      <c r="M1124" s="1118"/>
      <c r="N1124" s="1118"/>
      <c r="O1124" s="1118"/>
      <c r="P1124" s="1118"/>
      <c r="Q1124" s="1111"/>
      <c r="R1124" s="1111"/>
      <c r="S1124" s="1111"/>
      <c r="T1124" s="1111"/>
      <c r="U1124" s="1111"/>
      <c r="V1124" s="1111"/>
      <c r="W1124" s="1111"/>
      <c r="X1124" s="1111"/>
      <c r="Y1124" s="1111"/>
      <c r="Z1124" s="1111"/>
      <c r="AA1124" s="1111"/>
      <c r="AB1124" s="1111"/>
      <c r="AC1124" s="1111"/>
      <c r="AD1124" s="1111"/>
      <c r="AE1124" s="1111"/>
      <c r="AF1124" s="1111"/>
      <c r="AG1124" s="1111"/>
    </row>
    <row r="1125" spans="1:33" s="1295" customFormat="1">
      <c r="A1125" s="1264"/>
      <c r="D1125" s="1118"/>
      <c r="E1125" s="1264"/>
      <c r="F1125" s="1118"/>
      <c r="G1125" s="1118"/>
      <c r="H1125" s="1118"/>
      <c r="I1125" s="1118"/>
      <c r="J1125" s="1118"/>
      <c r="K1125" s="1118"/>
      <c r="L1125" s="1118"/>
      <c r="M1125" s="1118"/>
      <c r="N1125" s="1118"/>
      <c r="O1125" s="1118"/>
      <c r="P1125" s="1118"/>
      <c r="Q1125" s="1111"/>
      <c r="R1125" s="1111"/>
      <c r="S1125" s="1111"/>
      <c r="T1125" s="1111"/>
      <c r="U1125" s="1111"/>
      <c r="V1125" s="1111"/>
      <c r="W1125" s="1111"/>
      <c r="X1125" s="1111"/>
      <c r="Y1125" s="1111"/>
      <c r="Z1125" s="1111"/>
      <c r="AA1125" s="1111"/>
      <c r="AB1125" s="1111"/>
      <c r="AC1125" s="1111"/>
      <c r="AD1125" s="1111"/>
      <c r="AE1125" s="1111"/>
      <c r="AF1125" s="1111"/>
      <c r="AG1125" s="1111"/>
    </row>
    <row r="1126" spans="1:33" s="1295" customFormat="1">
      <c r="A1126" s="1264"/>
      <c r="D1126" s="1118"/>
      <c r="E1126" s="1264"/>
      <c r="F1126" s="1118"/>
      <c r="G1126" s="1118"/>
      <c r="H1126" s="1118"/>
      <c r="I1126" s="1118"/>
      <c r="J1126" s="1118"/>
      <c r="K1126" s="1118"/>
      <c r="L1126" s="1118"/>
      <c r="M1126" s="1118"/>
      <c r="N1126" s="1118"/>
      <c r="O1126" s="1118"/>
      <c r="P1126" s="1118"/>
      <c r="Q1126" s="1111"/>
      <c r="R1126" s="1111"/>
      <c r="S1126" s="1111"/>
      <c r="T1126" s="1111"/>
      <c r="U1126" s="1111"/>
      <c r="V1126" s="1111"/>
      <c r="W1126" s="1111"/>
      <c r="X1126" s="1111"/>
      <c r="Y1126" s="1111"/>
      <c r="Z1126" s="1111"/>
      <c r="AA1126" s="1111"/>
      <c r="AB1126" s="1111"/>
      <c r="AC1126" s="1111"/>
      <c r="AD1126" s="1111"/>
      <c r="AE1126" s="1111"/>
      <c r="AF1126" s="1111"/>
      <c r="AG1126" s="1111"/>
    </row>
    <row r="1127" spans="1:33" s="1295" customFormat="1">
      <c r="A1127" s="1264"/>
      <c r="D1127" s="1118"/>
      <c r="E1127" s="1264"/>
      <c r="F1127" s="1118"/>
      <c r="G1127" s="1118"/>
      <c r="H1127" s="1118"/>
      <c r="I1127" s="1118"/>
      <c r="J1127" s="1118"/>
      <c r="K1127" s="1118"/>
      <c r="L1127" s="1118"/>
      <c r="M1127" s="1118"/>
      <c r="N1127" s="1118"/>
      <c r="O1127" s="1118"/>
      <c r="P1127" s="1118"/>
      <c r="Q1127" s="1111"/>
      <c r="R1127" s="1111"/>
      <c r="S1127" s="1111"/>
      <c r="T1127" s="1111"/>
      <c r="U1127" s="1111"/>
      <c r="V1127" s="1111"/>
      <c r="W1127" s="1111"/>
      <c r="X1127" s="1111"/>
      <c r="Y1127" s="1111"/>
      <c r="Z1127" s="1111"/>
      <c r="AA1127" s="1111"/>
      <c r="AB1127" s="1111"/>
      <c r="AC1127" s="1111"/>
      <c r="AD1127" s="1111"/>
      <c r="AE1127" s="1111"/>
      <c r="AF1127" s="1111"/>
      <c r="AG1127" s="1111"/>
    </row>
    <row r="1128" spans="1:33" s="1295" customFormat="1">
      <c r="A1128" s="1264"/>
      <c r="D1128" s="1118"/>
      <c r="E1128" s="1264"/>
      <c r="F1128" s="1118"/>
      <c r="G1128" s="1118"/>
      <c r="H1128" s="1118"/>
      <c r="I1128" s="1118"/>
      <c r="J1128" s="1118"/>
      <c r="K1128" s="1118"/>
      <c r="L1128" s="1118"/>
      <c r="M1128" s="1118"/>
      <c r="N1128" s="1118"/>
      <c r="O1128" s="1118"/>
      <c r="P1128" s="1118"/>
      <c r="Q1128" s="1111"/>
      <c r="R1128" s="1111"/>
      <c r="S1128" s="1111"/>
      <c r="T1128" s="1111"/>
      <c r="U1128" s="1111"/>
      <c r="V1128" s="1111"/>
      <c r="W1128" s="1111"/>
      <c r="X1128" s="1111"/>
      <c r="Y1128" s="1111"/>
      <c r="Z1128" s="1111"/>
      <c r="AA1128" s="1111"/>
      <c r="AB1128" s="1111"/>
      <c r="AC1128" s="1111"/>
      <c r="AD1128" s="1111"/>
      <c r="AE1128" s="1111"/>
      <c r="AF1128" s="1111"/>
      <c r="AG1128" s="1111"/>
    </row>
    <row r="1129" spans="1:33" s="1295" customFormat="1">
      <c r="A1129" s="1264"/>
      <c r="D1129" s="1118"/>
      <c r="E1129" s="1264"/>
      <c r="F1129" s="1118"/>
      <c r="G1129" s="1118"/>
      <c r="H1129" s="1118"/>
      <c r="I1129" s="1118"/>
      <c r="J1129" s="1118"/>
      <c r="K1129" s="1118"/>
      <c r="L1129" s="1118"/>
      <c r="M1129" s="1118"/>
      <c r="N1129" s="1118"/>
      <c r="O1129" s="1118"/>
      <c r="P1129" s="1118"/>
      <c r="Q1129" s="1111"/>
      <c r="R1129" s="1111"/>
      <c r="S1129" s="1111"/>
      <c r="T1129" s="1111"/>
      <c r="U1129" s="1111"/>
      <c r="V1129" s="1111"/>
      <c r="W1129" s="1111"/>
      <c r="X1129" s="1111"/>
      <c r="Y1129" s="1111"/>
      <c r="Z1129" s="1111"/>
      <c r="AA1129" s="1111"/>
      <c r="AB1129" s="1111"/>
      <c r="AC1129" s="1111"/>
      <c r="AD1129" s="1111"/>
      <c r="AE1129" s="1111"/>
      <c r="AF1129" s="1111"/>
      <c r="AG1129" s="1111"/>
    </row>
    <row r="1130" spans="1:33" s="1295" customFormat="1">
      <c r="A1130" s="1264"/>
      <c r="D1130" s="1118"/>
      <c r="E1130" s="1264"/>
      <c r="F1130" s="1118"/>
      <c r="G1130" s="1118"/>
      <c r="H1130" s="1118"/>
      <c r="I1130" s="1118"/>
      <c r="J1130" s="1118"/>
      <c r="K1130" s="1118"/>
      <c r="L1130" s="1118"/>
      <c r="M1130" s="1118"/>
      <c r="N1130" s="1118"/>
      <c r="O1130" s="1118"/>
      <c r="P1130" s="1118"/>
      <c r="Q1130" s="1111"/>
      <c r="R1130" s="1111"/>
      <c r="S1130" s="1111"/>
      <c r="T1130" s="1111"/>
      <c r="U1130" s="1111"/>
      <c r="V1130" s="1111"/>
      <c r="W1130" s="1111"/>
      <c r="X1130" s="1111"/>
      <c r="Y1130" s="1111"/>
      <c r="Z1130" s="1111"/>
      <c r="AA1130" s="1111"/>
      <c r="AB1130" s="1111"/>
      <c r="AC1130" s="1111"/>
      <c r="AD1130" s="1111"/>
      <c r="AE1130" s="1111"/>
      <c r="AF1130" s="1111"/>
      <c r="AG1130" s="1111"/>
    </row>
    <row r="1131" spans="1:33" s="1295" customFormat="1">
      <c r="A1131" s="1264"/>
      <c r="D1131" s="1118"/>
      <c r="E1131" s="1264"/>
      <c r="F1131" s="1118"/>
      <c r="G1131" s="1118"/>
      <c r="H1131" s="1118"/>
      <c r="I1131" s="1118"/>
      <c r="J1131" s="1118"/>
      <c r="K1131" s="1118"/>
      <c r="L1131" s="1118"/>
      <c r="M1131" s="1118"/>
      <c r="N1131" s="1118"/>
      <c r="O1131" s="1118"/>
      <c r="P1131" s="1118"/>
      <c r="Q1131" s="1111"/>
      <c r="R1131" s="1111"/>
      <c r="S1131" s="1111"/>
      <c r="T1131" s="1111"/>
      <c r="U1131" s="1111"/>
      <c r="V1131" s="1111"/>
      <c r="W1131" s="1111"/>
      <c r="X1131" s="1111"/>
      <c r="Y1131" s="1111"/>
      <c r="Z1131" s="1111"/>
      <c r="AA1131" s="1111"/>
      <c r="AB1131" s="1111"/>
      <c r="AC1131" s="1111"/>
      <c r="AD1131" s="1111"/>
      <c r="AE1131" s="1111"/>
      <c r="AF1131" s="1111"/>
      <c r="AG1131" s="1111"/>
    </row>
    <row r="1132" spans="1:33" s="1295" customFormat="1">
      <c r="A1132" s="1264"/>
      <c r="D1132" s="1118"/>
      <c r="E1132" s="1264"/>
      <c r="F1132" s="1118"/>
      <c r="G1132" s="1118"/>
      <c r="H1132" s="1118"/>
      <c r="I1132" s="1118"/>
      <c r="J1132" s="1118"/>
      <c r="K1132" s="1118"/>
      <c r="L1132" s="1118"/>
      <c r="M1132" s="1118"/>
      <c r="N1132" s="1118"/>
      <c r="O1132" s="1118"/>
      <c r="P1132" s="1118"/>
      <c r="Q1132" s="1111"/>
      <c r="R1132" s="1111"/>
      <c r="S1132" s="1111"/>
      <c r="T1132" s="1111"/>
      <c r="U1132" s="1111"/>
      <c r="V1132" s="1111"/>
      <c r="W1132" s="1111"/>
      <c r="X1132" s="1111"/>
      <c r="Y1132" s="1111"/>
      <c r="Z1132" s="1111"/>
      <c r="AA1132" s="1111"/>
      <c r="AB1132" s="1111"/>
      <c r="AC1132" s="1111"/>
      <c r="AD1132" s="1111"/>
      <c r="AE1132" s="1111"/>
      <c r="AF1132" s="1111"/>
      <c r="AG1132" s="1111"/>
    </row>
    <row r="1133" spans="1:33" s="1295" customFormat="1">
      <c r="A1133" s="1264"/>
      <c r="D1133" s="1118"/>
      <c r="E1133" s="1264"/>
      <c r="F1133" s="1118"/>
      <c r="G1133" s="1118"/>
      <c r="H1133" s="1118"/>
      <c r="I1133" s="1118"/>
      <c r="J1133" s="1118"/>
      <c r="K1133" s="1118"/>
      <c r="L1133" s="1118"/>
      <c r="M1133" s="1118"/>
      <c r="N1133" s="1118"/>
      <c r="O1133" s="1118"/>
      <c r="P1133" s="1118"/>
      <c r="Q1133" s="1111"/>
      <c r="R1133" s="1111"/>
      <c r="S1133" s="1111"/>
      <c r="T1133" s="1111"/>
      <c r="U1133" s="1111"/>
      <c r="V1133" s="1111"/>
      <c r="W1133" s="1111"/>
      <c r="X1133" s="1111"/>
      <c r="Y1133" s="1111"/>
      <c r="Z1133" s="1111"/>
      <c r="AA1133" s="1111"/>
      <c r="AB1133" s="1111"/>
      <c r="AC1133" s="1111"/>
      <c r="AD1133" s="1111"/>
      <c r="AE1133" s="1111"/>
      <c r="AF1133" s="1111"/>
      <c r="AG1133" s="1111"/>
    </row>
    <row r="1134" spans="1:33" s="1295" customFormat="1">
      <c r="A1134" s="1264"/>
      <c r="D1134" s="1118"/>
      <c r="E1134" s="1264"/>
      <c r="F1134" s="1118"/>
      <c r="G1134" s="1118"/>
      <c r="H1134" s="1118"/>
      <c r="I1134" s="1118"/>
      <c r="J1134" s="1118"/>
      <c r="K1134" s="1118"/>
      <c r="L1134" s="1118"/>
      <c r="M1134" s="1118"/>
      <c r="N1134" s="1118"/>
      <c r="O1134" s="1118"/>
      <c r="P1134" s="1118"/>
      <c r="Q1134" s="1111"/>
      <c r="R1134" s="1111"/>
      <c r="S1134" s="1111"/>
      <c r="T1134" s="1111"/>
      <c r="U1134" s="1111"/>
      <c r="V1134" s="1111"/>
      <c r="W1134" s="1111"/>
      <c r="X1134" s="1111"/>
      <c r="Y1134" s="1111"/>
      <c r="Z1134" s="1111"/>
      <c r="AA1134" s="1111"/>
      <c r="AB1134" s="1111"/>
      <c r="AC1134" s="1111"/>
      <c r="AD1134" s="1111"/>
      <c r="AE1134" s="1111"/>
      <c r="AF1134" s="1111"/>
      <c r="AG1134" s="1111"/>
    </row>
    <row r="1135" spans="1:33" s="1295" customFormat="1">
      <c r="A1135" s="1264"/>
      <c r="D1135" s="1118"/>
      <c r="E1135" s="1264"/>
      <c r="F1135" s="1118"/>
      <c r="G1135" s="1118"/>
      <c r="H1135" s="1118"/>
      <c r="I1135" s="1118"/>
      <c r="J1135" s="1118"/>
      <c r="K1135" s="1118"/>
      <c r="L1135" s="1118"/>
      <c r="M1135" s="1118"/>
      <c r="N1135" s="1118"/>
      <c r="O1135" s="1118"/>
      <c r="P1135" s="1118"/>
      <c r="Q1135" s="1111"/>
      <c r="R1135" s="1111"/>
      <c r="S1135" s="1111"/>
      <c r="T1135" s="1111"/>
      <c r="U1135" s="1111"/>
      <c r="V1135" s="1111"/>
      <c r="W1135" s="1111"/>
      <c r="X1135" s="1111"/>
      <c r="Y1135" s="1111"/>
      <c r="Z1135" s="1111"/>
      <c r="AA1135" s="1111"/>
      <c r="AB1135" s="1111"/>
      <c r="AC1135" s="1111"/>
      <c r="AD1135" s="1111"/>
      <c r="AE1135" s="1111"/>
      <c r="AF1135" s="1111"/>
      <c r="AG1135" s="1111"/>
    </row>
    <row r="1136" spans="1:33" s="1295" customFormat="1">
      <c r="A1136" s="1264"/>
      <c r="D1136" s="1118"/>
      <c r="E1136" s="1264"/>
      <c r="F1136" s="1118"/>
      <c r="G1136" s="1118"/>
      <c r="H1136" s="1118"/>
      <c r="I1136" s="1118"/>
      <c r="J1136" s="1118"/>
      <c r="K1136" s="1118"/>
      <c r="L1136" s="1118"/>
      <c r="M1136" s="1118"/>
      <c r="N1136" s="1118"/>
      <c r="O1136" s="1118"/>
      <c r="P1136" s="1118"/>
      <c r="Q1136" s="1111"/>
      <c r="R1136" s="1111"/>
      <c r="S1136" s="1111"/>
      <c r="T1136" s="1111"/>
      <c r="U1136" s="1111"/>
      <c r="V1136" s="1111"/>
      <c r="W1136" s="1111"/>
      <c r="X1136" s="1111"/>
      <c r="Y1136" s="1111"/>
      <c r="Z1136" s="1111"/>
      <c r="AA1136" s="1111"/>
      <c r="AB1136" s="1111"/>
      <c r="AC1136" s="1111"/>
      <c r="AD1136" s="1111"/>
      <c r="AE1136" s="1111"/>
      <c r="AF1136" s="1111"/>
      <c r="AG1136" s="1111"/>
    </row>
    <row r="1137" spans="1:33" s="1295" customFormat="1">
      <c r="A1137" s="1264"/>
      <c r="D1137" s="1118"/>
      <c r="E1137" s="1264"/>
      <c r="F1137" s="1118"/>
      <c r="G1137" s="1118"/>
      <c r="H1137" s="1118"/>
      <c r="I1137" s="1118"/>
      <c r="J1137" s="1118"/>
      <c r="K1137" s="1118"/>
      <c r="L1137" s="1118"/>
      <c r="M1137" s="1118"/>
      <c r="N1137" s="1118"/>
      <c r="O1137" s="1118"/>
      <c r="P1137" s="1118"/>
      <c r="Q1137" s="1111"/>
      <c r="R1137" s="1111"/>
      <c r="S1137" s="1111"/>
      <c r="T1137" s="1111"/>
      <c r="U1137" s="1111"/>
      <c r="V1137" s="1111"/>
      <c r="W1137" s="1111"/>
      <c r="X1137" s="1111"/>
      <c r="Y1137" s="1111"/>
      <c r="Z1137" s="1111"/>
      <c r="AA1137" s="1111"/>
      <c r="AB1137" s="1111"/>
      <c r="AC1137" s="1111"/>
      <c r="AD1137" s="1111"/>
      <c r="AE1137" s="1111"/>
      <c r="AF1137" s="1111"/>
      <c r="AG1137" s="1111"/>
    </row>
    <row r="1138" spans="1:33" s="1295" customFormat="1">
      <c r="A1138" s="1264"/>
      <c r="D1138" s="1118"/>
      <c r="E1138" s="1264"/>
      <c r="F1138" s="1118"/>
      <c r="G1138" s="1118"/>
      <c r="H1138" s="1118"/>
      <c r="I1138" s="1118"/>
      <c r="J1138" s="1118"/>
      <c r="K1138" s="1118"/>
      <c r="L1138" s="1118"/>
      <c r="M1138" s="1118"/>
      <c r="N1138" s="1118"/>
      <c r="O1138" s="1118"/>
      <c r="P1138" s="1118"/>
      <c r="Q1138" s="1111"/>
      <c r="R1138" s="1111"/>
      <c r="S1138" s="1111"/>
      <c r="T1138" s="1111"/>
      <c r="U1138" s="1111"/>
      <c r="V1138" s="1111"/>
      <c r="W1138" s="1111"/>
      <c r="X1138" s="1111"/>
      <c r="Y1138" s="1111"/>
      <c r="Z1138" s="1111"/>
      <c r="AA1138" s="1111"/>
      <c r="AB1138" s="1111"/>
      <c r="AC1138" s="1111"/>
      <c r="AD1138" s="1111"/>
      <c r="AE1138" s="1111"/>
      <c r="AF1138" s="1111"/>
      <c r="AG1138" s="1111"/>
    </row>
    <row r="1139" spans="1:33" s="1295" customFormat="1">
      <c r="A1139" s="1264"/>
      <c r="D1139" s="1118"/>
      <c r="E1139" s="1264"/>
      <c r="F1139" s="1118"/>
      <c r="G1139" s="1118"/>
      <c r="H1139" s="1118"/>
      <c r="I1139" s="1118"/>
      <c r="J1139" s="1118"/>
      <c r="K1139" s="1118"/>
      <c r="L1139" s="1118"/>
      <c r="M1139" s="1118"/>
      <c r="N1139" s="1118"/>
      <c r="O1139" s="1118"/>
      <c r="P1139" s="1118"/>
      <c r="Q1139" s="1111"/>
      <c r="R1139" s="1111"/>
      <c r="S1139" s="1111"/>
      <c r="T1139" s="1111"/>
      <c r="U1139" s="1111"/>
      <c r="V1139" s="1111"/>
      <c r="W1139" s="1111"/>
      <c r="X1139" s="1111"/>
      <c r="Y1139" s="1111"/>
      <c r="Z1139" s="1111"/>
      <c r="AA1139" s="1111"/>
      <c r="AB1139" s="1111"/>
      <c r="AC1139" s="1111"/>
      <c r="AD1139" s="1111"/>
      <c r="AE1139" s="1111"/>
      <c r="AF1139" s="1111"/>
      <c r="AG1139" s="1111"/>
    </row>
    <row r="1140" spans="1:33" s="1295" customFormat="1">
      <c r="A1140" s="1264"/>
      <c r="D1140" s="1118"/>
      <c r="E1140" s="1264"/>
      <c r="F1140" s="1118"/>
      <c r="G1140" s="1118"/>
      <c r="H1140" s="1118"/>
      <c r="I1140" s="1118"/>
      <c r="J1140" s="1118"/>
      <c r="K1140" s="1118"/>
      <c r="L1140" s="1118"/>
      <c r="M1140" s="1118"/>
      <c r="N1140" s="1118"/>
      <c r="O1140" s="1118"/>
      <c r="P1140" s="1118"/>
      <c r="Q1140" s="1111"/>
      <c r="R1140" s="1111"/>
      <c r="S1140" s="1111"/>
      <c r="T1140" s="1111"/>
      <c r="U1140" s="1111"/>
      <c r="V1140" s="1111"/>
      <c r="W1140" s="1111"/>
      <c r="X1140" s="1111"/>
      <c r="Y1140" s="1111"/>
      <c r="Z1140" s="1111"/>
      <c r="AA1140" s="1111"/>
      <c r="AB1140" s="1111"/>
      <c r="AC1140" s="1111"/>
      <c r="AD1140" s="1111"/>
      <c r="AE1140" s="1111"/>
      <c r="AF1140" s="1111"/>
      <c r="AG1140" s="1111"/>
    </row>
    <row r="1141" spans="1:33" s="1295" customFormat="1">
      <c r="A1141" s="1264"/>
      <c r="D1141" s="1118"/>
      <c r="E1141" s="1264"/>
      <c r="F1141" s="1118"/>
      <c r="G1141" s="1118"/>
      <c r="H1141" s="1118"/>
      <c r="I1141" s="1118"/>
      <c r="J1141" s="1118"/>
      <c r="K1141" s="1118"/>
      <c r="L1141" s="1118"/>
      <c r="M1141" s="1118"/>
      <c r="N1141" s="1118"/>
      <c r="O1141" s="1118"/>
      <c r="P1141" s="1118"/>
      <c r="Q1141" s="1111"/>
      <c r="R1141" s="1111"/>
      <c r="S1141" s="1111"/>
      <c r="T1141" s="1111"/>
      <c r="U1141" s="1111"/>
      <c r="V1141" s="1111"/>
      <c r="W1141" s="1111"/>
      <c r="X1141" s="1111"/>
      <c r="Y1141" s="1111"/>
      <c r="Z1141" s="1111"/>
      <c r="AA1141" s="1111"/>
      <c r="AB1141" s="1111"/>
      <c r="AC1141" s="1111"/>
      <c r="AD1141" s="1111"/>
      <c r="AE1141" s="1111"/>
      <c r="AF1141" s="1111"/>
      <c r="AG1141" s="1111"/>
    </row>
    <row r="1142" spans="1:33" s="1295" customFormat="1">
      <c r="A1142" s="1264"/>
      <c r="D1142" s="1118"/>
      <c r="E1142" s="1264"/>
      <c r="F1142" s="1118"/>
      <c r="G1142" s="1118"/>
      <c r="H1142" s="1118"/>
      <c r="I1142" s="1118"/>
      <c r="J1142" s="1118"/>
      <c r="K1142" s="1118"/>
      <c r="L1142" s="1118"/>
      <c r="M1142" s="1118"/>
      <c r="N1142" s="1118"/>
      <c r="O1142" s="1118"/>
      <c r="P1142" s="1118"/>
      <c r="Q1142" s="1111"/>
      <c r="R1142" s="1111"/>
      <c r="S1142" s="1111"/>
      <c r="T1142" s="1111"/>
      <c r="U1142" s="1111"/>
      <c r="V1142" s="1111"/>
      <c r="W1142" s="1111"/>
      <c r="X1142" s="1111"/>
      <c r="Y1142" s="1111"/>
      <c r="Z1142" s="1111"/>
      <c r="AA1142" s="1111"/>
      <c r="AB1142" s="1111"/>
      <c r="AC1142" s="1111"/>
      <c r="AD1142" s="1111"/>
      <c r="AE1142" s="1111"/>
      <c r="AF1142" s="1111"/>
      <c r="AG1142" s="1111"/>
    </row>
    <row r="1143" spans="1:33" s="1295" customFormat="1">
      <c r="A1143" s="1264"/>
      <c r="D1143" s="1118"/>
      <c r="E1143" s="1264"/>
      <c r="F1143" s="1118"/>
      <c r="G1143" s="1118"/>
      <c r="H1143" s="1118"/>
      <c r="I1143" s="1118"/>
      <c r="J1143" s="1118"/>
      <c r="K1143" s="1118"/>
      <c r="L1143" s="1118"/>
      <c r="M1143" s="1118"/>
      <c r="N1143" s="1118"/>
      <c r="O1143" s="1118"/>
      <c r="P1143" s="1118"/>
      <c r="Q1143" s="1111"/>
      <c r="R1143" s="1111"/>
      <c r="S1143" s="1111"/>
      <c r="T1143" s="1111"/>
      <c r="U1143" s="1111"/>
      <c r="V1143" s="1111"/>
      <c r="W1143" s="1111"/>
      <c r="X1143" s="1111"/>
      <c r="Y1143" s="1111"/>
      <c r="Z1143" s="1111"/>
      <c r="AA1143" s="1111"/>
      <c r="AB1143" s="1111"/>
      <c r="AC1143" s="1111"/>
      <c r="AD1143" s="1111"/>
      <c r="AE1143" s="1111"/>
      <c r="AF1143" s="1111"/>
      <c r="AG1143" s="1111"/>
    </row>
    <row r="1144" spans="1:33" s="1295" customFormat="1">
      <c r="A1144" s="1264"/>
      <c r="D1144" s="1118"/>
      <c r="E1144" s="1264"/>
      <c r="F1144" s="1118"/>
      <c r="G1144" s="1118"/>
      <c r="H1144" s="1118"/>
      <c r="I1144" s="1118"/>
      <c r="J1144" s="1118"/>
      <c r="K1144" s="1118"/>
      <c r="L1144" s="1118"/>
      <c r="M1144" s="1118"/>
      <c r="N1144" s="1118"/>
      <c r="O1144" s="1118"/>
      <c r="P1144" s="1118"/>
      <c r="Q1144" s="1111"/>
      <c r="R1144" s="1111"/>
      <c r="S1144" s="1111"/>
      <c r="T1144" s="1111"/>
      <c r="U1144" s="1111"/>
      <c r="V1144" s="1111"/>
      <c r="W1144" s="1111"/>
      <c r="X1144" s="1111"/>
      <c r="Y1144" s="1111"/>
      <c r="Z1144" s="1111"/>
      <c r="AA1144" s="1111"/>
      <c r="AB1144" s="1111"/>
      <c r="AC1144" s="1111"/>
      <c r="AD1144" s="1111"/>
      <c r="AE1144" s="1111"/>
      <c r="AF1144" s="1111"/>
      <c r="AG1144" s="1111"/>
    </row>
    <row r="1145" spans="1:33" s="1295" customFormat="1">
      <c r="A1145" s="1264"/>
      <c r="D1145" s="1118"/>
      <c r="E1145" s="1264"/>
      <c r="F1145" s="1118"/>
      <c r="G1145" s="1118"/>
      <c r="H1145" s="1118"/>
      <c r="I1145" s="1118"/>
      <c r="J1145" s="1118"/>
      <c r="K1145" s="1118"/>
      <c r="L1145" s="1118"/>
      <c r="M1145" s="1118"/>
      <c r="N1145" s="1118"/>
      <c r="O1145" s="1118"/>
      <c r="P1145" s="1118"/>
      <c r="Q1145" s="1111"/>
      <c r="R1145" s="1111"/>
      <c r="S1145" s="1111"/>
      <c r="T1145" s="1111"/>
      <c r="U1145" s="1111"/>
      <c r="V1145" s="1111"/>
      <c r="W1145" s="1111"/>
      <c r="X1145" s="1111"/>
      <c r="Y1145" s="1111"/>
      <c r="Z1145" s="1111"/>
      <c r="AA1145" s="1111"/>
      <c r="AB1145" s="1111"/>
      <c r="AC1145" s="1111"/>
      <c r="AD1145" s="1111"/>
      <c r="AE1145" s="1111"/>
      <c r="AF1145" s="1111"/>
      <c r="AG1145" s="1111"/>
    </row>
    <row r="1146" spans="1:33" s="1295" customFormat="1">
      <c r="A1146" s="1264"/>
      <c r="D1146" s="1118"/>
      <c r="E1146" s="1264"/>
      <c r="F1146" s="1118"/>
      <c r="G1146" s="1118"/>
      <c r="H1146" s="1118"/>
      <c r="I1146" s="1118"/>
      <c r="J1146" s="1118"/>
      <c r="K1146" s="1118"/>
      <c r="L1146" s="1118"/>
      <c r="M1146" s="1118"/>
      <c r="N1146" s="1118"/>
      <c r="O1146" s="1118"/>
      <c r="P1146" s="1118"/>
      <c r="Q1146" s="1111"/>
      <c r="R1146" s="1111"/>
      <c r="S1146" s="1111"/>
      <c r="T1146" s="1111"/>
      <c r="U1146" s="1111"/>
      <c r="V1146" s="1111"/>
      <c r="W1146" s="1111"/>
      <c r="X1146" s="1111"/>
      <c r="Y1146" s="1111"/>
      <c r="Z1146" s="1111"/>
      <c r="AA1146" s="1111"/>
      <c r="AB1146" s="1111"/>
      <c r="AC1146" s="1111"/>
      <c r="AD1146" s="1111"/>
      <c r="AE1146" s="1111"/>
      <c r="AF1146" s="1111"/>
      <c r="AG1146" s="1111"/>
    </row>
    <row r="1147" spans="1:33" s="1295" customFormat="1">
      <c r="A1147" s="1264"/>
      <c r="D1147" s="1118"/>
      <c r="E1147" s="1264"/>
      <c r="F1147" s="1118"/>
      <c r="G1147" s="1118"/>
      <c r="H1147" s="1118"/>
      <c r="I1147" s="1118"/>
      <c r="J1147" s="1118"/>
      <c r="K1147" s="1118"/>
      <c r="L1147" s="1118"/>
      <c r="M1147" s="1118"/>
      <c r="N1147" s="1118"/>
      <c r="O1147" s="1118"/>
      <c r="P1147" s="1118"/>
      <c r="Q1147" s="1111"/>
      <c r="R1147" s="1111"/>
      <c r="S1147" s="1111"/>
      <c r="T1147" s="1111"/>
      <c r="U1147" s="1111"/>
      <c r="V1147" s="1111"/>
      <c r="W1147" s="1111"/>
      <c r="X1147" s="1111"/>
      <c r="Y1147" s="1111"/>
      <c r="Z1147" s="1111"/>
      <c r="AA1147" s="1111"/>
      <c r="AB1147" s="1111"/>
      <c r="AC1147" s="1111"/>
      <c r="AD1147" s="1111"/>
      <c r="AE1147" s="1111"/>
      <c r="AF1147" s="1111"/>
      <c r="AG1147" s="1111"/>
    </row>
    <row r="1148" spans="1:33" s="1295" customFormat="1">
      <c r="A1148" s="1264"/>
      <c r="D1148" s="1118"/>
      <c r="E1148" s="1264"/>
      <c r="F1148" s="1118"/>
      <c r="G1148" s="1118"/>
      <c r="H1148" s="1118"/>
      <c r="I1148" s="1118"/>
      <c r="J1148" s="1118"/>
      <c r="K1148" s="1118"/>
      <c r="L1148" s="1118"/>
      <c r="M1148" s="1118"/>
      <c r="N1148" s="1118"/>
      <c r="O1148" s="1118"/>
      <c r="P1148" s="1118"/>
      <c r="Q1148" s="1111"/>
      <c r="R1148" s="1111"/>
      <c r="S1148" s="1111"/>
      <c r="T1148" s="1111"/>
      <c r="U1148" s="1111"/>
      <c r="V1148" s="1111"/>
      <c r="W1148" s="1111"/>
      <c r="X1148" s="1111"/>
      <c r="Y1148" s="1111"/>
      <c r="Z1148" s="1111"/>
      <c r="AA1148" s="1111"/>
      <c r="AB1148" s="1111"/>
      <c r="AC1148" s="1111"/>
      <c r="AD1148" s="1111"/>
      <c r="AE1148" s="1111"/>
      <c r="AF1148" s="1111"/>
      <c r="AG1148" s="1111"/>
    </row>
    <row r="1149" spans="1:33" s="1295" customFormat="1">
      <c r="A1149" s="1264"/>
      <c r="D1149" s="1118"/>
      <c r="E1149" s="1264"/>
      <c r="F1149" s="1118"/>
      <c r="G1149" s="1118"/>
      <c r="H1149" s="1118"/>
      <c r="I1149" s="1118"/>
      <c r="J1149" s="1118"/>
      <c r="K1149" s="1118"/>
      <c r="L1149" s="1118"/>
      <c r="M1149" s="1118"/>
      <c r="N1149" s="1118"/>
      <c r="O1149" s="1118"/>
      <c r="P1149" s="1118"/>
      <c r="Q1149" s="1111"/>
      <c r="R1149" s="1111"/>
      <c r="S1149" s="1111"/>
      <c r="T1149" s="1111"/>
      <c r="U1149" s="1111"/>
      <c r="V1149" s="1111"/>
      <c r="W1149" s="1111"/>
      <c r="X1149" s="1111"/>
      <c r="Y1149" s="1111"/>
      <c r="Z1149" s="1111"/>
      <c r="AA1149" s="1111"/>
      <c r="AB1149" s="1111"/>
      <c r="AC1149" s="1111"/>
      <c r="AD1149" s="1111"/>
      <c r="AE1149" s="1111"/>
      <c r="AF1149" s="1111"/>
      <c r="AG1149" s="1111"/>
    </row>
    <row r="1150" spans="1:33" s="1295" customFormat="1">
      <c r="A1150" s="1264"/>
      <c r="D1150" s="1118"/>
      <c r="E1150" s="1264"/>
      <c r="F1150" s="1118"/>
      <c r="G1150" s="1118"/>
      <c r="H1150" s="1118"/>
      <c r="I1150" s="1118"/>
      <c r="J1150" s="1118"/>
      <c r="K1150" s="1118"/>
      <c r="L1150" s="1118"/>
      <c r="M1150" s="1118"/>
      <c r="N1150" s="1118"/>
      <c r="O1150" s="1118"/>
      <c r="P1150" s="1118"/>
      <c r="Q1150" s="1111"/>
      <c r="R1150" s="1111"/>
      <c r="S1150" s="1111"/>
      <c r="T1150" s="1111"/>
      <c r="U1150" s="1111"/>
      <c r="V1150" s="1111"/>
      <c r="W1150" s="1111"/>
      <c r="X1150" s="1111"/>
      <c r="Y1150" s="1111"/>
      <c r="Z1150" s="1111"/>
      <c r="AA1150" s="1111"/>
      <c r="AB1150" s="1111"/>
      <c r="AC1150" s="1111"/>
      <c r="AD1150" s="1111"/>
      <c r="AE1150" s="1111"/>
      <c r="AF1150" s="1111"/>
      <c r="AG1150" s="1111"/>
    </row>
    <row r="1151" spans="1:33" s="1295" customFormat="1">
      <c r="A1151" s="1264"/>
      <c r="D1151" s="1118"/>
      <c r="E1151" s="1264"/>
      <c r="F1151" s="1118"/>
      <c r="G1151" s="1118"/>
      <c r="H1151" s="1118"/>
      <c r="I1151" s="1118"/>
      <c r="J1151" s="1118"/>
      <c r="K1151" s="1118"/>
      <c r="L1151" s="1118"/>
      <c r="M1151" s="1118"/>
      <c r="N1151" s="1118"/>
      <c r="O1151" s="1118"/>
      <c r="P1151" s="1118"/>
      <c r="Q1151" s="1111"/>
      <c r="R1151" s="1111"/>
      <c r="S1151" s="1111"/>
      <c r="T1151" s="1111"/>
      <c r="U1151" s="1111"/>
      <c r="V1151" s="1111"/>
      <c r="W1151" s="1111"/>
      <c r="X1151" s="1111"/>
      <c r="Y1151" s="1111"/>
      <c r="Z1151" s="1111"/>
      <c r="AA1151" s="1111"/>
      <c r="AB1151" s="1111"/>
      <c r="AC1151" s="1111"/>
      <c r="AD1151" s="1111"/>
      <c r="AE1151" s="1111"/>
      <c r="AF1151" s="1111"/>
      <c r="AG1151" s="1111"/>
    </row>
    <row r="1152" spans="1:33" s="1295" customFormat="1">
      <c r="A1152" s="1264"/>
      <c r="D1152" s="1118"/>
      <c r="E1152" s="1264"/>
      <c r="F1152" s="1118"/>
      <c r="G1152" s="1118"/>
      <c r="H1152" s="1118"/>
      <c r="I1152" s="1118"/>
      <c r="J1152" s="1118"/>
      <c r="K1152" s="1118"/>
      <c r="L1152" s="1118"/>
      <c r="M1152" s="1118"/>
      <c r="N1152" s="1118"/>
      <c r="O1152" s="1118"/>
      <c r="P1152" s="1118"/>
      <c r="Q1152" s="1111"/>
      <c r="R1152" s="1111"/>
      <c r="S1152" s="1111"/>
      <c r="T1152" s="1111"/>
      <c r="U1152" s="1111"/>
      <c r="V1152" s="1111"/>
      <c r="W1152" s="1111"/>
      <c r="X1152" s="1111"/>
      <c r="Y1152" s="1111"/>
      <c r="Z1152" s="1111"/>
      <c r="AA1152" s="1111"/>
      <c r="AB1152" s="1111"/>
      <c r="AC1152" s="1111"/>
      <c r="AD1152" s="1111"/>
      <c r="AE1152" s="1111"/>
      <c r="AF1152" s="1111"/>
      <c r="AG1152" s="1111"/>
    </row>
    <row r="1153" spans="1:33" s="1295" customFormat="1">
      <c r="A1153" s="1264"/>
      <c r="D1153" s="1118"/>
      <c r="E1153" s="1264"/>
      <c r="F1153" s="1118"/>
      <c r="G1153" s="1118"/>
      <c r="H1153" s="1118"/>
      <c r="I1153" s="1118"/>
      <c r="J1153" s="1118"/>
      <c r="K1153" s="1118"/>
      <c r="L1153" s="1118"/>
      <c r="M1153" s="1118"/>
      <c r="N1153" s="1118"/>
      <c r="O1153" s="1118"/>
      <c r="P1153" s="1118"/>
      <c r="Q1153" s="1111"/>
      <c r="R1153" s="1111"/>
      <c r="S1153" s="1111"/>
      <c r="T1153" s="1111"/>
      <c r="U1153" s="1111"/>
      <c r="V1153" s="1111"/>
      <c r="W1153" s="1111"/>
      <c r="X1153" s="1111"/>
      <c r="Y1153" s="1111"/>
      <c r="Z1153" s="1111"/>
      <c r="AA1153" s="1111"/>
      <c r="AB1153" s="1111"/>
      <c r="AC1153" s="1111"/>
      <c r="AD1153" s="1111"/>
      <c r="AE1153" s="1111"/>
      <c r="AF1153" s="1111"/>
      <c r="AG1153" s="1111"/>
    </row>
    <row r="1154" spans="1:33" s="1295" customFormat="1">
      <c r="A1154" s="1264"/>
      <c r="D1154" s="1118"/>
      <c r="E1154" s="1264"/>
      <c r="F1154" s="1118"/>
      <c r="G1154" s="1118"/>
      <c r="H1154" s="1118"/>
      <c r="I1154" s="1118"/>
      <c r="J1154" s="1118"/>
      <c r="K1154" s="1118"/>
      <c r="L1154" s="1118"/>
      <c r="M1154" s="1118"/>
      <c r="N1154" s="1118"/>
      <c r="O1154" s="1118"/>
      <c r="P1154" s="1118"/>
      <c r="Q1154" s="1111"/>
      <c r="R1154" s="1111"/>
      <c r="S1154" s="1111"/>
      <c r="T1154" s="1111"/>
      <c r="U1154" s="1111"/>
      <c r="V1154" s="1111"/>
      <c r="W1154" s="1111"/>
      <c r="X1154" s="1111"/>
      <c r="Y1154" s="1111"/>
      <c r="Z1154" s="1111"/>
      <c r="AA1154" s="1111"/>
      <c r="AB1154" s="1111"/>
      <c r="AC1154" s="1111"/>
      <c r="AD1154" s="1111"/>
      <c r="AE1154" s="1111"/>
      <c r="AF1154" s="1111"/>
      <c r="AG1154" s="1111"/>
    </row>
    <row r="1155" spans="1:33" s="1295" customFormat="1">
      <c r="A1155" s="1264"/>
      <c r="D1155" s="1118"/>
      <c r="E1155" s="1264"/>
      <c r="F1155" s="1118"/>
      <c r="G1155" s="1118"/>
      <c r="H1155" s="1118"/>
      <c r="I1155" s="1118"/>
      <c r="J1155" s="1118"/>
      <c r="K1155" s="1118"/>
      <c r="L1155" s="1118"/>
      <c r="M1155" s="1118"/>
      <c r="N1155" s="1118"/>
      <c r="O1155" s="1118"/>
      <c r="P1155" s="1118"/>
      <c r="Q1155" s="1111"/>
      <c r="R1155" s="1111"/>
      <c r="S1155" s="1111"/>
      <c r="T1155" s="1111"/>
      <c r="U1155" s="1111"/>
      <c r="V1155" s="1111"/>
      <c r="W1155" s="1111"/>
      <c r="X1155" s="1111"/>
      <c r="Y1155" s="1111"/>
      <c r="Z1155" s="1111"/>
      <c r="AA1155" s="1111"/>
      <c r="AB1155" s="1111"/>
      <c r="AC1155" s="1111"/>
      <c r="AD1155" s="1111"/>
      <c r="AE1155" s="1111"/>
      <c r="AF1155" s="1111"/>
      <c r="AG1155" s="1111"/>
    </row>
    <row r="1156" spans="1:33" s="1295" customFormat="1">
      <c r="A1156" s="1264"/>
      <c r="D1156" s="1118"/>
      <c r="E1156" s="1264"/>
      <c r="F1156" s="1118"/>
      <c r="G1156" s="1118"/>
      <c r="H1156" s="1118"/>
      <c r="I1156" s="1118"/>
      <c r="J1156" s="1118"/>
      <c r="K1156" s="1118"/>
      <c r="L1156" s="1118"/>
      <c r="M1156" s="1118"/>
      <c r="N1156" s="1118"/>
      <c r="O1156" s="1118"/>
      <c r="P1156" s="1118"/>
      <c r="Q1156" s="1111"/>
      <c r="R1156" s="1111"/>
      <c r="S1156" s="1111"/>
      <c r="T1156" s="1111"/>
      <c r="U1156" s="1111"/>
      <c r="V1156" s="1111"/>
      <c r="W1156" s="1111"/>
      <c r="X1156" s="1111"/>
      <c r="Y1156" s="1111"/>
      <c r="Z1156" s="1111"/>
      <c r="AA1156" s="1111"/>
      <c r="AB1156" s="1111"/>
      <c r="AC1156" s="1111"/>
      <c r="AD1156" s="1111"/>
      <c r="AE1156" s="1111"/>
      <c r="AF1156" s="1111"/>
      <c r="AG1156" s="1111"/>
    </row>
    <row r="1157" spans="1:33" s="1295" customFormat="1">
      <c r="A1157" s="1264"/>
      <c r="D1157" s="1118"/>
      <c r="E1157" s="1264"/>
      <c r="F1157" s="1118"/>
      <c r="G1157" s="1118"/>
      <c r="H1157" s="1118"/>
      <c r="I1157" s="1118"/>
      <c r="J1157" s="1118"/>
      <c r="K1157" s="1118"/>
      <c r="L1157" s="1118"/>
      <c r="M1157" s="1118"/>
      <c r="N1157" s="1118"/>
      <c r="O1157" s="1118"/>
      <c r="P1157" s="1118"/>
      <c r="Q1157" s="1111"/>
      <c r="R1157" s="1111"/>
      <c r="S1157" s="1111"/>
      <c r="T1157" s="1111"/>
      <c r="U1157" s="1111"/>
      <c r="V1157" s="1111"/>
      <c r="W1157" s="1111"/>
      <c r="X1157" s="1111"/>
      <c r="Y1157" s="1111"/>
      <c r="Z1157" s="1111"/>
      <c r="AA1157" s="1111"/>
      <c r="AB1157" s="1111"/>
      <c r="AC1157" s="1111"/>
      <c r="AD1157" s="1111"/>
      <c r="AE1157" s="1111"/>
      <c r="AF1157" s="1111"/>
      <c r="AG1157" s="1111"/>
    </row>
    <row r="1158" spans="1:33" s="1295" customFormat="1">
      <c r="A1158" s="1264"/>
      <c r="D1158" s="1118"/>
      <c r="E1158" s="1264"/>
      <c r="F1158" s="1118"/>
      <c r="G1158" s="1118"/>
      <c r="H1158" s="1118"/>
      <c r="I1158" s="1118"/>
      <c r="J1158" s="1118"/>
      <c r="K1158" s="1118"/>
      <c r="L1158" s="1118"/>
      <c r="M1158" s="1118"/>
      <c r="N1158" s="1118"/>
      <c r="O1158" s="1118"/>
      <c r="P1158" s="1118"/>
      <c r="Q1158" s="1111"/>
      <c r="R1158" s="1111"/>
      <c r="S1158" s="1111"/>
      <c r="T1158" s="1111"/>
      <c r="U1158" s="1111"/>
      <c r="V1158" s="1111"/>
      <c r="W1158" s="1111"/>
      <c r="X1158" s="1111"/>
      <c r="Y1158" s="1111"/>
      <c r="Z1158" s="1111"/>
      <c r="AA1158" s="1111"/>
      <c r="AB1158" s="1111"/>
      <c r="AC1158" s="1111"/>
      <c r="AD1158" s="1111"/>
      <c r="AE1158" s="1111"/>
      <c r="AF1158" s="1111"/>
      <c r="AG1158" s="1111"/>
    </row>
    <row r="1159" spans="1:33" s="1295" customFormat="1">
      <c r="A1159" s="1264"/>
      <c r="D1159" s="1118"/>
      <c r="E1159" s="1264"/>
      <c r="F1159" s="1118"/>
      <c r="G1159" s="1118"/>
      <c r="H1159" s="1118"/>
      <c r="I1159" s="1118"/>
      <c r="J1159" s="1118"/>
      <c r="K1159" s="1118"/>
      <c r="L1159" s="1118"/>
      <c r="M1159" s="1118"/>
      <c r="N1159" s="1118"/>
      <c r="O1159" s="1118"/>
      <c r="P1159" s="1118"/>
      <c r="Q1159" s="1111"/>
      <c r="R1159" s="1111"/>
      <c r="S1159" s="1111"/>
      <c r="T1159" s="1111"/>
      <c r="U1159" s="1111"/>
      <c r="V1159" s="1111"/>
      <c r="W1159" s="1111"/>
      <c r="X1159" s="1111"/>
      <c r="Y1159" s="1111"/>
      <c r="Z1159" s="1111"/>
      <c r="AA1159" s="1111"/>
      <c r="AB1159" s="1111"/>
      <c r="AC1159" s="1111"/>
      <c r="AD1159" s="1111"/>
      <c r="AE1159" s="1111"/>
      <c r="AF1159" s="1111"/>
      <c r="AG1159" s="1111"/>
    </row>
    <row r="1160" spans="1:33" s="1295" customFormat="1">
      <c r="A1160" s="1264"/>
      <c r="D1160" s="1118"/>
      <c r="E1160" s="1264"/>
      <c r="F1160" s="1118"/>
      <c r="G1160" s="1118"/>
      <c r="H1160" s="1118"/>
      <c r="I1160" s="1118"/>
      <c r="J1160" s="1118"/>
      <c r="K1160" s="1118"/>
      <c r="L1160" s="1118"/>
      <c r="M1160" s="1118"/>
      <c r="N1160" s="1118"/>
      <c r="O1160" s="1118"/>
      <c r="P1160" s="1118"/>
      <c r="Q1160" s="1111"/>
      <c r="R1160" s="1111"/>
      <c r="S1160" s="1111"/>
      <c r="T1160" s="1111"/>
      <c r="U1160" s="1111"/>
      <c r="V1160" s="1111"/>
      <c r="W1160" s="1111"/>
      <c r="X1160" s="1111"/>
      <c r="Y1160" s="1111"/>
      <c r="Z1160" s="1111"/>
      <c r="AA1160" s="1111"/>
      <c r="AB1160" s="1111"/>
      <c r="AC1160" s="1111"/>
      <c r="AD1160" s="1111"/>
      <c r="AE1160" s="1111"/>
      <c r="AF1160" s="1111"/>
      <c r="AG1160" s="1111"/>
    </row>
    <row r="1161" spans="1:33" s="1295" customFormat="1">
      <c r="A1161" s="1264"/>
      <c r="D1161" s="1118"/>
      <c r="E1161" s="1264"/>
      <c r="F1161" s="1118"/>
      <c r="G1161" s="1118"/>
      <c r="H1161" s="1118"/>
      <c r="I1161" s="1118"/>
      <c r="J1161" s="1118"/>
      <c r="K1161" s="1118"/>
      <c r="L1161" s="1118"/>
      <c r="M1161" s="1118"/>
      <c r="N1161" s="1118"/>
      <c r="O1161" s="1118"/>
      <c r="P1161" s="1118"/>
      <c r="Q1161" s="1111"/>
      <c r="R1161" s="1111"/>
      <c r="S1161" s="1111"/>
      <c r="T1161" s="1111"/>
      <c r="U1161" s="1111"/>
      <c r="V1161" s="1111"/>
      <c r="W1161" s="1111"/>
      <c r="X1161" s="1111"/>
      <c r="Y1161" s="1111"/>
      <c r="Z1161" s="1111"/>
      <c r="AA1161" s="1111"/>
      <c r="AB1161" s="1111"/>
      <c r="AC1161" s="1111"/>
      <c r="AD1161" s="1111"/>
      <c r="AE1161" s="1111"/>
      <c r="AF1161" s="1111"/>
      <c r="AG1161" s="1111"/>
    </row>
    <row r="1162" spans="1:33" s="1295" customFormat="1">
      <c r="A1162" s="1264"/>
      <c r="D1162" s="1118"/>
      <c r="E1162" s="1264"/>
      <c r="F1162" s="1118"/>
      <c r="G1162" s="1118"/>
      <c r="H1162" s="1118"/>
      <c r="I1162" s="1118"/>
      <c r="J1162" s="1118"/>
      <c r="K1162" s="1118"/>
      <c r="L1162" s="1118"/>
      <c r="M1162" s="1118"/>
      <c r="N1162" s="1118"/>
      <c r="O1162" s="1118"/>
      <c r="P1162" s="1118"/>
      <c r="Q1162" s="1111"/>
      <c r="R1162" s="1111"/>
      <c r="S1162" s="1111"/>
      <c r="T1162" s="1111"/>
      <c r="U1162" s="1111"/>
      <c r="V1162" s="1111"/>
      <c r="W1162" s="1111"/>
      <c r="X1162" s="1111"/>
      <c r="Y1162" s="1111"/>
      <c r="Z1162" s="1111"/>
      <c r="AA1162" s="1111"/>
      <c r="AB1162" s="1111"/>
      <c r="AC1162" s="1111"/>
      <c r="AD1162" s="1111"/>
      <c r="AE1162" s="1111"/>
      <c r="AF1162" s="1111"/>
      <c r="AG1162" s="1111"/>
    </row>
    <row r="1163" spans="1:33" s="1295" customFormat="1">
      <c r="A1163" s="1264"/>
      <c r="D1163" s="1118"/>
      <c r="E1163" s="1264"/>
      <c r="F1163" s="1118"/>
      <c r="G1163" s="1118"/>
      <c r="H1163" s="1118"/>
      <c r="I1163" s="1118"/>
      <c r="J1163" s="1118"/>
      <c r="K1163" s="1118"/>
      <c r="L1163" s="1118"/>
      <c r="M1163" s="1118"/>
      <c r="N1163" s="1118"/>
      <c r="O1163" s="1118"/>
      <c r="P1163" s="1118"/>
      <c r="Q1163" s="1111"/>
      <c r="R1163" s="1111"/>
      <c r="S1163" s="1111"/>
      <c r="T1163" s="1111"/>
      <c r="U1163" s="1111"/>
      <c r="V1163" s="1111"/>
      <c r="W1163" s="1111"/>
      <c r="X1163" s="1111"/>
      <c r="Y1163" s="1111"/>
      <c r="Z1163" s="1111"/>
      <c r="AA1163" s="1111"/>
      <c r="AB1163" s="1111"/>
      <c r="AC1163" s="1111"/>
      <c r="AD1163" s="1111"/>
      <c r="AE1163" s="1111"/>
      <c r="AF1163" s="1111"/>
      <c r="AG1163" s="1111"/>
    </row>
    <row r="1164" spans="1:33" s="1295" customFormat="1">
      <c r="A1164" s="1264"/>
      <c r="D1164" s="1118"/>
      <c r="E1164" s="1264"/>
      <c r="F1164" s="1118"/>
      <c r="G1164" s="1118"/>
      <c r="H1164" s="1118"/>
      <c r="I1164" s="1118"/>
      <c r="J1164" s="1118"/>
      <c r="K1164" s="1118"/>
      <c r="L1164" s="1118"/>
      <c r="M1164" s="1118"/>
      <c r="N1164" s="1118"/>
      <c r="O1164" s="1118"/>
      <c r="P1164" s="1118"/>
      <c r="Q1164" s="1111"/>
      <c r="R1164" s="1111"/>
      <c r="S1164" s="1111"/>
      <c r="T1164" s="1111"/>
      <c r="U1164" s="1111"/>
      <c r="V1164" s="1111"/>
      <c r="W1164" s="1111"/>
      <c r="X1164" s="1111"/>
      <c r="Y1164" s="1111"/>
      <c r="Z1164" s="1111"/>
      <c r="AA1164" s="1111"/>
      <c r="AB1164" s="1111"/>
      <c r="AC1164" s="1111"/>
      <c r="AD1164" s="1111"/>
      <c r="AE1164" s="1111"/>
      <c r="AF1164" s="1111"/>
      <c r="AG1164" s="1111"/>
    </row>
    <row r="1165" spans="1:33" s="1295" customFormat="1">
      <c r="A1165" s="1264"/>
      <c r="D1165" s="1118"/>
      <c r="E1165" s="1264"/>
      <c r="F1165" s="1118"/>
      <c r="G1165" s="1118"/>
      <c r="H1165" s="1118"/>
      <c r="I1165" s="1118"/>
      <c r="J1165" s="1118"/>
      <c r="K1165" s="1118"/>
      <c r="L1165" s="1118"/>
      <c r="M1165" s="1118"/>
      <c r="N1165" s="1118"/>
      <c r="O1165" s="1118"/>
      <c r="P1165" s="1118"/>
      <c r="Q1165" s="1111"/>
      <c r="R1165" s="1111"/>
      <c r="S1165" s="1111"/>
      <c r="T1165" s="1111"/>
      <c r="U1165" s="1111"/>
      <c r="V1165" s="1111"/>
      <c r="W1165" s="1111"/>
      <c r="X1165" s="1111"/>
      <c r="Y1165" s="1111"/>
      <c r="Z1165" s="1111"/>
      <c r="AA1165" s="1111"/>
      <c r="AB1165" s="1111"/>
      <c r="AC1165" s="1111"/>
      <c r="AD1165" s="1111"/>
      <c r="AE1165" s="1111"/>
      <c r="AF1165" s="1111"/>
      <c r="AG1165" s="1111"/>
    </row>
    <row r="1166" spans="1:33" s="1295" customFormat="1">
      <c r="A1166" s="1264"/>
      <c r="D1166" s="1118"/>
      <c r="E1166" s="1264"/>
      <c r="F1166" s="1118"/>
      <c r="G1166" s="1118"/>
      <c r="H1166" s="1118"/>
      <c r="I1166" s="1118"/>
      <c r="J1166" s="1118"/>
      <c r="K1166" s="1118"/>
      <c r="L1166" s="1118"/>
      <c r="M1166" s="1118"/>
      <c r="N1166" s="1118"/>
      <c r="O1166" s="1118"/>
      <c r="P1166" s="1118"/>
      <c r="Q1166" s="1111"/>
      <c r="R1166" s="1111"/>
      <c r="S1166" s="1111"/>
      <c r="T1166" s="1111"/>
      <c r="U1166" s="1111"/>
      <c r="V1166" s="1111"/>
      <c r="W1166" s="1111"/>
      <c r="X1166" s="1111"/>
      <c r="Y1166" s="1111"/>
      <c r="Z1166" s="1111"/>
      <c r="AA1166" s="1111"/>
      <c r="AB1166" s="1111"/>
      <c r="AC1166" s="1111"/>
      <c r="AD1166" s="1111"/>
      <c r="AE1166" s="1111"/>
      <c r="AF1166" s="1111"/>
      <c r="AG1166" s="1111"/>
    </row>
    <row r="1167" spans="1:33" s="1295" customFormat="1">
      <c r="A1167" s="1264"/>
      <c r="D1167" s="1118"/>
      <c r="E1167" s="1264"/>
      <c r="F1167" s="1118"/>
      <c r="G1167" s="1118"/>
      <c r="H1167" s="1118"/>
      <c r="I1167" s="1118"/>
      <c r="J1167" s="1118"/>
      <c r="K1167" s="1118"/>
      <c r="L1167" s="1118"/>
      <c r="M1167" s="1118"/>
      <c r="N1167" s="1118"/>
      <c r="O1167" s="1118"/>
      <c r="P1167" s="1118"/>
      <c r="Q1167" s="1111"/>
      <c r="R1167" s="1111"/>
      <c r="S1167" s="1111"/>
      <c r="T1167" s="1111"/>
      <c r="U1167" s="1111"/>
      <c r="V1167" s="1111"/>
      <c r="W1167" s="1111"/>
      <c r="X1167" s="1111"/>
      <c r="Y1167" s="1111"/>
      <c r="Z1167" s="1111"/>
      <c r="AA1167" s="1111"/>
      <c r="AB1167" s="1111"/>
      <c r="AC1167" s="1111"/>
      <c r="AD1167" s="1111"/>
      <c r="AE1167" s="1111"/>
      <c r="AF1167" s="1111"/>
      <c r="AG1167" s="1111"/>
    </row>
    <row r="1168" spans="1:33" s="1295" customFormat="1">
      <c r="A1168" s="1264"/>
      <c r="D1168" s="1118"/>
      <c r="E1168" s="1264"/>
      <c r="F1168" s="1118"/>
      <c r="G1168" s="1118"/>
      <c r="H1168" s="1118"/>
      <c r="I1168" s="1118"/>
      <c r="J1168" s="1118"/>
      <c r="K1168" s="1118"/>
      <c r="L1168" s="1118"/>
      <c r="M1168" s="1118"/>
      <c r="N1168" s="1118"/>
      <c r="O1168" s="1118"/>
      <c r="P1168" s="1118"/>
      <c r="Q1168" s="1111"/>
      <c r="R1168" s="1111"/>
      <c r="S1168" s="1111"/>
      <c r="T1168" s="1111"/>
      <c r="U1168" s="1111"/>
      <c r="V1168" s="1111"/>
      <c r="W1168" s="1111"/>
      <c r="X1168" s="1111"/>
      <c r="Y1168" s="1111"/>
      <c r="Z1168" s="1111"/>
      <c r="AA1168" s="1111"/>
      <c r="AB1168" s="1111"/>
      <c r="AC1168" s="1111"/>
      <c r="AD1168" s="1111"/>
      <c r="AE1168" s="1111"/>
      <c r="AF1168" s="1111"/>
      <c r="AG1168" s="1111"/>
    </row>
    <row r="1169" spans="1:33" s="1295" customFormat="1">
      <c r="A1169" s="1264"/>
      <c r="D1169" s="1118"/>
      <c r="E1169" s="1264"/>
      <c r="F1169" s="1118"/>
      <c r="G1169" s="1118"/>
      <c r="H1169" s="1118"/>
      <c r="I1169" s="1118"/>
      <c r="J1169" s="1118"/>
      <c r="K1169" s="1118"/>
      <c r="L1169" s="1118"/>
      <c r="M1169" s="1118"/>
      <c r="N1169" s="1118"/>
      <c r="O1169" s="1118"/>
      <c r="P1169" s="1118"/>
      <c r="Q1169" s="1111"/>
      <c r="R1169" s="1111"/>
      <c r="S1169" s="1111"/>
      <c r="T1169" s="1111"/>
      <c r="U1169" s="1111"/>
      <c r="V1169" s="1111"/>
      <c r="W1169" s="1111"/>
      <c r="X1169" s="1111"/>
      <c r="Y1169" s="1111"/>
      <c r="Z1169" s="1111"/>
      <c r="AA1169" s="1111"/>
      <c r="AB1169" s="1111"/>
      <c r="AC1169" s="1111"/>
      <c r="AD1169" s="1111"/>
      <c r="AE1169" s="1111"/>
      <c r="AF1169" s="1111"/>
      <c r="AG1169" s="1111"/>
    </row>
    <row r="1170" spans="1:33" s="1295" customFormat="1">
      <c r="A1170" s="1264"/>
      <c r="D1170" s="1118"/>
      <c r="E1170" s="1264"/>
      <c r="F1170" s="1118"/>
      <c r="G1170" s="1118"/>
      <c r="H1170" s="1118"/>
      <c r="I1170" s="1118"/>
      <c r="J1170" s="1118"/>
      <c r="K1170" s="1118"/>
      <c r="L1170" s="1118"/>
      <c r="M1170" s="1118"/>
      <c r="N1170" s="1118"/>
      <c r="O1170" s="1118"/>
      <c r="P1170" s="1118"/>
      <c r="Q1170" s="1111"/>
      <c r="R1170" s="1111"/>
      <c r="S1170" s="1111"/>
      <c r="T1170" s="1111"/>
      <c r="U1170" s="1111"/>
      <c r="V1170" s="1111"/>
      <c r="W1170" s="1111"/>
      <c r="X1170" s="1111"/>
      <c r="Y1170" s="1111"/>
      <c r="Z1170" s="1111"/>
      <c r="AA1170" s="1111"/>
      <c r="AB1170" s="1111"/>
      <c r="AC1170" s="1111"/>
      <c r="AD1170" s="1111"/>
      <c r="AE1170" s="1111"/>
      <c r="AF1170" s="1111"/>
      <c r="AG1170" s="1111"/>
    </row>
    <row r="1171" spans="1:33" s="1295" customFormat="1">
      <c r="A1171" s="1264"/>
      <c r="D1171" s="1118"/>
      <c r="E1171" s="1264"/>
      <c r="F1171" s="1118"/>
      <c r="G1171" s="1118"/>
      <c r="H1171" s="1118"/>
      <c r="I1171" s="1118"/>
      <c r="J1171" s="1118"/>
      <c r="K1171" s="1118"/>
      <c r="L1171" s="1118"/>
      <c r="M1171" s="1118"/>
      <c r="N1171" s="1118"/>
      <c r="O1171" s="1118"/>
      <c r="P1171" s="1118"/>
      <c r="Q1171" s="1111"/>
      <c r="R1171" s="1111"/>
      <c r="S1171" s="1111"/>
      <c r="T1171" s="1111"/>
      <c r="U1171" s="1111"/>
      <c r="V1171" s="1111"/>
      <c r="W1171" s="1111"/>
      <c r="X1171" s="1111"/>
      <c r="Y1171" s="1111"/>
      <c r="Z1171" s="1111"/>
      <c r="AA1171" s="1111"/>
      <c r="AB1171" s="1111"/>
      <c r="AC1171" s="1111"/>
      <c r="AD1171" s="1111"/>
      <c r="AE1171" s="1111"/>
      <c r="AF1171" s="1111"/>
      <c r="AG1171" s="1111"/>
    </row>
    <row r="1172" spans="1:33" s="1295" customFormat="1">
      <c r="A1172" s="1264"/>
      <c r="D1172" s="1118"/>
      <c r="E1172" s="1264"/>
      <c r="F1172" s="1118"/>
      <c r="G1172" s="1118"/>
      <c r="H1172" s="1118"/>
      <c r="I1172" s="1118"/>
      <c r="J1172" s="1118"/>
      <c r="K1172" s="1118"/>
      <c r="L1172" s="1118"/>
      <c r="M1172" s="1118"/>
      <c r="N1172" s="1118"/>
      <c r="O1172" s="1118"/>
      <c r="P1172" s="1118"/>
      <c r="Q1172" s="1111"/>
      <c r="R1172" s="1111"/>
      <c r="S1172" s="1111"/>
      <c r="T1172" s="1111"/>
      <c r="U1172" s="1111"/>
      <c r="V1172" s="1111"/>
      <c r="W1172" s="1111"/>
      <c r="X1172" s="1111"/>
      <c r="Y1172" s="1111"/>
      <c r="Z1172" s="1111"/>
      <c r="AA1172" s="1111"/>
      <c r="AB1172" s="1111"/>
      <c r="AC1172" s="1111"/>
      <c r="AD1172" s="1111"/>
      <c r="AE1172" s="1111"/>
      <c r="AF1172" s="1111"/>
      <c r="AG1172" s="1111"/>
    </row>
    <row r="1173" spans="1:33" s="1295" customFormat="1">
      <c r="A1173" s="1264"/>
      <c r="D1173" s="1118"/>
      <c r="E1173" s="1264"/>
      <c r="F1173" s="1118"/>
      <c r="G1173" s="1118"/>
      <c r="H1173" s="1118"/>
      <c r="I1173" s="1118"/>
      <c r="J1173" s="1118"/>
      <c r="K1173" s="1118"/>
      <c r="L1173" s="1118"/>
      <c r="M1173" s="1118"/>
      <c r="N1173" s="1118"/>
      <c r="O1173" s="1118"/>
      <c r="P1173" s="1118"/>
      <c r="Q1173" s="1111"/>
      <c r="R1173" s="1111"/>
      <c r="S1173" s="1111"/>
      <c r="T1173" s="1111"/>
      <c r="U1173" s="1111"/>
      <c r="V1173" s="1111"/>
      <c r="W1173" s="1111"/>
      <c r="X1173" s="1111"/>
      <c r="Y1173" s="1111"/>
      <c r="Z1173" s="1111"/>
      <c r="AA1173" s="1111"/>
      <c r="AB1173" s="1111"/>
      <c r="AC1173" s="1111"/>
      <c r="AD1173" s="1111"/>
      <c r="AE1173" s="1111"/>
      <c r="AF1173" s="1111"/>
      <c r="AG1173" s="1111"/>
    </row>
    <row r="1174" spans="1:33" s="1295" customFormat="1">
      <c r="A1174" s="1264"/>
      <c r="D1174" s="1118"/>
      <c r="E1174" s="1264"/>
      <c r="F1174" s="1118"/>
      <c r="G1174" s="1118"/>
      <c r="H1174" s="1118"/>
      <c r="I1174" s="1118"/>
      <c r="J1174" s="1118"/>
      <c r="K1174" s="1118"/>
      <c r="L1174" s="1118"/>
      <c r="M1174" s="1118"/>
      <c r="N1174" s="1118"/>
      <c r="O1174" s="1118"/>
      <c r="P1174" s="1118"/>
      <c r="Q1174" s="1111"/>
      <c r="R1174" s="1111"/>
      <c r="S1174" s="1111"/>
      <c r="T1174" s="1111"/>
      <c r="U1174" s="1111"/>
      <c r="V1174" s="1111"/>
      <c r="W1174" s="1111"/>
      <c r="X1174" s="1111"/>
      <c r="Y1174" s="1111"/>
      <c r="Z1174" s="1111"/>
      <c r="AA1174" s="1111"/>
      <c r="AB1174" s="1111"/>
      <c r="AC1174" s="1111"/>
      <c r="AD1174" s="1111"/>
      <c r="AE1174" s="1111"/>
      <c r="AF1174" s="1111"/>
      <c r="AG1174" s="1111"/>
    </row>
    <row r="1175" spans="1:33" s="1295" customFormat="1">
      <c r="A1175" s="1264"/>
      <c r="D1175" s="1118"/>
      <c r="E1175" s="1264"/>
      <c r="F1175" s="1118"/>
      <c r="G1175" s="1118"/>
      <c r="H1175" s="1118"/>
      <c r="I1175" s="1118"/>
      <c r="J1175" s="1118"/>
      <c r="K1175" s="1118"/>
      <c r="L1175" s="1118"/>
      <c r="M1175" s="1118"/>
      <c r="N1175" s="1118"/>
      <c r="O1175" s="1118"/>
      <c r="P1175" s="1118"/>
      <c r="Q1175" s="1111"/>
      <c r="R1175" s="1111"/>
      <c r="S1175" s="1111"/>
      <c r="T1175" s="1111"/>
      <c r="U1175" s="1111"/>
      <c r="V1175" s="1111"/>
      <c r="W1175" s="1111"/>
      <c r="X1175" s="1111"/>
      <c r="Y1175" s="1111"/>
      <c r="Z1175" s="1111"/>
      <c r="AA1175" s="1111"/>
      <c r="AB1175" s="1111"/>
      <c r="AC1175" s="1111"/>
      <c r="AD1175" s="1111"/>
      <c r="AE1175" s="1111"/>
      <c r="AF1175" s="1111"/>
      <c r="AG1175" s="1111"/>
    </row>
    <row r="1176" spans="1:33" s="1295" customFormat="1">
      <c r="A1176" s="1264"/>
      <c r="D1176" s="1118"/>
      <c r="E1176" s="1264"/>
      <c r="F1176" s="1118"/>
      <c r="G1176" s="1118"/>
      <c r="H1176" s="1118"/>
      <c r="I1176" s="1118"/>
      <c r="J1176" s="1118"/>
      <c r="K1176" s="1118"/>
      <c r="L1176" s="1118"/>
      <c r="M1176" s="1118"/>
      <c r="N1176" s="1118"/>
      <c r="O1176" s="1118"/>
      <c r="P1176" s="1118"/>
      <c r="Q1176" s="1111"/>
      <c r="R1176" s="1111"/>
      <c r="S1176" s="1111"/>
      <c r="T1176" s="1111"/>
      <c r="U1176" s="1111"/>
      <c r="V1176" s="1111"/>
      <c r="W1176" s="1111"/>
      <c r="X1176" s="1111"/>
      <c r="Y1176" s="1111"/>
      <c r="Z1176" s="1111"/>
      <c r="AA1176" s="1111"/>
      <c r="AB1176" s="1111"/>
      <c r="AC1176" s="1111"/>
      <c r="AD1176" s="1111"/>
      <c r="AE1176" s="1111"/>
      <c r="AF1176" s="1111"/>
      <c r="AG1176" s="1111"/>
    </row>
    <row r="1177" spans="1:33" s="1295" customFormat="1">
      <c r="A1177" s="1264"/>
      <c r="D1177" s="1118"/>
      <c r="E1177" s="1264"/>
      <c r="F1177" s="1118"/>
      <c r="G1177" s="1118"/>
      <c r="H1177" s="1118"/>
      <c r="I1177" s="1118"/>
      <c r="J1177" s="1118"/>
      <c r="K1177" s="1118"/>
      <c r="L1177" s="1118"/>
      <c r="M1177" s="1118"/>
      <c r="N1177" s="1118"/>
      <c r="O1177" s="1118"/>
      <c r="P1177" s="1118"/>
      <c r="Q1177" s="1111"/>
      <c r="R1177" s="1111"/>
      <c r="S1177" s="1111"/>
      <c r="T1177" s="1111"/>
      <c r="U1177" s="1111"/>
      <c r="V1177" s="1111"/>
      <c r="W1177" s="1111"/>
      <c r="X1177" s="1111"/>
      <c r="Y1177" s="1111"/>
      <c r="Z1177" s="1111"/>
      <c r="AA1177" s="1111"/>
      <c r="AB1177" s="1111"/>
      <c r="AC1177" s="1111"/>
      <c r="AD1177" s="1111"/>
      <c r="AE1177" s="1111"/>
      <c r="AF1177" s="1111"/>
      <c r="AG1177" s="1111"/>
    </row>
    <row r="1178" spans="1:33" s="1295" customFormat="1">
      <c r="A1178" s="1264"/>
      <c r="D1178" s="1118"/>
      <c r="E1178" s="1264"/>
      <c r="F1178" s="1118"/>
      <c r="G1178" s="1118"/>
      <c r="H1178" s="1118"/>
      <c r="I1178" s="1118"/>
      <c r="J1178" s="1118"/>
      <c r="K1178" s="1118"/>
      <c r="L1178" s="1118"/>
      <c r="M1178" s="1118"/>
      <c r="N1178" s="1118"/>
      <c r="O1178" s="1118"/>
      <c r="P1178" s="1118"/>
      <c r="Q1178" s="1111"/>
      <c r="R1178" s="1111"/>
      <c r="S1178" s="1111"/>
      <c r="T1178" s="1111"/>
      <c r="U1178" s="1111"/>
      <c r="V1178" s="1111"/>
      <c r="W1178" s="1111"/>
      <c r="X1178" s="1111"/>
      <c r="Y1178" s="1111"/>
      <c r="Z1178" s="1111"/>
      <c r="AA1178" s="1111"/>
      <c r="AB1178" s="1111"/>
      <c r="AC1178" s="1111"/>
      <c r="AD1178" s="1111"/>
      <c r="AE1178" s="1111"/>
      <c r="AF1178" s="1111"/>
      <c r="AG1178" s="1111"/>
    </row>
    <row r="1179" spans="1:33" s="1295" customFormat="1">
      <c r="A1179" s="1264"/>
      <c r="D1179" s="1118"/>
      <c r="E1179" s="1264"/>
      <c r="F1179" s="1118"/>
      <c r="G1179" s="1118"/>
      <c r="H1179" s="1118"/>
      <c r="I1179" s="1118"/>
      <c r="J1179" s="1118"/>
      <c r="K1179" s="1118"/>
      <c r="L1179" s="1118"/>
      <c r="M1179" s="1118"/>
      <c r="N1179" s="1118"/>
      <c r="O1179" s="1118"/>
      <c r="P1179" s="1118"/>
      <c r="Q1179" s="1111"/>
      <c r="R1179" s="1111"/>
      <c r="S1179" s="1111"/>
      <c r="T1179" s="1111"/>
      <c r="U1179" s="1111"/>
      <c r="V1179" s="1111"/>
      <c r="W1179" s="1111"/>
      <c r="X1179" s="1111"/>
      <c r="Y1179" s="1111"/>
      <c r="Z1179" s="1111"/>
      <c r="AA1179" s="1111"/>
      <c r="AB1179" s="1111"/>
      <c r="AC1179" s="1111"/>
      <c r="AD1179" s="1111"/>
      <c r="AE1179" s="1111"/>
      <c r="AF1179" s="1111"/>
      <c r="AG1179" s="1111"/>
    </row>
    <row r="1180" spans="1:33" s="1295" customFormat="1">
      <c r="A1180" s="1264"/>
      <c r="D1180" s="1118"/>
      <c r="E1180" s="1264"/>
      <c r="F1180" s="1118"/>
      <c r="G1180" s="1118"/>
      <c r="H1180" s="1118"/>
      <c r="I1180" s="1118"/>
      <c r="J1180" s="1118"/>
      <c r="K1180" s="1118"/>
      <c r="L1180" s="1118"/>
      <c r="M1180" s="1118"/>
      <c r="N1180" s="1118"/>
      <c r="O1180" s="1118"/>
      <c r="P1180" s="1118"/>
      <c r="Q1180" s="1111"/>
      <c r="R1180" s="1111"/>
      <c r="S1180" s="1111"/>
      <c r="T1180" s="1111"/>
      <c r="U1180" s="1111"/>
      <c r="V1180" s="1111"/>
      <c r="W1180" s="1111"/>
      <c r="X1180" s="1111"/>
      <c r="Y1180" s="1111"/>
      <c r="Z1180" s="1111"/>
      <c r="AA1180" s="1111"/>
      <c r="AB1180" s="1111"/>
      <c r="AC1180" s="1111"/>
      <c r="AD1180" s="1111"/>
      <c r="AE1180" s="1111"/>
      <c r="AF1180" s="1111"/>
      <c r="AG1180" s="1111"/>
    </row>
    <row r="1181" spans="1:33" s="1295" customFormat="1">
      <c r="A1181" s="1264"/>
      <c r="D1181" s="1118"/>
      <c r="E1181" s="1264"/>
      <c r="F1181" s="1118"/>
      <c r="G1181" s="1118"/>
      <c r="H1181" s="1118"/>
      <c r="I1181" s="1118"/>
      <c r="J1181" s="1118"/>
      <c r="K1181" s="1118"/>
      <c r="L1181" s="1118"/>
      <c r="M1181" s="1118"/>
      <c r="N1181" s="1118"/>
      <c r="O1181" s="1118"/>
      <c r="P1181" s="1118"/>
      <c r="Q1181" s="1111"/>
      <c r="R1181" s="1111"/>
      <c r="S1181" s="1111"/>
      <c r="T1181" s="1111"/>
      <c r="U1181" s="1111"/>
      <c r="V1181" s="1111"/>
      <c r="W1181" s="1111"/>
      <c r="X1181" s="1111"/>
      <c r="Y1181" s="1111"/>
      <c r="Z1181" s="1111"/>
      <c r="AA1181" s="1111"/>
      <c r="AB1181" s="1111"/>
      <c r="AC1181" s="1111"/>
      <c r="AD1181" s="1111"/>
      <c r="AE1181" s="1111"/>
      <c r="AF1181" s="1111"/>
      <c r="AG1181" s="1111"/>
    </row>
    <row r="1182" spans="1:33" s="1295" customFormat="1">
      <c r="A1182" s="1264"/>
      <c r="D1182" s="1118"/>
      <c r="E1182" s="1264"/>
      <c r="F1182" s="1118"/>
      <c r="G1182" s="1118"/>
      <c r="H1182" s="1118"/>
      <c r="I1182" s="1118"/>
      <c r="J1182" s="1118"/>
      <c r="K1182" s="1118"/>
      <c r="L1182" s="1118"/>
      <c r="M1182" s="1118"/>
      <c r="N1182" s="1118"/>
      <c r="O1182" s="1118"/>
      <c r="P1182" s="1118"/>
      <c r="Q1182" s="1111"/>
      <c r="R1182" s="1111"/>
      <c r="S1182" s="1111"/>
      <c r="T1182" s="1111"/>
      <c r="U1182" s="1111"/>
      <c r="V1182" s="1111"/>
      <c r="W1182" s="1111"/>
      <c r="X1182" s="1111"/>
      <c r="Y1182" s="1111"/>
      <c r="Z1182" s="1111"/>
      <c r="AA1182" s="1111"/>
      <c r="AB1182" s="1111"/>
      <c r="AC1182" s="1111"/>
      <c r="AD1182" s="1111"/>
      <c r="AE1182" s="1111"/>
      <c r="AF1182" s="1111"/>
      <c r="AG1182" s="1111"/>
    </row>
    <row r="1183" spans="1:33" s="1295" customFormat="1">
      <c r="A1183" s="1264"/>
      <c r="D1183" s="1118"/>
      <c r="E1183" s="1264"/>
      <c r="F1183" s="1118"/>
      <c r="G1183" s="1118"/>
      <c r="H1183" s="1118"/>
      <c r="I1183" s="1118"/>
      <c r="J1183" s="1118"/>
      <c r="K1183" s="1118"/>
      <c r="L1183" s="1118"/>
      <c r="M1183" s="1118"/>
      <c r="N1183" s="1118"/>
      <c r="O1183" s="1118"/>
      <c r="P1183" s="1118"/>
      <c r="Q1183" s="1111"/>
      <c r="R1183" s="1111"/>
      <c r="S1183" s="1111"/>
      <c r="T1183" s="1111"/>
      <c r="U1183" s="1111"/>
      <c r="V1183" s="1111"/>
      <c r="W1183" s="1111"/>
      <c r="X1183" s="1111"/>
      <c r="Y1183" s="1111"/>
      <c r="Z1183" s="1111"/>
      <c r="AA1183" s="1111"/>
      <c r="AB1183" s="1111"/>
      <c r="AC1183" s="1111"/>
      <c r="AD1183" s="1111"/>
      <c r="AE1183" s="1111"/>
      <c r="AF1183" s="1111"/>
      <c r="AG1183" s="1111"/>
    </row>
    <row r="1184" spans="1:33" s="1295" customFormat="1">
      <c r="A1184" s="1264"/>
      <c r="D1184" s="1118"/>
      <c r="E1184" s="1264"/>
      <c r="F1184" s="1118"/>
      <c r="G1184" s="1118"/>
      <c r="H1184" s="1118"/>
      <c r="I1184" s="1118"/>
      <c r="J1184" s="1118"/>
      <c r="K1184" s="1118"/>
      <c r="L1184" s="1118"/>
      <c r="M1184" s="1118"/>
      <c r="N1184" s="1118"/>
      <c r="O1184" s="1118"/>
      <c r="P1184" s="1118"/>
      <c r="Q1184" s="1111"/>
      <c r="R1184" s="1111"/>
      <c r="S1184" s="1111"/>
      <c r="T1184" s="1111"/>
      <c r="U1184" s="1111"/>
      <c r="V1184" s="1111"/>
      <c r="W1184" s="1111"/>
      <c r="X1184" s="1111"/>
      <c r="Y1184" s="1111"/>
      <c r="Z1184" s="1111"/>
      <c r="AA1184" s="1111"/>
      <c r="AB1184" s="1111"/>
      <c r="AC1184" s="1111"/>
      <c r="AD1184" s="1111"/>
      <c r="AE1184" s="1111"/>
      <c r="AF1184" s="1111"/>
      <c r="AG1184" s="1111"/>
    </row>
    <row r="1185" spans="1:33" s="1295" customFormat="1">
      <c r="A1185" s="1264"/>
      <c r="D1185" s="1118"/>
      <c r="E1185" s="1264"/>
      <c r="F1185" s="1118"/>
      <c r="G1185" s="1118"/>
      <c r="H1185" s="1118"/>
      <c r="I1185" s="1118"/>
      <c r="J1185" s="1118"/>
      <c r="K1185" s="1118"/>
      <c r="L1185" s="1118"/>
      <c r="M1185" s="1118"/>
      <c r="N1185" s="1118"/>
      <c r="O1185" s="1118"/>
      <c r="P1185" s="1118"/>
      <c r="Q1185" s="1111"/>
      <c r="R1185" s="1111"/>
      <c r="S1185" s="1111"/>
      <c r="T1185" s="1111"/>
      <c r="U1185" s="1111"/>
      <c r="V1185" s="1111"/>
      <c r="W1185" s="1111"/>
      <c r="X1185" s="1111"/>
      <c r="Y1185" s="1111"/>
      <c r="Z1185" s="1111"/>
      <c r="AA1185" s="1111"/>
      <c r="AB1185" s="1111"/>
      <c r="AC1185" s="1111"/>
      <c r="AD1185" s="1111"/>
      <c r="AE1185" s="1111"/>
      <c r="AF1185" s="1111"/>
      <c r="AG1185" s="1111"/>
    </row>
    <row r="1186" spans="1:33" s="1295" customFormat="1">
      <c r="A1186" s="1264"/>
      <c r="D1186" s="1118"/>
      <c r="E1186" s="1264"/>
      <c r="F1186" s="1118"/>
      <c r="G1186" s="1118"/>
      <c r="H1186" s="1118"/>
      <c r="I1186" s="1118"/>
      <c r="J1186" s="1118"/>
      <c r="K1186" s="1118"/>
      <c r="L1186" s="1118"/>
      <c r="M1186" s="1118"/>
      <c r="N1186" s="1118"/>
      <c r="O1186" s="1118"/>
      <c r="P1186" s="1118"/>
      <c r="Q1186" s="1111"/>
      <c r="R1186" s="1111"/>
      <c r="S1186" s="1111"/>
      <c r="T1186" s="1111"/>
      <c r="U1186" s="1111"/>
      <c r="V1186" s="1111"/>
      <c r="W1186" s="1111"/>
      <c r="X1186" s="1111"/>
      <c r="Y1186" s="1111"/>
      <c r="Z1186" s="1111"/>
      <c r="AA1186" s="1111"/>
      <c r="AB1186" s="1111"/>
      <c r="AC1186" s="1111"/>
      <c r="AD1186" s="1111"/>
      <c r="AE1186" s="1111"/>
      <c r="AF1186" s="1111"/>
      <c r="AG1186" s="1111"/>
    </row>
    <row r="1187" spans="1:33" s="1295" customFormat="1">
      <c r="A1187" s="1264"/>
      <c r="D1187" s="1118"/>
      <c r="E1187" s="1264"/>
      <c r="F1187" s="1118"/>
      <c r="G1187" s="1118"/>
      <c r="H1187" s="1118"/>
      <c r="I1187" s="1118"/>
      <c r="J1187" s="1118"/>
      <c r="K1187" s="1118"/>
      <c r="L1187" s="1118"/>
      <c r="M1187" s="1118"/>
      <c r="N1187" s="1118"/>
      <c r="O1187" s="1118"/>
      <c r="P1187" s="1118"/>
      <c r="Q1187" s="1111"/>
      <c r="R1187" s="1111"/>
      <c r="S1187" s="1111"/>
      <c r="T1187" s="1111"/>
      <c r="U1187" s="1111"/>
      <c r="V1187" s="1111"/>
      <c r="W1187" s="1111"/>
      <c r="X1187" s="1111"/>
      <c r="Y1187" s="1111"/>
      <c r="Z1187" s="1111"/>
      <c r="AA1187" s="1111"/>
      <c r="AB1187" s="1111"/>
      <c r="AC1187" s="1111"/>
      <c r="AD1187" s="1111"/>
      <c r="AE1187" s="1111"/>
      <c r="AF1187" s="1111"/>
      <c r="AG1187" s="1111"/>
    </row>
    <row r="1188" spans="1:33" s="1295" customFormat="1">
      <c r="A1188" s="1264"/>
      <c r="D1188" s="1118"/>
      <c r="E1188" s="1264"/>
      <c r="F1188" s="1118"/>
      <c r="G1188" s="1118"/>
      <c r="H1188" s="1118"/>
      <c r="I1188" s="1118"/>
      <c r="J1188" s="1118"/>
      <c r="K1188" s="1118"/>
      <c r="L1188" s="1118"/>
      <c r="M1188" s="1118"/>
      <c r="N1188" s="1118"/>
      <c r="O1188" s="1118"/>
      <c r="P1188" s="1118"/>
      <c r="Q1188" s="1111"/>
      <c r="R1188" s="1111"/>
      <c r="S1188" s="1111"/>
      <c r="T1188" s="1111"/>
      <c r="U1188" s="1111"/>
      <c r="V1188" s="1111"/>
      <c r="W1188" s="1111"/>
      <c r="X1188" s="1111"/>
      <c r="Y1188" s="1111"/>
      <c r="Z1188" s="1111"/>
      <c r="AA1188" s="1111"/>
      <c r="AB1188" s="1111"/>
      <c r="AC1188" s="1111"/>
      <c r="AD1188" s="1111"/>
      <c r="AE1188" s="1111"/>
      <c r="AF1188" s="1111"/>
      <c r="AG1188" s="1111"/>
    </row>
    <row r="1189" spans="1:33" s="1295" customFormat="1">
      <c r="A1189" s="1264"/>
      <c r="D1189" s="1118"/>
      <c r="E1189" s="1264"/>
      <c r="F1189" s="1118"/>
      <c r="G1189" s="1118"/>
      <c r="H1189" s="1118"/>
      <c r="I1189" s="1118"/>
      <c r="J1189" s="1118"/>
      <c r="K1189" s="1118"/>
      <c r="L1189" s="1118"/>
      <c r="M1189" s="1118"/>
      <c r="N1189" s="1118"/>
      <c r="O1189" s="1118"/>
      <c r="P1189" s="1118"/>
      <c r="Q1189" s="1111"/>
      <c r="R1189" s="1111"/>
      <c r="S1189" s="1111"/>
      <c r="T1189" s="1111"/>
      <c r="U1189" s="1111"/>
      <c r="V1189" s="1111"/>
      <c r="W1189" s="1111"/>
      <c r="X1189" s="1111"/>
      <c r="Y1189" s="1111"/>
      <c r="Z1189" s="1111"/>
      <c r="AA1189" s="1111"/>
      <c r="AB1189" s="1111"/>
      <c r="AC1189" s="1111"/>
      <c r="AD1189" s="1111"/>
      <c r="AE1189" s="1111"/>
      <c r="AF1189" s="1111"/>
      <c r="AG1189" s="1111"/>
    </row>
    <row r="1190" spans="1:33" s="1295" customFormat="1">
      <c r="A1190" s="1264"/>
      <c r="D1190" s="1118"/>
      <c r="E1190" s="1264"/>
      <c r="F1190" s="1118"/>
      <c r="G1190" s="1118"/>
      <c r="H1190" s="1118"/>
      <c r="I1190" s="1118"/>
      <c r="J1190" s="1118"/>
      <c r="K1190" s="1118"/>
      <c r="L1190" s="1118"/>
      <c r="M1190" s="1118"/>
      <c r="N1190" s="1118"/>
      <c r="O1190" s="1118"/>
      <c r="P1190" s="1118"/>
      <c r="Q1190" s="1111"/>
      <c r="R1190" s="1111"/>
      <c r="S1190" s="1111"/>
      <c r="T1190" s="1111"/>
      <c r="U1190" s="1111"/>
      <c r="V1190" s="1111"/>
      <c r="W1190" s="1111"/>
      <c r="X1190" s="1111"/>
      <c r="Y1190" s="1111"/>
      <c r="Z1190" s="1111"/>
      <c r="AA1190" s="1111"/>
      <c r="AB1190" s="1111"/>
      <c r="AC1190" s="1111"/>
      <c r="AD1190" s="1111"/>
      <c r="AE1190" s="1111"/>
      <c r="AF1190" s="1111"/>
      <c r="AG1190" s="1111"/>
    </row>
    <row r="1191" spans="1:33" s="1295" customFormat="1">
      <c r="A1191" s="1264"/>
      <c r="D1191" s="1118"/>
      <c r="E1191" s="1264"/>
      <c r="F1191" s="1118"/>
      <c r="G1191" s="1118"/>
      <c r="H1191" s="1118"/>
      <c r="I1191" s="1118"/>
      <c r="J1191" s="1118"/>
      <c r="K1191" s="1118"/>
      <c r="L1191" s="1118"/>
      <c r="M1191" s="1118"/>
      <c r="N1191" s="1118"/>
      <c r="O1191" s="1118"/>
      <c r="P1191" s="1118"/>
      <c r="Q1191" s="1111"/>
      <c r="R1191" s="1111"/>
      <c r="S1191" s="1111"/>
      <c r="T1191" s="1111"/>
      <c r="U1191" s="1111"/>
      <c r="V1191" s="1111"/>
      <c r="W1191" s="1111"/>
      <c r="X1191" s="1111"/>
      <c r="Y1191" s="1111"/>
      <c r="Z1191" s="1111"/>
      <c r="AA1191" s="1111"/>
      <c r="AB1191" s="1111"/>
      <c r="AC1191" s="1111"/>
      <c r="AD1191" s="1111"/>
      <c r="AE1191" s="1111"/>
      <c r="AF1191" s="1111"/>
      <c r="AG1191" s="1111"/>
    </row>
    <row r="1192" spans="1:33" s="1295" customFormat="1">
      <c r="A1192" s="1264"/>
      <c r="D1192" s="1118"/>
      <c r="E1192" s="1264"/>
      <c r="F1192" s="1118"/>
      <c r="G1192" s="1118"/>
      <c r="H1192" s="1118"/>
      <c r="I1192" s="1118"/>
      <c r="J1192" s="1118"/>
      <c r="K1192" s="1118"/>
      <c r="L1192" s="1118"/>
      <c r="M1192" s="1118"/>
      <c r="N1192" s="1118"/>
      <c r="O1192" s="1118"/>
      <c r="P1192" s="1118"/>
      <c r="Q1192" s="1111"/>
      <c r="R1192" s="1111"/>
      <c r="S1192" s="1111"/>
      <c r="T1192" s="1111"/>
      <c r="U1192" s="1111"/>
      <c r="V1192" s="1111"/>
      <c r="W1192" s="1111"/>
      <c r="X1192" s="1111"/>
      <c r="Y1192" s="1111"/>
      <c r="Z1192" s="1111"/>
      <c r="AA1192" s="1111"/>
      <c r="AB1192" s="1111"/>
      <c r="AC1192" s="1111"/>
      <c r="AD1192" s="1111"/>
      <c r="AE1192" s="1111"/>
      <c r="AF1192" s="1111"/>
      <c r="AG1192" s="1111"/>
    </row>
    <row r="1193" spans="1:33" s="1295" customFormat="1">
      <c r="A1193" s="1264"/>
      <c r="D1193" s="1118"/>
      <c r="E1193" s="1264"/>
      <c r="F1193" s="1118"/>
      <c r="G1193" s="1118"/>
      <c r="H1193" s="1118"/>
      <c r="I1193" s="1118"/>
      <c r="J1193" s="1118"/>
      <c r="K1193" s="1118"/>
      <c r="L1193" s="1118"/>
      <c r="M1193" s="1118"/>
      <c r="N1193" s="1118"/>
      <c r="O1193" s="1118"/>
      <c r="P1193" s="1118"/>
      <c r="Q1193" s="1111"/>
      <c r="R1193" s="1111"/>
      <c r="S1193" s="1111"/>
      <c r="T1193" s="1111"/>
      <c r="U1193" s="1111"/>
      <c r="V1193" s="1111"/>
      <c r="W1193" s="1111"/>
      <c r="X1193" s="1111"/>
      <c r="Y1193" s="1111"/>
      <c r="Z1193" s="1111"/>
      <c r="AA1193" s="1111"/>
      <c r="AB1193" s="1111"/>
      <c r="AC1193" s="1111"/>
      <c r="AD1193" s="1111"/>
      <c r="AE1193" s="1111"/>
      <c r="AF1193" s="1111"/>
      <c r="AG1193" s="1111"/>
    </row>
    <row r="1194" spans="1:33" s="1295" customFormat="1">
      <c r="A1194" s="1264"/>
      <c r="D1194" s="1118"/>
      <c r="E1194" s="1264"/>
      <c r="F1194" s="1118"/>
      <c r="G1194" s="1118"/>
      <c r="H1194" s="1118"/>
      <c r="I1194" s="1118"/>
      <c r="J1194" s="1118"/>
      <c r="K1194" s="1118"/>
      <c r="L1194" s="1118"/>
      <c r="M1194" s="1118"/>
      <c r="N1194" s="1118"/>
      <c r="O1194" s="1118"/>
      <c r="P1194" s="1118"/>
      <c r="Q1194" s="1111"/>
      <c r="R1194" s="1111"/>
      <c r="S1194" s="1111"/>
      <c r="T1194" s="1111"/>
      <c r="U1194" s="1111"/>
      <c r="V1194" s="1111"/>
      <c r="W1194" s="1111"/>
      <c r="X1194" s="1111"/>
      <c r="Y1194" s="1111"/>
      <c r="Z1194" s="1111"/>
      <c r="AA1194" s="1111"/>
      <c r="AB1194" s="1111"/>
      <c r="AC1194" s="1111"/>
      <c r="AD1194" s="1111"/>
      <c r="AE1194" s="1111"/>
      <c r="AF1194" s="1111"/>
      <c r="AG1194" s="1111"/>
    </row>
    <row r="1195" spans="1:33" s="1295" customFormat="1">
      <c r="A1195" s="1264"/>
      <c r="D1195" s="1118"/>
      <c r="E1195" s="1264"/>
      <c r="F1195" s="1118"/>
      <c r="G1195" s="1118"/>
      <c r="H1195" s="1118"/>
      <c r="I1195" s="1118"/>
      <c r="J1195" s="1118"/>
      <c r="K1195" s="1118"/>
      <c r="L1195" s="1118"/>
      <c r="M1195" s="1118"/>
      <c r="N1195" s="1118"/>
      <c r="O1195" s="1118"/>
      <c r="P1195" s="1118"/>
      <c r="Q1195" s="1111"/>
      <c r="R1195" s="1111"/>
      <c r="S1195" s="1111"/>
      <c r="T1195" s="1111"/>
      <c r="U1195" s="1111"/>
      <c r="V1195" s="1111"/>
      <c r="W1195" s="1111"/>
      <c r="X1195" s="1111"/>
      <c r="Y1195" s="1111"/>
      <c r="Z1195" s="1111"/>
      <c r="AA1195" s="1111"/>
      <c r="AB1195" s="1111"/>
      <c r="AC1195" s="1111"/>
      <c r="AD1195" s="1111"/>
      <c r="AE1195" s="1111"/>
      <c r="AF1195" s="1111"/>
      <c r="AG1195" s="1111"/>
    </row>
    <row r="1196" spans="1:33" s="1295" customFormat="1">
      <c r="A1196" s="1264"/>
      <c r="D1196" s="1118"/>
      <c r="E1196" s="1264"/>
      <c r="F1196" s="1118"/>
      <c r="G1196" s="1118"/>
      <c r="H1196" s="1118"/>
      <c r="I1196" s="1118"/>
      <c r="J1196" s="1118"/>
      <c r="K1196" s="1118"/>
      <c r="L1196" s="1118"/>
      <c r="M1196" s="1118"/>
      <c r="N1196" s="1118"/>
      <c r="O1196" s="1118"/>
      <c r="P1196" s="1118"/>
      <c r="Q1196" s="1111"/>
      <c r="R1196" s="1111"/>
      <c r="S1196" s="1111"/>
      <c r="T1196" s="1111"/>
      <c r="U1196" s="1111"/>
      <c r="V1196" s="1111"/>
      <c r="W1196" s="1111"/>
      <c r="X1196" s="1111"/>
      <c r="Y1196" s="1111"/>
      <c r="Z1196" s="1111"/>
      <c r="AA1196" s="1111"/>
      <c r="AB1196" s="1111"/>
      <c r="AC1196" s="1111"/>
      <c r="AD1196" s="1111"/>
      <c r="AE1196" s="1111"/>
      <c r="AF1196" s="1111"/>
      <c r="AG1196" s="1111"/>
    </row>
    <row r="1197" spans="1:33" s="1295" customFormat="1">
      <c r="A1197" s="1264"/>
      <c r="D1197" s="1118"/>
      <c r="E1197" s="1264"/>
      <c r="F1197" s="1118"/>
      <c r="G1197" s="1118"/>
      <c r="H1197" s="1118"/>
      <c r="I1197" s="1118"/>
      <c r="J1197" s="1118"/>
      <c r="K1197" s="1118"/>
      <c r="L1197" s="1118"/>
      <c r="M1197" s="1118"/>
      <c r="N1197" s="1118"/>
      <c r="O1197" s="1118"/>
      <c r="P1197" s="1118"/>
      <c r="Q1197" s="1111"/>
      <c r="R1197" s="1111"/>
      <c r="S1197" s="1111"/>
      <c r="T1197" s="1111"/>
      <c r="U1197" s="1111"/>
      <c r="V1197" s="1111"/>
      <c r="W1197" s="1111"/>
      <c r="X1197" s="1111"/>
      <c r="Y1197" s="1111"/>
      <c r="Z1197" s="1111"/>
      <c r="AA1197" s="1111"/>
      <c r="AB1197" s="1111"/>
      <c r="AC1197" s="1111"/>
      <c r="AD1197" s="1111"/>
      <c r="AE1197" s="1111"/>
      <c r="AF1197" s="1111"/>
      <c r="AG1197" s="1111"/>
    </row>
    <row r="1198" spans="1:33" s="1295" customFormat="1">
      <c r="A1198" s="1264"/>
      <c r="D1198" s="1118"/>
      <c r="E1198" s="1264"/>
      <c r="F1198" s="1118"/>
      <c r="G1198" s="1118"/>
      <c r="H1198" s="1118"/>
      <c r="I1198" s="1118"/>
      <c r="J1198" s="1118"/>
      <c r="K1198" s="1118"/>
      <c r="L1198" s="1118"/>
      <c r="M1198" s="1118"/>
      <c r="N1198" s="1118"/>
      <c r="O1198" s="1118"/>
      <c r="P1198" s="1118"/>
      <c r="Q1198" s="1111"/>
      <c r="R1198" s="1111"/>
      <c r="S1198" s="1111"/>
      <c r="T1198" s="1111"/>
      <c r="U1198" s="1111"/>
      <c r="V1198" s="1111"/>
      <c r="W1198" s="1111"/>
      <c r="X1198" s="1111"/>
      <c r="Y1198" s="1111"/>
      <c r="Z1198" s="1111"/>
      <c r="AA1198" s="1111"/>
      <c r="AB1198" s="1111"/>
      <c r="AC1198" s="1111"/>
      <c r="AD1198" s="1111"/>
      <c r="AE1198" s="1111"/>
      <c r="AF1198" s="1111"/>
      <c r="AG1198" s="1111"/>
    </row>
    <row r="1199" spans="1:33" s="1295" customFormat="1">
      <c r="A1199" s="1264"/>
      <c r="D1199" s="1118"/>
      <c r="E1199" s="1264"/>
      <c r="F1199" s="1118"/>
      <c r="G1199" s="1118"/>
      <c r="H1199" s="1118"/>
      <c r="I1199" s="1118"/>
      <c r="J1199" s="1118"/>
      <c r="K1199" s="1118"/>
      <c r="L1199" s="1118"/>
      <c r="M1199" s="1118"/>
      <c r="N1199" s="1118"/>
      <c r="O1199" s="1118"/>
      <c r="P1199" s="1118"/>
      <c r="Q1199" s="1111"/>
      <c r="R1199" s="1111"/>
      <c r="S1199" s="1111"/>
      <c r="T1199" s="1111"/>
      <c r="U1199" s="1111"/>
      <c r="V1199" s="1111"/>
      <c r="W1199" s="1111"/>
      <c r="X1199" s="1111"/>
      <c r="Y1199" s="1111"/>
      <c r="Z1199" s="1111"/>
      <c r="AA1199" s="1111"/>
      <c r="AB1199" s="1111"/>
      <c r="AC1199" s="1111"/>
      <c r="AD1199" s="1111"/>
      <c r="AE1199" s="1111"/>
      <c r="AF1199" s="1111"/>
      <c r="AG1199" s="1111"/>
    </row>
    <row r="1200" spans="1:33" s="1295" customFormat="1">
      <c r="A1200" s="1264"/>
      <c r="D1200" s="1118"/>
      <c r="E1200" s="1264"/>
      <c r="F1200" s="1118"/>
      <c r="G1200" s="1118"/>
      <c r="H1200" s="1118"/>
      <c r="I1200" s="1118"/>
      <c r="J1200" s="1118"/>
      <c r="K1200" s="1118"/>
      <c r="L1200" s="1118"/>
      <c r="M1200" s="1118"/>
      <c r="N1200" s="1118"/>
      <c r="O1200" s="1118"/>
      <c r="P1200" s="1118"/>
      <c r="Q1200" s="1111"/>
      <c r="R1200" s="1111"/>
      <c r="S1200" s="1111"/>
      <c r="T1200" s="1111"/>
      <c r="U1200" s="1111"/>
      <c r="V1200" s="1111"/>
      <c r="W1200" s="1111"/>
      <c r="X1200" s="1111"/>
      <c r="Y1200" s="1111"/>
      <c r="Z1200" s="1111"/>
      <c r="AA1200" s="1111"/>
      <c r="AB1200" s="1111"/>
      <c r="AC1200" s="1111"/>
      <c r="AD1200" s="1111"/>
      <c r="AE1200" s="1111"/>
      <c r="AF1200" s="1111"/>
      <c r="AG1200" s="1111"/>
    </row>
    <row r="1201" spans="1:33" s="1295" customFormat="1">
      <c r="A1201" s="1264"/>
      <c r="D1201" s="1118"/>
      <c r="E1201" s="1264"/>
      <c r="F1201" s="1118"/>
      <c r="G1201" s="1118"/>
      <c r="H1201" s="1118"/>
      <c r="I1201" s="1118"/>
      <c r="J1201" s="1118"/>
      <c r="K1201" s="1118"/>
      <c r="L1201" s="1118"/>
      <c r="M1201" s="1118"/>
      <c r="N1201" s="1118"/>
      <c r="O1201" s="1118"/>
      <c r="P1201" s="1118"/>
      <c r="Q1201" s="1111"/>
      <c r="R1201" s="1111"/>
      <c r="S1201" s="1111"/>
      <c r="T1201" s="1111"/>
      <c r="U1201" s="1111"/>
      <c r="V1201" s="1111"/>
      <c r="W1201" s="1111"/>
      <c r="X1201" s="1111"/>
      <c r="Y1201" s="1111"/>
      <c r="Z1201" s="1111"/>
      <c r="AA1201" s="1111"/>
      <c r="AB1201" s="1111"/>
      <c r="AC1201" s="1111"/>
      <c r="AD1201" s="1111"/>
      <c r="AE1201" s="1111"/>
      <c r="AF1201" s="1111"/>
      <c r="AG1201" s="1111"/>
    </row>
    <row r="1202" spans="1:33" s="1295" customFormat="1">
      <c r="A1202" s="1264"/>
      <c r="D1202" s="1118"/>
      <c r="E1202" s="1264"/>
      <c r="F1202" s="1118"/>
      <c r="G1202" s="1118"/>
      <c r="H1202" s="1118"/>
      <c r="I1202" s="1118"/>
      <c r="J1202" s="1118"/>
      <c r="K1202" s="1118"/>
      <c r="L1202" s="1118"/>
      <c r="M1202" s="1118"/>
      <c r="N1202" s="1118"/>
      <c r="O1202" s="1118"/>
      <c r="P1202" s="1118"/>
      <c r="Q1202" s="1111"/>
      <c r="R1202" s="1111"/>
      <c r="S1202" s="1111"/>
      <c r="T1202" s="1111"/>
      <c r="U1202" s="1111"/>
      <c r="V1202" s="1111"/>
      <c r="W1202" s="1111"/>
      <c r="X1202" s="1111"/>
      <c r="Y1202" s="1111"/>
      <c r="Z1202" s="1111"/>
      <c r="AA1202" s="1111"/>
      <c r="AB1202" s="1111"/>
      <c r="AC1202" s="1111"/>
      <c r="AD1202" s="1111"/>
      <c r="AE1202" s="1111"/>
      <c r="AF1202" s="1111"/>
      <c r="AG1202" s="1111"/>
    </row>
    <row r="1203" spans="1:33" s="1295" customFormat="1">
      <c r="A1203" s="1264"/>
      <c r="D1203" s="1118"/>
      <c r="E1203" s="1264"/>
      <c r="F1203" s="1118"/>
      <c r="G1203" s="1118"/>
      <c r="H1203" s="1118"/>
      <c r="I1203" s="1118"/>
      <c r="J1203" s="1118"/>
      <c r="K1203" s="1118"/>
      <c r="L1203" s="1118"/>
      <c r="M1203" s="1118"/>
      <c r="N1203" s="1118"/>
      <c r="O1203" s="1118"/>
      <c r="P1203" s="1118"/>
      <c r="Q1203" s="1111"/>
      <c r="R1203" s="1111"/>
      <c r="S1203" s="1111"/>
      <c r="T1203" s="1111"/>
      <c r="U1203" s="1111"/>
      <c r="V1203" s="1111"/>
      <c r="W1203" s="1111"/>
      <c r="X1203" s="1111"/>
      <c r="Y1203" s="1111"/>
      <c r="Z1203" s="1111"/>
      <c r="AA1203" s="1111"/>
      <c r="AB1203" s="1111"/>
      <c r="AC1203" s="1111"/>
      <c r="AD1203" s="1111"/>
      <c r="AE1203" s="1111"/>
      <c r="AF1203" s="1111"/>
      <c r="AG1203" s="1111"/>
    </row>
    <row r="1204" spans="1:33" s="1295" customFormat="1">
      <c r="A1204" s="1264"/>
      <c r="D1204" s="1118"/>
      <c r="E1204" s="1264"/>
      <c r="F1204" s="1118"/>
      <c r="G1204" s="1118"/>
      <c r="H1204" s="1118"/>
      <c r="I1204" s="1118"/>
      <c r="J1204" s="1118"/>
      <c r="K1204" s="1118"/>
      <c r="L1204" s="1118"/>
      <c r="M1204" s="1118"/>
      <c r="N1204" s="1118"/>
      <c r="O1204" s="1118"/>
      <c r="P1204" s="1118"/>
      <c r="Q1204" s="1111"/>
      <c r="R1204" s="1111"/>
      <c r="S1204" s="1111"/>
      <c r="T1204" s="1111"/>
      <c r="U1204" s="1111"/>
      <c r="V1204" s="1111"/>
      <c r="W1204" s="1111"/>
      <c r="X1204" s="1111"/>
      <c r="Y1204" s="1111"/>
      <c r="Z1204" s="1111"/>
      <c r="AA1204" s="1111"/>
      <c r="AB1204" s="1111"/>
      <c r="AC1204" s="1111"/>
      <c r="AD1204" s="1111"/>
      <c r="AE1204" s="1111"/>
      <c r="AF1204" s="1111"/>
      <c r="AG1204" s="1111"/>
    </row>
    <row r="1205" spans="1:33" s="1295" customFormat="1">
      <c r="A1205" s="1264"/>
      <c r="D1205" s="1118"/>
      <c r="E1205" s="1264"/>
      <c r="F1205" s="1118"/>
      <c r="G1205" s="1118"/>
      <c r="H1205" s="1118"/>
      <c r="I1205" s="1118"/>
      <c r="J1205" s="1118"/>
      <c r="K1205" s="1118"/>
      <c r="L1205" s="1118"/>
      <c r="M1205" s="1118"/>
      <c r="N1205" s="1118"/>
      <c r="O1205" s="1118"/>
      <c r="P1205" s="1118"/>
      <c r="Q1205" s="1111"/>
      <c r="R1205" s="1111"/>
      <c r="S1205" s="1111"/>
      <c r="T1205" s="1111"/>
      <c r="U1205" s="1111"/>
      <c r="V1205" s="1111"/>
      <c r="W1205" s="1111"/>
      <c r="X1205" s="1111"/>
      <c r="Y1205" s="1111"/>
      <c r="Z1205" s="1111"/>
      <c r="AA1205" s="1111"/>
      <c r="AB1205" s="1111"/>
      <c r="AC1205" s="1111"/>
      <c r="AD1205" s="1111"/>
      <c r="AE1205" s="1111"/>
      <c r="AF1205" s="1111"/>
      <c r="AG1205" s="1111"/>
    </row>
    <row r="1206" spans="1:33" s="1295" customFormat="1">
      <c r="A1206" s="1264"/>
      <c r="D1206" s="1118"/>
      <c r="E1206" s="1264"/>
      <c r="F1206" s="1118"/>
      <c r="G1206" s="1118"/>
      <c r="H1206" s="1118"/>
      <c r="I1206" s="1118"/>
      <c r="J1206" s="1118"/>
      <c r="K1206" s="1118"/>
      <c r="L1206" s="1118"/>
      <c r="M1206" s="1118"/>
      <c r="N1206" s="1118"/>
      <c r="O1206" s="1118"/>
      <c r="P1206" s="1118"/>
      <c r="Q1206" s="1111"/>
      <c r="R1206" s="1111"/>
      <c r="S1206" s="1111"/>
      <c r="T1206" s="1111"/>
      <c r="U1206" s="1111"/>
      <c r="V1206" s="1111"/>
      <c r="W1206" s="1111"/>
      <c r="X1206" s="1111"/>
      <c r="Y1206" s="1111"/>
      <c r="Z1206" s="1111"/>
      <c r="AA1206" s="1111"/>
      <c r="AB1206" s="1111"/>
      <c r="AC1206" s="1111"/>
      <c r="AD1206" s="1111"/>
      <c r="AE1206" s="1111"/>
      <c r="AF1206" s="1111"/>
      <c r="AG1206" s="1111"/>
    </row>
    <row r="1207" spans="1:33" s="1295" customFormat="1">
      <c r="A1207" s="1264"/>
      <c r="D1207" s="1118"/>
      <c r="E1207" s="1264"/>
      <c r="F1207" s="1118"/>
      <c r="G1207" s="1118"/>
      <c r="H1207" s="1118"/>
      <c r="I1207" s="1118"/>
      <c r="J1207" s="1118"/>
      <c r="K1207" s="1118"/>
      <c r="L1207" s="1118"/>
      <c r="M1207" s="1118"/>
      <c r="N1207" s="1118"/>
      <c r="O1207" s="1118"/>
      <c r="P1207" s="1118"/>
      <c r="Q1207" s="1111"/>
      <c r="R1207" s="1111"/>
      <c r="S1207" s="1111"/>
      <c r="T1207" s="1111"/>
      <c r="U1207" s="1111"/>
      <c r="V1207" s="1111"/>
      <c r="W1207" s="1111"/>
      <c r="X1207" s="1111"/>
      <c r="Y1207" s="1111"/>
      <c r="Z1207" s="1111"/>
      <c r="AA1207" s="1111"/>
      <c r="AB1207" s="1111"/>
      <c r="AC1207" s="1111"/>
      <c r="AD1207" s="1111"/>
      <c r="AE1207" s="1111"/>
      <c r="AF1207" s="1111"/>
      <c r="AG1207" s="1111"/>
    </row>
    <row r="1208" spans="1:33" s="1295" customFormat="1">
      <c r="A1208" s="1264"/>
      <c r="D1208" s="1118"/>
      <c r="E1208" s="1264"/>
      <c r="F1208" s="1118"/>
      <c r="G1208" s="1118"/>
      <c r="H1208" s="1118"/>
      <c r="I1208" s="1118"/>
      <c r="J1208" s="1118"/>
      <c r="K1208" s="1118"/>
      <c r="L1208" s="1118"/>
      <c r="M1208" s="1118"/>
      <c r="N1208" s="1118"/>
      <c r="O1208" s="1118"/>
      <c r="P1208" s="1118"/>
      <c r="Q1208" s="1111"/>
      <c r="R1208" s="1111"/>
      <c r="S1208" s="1111"/>
      <c r="T1208" s="1111"/>
      <c r="U1208" s="1111"/>
      <c r="V1208" s="1111"/>
      <c r="W1208" s="1111"/>
      <c r="X1208" s="1111"/>
      <c r="Y1208" s="1111"/>
      <c r="Z1208" s="1111"/>
      <c r="AA1208" s="1111"/>
      <c r="AB1208" s="1111"/>
      <c r="AC1208" s="1111"/>
      <c r="AD1208" s="1111"/>
      <c r="AE1208" s="1111"/>
      <c r="AF1208" s="1111"/>
      <c r="AG1208" s="1111"/>
    </row>
    <row r="1209" spans="1:33" s="1295" customFormat="1">
      <c r="A1209" s="1264"/>
      <c r="D1209" s="1118"/>
      <c r="E1209" s="1264"/>
      <c r="F1209" s="1118"/>
      <c r="G1209" s="1118"/>
      <c r="H1209" s="1118"/>
      <c r="I1209" s="1118"/>
      <c r="J1209" s="1118"/>
      <c r="K1209" s="1118"/>
      <c r="L1209" s="1118"/>
      <c r="M1209" s="1118"/>
      <c r="N1209" s="1118"/>
      <c r="O1209" s="1118"/>
      <c r="P1209" s="1118"/>
      <c r="Q1209" s="1111"/>
      <c r="R1209" s="1111"/>
      <c r="S1209" s="1111"/>
      <c r="T1209" s="1111"/>
      <c r="U1209" s="1111"/>
      <c r="V1209" s="1111"/>
      <c r="W1209" s="1111"/>
      <c r="X1209" s="1111"/>
      <c r="Y1209" s="1111"/>
      <c r="Z1209" s="1111"/>
      <c r="AA1209" s="1111"/>
      <c r="AB1209" s="1111"/>
      <c r="AC1209" s="1111"/>
      <c r="AD1209" s="1111"/>
      <c r="AE1209" s="1111"/>
      <c r="AF1209" s="1111"/>
      <c r="AG1209" s="1111"/>
    </row>
    <row r="1210" spans="1:33" s="1295" customFormat="1">
      <c r="A1210" s="1264"/>
      <c r="D1210" s="1118"/>
      <c r="E1210" s="1264"/>
      <c r="F1210" s="1118"/>
      <c r="G1210" s="1118"/>
      <c r="H1210" s="1118"/>
      <c r="I1210" s="1118"/>
      <c r="J1210" s="1118"/>
      <c r="K1210" s="1118"/>
      <c r="L1210" s="1118"/>
      <c r="M1210" s="1118"/>
      <c r="N1210" s="1118"/>
      <c r="O1210" s="1118"/>
      <c r="P1210" s="1118"/>
      <c r="Q1210" s="1111"/>
      <c r="R1210" s="1111"/>
      <c r="S1210" s="1111"/>
      <c r="T1210" s="1111"/>
      <c r="U1210" s="1111"/>
      <c r="V1210" s="1111"/>
      <c r="W1210" s="1111"/>
      <c r="X1210" s="1111"/>
      <c r="Y1210" s="1111"/>
      <c r="Z1210" s="1111"/>
      <c r="AA1210" s="1111"/>
      <c r="AB1210" s="1111"/>
      <c r="AC1210" s="1111"/>
      <c r="AD1210" s="1111"/>
      <c r="AE1210" s="1111"/>
      <c r="AF1210" s="1111"/>
      <c r="AG1210" s="1111"/>
    </row>
    <row r="1211" spans="1:33" s="1295" customFormat="1">
      <c r="A1211" s="1264"/>
      <c r="D1211" s="1118"/>
      <c r="E1211" s="1264"/>
      <c r="F1211" s="1118"/>
      <c r="G1211" s="1118"/>
      <c r="H1211" s="1118"/>
      <c r="I1211" s="1118"/>
      <c r="J1211" s="1118"/>
      <c r="K1211" s="1118"/>
      <c r="L1211" s="1118"/>
      <c r="M1211" s="1118"/>
      <c r="N1211" s="1118"/>
      <c r="O1211" s="1118"/>
      <c r="P1211" s="1118"/>
      <c r="Q1211" s="1111"/>
      <c r="R1211" s="1111"/>
      <c r="S1211" s="1111"/>
      <c r="T1211" s="1111"/>
      <c r="U1211" s="1111"/>
      <c r="V1211" s="1111"/>
      <c r="W1211" s="1111"/>
      <c r="X1211" s="1111"/>
      <c r="Y1211" s="1111"/>
      <c r="Z1211" s="1111"/>
      <c r="AA1211" s="1111"/>
      <c r="AB1211" s="1111"/>
      <c r="AC1211" s="1111"/>
      <c r="AD1211" s="1111"/>
      <c r="AE1211" s="1111"/>
      <c r="AF1211" s="1111"/>
      <c r="AG1211" s="1111"/>
    </row>
    <row r="1212" spans="1:33" s="1295" customFormat="1">
      <c r="A1212" s="1264"/>
      <c r="D1212" s="1118"/>
      <c r="E1212" s="1264"/>
      <c r="F1212" s="1118"/>
      <c r="G1212" s="1118"/>
      <c r="H1212" s="1118"/>
      <c r="I1212" s="1118"/>
      <c r="J1212" s="1118"/>
      <c r="K1212" s="1118"/>
      <c r="L1212" s="1118"/>
      <c r="M1212" s="1118"/>
      <c r="N1212" s="1118"/>
      <c r="O1212" s="1118"/>
      <c r="P1212" s="1118"/>
      <c r="Q1212" s="1111"/>
      <c r="R1212" s="1111"/>
      <c r="S1212" s="1111"/>
      <c r="T1212" s="1111"/>
      <c r="U1212" s="1111"/>
      <c r="V1212" s="1111"/>
      <c r="W1212" s="1111"/>
      <c r="X1212" s="1111"/>
      <c r="Y1212" s="1111"/>
      <c r="Z1212" s="1111"/>
      <c r="AA1212" s="1111"/>
      <c r="AB1212" s="1111"/>
      <c r="AC1212" s="1111"/>
      <c r="AD1212" s="1111"/>
      <c r="AE1212" s="1111"/>
      <c r="AF1212" s="1111"/>
      <c r="AG1212" s="1111"/>
    </row>
    <row r="1213" spans="1:33" s="1295" customFormat="1">
      <c r="A1213" s="1264"/>
      <c r="D1213" s="1118"/>
      <c r="E1213" s="1264"/>
      <c r="F1213" s="1118"/>
      <c r="G1213" s="1118"/>
      <c r="H1213" s="1118"/>
      <c r="I1213" s="1118"/>
      <c r="J1213" s="1118"/>
      <c r="K1213" s="1118"/>
      <c r="L1213" s="1118"/>
      <c r="M1213" s="1118"/>
      <c r="N1213" s="1118"/>
      <c r="O1213" s="1118"/>
      <c r="P1213" s="1118"/>
      <c r="Q1213" s="1111"/>
      <c r="R1213" s="1111"/>
      <c r="S1213" s="1111"/>
      <c r="T1213" s="1111"/>
      <c r="U1213" s="1111"/>
      <c r="V1213" s="1111"/>
      <c r="W1213" s="1111"/>
      <c r="X1213" s="1111"/>
      <c r="Y1213" s="1111"/>
      <c r="Z1213" s="1111"/>
      <c r="AA1213" s="1111"/>
      <c r="AB1213" s="1111"/>
      <c r="AC1213" s="1111"/>
      <c r="AD1213" s="1111"/>
      <c r="AE1213" s="1111"/>
      <c r="AF1213" s="1111"/>
      <c r="AG1213" s="1111"/>
    </row>
    <row r="1214" spans="1:33" s="1295" customFormat="1">
      <c r="A1214" s="1264"/>
      <c r="D1214" s="1118"/>
      <c r="E1214" s="1264"/>
      <c r="F1214" s="1118"/>
      <c r="G1214" s="1118"/>
      <c r="H1214" s="1118"/>
      <c r="I1214" s="1118"/>
      <c r="J1214" s="1118"/>
      <c r="K1214" s="1118"/>
      <c r="L1214" s="1118"/>
      <c r="M1214" s="1118"/>
      <c r="N1214" s="1118"/>
      <c r="O1214" s="1118"/>
      <c r="P1214" s="1118"/>
      <c r="Q1214" s="1111"/>
      <c r="R1214" s="1111"/>
      <c r="S1214" s="1111"/>
      <c r="T1214" s="1111"/>
      <c r="U1214" s="1111"/>
      <c r="V1214" s="1111"/>
      <c r="W1214" s="1111"/>
      <c r="X1214" s="1111"/>
      <c r="Y1214" s="1111"/>
      <c r="Z1214" s="1111"/>
      <c r="AA1214" s="1111"/>
      <c r="AB1214" s="1111"/>
      <c r="AC1214" s="1111"/>
      <c r="AD1214" s="1111"/>
      <c r="AE1214" s="1111"/>
      <c r="AF1214" s="1111"/>
      <c r="AG1214" s="1111"/>
    </row>
    <row r="1215" spans="1:33" s="1295" customFormat="1">
      <c r="A1215" s="1264"/>
      <c r="D1215" s="1118"/>
      <c r="E1215" s="1264"/>
      <c r="F1215" s="1118"/>
      <c r="G1215" s="1118"/>
      <c r="H1215" s="1118"/>
      <c r="I1215" s="1118"/>
      <c r="J1215" s="1118"/>
      <c r="K1215" s="1118"/>
      <c r="L1215" s="1118"/>
      <c r="M1215" s="1118"/>
      <c r="N1215" s="1118"/>
      <c r="O1215" s="1118"/>
      <c r="P1215" s="1118"/>
      <c r="Q1215" s="1111"/>
      <c r="R1215" s="1111"/>
      <c r="S1215" s="1111"/>
      <c r="T1215" s="1111"/>
      <c r="U1215" s="1111"/>
      <c r="V1215" s="1111"/>
      <c r="W1215" s="1111"/>
      <c r="X1215" s="1111"/>
      <c r="Y1215" s="1111"/>
      <c r="Z1215" s="1111"/>
      <c r="AA1215" s="1111"/>
      <c r="AB1215" s="1111"/>
      <c r="AC1215" s="1111"/>
      <c r="AD1215" s="1111"/>
      <c r="AE1215" s="1111"/>
      <c r="AF1215" s="1111"/>
      <c r="AG1215" s="1111"/>
    </row>
    <row r="1216" spans="1:33" s="1295" customFormat="1">
      <c r="A1216" s="1264"/>
      <c r="D1216" s="1118"/>
      <c r="E1216" s="1264"/>
      <c r="F1216" s="1118"/>
      <c r="G1216" s="1118"/>
      <c r="H1216" s="1118"/>
      <c r="I1216" s="1118"/>
      <c r="J1216" s="1118"/>
      <c r="K1216" s="1118"/>
      <c r="L1216" s="1118"/>
      <c r="M1216" s="1118"/>
      <c r="N1216" s="1118"/>
      <c r="O1216" s="1118"/>
      <c r="P1216" s="1118"/>
      <c r="Q1216" s="1111"/>
      <c r="R1216" s="1111"/>
      <c r="S1216" s="1111"/>
      <c r="T1216" s="1111"/>
      <c r="U1216" s="1111"/>
      <c r="V1216" s="1111"/>
      <c r="W1216" s="1111"/>
      <c r="X1216" s="1111"/>
      <c r="Y1216" s="1111"/>
      <c r="Z1216" s="1111"/>
      <c r="AA1216" s="1111"/>
      <c r="AB1216" s="1111"/>
      <c r="AC1216" s="1111"/>
      <c r="AD1216" s="1111"/>
      <c r="AE1216" s="1111"/>
      <c r="AF1216" s="1111"/>
      <c r="AG1216" s="1111"/>
    </row>
    <row r="1217" spans="1:33" s="1295" customFormat="1">
      <c r="A1217" s="1264"/>
      <c r="D1217" s="1118"/>
      <c r="E1217" s="1264"/>
      <c r="F1217" s="1118"/>
      <c r="G1217" s="1118"/>
      <c r="H1217" s="1118"/>
      <c r="I1217" s="1118"/>
      <c r="J1217" s="1118"/>
      <c r="K1217" s="1118"/>
      <c r="L1217" s="1118"/>
      <c r="M1217" s="1118"/>
      <c r="N1217" s="1118"/>
      <c r="O1217" s="1118"/>
      <c r="P1217" s="1118"/>
      <c r="Q1217" s="1111"/>
      <c r="R1217" s="1111"/>
      <c r="S1217" s="1111"/>
      <c r="T1217" s="1111"/>
      <c r="U1217" s="1111"/>
      <c r="V1217" s="1111"/>
      <c r="W1217" s="1111"/>
      <c r="X1217" s="1111"/>
      <c r="Y1217" s="1111"/>
      <c r="Z1217" s="1111"/>
      <c r="AA1217" s="1111"/>
      <c r="AB1217" s="1111"/>
      <c r="AC1217" s="1111"/>
      <c r="AD1217" s="1111"/>
      <c r="AE1217" s="1111"/>
      <c r="AF1217" s="1111"/>
      <c r="AG1217" s="1111"/>
    </row>
    <row r="1218" spans="1:33" s="1295" customFormat="1">
      <c r="A1218" s="1264"/>
      <c r="D1218" s="1118"/>
      <c r="E1218" s="1264"/>
      <c r="F1218" s="1118"/>
      <c r="G1218" s="1118"/>
      <c r="H1218" s="1118"/>
      <c r="I1218" s="1118"/>
      <c r="J1218" s="1118"/>
      <c r="K1218" s="1118"/>
      <c r="L1218" s="1118"/>
      <c r="M1218" s="1118"/>
      <c r="N1218" s="1118"/>
      <c r="O1218" s="1118"/>
      <c r="P1218" s="1118"/>
      <c r="Q1218" s="1111"/>
      <c r="R1218" s="1111"/>
      <c r="S1218" s="1111"/>
      <c r="T1218" s="1111"/>
      <c r="U1218" s="1111"/>
      <c r="V1218" s="1111"/>
      <c r="W1218" s="1111"/>
      <c r="X1218" s="1111"/>
      <c r="Y1218" s="1111"/>
      <c r="Z1218" s="1111"/>
      <c r="AA1218" s="1111"/>
      <c r="AB1218" s="1111"/>
      <c r="AC1218" s="1111"/>
      <c r="AD1218" s="1111"/>
      <c r="AE1218" s="1111"/>
      <c r="AF1218" s="1111"/>
      <c r="AG1218" s="1111"/>
    </row>
    <row r="1219" spans="1:33" s="1295" customFormat="1">
      <c r="A1219" s="1264"/>
      <c r="D1219" s="1118"/>
      <c r="E1219" s="1264"/>
      <c r="F1219" s="1118"/>
      <c r="G1219" s="1118"/>
      <c r="H1219" s="1118"/>
      <c r="I1219" s="1118"/>
      <c r="J1219" s="1118"/>
      <c r="K1219" s="1118"/>
      <c r="L1219" s="1118"/>
      <c r="M1219" s="1118"/>
      <c r="N1219" s="1118"/>
      <c r="O1219" s="1118"/>
      <c r="P1219" s="1118"/>
      <c r="Q1219" s="1111"/>
      <c r="R1219" s="1111"/>
      <c r="S1219" s="1111"/>
      <c r="T1219" s="1111"/>
      <c r="U1219" s="1111"/>
      <c r="V1219" s="1111"/>
      <c r="W1219" s="1111"/>
      <c r="X1219" s="1111"/>
      <c r="Y1219" s="1111"/>
      <c r="Z1219" s="1111"/>
      <c r="AA1219" s="1111"/>
      <c r="AB1219" s="1111"/>
      <c r="AC1219" s="1111"/>
      <c r="AD1219" s="1111"/>
      <c r="AE1219" s="1111"/>
      <c r="AF1219" s="1111"/>
      <c r="AG1219" s="1111"/>
    </row>
    <row r="1220" spans="1:33" s="1295" customFormat="1">
      <c r="A1220" s="1264"/>
      <c r="D1220" s="1118"/>
      <c r="E1220" s="1264"/>
      <c r="F1220" s="1118"/>
      <c r="G1220" s="1118"/>
      <c r="H1220" s="1118"/>
      <c r="I1220" s="1118"/>
      <c r="J1220" s="1118"/>
      <c r="K1220" s="1118"/>
      <c r="L1220" s="1118"/>
      <c r="M1220" s="1118"/>
      <c r="N1220" s="1118"/>
      <c r="O1220" s="1118"/>
      <c r="P1220" s="1118"/>
      <c r="Q1220" s="1111"/>
      <c r="R1220" s="1111"/>
      <c r="S1220" s="1111"/>
      <c r="T1220" s="1111"/>
      <c r="U1220" s="1111"/>
      <c r="V1220" s="1111"/>
      <c r="W1220" s="1111"/>
      <c r="X1220" s="1111"/>
      <c r="Y1220" s="1111"/>
      <c r="Z1220" s="1111"/>
      <c r="AA1220" s="1111"/>
      <c r="AB1220" s="1111"/>
      <c r="AC1220" s="1111"/>
      <c r="AD1220" s="1111"/>
      <c r="AE1220" s="1111"/>
      <c r="AF1220" s="1111"/>
      <c r="AG1220" s="1111"/>
    </row>
    <row r="1221" spans="1:33" s="1295" customFormat="1">
      <c r="A1221" s="1264"/>
      <c r="D1221" s="1118"/>
      <c r="E1221" s="1264"/>
      <c r="F1221" s="1118"/>
      <c r="G1221" s="1118"/>
      <c r="H1221" s="1118"/>
      <c r="I1221" s="1118"/>
      <c r="J1221" s="1118"/>
      <c r="K1221" s="1118"/>
      <c r="L1221" s="1118"/>
      <c r="M1221" s="1118"/>
      <c r="N1221" s="1118"/>
      <c r="O1221" s="1118"/>
      <c r="P1221" s="1118"/>
      <c r="Q1221" s="1111"/>
      <c r="R1221" s="1111"/>
      <c r="S1221" s="1111"/>
      <c r="T1221" s="1111"/>
      <c r="U1221" s="1111"/>
      <c r="V1221" s="1111"/>
      <c r="W1221" s="1111"/>
      <c r="X1221" s="1111"/>
      <c r="Y1221" s="1111"/>
      <c r="Z1221" s="1111"/>
      <c r="AA1221" s="1111"/>
      <c r="AB1221" s="1111"/>
      <c r="AC1221" s="1111"/>
      <c r="AD1221" s="1111"/>
      <c r="AE1221" s="1111"/>
      <c r="AF1221" s="1111"/>
      <c r="AG1221" s="1111"/>
    </row>
    <row r="1222" spans="1:33" s="1295" customFormat="1">
      <c r="A1222" s="1264"/>
      <c r="D1222" s="1118"/>
      <c r="E1222" s="1264"/>
      <c r="F1222" s="1118"/>
      <c r="G1222" s="1118"/>
      <c r="H1222" s="1118"/>
      <c r="I1222" s="1118"/>
      <c r="J1222" s="1118"/>
      <c r="K1222" s="1118"/>
      <c r="L1222" s="1118"/>
      <c r="M1222" s="1118"/>
      <c r="N1222" s="1118"/>
      <c r="O1222" s="1118"/>
      <c r="P1222" s="1118"/>
      <c r="Q1222" s="1111"/>
      <c r="R1222" s="1111"/>
      <c r="S1222" s="1111"/>
      <c r="T1222" s="1111"/>
      <c r="U1222" s="1111"/>
      <c r="V1222" s="1111"/>
      <c r="W1222" s="1111"/>
      <c r="X1222" s="1111"/>
      <c r="Y1222" s="1111"/>
      <c r="Z1222" s="1111"/>
      <c r="AA1222" s="1111"/>
      <c r="AB1222" s="1111"/>
      <c r="AC1222" s="1111"/>
      <c r="AD1222" s="1111"/>
      <c r="AE1222" s="1111"/>
      <c r="AF1222" s="1111"/>
      <c r="AG1222" s="1111"/>
    </row>
    <row r="1223" spans="1:33" s="1295" customFormat="1">
      <c r="A1223" s="1264"/>
      <c r="D1223" s="1118"/>
      <c r="E1223" s="1264"/>
      <c r="F1223" s="1118"/>
      <c r="G1223" s="1118"/>
      <c r="H1223" s="1118"/>
      <c r="I1223" s="1118"/>
      <c r="J1223" s="1118"/>
      <c r="K1223" s="1118"/>
      <c r="L1223" s="1118"/>
      <c r="M1223" s="1118"/>
      <c r="N1223" s="1118"/>
      <c r="O1223" s="1118"/>
      <c r="P1223" s="1118"/>
      <c r="Q1223" s="1111"/>
      <c r="R1223" s="1111"/>
      <c r="S1223" s="1111"/>
      <c r="T1223" s="1111"/>
      <c r="U1223" s="1111"/>
      <c r="V1223" s="1111"/>
      <c r="W1223" s="1111"/>
      <c r="X1223" s="1111"/>
      <c r="Y1223" s="1111"/>
      <c r="Z1223" s="1111"/>
      <c r="AA1223" s="1111"/>
      <c r="AB1223" s="1111"/>
      <c r="AC1223" s="1111"/>
      <c r="AD1223" s="1111"/>
      <c r="AE1223" s="1111"/>
      <c r="AF1223" s="1111"/>
      <c r="AG1223" s="1111"/>
    </row>
    <row r="1224" spans="1:33" s="1295" customFormat="1">
      <c r="A1224" s="1264"/>
      <c r="D1224" s="1118"/>
      <c r="E1224" s="1264"/>
      <c r="F1224" s="1118"/>
      <c r="G1224" s="1118"/>
      <c r="H1224" s="1118"/>
      <c r="I1224" s="1118"/>
      <c r="J1224" s="1118"/>
      <c r="K1224" s="1118"/>
      <c r="L1224" s="1118"/>
      <c r="M1224" s="1118"/>
      <c r="N1224" s="1118"/>
      <c r="O1224" s="1118"/>
      <c r="P1224" s="1118"/>
      <c r="Q1224" s="1111"/>
      <c r="R1224" s="1111"/>
      <c r="S1224" s="1111"/>
      <c r="T1224" s="1111"/>
      <c r="U1224" s="1111"/>
      <c r="V1224" s="1111"/>
      <c r="W1224" s="1111"/>
      <c r="X1224" s="1111"/>
      <c r="Y1224" s="1111"/>
      <c r="Z1224" s="1111"/>
      <c r="AA1224" s="1111"/>
      <c r="AB1224" s="1111"/>
      <c r="AC1224" s="1111"/>
      <c r="AD1224" s="1111"/>
      <c r="AE1224" s="1111"/>
      <c r="AF1224" s="1111"/>
      <c r="AG1224" s="1111"/>
    </row>
    <row r="1225" spans="1:33" s="1295" customFormat="1">
      <c r="A1225" s="1264"/>
      <c r="D1225" s="1118"/>
      <c r="E1225" s="1264"/>
      <c r="F1225" s="1118"/>
      <c r="G1225" s="1118"/>
      <c r="H1225" s="1118"/>
      <c r="I1225" s="1118"/>
      <c r="J1225" s="1118"/>
      <c r="K1225" s="1118"/>
      <c r="L1225" s="1118"/>
      <c r="M1225" s="1118"/>
      <c r="N1225" s="1118"/>
      <c r="O1225" s="1118"/>
      <c r="P1225" s="1118"/>
      <c r="Q1225" s="1111"/>
      <c r="R1225" s="1111"/>
      <c r="S1225" s="1111"/>
      <c r="T1225" s="1111"/>
      <c r="U1225" s="1111"/>
      <c r="V1225" s="1111"/>
      <c r="W1225" s="1111"/>
      <c r="X1225" s="1111"/>
      <c r="Y1225" s="1111"/>
      <c r="Z1225" s="1111"/>
      <c r="AA1225" s="1111"/>
      <c r="AB1225" s="1111"/>
      <c r="AC1225" s="1111"/>
      <c r="AD1225" s="1111"/>
      <c r="AE1225" s="1111"/>
      <c r="AF1225" s="1111"/>
      <c r="AG1225" s="1111"/>
    </row>
    <row r="1226" spans="1:33" s="1295" customFormat="1">
      <c r="A1226" s="1264"/>
      <c r="D1226" s="1118"/>
      <c r="E1226" s="1264"/>
      <c r="F1226" s="1118"/>
      <c r="G1226" s="1118"/>
      <c r="H1226" s="1118"/>
      <c r="I1226" s="1118"/>
      <c r="J1226" s="1118"/>
      <c r="K1226" s="1118"/>
      <c r="L1226" s="1118"/>
      <c r="M1226" s="1118"/>
      <c r="N1226" s="1118"/>
      <c r="O1226" s="1118"/>
      <c r="P1226" s="1118"/>
      <c r="Q1226" s="1111"/>
      <c r="R1226" s="1111"/>
      <c r="S1226" s="1111"/>
      <c r="T1226" s="1111"/>
      <c r="U1226" s="1111"/>
      <c r="V1226" s="1111"/>
      <c r="W1226" s="1111"/>
      <c r="X1226" s="1111"/>
      <c r="Y1226" s="1111"/>
      <c r="Z1226" s="1111"/>
      <c r="AA1226" s="1111"/>
      <c r="AB1226" s="1111"/>
      <c r="AC1226" s="1111"/>
      <c r="AD1226" s="1111"/>
      <c r="AE1226" s="1111"/>
      <c r="AF1226" s="1111"/>
      <c r="AG1226" s="1111"/>
    </row>
    <row r="1227" spans="1:33" s="1295" customFormat="1">
      <c r="A1227" s="1264"/>
      <c r="D1227" s="1118"/>
      <c r="E1227" s="1264"/>
      <c r="F1227" s="1118"/>
      <c r="G1227" s="1118"/>
      <c r="H1227" s="1118"/>
      <c r="I1227" s="1118"/>
      <c r="J1227" s="1118"/>
      <c r="K1227" s="1118"/>
      <c r="L1227" s="1118"/>
      <c r="M1227" s="1118"/>
      <c r="N1227" s="1118"/>
      <c r="O1227" s="1118"/>
      <c r="P1227" s="1118"/>
      <c r="Q1227" s="1111"/>
      <c r="R1227" s="1111"/>
      <c r="S1227" s="1111"/>
      <c r="T1227" s="1111"/>
      <c r="U1227" s="1111"/>
      <c r="V1227" s="1111"/>
      <c r="W1227" s="1111"/>
      <c r="X1227" s="1111"/>
      <c r="Y1227" s="1111"/>
      <c r="Z1227" s="1111"/>
      <c r="AA1227" s="1111"/>
      <c r="AB1227" s="1111"/>
      <c r="AC1227" s="1111"/>
      <c r="AD1227" s="1111"/>
      <c r="AE1227" s="1111"/>
      <c r="AF1227" s="1111"/>
      <c r="AG1227" s="1111"/>
    </row>
    <row r="1228" spans="1:33" s="1295" customFormat="1">
      <c r="A1228" s="1264"/>
      <c r="D1228" s="1118"/>
      <c r="E1228" s="1264"/>
      <c r="F1228" s="1118"/>
      <c r="G1228" s="1118"/>
      <c r="H1228" s="1118"/>
      <c r="I1228" s="1118"/>
      <c r="J1228" s="1118"/>
      <c r="K1228" s="1118"/>
      <c r="L1228" s="1118"/>
      <c r="M1228" s="1118"/>
      <c r="N1228" s="1118"/>
      <c r="O1228" s="1118"/>
      <c r="P1228" s="1118"/>
      <c r="Q1228" s="1111"/>
      <c r="R1228" s="1111"/>
      <c r="S1228" s="1111"/>
      <c r="T1228" s="1111"/>
      <c r="U1228" s="1111"/>
      <c r="V1228" s="1111"/>
      <c r="W1228" s="1111"/>
      <c r="X1228" s="1111"/>
      <c r="Y1228" s="1111"/>
      <c r="Z1228" s="1111"/>
      <c r="AA1228" s="1111"/>
      <c r="AB1228" s="1111"/>
      <c r="AC1228" s="1111"/>
      <c r="AD1228" s="1111"/>
      <c r="AE1228" s="1111"/>
      <c r="AF1228" s="1111"/>
      <c r="AG1228" s="1111"/>
    </row>
    <row r="1229" spans="1:33" s="1295" customFormat="1">
      <c r="A1229" s="1264"/>
      <c r="D1229" s="1118"/>
      <c r="E1229" s="1264"/>
      <c r="F1229" s="1118"/>
      <c r="G1229" s="1118"/>
      <c r="H1229" s="1118"/>
      <c r="I1229" s="1118"/>
      <c r="J1229" s="1118"/>
      <c r="K1229" s="1118"/>
      <c r="L1229" s="1118"/>
      <c r="M1229" s="1118"/>
      <c r="N1229" s="1118"/>
      <c r="O1229" s="1118"/>
      <c r="P1229" s="1118"/>
      <c r="Q1229" s="1111"/>
      <c r="R1229" s="1111"/>
      <c r="S1229" s="1111"/>
      <c r="T1229" s="1111"/>
      <c r="U1229" s="1111"/>
      <c r="V1229" s="1111"/>
      <c r="W1229" s="1111"/>
      <c r="X1229" s="1111"/>
      <c r="Y1229" s="1111"/>
      <c r="Z1229" s="1111"/>
      <c r="AA1229" s="1111"/>
      <c r="AB1229" s="1111"/>
      <c r="AC1229" s="1111"/>
      <c r="AD1229" s="1111"/>
      <c r="AE1229" s="1111"/>
      <c r="AF1229" s="1111"/>
      <c r="AG1229" s="1111"/>
    </row>
    <row r="1230" spans="1:33" s="1295" customFormat="1">
      <c r="A1230" s="1264"/>
      <c r="D1230" s="1118"/>
      <c r="E1230" s="1264"/>
      <c r="F1230" s="1118"/>
      <c r="G1230" s="1118"/>
      <c r="H1230" s="1118"/>
      <c r="I1230" s="1118"/>
      <c r="J1230" s="1118"/>
      <c r="K1230" s="1118"/>
      <c r="L1230" s="1118"/>
      <c r="M1230" s="1118"/>
      <c r="N1230" s="1118"/>
      <c r="O1230" s="1118"/>
      <c r="P1230" s="1118"/>
      <c r="Q1230" s="1111"/>
      <c r="R1230" s="1111"/>
      <c r="S1230" s="1111"/>
      <c r="T1230" s="1111"/>
      <c r="U1230" s="1111"/>
      <c r="V1230" s="1111"/>
      <c r="W1230" s="1111"/>
      <c r="X1230" s="1111"/>
      <c r="Y1230" s="1111"/>
      <c r="Z1230" s="1111"/>
      <c r="AA1230" s="1111"/>
      <c r="AB1230" s="1111"/>
      <c r="AC1230" s="1111"/>
      <c r="AD1230" s="1111"/>
      <c r="AE1230" s="1111"/>
      <c r="AF1230" s="1111"/>
      <c r="AG1230" s="1111"/>
    </row>
    <row r="1231" spans="1:33" s="1295" customFormat="1">
      <c r="A1231" s="1264"/>
      <c r="D1231" s="1118"/>
      <c r="E1231" s="1264"/>
      <c r="F1231" s="1118"/>
      <c r="G1231" s="1118"/>
      <c r="H1231" s="1118"/>
      <c r="I1231" s="1118"/>
      <c r="J1231" s="1118"/>
      <c r="K1231" s="1118"/>
      <c r="L1231" s="1118"/>
      <c r="M1231" s="1118"/>
      <c r="N1231" s="1118"/>
      <c r="O1231" s="1118"/>
      <c r="P1231" s="1118"/>
      <c r="Q1231" s="1111"/>
      <c r="R1231" s="1111"/>
      <c r="S1231" s="1111"/>
      <c r="T1231" s="1111"/>
      <c r="U1231" s="1111"/>
      <c r="V1231" s="1111"/>
      <c r="W1231" s="1111"/>
      <c r="X1231" s="1111"/>
      <c r="Y1231" s="1111"/>
      <c r="Z1231" s="1111"/>
      <c r="AA1231" s="1111"/>
      <c r="AB1231" s="1111"/>
      <c r="AC1231" s="1111"/>
      <c r="AD1231" s="1111"/>
      <c r="AE1231" s="1111"/>
      <c r="AF1231" s="1111"/>
      <c r="AG1231" s="1111"/>
    </row>
    <row r="1232" spans="1:33" s="1295" customFormat="1">
      <c r="A1232" s="1264"/>
      <c r="D1232" s="1118"/>
      <c r="E1232" s="1264"/>
      <c r="F1232" s="1118"/>
      <c r="G1232" s="1118"/>
      <c r="H1232" s="1118"/>
      <c r="I1232" s="1118"/>
      <c r="J1232" s="1118"/>
      <c r="K1232" s="1118"/>
      <c r="L1232" s="1118"/>
      <c r="M1232" s="1118"/>
      <c r="N1232" s="1118"/>
      <c r="O1232" s="1118"/>
      <c r="P1232" s="1118"/>
      <c r="Q1232" s="1111"/>
      <c r="R1232" s="1111"/>
      <c r="S1232" s="1111"/>
      <c r="T1232" s="1111"/>
      <c r="U1232" s="1111"/>
      <c r="V1232" s="1111"/>
      <c r="W1232" s="1111"/>
      <c r="X1232" s="1111"/>
      <c r="Y1232" s="1111"/>
      <c r="Z1232" s="1111"/>
      <c r="AA1232" s="1111"/>
      <c r="AB1232" s="1111"/>
      <c r="AC1232" s="1111"/>
      <c r="AD1232" s="1111"/>
      <c r="AE1232" s="1111"/>
      <c r="AF1232" s="1111"/>
      <c r="AG1232" s="1111"/>
    </row>
    <row r="1233" spans="1:33" s="1295" customFormat="1">
      <c r="A1233" s="1264"/>
      <c r="D1233" s="1118"/>
      <c r="E1233" s="1264"/>
      <c r="F1233" s="1118"/>
      <c r="G1233" s="1118"/>
      <c r="H1233" s="1118"/>
      <c r="I1233" s="1118"/>
      <c r="J1233" s="1118"/>
      <c r="K1233" s="1118"/>
      <c r="L1233" s="1118"/>
      <c r="M1233" s="1118"/>
      <c r="N1233" s="1118"/>
      <c r="O1233" s="1118"/>
      <c r="P1233" s="1118"/>
      <c r="Q1233" s="1111"/>
      <c r="R1233" s="1111"/>
      <c r="S1233" s="1111"/>
      <c r="T1233" s="1111"/>
      <c r="U1233" s="1111"/>
      <c r="V1233" s="1111"/>
      <c r="W1233" s="1111"/>
      <c r="X1233" s="1111"/>
      <c r="Y1233" s="1111"/>
      <c r="Z1233" s="1111"/>
      <c r="AA1233" s="1111"/>
      <c r="AB1233" s="1111"/>
      <c r="AC1233" s="1111"/>
      <c r="AD1233" s="1111"/>
      <c r="AE1233" s="1111"/>
      <c r="AF1233" s="1111"/>
      <c r="AG1233" s="1111"/>
    </row>
    <row r="1234" spans="1:33" s="1295" customFormat="1">
      <c r="A1234" s="1264"/>
      <c r="D1234" s="1118"/>
      <c r="E1234" s="1264"/>
      <c r="F1234" s="1118"/>
      <c r="G1234" s="1118"/>
      <c r="H1234" s="1118"/>
      <c r="I1234" s="1118"/>
      <c r="J1234" s="1118"/>
      <c r="K1234" s="1118"/>
      <c r="L1234" s="1118"/>
      <c r="M1234" s="1118"/>
      <c r="N1234" s="1118"/>
      <c r="O1234" s="1118"/>
      <c r="P1234" s="1118"/>
      <c r="Q1234" s="1111"/>
      <c r="R1234" s="1111"/>
      <c r="S1234" s="1111"/>
      <c r="T1234" s="1111"/>
      <c r="U1234" s="1111"/>
      <c r="V1234" s="1111"/>
      <c r="W1234" s="1111"/>
      <c r="X1234" s="1111"/>
      <c r="Y1234" s="1111"/>
      <c r="Z1234" s="1111"/>
      <c r="AA1234" s="1111"/>
      <c r="AB1234" s="1111"/>
      <c r="AC1234" s="1111"/>
      <c r="AD1234" s="1111"/>
      <c r="AE1234" s="1111"/>
      <c r="AF1234" s="1111"/>
      <c r="AG1234" s="1111"/>
    </row>
    <row r="1235" spans="1:33" s="1295" customFormat="1">
      <c r="A1235" s="1264"/>
      <c r="D1235" s="1118"/>
      <c r="E1235" s="1264"/>
      <c r="F1235" s="1118"/>
      <c r="G1235" s="1118"/>
      <c r="H1235" s="1118"/>
      <c r="I1235" s="1118"/>
      <c r="J1235" s="1118"/>
      <c r="K1235" s="1118"/>
      <c r="L1235" s="1118"/>
      <c r="M1235" s="1118"/>
      <c r="N1235" s="1118"/>
      <c r="O1235" s="1118"/>
      <c r="P1235" s="1118"/>
      <c r="Q1235" s="1111"/>
      <c r="R1235" s="1111"/>
      <c r="S1235" s="1111"/>
      <c r="T1235" s="1111"/>
      <c r="U1235" s="1111"/>
      <c r="V1235" s="1111"/>
      <c r="W1235" s="1111"/>
      <c r="X1235" s="1111"/>
      <c r="Y1235" s="1111"/>
      <c r="Z1235" s="1111"/>
      <c r="AA1235" s="1111"/>
      <c r="AB1235" s="1111"/>
      <c r="AC1235" s="1111"/>
      <c r="AD1235" s="1111"/>
      <c r="AE1235" s="1111"/>
      <c r="AF1235" s="1111"/>
      <c r="AG1235" s="1111"/>
    </row>
    <row r="1236" spans="1:33" s="1295" customFormat="1">
      <c r="A1236" s="1264"/>
      <c r="D1236" s="1118"/>
      <c r="E1236" s="1264"/>
      <c r="F1236" s="1118"/>
      <c r="G1236" s="1118"/>
      <c r="H1236" s="1118"/>
      <c r="I1236" s="1118"/>
      <c r="J1236" s="1118"/>
      <c r="K1236" s="1118"/>
      <c r="L1236" s="1118"/>
      <c r="M1236" s="1118"/>
      <c r="N1236" s="1118"/>
      <c r="O1236" s="1118"/>
      <c r="P1236" s="1118"/>
      <c r="Q1236" s="1111"/>
      <c r="R1236" s="1111"/>
      <c r="S1236" s="1111"/>
      <c r="T1236" s="1111"/>
      <c r="U1236" s="1111"/>
      <c r="V1236" s="1111"/>
      <c r="W1236" s="1111"/>
      <c r="X1236" s="1111"/>
      <c r="Y1236" s="1111"/>
      <c r="Z1236" s="1111"/>
      <c r="AA1236" s="1111"/>
      <c r="AB1236" s="1111"/>
      <c r="AC1236" s="1111"/>
      <c r="AD1236" s="1111"/>
      <c r="AE1236" s="1111"/>
      <c r="AF1236" s="1111"/>
      <c r="AG1236" s="1111"/>
    </row>
    <row r="1237" spans="1:33" s="1295" customFormat="1">
      <c r="A1237" s="1264"/>
      <c r="D1237" s="1118"/>
      <c r="E1237" s="1264"/>
      <c r="F1237" s="1118"/>
      <c r="G1237" s="1118"/>
      <c r="H1237" s="1118"/>
      <c r="I1237" s="1118"/>
      <c r="J1237" s="1118"/>
      <c r="K1237" s="1118"/>
      <c r="L1237" s="1118"/>
      <c r="M1237" s="1118"/>
      <c r="N1237" s="1118"/>
      <c r="O1237" s="1118"/>
      <c r="P1237" s="1118"/>
      <c r="Q1237" s="1111"/>
      <c r="R1237" s="1111"/>
      <c r="S1237" s="1111"/>
      <c r="T1237" s="1111"/>
      <c r="U1237" s="1111"/>
      <c r="V1237" s="1111"/>
      <c r="W1237" s="1111"/>
      <c r="X1237" s="1111"/>
      <c r="Y1237" s="1111"/>
      <c r="Z1237" s="1111"/>
      <c r="AA1237" s="1111"/>
      <c r="AB1237" s="1111"/>
      <c r="AC1237" s="1111"/>
      <c r="AD1237" s="1111"/>
      <c r="AE1237" s="1111"/>
      <c r="AF1237" s="1111"/>
      <c r="AG1237" s="1111"/>
    </row>
    <row r="1238" spans="1:33" s="1295" customFormat="1">
      <c r="A1238" s="1264"/>
      <c r="D1238" s="1118"/>
      <c r="E1238" s="1264"/>
      <c r="F1238" s="1118"/>
      <c r="G1238" s="1118"/>
      <c r="H1238" s="1118"/>
      <c r="I1238" s="1118"/>
      <c r="J1238" s="1118"/>
      <c r="K1238" s="1118"/>
      <c r="L1238" s="1118"/>
      <c r="M1238" s="1118"/>
      <c r="N1238" s="1118"/>
      <c r="O1238" s="1118"/>
      <c r="P1238" s="1118"/>
      <c r="Q1238" s="1111"/>
      <c r="R1238" s="1111"/>
      <c r="S1238" s="1111"/>
      <c r="T1238" s="1111"/>
      <c r="U1238" s="1111"/>
      <c r="V1238" s="1111"/>
      <c r="W1238" s="1111"/>
      <c r="X1238" s="1111"/>
      <c r="Y1238" s="1111"/>
      <c r="Z1238" s="1111"/>
      <c r="AA1238" s="1111"/>
      <c r="AB1238" s="1111"/>
      <c r="AC1238" s="1111"/>
      <c r="AD1238" s="1111"/>
      <c r="AE1238" s="1111"/>
      <c r="AF1238" s="1111"/>
      <c r="AG1238" s="1111"/>
    </row>
    <row r="1239" spans="1:33" s="1295" customFormat="1">
      <c r="A1239" s="1264"/>
      <c r="D1239" s="1118"/>
      <c r="E1239" s="1264"/>
      <c r="F1239" s="1118"/>
      <c r="G1239" s="1118"/>
      <c r="H1239" s="1118"/>
      <c r="I1239" s="1118"/>
      <c r="J1239" s="1118"/>
      <c r="K1239" s="1118"/>
      <c r="L1239" s="1118"/>
      <c r="M1239" s="1118"/>
      <c r="N1239" s="1118"/>
      <c r="O1239" s="1118"/>
      <c r="P1239" s="1118"/>
      <c r="Q1239" s="1111"/>
      <c r="R1239" s="1111"/>
      <c r="S1239" s="1111"/>
      <c r="T1239" s="1111"/>
      <c r="U1239" s="1111"/>
      <c r="V1239" s="1111"/>
      <c r="W1239" s="1111"/>
      <c r="X1239" s="1111"/>
      <c r="Y1239" s="1111"/>
      <c r="Z1239" s="1111"/>
      <c r="AA1239" s="1111"/>
      <c r="AB1239" s="1111"/>
      <c r="AC1239" s="1111"/>
      <c r="AD1239" s="1111"/>
      <c r="AE1239" s="1111"/>
      <c r="AF1239" s="1111"/>
      <c r="AG1239" s="1111"/>
    </row>
    <row r="1240" spans="1:33" s="1295" customFormat="1">
      <c r="A1240" s="1264"/>
      <c r="D1240" s="1118"/>
      <c r="E1240" s="1264"/>
      <c r="F1240" s="1118"/>
      <c r="G1240" s="1118"/>
      <c r="H1240" s="1118"/>
      <c r="I1240" s="1118"/>
      <c r="J1240" s="1118"/>
      <c r="K1240" s="1118"/>
      <c r="L1240" s="1118"/>
      <c r="M1240" s="1118"/>
      <c r="N1240" s="1118"/>
      <c r="O1240" s="1118"/>
      <c r="P1240" s="1118"/>
      <c r="Q1240" s="1111"/>
      <c r="R1240" s="1111"/>
      <c r="S1240" s="1111"/>
      <c r="T1240" s="1111"/>
      <c r="U1240" s="1111"/>
      <c r="V1240" s="1111"/>
      <c r="W1240" s="1111"/>
      <c r="X1240" s="1111"/>
      <c r="Y1240" s="1111"/>
      <c r="Z1240" s="1111"/>
      <c r="AA1240" s="1111"/>
      <c r="AB1240" s="1111"/>
      <c r="AC1240" s="1111"/>
      <c r="AD1240" s="1111"/>
      <c r="AE1240" s="1111"/>
      <c r="AF1240" s="1111"/>
      <c r="AG1240" s="1111"/>
    </row>
    <row r="1241" spans="1:33" s="1295" customFormat="1">
      <c r="A1241" s="1264"/>
      <c r="D1241" s="1118"/>
      <c r="E1241" s="1264"/>
      <c r="F1241" s="1118"/>
      <c r="G1241" s="1118"/>
      <c r="H1241" s="1118"/>
      <c r="I1241" s="1118"/>
      <c r="J1241" s="1118"/>
      <c r="K1241" s="1118"/>
      <c r="L1241" s="1118"/>
      <c r="M1241" s="1118"/>
      <c r="N1241" s="1118"/>
      <c r="O1241" s="1118"/>
      <c r="P1241" s="1118"/>
      <c r="Q1241" s="1111"/>
      <c r="R1241" s="1111"/>
      <c r="S1241" s="1111"/>
      <c r="T1241" s="1111"/>
      <c r="U1241" s="1111"/>
      <c r="V1241" s="1111"/>
      <c r="W1241" s="1111"/>
      <c r="X1241" s="1111"/>
      <c r="Y1241" s="1111"/>
      <c r="Z1241" s="1111"/>
      <c r="AA1241" s="1111"/>
      <c r="AB1241" s="1111"/>
      <c r="AC1241" s="1111"/>
      <c r="AD1241" s="1111"/>
      <c r="AE1241" s="1111"/>
      <c r="AF1241" s="1111"/>
      <c r="AG1241" s="1111"/>
    </row>
    <row r="1242" spans="1:33" s="1295" customFormat="1">
      <c r="A1242" s="1264"/>
      <c r="D1242" s="1118"/>
      <c r="E1242" s="1264"/>
      <c r="F1242" s="1118"/>
      <c r="G1242" s="1118"/>
      <c r="H1242" s="1118"/>
      <c r="I1242" s="1118"/>
      <c r="J1242" s="1118"/>
      <c r="K1242" s="1118"/>
      <c r="L1242" s="1118"/>
      <c r="M1242" s="1118"/>
      <c r="N1242" s="1118"/>
      <c r="O1242" s="1118"/>
      <c r="P1242" s="1118"/>
      <c r="Q1242" s="1111"/>
      <c r="R1242" s="1111"/>
      <c r="S1242" s="1111"/>
      <c r="T1242" s="1111"/>
      <c r="U1242" s="1111"/>
      <c r="V1242" s="1111"/>
      <c r="W1242" s="1111"/>
      <c r="X1242" s="1111"/>
      <c r="Y1242" s="1111"/>
      <c r="Z1242" s="1111"/>
      <c r="AA1242" s="1111"/>
      <c r="AB1242" s="1111"/>
      <c r="AC1242" s="1111"/>
      <c r="AD1242" s="1111"/>
      <c r="AE1242" s="1111"/>
      <c r="AF1242" s="1111"/>
      <c r="AG1242" s="1111"/>
    </row>
    <row r="1243" spans="1:33" s="1295" customFormat="1">
      <c r="A1243" s="1264"/>
      <c r="D1243" s="1118"/>
      <c r="E1243" s="1264"/>
      <c r="F1243" s="1118"/>
      <c r="G1243" s="1118"/>
      <c r="H1243" s="1118"/>
      <c r="I1243" s="1118"/>
      <c r="J1243" s="1118"/>
      <c r="K1243" s="1118"/>
      <c r="L1243" s="1118"/>
      <c r="M1243" s="1118"/>
      <c r="N1243" s="1118"/>
      <c r="O1243" s="1118"/>
      <c r="P1243" s="1118"/>
      <c r="Q1243" s="1111"/>
      <c r="R1243" s="1111"/>
      <c r="S1243" s="1111"/>
      <c r="T1243" s="1111"/>
      <c r="U1243" s="1111"/>
      <c r="V1243" s="1111"/>
      <c r="W1243" s="1111"/>
      <c r="X1243" s="1111"/>
      <c r="Y1243" s="1111"/>
      <c r="Z1243" s="1111"/>
      <c r="AA1243" s="1111"/>
      <c r="AB1243" s="1111"/>
      <c r="AC1243" s="1111"/>
      <c r="AD1243" s="1111"/>
      <c r="AE1243" s="1111"/>
      <c r="AF1243" s="1111"/>
      <c r="AG1243" s="1111"/>
    </row>
    <row r="1244" spans="1:33" s="1295" customFormat="1">
      <c r="A1244" s="1264"/>
      <c r="D1244" s="1118"/>
      <c r="E1244" s="1264"/>
      <c r="F1244" s="1118"/>
      <c r="G1244" s="1118"/>
      <c r="H1244" s="1118"/>
      <c r="I1244" s="1118"/>
      <c r="J1244" s="1118"/>
      <c r="K1244" s="1118"/>
      <c r="L1244" s="1118"/>
      <c r="M1244" s="1118"/>
      <c r="N1244" s="1118"/>
      <c r="O1244" s="1118"/>
      <c r="P1244" s="1118"/>
      <c r="Q1244" s="1111"/>
      <c r="R1244" s="1111"/>
      <c r="S1244" s="1111"/>
      <c r="T1244" s="1111"/>
      <c r="U1244" s="1111"/>
      <c r="V1244" s="1111"/>
      <c r="W1244" s="1111"/>
      <c r="X1244" s="1111"/>
      <c r="Y1244" s="1111"/>
      <c r="Z1244" s="1111"/>
      <c r="AA1244" s="1111"/>
      <c r="AB1244" s="1111"/>
      <c r="AC1244" s="1111"/>
      <c r="AD1244" s="1111"/>
      <c r="AE1244" s="1111"/>
      <c r="AF1244" s="1111"/>
      <c r="AG1244" s="1111"/>
    </row>
    <row r="1245" spans="1:33" s="1295" customFormat="1">
      <c r="A1245" s="1264"/>
      <c r="D1245" s="1118"/>
      <c r="E1245" s="1264"/>
      <c r="F1245" s="1118"/>
      <c r="G1245" s="1118"/>
      <c r="H1245" s="1118"/>
      <c r="I1245" s="1118"/>
      <c r="J1245" s="1118"/>
      <c r="K1245" s="1118"/>
      <c r="L1245" s="1118"/>
      <c r="M1245" s="1118"/>
      <c r="N1245" s="1118"/>
      <c r="O1245" s="1118"/>
      <c r="P1245" s="1118"/>
      <c r="Q1245" s="1111"/>
      <c r="R1245" s="1111"/>
      <c r="S1245" s="1111"/>
      <c r="T1245" s="1111"/>
      <c r="U1245" s="1111"/>
      <c r="V1245" s="1111"/>
      <c r="W1245" s="1111"/>
      <c r="X1245" s="1111"/>
      <c r="Y1245" s="1111"/>
      <c r="Z1245" s="1111"/>
      <c r="AA1245" s="1111"/>
      <c r="AB1245" s="1111"/>
      <c r="AC1245" s="1111"/>
      <c r="AD1245" s="1111"/>
      <c r="AE1245" s="1111"/>
      <c r="AF1245" s="1111"/>
      <c r="AG1245" s="1111"/>
    </row>
    <row r="1246" spans="1:33" s="1295" customFormat="1">
      <c r="A1246" s="1264"/>
      <c r="D1246" s="1118"/>
      <c r="E1246" s="1264"/>
      <c r="F1246" s="1118"/>
      <c r="G1246" s="1118"/>
      <c r="H1246" s="1118"/>
      <c r="I1246" s="1118"/>
      <c r="J1246" s="1118"/>
      <c r="K1246" s="1118"/>
      <c r="L1246" s="1118"/>
      <c r="M1246" s="1118"/>
      <c r="N1246" s="1118"/>
      <c r="O1246" s="1118"/>
      <c r="P1246" s="1118"/>
      <c r="Q1246" s="1111"/>
      <c r="R1246" s="1111"/>
      <c r="S1246" s="1111"/>
      <c r="T1246" s="1111"/>
      <c r="U1246" s="1111"/>
      <c r="V1246" s="1111"/>
      <c r="W1246" s="1111"/>
      <c r="X1246" s="1111"/>
      <c r="Y1246" s="1111"/>
      <c r="Z1246" s="1111"/>
      <c r="AA1246" s="1111"/>
      <c r="AB1246" s="1111"/>
      <c r="AC1246" s="1111"/>
      <c r="AD1246" s="1111"/>
      <c r="AE1246" s="1111"/>
      <c r="AF1246" s="1111"/>
      <c r="AG1246" s="1111"/>
    </row>
    <row r="1247" spans="1:33" s="1295" customFormat="1">
      <c r="A1247" s="1264"/>
      <c r="D1247" s="1118"/>
      <c r="E1247" s="1264"/>
      <c r="F1247" s="1118"/>
      <c r="G1247" s="1118"/>
      <c r="H1247" s="1118"/>
      <c r="I1247" s="1118"/>
      <c r="J1247" s="1118"/>
      <c r="K1247" s="1118"/>
      <c r="L1247" s="1118"/>
      <c r="M1247" s="1118"/>
      <c r="N1247" s="1118"/>
      <c r="O1247" s="1118"/>
      <c r="P1247" s="1118"/>
      <c r="Q1247" s="1111"/>
      <c r="R1247" s="1111"/>
      <c r="S1247" s="1111"/>
      <c r="T1247" s="1111"/>
      <c r="U1247" s="1111"/>
      <c r="V1247" s="1111"/>
      <c r="W1247" s="1111"/>
      <c r="X1247" s="1111"/>
      <c r="Y1247" s="1111"/>
      <c r="Z1247" s="1111"/>
      <c r="AA1247" s="1111"/>
      <c r="AB1247" s="1111"/>
      <c r="AC1247" s="1111"/>
      <c r="AD1247" s="1111"/>
      <c r="AE1247" s="1111"/>
      <c r="AF1247" s="1111"/>
      <c r="AG1247" s="1111"/>
    </row>
    <row r="1248" spans="1:33" s="1295" customFormat="1">
      <c r="A1248" s="1264"/>
      <c r="D1248" s="1118"/>
      <c r="E1248" s="1264"/>
      <c r="F1248" s="1118"/>
      <c r="G1248" s="1118"/>
      <c r="H1248" s="1118"/>
      <c r="I1248" s="1118"/>
      <c r="J1248" s="1118"/>
      <c r="K1248" s="1118"/>
      <c r="L1248" s="1118"/>
      <c r="M1248" s="1118"/>
      <c r="N1248" s="1118"/>
      <c r="O1248" s="1118"/>
      <c r="P1248" s="1118"/>
      <c r="Q1248" s="1111"/>
      <c r="R1248" s="1111"/>
      <c r="S1248" s="1111"/>
      <c r="T1248" s="1111"/>
      <c r="U1248" s="1111"/>
      <c r="V1248" s="1111"/>
      <c r="W1248" s="1111"/>
      <c r="X1248" s="1111"/>
      <c r="Y1248" s="1111"/>
      <c r="Z1248" s="1111"/>
      <c r="AA1248" s="1111"/>
      <c r="AB1248" s="1111"/>
      <c r="AC1248" s="1111"/>
      <c r="AD1248" s="1111"/>
      <c r="AE1248" s="1111"/>
      <c r="AF1248" s="1111"/>
      <c r="AG1248" s="1111"/>
    </row>
    <row r="1249" spans="1:33" s="1295" customFormat="1">
      <c r="A1249" s="1264"/>
      <c r="D1249" s="1118"/>
      <c r="E1249" s="1264"/>
      <c r="F1249" s="1118"/>
      <c r="G1249" s="1118"/>
      <c r="H1249" s="1118"/>
      <c r="I1249" s="1118"/>
      <c r="J1249" s="1118"/>
      <c r="K1249" s="1118"/>
      <c r="L1249" s="1118"/>
      <c r="M1249" s="1118"/>
      <c r="N1249" s="1118"/>
      <c r="O1249" s="1118"/>
      <c r="P1249" s="1118"/>
      <c r="Q1249" s="1111"/>
      <c r="R1249" s="1111"/>
      <c r="S1249" s="1111"/>
      <c r="T1249" s="1111"/>
      <c r="U1249" s="1111"/>
      <c r="V1249" s="1111"/>
      <c r="W1249" s="1111"/>
      <c r="X1249" s="1111"/>
      <c r="Y1249" s="1111"/>
      <c r="Z1249" s="1111"/>
      <c r="AA1249" s="1111"/>
      <c r="AB1249" s="1111"/>
      <c r="AC1249" s="1111"/>
      <c r="AD1249" s="1111"/>
      <c r="AE1249" s="1111"/>
      <c r="AF1249" s="1111"/>
      <c r="AG1249" s="1111"/>
    </row>
    <row r="1250" spans="1:33" s="1295" customFormat="1">
      <c r="A1250" s="1264"/>
      <c r="D1250" s="1118"/>
      <c r="E1250" s="1264"/>
      <c r="F1250" s="1118"/>
      <c r="G1250" s="1118"/>
      <c r="H1250" s="1118"/>
      <c r="I1250" s="1118"/>
      <c r="J1250" s="1118"/>
      <c r="K1250" s="1118"/>
      <c r="L1250" s="1118"/>
      <c r="M1250" s="1118"/>
      <c r="N1250" s="1118"/>
      <c r="O1250" s="1118"/>
      <c r="P1250" s="1118"/>
      <c r="Q1250" s="1111"/>
      <c r="R1250" s="1111"/>
      <c r="S1250" s="1111"/>
      <c r="T1250" s="1111"/>
      <c r="U1250" s="1111"/>
      <c r="V1250" s="1111"/>
      <c r="W1250" s="1111"/>
      <c r="X1250" s="1111"/>
      <c r="Y1250" s="1111"/>
      <c r="Z1250" s="1111"/>
      <c r="AA1250" s="1111"/>
      <c r="AB1250" s="1111"/>
      <c r="AC1250" s="1111"/>
      <c r="AD1250" s="1111"/>
      <c r="AE1250" s="1111"/>
      <c r="AF1250" s="1111"/>
      <c r="AG1250" s="1111"/>
    </row>
    <row r="1251" spans="1:33" s="1295" customFormat="1">
      <c r="A1251" s="1264"/>
      <c r="D1251" s="1118"/>
      <c r="E1251" s="1264"/>
      <c r="F1251" s="1118"/>
      <c r="G1251" s="1118"/>
      <c r="H1251" s="1118"/>
      <c r="I1251" s="1118"/>
      <c r="J1251" s="1118"/>
      <c r="K1251" s="1118"/>
      <c r="L1251" s="1118"/>
      <c r="M1251" s="1118"/>
      <c r="N1251" s="1118"/>
      <c r="O1251" s="1118"/>
      <c r="P1251" s="1118"/>
      <c r="Q1251" s="1111"/>
      <c r="R1251" s="1111"/>
      <c r="S1251" s="1111"/>
      <c r="T1251" s="1111"/>
      <c r="U1251" s="1111"/>
      <c r="V1251" s="1111"/>
      <c r="W1251" s="1111"/>
      <c r="X1251" s="1111"/>
      <c r="Y1251" s="1111"/>
      <c r="Z1251" s="1111"/>
      <c r="AA1251" s="1111"/>
      <c r="AB1251" s="1111"/>
      <c r="AC1251" s="1111"/>
      <c r="AD1251" s="1111"/>
      <c r="AE1251" s="1111"/>
      <c r="AF1251" s="1111"/>
      <c r="AG1251" s="1111"/>
    </row>
    <row r="1252" spans="1:33" s="1295" customFormat="1">
      <c r="A1252" s="1264"/>
      <c r="D1252" s="1118"/>
      <c r="E1252" s="1264"/>
      <c r="F1252" s="1118"/>
      <c r="G1252" s="1118"/>
      <c r="H1252" s="1118"/>
      <c r="I1252" s="1118"/>
      <c r="J1252" s="1118"/>
      <c r="K1252" s="1118"/>
      <c r="L1252" s="1118"/>
      <c r="M1252" s="1118"/>
      <c r="N1252" s="1118"/>
      <c r="O1252" s="1118"/>
      <c r="P1252" s="1118"/>
      <c r="Q1252" s="1111"/>
      <c r="R1252" s="1111"/>
      <c r="S1252" s="1111"/>
      <c r="T1252" s="1111"/>
      <c r="U1252" s="1111"/>
      <c r="V1252" s="1111"/>
      <c r="W1252" s="1111"/>
      <c r="X1252" s="1111"/>
      <c r="Y1252" s="1111"/>
      <c r="Z1252" s="1111"/>
      <c r="AA1252" s="1111"/>
      <c r="AB1252" s="1111"/>
      <c r="AC1252" s="1111"/>
      <c r="AD1252" s="1111"/>
      <c r="AE1252" s="1111"/>
      <c r="AF1252" s="1111"/>
      <c r="AG1252" s="1111"/>
    </row>
    <row r="1253" spans="1:33" s="1295" customFormat="1">
      <c r="A1253" s="1264"/>
      <c r="D1253" s="1118"/>
      <c r="E1253" s="1264"/>
      <c r="F1253" s="1118"/>
      <c r="G1253" s="1118"/>
      <c r="H1253" s="1118"/>
      <c r="I1253" s="1118"/>
      <c r="J1253" s="1118"/>
      <c r="K1253" s="1118"/>
      <c r="L1253" s="1118"/>
      <c r="M1253" s="1118"/>
      <c r="N1253" s="1118"/>
      <c r="O1253" s="1118"/>
      <c r="P1253" s="1118"/>
      <c r="Q1253" s="1111"/>
      <c r="R1253" s="1111"/>
      <c r="S1253" s="1111"/>
      <c r="T1253" s="1111"/>
      <c r="U1253" s="1111"/>
      <c r="V1253" s="1111"/>
      <c r="W1253" s="1111"/>
      <c r="X1253" s="1111"/>
      <c r="Y1253" s="1111"/>
      <c r="Z1253" s="1111"/>
      <c r="AA1253" s="1111"/>
      <c r="AB1253" s="1111"/>
      <c r="AC1253" s="1111"/>
      <c r="AD1253" s="1111"/>
      <c r="AE1253" s="1111"/>
      <c r="AF1253" s="1111"/>
      <c r="AG1253" s="1111"/>
    </row>
    <row r="1254" spans="1:33" s="1295" customFormat="1">
      <c r="A1254" s="1264"/>
      <c r="D1254" s="1118"/>
      <c r="E1254" s="1264"/>
      <c r="F1254" s="1118"/>
      <c r="G1254" s="1118"/>
      <c r="H1254" s="1118"/>
      <c r="I1254" s="1118"/>
      <c r="J1254" s="1118"/>
      <c r="K1254" s="1118"/>
      <c r="L1254" s="1118"/>
      <c r="M1254" s="1118"/>
      <c r="N1254" s="1118"/>
      <c r="O1254" s="1118"/>
      <c r="P1254" s="1118"/>
      <c r="Q1254" s="1111"/>
      <c r="R1254" s="1111"/>
      <c r="S1254" s="1111"/>
      <c r="T1254" s="1111"/>
      <c r="U1254" s="1111"/>
      <c r="V1254" s="1111"/>
      <c r="W1254" s="1111"/>
      <c r="X1254" s="1111"/>
      <c r="Y1254" s="1111"/>
      <c r="Z1254" s="1111"/>
      <c r="AA1254" s="1111"/>
      <c r="AB1254" s="1111"/>
      <c r="AC1254" s="1111"/>
      <c r="AD1254" s="1111"/>
      <c r="AE1254" s="1111"/>
      <c r="AF1254" s="1111"/>
      <c r="AG1254" s="1111"/>
    </row>
    <row r="1255" spans="1:33" s="1295" customFormat="1">
      <c r="A1255" s="1264"/>
      <c r="D1255" s="1118"/>
      <c r="E1255" s="1264"/>
      <c r="F1255" s="1118"/>
      <c r="G1255" s="1118"/>
      <c r="H1255" s="1118"/>
      <c r="I1255" s="1118"/>
      <c r="J1255" s="1118"/>
      <c r="K1255" s="1118"/>
      <c r="L1255" s="1118"/>
      <c r="M1255" s="1118"/>
      <c r="N1255" s="1118"/>
      <c r="O1255" s="1118"/>
      <c r="P1255" s="1118"/>
      <c r="Q1255" s="1111"/>
      <c r="R1255" s="1111"/>
      <c r="S1255" s="1111"/>
      <c r="T1255" s="1111"/>
      <c r="U1255" s="1111"/>
      <c r="V1255" s="1111"/>
      <c r="W1255" s="1111"/>
      <c r="X1255" s="1111"/>
      <c r="Y1255" s="1111"/>
      <c r="Z1255" s="1111"/>
      <c r="AA1255" s="1111"/>
      <c r="AB1255" s="1111"/>
      <c r="AC1255" s="1111"/>
      <c r="AD1255" s="1111"/>
      <c r="AE1255" s="1111"/>
      <c r="AF1255" s="1111"/>
      <c r="AG1255" s="1111"/>
    </row>
    <row r="1256" spans="1:33" s="1295" customFormat="1">
      <c r="A1256" s="1264"/>
      <c r="D1256" s="1118"/>
      <c r="E1256" s="1264"/>
      <c r="F1256" s="1118"/>
      <c r="G1256" s="1118"/>
      <c r="H1256" s="1118"/>
      <c r="I1256" s="1118"/>
      <c r="J1256" s="1118"/>
      <c r="K1256" s="1118"/>
      <c r="L1256" s="1118"/>
      <c r="M1256" s="1118"/>
      <c r="N1256" s="1118"/>
      <c r="O1256" s="1118"/>
      <c r="P1256" s="1118"/>
      <c r="Q1256" s="1111"/>
      <c r="R1256" s="1111"/>
      <c r="S1256" s="1111"/>
      <c r="T1256" s="1111"/>
      <c r="U1256" s="1111"/>
      <c r="V1256" s="1111"/>
      <c r="W1256" s="1111"/>
      <c r="X1256" s="1111"/>
      <c r="Y1256" s="1111"/>
      <c r="Z1256" s="1111"/>
      <c r="AA1256" s="1111"/>
      <c r="AB1256" s="1111"/>
      <c r="AC1256" s="1111"/>
      <c r="AD1256" s="1111"/>
      <c r="AE1256" s="1111"/>
      <c r="AF1256" s="1111"/>
      <c r="AG1256" s="1111"/>
    </row>
    <row r="1257" spans="1:33" s="1295" customFormat="1">
      <c r="A1257" s="1264"/>
      <c r="D1257" s="1118"/>
      <c r="E1257" s="1264"/>
      <c r="F1257" s="1118"/>
      <c r="G1257" s="1118"/>
      <c r="H1257" s="1118"/>
      <c r="I1257" s="1118"/>
      <c r="J1257" s="1118"/>
      <c r="K1257" s="1118"/>
      <c r="L1257" s="1118"/>
      <c r="M1257" s="1118"/>
      <c r="N1257" s="1118"/>
      <c r="O1257" s="1118"/>
      <c r="P1257" s="1118"/>
      <c r="Q1257" s="1111"/>
      <c r="R1257" s="1111"/>
      <c r="S1257" s="1111"/>
      <c r="T1257" s="1111"/>
      <c r="U1257" s="1111"/>
      <c r="V1257" s="1111"/>
      <c r="W1257" s="1111"/>
      <c r="X1257" s="1111"/>
      <c r="Y1257" s="1111"/>
      <c r="Z1257" s="1111"/>
      <c r="AA1257" s="1111"/>
      <c r="AB1257" s="1111"/>
      <c r="AC1257" s="1111"/>
      <c r="AD1257" s="1111"/>
      <c r="AE1257" s="1111"/>
      <c r="AF1257" s="1111"/>
      <c r="AG1257" s="1111"/>
    </row>
    <row r="1258" spans="1:33" s="1295" customFormat="1">
      <c r="A1258" s="1264"/>
      <c r="D1258" s="1118"/>
      <c r="E1258" s="1264"/>
      <c r="F1258" s="1118"/>
      <c r="G1258" s="1118"/>
      <c r="H1258" s="1118"/>
      <c r="I1258" s="1118"/>
      <c r="J1258" s="1118"/>
      <c r="K1258" s="1118"/>
      <c r="L1258" s="1118"/>
      <c r="M1258" s="1118"/>
      <c r="N1258" s="1118"/>
      <c r="O1258" s="1118"/>
      <c r="P1258" s="1118"/>
      <c r="Q1258" s="1111"/>
      <c r="R1258" s="1111"/>
      <c r="S1258" s="1111"/>
      <c r="T1258" s="1111"/>
      <c r="U1258" s="1111"/>
      <c r="V1258" s="1111"/>
      <c r="W1258" s="1111"/>
      <c r="X1258" s="1111"/>
      <c r="Y1258" s="1111"/>
      <c r="Z1258" s="1111"/>
      <c r="AA1258" s="1111"/>
      <c r="AB1258" s="1111"/>
      <c r="AC1258" s="1111"/>
      <c r="AD1258" s="1111"/>
      <c r="AE1258" s="1111"/>
      <c r="AF1258" s="1111"/>
      <c r="AG1258" s="1111"/>
    </row>
    <row r="1259" spans="1:33" s="1295" customFormat="1">
      <c r="A1259" s="1264"/>
      <c r="D1259" s="1118"/>
      <c r="E1259" s="1264"/>
      <c r="F1259" s="1118"/>
      <c r="G1259" s="1118"/>
      <c r="H1259" s="1118"/>
      <c r="I1259" s="1118"/>
      <c r="J1259" s="1118"/>
      <c r="K1259" s="1118"/>
      <c r="L1259" s="1118"/>
      <c r="M1259" s="1118"/>
      <c r="N1259" s="1118"/>
      <c r="O1259" s="1118"/>
      <c r="P1259" s="1118"/>
      <c r="Q1259" s="1111"/>
      <c r="R1259" s="1111"/>
      <c r="S1259" s="1111"/>
      <c r="T1259" s="1111"/>
      <c r="U1259" s="1111"/>
      <c r="V1259" s="1111"/>
      <c r="W1259" s="1111"/>
      <c r="X1259" s="1111"/>
      <c r="Y1259" s="1111"/>
      <c r="Z1259" s="1111"/>
      <c r="AA1259" s="1111"/>
      <c r="AB1259" s="1111"/>
      <c r="AC1259" s="1111"/>
      <c r="AD1259" s="1111"/>
      <c r="AE1259" s="1111"/>
      <c r="AF1259" s="1111"/>
      <c r="AG1259" s="1111"/>
    </row>
    <row r="1260" spans="1:33" s="1295" customFormat="1">
      <c r="A1260" s="1264"/>
      <c r="D1260" s="1118"/>
      <c r="E1260" s="1264"/>
      <c r="F1260" s="1118"/>
      <c r="G1260" s="1118"/>
      <c r="H1260" s="1118"/>
      <c r="I1260" s="1118"/>
      <c r="J1260" s="1118"/>
      <c r="K1260" s="1118"/>
      <c r="L1260" s="1118"/>
      <c r="M1260" s="1118"/>
      <c r="N1260" s="1118"/>
      <c r="O1260" s="1118"/>
      <c r="P1260" s="1118"/>
      <c r="Q1260" s="1111"/>
      <c r="R1260" s="1111"/>
      <c r="S1260" s="1111"/>
      <c r="T1260" s="1111"/>
      <c r="U1260" s="1111"/>
      <c r="V1260" s="1111"/>
      <c r="W1260" s="1111"/>
      <c r="X1260" s="1111"/>
      <c r="Y1260" s="1111"/>
      <c r="Z1260" s="1111"/>
      <c r="AA1260" s="1111"/>
      <c r="AB1260" s="1111"/>
      <c r="AC1260" s="1111"/>
      <c r="AD1260" s="1111"/>
      <c r="AE1260" s="1111"/>
      <c r="AF1260" s="1111"/>
      <c r="AG1260" s="1111"/>
    </row>
    <row r="1261" spans="1:33" s="1295" customFormat="1">
      <c r="A1261" s="1264"/>
      <c r="D1261" s="1118"/>
      <c r="E1261" s="1264"/>
      <c r="F1261" s="1118"/>
      <c r="G1261" s="1118"/>
      <c r="H1261" s="1118"/>
      <c r="I1261" s="1118"/>
      <c r="J1261" s="1118"/>
      <c r="K1261" s="1118"/>
      <c r="L1261" s="1118"/>
      <c r="M1261" s="1118"/>
      <c r="N1261" s="1118"/>
      <c r="O1261" s="1118"/>
      <c r="P1261" s="1118"/>
      <c r="Q1261" s="1111"/>
      <c r="R1261" s="1111"/>
      <c r="S1261" s="1111"/>
      <c r="T1261" s="1111"/>
      <c r="U1261" s="1111"/>
      <c r="V1261" s="1111"/>
      <c r="W1261" s="1111"/>
      <c r="X1261" s="1111"/>
      <c r="Y1261" s="1111"/>
      <c r="Z1261" s="1111"/>
      <c r="AA1261" s="1111"/>
      <c r="AB1261" s="1111"/>
      <c r="AC1261" s="1111"/>
      <c r="AD1261" s="1111"/>
      <c r="AE1261" s="1111"/>
      <c r="AF1261" s="1111"/>
      <c r="AG1261" s="1111"/>
    </row>
    <row r="1262" spans="1:33" s="1295" customFormat="1">
      <c r="A1262" s="1264"/>
      <c r="D1262" s="1118"/>
      <c r="E1262" s="1264"/>
      <c r="F1262" s="1118"/>
      <c r="G1262" s="1118"/>
      <c r="H1262" s="1118"/>
      <c r="I1262" s="1118"/>
      <c r="J1262" s="1118"/>
      <c r="K1262" s="1118"/>
      <c r="L1262" s="1118"/>
      <c r="M1262" s="1118"/>
      <c r="N1262" s="1118"/>
      <c r="O1262" s="1118"/>
      <c r="P1262" s="1118"/>
      <c r="Q1262" s="1111"/>
      <c r="R1262" s="1111"/>
      <c r="S1262" s="1111"/>
      <c r="T1262" s="1111"/>
      <c r="U1262" s="1111"/>
      <c r="V1262" s="1111"/>
      <c r="W1262" s="1111"/>
      <c r="X1262" s="1111"/>
      <c r="Y1262" s="1111"/>
      <c r="Z1262" s="1111"/>
      <c r="AA1262" s="1111"/>
      <c r="AB1262" s="1111"/>
      <c r="AC1262" s="1111"/>
      <c r="AD1262" s="1111"/>
      <c r="AE1262" s="1111"/>
      <c r="AF1262" s="1111"/>
      <c r="AG1262" s="1111"/>
    </row>
    <row r="1263" spans="1:33" s="1295" customFormat="1">
      <c r="A1263" s="1264"/>
      <c r="D1263" s="1118"/>
      <c r="E1263" s="1264"/>
      <c r="F1263" s="1118"/>
      <c r="G1263" s="1118"/>
      <c r="H1263" s="1118"/>
      <c r="I1263" s="1118"/>
      <c r="J1263" s="1118"/>
      <c r="K1263" s="1118"/>
      <c r="L1263" s="1118"/>
      <c r="M1263" s="1118"/>
      <c r="N1263" s="1118"/>
      <c r="O1263" s="1118"/>
      <c r="P1263" s="1118"/>
      <c r="Q1263" s="1111"/>
      <c r="R1263" s="1111"/>
      <c r="S1263" s="1111"/>
      <c r="T1263" s="1111"/>
      <c r="U1263" s="1111"/>
      <c r="V1263" s="1111"/>
      <c r="W1263" s="1111"/>
      <c r="X1263" s="1111"/>
      <c r="Y1263" s="1111"/>
      <c r="Z1263" s="1111"/>
      <c r="AA1263" s="1111"/>
      <c r="AB1263" s="1111"/>
      <c r="AC1263" s="1111"/>
      <c r="AD1263" s="1111"/>
      <c r="AE1263" s="1111"/>
      <c r="AF1263" s="1111"/>
      <c r="AG1263" s="1111"/>
    </row>
    <row r="1264" spans="1:33" s="1295" customFormat="1">
      <c r="A1264" s="1264"/>
      <c r="D1264" s="1118"/>
      <c r="E1264" s="1264"/>
      <c r="F1264" s="1118"/>
      <c r="G1264" s="1118"/>
      <c r="H1264" s="1118"/>
      <c r="I1264" s="1118"/>
      <c r="J1264" s="1118"/>
      <c r="K1264" s="1118"/>
      <c r="L1264" s="1118"/>
      <c r="M1264" s="1118"/>
      <c r="N1264" s="1118"/>
      <c r="O1264" s="1118"/>
      <c r="P1264" s="1118"/>
      <c r="Q1264" s="1111"/>
      <c r="R1264" s="1111"/>
      <c r="S1264" s="1111"/>
      <c r="T1264" s="1111"/>
      <c r="U1264" s="1111"/>
      <c r="V1264" s="1111"/>
      <c r="W1264" s="1111"/>
      <c r="X1264" s="1111"/>
      <c r="Y1264" s="1111"/>
      <c r="Z1264" s="1111"/>
      <c r="AA1264" s="1111"/>
      <c r="AB1264" s="1111"/>
      <c r="AC1264" s="1111"/>
      <c r="AD1264" s="1111"/>
      <c r="AE1264" s="1111"/>
      <c r="AF1264" s="1111"/>
      <c r="AG1264" s="1111"/>
    </row>
    <row r="1265" spans="1:33" s="1295" customFormat="1">
      <c r="A1265" s="1264"/>
      <c r="D1265" s="1118"/>
      <c r="E1265" s="1264"/>
      <c r="F1265" s="1118"/>
      <c r="G1265" s="1118"/>
      <c r="H1265" s="1118"/>
      <c r="I1265" s="1118"/>
      <c r="J1265" s="1118"/>
      <c r="K1265" s="1118"/>
      <c r="L1265" s="1118"/>
      <c r="M1265" s="1118"/>
      <c r="N1265" s="1118"/>
      <c r="O1265" s="1118"/>
      <c r="P1265" s="1118"/>
      <c r="Q1265" s="1111"/>
      <c r="R1265" s="1111"/>
      <c r="S1265" s="1111"/>
      <c r="T1265" s="1111"/>
      <c r="U1265" s="1111"/>
      <c r="V1265" s="1111"/>
      <c r="W1265" s="1111"/>
      <c r="X1265" s="1111"/>
      <c r="Y1265" s="1111"/>
      <c r="Z1265" s="1111"/>
      <c r="AA1265" s="1111"/>
      <c r="AB1265" s="1111"/>
      <c r="AC1265" s="1111"/>
      <c r="AD1265" s="1111"/>
      <c r="AE1265" s="1111"/>
      <c r="AF1265" s="1111"/>
      <c r="AG1265" s="1111"/>
    </row>
    <row r="1266" spans="1:33" s="1295" customFormat="1">
      <c r="A1266" s="1264"/>
      <c r="D1266" s="1118"/>
      <c r="E1266" s="1264"/>
      <c r="F1266" s="1118"/>
      <c r="G1266" s="1118"/>
      <c r="H1266" s="1118"/>
      <c r="I1266" s="1118"/>
      <c r="J1266" s="1118"/>
      <c r="K1266" s="1118"/>
      <c r="L1266" s="1118"/>
      <c r="M1266" s="1118"/>
      <c r="N1266" s="1118"/>
      <c r="O1266" s="1118"/>
      <c r="P1266" s="1118"/>
      <c r="Q1266" s="1111"/>
      <c r="R1266" s="1111"/>
      <c r="S1266" s="1111"/>
      <c r="T1266" s="1111"/>
      <c r="U1266" s="1111"/>
      <c r="V1266" s="1111"/>
      <c r="W1266" s="1111"/>
      <c r="X1266" s="1111"/>
      <c r="Y1266" s="1111"/>
      <c r="Z1266" s="1111"/>
      <c r="AA1266" s="1111"/>
      <c r="AB1266" s="1111"/>
      <c r="AC1266" s="1111"/>
      <c r="AD1266" s="1111"/>
      <c r="AE1266" s="1111"/>
      <c r="AF1266" s="1111"/>
      <c r="AG1266" s="1111"/>
    </row>
    <row r="1267" spans="1:33" s="1295" customFormat="1">
      <c r="A1267" s="1264"/>
      <c r="D1267" s="1118"/>
      <c r="E1267" s="1264"/>
      <c r="F1267" s="1118"/>
      <c r="G1267" s="1118"/>
      <c r="H1267" s="1118"/>
      <c r="I1267" s="1118"/>
      <c r="J1267" s="1118"/>
      <c r="K1267" s="1118"/>
      <c r="L1267" s="1118"/>
      <c r="M1267" s="1118"/>
      <c r="N1267" s="1118"/>
      <c r="O1267" s="1118"/>
      <c r="P1267" s="1118"/>
      <c r="Q1267" s="1111"/>
      <c r="R1267" s="1111"/>
      <c r="S1267" s="1111"/>
      <c r="T1267" s="1111"/>
      <c r="U1267" s="1111"/>
      <c r="V1267" s="1111"/>
      <c r="W1267" s="1111"/>
      <c r="X1267" s="1111"/>
      <c r="Y1267" s="1111"/>
      <c r="Z1267" s="1111"/>
      <c r="AA1267" s="1111"/>
      <c r="AB1267" s="1111"/>
      <c r="AC1267" s="1111"/>
      <c r="AD1267" s="1111"/>
      <c r="AE1267" s="1111"/>
      <c r="AF1267" s="1111"/>
      <c r="AG1267" s="1111"/>
    </row>
    <row r="1268" spans="1:33" s="1295" customFormat="1">
      <c r="A1268" s="1264"/>
      <c r="D1268" s="1118"/>
      <c r="E1268" s="1264"/>
      <c r="F1268" s="1118"/>
      <c r="G1268" s="1118"/>
      <c r="H1268" s="1118"/>
      <c r="I1268" s="1118"/>
      <c r="J1268" s="1118"/>
      <c r="K1268" s="1118"/>
      <c r="L1268" s="1118"/>
      <c r="M1268" s="1118"/>
      <c r="N1268" s="1118"/>
      <c r="O1268" s="1118"/>
      <c r="P1268" s="1118"/>
      <c r="Q1268" s="1111"/>
      <c r="R1268" s="1111"/>
      <c r="S1268" s="1111"/>
      <c r="T1268" s="1111"/>
      <c r="U1268" s="1111"/>
      <c r="V1268" s="1111"/>
      <c r="W1268" s="1111"/>
      <c r="X1268" s="1111"/>
      <c r="Y1268" s="1111"/>
      <c r="Z1268" s="1111"/>
      <c r="AA1268" s="1111"/>
      <c r="AB1268" s="1111"/>
      <c r="AC1268" s="1111"/>
      <c r="AD1268" s="1111"/>
      <c r="AE1268" s="1111"/>
      <c r="AF1268" s="1111"/>
      <c r="AG1268" s="1111"/>
    </row>
    <row r="1269" spans="1:33" s="1295" customFormat="1">
      <c r="A1269" s="1264"/>
      <c r="D1269" s="1118"/>
      <c r="E1269" s="1264"/>
      <c r="F1269" s="1118"/>
      <c r="G1269" s="1118"/>
      <c r="H1269" s="1118"/>
      <c r="I1269" s="1118"/>
      <c r="J1269" s="1118"/>
      <c r="K1269" s="1118"/>
      <c r="L1269" s="1118"/>
      <c r="M1269" s="1118"/>
      <c r="N1269" s="1118"/>
      <c r="O1269" s="1118"/>
      <c r="P1269" s="1118"/>
      <c r="Q1269" s="1111"/>
      <c r="R1269" s="1111"/>
      <c r="S1269" s="1111"/>
      <c r="T1269" s="1111"/>
      <c r="U1269" s="1111"/>
      <c r="V1269" s="1111"/>
      <c r="W1269" s="1111"/>
      <c r="X1269" s="1111"/>
      <c r="Y1269" s="1111"/>
      <c r="Z1269" s="1111"/>
      <c r="AA1269" s="1111"/>
      <c r="AB1269" s="1111"/>
      <c r="AC1269" s="1111"/>
      <c r="AD1269" s="1111"/>
      <c r="AE1269" s="1111"/>
      <c r="AF1269" s="1111"/>
      <c r="AG1269" s="1111"/>
    </row>
    <row r="1270" spans="1:33" s="1295" customFormat="1">
      <c r="A1270" s="1264"/>
      <c r="D1270" s="1118"/>
      <c r="E1270" s="1264"/>
      <c r="F1270" s="1118"/>
      <c r="G1270" s="1118"/>
      <c r="H1270" s="1118"/>
      <c r="I1270" s="1118"/>
      <c r="J1270" s="1118"/>
      <c r="K1270" s="1118"/>
      <c r="L1270" s="1118"/>
      <c r="M1270" s="1118"/>
      <c r="N1270" s="1118"/>
      <c r="O1270" s="1118"/>
      <c r="P1270" s="1118"/>
      <c r="Q1270" s="1111"/>
      <c r="R1270" s="1111"/>
      <c r="S1270" s="1111"/>
      <c r="T1270" s="1111"/>
      <c r="U1270" s="1111"/>
      <c r="V1270" s="1111"/>
      <c r="W1270" s="1111"/>
      <c r="X1270" s="1111"/>
      <c r="Y1270" s="1111"/>
      <c r="Z1270" s="1111"/>
      <c r="AA1270" s="1111"/>
      <c r="AB1270" s="1111"/>
      <c r="AC1270" s="1111"/>
      <c r="AD1270" s="1111"/>
      <c r="AE1270" s="1111"/>
      <c r="AF1270" s="1111"/>
      <c r="AG1270" s="1111"/>
    </row>
    <row r="1271" spans="1:33" s="1295" customFormat="1">
      <c r="A1271" s="1264"/>
      <c r="D1271" s="1118"/>
      <c r="E1271" s="1264"/>
      <c r="F1271" s="1118"/>
      <c r="G1271" s="1118"/>
      <c r="H1271" s="1118"/>
      <c r="I1271" s="1118"/>
      <c r="J1271" s="1118"/>
      <c r="K1271" s="1118"/>
      <c r="L1271" s="1118"/>
      <c r="M1271" s="1118"/>
      <c r="N1271" s="1118"/>
      <c r="O1271" s="1118"/>
      <c r="P1271" s="1118"/>
      <c r="Q1271" s="1111"/>
      <c r="R1271" s="1111"/>
      <c r="S1271" s="1111"/>
      <c r="T1271" s="1111"/>
      <c r="U1271" s="1111"/>
      <c r="V1271" s="1111"/>
      <c r="W1271" s="1111"/>
      <c r="X1271" s="1111"/>
      <c r="Y1271" s="1111"/>
      <c r="Z1271" s="1111"/>
      <c r="AA1271" s="1111"/>
      <c r="AB1271" s="1111"/>
      <c r="AC1271" s="1111"/>
      <c r="AD1271" s="1111"/>
      <c r="AE1271" s="1111"/>
      <c r="AF1271" s="1111"/>
      <c r="AG1271" s="1111"/>
    </row>
    <row r="1272" spans="1:33" s="1295" customFormat="1">
      <c r="A1272" s="1264"/>
      <c r="D1272" s="1118"/>
      <c r="E1272" s="1264"/>
      <c r="F1272" s="1118"/>
      <c r="G1272" s="1118"/>
      <c r="H1272" s="1118"/>
      <c r="I1272" s="1118"/>
      <c r="J1272" s="1118"/>
      <c r="K1272" s="1118"/>
      <c r="L1272" s="1118"/>
      <c r="M1272" s="1118"/>
      <c r="N1272" s="1118"/>
      <c r="O1272" s="1118"/>
      <c r="P1272" s="1118"/>
      <c r="Q1272" s="1111"/>
      <c r="R1272" s="1111"/>
      <c r="S1272" s="1111"/>
      <c r="T1272" s="1111"/>
      <c r="U1272" s="1111"/>
      <c r="V1272" s="1111"/>
      <c r="W1272" s="1111"/>
      <c r="X1272" s="1111"/>
      <c r="Y1272" s="1111"/>
      <c r="Z1272" s="1111"/>
      <c r="AA1272" s="1111"/>
      <c r="AB1272" s="1111"/>
      <c r="AC1272" s="1111"/>
      <c r="AD1272" s="1111"/>
      <c r="AE1272" s="1111"/>
      <c r="AF1272" s="1111"/>
      <c r="AG1272" s="1111"/>
    </row>
    <row r="1273" spans="1:33" s="1295" customFormat="1">
      <c r="A1273" s="1264"/>
      <c r="D1273" s="1118"/>
      <c r="E1273" s="1264"/>
      <c r="F1273" s="1118"/>
      <c r="G1273" s="1118"/>
      <c r="H1273" s="1118"/>
      <c r="I1273" s="1118"/>
      <c r="J1273" s="1118"/>
      <c r="K1273" s="1118"/>
      <c r="L1273" s="1118"/>
      <c r="M1273" s="1118"/>
      <c r="N1273" s="1118"/>
      <c r="O1273" s="1118"/>
      <c r="P1273" s="1118"/>
      <c r="Q1273" s="1111"/>
      <c r="R1273" s="1111"/>
      <c r="S1273" s="1111"/>
      <c r="T1273" s="1111"/>
      <c r="U1273" s="1111"/>
      <c r="V1273" s="1111"/>
      <c r="W1273" s="1111"/>
      <c r="X1273" s="1111"/>
      <c r="Y1273" s="1111"/>
      <c r="Z1273" s="1111"/>
      <c r="AA1273" s="1111"/>
      <c r="AB1273" s="1111"/>
      <c r="AC1273" s="1111"/>
      <c r="AD1273" s="1111"/>
      <c r="AE1273" s="1111"/>
      <c r="AF1273" s="1111"/>
      <c r="AG1273" s="1111"/>
    </row>
    <row r="1274" spans="1:33" s="1295" customFormat="1">
      <c r="A1274" s="1264"/>
      <c r="D1274" s="1118"/>
      <c r="E1274" s="1264"/>
      <c r="F1274" s="1118"/>
      <c r="G1274" s="1118"/>
      <c r="H1274" s="1118"/>
      <c r="I1274" s="1118"/>
      <c r="J1274" s="1118"/>
      <c r="K1274" s="1118"/>
      <c r="L1274" s="1118"/>
      <c r="M1274" s="1118"/>
      <c r="N1274" s="1118"/>
      <c r="O1274" s="1118"/>
      <c r="P1274" s="1118"/>
      <c r="Q1274" s="1111"/>
      <c r="R1274" s="1111"/>
      <c r="S1274" s="1111"/>
      <c r="T1274" s="1111"/>
      <c r="U1274" s="1111"/>
      <c r="V1274" s="1111"/>
      <c r="W1274" s="1111"/>
      <c r="X1274" s="1111"/>
      <c r="Y1274" s="1111"/>
      <c r="Z1274" s="1111"/>
      <c r="AA1274" s="1111"/>
      <c r="AB1274" s="1111"/>
      <c r="AC1274" s="1111"/>
      <c r="AD1274" s="1111"/>
      <c r="AE1274" s="1111"/>
      <c r="AF1274" s="1111"/>
      <c r="AG1274" s="1111"/>
    </row>
    <row r="1275" spans="1:33" s="1295" customFormat="1">
      <c r="A1275" s="1264"/>
      <c r="D1275" s="1118"/>
      <c r="E1275" s="1264"/>
      <c r="F1275" s="1118"/>
      <c r="G1275" s="1118"/>
      <c r="H1275" s="1118"/>
      <c r="I1275" s="1118"/>
      <c r="J1275" s="1118"/>
      <c r="K1275" s="1118"/>
      <c r="L1275" s="1118"/>
      <c r="M1275" s="1118"/>
      <c r="N1275" s="1118"/>
      <c r="O1275" s="1118"/>
      <c r="P1275" s="1118"/>
      <c r="Q1275" s="1111"/>
      <c r="R1275" s="1111"/>
      <c r="S1275" s="1111"/>
      <c r="T1275" s="1111"/>
      <c r="U1275" s="1111"/>
      <c r="V1275" s="1111"/>
      <c r="W1275" s="1111"/>
      <c r="X1275" s="1111"/>
      <c r="Y1275" s="1111"/>
      <c r="Z1275" s="1111"/>
      <c r="AA1275" s="1111"/>
      <c r="AB1275" s="1111"/>
      <c r="AC1275" s="1111"/>
      <c r="AD1275" s="1111"/>
      <c r="AE1275" s="1111"/>
      <c r="AF1275" s="1111"/>
      <c r="AG1275" s="1111"/>
    </row>
    <row r="1276" spans="1:33" s="1295" customFormat="1">
      <c r="A1276" s="1264"/>
      <c r="D1276" s="1118"/>
      <c r="E1276" s="1264"/>
      <c r="F1276" s="1118"/>
      <c r="G1276" s="1118"/>
      <c r="H1276" s="1118"/>
      <c r="I1276" s="1118"/>
      <c r="J1276" s="1118"/>
      <c r="K1276" s="1118"/>
      <c r="L1276" s="1118"/>
      <c r="M1276" s="1118"/>
      <c r="N1276" s="1118"/>
      <c r="O1276" s="1118"/>
      <c r="P1276" s="1118"/>
      <c r="Q1276" s="1111"/>
      <c r="R1276" s="1111"/>
      <c r="S1276" s="1111"/>
      <c r="T1276" s="1111"/>
      <c r="U1276" s="1111"/>
      <c r="V1276" s="1111"/>
      <c r="W1276" s="1111"/>
      <c r="X1276" s="1111"/>
      <c r="Y1276" s="1111"/>
      <c r="Z1276" s="1111"/>
      <c r="AA1276" s="1111"/>
      <c r="AB1276" s="1111"/>
      <c r="AC1276" s="1111"/>
      <c r="AD1276" s="1111"/>
      <c r="AE1276" s="1111"/>
      <c r="AF1276" s="1111"/>
      <c r="AG1276" s="1111"/>
    </row>
    <row r="1277" spans="1:33" s="1295" customFormat="1">
      <c r="A1277" s="1264"/>
      <c r="D1277" s="1118"/>
      <c r="E1277" s="1264"/>
      <c r="F1277" s="1118"/>
      <c r="G1277" s="1118"/>
      <c r="H1277" s="1118"/>
      <c r="I1277" s="1118"/>
      <c r="J1277" s="1118"/>
      <c r="K1277" s="1118"/>
      <c r="L1277" s="1118"/>
      <c r="M1277" s="1118"/>
      <c r="N1277" s="1118"/>
      <c r="O1277" s="1118"/>
      <c r="P1277" s="1118"/>
      <c r="Q1277" s="1111"/>
      <c r="R1277" s="1111"/>
      <c r="S1277" s="1111"/>
      <c r="T1277" s="1111"/>
      <c r="U1277" s="1111"/>
      <c r="V1277" s="1111"/>
      <c r="W1277" s="1111"/>
      <c r="X1277" s="1111"/>
      <c r="Y1277" s="1111"/>
      <c r="Z1277" s="1111"/>
      <c r="AA1277" s="1111"/>
      <c r="AB1277" s="1111"/>
      <c r="AC1277" s="1111"/>
      <c r="AD1277" s="1111"/>
      <c r="AE1277" s="1111"/>
      <c r="AF1277" s="1111"/>
      <c r="AG1277" s="1111"/>
    </row>
    <row r="1278" spans="1:33" s="1295" customFormat="1">
      <c r="A1278" s="1264"/>
      <c r="D1278" s="1118"/>
      <c r="E1278" s="1264"/>
      <c r="F1278" s="1118"/>
      <c r="G1278" s="1118"/>
      <c r="H1278" s="1118"/>
      <c r="I1278" s="1118"/>
      <c r="J1278" s="1118"/>
      <c r="K1278" s="1118"/>
      <c r="L1278" s="1118"/>
      <c r="M1278" s="1118"/>
      <c r="N1278" s="1118"/>
      <c r="O1278" s="1118"/>
      <c r="P1278" s="1118"/>
      <c r="Q1278" s="1111"/>
      <c r="R1278" s="1111"/>
      <c r="S1278" s="1111"/>
      <c r="T1278" s="1111"/>
      <c r="U1278" s="1111"/>
      <c r="V1278" s="1111"/>
      <c r="W1278" s="1111"/>
      <c r="X1278" s="1111"/>
      <c r="Y1278" s="1111"/>
      <c r="Z1278" s="1111"/>
      <c r="AA1278" s="1111"/>
      <c r="AB1278" s="1111"/>
      <c r="AC1278" s="1111"/>
      <c r="AD1278" s="1111"/>
      <c r="AE1278" s="1111"/>
      <c r="AF1278" s="1111"/>
      <c r="AG1278" s="1111"/>
    </row>
    <row r="1279" spans="1:33" s="1295" customFormat="1">
      <c r="A1279" s="1264"/>
      <c r="D1279" s="1118"/>
      <c r="E1279" s="1264"/>
      <c r="F1279" s="1118"/>
      <c r="G1279" s="1118"/>
      <c r="H1279" s="1118"/>
      <c r="I1279" s="1118"/>
      <c r="J1279" s="1118"/>
      <c r="K1279" s="1118"/>
      <c r="L1279" s="1118"/>
      <c r="M1279" s="1118"/>
      <c r="N1279" s="1118"/>
      <c r="O1279" s="1118"/>
      <c r="P1279" s="1118"/>
      <c r="Q1279" s="1111"/>
      <c r="R1279" s="1111"/>
      <c r="S1279" s="1111"/>
      <c r="T1279" s="1111"/>
      <c r="U1279" s="1111"/>
      <c r="V1279" s="1111"/>
      <c r="W1279" s="1111"/>
      <c r="X1279" s="1111"/>
      <c r="Y1279" s="1111"/>
      <c r="Z1279" s="1111"/>
      <c r="AA1279" s="1111"/>
      <c r="AB1279" s="1111"/>
      <c r="AC1279" s="1111"/>
      <c r="AD1279" s="1111"/>
      <c r="AE1279" s="1111"/>
      <c r="AF1279" s="1111"/>
      <c r="AG1279" s="1111"/>
    </row>
    <row r="1280" spans="1:33" s="1295" customFormat="1">
      <c r="A1280" s="1264"/>
      <c r="D1280" s="1118"/>
      <c r="E1280" s="1264"/>
      <c r="F1280" s="1118"/>
      <c r="G1280" s="1118"/>
      <c r="H1280" s="1118"/>
      <c r="I1280" s="1118"/>
      <c r="J1280" s="1118"/>
      <c r="K1280" s="1118"/>
      <c r="L1280" s="1118"/>
      <c r="M1280" s="1118"/>
      <c r="N1280" s="1118"/>
      <c r="O1280" s="1118"/>
      <c r="P1280" s="1118"/>
      <c r="Q1280" s="1111"/>
      <c r="R1280" s="1111"/>
      <c r="S1280" s="1111"/>
      <c r="T1280" s="1111"/>
      <c r="U1280" s="1111"/>
      <c r="V1280" s="1111"/>
      <c r="W1280" s="1111"/>
      <c r="X1280" s="1111"/>
      <c r="Y1280" s="1111"/>
      <c r="Z1280" s="1111"/>
      <c r="AA1280" s="1111"/>
      <c r="AB1280" s="1111"/>
      <c r="AC1280" s="1111"/>
      <c r="AD1280" s="1111"/>
      <c r="AE1280" s="1111"/>
      <c r="AF1280" s="1111"/>
      <c r="AG1280" s="1111"/>
    </row>
    <row r="1281" spans="1:33" s="1295" customFormat="1">
      <c r="A1281" s="1264"/>
      <c r="D1281" s="1118"/>
      <c r="E1281" s="1264"/>
      <c r="F1281" s="1118"/>
      <c r="G1281" s="1118"/>
      <c r="H1281" s="1118"/>
      <c r="I1281" s="1118"/>
      <c r="J1281" s="1118"/>
      <c r="K1281" s="1118"/>
      <c r="L1281" s="1118"/>
      <c r="M1281" s="1118"/>
      <c r="N1281" s="1118"/>
      <c r="O1281" s="1118"/>
      <c r="P1281" s="1118"/>
      <c r="Q1281" s="1111"/>
      <c r="R1281" s="1111"/>
      <c r="S1281" s="1111"/>
      <c r="T1281" s="1111"/>
      <c r="U1281" s="1111"/>
      <c r="V1281" s="1111"/>
      <c r="W1281" s="1111"/>
      <c r="X1281" s="1111"/>
      <c r="Y1281" s="1111"/>
      <c r="Z1281" s="1111"/>
      <c r="AA1281" s="1111"/>
      <c r="AB1281" s="1111"/>
      <c r="AC1281" s="1111"/>
      <c r="AD1281" s="1111"/>
      <c r="AE1281" s="1111"/>
      <c r="AF1281" s="1111"/>
      <c r="AG1281" s="1111"/>
    </row>
    <row r="1282" spans="1:33" s="1295" customFormat="1">
      <c r="A1282" s="1264"/>
      <c r="D1282" s="1118"/>
      <c r="E1282" s="1264"/>
      <c r="F1282" s="1118"/>
      <c r="G1282" s="1118"/>
      <c r="H1282" s="1118"/>
      <c r="I1282" s="1118"/>
      <c r="J1282" s="1118"/>
      <c r="K1282" s="1118"/>
      <c r="L1282" s="1118"/>
      <c r="M1282" s="1118"/>
      <c r="N1282" s="1118"/>
      <c r="O1282" s="1118"/>
      <c r="P1282" s="1118"/>
      <c r="Q1282" s="1111"/>
      <c r="R1282" s="1111"/>
      <c r="S1282" s="1111"/>
      <c r="T1282" s="1111"/>
      <c r="U1282" s="1111"/>
      <c r="V1282" s="1111"/>
      <c r="W1282" s="1111"/>
      <c r="X1282" s="1111"/>
      <c r="Y1282" s="1111"/>
      <c r="Z1282" s="1111"/>
      <c r="AA1282" s="1111"/>
      <c r="AB1282" s="1111"/>
      <c r="AC1282" s="1111"/>
      <c r="AD1282" s="1111"/>
      <c r="AE1282" s="1111"/>
      <c r="AF1282" s="1111"/>
      <c r="AG1282" s="1111"/>
    </row>
    <row r="1283" spans="1:33" s="1295" customFormat="1">
      <c r="A1283" s="1264"/>
      <c r="D1283" s="1118"/>
      <c r="E1283" s="1264"/>
      <c r="F1283" s="1118"/>
      <c r="G1283" s="1118"/>
      <c r="H1283" s="1118"/>
      <c r="I1283" s="1118"/>
      <c r="J1283" s="1118"/>
      <c r="K1283" s="1118"/>
      <c r="L1283" s="1118"/>
      <c r="M1283" s="1118"/>
      <c r="N1283" s="1118"/>
      <c r="O1283" s="1118"/>
      <c r="P1283" s="1118"/>
      <c r="Q1283" s="1111"/>
      <c r="R1283" s="1111"/>
      <c r="S1283" s="1111"/>
      <c r="T1283" s="1111"/>
      <c r="U1283" s="1111"/>
      <c r="V1283" s="1111"/>
      <c r="W1283" s="1111"/>
      <c r="X1283" s="1111"/>
      <c r="Y1283" s="1111"/>
      <c r="Z1283" s="1111"/>
      <c r="AA1283" s="1111"/>
      <c r="AB1283" s="1111"/>
      <c r="AC1283" s="1111"/>
      <c r="AD1283" s="1111"/>
      <c r="AE1283" s="1111"/>
      <c r="AF1283" s="1111"/>
      <c r="AG1283" s="1111"/>
    </row>
    <row r="1284" spans="1:33" s="1295" customFormat="1">
      <c r="A1284" s="1264"/>
      <c r="D1284" s="1118"/>
      <c r="E1284" s="1264"/>
      <c r="F1284" s="1118"/>
      <c r="G1284" s="1118"/>
      <c r="H1284" s="1118"/>
      <c r="I1284" s="1118"/>
      <c r="J1284" s="1118"/>
      <c r="K1284" s="1118"/>
      <c r="L1284" s="1118"/>
      <c r="M1284" s="1118"/>
      <c r="N1284" s="1118"/>
      <c r="O1284" s="1118"/>
      <c r="P1284" s="1118"/>
      <c r="Q1284" s="1111"/>
      <c r="R1284" s="1111"/>
      <c r="S1284" s="1111"/>
      <c r="T1284" s="1111"/>
      <c r="U1284" s="1111"/>
      <c r="V1284" s="1111"/>
      <c r="W1284" s="1111"/>
      <c r="X1284" s="1111"/>
      <c r="Y1284" s="1111"/>
      <c r="Z1284" s="1111"/>
      <c r="AA1284" s="1111"/>
      <c r="AB1284" s="1111"/>
      <c r="AC1284" s="1111"/>
      <c r="AD1284" s="1111"/>
      <c r="AE1284" s="1111"/>
      <c r="AF1284" s="1111"/>
      <c r="AG1284" s="1111"/>
    </row>
    <row r="1285" spans="1:33" s="1295" customFormat="1">
      <c r="A1285" s="1264"/>
      <c r="D1285" s="1118"/>
      <c r="E1285" s="1264"/>
      <c r="F1285" s="1118"/>
      <c r="G1285" s="1118"/>
      <c r="H1285" s="1118"/>
      <c r="I1285" s="1118"/>
      <c r="J1285" s="1118"/>
      <c r="K1285" s="1118"/>
      <c r="L1285" s="1118"/>
      <c r="M1285" s="1118"/>
      <c r="N1285" s="1118"/>
      <c r="O1285" s="1118"/>
      <c r="P1285" s="1118"/>
      <c r="Q1285" s="1111"/>
      <c r="R1285" s="1111"/>
      <c r="S1285" s="1111"/>
      <c r="T1285" s="1111"/>
      <c r="U1285" s="1111"/>
      <c r="V1285" s="1111"/>
      <c r="W1285" s="1111"/>
      <c r="X1285" s="1111"/>
      <c r="Y1285" s="1111"/>
      <c r="Z1285" s="1111"/>
      <c r="AA1285" s="1111"/>
      <c r="AB1285" s="1111"/>
      <c r="AC1285" s="1111"/>
      <c r="AD1285" s="1111"/>
      <c r="AE1285" s="1111"/>
      <c r="AF1285" s="1111"/>
      <c r="AG1285" s="1111"/>
    </row>
    <row r="1286" spans="1:33" s="1295" customFormat="1">
      <c r="A1286" s="1264"/>
      <c r="D1286" s="1118"/>
      <c r="E1286" s="1264"/>
      <c r="F1286" s="1118"/>
      <c r="G1286" s="1118"/>
      <c r="H1286" s="1118"/>
      <c r="I1286" s="1118"/>
      <c r="J1286" s="1118"/>
      <c r="K1286" s="1118"/>
      <c r="L1286" s="1118"/>
      <c r="M1286" s="1118"/>
      <c r="N1286" s="1118"/>
      <c r="O1286" s="1118"/>
      <c r="P1286" s="1118"/>
      <c r="Q1286" s="1111"/>
      <c r="R1286" s="1111"/>
      <c r="S1286" s="1111"/>
      <c r="T1286" s="1111"/>
      <c r="U1286" s="1111"/>
      <c r="V1286" s="1111"/>
      <c r="W1286" s="1111"/>
      <c r="X1286" s="1111"/>
      <c r="Y1286" s="1111"/>
      <c r="Z1286" s="1111"/>
      <c r="AA1286" s="1111"/>
      <c r="AB1286" s="1111"/>
      <c r="AC1286" s="1111"/>
      <c r="AD1286" s="1111"/>
      <c r="AE1286" s="1111"/>
      <c r="AF1286" s="1111"/>
      <c r="AG1286" s="1111"/>
    </row>
    <row r="1287" spans="1:33" s="1295" customFormat="1">
      <c r="A1287" s="1264"/>
      <c r="D1287" s="1118"/>
      <c r="E1287" s="1264"/>
      <c r="F1287" s="1118"/>
      <c r="G1287" s="1118"/>
      <c r="H1287" s="1118"/>
      <c r="I1287" s="1118"/>
      <c r="J1287" s="1118"/>
      <c r="K1287" s="1118"/>
      <c r="L1287" s="1118"/>
      <c r="M1287" s="1118"/>
      <c r="N1287" s="1118"/>
      <c r="O1287" s="1118"/>
      <c r="P1287" s="1118"/>
      <c r="Q1287" s="1111"/>
      <c r="R1287" s="1111"/>
      <c r="S1287" s="1111"/>
      <c r="T1287" s="1111"/>
      <c r="U1287" s="1111"/>
      <c r="V1287" s="1111"/>
      <c r="W1287" s="1111"/>
      <c r="X1287" s="1111"/>
      <c r="Y1287" s="1111"/>
      <c r="Z1287" s="1111"/>
      <c r="AA1287" s="1111"/>
      <c r="AB1287" s="1111"/>
      <c r="AC1287" s="1111"/>
      <c r="AD1287" s="1111"/>
      <c r="AE1287" s="1111"/>
      <c r="AF1287" s="1111"/>
      <c r="AG1287" s="1111"/>
    </row>
    <row r="1288" spans="1:33" s="1295" customFormat="1">
      <c r="A1288" s="1264"/>
      <c r="D1288" s="1118"/>
      <c r="E1288" s="1264"/>
      <c r="F1288" s="1118"/>
      <c r="G1288" s="1118"/>
      <c r="H1288" s="1118"/>
      <c r="I1288" s="1118"/>
      <c r="J1288" s="1118"/>
      <c r="K1288" s="1118"/>
      <c r="L1288" s="1118"/>
      <c r="M1288" s="1118"/>
      <c r="N1288" s="1118"/>
      <c r="O1288" s="1118"/>
      <c r="P1288" s="1118"/>
      <c r="Q1288" s="1111"/>
      <c r="R1288" s="1111"/>
      <c r="S1288" s="1111"/>
      <c r="T1288" s="1111"/>
      <c r="U1288" s="1111"/>
      <c r="V1288" s="1111"/>
      <c r="W1288" s="1111"/>
      <c r="X1288" s="1111"/>
      <c r="Y1288" s="1111"/>
      <c r="Z1288" s="1111"/>
      <c r="AA1288" s="1111"/>
      <c r="AB1288" s="1111"/>
      <c r="AC1288" s="1111"/>
      <c r="AD1288" s="1111"/>
      <c r="AE1288" s="1111"/>
      <c r="AF1288" s="1111"/>
      <c r="AG1288" s="1111"/>
    </row>
    <row r="1289" spans="1:33" s="1295" customFormat="1">
      <c r="A1289" s="1264"/>
      <c r="D1289" s="1118"/>
      <c r="E1289" s="1264"/>
      <c r="F1289" s="1118"/>
      <c r="G1289" s="1118"/>
      <c r="H1289" s="1118"/>
      <c r="I1289" s="1118"/>
      <c r="J1289" s="1118"/>
      <c r="K1289" s="1118"/>
      <c r="L1289" s="1118"/>
      <c r="M1289" s="1118"/>
      <c r="N1289" s="1118"/>
      <c r="O1289" s="1118"/>
      <c r="P1289" s="1118"/>
      <c r="Q1289" s="1111"/>
      <c r="R1289" s="1111"/>
      <c r="S1289" s="1111"/>
      <c r="T1289" s="1111"/>
      <c r="U1289" s="1111"/>
      <c r="V1289" s="1111"/>
      <c r="W1289" s="1111"/>
      <c r="X1289" s="1111"/>
      <c r="Y1289" s="1111"/>
      <c r="Z1289" s="1111"/>
      <c r="AA1289" s="1111"/>
      <c r="AB1289" s="1111"/>
      <c r="AC1289" s="1111"/>
      <c r="AD1289" s="1111"/>
      <c r="AE1289" s="1111"/>
      <c r="AF1289" s="1111"/>
      <c r="AG1289" s="1111"/>
    </row>
    <row r="1290" spans="1:33" s="1295" customFormat="1">
      <c r="A1290" s="1264"/>
      <c r="D1290" s="1118"/>
      <c r="E1290" s="1264"/>
      <c r="F1290" s="1118"/>
      <c r="G1290" s="1118"/>
      <c r="H1290" s="1118"/>
      <c r="I1290" s="1118"/>
      <c r="J1290" s="1118"/>
      <c r="K1290" s="1118"/>
      <c r="L1290" s="1118"/>
      <c r="M1290" s="1118"/>
      <c r="N1290" s="1118"/>
      <c r="O1290" s="1118"/>
      <c r="P1290" s="1118"/>
      <c r="Q1290" s="1111"/>
      <c r="R1290" s="1111"/>
      <c r="S1290" s="1111"/>
      <c r="T1290" s="1111"/>
      <c r="U1290" s="1111"/>
      <c r="V1290" s="1111"/>
      <c r="W1290" s="1111"/>
      <c r="X1290" s="1111"/>
      <c r="Y1290" s="1111"/>
      <c r="Z1290" s="1111"/>
      <c r="AA1290" s="1111"/>
      <c r="AB1290" s="1111"/>
      <c r="AC1290" s="1111"/>
      <c r="AD1290" s="1111"/>
      <c r="AE1290" s="1111"/>
      <c r="AF1290" s="1111"/>
      <c r="AG1290" s="1111"/>
    </row>
    <row r="1291" spans="1:33" s="1295" customFormat="1">
      <c r="A1291" s="1264"/>
      <c r="D1291" s="1118"/>
      <c r="E1291" s="1264"/>
      <c r="F1291" s="1118"/>
      <c r="G1291" s="1118"/>
      <c r="H1291" s="1118"/>
      <c r="I1291" s="1118"/>
      <c r="J1291" s="1118"/>
      <c r="K1291" s="1118"/>
      <c r="L1291" s="1118"/>
      <c r="M1291" s="1118"/>
      <c r="N1291" s="1118"/>
      <c r="O1291" s="1118"/>
      <c r="P1291" s="1118"/>
      <c r="Q1291" s="1111"/>
      <c r="R1291" s="1111"/>
      <c r="S1291" s="1111"/>
      <c r="T1291" s="1111"/>
      <c r="U1291" s="1111"/>
      <c r="V1291" s="1111"/>
      <c r="W1291" s="1111"/>
      <c r="X1291" s="1111"/>
      <c r="Y1291" s="1111"/>
      <c r="Z1291" s="1111"/>
      <c r="AA1291" s="1111"/>
      <c r="AB1291" s="1111"/>
      <c r="AC1291" s="1111"/>
      <c r="AD1291" s="1111"/>
      <c r="AE1291" s="1111"/>
      <c r="AF1291" s="1111"/>
      <c r="AG1291" s="1111"/>
    </row>
  </sheetData>
  <mergeCells count="72">
    <mergeCell ref="A157:AG157"/>
    <mergeCell ref="D165:D168"/>
    <mergeCell ref="A124:AG124"/>
    <mergeCell ref="A127:AG127"/>
    <mergeCell ref="D128:D142"/>
    <mergeCell ref="D143:D150"/>
    <mergeCell ref="D151:D152"/>
    <mergeCell ref="A154:AG154"/>
    <mergeCell ref="A123:AG123"/>
    <mergeCell ref="D71:D72"/>
    <mergeCell ref="D73:D74"/>
    <mergeCell ref="D77:D78"/>
    <mergeCell ref="D79:D87"/>
    <mergeCell ref="A89:AG89"/>
    <mergeCell ref="A94:AG94"/>
    <mergeCell ref="D100:D101"/>
    <mergeCell ref="D103:D104"/>
    <mergeCell ref="D106:D107"/>
    <mergeCell ref="D108:D109"/>
    <mergeCell ref="D110:D121"/>
    <mergeCell ref="A41:AG41"/>
    <mergeCell ref="D42:D45"/>
    <mergeCell ref="D46:D50"/>
    <mergeCell ref="D51:D58"/>
    <mergeCell ref="D59:D63"/>
    <mergeCell ref="D65:D68"/>
    <mergeCell ref="AG16:AG17"/>
    <mergeCell ref="A18:AG18"/>
    <mergeCell ref="D20:D21"/>
    <mergeCell ref="D22:D23"/>
    <mergeCell ref="D27:D28"/>
    <mergeCell ref="D32:D33"/>
    <mergeCell ref="AA16:AA17"/>
    <mergeCell ref="AB16:AB17"/>
    <mergeCell ref="AC16:AC17"/>
    <mergeCell ref="AD16:AD17"/>
    <mergeCell ref="AE16:AE17"/>
    <mergeCell ref="AF16:AF17"/>
    <mergeCell ref="U16:U17"/>
    <mergeCell ref="V16:V17"/>
    <mergeCell ref="W16:W17"/>
    <mergeCell ref="X16:X17"/>
    <mergeCell ref="Y16:Y17"/>
    <mergeCell ref="Z16:Z17"/>
    <mergeCell ref="O16:O17"/>
    <mergeCell ref="P16:P17"/>
    <mergeCell ref="Q16:Q17"/>
    <mergeCell ref="R16:R17"/>
    <mergeCell ref="S16:S17"/>
    <mergeCell ref="T16:T17"/>
    <mergeCell ref="N16:N17"/>
    <mergeCell ref="A13:P13"/>
    <mergeCell ref="A15:P15"/>
    <mergeCell ref="A16:A17"/>
    <mergeCell ref="B16:B17"/>
    <mergeCell ref="C16:C17"/>
    <mergeCell ref="D16:D17"/>
    <mergeCell ref="E16:E17"/>
    <mergeCell ref="F16:F17"/>
    <mergeCell ref="G16:G17"/>
    <mergeCell ref="H16:H17"/>
    <mergeCell ref="I16:I17"/>
    <mergeCell ref="J16:J17"/>
    <mergeCell ref="K16:K17"/>
    <mergeCell ref="L16:L17"/>
    <mergeCell ref="M16:M17"/>
    <mergeCell ref="A12:P12"/>
    <mergeCell ref="I5:P5"/>
    <mergeCell ref="I6:P6"/>
    <mergeCell ref="I7:P7"/>
    <mergeCell ref="A10:P10"/>
    <mergeCell ref="A11:P11"/>
  </mergeCells>
  <pageMargins left="0.23622047244094491" right="0.19685039370078738" top="0.35433070866141736" bottom="0.43307086614173229" header="0.31496062992125984" footer="0.31496062992125984"/>
  <pageSetup paperSize="9" scale="55" firstPageNumber="4294967295"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EEB57-4480-4DBE-91F6-9450D97D689A}">
  <dimension ref="A1:CL392"/>
  <sheetViews>
    <sheetView topLeftCell="A10" zoomScale="80" zoomScaleNormal="80" workbookViewId="0">
      <pane xSplit="5" ySplit="4" topLeftCell="F179" activePane="bottomRight" state="frozen"/>
      <selection activeCell="D175" sqref="D175"/>
      <selection pane="topRight" activeCell="D175" sqref="D175"/>
      <selection pane="bottomLeft" activeCell="D175" sqref="D175"/>
      <selection pane="bottomRight" activeCell="D175" sqref="D175"/>
    </sheetView>
  </sheetViews>
  <sheetFormatPr defaultColWidth="14.42578125" defaultRowHeight="12.75" outlineLevelCol="1"/>
  <cols>
    <col min="1" max="2" width="4.7109375" style="336" customWidth="1"/>
    <col min="3" max="3" width="25.85546875" style="336" customWidth="1"/>
    <col min="4" max="4" width="29.85546875" style="594" customWidth="1"/>
    <col min="5" max="5" width="0.140625" style="336" hidden="1" customWidth="1"/>
    <col min="6" max="6" width="13.7109375" style="336" customWidth="1"/>
    <col min="7" max="7" width="12.85546875" style="336" customWidth="1"/>
    <col min="8" max="8" width="13.7109375" style="595" customWidth="1"/>
    <col min="9" max="10" width="8.28515625" style="336" customWidth="1"/>
    <col min="11" max="11" width="13.140625" style="336" customWidth="1"/>
    <col min="12" max="16" width="7.140625" style="336" customWidth="1" outlineLevel="1"/>
    <col min="17" max="17" width="9.140625" style="336" customWidth="1"/>
    <col min="18" max="22" width="7.140625" style="336" customWidth="1" outlineLevel="1"/>
    <col min="23" max="23" width="8.7109375" style="336" customWidth="1"/>
    <col min="24" max="24" width="9.140625" style="336" customWidth="1"/>
    <col min="25" max="25" width="13.7109375" style="336" customWidth="1"/>
    <col min="26" max="26" width="12.140625" style="336" customWidth="1"/>
    <col min="27" max="27" width="8.7109375" style="336" customWidth="1"/>
    <col min="28" max="28" width="11.7109375" style="336" customWidth="1"/>
    <col min="29" max="29" width="8.140625" style="336" customWidth="1"/>
    <col min="30" max="30" width="11" style="336" customWidth="1"/>
    <col min="31" max="31" width="13.28515625" style="336" customWidth="1"/>
    <col min="32" max="32" width="9.7109375" style="336" customWidth="1"/>
    <col min="33" max="33" width="11.42578125" style="336" customWidth="1"/>
    <col min="34" max="34" width="10.140625" style="336" customWidth="1"/>
    <col min="35" max="35" width="12.7109375" style="336" customWidth="1"/>
    <col min="36" max="36" width="9.85546875" style="336" customWidth="1"/>
    <col min="37" max="37" width="12.85546875" style="336" customWidth="1"/>
    <col min="38" max="38" width="10.28515625" style="336" customWidth="1"/>
    <col min="39" max="39" width="14.28515625" style="336" bestFit="1" customWidth="1"/>
    <col min="40" max="40" width="16.140625" style="336" customWidth="1"/>
    <col min="41" max="41" width="14.7109375" style="336" customWidth="1"/>
    <col min="42" max="42" width="14.42578125" style="336" customWidth="1"/>
    <col min="43" max="43" width="14.140625" style="336" customWidth="1"/>
    <col min="44" max="44" width="13.42578125" style="336" customWidth="1"/>
    <col min="45" max="45" width="8.42578125" style="336" customWidth="1"/>
    <col min="46" max="46" width="12.7109375" style="336" customWidth="1"/>
    <col min="47" max="47" width="9.28515625" style="336" hidden="1" customWidth="1"/>
    <col min="48" max="48" width="13.28515625" style="336" hidden="1" customWidth="1"/>
    <col min="49" max="49" width="17.28515625" style="336" customWidth="1"/>
    <col min="50" max="50" width="12.28515625" style="336" customWidth="1"/>
    <col min="51" max="51" width="11.5703125" style="336" customWidth="1"/>
    <col min="52" max="52" width="14.7109375" style="336" customWidth="1"/>
    <col min="53" max="53" width="13.5703125" style="336" customWidth="1"/>
    <col min="54" max="54" width="14.42578125" style="336" customWidth="1"/>
    <col min="55" max="55" width="13.140625" style="336" customWidth="1"/>
    <col min="56" max="64" width="16.140625" style="336" customWidth="1"/>
    <col min="65" max="65" width="18.5703125" style="336" customWidth="1"/>
    <col min="66" max="66" width="11.42578125" style="578" customWidth="1"/>
    <col min="67" max="67" width="16.7109375" style="336" customWidth="1"/>
    <col min="68" max="87" width="16" style="336" customWidth="1"/>
    <col min="88" max="16384" width="14.42578125" style="336"/>
  </cols>
  <sheetData>
    <row r="1" spans="1:87" ht="15.75">
      <c r="A1" s="330"/>
      <c r="B1" s="330"/>
      <c r="C1" s="331"/>
      <c r="D1" s="331"/>
      <c r="E1" s="330"/>
      <c r="F1" s="330"/>
      <c r="G1" s="330"/>
      <c r="H1" s="332"/>
      <c r="I1" s="330"/>
      <c r="J1" s="330"/>
      <c r="K1" s="330"/>
      <c r="L1" s="330"/>
      <c r="M1" s="330"/>
      <c r="N1" s="330"/>
      <c r="O1" s="330"/>
      <c r="P1" s="330"/>
      <c r="Q1" s="330"/>
      <c r="R1" s="330"/>
      <c r="S1" s="330"/>
      <c r="T1" s="330"/>
      <c r="U1" s="330"/>
      <c r="V1" s="330"/>
      <c r="W1" s="330"/>
      <c r="X1" s="330"/>
      <c r="Y1" s="330"/>
      <c r="Z1" s="330"/>
      <c r="AA1" s="330"/>
      <c r="AB1" s="330"/>
      <c r="AC1" s="330"/>
      <c r="AD1" s="333"/>
      <c r="AE1" s="330"/>
      <c r="AF1" s="330"/>
      <c r="AG1" s="330"/>
      <c r="AH1" s="330"/>
      <c r="AI1" s="330"/>
      <c r="AJ1" s="330"/>
      <c r="AK1" s="330"/>
      <c r="AL1" s="330"/>
      <c r="AM1" s="330"/>
      <c r="AN1" s="330"/>
      <c r="AO1" s="330"/>
      <c r="AP1" s="330"/>
      <c r="AQ1" s="334"/>
      <c r="AR1" s="334"/>
      <c r="AS1" s="334"/>
      <c r="AT1" s="334"/>
      <c r="AU1" s="334"/>
      <c r="AV1" s="334"/>
      <c r="AW1" s="334"/>
      <c r="AX1" s="334"/>
      <c r="AY1" s="334"/>
      <c r="AZ1" s="334"/>
      <c r="BA1" s="334"/>
      <c r="BB1" s="334"/>
      <c r="BC1" s="334"/>
      <c r="BD1" s="334"/>
      <c r="BE1" s="334"/>
      <c r="BF1" s="334"/>
      <c r="BG1" s="334"/>
      <c r="BH1" s="334"/>
      <c r="BI1" s="334"/>
      <c r="BJ1" s="334"/>
      <c r="BK1" s="334"/>
      <c r="BL1" s="334"/>
      <c r="BM1" s="334"/>
      <c r="BN1" s="335"/>
      <c r="BO1" s="334"/>
      <c r="BP1" s="334"/>
      <c r="BQ1" s="334"/>
      <c r="BR1" s="334"/>
      <c r="BS1" s="334"/>
      <c r="BT1" s="334"/>
      <c r="BU1" s="334"/>
      <c r="BV1" s="334"/>
      <c r="BW1" s="334"/>
      <c r="BX1" s="334"/>
      <c r="BY1" s="334"/>
      <c r="BZ1" s="334"/>
      <c r="CA1" s="334"/>
      <c r="CB1" s="334"/>
      <c r="CC1" s="334"/>
      <c r="CD1" s="334"/>
      <c r="CE1" s="334"/>
      <c r="CF1" s="334"/>
      <c r="CG1" s="334"/>
      <c r="CH1" s="334"/>
      <c r="CI1" s="334"/>
    </row>
    <row r="2" spans="1:87" ht="15.75">
      <c r="A2" s="337"/>
      <c r="B2" s="337"/>
      <c r="C2" s="338"/>
      <c r="D2" s="338"/>
      <c r="E2" s="339"/>
      <c r="F2" s="337"/>
      <c r="G2" s="340"/>
      <c r="H2" s="341"/>
      <c r="I2" s="342"/>
      <c r="J2" s="342"/>
      <c r="K2" s="342"/>
      <c r="L2" s="342"/>
      <c r="M2" s="342"/>
      <c r="N2" s="342"/>
      <c r="O2" s="342"/>
      <c r="P2" s="342"/>
      <c r="Q2" s="342"/>
      <c r="R2" s="342"/>
      <c r="S2" s="342"/>
      <c r="T2" s="342"/>
      <c r="U2" s="342"/>
      <c r="V2" s="342"/>
      <c r="W2" s="342"/>
      <c r="X2" s="342"/>
      <c r="Y2" s="342"/>
      <c r="Z2" s="342"/>
      <c r="AA2" s="342"/>
      <c r="AB2" s="343"/>
      <c r="AC2" s="337"/>
      <c r="AD2" s="333"/>
      <c r="AE2" s="330"/>
      <c r="AF2" s="330"/>
      <c r="AG2" s="330"/>
      <c r="AH2" s="330"/>
      <c r="AI2" s="330"/>
      <c r="AJ2" s="330"/>
      <c r="AK2" s="330"/>
      <c r="AL2" s="330"/>
      <c r="AM2" s="330"/>
      <c r="AN2" s="330"/>
      <c r="AO2" s="330"/>
      <c r="AP2" s="330"/>
      <c r="AQ2" s="334"/>
      <c r="AR2" s="334"/>
      <c r="AS2" s="334"/>
      <c r="AT2" s="334"/>
      <c r="AU2" s="334"/>
      <c r="AV2" s="334"/>
      <c r="AW2" s="334"/>
      <c r="AX2" s="334"/>
      <c r="AY2" s="334"/>
      <c r="AZ2" s="334"/>
      <c r="BA2" s="334"/>
      <c r="BB2" s="334"/>
      <c r="BC2" s="334"/>
      <c r="BD2" s="334"/>
      <c r="BE2" s="334"/>
      <c r="BF2" s="334"/>
      <c r="BG2" s="334"/>
      <c r="BH2" s="334"/>
      <c r="BI2" s="334"/>
      <c r="BJ2" s="334"/>
      <c r="BK2" s="334"/>
      <c r="BL2" s="334"/>
      <c r="BM2" s="334"/>
      <c r="BN2" s="335"/>
      <c r="BO2" s="334"/>
      <c r="BP2" s="334"/>
      <c r="BQ2" s="334"/>
      <c r="BR2" s="334"/>
      <c r="BS2" s="334"/>
      <c r="BT2" s="334"/>
      <c r="BU2" s="334"/>
      <c r="BV2" s="334"/>
      <c r="BW2" s="334"/>
      <c r="BX2" s="334"/>
      <c r="BY2" s="334"/>
      <c r="BZ2" s="334"/>
      <c r="CA2" s="334"/>
      <c r="CB2" s="334"/>
      <c r="CC2" s="334"/>
      <c r="CD2" s="334"/>
      <c r="CE2" s="334"/>
      <c r="CF2" s="334"/>
      <c r="CG2" s="334"/>
      <c r="CH2" s="334"/>
      <c r="CI2" s="334"/>
    </row>
    <row r="3" spans="1:87" ht="22.5">
      <c r="A3" s="1488"/>
      <c r="B3" s="1488"/>
      <c r="C3" s="1488"/>
      <c r="D3" s="1488"/>
      <c r="E3" s="1488"/>
      <c r="F3" s="1488"/>
      <c r="G3" s="1488"/>
      <c r="H3" s="1488"/>
      <c r="I3" s="1488"/>
      <c r="J3" s="344"/>
      <c r="K3" s="344"/>
      <c r="L3" s="344"/>
      <c r="M3" s="345"/>
      <c r="N3" s="345"/>
      <c r="O3" s="345"/>
      <c r="P3" s="1489" t="s">
        <v>935</v>
      </c>
      <c r="Q3" s="1490"/>
      <c r="R3" s="1490"/>
      <c r="S3" s="1490"/>
      <c r="T3" s="1490"/>
      <c r="U3" s="1490"/>
      <c r="V3" s="1490"/>
      <c r="W3" s="1490"/>
      <c r="X3" s="1490"/>
      <c r="Y3" s="1490"/>
      <c r="Z3" s="1490"/>
      <c r="AA3" s="1490"/>
      <c r="AB3" s="1490"/>
      <c r="AC3" s="340"/>
      <c r="AD3" s="333"/>
      <c r="AE3" s="330"/>
      <c r="AF3" s="330"/>
      <c r="AG3" s="330"/>
      <c r="AH3" s="330"/>
      <c r="AI3" s="330"/>
      <c r="AJ3" s="330"/>
      <c r="AK3" s="330"/>
      <c r="AL3" s="330"/>
      <c r="AM3" s="330"/>
      <c r="AN3" s="330"/>
      <c r="AO3" s="330"/>
      <c r="AP3" s="330"/>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5"/>
      <c r="BO3" s="334"/>
      <c r="BP3" s="334"/>
      <c r="BQ3" s="334"/>
      <c r="BR3" s="334"/>
      <c r="BS3" s="334"/>
      <c r="BT3" s="334"/>
      <c r="BU3" s="334"/>
      <c r="BV3" s="334"/>
      <c r="BW3" s="334"/>
      <c r="BX3" s="334"/>
      <c r="BY3" s="334"/>
      <c r="BZ3" s="334"/>
      <c r="CA3" s="334"/>
      <c r="CB3" s="334"/>
      <c r="CC3" s="334"/>
      <c r="CD3" s="334"/>
      <c r="CE3" s="334"/>
      <c r="CF3" s="334"/>
      <c r="CG3" s="334"/>
      <c r="CH3" s="334"/>
      <c r="CI3" s="334"/>
    </row>
    <row r="4" spans="1:87" ht="22.5">
      <c r="A4" s="1488"/>
      <c r="B4" s="1488"/>
      <c r="C4" s="1488"/>
      <c r="D4" s="1488"/>
      <c r="E4" s="1488"/>
      <c r="F4" s="1488"/>
      <c r="G4" s="1488"/>
      <c r="H4" s="1488"/>
      <c r="I4" s="1488"/>
      <c r="J4" s="344"/>
      <c r="K4" s="344"/>
      <c r="L4" s="344"/>
      <c r="M4" s="345"/>
      <c r="N4" s="345"/>
      <c r="O4" s="345"/>
      <c r="P4" s="1490"/>
      <c r="Q4" s="1490"/>
      <c r="R4" s="1490"/>
      <c r="S4" s="1490"/>
      <c r="T4" s="1490"/>
      <c r="U4" s="1490"/>
      <c r="V4" s="1490"/>
      <c r="W4" s="1490"/>
      <c r="X4" s="1490"/>
      <c r="Y4" s="1490"/>
      <c r="Z4" s="1490"/>
      <c r="AA4" s="1490"/>
      <c r="AB4" s="1490"/>
      <c r="AC4" s="340"/>
      <c r="AD4" s="333"/>
      <c r="AE4" s="330"/>
      <c r="AF4" s="330"/>
      <c r="AG4" s="330"/>
      <c r="AH4" s="330"/>
      <c r="AI4" s="330"/>
      <c r="AJ4" s="330"/>
      <c r="AK4" s="330"/>
      <c r="AL4" s="330"/>
      <c r="AM4" s="330"/>
      <c r="AN4" s="330"/>
      <c r="AO4" s="330"/>
      <c r="AP4" s="330"/>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5"/>
      <c r="BO4" s="334"/>
      <c r="BP4" s="334"/>
      <c r="BQ4" s="334"/>
      <c r="BR4" s="334"/>
      <c r="BS4" s="334"/>
      <c r="BT4" s="334"/>
      <c r="BU4" s="334"/>
      <c r="BV4" s="334"/>
      <c r="BW4" s="334"/>
      <c r="BX4" s="334"/>
      <c r="BY4" s="334"/>
      <c r="BZ4" s="334"/>
      <c r="CA4" s="334"/>
      <c r="CB4" s="334"/>
      <c r="CC4" s="334"/>
      <c r="CD4" s="334"/>
      <c r="CE4" s="334"/>
      <c r="CF4" s="334"/>
      <c r="CG4" s="334"/>
      <c r="CH4" s="334"/>
      <c r="CI4" s="334"/>
    </row>
    <row r="5" spans="1:87" ht="26.25" customHeight="1">
      <c r="A5" s="1491"/>
      <c r="B5" s="1491"/>
      <c r="C5" s="1491"/>
      <c r="D5" s="1491"/>
      <c r="E5" s="1491"/>
      <c r="F5" s="1491"/>
      <c r="G5" s="1491"/>
      <c r="H5" s="1491"/>
      <c r="I5" s="1491"/>
      <c r="J5" s="344"/>
      <c r="K5" s="344"/>
      <c r="L5" s="344"/>
      <c r="M5" s="345"/>
      <c r="N5" s="345"/>
      <c r="O5" s="345"/>
      <c r="P5" s="1489" t="s">
        <v>936</v>
      </c>
      <c r="Q5" s="1490"/>
      <c r="R5" s="1490"/>
      <c r="S5" s="1490"/>
      <c r="T5" s="1490"/>
      <c r="U5" s="1490"/>
      <c r="V5" s="1490"/>
      <c r="W5" s="1490"/>
      <c r="X5" s="1490"/>
      <c r="Y5" s="1490"/>
      <c r="Z5" s="1490"/>
      <c r="AA5" s="1490"/>
      <c r="AB5" s="1490"/>
      <c r="AC5" s="340"/>
      <c r="AD5" s="333"/>
      <c r="AE5" s="330"/>
      <c r="AF5" s="330"/>
      <c r="AG5" s="330"/>
      <c r="AH5" s="330"/>
      <c r="AI5" s="330"/>
      <c r="AJ5" s="330"/>
      <c r="AK5" s="330"/>
      <c r="AL5" s="330"/>
      <c r="AM5" s="330"/>
      <c r="AN5" s="330"/>
      <c r="AO5" s="330"/>
      <c r="AP5" s="330"/>
      <c r="AQ5" s="334"/>
      <c r="AR5" s="334"/>
      <c r="AS5" s="334"/>
      <c r="AT5" s="334"/>
      <c r="AU5" s="334"/>
      <c r="AV5" s="334"/>
      <c r="AW5" s="334"/>
      <c r="AX5" s="334"/>
      <c r="AY5" s="334"/>
      <c r="AZ5" s="334"/>
      <c r="BA5" s="334"/>
      <c r="BB5" s="334"/>
      <c r="BC5" s="334"/>
      <c r="BD5" s="334"/>
      <c r="BE5" s="334"/>
      <c r="BF5" s="334"/>
      <c r="BG5" s="334"/>
      <c r="BH5" s="334"/>
      <c r="BI5" s="334"/>
      <c r="BJ5" s="334"/>
      <c r="BK5" s="334"/>
      <c r="BL5" s="334"/>
      <c r="BM5" s="334"/>
      <c r="BN5" s="335"/>
      <c r="BO5" s="334"/>
      <c r="BP5" s="334"/>
      <c r="BQ5" s="334"/>
      <c r="BR5" s="334"/>
      <c r="BS5" s="334"/>
      <c r="BT5" s="334"/>
      <c r="BU5" s="334"/>
      <c r="BV5" s="334"/>
      <c r="BW5" s="334"/>
      <c r="BX5" s="334"/>
      <c r="BY5" s="334"/>
      <c r="BZ5" s="334"/>
      <c r="CA5" s="334"/>
      <c r="CB5" s="334"/>
      <c r="CC5" s="334"/>
      <c r="CD5" s="334"/>
      <c r="CE5" s="334"/>
      <c r="CF5" s="334"/>
      <c r="CG5" s="334"/>
      <c r="CH5" s="334"/>
      <c r="CI5" s="334"/>
    </row>
    <row r="6" spans="1:87" ht="27" customHeight="1">
      <c r="A6" s="1492"/>
      <c r="B6" s="1492"/>
      <c r="C6" s="1492"/>
      <c r="D6" s="1492"/>
      <c r="E6" s="1492"/>
      <c r="F6" s="1492"/>
      <c r="G6" s="1492"/>
      <c r="H6" s="1492"/>
      <c r="I6" s="1492"/>
      <c r="J6" s="345"/>
      <c r="K6" s="345"/>
      <c r="L6" s="345"/>
      <c r="M6" s="345"/>
      <c r="N6" s="345"/>
      <c r="O6" s="345"/>
      <c r="P6" s="1489" t="s">
        <v>937</v>
      </c>
      <c r="Q6" s="1490"/>
      <c r="R6" s="1490"/>
      <c r="S6" s="1490"/>
      <c r="T6" s="1490"/>
      <c r="U6" s="1490"/>
      <c r="V6" s="1490"/>
      <c r="W6" s="1490"/>
      <c r="X6" s="1490"/>
      <c r="Y6" s="1490"/>
      <c r="Z6" s="1490"/>
      <c r="AA6" s="1490"/>
      <c r="AB6" s="1490"/>
      <c r="AC6" s="340"/>
      <c r="AD6" s="333"/>
      <c r="AE6" s="330"/>
      <c r="AF6" s="330"/>
      <c r="AG6" s="330"/>
      <c r="AH6" s="330"/>
      <c r="AI6" s="330"/>
      <c r="AJ6" s="330"/>
      <c r="AK6" s="330"/>
      <c r="AL6" s="330"/>
      <c r="AM6" s="330"/>
      <c r="AN6" s="330"/>
      <c r="AO6" s="330"/>
      <c r="AP6" s="330"/>
      <c r="AQ6" s="334"/>
      <c r="AR6" s="334"/>
      <c r="AS6" s="334"/>
      <c r="AT6" s="334"/>
      <c r="AU6" s="334"/>
      <c r="AV6" s="334"/>
      <c r="AW6" s="334"/>
      <c r="AX6" s="334"/>
      <c r="AY6" s="334"/>
      <c r="AZ6" s="334"/>
      <c r="BA6" s="334"/>
      <c r="BB6" s="334"/>
      <c r="BC6" s="334"/>
      <c r="BD6" s="334"/>
      <c r="BE6" s="334"/>
      <c r="BF6" s="334"/>
      <c r="BG6" s="334"/>
      <c r="BH6" s="334"/>
      <c r="BI6" s="334"/>
      <c r="BJ6" s="334"/>
      <c r="BK6" s="334"/>
      <c r="BL6" s="334"/>
      <c r="BM6" s="334"/>
      <c r="BN6" s="335"/>
      <c r="BO6" s="334"/>
      <c r="BP6" s="334"/>
      <c r="BQ6" s="334"/>
      <c r="BR6" s="334"/>
      <c r="BS6" s="334"/>
      <c r="BT6" s="334"/>
      <c r="BU6" s="334"/>
      <c r="BV6" s="334"/>
      <c r="BW6" s="334"/>
      <c r="BX6" s="334"/>
      <c r="BY6" s="334"/>
      <c r="BZ6" s="334"/>
      <c r="CA6" s="334"/>
      <c r="CB6" s="334"/>
      <c r="CC6" s="334"/>
      <c r="CD6" s="334"/>
      <c r="CE6" s="334"/>
      <c r="CF6" s="334"/>
      <c r="CG6" s="334"/>
      <c r="CH6" s="334"/>
      <c r="CI6" s="334"/>
    </row>
    <row r="7" spans="1:87" ht="23.25">
      <c r="A7" s="1492"/>
      <c r="B7" s="1492"/>
      <c r="C7" s="1492"/>
      <c r="D7" s="1492"/>
      <c r="E7" s="1492"/>
      <c r="F7" s="1492"/>
      <c r="G7" s="1492"/>
      <c r="H7" s="1492"/>
      <c r="I7" s="1492"/>
      <c r="J7" s="345"/>
      <c r="K7" s="345"/>
      <c r="L7" s="345"/>
      <c r="M7" s="345"/>
      <c r="N7" s="345"/>
      <c r="O7" s="346"/>
      <c r="P7" s="1489" t="s">
        <v>938</v>
      </c>
      <c r="Q7" s="1489"/>
      <c r="R7" s="1489"/>
      <c r="S7" s="1489"/>
      <c r="T7" s="1489"/>
      <c r="U7" s="1489"/>
      <c r="V7" s="1489"/>
      <c r="W7" s="1489"/>
      <c r="X7" s="1489"/>
      <c r="Y7" s="1489"/>
      <c r="Z7" s="1489"/>
      <c r="AA7" s="1489"/>
      <c r="AB7" s="1489"/>
      <c r="AC7" s="1107"/>
      <c r="AD7" s="333"/>
      <c r="AE7" s="330"/>
      <c r="AF7" s="330"/>
      <c r="AG7" s="330"/>
      <c r="AH7" s="330"/>
      <c r="AI7" s="330"/>
      <c r="AJ7" s="330"/>
      <c r="AK7" s="330"/>
      <c r="AL7" s="330"/>
      <c r="AM7" s="330"/>
      <c r="AN7" s="330"/>
      <c r="AO7" s="330"/>
      <c r="AP7" s="330"/>
      <c r="AQ7" s="334"/>
      <c r="AR7" s="334"/>
      <c r="AS7" s="334"/>
      <c r="AT7" s="334"/>
      <c r="AU7" s="334"/>
      <c r="AV7" s="334"/>
      <c r="AW7" s="334"/>
      <c r="AX7" s="334"/>
      <c r="AY7" s="334"/>
      <c r="AZ7" s="334"/>
      <c r="BA7" s="334"/>
      <c r="BB7" s="334"/>
      <c r="BC7" s="334"/>
      <c r="BD7" s="334"/>
      <c r="BE7" s="334"/>
      <c r="BF7" s="334"/>
      <c r="BG7" s="334"/>
      <c r="BH7" s="334"/>
      <c r="BI7" s="334"/>
      <c r="BJ7" s="334"/>
      <c r="BK7" s="334"/>
      <c r="BL7" s="334"/>
      <c r="BM7" s="334"/>
      <c r="BN7" s="335"/>
      <c r="BO7" s="334"/>
      <c r="BP7" s="334"/>
      <c r="BQ7" s="334"/>
      <c r="BR7" s="334"/>
      <c r="BS7" s="334"/>
      <c r="BT7" s="334"/>
      <c r="BU7" s="334"/>
      <c r="BV7" s="334"/>
      <c r="BW7" s="334"/>
      <c r="BX7" s="334"/>
      <c r="BY7" s="334"/>
      <c r="BZ7" s="334"/>
      <c r="CA7" s="334"/>
      <c r="CB7" s="334"/>
      <c r="CC7" s="334"/>
      <c r="CD7" s="334"/>
      <c r="CE7" s="334"/>
      <c r="CF7" s="334"/>
      <c r="CG7" s="334"/>
      <c r="CH7" s="334"/>
      <c r="CI7" s="334"/>
    </row>
    <row r="8" spans="1:87" ht="26.25" customHeight="1">
      <c r="A8" s="1492"/>
      <c r="B8" s="1492"/>
      <c r="C8" s="1492"/>
      <c r="D8" s="1492"/>
      <c r="E8" s="1492"/>
      <c r="F8" s="1492"/>
      <c r="G8" s="1492"/>
      <c r="H8" s="1492"/>
      <c r="I8" s="1492"/>
      <c r="J8" s="345"/>
      <c r="K8" s="345"/>
      <c r="L8" s="345"/>
      <c r="M8" s="345"/>
      <c r="N8" s="345"/>
      <c r="O8" s="346"/>
      <c r="P8" s="1489" t="s">
        <v>2452</v>
      </c>
      <c r="Q8" s="1489"/>
      <c r="R8" s="1489"/>
      <c r="S8" s="1489"/>
      <c r="T8" s="1489"/>
      <c r="U8" s="1489"/>
      <c r="V8" s="1489"/>
      <c r="W8" s="1489"/>
      <c r="X8" s="1489"/>
      <c r="Y8" s="1489"/>
      <c r="Z8" s="1489"/>
      <c r="AA8" s="1489"/>
      <c r="AB8" s="1489"/>
      <c r="AC8" s="1107"/>
      <c r="AD8" s="333"/>
      <c r="AE8" s="330"/>
      <c r="AF8" s="330"/>
      <c r="AG8" s="330"/>
      <c r="AH8" s="330"/>
      <c r="AI8" s="330"/>
      <c r="AJ8" s="330"/>
      <c r="AK8" s="330"/>
      <c r="AL8" s="330"/>
      <c r="AM8" s="330"/>
      <c r="AN8" s="330"/>
      <c r="AO8" s="330"/>
      <c r="AP8" s="330"/>
      <c r="AQ8" s="334"/>
      <c r="AR8" s="334"/>
      <c r="AS8" s="334"/>
      <c r="AT8" s="334"/>
      <c r="AU8" s="334"/>
      <c r="AV8" s="334"/>
      <c r="AW8" s="334"/>
      <c r="AX8" s="334"/>
      <c r="AY8" s="334"/>
      <c r="AZ8" s="334"/>
      <c r="BA8" s="334"/>
      <c r="BB8" s="334"/>
      <c r="BC8" s="334"/>
      <c r="BD8" s="334"/>
      <c r="BE8" s="334"/>
      <c r="BF8" s="334"/>
      <c r="BG8" s="334"/>
      <c r="BH8" s="334"/>
      <c r="BI8" s="334"/>
      <c r="BJ8" s="334"/>
      <c r="BK8" s="334"/>
      <c r="BL8" s="334"/>
      <c r="BM8" s="334"/>
      <c r="BN8" s="335"/>
      <c r="BO8" s="334"/>
      <c r="BP8" s="334"/>
      <c r="BQ8" s="334"/>
      <c r="BR8" s="334"/>
      <c r="BS8" s="334"/>
      <c r="BT8" s="334"/>
      <c r="BU8" s="334"/>
      <c r="BV8" s="334"/>
      <c r="BW8" s="334"/>
      <c r="BX8" s="334"/>
      <c r="BY8" s="334"/>
      <c r="BZ8" s="334"/>
      <c r="CA8" s="334"/>
      <c r="CB8" s="334"/>
      <c r="CC8" s="334"/>
      <c r="CD8" s="334"/>
      <c r="CE8" s="334"/>
      <c r="CF8" s="334"/>
      <c r="CG8" s="334"/>
      <c r="CH8" s="334"/>
      <c r="CI8" s="334"/>
    </row>
    <row r="9" spans="1:87" ht="29.25" customHeight="1">
      <c r="A9" s="1487" t="s">
        <v>1396</v>
      </c>
      <c r="B9" s="1487"/>
      <c r="C9" s="1487"/>
      <c r="D9" s="1487"/>
      <c r="E9" s="1487"/>
      <c r="F9" s="1487"/>
      <c r="G9" s="1487"/>
      <c r="H9" s="1487"/>
      <c r="I9" s="1487"/>
      <c r="J9" s="1487"/>
      <c r="K9" s="1487"/>
      <c r="L9" s="1487"/>
      <c r="M9" s="1487"/>
      <c r="N9" s="1487"/>
      <c r="O9" s="1487"/>
      <c r="P9" s="1487"/>
      <c r="Q9" s="1487"/>
      <c r="R9" s="1487"/>
      <c r="S9" s="1487"/>
      <c r="T9" s="1487"/>
      <c r="U9" s="1487"/>
      <c r="V9" s="1487"/>
      <c r="W9" s="1487"/>
      <c r="X9" s="1487"/>
      <c r="Y9" s="1487"/>
      <c r="Z9" s="1487"/>
      <c r="AA9" s="1487"/>
      <c r="AB9" s="1487"/>
      <c r="AC9" s="347"/>
      <c r="AD9" s="333"/>
      <c r="AE9" s="330"/>
      <c r="AF9" s="330"/>
      <c r="AG9" s="330"/>
      <c r="AH9" s="330"/>
      <c r="AI9" s="330"/>
      <c r="AJ9" s="330"/>
      <c r="AK9" s="330"/>
      <c r="AL9" s="330"/>
      <c r="AM9" s="330"/>
      <c r="AN9" s="330"/>
      <c r="AO9" s="330"/>
      <c r="AP9" s="330"/>
      <c r="AQ9" s="334"/>
      <c r="AR9" s="334"/>
      <c r="AS9" s="334"/>
      <c r="AT9" s="334"/>
      <c r="AU9" s="334"/>
      <c r="AV9" s="334"/>
      <c r="AW9" s="334"/>
      <c r="AX9" s="334"/>
      <c r="AY9" s="334"/>
      <c r="AZ9" s="334"/>
      <c r="BA9" s="334"/>
      <c r="BB9" s="334"/>
      <c r="BC9" s="334"/>
      <c r="BD9" s="334"/>
      <c r="BE9" s="334"/>
      <c r="BF9" s="334"/>
      <c r="BG9" s="334"/>
      <c r="BH9" s="334"/>
      <c r="BI9" s="334"/>
      <c r="BJ9" s="334"/>
      <c r="BK9" s="334"/>
      <c r="BL9" s="334"/>
      <c r="BM9" s="334"/>
      <c r="BN9" s="335"/>
      <c r="BO9" s="334"/>
      <c r="BP9" s="334"/>
      <c r="BQ9" s="334"/>
      <c r="BR9" s="334"/>
      <c r="BS9" s="334"/>
      <c r="BT9" s="334"/>
      <c r="BU9" s="334"/>
      <c r="BV9" s="334"/>
      <c r="BW9" s="334"/>
      <c r="BX9" s="334"/>
      <c r="BY9" s="334"/>
      <c r="BZ9" s="334"/>
      <c r="CA9" s="334"/>
      <c r="CB9" s="334"/>
      <c r="CC9" s="334"/>
      <c r="CD9" s="334"/>
      <c r="CE9" s="334"/>
      <c r="CF9" s="334"/>
      <c r="CG9" s="334"/>
      <c r="CH9" s="334"/>
      <c r="CI9" s="334"/>
    </row>
    <row r="10" spans="1:87" ht="28.5" customHeight="1">
      <c r="A10" s="1487" t="s">
        <v>1397</v>
      </c>
      <c r="B10" s="1487"/>
      <c r="C10" s="1487"/>
      <c r="D10" s="1487"/>
      <c r="E10" s="1487"/>
      <c r="F10" s="1487"/>
      <c r="G10" s="1487"/>
      <c r="H10" s="1487"/>
      <c r="I10" s="1487"/>
      <c r="J10" s="1487"/>
      <c r="K10" s="1487"/>
      <c r="L10" s="1487"/>
      <c r="M10" s="1487"/>
      <c r="N10" s="1487"/>
      <c r="O10" s="1487"/>
      <c r="P10" s="1487"/>
      <c r="Q10" s="1487"/>
      <c r="R10" s="1487"/>
      <c r="S10" s="1487"/>
      <c r="T10" s="1487"/>
      <c r="U10" s="1487"/>
      <c r="V10" s="1487"/>
      <c r="W10" s="1487"/>
      <c r="X10" s="1487"/>
      <c r="Y10" s="1487"/>
      <c r="Z10" s="1487"/>
      <c r="AA10" s="1487"/>
      <c r="AB10" s="1487"/>
      <c r="AC10" s="348"/>
      <c r="AD10" s="333"/>
      <c r="AE10" s="330"/>
      <c r="AF10" s="330"/>
      <c r="AG10" s="330"/>
      <c r="AH10" s="330"/>
      <c r="AI10" s="330"/>
      <c r="AJ10" s="330"/>
      <c r="AK10" s="330"/>
      <c r="AL10" s="330"/>
      <c r="AM10" s="330"/>
      <c r="AN10" s="330"/>
      <c r="AO10" s="330"/>
      <c r="AP10" s="330"/>
      <c r="AQ10" s="334"/>
      <c r="AR10" s="334"/>
      <c r="AS10" s="334"/>
      <c r="AT10" s="334"/>
      <c r="AU10" s="334"/>
      <c r="AV10" s="334"/>
      <c r="AW10" s="334"/>
      <c r="AX10" s="334"/>
      <c r="AY10" s="334"/>
      <c r="AZ10" s="334"/>
      <c r="BA10" s="334"/>
      <c r="BB10" s="334"/>
      <c r="BC10" s="334"/>
      <c r="BD10" s="334"/>
      <c r="BE10" s="334"/>
      <c r="BF10" s="334"/>
      <c r="BG10" s="334"/>
      <c r="BH10" s="334"/>
      <c r="BI10" s="334"/>
      <c r="BJ10" s="334"/>
      <c r="BK10" s="334"/>
      <c r="BL10" s="334"/>
      <c r="BM10" s="334"/>
      <c r="BN10" s="335"/>
      <c r="BO10" s="334"/>
      <c r="BP10" s="334"/>
      <c r="BQ10" s="334"/>
      <c r="BR10" s="334"/>
      <c r="BS10" s="334"/>
      <c r="BT10" s="334"/>
      <c r="BU10" s="334"/>
      <c r="BV10" s="334"/>
      <c r="BW10" s="334"/>
      <c r="BX10" s="334"/>
      <c r="BY10" s="334"/>
      <c r="BZ10" s="334"/>
      <c r="CA10" s="334"/>
      <c r="CB10" s="334"/>
      <c r="CC10" s="334"/>
      <c r="CD10" s="334"/>
      <c r="CE10" s="334"/>
      <c r="CF10" s="334"/>
      <c r="CG10" s="334"/>
      <c r="CH10" s="334"/>
      <c r="CI10" s="334"/>
    </row>
    <row r="11" spans="1:87" ht="15.75">
      <c r="A11" s="349"/>
      <c r="B11" s="349" t="s">
        <v>8</v>
      </c>
      <c r="C11" s="350"/>
      <c r="D11" s="350"/>
      <c r="E11" s="349"/>
      <c r="F11" s="349"/>
      <c r="G11" s="351"/>
      <c r="H11" s="352"/>
      <c r="I11" s="351"/>
      <c r="J11" s="351"/>
      <c r="K11" s="351"/>
      <c r="L11" s="351"/>
      <c r="M11" s="351"/>
      <c r="N11" s="351"/>
      <c r="O11" s="351"/>
      <c r="P11" s="351"/>
      <c r="Q11" s="351"/>
      <c r="R11" s="351"/>
      <c r="S11" s="351"/>
      <c r="T11" s="351"/>
      <c r="U11" s="351"/>
      <c r="V11" s="351"/>
      <c r="W11" s="351"/>
      <c r="X11" s="351"/>
      <c r="Y11" s="351"/>
      <c r="Z11" s="351"/>
      <c r="AA11" s="351"/>
      <c r="AB11" s="351"/>
      <c r="AC11" s="353"/>
      <c r="AD11" s="333"/>
      <c r="AE11" s="330"/>
      <c r="AF11" s="330"/>
      <c r="AG11" s="330"/>
      <c r="AH11" s="330"/>
      <c r="AI11" s="330"/>
      <c r="AJ11" s="330"/>
      <c r="AK11" s="330"/>
      <c r="AL11" s="330"/>
      <c r="AM11" s="330"/>
      <c r="AN11" s="330"/>
      <c r="AO11" s="330"/>
      <c r="AP11" s="330"/>
      <c r="AQ11" s="334"/>
      <c r="AR11" s="334"/>
      <c r="AS11" s="334"/>
      <c r="AT11" s="334"/>
      <c r="AU11" s="334"/>
      <c r="AV11" s="334"/>
      <c r="AW11" s="334"/>
      <c r="AX11" s="334"/>
      <c r="AY11" s="334"/>
      <c r="AZ11" s="354" t="s">
        <v>2441</v>
      </c>
      <c r="BA11" s="334"/>
      <c r="BB11" s="334"/>
      <c r="BC11" s="334"/>
      <c r="BD11" s="334"/>
      <c r="BE11" s="334"/>
      <c r="BF11" s="334"/>
      <c r="BG11" s="334"/>
      <c r="BH11" s="334"/>
      <c r="BI11" s="334"/>
      <c r="BJ11" s="334"/>
      <c r="BK11" s="334"/>
      <c r="BL11" s="334"/>
      <c r="BM11" s="334"/>
      <c r="BN11" s="335"/>
      <c r="BO11" s="334"/>
      <c r="BP11" s="334"/>
      <c r="BQ11" s="334"/>
      <c r="BR11" s="334"/>
      <c r="BS11" s="334"/>
      <c r="BT11" s="334"/>
      <c r="BU11" s="334"/>
      <c r="BV11" s="334"/>
      <c r="BW11" s="334"/>
      <c r="BX11" s="334"/>
      <c r="BY11" s="334"/>
      <c r="BZ11" s="334"/>
      <c r="CA11" s="334"/>
      <c r="CB11" s="334"/>
      <c r="CC11" s="334"/>
      <c r="CD11" s="334"/>
      <c r="CE11" s="334"/>
      <c r="CF11" s="334"/>
      <c r="CG11" s="334"/>
      <c r="CH11" s="334"/>
      <c r="CI11" s="334"/>
    </row>
    <row r="12" spans="1:87" ht="168.75" customHeight="1">
      <c r="A12" s="1495" t="s">
        <v>1</v>
      </c>
      <c r="B12" s="1496"/>
      <c r="C12" s="1499" t="s">
        <v>939</v>
      </c>
      <c r="D12" s="1499" t="s">
        <v>940</v>
      </c>
      <c r="E12" s="1499" t="s">
        <v>941</v>
      </c>
      <c r="F12" s="1499" t="s">
        <v>942</v>
      </c>
      <c r="G12" s="1499" t="s">
        <v>943</v>
      </c>
      <c r="H12" s="1501" t="s">
        <v>944</v>
      </c>
      <c r="I12" s="1499" t="s">
        <v>945</v>
      </c>
      <c r="J12" s="1499" t="s">
        <v>191</v>
      </c>
      <c r="K12" s="1504" t="s">
        <v>946</v>
      </c>
      <c r="L12" s="1506" t="s">
        <v>947</v>
      </c>
      <c r="M12" s="1507"/>
      <c r="N12" s="1507"/>
      <c r="O12" s="1507"/>
      <c r="P12" s="1508"/>
      <c r="Q12" s="1493" t="s">
        <v>948</v>
      </c>
      <c r="R12" s="1506" t="s">
        <v>949</v>
      </c>
      <c r="S12" s="1507"/>
      <c r="T12" s="1507"/>
      <c r="U12" s="1507"/>
      <c r="V12" s="1508"/>
      <c r="W12" s="1493" t="s">
        <v>950</v>
      </c>
      <c r="X12" s="1510" t="s">
        <v>951</v>
      </c>
      <c r="Y12" s="1504" t="s">
        <v>952</v>
      </c>
      <c r="Z12" s="1504" t="s">
        <v>953</v>
      </c>
      <c r="AA12" s="1509" t="s">
        <v>954</v>
      </c>
      <c r="AB12" s="1508"/>
      <c r="AC12" s="1509" t="s">
        <v>955</v>
      </c>
      <c r="AD12" s="1508"/>
      <c r="AE12" s="1499" t="s">
        <v>956</v>
      </c>
      <c r="AF12" s="1509" t="s">
        <v>957</v>
      </c>
      <c r="AG12" s="1508"/>
      <c r="AH12" s="1509" t="s">
        <v>958</v>
      </c>
      <c r="AI12" s="1508"/>
      <c r="AJ12" s="1509" t="s">
        <v>959</v>
      </c>
      <c r="AK12" s="1508"/>
      <c r="AL12" s="1509" t="s">
        <v>960</v>
      </c>
      <c r="AM12" s="1508"/>
      <c r="AN12" s="1499" t="s">
        <v>942</v>
      </c>
      <c r="AO12" s="1506" t="s">
        <v>961</v>
      </c>
      <c r="AP12" s="1512"/>
      <c r="AQ12" s="1512"/>
      <c r="AR12" s="1513"/>
      <c r="AS12" s="1509" t="s">
        <v>962</v>
      </c>
      <c r="AT12" s="1514"/>
      <c r="AU12" s="1509" t="s">
        <v>963</v>
      </c>
      <c r="AV12" s="1508"/>
      <c r="AW12" s="1499" t="s">
        <v>964</v>
      </c>
      <c r="AX12" s="1504" t="s">
        <v>965</v>
      </c>
      <c r="AY12" s="1504" t="s">
        <v>966</v>
      </c>
      <c r="AZ12" s="1504" t="s">
        <v>967</v>
      </c>
      <c r="BA12" s="1523" t="s">
        <v>968</v>
      </c>
      <c r="BB12" s="1504" t="s">
        <v>969</v>
      </c>
      <c r="BC12" s="1504" t="s">
        <v>970</v>
      </c>
      <c r="BD12" s="1504" t="s">
        <v>971</v>
      </c>
      <c r="BE12" s="1504" t="s">
        <v>972</v>
      </c>
      <c r="BF12" s="1523" t="s">
        <v>973</v>
      </c>
      <c r="BG12" s="1504" t="s">
        <v>974</v>
      </c>
      <c r="BH12" s="1523" t="s">
        <v>975</v>
      </c>
      <c r="BI12" s="1525" t="s">
        <v>1398</v>
      </c>
      <c r="BJ12" s="1527" t="s">
        <v>978</v>
      </c>
      <c r="BK12" s="1504" t="s">
        <v>976</v>
      </c>
      <c r="BL12" s="1504" t="s">
        <v>977</v>
      </c>
      <c r="BM12" s="1516" t="s">
        <v>979</v>
      </c>
      <c r="BN12" s="1518" t="s">
        <v>980</v>
      </c>
      <c r="BO12" s="355"/>
      <c r="BP12" s="355"/>
      <c r="BQ12" s="355"/>
      <c r="BR12" s="355"/>
      <c r="BS12" s="355"/>
      <c r="BT12" s="355"/>
      <c r="BU12" s="355"/>
      <c r="BV12" s="355"/>
      <c r="BW12" s="355"/>
      <c r="BX12" s="355"/>
      <c r="BY12" s="355"/>
      <c r="BZ12" s="355"/>
      <c r="CA12" s="355"/>
      <c r="CB12" s="355"/>
      <c r="CC12" s="355"/>
      <c r="CD12" s="355"/>
      <c r="CE12" s="355"/>
      <c r="CF12" s="355"/>
      <c r="CG12" s="355"/>
      <c r="CH12" s="355"/>
      <c r="CI12" s="356"/>
    </row>
    <row r="13" spans="1:87" ht="73.5" customHeight="1">
      <c r="A13" s="1497"/>
      <c r="B13" s="1498"/>
      <c r="C13" s="1500"/>
      <c r="D13" s="1500"/>
      <c r="E13" s="1500"/>
      <c r="F13" s="1500"/>
      <c r="G13" s="1500"/>
      <c r="H13" s="1502"/>
      <c r="I13" s="1503"/>
      <c r="J13" s="1503"/>
      <c r="K13" s="1505"/>
      <c r="L13" s="357">
        <v>7</v>
      </c>
      <c r="M13" s="357">
        <v>8</v>
      </c>
      <c r="N13" s="357">
        <v>9</v>
      </c>
      <c r="O13" s="357">
        <v>10</v>
      </c>
      <c r="P13" s="357">
        <v>11</v>
      </c>
      <c r="Q13" s="1494"/>
      <c r="R13" s="357">
        <v>7</v>
      </c>
      <c r="S13" s="357">
        <v>8</v>
      </c>
      <c r="T13" s="357">
        <v>9</v>
      </c>
      <c r="U13" s="357">
        <v>10</v>
      </c>
      <c r="V13" s="357">
        <v>11</v>
      </c>
      <c r="W13" s="1494"/>
      <c r="X13" s="1511"/>
      <c r="Y13" s="1505"/>
      <c r="Z13" s="1505"/>
      <c r="AA13" s="358" t="s">
        <v>981</v>
      </c>
      <c r="AB13" s="359" t="s">
        <v>982</v>
      </c>
      <c r="AC13" s="358" t="s">
        <v>983</v>
      </c>
      <c r="AD13" s="359" t="s">
        <v>982</v>
      </c>
      <c r="AE13" s="1503"/>
      <c r="AF13" s="358" t="s">
        <v>223</v>
      </c>
      <c r="AG13" s="359" t="s">
        <v>984</v>
      </c>
      <c r="AH13" s="358" t="s">
        <v>985</v>
      </c>
      <c r="AI13" s="359" t="s">
        <v>986</v>
      </c>
      <c r="AJ13" s="358" t="s">
        <v>987</v>
      </c>
      <c r="AK13" s="359" t="s">
        <v>988</v>
      </c>
      <c r="AL13" s="360" t="s">
        <v>989</v>
      </c>
      <c r="AM13" s="359" t="s">
        <v>990</v>
      </c>
      <c r="AN13" s="1503"/>
      <c r="AO13" s="359" t="s">
        <v>991</v>
      </c>
      <c r="AP13" s="359" t="s">
        <v>992</v>
      </c>
      <c r="AQ13" s="359" t="s">
        <v>993</v>
      </c>
      <c r="AR13" s="359" t="s">
        <v>194</v>
      </c>
      <c r="AS13" s="358" t="s">
        <v>994</v>
      </c>
      <c r="AT13" s="359" t="s">
        <v>982</v>
      </c>
      <c r="AU13" s="358" t="s">
        <v>995</v>
      </c>
      <c r="AV13" s="359" t="s">
        <v>996</v>
      </c>
      <c r="AW13" s="1503"/>
      <c r="AX13" s="1505"/>
      <c r="AY13" s="1505"/>
      <c r="AZ13" s="1505"/>
      <c r="BA13" s="1524"/>
      <c r="BB13" s="1505"/>
      <c r="BC13" s="1505"/>
      <c r="BD13" s="1505"/>
      <c r="BE13" s="1505"/>
      <c r="BF13" s="1524"/>
      <c r="BG13" s="1505"/>
      <c r="BH13" s="1524"/>
      <c r="BI13" s="1526"/>
      <c r="BJ13" s="1528"/>
      <c r="BK13" s="1505"/>
      <c r="BL13" s="1505"/>
      <c r="BM13" s="1517"/>
      <c r="BN13" s="1519"/>
      <c r="BO13" s="355"/>
      <c r="BP13" s="355"/>
      <c r="BQ13" s="355"/>
      <c r="BR13" s="355"/>
      <c r="BS13" s="355"/>
      <c r="BT13" s="355"/>
      <c r="BU13" s="355"/>
      <c r="BV13" s="355"/>
      <c r="BW13" s="355"/>
      <c r="BX13" s="355"/>
      <c r="BY13" s="355"/>
      <c r="BZ13" s="355"/>
      <c r="CA13" s="355"/>
      <c r="CB13" s="355"/>
      <c r="CC13" s="355"/>
      <c r="CD13" s="355"/>
      <c r="CE13" s="355"/>
      <c r="CF13" s="355"/>
      <c r="CG13" s="355"/>
      <c r="CH13" s="355"/>
      <c r="CI13" s="356"/>
    </row>
    <row r="14" spans="1:87" ht="45">
      <c r="A14" s="361">
        <v>1</v>
      </c>
      <c r="B14" s="362">
        <v>1</v>
      </c>
      <c r="C14" s="363" t="s">
        <v>250</v>
      </c>
      <c r="D14" s="364" t="s">
        <v>997</v>
      </c>
      <c r="E14" s="362" t="s">
        <v>998</v>
      </c>
      <c r="F14" s="1298" t="s">
        <v>999</v>
      </c>
      <c r="G14" s="362" t="s">
        <v>224</v>
      </c>
      <c r="H14" s="365" t="s">
        <v>1399</v>
      </c>
      <c r="I14" s="366">
        <v>17697</v>
      </c>
      <c r="J14" s="367">
        <v>11.02</v>
      </c>
      <c r="K14" s="367">
        <f>I14*J14</f>
        <v>195020.94</v>
      </c>
      <c r="L14" s="366"/>
      <c r="M14" s="366"/>
      <c r="N14" s="366"/>
      <c r="O14" s="366"/>
      <c r="P14" s="366">
        <v>36</v>
      </c>
      <c r="Q14" s="368">
        <f t="shared" ref="Q14:Q44" si="0">SUM(L14:P14)</f>
        <v>36</v>
      </c>
      <c r="R14" s="369"/>
      <c r="S14" s="369"/>
      <c r="T14" s="369"/>
      <c r="U14" s="369"/>
      <c r="V14" s="369"/>
      <c r="W14" s="368">
        <f t="shared" ref="W14:W43" si="1">SUM(R14:V14)</f>
        <v>0</v>
      </c>
      <c r="X14" s="370">
        <f t="shared" ref="X14:X44" si="2">Q14+W14</f>
        <v>36</v>
      </c>
      <c r="Y14" s="367">
        <f t="shared" ref="Y14:Y44" si="3">K14/16*X14</f>
        <v>438797.11499999999</v>
      </c>
      <c r="Z14" s="367">
        <f t="shared" ref="Z14:Z44" si="4">Y14*10%</f>
        <v>43879.711500000005</v>
      </c>
      <c r="AA14" s="366">
        <v>0</v>
      </c>
      <c r="AB14" s="367">
        <f t="shared" ref="AB14:AB44" si="5">I14/16*AA14*40%</f>
        <v>0</v>
      </c>
      <c r="AC14" s="366">
        <v>36</v>
      </c>
      <c r="AD14" s="367">
        <f t="shared" ref="AD14:AD44" si="6">I14/16*AC14*40%*50%</f>
        <v>7963.6500000000005</v>
      </c>
      <c r="AE14" s="367"/>
      <c r="AF14" s="366" t="s">
        <v>1000</v>
      </c>
      <c r="AG14" s="367">
        <f>17697*20%</f>
        <v>3539.4</v>
      </c>
      <c r="AH14" s="366"/>
      <c r="AI14" s="367"/>
      <c r="AJ14" s="366">
        <f t="shared" ref="AJ14:AJ44" si="7">X14</f>
        <v>36</v>
      </c>
      <c r="AK14" s="367">
        <f t="shared" ref="AK14:AK44" si="8">I14/16*AJ14*40%</f>
        <v>15927.300000000001</v>
      </c>
      <c r="AL14" s="366">
        <f t="shared" ref="AL14:AL44" si="9">X14</f>
        <v>36</v>
      </c>
      <c r="AM14" s="367">
        <f t="shared" ref="AM14:AM44" si="10">K14/16*AL14*30%</f>
        <v>131639.13449999999</v>
      </c>
      <c r="AN14" s="366" t="str">
        <f t="shared" ref="AN14:AN44" si="11">F14</f>
        <v>Педагог-шебер</v>
      </c>
      <c r="AO14" s="367">
        <f t="shared" ref="AO14:AO44" si="12">IF(AN14="Педагог-зерттеуші", "0", IF(AN14="Педагог-шебер",K14/16*X14*50%, IF(AN14="Педагог-сарапшы", "0", IF(AN14="Педагог-модератор", "0", "0"))))</f>
        <v>219398.5575</v>
      </c>
      <c r="AP14" s="367" t="str">
        <f t="shared" ref="AP14:AP44" si="13">IF(AN14="Педагог-шебер", "0", IF(AN14="Педагог-зерттеуші",K14/16*X14*40%, IF(AN14="Педагог-сарапшы", "0", IF(AN14="Педагог-модератор", "0", "0"))))</f>
        <v>0</v>
      </c>
      <c r="AQ14" s="367" t="str">
        <f t="shared" ref="AQ14:AQ44" si="14">IF(AN14="Педагог-шебер", "0", IF(AN14="Педагог-сарапшы",K14/16*X14*35%, IF(AN14="Педагог-зерттеуші", "0", IF(AN14="Педагог-модератор", "0", "0"))))</f>
        <v>0</v>
      </c>
      <c r="AR14" s="367" t="str">
        <f t="shared" ref="AR14:AR44" si="15">IF(AN14="Педагог-шебер", "0", IF(AN14="Педагог-модератор",K14/16*X14*30%, IF(AN14="Педагог-зерттеуші", "0", IF(AN14="Педагог-сарапшы", "0", "0"))))</f>
        <v>0</v>
      </c>
      <c r="AS14" s="366"/>
      <c r="AT14" s="367"/>
      <c r="AU14" s="371"/>
      <c r="AV14" s="367"/>
      <c r="AW14" s="371" t="str">
        <f>G14</f>
        <v>Магистр-математика</v>
      </c>
      <c r="AX14" s="372">
        <f>10*4325</f>
        <v>43250</v>
      </c>
      <c r="AY14" s="367"/>
      <c r="AZ14" s="367">
        <f t="shared" ref="AZ14:AZ44" si="16">Z14+AB14+AD14+AE14+AG14+AI14+AK14+AM14+AO14+AP14+AQ14++AR14+AT14+AV14+AX14+AY14</f>
        <v>465597.75349999999</v>
      </c>
      <c r="BA14" s="373">
        <f t="shared" ref="BA14:BA77" si="17">Y14+AZ14</f>
        <v>904394.86849999998</v>
      </c>
      <c r="BB14" s="374">
        <f>BA14*10%</f>
        <v>90439.486850000001</v>
      </c>
      <c r="BC14" s="374">
        <f>BA14*2%</f>
        <v>18087.897369999999</v>
      </c>
      <c r="BD14" s="374">
        <f t="shared" ref="BD14:BD77" si="18">(BA14-BB14-BC14-(14*4325))*10%</f>
        <v>73531.748428000006</v>
      </c>
      <c r="BE14" s="374">
        <f>BA14-BB14-BC14-BD14</f>
        <v>722335.73585199995</v>
      </c>
      <c r="BF14" s="374">
        <f>BA14*12</f>
        <v>10852738.422</v>
      </c>
      <c r="BG14" s="374">
        <f t="shared" ref="BG14:BG77" si="19">Y14*2</f>
        <v>877594.23</v>
      </c>
      <c r="BH14" s="374">
        <f>BF14+BG14</f>
        <v>11730332.652000001</v>
      </c>
      <c r="BI14" s="374">
        <f t="shared" ref="BI14:BI77" si="20">BH14*3.5%</f>
        <v>410561.64282000007</v>
      </c>
      <c r="BJ14" s="374">
        <f t="shared" ref="BJ14:BJ77" si="21">(BH14*0.9-(BC14*12))*11%-BK14</f>
        <v>609561.9386795999</v>
      </c>
      <c r="BK14" s="374">
        <f>BH14*0.9*5%</f>
        <v>527864.96934000007</v>
      </c>
      <c r="BL14" s="374">
        <f>BH14*3%</f>
        <v>351909.97956000001</v>
      </c>
      <c r="BM14" s="373">
        <f t="shared" ref="BM14:BM44" si="22">BH14+BJ14+BK14+BL14+BI14</f>
        <v>13630231.182399603</v>
      </c>
      <c r="BN14" s="375"/>
      <c r="BO14" s="376"/>
      <c r="BP14" s="376"/>
      <c r="BQ14" s="377"/>
      <c r="BR14" s="377"/>
      <c r="BS14" s="377"/>
      <c r="BT14" s="377"/>
      <c r="BU14" s="377"/>
      <c r="BV14" s="377"/>
      <c r="BW14" s="377"/>
      <c r="BX14" s="377"/>
      <c r="BY14" s="377"/>
      <c r="BZ14" s="377"/>
      <c r="CA14" s="377"/>
      <c r="CB14" s="377"/>
      <c r="CC14" s="377"/>
      <c r="CD14" s="377"/>
      <c r="CE14" s="377"/>
      <c r="CF14" s="377"/>
      <c r="CG14" s="377"/>
      <c r="CH14" s="377"/>
      <c r="CI14" s="377"/>
    </row>
    <row r="15" spans="1:87" ht="47.25">
      <c r="A15" s="361">
        <f>A14+1</f>
        <v>2</v>
      </c>
      <c r="B15" s="362">
        <f>B14+1</f>
        <v>2</v>
      </c>
      <c r="C15" s="378" t="s">
        <v>252</v>
      </c>
      <c r="D15" s="379" t="s">
        <v>1001</v>
      </c>
      <c r="E15" s="362" t="s">
        <v>998</v>
      </c>
      <c r="F15" s="1299" t="s">
        <v>254</v>
      </c>
      <c r="G15" s="362" t="s">
        <v>224</v>
      </c>
      <c r="H15" s="365" t="s">
        <v>1400</v>
      </c>
      <c r="I15" s="366">
        <v>17697</v>
      </c>
      <c r="J15" s="367">
        <v>10</v>
      </c>
      <c r="K15" s="367">
        <f t="shared" ref="K15:K44" si="23">I15*J15</f>
        <v>176970</v>
      </c>
      <c r="L15" s="366"/>
      <c r="M15" s="366">
        <v>8</v>
      </c>
      <c r="N15" s="366">
        <v>24</v>
      </c>
      <c r="O15" s="366"/>
      <c r="P15" s="366"/>
      <c r="Q15" s="368">
        <f t="shared" si="0"/>
        <v>32</v>
      </c>
      <c r="R15" s="369"/>
      <c r="S15" s="369">
        <v>1</v>
      </c>
      <c r="T15" s="369">
        <v>3</v>
      </c>
      <c r="U15" s="369"/>
      <c r="V15" s="369"/>
      <c r="W15" s="368">
        <f t="shared" si="1"/>
        <v>4</v>
      </c>
      <c r="X15" s="370">
        <f t="shared" si="2"/>
        <v>36</v>
      </c>
      <c r="Y15" s="367">
        <f t="shared" si="3"/>
        <v>398182.5</v>
      </c>
      <c r="Z15" s="367">
        <f t="shared" si="4"/>
        <v>39818.25</v>
      </c>
      <c r="AA15" s="366">
        <v>36</v>
      </c>
      <c r="AB15" s="367">
        <f t="shared" si="5"/>
        <v>15927.300000000001</v>
      </c>
      <c r="AC15" s="366">
        <v>0</v>
      </c>
      <c r="AD15" s="367">
        <f t="shared" si="6"/>
        <v>0</v>
      </c>
      <c r="AE15" s="366"/>
      <c r="AF15" s="366" t="s">
        <v>1002</v>
      </c>
      <c r="AG15" s="367">
        <f>17697*20%</f>
        <v>3539.4</v>
      </c>
      <c r="AH15" s="366"/>
      <c r="AI15" s="367"/>
      <c r="AJ15" s="366">
        <f t="shared" si="7"/>
        <v>36</v>
      </c>
      <c r="AK15" s="367">
        <f t="shared" si="8"/>
        <v>15927.300000000001</v>
      </c>
      <c r="AL15" s="366">
        <f t="shared" si="9"/>
        <v>36</v>
      </c>
      <c r="AM15" s="367">
        <f t="shared" si="10"/>
        <v>119454.75</v>
      </c>
      <c r="AN15" s="366" t="str">
        <f t="shared" si="11"/>
        <v>Педагог-модератор</v>
      </c>
      <c r="AO15" s="367" t="str">
        <f t="shared" si="12"/>
        <v>0</v>
      </c>
      <c r="AP15" s="367" t="str">
        <f t="shared" si="13"/>
        <v>0</v>
      </c>
      <c r="AQ15" s="367" t="str">
        <f t="shared" si="14"/>
        <v>0</v>
      </c>
      <c r="AR15" s="367">
        <f t="shared" si="15"/>
        <v>119454.75</v>
      </c>
      <c r="AS15" s="366"/>
      <c r="AT15" s="367"/>
      <c r="AU15" s="366"/>
      <c r="AV15" s="367"/>
      <c r="AW15" s="371" t="str">
        <f t="shared" ref="AW15:AW44" si="24">G15</f>
        <v>Магистр-математика</v>
      </c>
      <c r="AX15" s="372">
        <f>10*4325</f>
        <v>43250</v>
      </c>
      <c r="AY15" s="367"/>
      <c r="AZ15" s="367">
        <f t="shared" si="16"/>
        <v>357371.75</v>
      </c>
      <c r="BA15" s="373">
        <f t="shared" si="17"/>
        <v>755554.25</v>
      </c>
      <c r="BB15" s="374">
        <f t="shared" ref="BB15:BB78" si="25">BA15*10%</f>
        <v>75555.425000000003</v>
      </c>
      <c r="BC15" s="374">
        <f t="shared" ref="BC15:BC78" si="26">BA15*2%</f>
        <v>15111.085000000001</v>
      </c>
      <c r="BD15" s="374">
        <f t="shared" si="18"/>
        <v>60433.774000000005</v>
      </c>
      <c r="BE15" s="374">
        <f t="shared" ref="BE15:BE78" si="27">BA15-BB15-BC15-BD15</f>
        <v>604453.96600000001</v>
      </c>
      <c r="BF15" s="374">
        <f t="shared" ref="BF15:BF78" si="28">BA15*12</f>
        <v>9066651</v>
      </c>
      <c r="BG15" s="374">
        <f t="shared" si="19"/>
        <v>796365</v>
      </c>
      <c r="BH15" s="374">
        <f t="shared" ref="BH15:BH78" si="29">BF15+BG15</f>
        <v>9863016</v>
      </c>
      <c r="BI15" s="374">
        <f t="shared" si="20"/>
        <v>345205.56000000006</v>
      </c>
      <c r="BJ15" s="374">
        <f t="shared" si="21"/>
        <v>512656.23180000001</v>
      </c>
      <c r="BK15" s="374">
        <f t="shared" ref="BK15:BK78" si="30">BH15*0.9*5%</f>
        <v>443835.72000000003</v>
      </c>
      <c r="BL15" s="374">
        <f t="shared" ref="BL15:BL78" si="31">BH15*3%</f>
        <v>295890.48</v>
      </c>
      <c r="BM15" s="373">
        <f t="shared" si="22"/>
        <v>11460603.991800001</v>
      </c>
      <c r="BN15" s="375"/>
      <c r="BO15" s="376"/>
      <c r="BP15" s="376"/>
      <c r="BQ15" s="377"/>
      <c r="BR15" s="377"/>
      <c r="BS15" s="377"/>
      <c r="BT15" s="377"/>
      <c r="BU15" s="377"/>
      <c r="BV15" s="377"/>
      <c r="BW15" s="377"/>
      <c r="BX15" s="377"/>
      <c r="BY15" s="377"/>
      <c r="BZ15" s="377"/>
      <c r="CA15" s="377"/>
      <c r="CB15" s="377"/>
      <c r="CC15" s="377"/>
      <c r="CD15" s="377"/>
      <c r="CE15" s="377"/>
      <c r="CF15" s="377"/>
      <c r="CG15" s="377"/>
      <c r="CH15" s="377"/>
      <c r="CI15" s="377"/>
    </row>
    <row r="16" spans="1:87" ht="30">
      <c r="A16" s="1300">
        <f t="shared" ref="A16:B31" si="32">A15+1</f>
        <v>3</v>
      </c>
      <c r="B16" s="1301">
        <f t="shared" si="32"/>
        <v>3</v>
      </c>
      <c r="C16" s="1302" t="s">
        <v>393</v>
      </c>
      <c r="D16" s="1303" t="s">
        <v>1003</v>
      </c>
      <c r="E16" s="1301" t="s">
        <v>998</v>
      </c>
      <c r="F16" s="1301" t="s">
        <v>254</v>
      </c>
      <c r="G16" s="1301" t="s">
        <v>224</v>
      </c>
      <c r="H16" s="1304" t="s">
        <v>1401</v>
      </c>
      <c r="I16" s="1305">
        <v>17697</v>
      </c>
      <c r="J16" s="1306">
        <v>10.220000000000001</v>
      </c>
      <c r="K16" s="1306">
        <f t="shared" si="23"/>
        <v>180863.34000000003</v>
      </c>
      <c r="L16" s="1307"/>
      <c r="M16" s="1307"/>
      <c r="N16" s="1307"/>
      <c r="O16" s="1307">
        <v>24</v>
      </c>
      <c r="P16" s="1307"/>
      <c r="Q16" s="1308">
        <f t="shared" si="0"/>
        <v>24</v>
      </c>
      <c r="R16" s="1307"/>
      <c r="S16" s="1307"/>
      <c r="T16" s="1307"/>
      <c r="U16" s="1307"/>
      <c r="V16" s="1307"/>
      <c r="W16" s="1309">
        <f t="shared" si="1"/>
        <v>0</v>
      </c>
      <c r="X16" s="1310">
        <f t="shared" si="2"/>
        <v>24</v>
      </c>
      <c r="Y16" s="1306">
        <f t="shared" si="3"/>
        <v>271295.01</v>
      </c>
      <c r="Z16" s="1306">
        <f t="shared" si="4"/>
        <v>27129.501000000004</v>
      </c>
      <c r="AA16" s="1305">
        <v>27</v>
      </c>
      <c r="AB16" s="1306">
        <f t="shared" si="5"/>
        <v>11945.475</v>
      </c>
      <c r="AC16" s="1305">
        <v>0</v>
      </c>
      <c r="AD16" s="1306">
        <f t="shared" si="6"/>
        <v>0</v>
      </c>
      <c r="AE16" s="1305"/>
      <c r="AF16" s="1305"/>
      <c r="AG16" s="1306"/>
      <c r="AH16" s="1305"/>
      <c r="AI16" s="1306"/>
      <c r="AJ16" s="1305">
        <f t="shared" si="7"/>
        <v>24</v>
      </c>
      <c r="AK16" s="1306">
        <f t="shared" si="8"/>
        <v>10618.2</v>
      </c>
      <c r="AL16" s="1305">
        <f t="shared" si="9"/>
        <v>24</v>
      </c>
      <c r="AM16" s="1306">
        <f t="shared" si="10"/>
        <v>81388.502999999997</v>
      </c>
      <c r="AN16" s="1305" t="str">
        <f t="shared" si="11"/>
        <v>Педагог-модератор</v>
      </c>
      <c r="AO16" s="1306" t="str">
        <f t="shared" si="12"/>
        <v>0</v>
      </c>
      <c r="AP16" s="1306" t="str">
        <f t="shared" si="13"/>
        <v>0</v>
      </c>
      <c r="AQ16" s="1306" t="str">
        <f t="shared" si="14"/>
        <v>0</v>
      </c>
      <c r="AR16" s="1306">
        <f t="shared" si="15"/>
        <v>81388.502999999997</v>
      </c>
      <c r="AS16" s="1305"/>
      <c r="AT16" s="1306"/>
      <c r="AU16" s="1311"/>
      <c r="AV16" s="1306"/>
      <c r="AW16" s="1311" t="str">
        <f t="shared" si="24"/>
        <v>Магистр-математика</v>
      </c>
      <c r="AX16" s="1312">
        <f>10*4325</f>
        <v>43250</v>
      </c>
      <c r="AY16" s="1306"/>
      <c r="AZ16" s="1306">
        <f t="shared" si="16"/>
        <v>255720.182</v>
      </c>
      <c r="BA16" s="373">
        <f t="shared" si="17"/>
        <v>527015.19200000004</v>
      </c>
      <c r="BB16" s="374">
        <f t="shared" si="25"/>
        <v>52701.51920000001</v>
      </c>
      <c r="BC16" s="374">
        <f t="shared" si="26"/>
        <v>10540.30384</v>
      </c>
      <c r="BD16" s="374">
        <f t="shared" si="18"/>
        <v>40322.336896000008</v>
      </c>
      <c r="BE16" s="374">
        <f t="shared" si="27"/>
        <v>423451.03206400003</v>
      </c>
      <c r="BF16" s="374">
        <f t="shared" si="28"/>
        <v>6324182.3040000005</v>
      </c>
      <c r="BG16" s="374">
        <f t="shared" si="19"/>
        <v>542590.02</v>
      </c>
      <c r="BH16" s="374">
        <f t="shared" si="29"/>
        <v>6866772.324000001</v>
      </c>
      <c r="BI16" s="374">
        <f t="shared" si="20"/>
        <v>240337.03134000005</v>
      </c>
      <c r="BJ16" s="374">
        <f t="shared" si="21"/>
        <v>356892.50442719995</v>
      </c>
      <c r="BK16" s="374">
        <f t="shared" si="30"/>
        <v>309004.75458000007</v>
      </c>
      <c r="BL16" s="374">
        <f t="shared" si="31"/>
        <v>206003.16972000003</v>
      </c>
      <c r="BM16" s="1313">
        <f t="shared" si="22"/>
        <v>7979009.7840672014</v>
      </c>
      <c r="BN16" s="375"/>
      <c r="BO16" s="376"/>
      <c r="BP16" s="376"/>
      <c r="BQ16" s="377"/>
      <c r="BR16" s="377"/>
      <c r="BS16" s="377"/>
      <c r="BT16" s="377"/>
      <c r="BU16" s="377"/>
      <c r="BV16" s="377"/>
      <c r="BW16" s="377"/>
      <c r="BX16" s="377"/>
      <c r="BY16" s="377"/>
      <c r="BZ16" s="377"/>
      <c r="CA16" s="377"/>
      <c r="CB16" s="377"/>
      <c r="CC16" s="377"/>
      <c r="CD16" s="377"/>
      <c r="CE16" s="377"/>
      <c r="CF16" s="377"/>
      <c r="CG16" s="377"/>
      <c r="CH16" s="377"/>
      <c r="CI16" s="377"/>
    </row>
    <row r="17" spans="1:87" ht="47.25">
      <c r="A17" s="361">
        <f t="shared" si="32"/>
        <v>4</v>
      </c>
      <c r="B17" s="362">
        <f t="shared" si="32"/>
        <v>4</v>
      </c>
      <c r="C17" s="378" t="s">
        <v>256</v>
      </c>
      <c r="D17" s="379" t="s">
        <v>1004</v>
      </c>
      <c r="E17" s="362" t="s">
        <v>998</v>
      </c>
      <c r="F17" s="1298" t="s">
        <v>1005</v>
      </c>
      <c r="G17" s="362"/>
      <c r="H17" s="365" t="s">
        <v>1006</v>
      </c>
      <c r="I17" s="366">
        <v>17697</v>
      </c>
      <c r="J17" s="367">
        <v>11.4</v>
      </c>
      <c r="K17" s="367">
        <f t="shared" si="23"/>
        <v>201745.80000000002</v>
      </c>
      <c r="L17" s="366"/>
      <c r="M17" s="366">
        <v>16</v>
      </c>
      <c r="N17" s="366"/>
      <c r="O17" s="366"/>
      <c r="P17" s="366"/>
      <c r="Q17" s="368">
        <f t="shared" si="0"/>
        <v>16</v>
      </c>
      <c r="R17" s="369"/>
      <c r="S17" s="369">
        <v>2</v>
      </c>
      <c r="T17" s="369"/>
      <c r="U17" s="369"/>
      <c r="V17" s="369"/>
      <c r="W17" s="368">
        <f t="shared" si="1"/>
        <v>2</v>
      </c>
      <c r="X17" s="370">
        <f t="shared" si="2"/>
        <v>18</v>
      </c>
      <c r="Y17" s="367">
        <f t="shared" si="3"/>
        <v>226964.02500000002</v>
      </c>
      <c r="Z17" s="367">
        <f t="shared" si="4"/>
        <v>22696.402500000004</v>
      </c>
      <c r="AA17" s="366">
        <v>18</v>
      </c>
      <c r="AB17" s="367">
        <f t="shared" si="5"/>
        <v>7963.6500000000005</v>
      </c>
      <c r="AC17" s="366">
        <v>0</v>
      </c>
      <c r="AD17" s="367">
        <f t="shared" si="6"/>
        <v>0</v>
      </c>
      <c r="AE17" s="366"/>
      <c r="AF17" s="366"/>
      <c r="AG17" s="367"/>
      <c r="AH17" s="366"/>
      <c r="AI17" s="367"/>
      <c r="AJ17" s="366">
        <f t="shared" si="7"/>
        <v>18</v>
      </c>
      <c r="AK17" s="367">
        <f t="shared" si="8"/>
        <v>7963.6500000000005</v>
      </c>
      <c r="AL17" s="366">
        <f t="shared" si="9"/>
        <v>18</v>
      </c>
      <c r="AM17" s="367">
        <f t="shared" si="10"/>
        <v>68089.207500000004</v>
      </c>
      <c r="AN17" s="366" t="str">
        <f t="shared" si="11"/>
        <v>Педагог-зерттеуші</v>
      </c>
      <c r="AO17" s="367" t="str">
        <f t="shared" si="12"/>
        <v>0</v>
      </c>
      <c r="AP17" s="367">
        <f t="shared" si="13"/>
        <v>90785.610000000015</v>
      </c>
      <c r="AQ17" s="367" t="str">
        <f t="shared" si="14"/>
        <v>0</v>
      </c>
      <c r="AR17" s="367" t="str">
        <f t="shared" si="15"/>
        <v>0</v>
      </c>
      <c r="AS17" s="366"/>
      <c r="AT17" s="367"/>
      <c r="AU17" s="372"/>
      <c r="AV17" s="367"/>
      <c r="AW17" s="371">
        <f t="shared" si="24"/>
        <v>0</v>
      </c>
      <c r="AX17" s="372"/>
      <c r="AY17" s="367"/>
      <c r="AZ17" s="367">
        <f t="shared" si="16"/>
        <v>197498.52000000002</v>
      </c>
      <c r="BA17" s="373">
        <f t="shared" si="17"/>
        <v>424462.54500000004</v>
      </c>
      <c r="BB17" s="374">
        <f t="shared" si="25"/>
        <v>42446.25450000001</v>
      </c>
      <c r="BC17" s="374">
        <f t="shared" si="26"/>
        <v>8489.2509000000009</v>
      </c>
      <c r="BD17" s="374">
        <f t="shared" si="18"/>
        <v>31297.703960000003</v>
      </c>
      <c r="BE17" s="374">
        <f t="shared" si="27"/>
        <v>342229.33564</v>
      </c>
      <c r="BF17" s="374">
        <f t="shared" si="28"/>
        <v>5093550.540000001</v>
      </c>
      <c r="BG17" s="374">
        <f t="shared" si="19"/>
        <v>453928.05000000005</v>
      </c>
      <c r="BH17" s="374">
        <f t="shared" si="29"/>
        <v>5547478.5900000008</v>
      </c>
      <c r="BI17" s="374">
        <f t="shared" si="20"/>
        <v>194161.75065000006</v>
      </c>
      <c r="BJ17" s="374">
        <f t="shared" si="21"/>
        <v>288358.032672</v>
      </c>
      <c r="BK17" s="374">
        <f t="shared" si="30"/>
        <v>249636.53655000005</v>
      </c>
      <c r="BL17" s="374">
        <f t="shared" si="31"/>
        <v>166424.35770000002</v>
      </c>
      <c r="BM17" s="373">
        <f t="shared" si="22"/>
        <v>6446059.2675720006</v>
      </c>
      <c r="BN17" s="375"/>
      <c r="BO17" s="376"/>
      <c r="BP17" s="376"/>
      <c r="BQ17" s="377"/>
      <c r="BR17" s="377"/>
      <c r="BS17" s="377"/>
      <c r="BT17" s="377"/>
      <c r="BU17" s="377"/>
      <c r="BV17" s="377"/>
      <c r="BW17" s="377"/>
      <c r="BX17" s="377"/>
      <c r="BY17" s="377"/>
      <c r="BZ17" s="377"/>
      <c r="CA17" s="377"/>
      <c r="CB17" s="377"/>
      <c r="CC17" s="377"/>
      <c r="CD17" s="377"/>
      <c r="CE17" s="377"/>
      <c r="CF17" s="377"/>
      <c r="CG17" s="377"/>
      <c r="CH17" s="377"/>
      <c r="CI17" s="377"/>
    </row>
    <row r="18" spans="1:87" ht="47.25">
      <c r="A18" s="361">
        <f t="shared" si="32"/>
        <v>5</v>
      </c>
      <c r="B18" s="362">
        <f t="shared" si="32"/>
        <v>5</v>
      </c>
      <c r="C18" s="378" t="s">
        <v>207</v>
      </c>
      <c r="D18" s="382" t="s">
        <v>1007</v>
      </c>
      <c r="E18" s="362" t="s">
        <v>998</v>
      </c>
      <c r="F18" s="508" t="s">
        <v>1005</v>
      </c>
      <c r="G18" s="383"/>
      <c r="H18" s="365" t="s">
        <v>1008</v>
      </c>
      <c r="I18" s="366">
        <v>17697</v>
      </c>
      <c r="J18" s="367">
        <v>11.4</v>
      </c>
      <c r="K18" s="367">
        <f t="shared" si="23"/>
        <v>201745.80000000002</v>
      </c>
      <c r="L18" s="366"/>
      <c r="M18" s="366"/>
      <c r="N18" s="366"/>
      <c r="O18" s="366"/>
      <c r="P18" s="366">
        <v>18</v>
      </c>
      <c r="Q18" s="368">
        <f t="shared" si="0"/>
        <v>18</v>
      </c>
      <c r="R18" s="369"/>
      <c r="S18" s="369"/>
      <c r="T18" s="369"/>
      <c r="U18" s="369"/>
      <c r="V18" s="369"/>
      <c r="W18" s="368">
        <f t="shared" si="1"/>
        <v>0</v>
      </c>
      <c r="X18" s="370">
        <f t="shared" si="2"/>
        <v>18</v>
      </c>
      <c r="Y18" s="367">
        <f t="shared" si="3"/>
        <v>226964.02500000002</v>
      </c>
      <c r="Z18" s="367">
        <f t="shared" si="4"/>
        <v>22696.402500000004</v>
      </c>
      <c r="AA18" s="366">
        <v>18</v>
      </c>
      <c r="AB18" s="367">
        <f>I18/16*AA18*40%</f>
        <v>7963.6500000000005</v>
      </c>
      <c r="AC18" s="366">
        <v>0</v>
      </c>
      <c r="AD18" s="367">
        <f t="shared" si="6"/>
        <v>0</v>
      </c>
      <c r="AE18" s="366"/>
      <c r="AF18" s="366" t="s">
        <v>394</v>
      </c>
      <c r="AG18" s="367">
        <f>17697*20%</f>
        <v>3539.4</v>
      </c>
      <c r="AH18" s="366" t="s">
        <v>1009</v>
      </c>
      <c r="AI18" s="367">
        <f>I18*200%</f>
        <v>35394</v>
      </c>
      <c r="AJ18" s="366">
        <f t="shared" si="7"/>
        <v>18</v>
      </c>
      <c r="AK18" s="367">
        <f t="shared" si="8"/>
        <v>7963.6500000000005</v>
      </c>
      <c r="AL18" s="366">
        <f t="shared" si="9"/>
        <v>18</v>
      </c>
      <c r="AM18" s="367">
        <f t="shared" si="10"/>
        <v>68089.207500000004</v>
      </c>
      <c r="AN18" s="366" t="str">
        <f t="shared" si="11"/>
        <v>Педагог-зерттеуші</v>
      </c>
      <c r="AO18" s="367" t="str">
        <f t="shared" si="12"/>
        <v>0</v>
      </c>
      <c r="AP18" s="367">
        <f t="shared" si="13"/>
        <v>90785.610000000015</v>
      </c>
      <c r="AQ18" s="367" t="str">
        <f t="shared" si="14"/>
        <v>0</v>
      </c>
      <c r="AR18" s="367" t="str">
        <f t="shared" si="15"/>
        <v>0</v>
      </c>
      <c r="AS18" s="366"/>
      <c r="AT18" s="367"/>
      <c r="AU18" s="366"/>
      <c r="AV18" s="367"/>
      <c r="AW18" s="371">
        <f t="shared" si="24"/>
        <v>0</v>
      </c>
      <c r="AX18" s="372"/>
      <c r="AY18" s="367"/>
      <c r="AZ18" s="367">
        <f t="shared" si="16"/>
        <v>236431.92</v>
      </c>
      <c r="BA18" s="373">
        <f t="shared" si="17"/>
        <v>463395.94500000007</v>
      </c>
      <c r="BB18" s="374">
        <f t="shared" si="25"/>
        <v>46339.594500000007</v>
      </c>
      <c r="BC18" s="374">
        <f t="shared" si="26"/>
        <v>9267.9189000000024</v>
      </c>
      <c r="BD18" s="374">
        <f t="shared" si="18"/>
        <v>34723.843160000011</v>
      </c>
      <c r="BE18" s="374">
        <f t="shared" si="27"/>
        <v>373064.58844000008</v>
      </c>
      <c r="BF18" s="374">
        <f t="shared" si="28"/>
        <v>5560751.3400000008</v>
      </c>
      <c r="BG18" s="374">
        <f t="shared" si="19"/>
        <v>453928.05000000005</v>
      </c>
      <c r="BH18" s="374">
        <f t="shared" si="29"/>
        <v>6014679.3900000006</v>
      </c>
      <c r="BI18" s="374">
        <f t="shared" si="20"/>
        <v>210513.77865000005</v>
      </c>
      <c r="BJ18" s="374">
        <f t="shared" si="21"/>
        <v>312559.03411200002</v>
      </c>
      <c r="BK18" s="374">
        <f t="shared" si="30"/>
        <v>270660.57255000004</v>
      </c>
      <c r="BL18" s="374">
        <f t="shared" si="31"/>
        <v>180440.3817</v>
      </c>
      <c r="BM18" s="373">
        <f t="shared" si="22"/>
        <v>6988853.1570119997</v>
      </c>
      <c r="BN18" s="375"/>
      <c r="BO18" s="376"/>
      <c r="BP18" s="376"/>
      <c r="BQ18" s="377"/>
      <c r="BR18" s="377"/>
      <c r="BS18" s="377"/>
      <c r="BT18" s="377"/>
      <c r="BU18" s="377"/>
      <c r="BV18" s="377"/>
      <c r="BW18" s="377"/>
      <c r="BX18" s="377"/>
      <c r="BY18" s="377"/>
      <c r="BZ18" s="377"/>
      <c r="CA18" s="377"/>
      <c r="CB18" s="377"/>
      <c r="CC18" s="377"/>
      <c r="CD18" s="377"/>
      <c r="CE18" s="377"/>
      <c r="CF18" s="377"/>
      <c r="CG18" s="377"/>
      <c r="CH18" s="377"/>
      <c r="CI18" s="377"/>
    </row>
    <row r="19" spans="1:87" ht="31.5">
      <c r="A19" s="361">
        <f t="shared" si="32"/>
        <v>6</v>
      </c>
      <c r="B19" s="362">
        <f t="shared" si="32"/>
        <v>6</v>
      </c>
      <c r="C19" s="384" t="s">
        <v>206</v>
      </c>
      <c r="D19" s="379" t="s">
        <v>1010</v>
      </c>
      <c r="E19" s="362" t="s">
        <v>998</v>
      </c>
      <c r="F19" s="1298" t="s">
        <v>1011</v>
      </c>
      <c r="G19" s="362" t="s">
        <v>224</v>
      </c>
      <c r="H19" s="365" t="s">
        <v>1402</v>
      </c>
      <c r="I19" s="366">
        <v>17697</v>
      </c>
      <c r="J19" s="367">
        <v>10.4</v>
      </c>
      <c r="K19" s="367">
        <f t="shared" si="23"/>
        <v>184048.80000000002</v>
      </c>
      <c r="L19" s="366"/>
      <c r="M19" s="366"/>
      <c r="N19" s="366"/>
      <c r="O19" s="366">
        <v>5</v>
      </c>
      <c r="P19" s="366"/>
      <c r="Q19" s="368">
        <f t="shared" si="0"/>
        <v>5</v>
      </c>
      <c r="R19" s="369"/>
      <c r="S19" s="369"/>
      <c r="T19" s="369"/>
      <c r="U19" s="369"/>
      <c r="V19" s="369"/>
      <c r="W19" s="368">
        <f t="shared" si="1"/>
        <v>0</v>
      </c>
      <c r="X19" s="370">
        <f t="shared" si="2"/>
        <v>5</v>
      </c>
      <c r="Y19" s="367">
        <f t="shared" si="3"/>
        <v>57515.250000000007</v>
      </c>
      <c r="Z19" s="367"/>
      <c r="AA19" s="366">
        <v>5</v>
      </c>
      <c r="AB19" s="367">
        <f t="shared" si="5"/>
        <v>2212.125</v>
      </c>
      <c r="AC19" s="366">
        <v>0</v>
      </c>
      <c r="AD19" s="367">
        <f t="shared" si="6"/>
        <v>0</v>
      </c>
      <c r="AE19" s="366"/>
      <c r="AF19" s="366"/>
      <c r="AG19" s="367"/>
      <c r="AH19" s="366"/>
      <c r="AI19" s="367"/>
      <c r="AJ19" s="366">
        <f t="shared" si="7"/>
        <v>5</v>
      </c>
      <c r="AK19" s="367">
        <f t="shared" si="8"/>
        <v>2212.125</v>
      </c>
      <c r="AL19" s="366">
        <f t="shared" si="9"/>
        <v>5</v>
      </c>
      <c r="AM19" s="367">
        <f t="shared" si="10"/>
        <v>17254.575000000001</v>
      </c>
      <c r="AN19" s="366" t="str">
        <f t="shared" si="11"/>
        <v>Педагог-сарапшы</v>
      </c>
      <c r="AO19" s="367" t="str">
        <f t="shared" si="12"/>
        <v>0</v>
      </c>
      <c r="AP19" s="367" t="str">
        <f t="shared" si="13"/>
        <v>0</v>
      </c>
      <c r="AQ19" s="367">
        <f t="shared" si="14"/>
        <v>20130.337500000001</v>
      </c>
      <c r="AR19" s="367" t="str">
        <f t="shared" si="15"/>
        <v>0</v>
      </c>
      <c r="AS19" s="366"/>
      <c r="AT19" s="367"/>
      <c r="AU19" s="366"/>
      <c r="AV19" s="367"/>
      <c r="AW19" s="371" t="str">
        <f>G19</f>
        <v>Магистр-математика</v>
      </c>
      <c r="AX19" s="372">
        <f>10*4325</f>
        <v>43250</v>
      </c>
      <c r="AY19" s="367"/>
      <c r="AZ19" s="367">
        <f t="shared" si="16"/>
        <v>85059.162500000006</v>
      </c>
      <c r="BA19" s="373">
        <f t="shared" si="17"/>
        <v>142574.41250000001</v>
      </c>
      <c r="BB19" s="374">
        <f t="shared" si="25"/>
        <v>14257.441250000002</v>
      </c>
      <c r="BC19" s="374">
        <f t="shared" si="26"/>
        <v>2851.4882500000003</v>
      </c>
      <c r="BD19" s="374">
        <f t="shared" si="18"/>
        <v>6491.5483000000013</v>
      </c>
      <c r="BE19" s="374">
        <f t="shared" si="27"/>
        <v>118973.93470000001</v>
      </c>
      <c r="BF19" s="374">
        <f t="shared" si="28"/>
        <v>1710892.9500000002</v>
      </c>
      <c r="BG19" s="374">
        <f t="shared" si="19"/>
        <v>115030.50000000001</v>
      </c>
      <c r="BH19" s="374">
        <f t="shared" si="29"/>
        <v>1825923.4500000002</v>
      </c>
      <c r="BI19" s="374">
        <f t="shared" si="20"/>
        <v>63907.320750000014</v>
      </c>
      <c r="BJ19" s="374">
        <f t="shared" si="21"/>
        <v>94835.901810000025</v>
      </c>
      <c r="BK19" s="374">
        <f t="shared" si="30"/>
        <v>82166.555250000019</v>
      </c>
      <c r="BL19" s="374">
        <f t="shared" si="31"/>
        <v>54777.703500000003</v>
      </c>
      <c r="BM19" s="373">
        <f t="shared" si="22"/>
        <v>2121610.9313100004</v>
      </c>
      <c r="BN19" s="385">
        <v>1.25</v>
      </c>
      <c r="BO19" s="376"/>
      <c r="BP19" s="376"/>
      <c r="BQ19" s="377"/>
      <c r="BR19" s="377"/>
      <c r="BS19" s="377"/>
      <c r="BT19" s="377"/>
      <c r="BU19" s="377"/>
      <c r="BV19" s="377"/>
      <c r="BW19" s="377"/>
      <c r="BX19" s="377"/>
      <c r="BY19" s="377"/>
      <c r="BZ19" s="377"/>
      <c r="CA19" s="377"/>
      <c r="CB19" s="377"/>
      <c r="CC19" s="377"/>
      <c r="CD19" s="377"/>
      <c r="CE19" s="377"/>
      <c r="CF19" s="377"/>
      <c r="CG19" s="377"/>
      <c r="CH19" s="377"/>
      <c r="CI19" s="377"/>
    </row>
    <row r="20" spans="1:87" ht="47.25">
      <c r="A20" s="361">
        <f t="shared" si="32"/>
        <v>7</v>
      </c>
      <c r="B20" s="362">
        <f t="shared" si="32"/>
        <v>7</v>
      </c>
      <c r="C20" s="384" t="s">
        <v>1012</v>
      </c>
      <c r="D20" s="379" t="s">
        <v>1013</v>
      </c>
      <c r="E20" s="362" t="s">
        <v>998</v>
      </c>
      <c r="F20" s="1298"/>
      <c r="G20" s="362"/>
      <c r="H20" s="365" t="s">
        <v>1403</v>
      </c>
      <c r="I20" s="366">
        <v>17697</v>
      </c>
      <c r="J20" s="367">
        <v>9.5</v>
      </c>
      <c r="K20" s="367">
        <f t="shared" si="23"/>
        <v>168121.5</v>
      </c>
      <c r="L20" s="366">
        <v>16</v>
      </c>
      <c r="M20" s="366"/>
      <c r="N20" s="366">
        <v>8</v>
      </c>
      <c r="O20" s="366"/>
      <c r="P20" s="366"/>
      <c r="Q20" s="368">
        <f t="shared" si="0"/>
        <v>24</v>
      </c>
      <c r="R20" s="369">
        <v>2</v>
      </c>
      <c r="S20" s="369"/>
      <c r="T20" s="369">
        <v>1</v>
      </c>
      <c r="U20" s="369"/>
      <c r="V20" s="369"/>
      <c r="W20" s="368">
        <f t="shared" si="1"/>
        <v>3</v>
      </c>
      <c r="X20" s="370">
        <f t="shared" si="2"/>
        <v>27</v>
      </c>
      <c r="Y20" s="367">
        <f t="shared" si="3"/>
        <v>283705.03125</v>
      </c>
      <c r="Z20" s="367">
        <f t="shared" si="4"/>
        <v>28370.503125000003</v>
      </c>
      <c r="AA20" s="366">
        <v>9</v>
      </c>
      <c r="AB20" s="367">
        <f t="shared" si="5"/>
        <v>3981.8250000000003</v>
      </c>
      <c r="AC20" s="366">
        <v>18</v>
      </c>
      <c r="AD20" s="367">
        <f t="shared" si="6"/>
        <v>3981.8250000000003</v>
      </c>
      <c r="AE20" s="366"/>
      <c r="AF20" s="366"/>
      <c r="AG20" s="367"/>
      <c r="AH20" s="366"/>
      <c r="AI20" s="367"/>
      <c r="AJ20" s="366">
        <f t="shared" si="7"/>
        <v>27</v>
      </c>
      <c r="AK20" s="367">
        <f t="shared" si="8"/>
        <v>11945.475</v>
      </c>
      <c r="AL20" s="366">
        <f t="shared" si="9"/>
        <v>27</v>
      </c>
      <c r="AM20" s="367">
        <f t="shared" si="10"/>
        <v>85111.509374999994</v>
      </c>
      <c r="AN20" s="366">
        <f t="shared" si="11"/>
        <v>0</v>
      </c>
      <c r="AO20" s="367" t="str">
        <f t="shared" si="12"/>
        <v>0</v>
      </c>
      <c r="AP20" s="367" t="str">
        <f t="shared" si="13"/>
        <v>0</v>
      </c>
      <c r="AQ20" s="367" t="str">
        <f t="shared" si="14"/>
        <v>0</v>
      </c>
      <c r="AR20" s="367" t="str">
        <f t="shared" si="15"/>
        <v>0</v>
      </c>
      <c r="AS20" s="366"/>
      <c r="AT20" s="367"/>
      <c r="AU20" s="366"/>
      <c r="AV20" s="367"/>
      <c r="AW20" s="371">
        <f t="shared" si="24"/>
        <v>0</v>
      </c>
      <c r="AX20" s="372"/>
      <c r="AY20" s="367"/>
      <c r="AZ20" s="367">
        <f t="shared" si="16"/>
        <v>133391.13750000001</v>
      </c>
      <c r="BA20" s="373">
        <f t="shared" si="17"/>
        <v>417096.16875000001</v>
      </c>
      <c r="BB20" s="374">
        <f t="shared" si="25"/>
        <v>41709.616875000007</v>
      </c>
      <c r="BC20" s="374">
        <f t="shared" si="26"/>
        <v>8341.9233750000003</v>
      </c>
      <c r="BD20" s="374">
        <f t="shared" si="18"/>
        <v>30649.46285</v>
      </c>
      <c r="BE20" s="374">
        <f t="shared" si="27"/>
        <v>336395.16564999998</v>
      </c>
      <c r="BF20" s="374">
        <f t="shared" si="28"/>
        <v>5005154.0250000004</v>
      </c>
      <c r="BG20" s="374">
        <f t="shared" si="19"/>
        <v>567410.0625</v>
      </c>
      <c r="BH20" s="374">
        <f t="shared" si="29"/>
        <v>5572564.0875000004</v>
      </c>
      <c r="BI20" s="374">
        <f t="shared" si="20"/>
        <v>195039.74306250003</v>
      </c>
      <c r="BJ20" s="374">
        <f t="shared" si="21"/>
        <v>289907.12187000003</v>
      </c>
      <c r="BK20" s="374">
        <f t="shared" si="30"/>
        <v>250765.38393750007</v>
      </c>
      <c r="BL20" s="374">
        <f t="shared" si="31"/>
        <v>167176.92262500001</v>
      </c>
      <c r="BM20" s="373">
        <f t="shared" si="22"/>
        <v>6475453.2589950003</v>
      </c>
      <c r="BN20" s="375"/>
      <c r="BO20" s="376"/>
      <c r="BP20" s="376"/>
      <c r="BQ20" s="377"/>
      <c r="BR20" s="377"/>
      <c r="BS20" s="377"/>
      <c r="BT20" s="377"/>
      <c r="BU20" s="377"/>
      <c r="BV20" s="377"/>
      <c r="BW20" s="377"/>
      <c r="BX20" s="377"/>
      <c r="BY20" s="377"/>
      <c r="BZ20" s="377"/>
      <c r="CA20" s="377"/>
      <c r="CB20" s="377"/>
      <c r="CC20" s="377"/>
      <c r="CD20" s="377"/>
      <c r="CE20" s="377"/>
      <c r="CF20" s="377"/>
      <c r="CG20" s="377"/>
      <c r="CH20" s="377"/>
      <c r="CI20" s="377"/>
    </row>
    <row r="21" spans="1:87" ht="47.25">
      <c r="A21" s="361">
        <f t="shared" si="32"/>
        <v>8</v>
      </c>
      <c r="B21" s="362">
        <f t="shared" si="32"/>
        <v>8</v>
      </c>
      <c r="C21" s="384" t="s">
        <v>1014</v>
      </c>
      <c r="D21" s="379" t="s">
        <v>1015</v>
      </c>
      <c r="E21" s="362" t="s">
        <v>998</v>
      </c>
      <c r="F21" s="1298"/>
      <c r="G21" s="362"/>
      <c r="H21" s="365" t="s">
        <v>279</v>
      </c>
      <c r="I21" s="366">
        <v>17697</v>
      </c>
      <c r="J21" s="367">
        <v>9.66</v>
      </c>
      <c r="K21" s="367">
        <f t="shared" si="23"/>
        <v>170953.02</v>
      </c>
      <c r="L21" s="366"/>
      <c r="M21" s="366">
        <v>24</v>
      </c>
      <c r="N21" s="366"/>
      <c r="O21" s="366"/>
      <c r="P21" s="366"/>
      <c r="Q21" s="368">
        <f t="shared" si="0"/>
        <v>24</v>
      </c>
      <c r="R21" s="369"/>
      <c r="S21" s="369">
        <v>3</v>
      </c>
      <c r="T21" s="369"/>
      <c r="U21" s="369"/>
      <c r="V21" s="369"/>
      <c r="W21" s="368">
        <f t="shared" si="1"/>
        <v>3</v>
      </c>
      <c r="X21" s="370">
        <f t="shared" si="2"/>
        <v>27</v>
      </c>
      <c r="Y21" s="367">
        <f t="shared" si="3"/>
        <v>288483.22125</v>
      </c>
      <c r="Z21" s="367">
        <f t="shared" si="4"/>
        <v>28848.322125000002</v>
      </c>
      <c r="AA21" s="366">
        <v>9</v>
      </c>
      <c r="AB21" s="367">
        <f t="shared" si="5"/>
        <v>3981.8250000000003</v>
      </c>
      <c r="AC21" s="366">
        <v>18</v>
      </c>
      <c r="AD21" s="367">
        <f t="shared" si="6"/>
        <v>3981.8250000000003</v>
      </c>
      <c r="AE21" s="366"/>
      <c r="AF21" s="366" t="s">
        <v>1017</v>
      </c>
      <c r="AG21" s="367">
        <f t="shared" ref="AG21:AG27" si="33">17697*20%</f>
        <v>3539.4</v>
      </c>
      <c r="AH21" s="366"/>
      <c r="AI21" s="367"/>
      <c r="AJ21" s="366">
        <f t="shared" si="7"/>
        <v>27</v>
      </c>
      <c r="AK21" s="367">
        <f t="shared" si="8"/>
        <v>11945.475</v>
      </c>
      <c r="AL21" s="366">
        <f t="shared" si="9"/>
        <v>27</v>
      </c>
      <c r="AM21" s="367">
        <f t="shared" si="10"/>
        <v>86544.966375000004</v>
      </c>
      <c r="AN21" s="366">
        <f t="shared" si="11"/>
        <v>0</v>
      </c>
      <c r="AO21" s="367" t="str">
        <f t="shared" si="12"/>
        <v>0</v>
      </c>
      <c r="AP21" s="367" t="str">
        <f t="shared" si="13"/>
        <v>0</v>
      </c>
      <c r="AQ21" s="367" t="str">
        <f t="shared" si="14"/>
        <v>0</v>
      </c>
      <c r="AR21" s="367" t="str">
        <f t="shared" si="15"/>
        <v>0</v>
      </c>
      <c r="AS21" s="366"/>
      <c r="AT21" s="367"/>
      <c r="AU21" s="366"/>
      <c r="AV21" s="367"/>
      <c r="AW21" s="371">
        <f t="shared" si="24"/>
        <v>0</v>
      </c>
      <c r="AX21" s="372"/>
      <c r="AY21" s="367"/>
      <c r="AZ21" s="367">
        <f t="shared" si="16"/>
        <v>138841.81349999999</v>
      </c>
      <c r="BA21" s="373">
        <f t="shared" si="17"/>
        <v>427325.03474999999</v>
      </c>
      <c r="BB21" s="374">
        <f t="shared" si="25"/>
        <v>42732.503475000005</v>
      </c>
      <c r="BC21" s="374">
        <f t="shared" si="26"/>
        <v>8546.5006950000006</v>
      </c>
      <c r="BD21" s="374">
        <f t="shared" si="18"/>
        <v>31549.603057999997</v>
      </c>
      <c r="BE21" s="374">
        <f t="shared" si="27"/>
        <v>344496.42752199998</v>
      </c>
      <c r="BF21" s="374">
        <f t="shared" si="28"/>
        <v>5127900.4169999994</v>
      </c>
      <c r="BG21" s="374">
        <f t="shared" si="19"/>
        <v>576966.4425</v>
      </c>
      <c r="BH21" s="374">
        <f t="shared" si="29"/>
        <v>5704866.8594999993</v>
      </c>
      <c r="BI21" s="374">
        <f t="shared" si="20"/>
        <v>199670.34008249998</v>
      </c>
      <c r="BJ21" s="374">
        <f t="shared" si="21"/>
        <v>296781.42949559994</v>
      </c>
      <c r="BK21" s="374">
        <f t="shared" si="30"/>
        <v>256719.00867749998</v>
      </c>
      <c r="BL21" s="374">
        <f t="shared" si="31"/>
        <v>171146.00578499999</v>
      </c>
      <c r="BM21" s="373">
        <f t="shared" si="22"/>
        <v>6629183.6435405994</v>
      </c>
      <c r="BN21" s="375"/>
      <c r="BO21" s="376"/>
      <c r="BP21" s="376"/>
      <c r="BQ21" s="377"/>
      <c r="BR21" s="377"/>
      <c r="BS21" s="377"/>
      <c r="BT21" s="377"/>
      <c r="BU21" s="377"/>
      <c r="BV21" s="377"/>
      <c r="BW21" s="377"/>
      <c r="BX21" s="377"/>
      <c r="BY21" s="377"/>
      <c r="BZ21" s="377"/>
      <c r="CA21" s="377"/>
      <c r="CB21" s="377"/>
      <c r="CC21" s="377"/>
      <c r="CD21" s="377"/>
      <c r="CE21" s="377"/>
      <c r="CF21" s="377"/>
      <c r="CG21" s="377"/>
      <c r="CH21" s="377"/>
      <c r="CI21" s="377"/>
    </row>
    <row r="22" spans="1:87" ht="47.25">
      <c r="A22" s="361">
        <f t="shared" si="32"/>
        <v>9</v>
      </c>
      <c r="B22" s="362">
        <f t="shared" si="32"/>
        <v>9</v>
      </c>
      <c r="C22" s="386" t="s">
        <v>204</v>
      </c>
      <c r="D22" s="379" t="s">
        <v>1018</v>
      </c>
      <c r="E22" s="362" t="s">
        <v>998</v>
      </c>
      <c r="F22" s="1298" t="s">
        <v>999</v>
      </c>
      <c r="G22" s="362"/>
      <c r="H22" s="365" t="s">
        <v>1019</v>
      </c>
      <c r="I22" s="366">
        <v>17697</v>
      </c>
      <c r="J22" s="367">
        <v>11.4</v>
      </c>
      <c r="K22" s="367">
        <f t="shared" si="23"/>
        <v>201745.80000000002</v>
      </c>
      <c r="L22" s="366"/>
      <c r="M22" s="366"/>
      <c r="N22" s="366">
        <v>16</v>
      </c>
      <c r="O22" s="366"/>
      <c r="P22" s="366"/>
      <c r="Q22" s="368">
        <f t="shared" si="0"/>
        <v>16</v>
      </c>
      <c r="R22" s="369"/>
      <c r="S22" s="369"/>
      <c r="T22" s="369">
        <v>2</v>
      </c>
      <c r="U22" s="369"/>
      <c r="V22" s="369"/>
      <c r="W22" s="368">
        <f t="shared" si="1"/>
        <v>2</v>
      </c>
      <c r="X22" s="370">
        <f t="shared" si="2"/>
        <v>18</v>
      </c>
      <c r="Y22" s="367">
        <f t="shared" si="3"/>
        <v>226964.02500000002</v>
      </c>
      <c r="Z22" s="367">
        <f t="shared" si="4"/>
        <v>22696.402500000004</v>
      </c>
      <c r="AA22" s="366">
        <v>18</v>
      </c>
      <c r="AB22" s="367">
        <f t="shared" si="5"/>
        <v>7963.6500000000005</v>
      </c>
      <c r="AC22" s="366">
        <v>0</v>
      </c>
      <c r="AD22" s="367">
        <f t="shared" si="6"/>
        <v>0</v>
      </c>
      <c r="AE22" s="366"/>
      <c r="AF22" s="366" t="s">
        <v>257</v>
      </c>
      <c r="AG22" s="367">
        <f t="shared" si="33"/>
        <v>3539.4</v>
      </c>
      <c r="AH22" s="366"/>
      <c r="AI22" s="367"/>
      <c r="AJ22" s="366">
        <f t="shared" si="7"/>
        <v>18</v>
      </c>
      <c r="AK22" s="367">
        <f t="shared" si="8"/>
        <v>7963.6500000000005</v>
      </c>
      <c r="AL22" s="366">
        <f t="shared" si="9"/>
        <v>18</v>
      </c>
      <c r="AM22" s="367">
        <f t="shared" si="10"/>
        <v>68089.207500000004</v>
      </c>
      <c r="AN22" s="366" t="str">
        <f t="shared" si="11"/>
        <v>Педагог-шебер</v>
      </c>
      <c r="AO22" s="367">
        <f t="shared" si="12"/>
        <v>113482.01250000001</v>
      </c>
      <c r="AP22" s="367" t="str">
        <f t="shared" si="13"/>
        <v>0</v>
      </c>
      <c r="AQ22" s="367" t="str">
        <f t="shared" si="14"/>
        <v>0</v>
      </c>
      <c r="AR22" s="367" t="str">
        <f t="shared" si="15"/>
        <v>0</v>
      </c>
      <c r="AS22" s="366"/>
      <c r="AT22" s="367"/>
      <c r="AU22" s="371"/>
      <c r="AV22" s="367"/>
      <c r="AW22" s="371">
        <f t="shared" si="24"/>
        <v>0</v>
      </c>
      <c r="AX22" s="372"/>
      <c r="AY22" s="367"/>
      <c r="AZ22" s="367">
        <f t="shared" si="16"/>
        <v>223734.32250000001</v>
      </c>
      <c r="BA22" s="373">
        <f t="shared" si="17"/>
        <v>450698.34750000003</v>
      </c>
      <c r="BB22" s="374">
        <f t="shared" si="25"/>
        <v>45069.834750000009</v>
      </c>
      <c r="BC22" s="374">
        <f t="shared" si="26"/>
        <v>9013.96695</v>
      </c>
      <c r="BD22" s="374">
        <f t="shared" si="18"/>
        <v>33606.454580000005</v>
      </c>
      <c r="BE22" s="374">
        <f t="shared" si="27"/>
        <v>363008.09122</v>
      </c>
      <c r="BF22" s="374">
        <f t="shared" si="28"/>
        <v>5408380.1699999999</v>
      </c>
      <c r="BG22" s="374">
        <f t="shared" si="19"/>
        <v>453928.05000000005</v>
      </c>
      <c r="BH22" s="374">
        <f t="shared" si="29"/>
        <v>5862308.2199999997</v>
      </c>
      <c r="BI22" s="374">
        <f t="shared" si="20"/>
        <v>205180.78770000002</v>
      </c>
      <c r="BJ22" s="374">
        <f t="shared" si="21"/>
        <v>304666.20750600001</v>
      </c>
      <c r="BK22" s="374">
        <f t="shared" si="30"/>
        <v>263803.86989999999</v>
      </c>
      <c r="BL22" s="374">
        <f t="shared" si="31"/>
        <v>175869.24659999998</v>
      </c>
      <c r="BM22" s="373">
        <f t="shared" si="22"/>
        <v>6811828.3317060005</v>
      </c>
      <c r="BN22" s="375"/>
      <c r="BO22" s="376"/>
      <c r="BP22" s="376"/>
      <c r="BQ22" s="377"/>
      <c r="BR22" s="377"/>
      <c r="BS22" s="377"/>
      <c r="BT22" s="377"/>
      <c r="BU22" s="377"/>
      <c r="BV22" s="377"/>
      <c r="BW22" s="377"/>
      <c r="BX22" s="377"/>
      <c r="BY22" s="377"/>
      <c r="BZ22" s="377"/>
      <c r="CA22" s="377"/>
      <c r="CB22" s="377"/>
      <c r="CC22" s="377"/>
      <c r="CD22" s="377"/>
      <c r="CE22" s="377"/>
      <c r="CF22" s="377"/>
      <c r="CG22" s="377"/>
      <c r="CH22" s="377"/>
      <c r="CI22" s="377"/>
    </row>
    <row r="23" spans="1:87" ht="45">
      <c r="A23" s="361">
        <f t="shared" si="32"/>
        <v>10</v>
      </c>
      <c r="B23" s="362">
        <f t="shared" si="32"/>
        <v>10</v>
      </c>
      <c r="C23" s="387" t="s">
        <v>1020</v>
      </c>
      <c r="D23" s="388" t="s">
        <v>1021</v>
      </c>
      <c r="E23" s="389" t="s">
        <v>1022</v>
      </c>
      <c r="F23" s="1314" t="s">
        <v>254</v>
      </c>
      <c r="G23" s="390"/>
      <c r="H23" s="371" t="s">
        <v>1404</v>
      </c>
      <c r="I23" s="366">
        <v>17697</v>
      </c>
      <c r="J23" s="367">
        <v>8.14</v>
      </c>
      <c r="K23" s="367">
        <f t="shared" si="23"/>
        <v>144053.58000000002</v>
      </c>
      <c r="L23" s="366"/>
      <c r="M23" s="366">
        <v>16</v>
      </c>
      <c r="N23" s="366">
        <v>16</v>
      </c>
      <c r="O23" s="366"/>
      <c r="P23" s="366"/>
      <c r="Q23" s="368">
        <f t="shared" si="0"/>
        <v>32</v>
      </c>
      <c r="R23" s="369"/>
      <c r="S23" s="369">
        <v>2</v>
      </c>
      <c r="T23" s="369">
        <v>2</v>
      </c>
      <c r="U23" s="369"/>
      <c r="V23" s="369"/>
      <c r="W23" s="368">
        <f t="shared" si="1"/>
        <v>4</v>
      </c>
      <c r="X23" s="370">
        <f t="shared" si="2"/>
        <v>36</v>
      </c>
      <c r="Y23" s="367">
        <f t="shared" si="3"/>
        <v>324120.55500000005</v>
      </c>
      <c r="Z23" s="367">
        <f t="shared" si="4"/>
        <v>32412.055500000006</v>
      </c>
      <c r="AA23" s="366">
        <v>18</v>
      </c>
      <c r="AB23" s="367">
        <f t="shared" si="5"/>
        <v>7963.6500000000005</v>
      </c>
      <c r="AC23" s="366">
        <v>18</v>
      </c>
      <c r="AD23" s="367">
        <f t="shared" si="6"/>
        <v>3981.8250000000003</v>
      </c>
      <c r="AE23" s="366"/>
      <c r="AF23" s="366" t="s">
        <v>1023</v>
      </c>
      <c r="AG23" s="367">
        <f t="shared" si="33"/>
        <v>3539.4</v>
      </c>
      <c r="AH23" s="366"/>
      <c r="AI23" s="367"/>
      <c r="AJ23" s="366">
        <f t="shared" si="7"/>
        <v>36</v>
      </c>
      <c r="AK23" s="367">
        <f t="shared" si="8"/>
        <v>15927.300000000001</v>
      </c>
      <c r="AL23" s="366">
        <f t="shared" si="9"/>
        <v>36</v>
      </c>
      <c r="AM23" s="367">
        <f t="shared" si="10"/>
        <v>97236.166500000007</v>
      </c>
      <c r="AN23" s="366" t="str">
        <f t="shared" si="11"/>
        <v>Педагог-модератор</v>
      </c>
      <c r="AO23" s="367" t="str">
        <f t="shared" si="12"/>
        <v>0</v>
      </c>
      <c r="AP23" s="367" t="str">
        <f t="shared" si="13"/>
        <v>0</v>
      </c>
      <c r="AQ23" s="367" t="str">
        <f t="shared" si="14"/>
        <v>0</v>
      </c>
      <c r="AR23" s="367">
        <f t="shared" si="15"/>
        <v>97236.166500000007</v>
      </c>
      <c r="AS23" s="366"/>
      <c r="AT23" s="367"/>
      <c r="AU23" s="371"/>
      <c r="AV23" s="367"/>
      <c r="AW23" s="371">
        <f t="shared" si="24"/>
        <v>0</v>
      </c>
      <c r="AX23" s="372"/>
      <c r="AY23" s="367"/>
      <c r="AZ23" s="367">
        <f t="shared" si="16"/>
        <v>258296.56349999999</v>
      </c>
      <c r="BA23" s="373">
        <f t="shared" si="17"/>
        <v>582417.1185000001</v>
      </c>
      <c r="BB23" s="374">
        <f t="shared" si="25"/>
        <v>58241.711850000014</v>
      </c>
      <c r="BC23" s="374">
        <f t="shared" si="26"/>
        <v>11648.342370000002</v>
      </c>
      <c r="BD23" s="374">
        <f t="shared" si="18"/>
        <v>45197.706428000005</v>
      </c>
      <c r="BE23" s="374">
        <f t="shared" si="27"/>
        <v>467329.35785200004</v>
      </c>
      <c r="BF23" s="374">
        <f t="shared" si="28"/>
        <v>6989005.4220000012</v>
      </c>
      <c r="BG23" s="374">
        <f t="shared" si="19"/>
        <v>648241.1100000001</v>
      </c>
      <c r="BH23" s="374">
        <f t="shared" si="29"/>
        <v>7637246.5320000015</v>
      </c>
      <c r="BI23" s="374">
        <f t="shared" si="20"/>
        <v>267303.62862000009</v>
      </c>
      <c r="BJ23" s="374">
        <f t="shared" si="21"/>
        <v>397035.50079960009</v>
      </c>
      <c r="BK23" s="374">
        <f t="shared" si="30"/>
        <v>343676.09394000011</v>
      </c>
      <c r="BL23" s="374">
        <f t="shared" si="31"/>
        <v>229117.39596000002</v>
      </c>
      <c r="BM23" s="373">
        <f t="shared" si="22"/>
        <v>8874379.1513196025</v>
      </c>
      <c r="BN23" s="375"/>
      <c r="BO23" s="376"/>
      <c r="BP23" s="376"/>
      <c r="BQ23" s="377"/>
      <c r="BR23" s="377"/>
      <c r="BS23" s="377"/>
      <c r="BT23" s="377"/>
      <c r="BU23" s="377"/>
      <c r="BV23" s="377"/>
      <c r="BW23" s="377"/>
      <c r="BX23" s="377"/>
      <c r="BY23" s="377"/>
      <c r="BZ23" s="377"/>
      <c r="CA23" s="377"/>
      <c r="CB23" s="377"/>
      <c r="CC23" s="377"/>
      <c r="CD23" s="377"/>
      <c r="CE23" s="377"/>
      <c r="CF23" s="377"/>
      <c r="CG23" s="377"/>
      <c r="CH23" s="377"/>
      <c r="CI23" s="377"/>
    </row>
    <row r="24" spans="1:87" ht="51" customHeight="1">
      <c r="A24" s="361">
        <f t="shared" si="32"/>
        <v>11</v>
      </c>
      <c r="B24" s="362">
        <f t="shared" si="32"/>
        <v>11</v>
      </c>
      <c r="C24" s="391" t="s">
        <v>209</v>
      </c>
      <c r="D24" s="379" t="s">
        <v>1024</v>
      </c>
      <c r="E24" s="392" t="s">
        <v>998</v>
      </c>
      <c r="F24" s="508" t="s">
        <v>999</v>
      </c>
      <c r="G24" s="393"/>
      <c r="H24" s="371" t="s">
        <v>1025</v>
      </c>
      <c r="I24" s="366">
        <v>17697</v>
      </c>
      <c r="J24" s="367">
        <v>11.4</v>
      </c>
      <c r="K24" s="367">
        <f t="shared" si="23"/>
        <v>201745.80000000002</v>
      </c>
      <c r="L24" s="366"/>
      <c r="M24" s="366"/>
      <c r="N24" s="366"/>
      <c r="O24" s="366"/>
      <c r="P24" s="366">
        <v>18</v>
      </c>
      <c r="Q24" s="368">
        <f t="shared" si="0"/>
        <v>18</v>
      </c>
      <c r="R24" s="369"/>
      <c r="S24" s="369"/>
      <c r="T24" s="369"/>
      <c r="U24" s="369"/>
      <c r="V24" s="369"/>
      <c r="W24" s="368">
        <f t="shared" si="1"/>
        <v>0</v>
      </c>
      <c r="X24" s="370">
        <f t="shared" si="2"/>
        <v>18</v>
      </c>
      <c r="Y24" s="367">
        <f t="shared" si="3"/>
        <v>226964.02500000002</v>
      </c>
      <c r="Z24" s="367">
        <f t="shared" si="4"/>
        <v>22696.402500000004</v>
      </c>
      <c r="AA24" s="366">
        <v>18</v>
      </c>
      <c r="AB24" s="367">
        <f t="shared" si="5"/>
        <v>7963.6500000000005</v>
      </c>
      <c r="AC24" s="366">
        <v>0</v>
      </c>
      <c r="AD24" s="367">
        <f t="shared" si="6"/>
        <v>0</v>
      </c>
      <c r="AE24" s="366"/>
      <c r="AF24" s="366"/>
      <c r="AG24" s="367"/>
      <c r="AH24" s="366"/>
      <c r="AI24" s="367"/>
      <c r="AJ24" s="366">
        <f t="shared" si="7"/>
        <v>18</v>
      </c>
      <c r="AK24" s="367">
        <f t="shared" si="8"/>
        <v>7963.6500000000005</v>
      </c>
      <c r="AL24" s="366">
        <f t="shared" si="9"/>
        <v>18</v>
      </c>
      <c r="AM24" s="367">
        <f t="shared" si="10"/>
        <v>68089.207500000004</v>
      </c>
      <c r="AN24" s="366" t="str">
        <f t="shared" si="11"/>
        <v>Педагог-шебер</v>
      </c>
      <c r="AO24" s="367">
        <f t="shared" si="12"/>
        <v>113482.01250000001</v>
      </c>
      <c r="AP24" s="367" t="str">
        <f t="shared" si="13"/>
        <v>0</v>
      </c>
      <c r="AQ24" s="367" t="str">
        <f t="shared" si="14"/>
        <v>0</v>
      </c>
      <c r="AR24" s="367" t="str">
        <f t="shared" si="15"/>
        <v>0</v>
      </c>
      <c r="AS24" s="366"/>
      <c r="AT24" s="367"/>
      <c r="AU24" s="372"/>
      <c r="AV24" s="367"/>
      <c r="AW24" s="371">
        <f>G24</f>
        <v>0</v>
      </c>
      <c r="AX24" s="372"/>
      <c r="AY24" s="367"/>
      <c r="AZ24" s="367">
        <f t="shared" si="16"/>
        <v>220194.92250000002</v>
      </c>
      <c r="BA24" s="373">
        <f t="shared" si="17"/>
        <v>447158.94750000001</v>
      </c>
      <c r="BB24" s="374">
        <f t="shared" si="25"/>
        <v>44715.894750000007</v>
      </c>
      <c r="BC24" s="374">
        <f t="shared" si="26"/>
        <v>8943.1789499999995</v>
      </c>
      <c r="BD24" s="374">
        <f t="shared" si="18"/>
        <v>33294.987380000006</v>
      </c>
      <c r="BE24" s="374">
        <f t="shared" si="27"/>
        <v>360204.88642000005</v>
      </c>
      <c r="BF24" s="374">
        <f t="shared" si="28"/>
        <v>5365907.37</v>
      </c>
      <c r="BG24" s="374">
        <f t="shared" si="19"/>
        <v>453928.05000000005</v>
      </c>
      <c r="BH24" s="374">
        <f t="shared" si="29"/>
        <v>5819835.4199999999</v>
      </c>
      <c r="BI24" s="374">
        <f t="shared" si="20"/>
        <v>203694.23970000001</v>
      </c>
      <c r="BJ24" s="374">
        <f t="shared" si="21"/>
        <v>302466.11646600004</v>
      </c>
      <c r="BK24" s="374">
        <f t="shared" si="30"/>
        <v>261892.59390000004</v>
      </c>
      <c r="BL24" s="374">
        <f t="shared" si="31"/>
        <v>174595.0626</v>
      </c>
      <c r="BM24" s="373">
        <f t="shared" si="22"/>
        <v>6762483.432665999</v>
      </c>
      <c r="BN24" s="375"/>
      <c r="BO24" s="376"/>
      <c r="BP24" s="376"/>
      <c r="BQ24" s="377"/>
      <c r="BR24" s="377"/>
      <c r="BS24" s="377"/>
      <c r="BT24" s="377"/>
      <c r="BU24" s="377"/>
      <c r="BV24" s="377"/>
      <c r="BW24" s="377"/>
      <c r="BX24" s="377"/>
      <c r="BY24" s="377"/>
      <c r="BZ24" s="377"/>
      <c r="CA24" s="377"/>
      <c r="CB24" s="377"/>
      <c r="CC24" s="377"/>
      <c r="CD24" s="377"/>
      <c r="CE24" s="377"/>
      <c r="CF24" s="377"/>
      <c r="CG24" s="377"/>
      <c r="CH24" s="377"/>
      <c r="CI24" s="377"/>
    </row>
    <row r="25" spans="1:87" ht="47.25">
      <c r="A25" s="361">
        <f t="shared" si="32"/>
        <v>12</v>
      </c>
      <c r="B25" s="362">
        <f t="shared" si="32"/>
        <v>12</v>
      </c>
      <c r="C25" s="378" t="s">
        <v>195</v>
      </c>
      <c r="D25" s="379" t="s">
        <v>1026</v>
      </c>
      <c r="E25" s="392" t="s">
        <v>998</v>
      </c>
      <c r="F25" s="1314" t="s">
        <v>254</v>
      </c>
      <c r="G25" s="366"/>
      <c r="H25" s="371" t="s">
        <v>280</v>
      </c>
      <c r="I25" s="366">
        <v>17697</v>
      </c>
      <c r="J25" s="367">
        <v>10.220000000000001</v>
      </c>
      <c r="K25" s="367">
        <f t="shared" si="23"/>
        <v>180863.34000000003</v>
      </c>
      <c r="L25" s="366">
        <v>32</v>
      </c>
      <c r="M25" s="366"/>
      <c r="N25" s="366"/>
      <c r="O25" s="366"/>
      <c r="P25" s="366"/>
      <c r="Q25" s="368">
        <f t="shared" si="0"/>
        <v>32</v>
      </c>
      <c r="R25" s="369">
        <v>4</v>
      </c>
      <c r="S25" s="369"/>
      <c r="T25" s="369"/>
      <c r="U25" s="369"/>
      <c r="V25" s="369"/>
      <c r="W25" s="368">
        <f t="shared" si="1"/>
        <v>4</v>
      </c>
      <c r="X25" s="370">
        <f t="shared" si="2"/>
        <v>36</v>
      </c>
      <c r="Y25" s="367">
        <f t="shared" si="3"/>
        <v>406942.51500000007</v>
      </c>
      <c r="Z25" s="367">
        <f t="shared" si="4"/>
        <v>40694.251500000013</v>
      </c>
      <c r="AA25" s="366">
        <v>0</v>
      </c>
      <c r="AB25" s="367">
        <f t="shared" si="5"/>
        <v>0</v>
      </c>
      <c r="AC25" s="366">
        <v>36</v>
      </c>
      <c r="AD25" s="367">
        <f t="shared" si="6"/>
        <v>7963.6500000000005</v>
      </c>
      <c r="AE25" s="366"/>
      <c r="AF25" s="366" t="s">
        <v>1027</v>
      </c>
      <c r="AG25" s="367">
        <f t="shared" si="33"/>
        <v>3539.4</v>
      </c>
      <c r="AH25" s="366"/>
      <c r="AI25" s="367"/>
      <c r="AJ25" s="366">
        <f t="shared" si="7"/>
        <v>36</v>
      </c>
      <c r="AK25" s="367">
        <f t="shared" si="8"/>
        <v>15927.300000000001</v>
      </c>
      <c r="AL25" s="366">
        <f t="shared" si="9"/>
        <v>36</v>
      </c>
      <c r="AM25" s="367">
        <f t="shared" si="10"/>
        <v>122082.75450000001</v>
      </c>
      <c r="AN25" s="366" t="str">
        <f t="shared" si="11"/>
        <v>Педагог-модератор</v>
      </c>
      <c r="AO25" s="367" t="str">
        <f t="shared" si="12"/>
        <v>0</v>
      </c>
      <c r="AP25" s="367" t="str">
        <f t="shared" si="13"/>
        <v>0</v>
      </c>
      <c r="AQ25" s="367" t="str">
        <f t="shared" si="14"/>
        <v>0</v>
      </c>
      <c r="AR25" s="367">
        <f t="shared" si="15"/>
        <v>122082.75450000001</v>
      </c>
      <c r="AS25" s="366"/>
      <c r="AT25" s="367"/>
      <c r="AU25" s="371"/>
      <c r="AV25" s="367"/>
      <c r="AW25" s="371">
        <f t="shared" si="24"/>
        <v>0</v>
      </c>
      <c r="AX25" s="372"/>
      <c r="AY25" s="367"/>
      <c r="AZ25" s="367">
        <f t="shared" si="16"/>
        <v>312290.11050000007</v>
      </c>
      <c r="BA25" s="373">
        <f t="shared" si="17"/>
        <v>719232.62550000008</v>
      </c>
      <c r="BB25" s="374">
        <f t="shared" si="25"/>
        <v>71923.262550000014</v>
      </c>
      <c r="BC25" s="374">
        <f t="shared" si="26"/>
        <v>14384.652510000002</v>
      </c>
      <c r="BD25" s="374">
        <f t="shared" si="18"/>
        <v>57237.471044000005</v>
      </c>
      <c r="BE25" s="374">
        <f t="shared" si="27"/>
        <v>575687.23939600005</v>
      </c>
      <c r="BF25" s="374">
        <f t="shared" si="28"/>
        <v>8630791.506000001</v>
      </c>
      <c r="BG25" s="374">
        <f t="shared" si="19"/>
        <v>813885.03000000014</v>
      </c>
      <c r="BH25" s="374">
        <f t="shared" si="29"/>
        <v>9444676.5360000003</v>
      </c>
      <c r="BI25" s="374">
        <f t="shared" si="20"/>
        <v>330563.67876000004</v>
      </c>
      <c r="BJ25" s="374">
        <f t="shared" si="21"/>
        <v>491024.79163079994</v>
      </c>
      <c r="BK25" s="374">
        <f t="shared" si="30"/>
        <v>425010.44412000006</v>
      </c>
      <c r="BL25" s="374">
        <f t="shared" si="31"/>
        <v>283340.29608</v>
      </c>
      <c r="BM25" s="373">
        <f t="shared" si="22"/>
        <v>10974615.746590801</v>
      </c>
      <c r="BN25" s="375"/>
      <c r="BO25" s="376"/>
      <c r="BP25" s="376"/>
      <c r="BQ25" s="377"/>
      <c r="BR25" s="377"/>
      <c r="BS25" s="377"/>
      <c r="BT25" s="377"/>
      <c r="BU25" s="377"/>
      <c r="BV25" s="377"/>
      <c r="BW25" s="377"/>
      <c r="BX25" s="377"/>
      <c r="BY25" s="377"/>
      <c r="BZ25" s="377"/>
      <c r="CA25" s="377"/>
      <c r="CB25" s="377"/>
      <c r="CC25" s="377"/>
      <c r="CD25" s="377"/>
      <c r="CE25" s="377"/>
      <c r="CF25" s="377"/>
      <c r="CG25" s="377"/>
      <c r="CH25" s="377"/>
      <c r="CI25" s="377"/>
    </row>
    <row r="26" spans="1:87" ht="47.25">
      <c r="A26" s="361">
        <f t="shared" si="32"/>
        <v>13</v>
      </c>
      <c r="B26" s="362">
        <f t="shared" si="32"/>
        <v>13</v>
      </c>
      <c r="C26" s="378" t="s">
        <v>198</v>
      </c>
      <c r="D26" s="379" t="s">
        <v>1028</v>
      </c>
      <c r="E26" s="392" t="s">
        <v>998</v>
      </c>
      <c r="F26" s="508" t="s">
        <v>1005</v>
      </c>
      <c r="G26" s="366"/>
      <c r="H26" s="371" t="s">
        <v>1029</v>
      </c>
      <c r="I26" s="366">
        <v>17697</v>
      </c>
      <c r="J26" s="367">
        <v>11.4</v>
      </c>
      <c r="K26" s="367">
        <f t="shared" si="23"/>
        <v>201745.80000000002</v>
      </c>
      <c r="L26" s="366"/>
      <c r="M26" s="366"/>
      <c r="N26" s="366"/>
      <c r="O26" s="366">
        <v>27</v>
      </c>
      <c r="P26" s="366">
        <v>9</v>
      </c>
      <c r="Q26" s="368">
        <f t="shared" si="0"/>
        <v>36</v>
      </c>
      <c r="R26" s="369"/>
      <c r="S26" s="369"/>
      <c r="T26" s="369"/>
      <c r="U26" s="369"/>
      <c r="V26" s="369"/>
      <c r="W26" s="368">
        <f t="shared" si="1"/>
        <v>0</v>
      </c>
      <c r="X26" s="370">
        <f t="shared" si="2"/>
        <v>36</v>
      </c>
      <c r="Y26" s="367">
        <f t="shared" si="3"/>
        <v>453928.05000000005</v>
      </c>
      <c r="Z26" s="367">
        <f t="shared" si="4"/>
        <v>45392.805000000008</v>
      </c>
      <c r="AA26" s="366">
        <v>18</v>
      </c>
      <c r="AB26" s="367">
        <f t="shared" si="5"/>
        <v>7963.6500000000005</v>
      </c>
      <c r="AC26" s="366">
        <v>18</v>
      </c>
      <c r="AD26" s="367">
        <f t="shared" si="6"/>
        <v>3981.8250000000003</v>
      </c>
      <c r="AE26" s="366"/>
      <c r="AF26" s="366" t="s">
        <v>271</v>
      </c>
      <c r="AG26" s="367">
        <f t="shared" si="33"/>
        <v>3539.4</v>
      </c>
      <c r="AH26" s="366"/>
      <c r="AI26" s="367"/>
      <c r="AJ26" s="366">
        <f t="shared" si="7"/>
        <v>36</v>
      </c>
      <c r="AK26" s="367">
        <f t="shared" si="8"/>
        <v>15927.300000000001</v>
      </c>
      <c r="AL26" s="366">
        <f t="shared" si="9"/>
        <v>36</v>
      </c>
      <c r="AM26" s="367">
        <f t="shared" si="10"/>
        <v>136178.41500000001</v>
      </c>
      <c r="AN26" s="366" t="str">
        <f t="shared" si="11"/>
        <v>Педагог-зерттеуші</v>
      </c>
      <c r="AO26" s="367" t="str">
        <f t="shared" si="12"/>
        <v>0</v>
      </c>
      <c r="AP26" s="367">
        <f t="shared" si="13"/>
        <v>181571.22000000003</v>
      </c>
      <c r="AQ26" s="367" t="str">
        <f t="shared" si="14"/>
        <v>0</v>
      </c>
      <c r="AR26" s="367" t="str">
        <f t="shared" si="15"/>
        <v>0</v>
      </c>
      <c r="AS26" s="366"/>
      <c r="AT26" s="367"/>
      <c r="AU26" s="371"/>
      <c r="AV26" s="367"/>
      <c r="AW26" s="371">
        <f t="shared" si="24"/>
        <v>0</v>
      </c>
      <c r="AX26" s="372"/>
      <c r="AY26" s="367"/>
      <c r="AZ26" s="367">
        <f t="shared" si="16"/>
        <v>394554.61500000005</v>
      </c>
      <c r="BA26" s="373">
        <f t="shared" si="17"/>
        <v>848482.66500000004</v>
      </c>
      <c r="BB26" s="374">
        <f t="shared" si="25"/>
        <v>84848.266500000012</v>
      </c>
      <c r="BC26" s="374">
        <f t="shared" si="26"/>
        <v>16969.653300000002</v>
      </c>
      <c r="BD26" s="374">
        <f t="shared" si="18"/>
        <v>68611.474520000003</v>
      </c>
      <c r="BE26" s="374">
        <f t="shared" si="27"/>
        <v>678053.27067999996</v>
      </c>
      <c r="BF26" s="374">
        <f t="shared" si="28"/>
        <v>10181791.98</v>
      </c>
      <c r="BG26" s="374">
        <f t="shared" si="19"/>
        <v>907856.10000000009</v>
      </c>
      <c r="BH26" s="374">
        <f t="shared" si="29"/>
        <v>11089648.08</v>
      </c>
      <c r="BI26" s="374">
        <f t="shared" si="20"/>
        <v>388137.68280000007</v>
      </c>
      <c r="BJ26" s="374">
        <f t="shared" si="21"/>
        <v>576441.05396399996</v>
      </c>
      <c r="BK26" s="374">
        <f t="shared" si="30"/>
        <v>499034.16360000003</v>
      </c>
      <c r="BL26" s="374">
        <f t="shared" si="31"/>
        <v>332689.4424</v>
      </c>
      <c r="BM26" s="373">
        <f t="shared" si="22"/>
        <v>12885950.422764</v>
      </c>
      <c r="BN26" s="375"/>
      <c r="BO26" s="376"/>
      <c r="BP26" s="376"/>
      <c r="BQ26" s="377"/>
      <c r="BR26" s="377"/>
      <c r="BS26" s="377"/>
      <c r="BT26" s="377"/>
      <c r="BU26" s="377"/>
      <c r="BV26" s="377"/>
      <c r="BW26" s="377"/>
      <c r="BX26" s="377"/>
      <c r="BY26" s="377"/>
      <c r="BZ26" s="377"/>
      <c r="CA26" s="377"/>
      <c r="CB26" s="377"/>
      <c r="CC26" s="377"/>
      <c r="CD26" s="377"/>
      <c r="CE26" s="377"/>
      <c r="CF26" s="377"/>
      <c r="CG26" s="377"/>
      <c r="CH26" s="377"/>
      <c r="CI26" s="377"/>
    </row>
    <row r="27" spans="1:87" ht="63">
      <c r="A27" s="361">
        <f t="shared" si="32"/>
        <v>14</v>
      </c>
      <c r="B27" s="362">
        <f t="shared" si="32"/>
        <v>14</v>
      </c>
      <c r="C27" s="378" t="s">
        <v>203</v>
      </c>
      <c r="D27" s="379" t="s">
        <v>1030</v>
      </c>
      <c r="E27" s="392" t="s">
        <v>998</v>
      </c>
      <c r="F27" s="508" t="s">
        <v>999</v>
      </c>
      <c r="G27" s="366"/>
      <c r="H27" s="371" t="s">
        <v>1031</v>
      </c>
      <c r="I27" s="366">
        <v>17697</v>
      </c>
      <c r="J27" s="367">
        <v>11.4</v>
      </c>
      <c r="K27" s="367">
        <f t="shared" si="23"/>
        <v>201745.80000000002</v>
      </c>
      <c r="L27" s="380"/>
      <c r="M27" s="380">
        <v>24</v>
      </c>
      <c r="N27" s="380"/>
      <c r="O27" s="380"/>
      <c r="P27" s="380">
        <v>9</v>
      </c>
      <c r="Q27" s="368">
        <f t="shared" si="0"/>
        <v>33</v>
      </c>
      <c r="R27" s="380"/>
      <c r="S27" s="380">
        <v>3</v>
      </c>
      <c r="T27" s="380"/>
      <c r="U27" s="380"/>
      <c r="V27" s="380"/>
      <c r="W27" s="381">
        <f t="shared" si="1"/>
        <v>3</v>
      </c>
      <c r="X27" s="370">
        <f t="shared" si="2"/>
        <v>36</v>
      </c>
      <c r="Y27" s="367">
        <f t="shared" si="3"/>
        <v>453928.05000000005</v>
      </c>
      <c r="Z27" s="367">
        <f t="shared" si="4"/>
        <v>45392.805000000008</v>
      </c>
      <c r="AA27" s="366">
        <v>27</v>
      </c>
      <c r="AB27" s="367">
        <f t="shared" si="5"/>
        <v>11945.475</v>
      </c>
      <c r="AC27" s="366">
        <v>9</v>
      </c>
      <c r="AD27" s="367">
        <f t="shared" si="6"/>
        <v>1990.9125000000001</v>
      </c>
      <c r="AE27" s="366"/>
      <c r="AF27" s="366" t="s">
        <v>251</v>
      </c>
      <c r="AG27" s="367">
        <f t="shared" si="33"/>
        <v>3539.4</v>
      </c>
      <c r="AH27" s="366" t="s">
        <v>1032</v>
      </c>
      <c r="AI27" s="367">
        <f>I27*200%</f>
        <v>35394</v>
      </c>
      <c r="AJ27" s="366">
        <f t="shared" si="7"/>
        <v>36</v>
      </c>
      <c r="AK27" s="367">
        <f t="shared" si="8"/>
        <v>15927.300000000001</v>
      </c>
      <c r="AL27" s="366">
        <f t="shared" si="9"/>
        <v>36</v>
      </c>
      <c r="AM27" s="367">
        <f t="shared" si="10"/>
        <v>136178.41500000001</v>
      </c>
      <c r="AN27" s="366" t="str">
        <f t="shared" si="11"/>
        <v>Педагог-шебер</v>
      </c>
      <c r="AO27" s="367">
        <f t="shared" si="12"/>
        <v>226964.02500000002</v>
      </c>
      <c r="AP27" s="367" t="str">
        <f t="shared" si="13"/>
        <v>0</v>
      </c>
      <c r="AQ27" s="367" t="str">
        <f t="shared" si="14"/>
        <v>0</v>
      </c>
      <c r="AR27" s="367" t="str">
        <f t="shared" si="15"/>
        <v>0</v>
      </c>
      <c r="AS27" s="366"/>
      <c r="AT27" s="367"/>
      <c r="AU27" s="371"/>
      <c r="AV27" s="367"/>
      <c r="AW27" s="371">
        <f t="shared" si="24"/>
        <v>0</v>
      </c>
      <c r="AX27" s="372"/>
      <c r="AY27" s="367"/>
      <c r="AZ27" s="367">
        <f t="shared" si="16"/>
        <v>477332.33250000002</v>
      </c>
      <c r="BA27" s="373">
        <f t="shared" si="17"/>
        <v>931260.38250000007</v>
      </c>
      <c r="BB27" s="374">
        <f t="shared" si="25"/>
        <v>93126.038250000012</v>
      </c>
      <c r="BC27" s="374">
        <f t="shared" si="26"/>
        <v>18625.20765</v>
      </c>
      <c r="BD27" s="374">
        <f t="shared" si="18"/>
        <v>75895.913660000006</v>
      </c>
      <c r="BE27" s="374">
        <f t="shared" si="27"/>
        <v>743613.22294000012</v>
      </c>
      <c r="BF27" s="374">
        <f t="shared" si="28"/>
        <v>11175124.59</v>
      </c>
      <c r="BG27" s="374">
        <f t="shared" si="19"/>
        <v>907856.10000000009</v>
      </c>
      <c r="BH27" s="374">
        <f t="shared" si="29"/>
        <v>12082980.689999999</v>
      </c>
      <c r="BI27" s="374">
        <f t="shared" si="20"/>
        <v>422904.32415</v>
      </c>
      <c r="BJ27" s="374">
        <f t="shared" si="21"/>
        <v>627895.6831619998</v>
      </c>
      <c r="BK27" s="374">
        <f t="shared" si="30"/>
        <v>543734.13104999997</v>
      </c>
      <c r="BL27" s="374">
        <f t="shared" si="31"/>
        <v>362489.42069999996</v>
      </c>
      <c r="BM27" s="373">
        <f t="shared" si="22"/>
        <v>14040004.249062</v>
      </c>
      <c r="BN27" s="375"/>
      <c r="BO27" s="376"/>
      <c r="BP27" s="376"/>
      <c r="BQ27" s="377"/>
      <c r="BR27" s="377"/>
      <c r="BS27" s="377"/>
      <c r="BT27" s="377"/>
      <c r="BU27" s="377"/>
      <c r="BV27" s="377"/>
      <c r="BW27" s="377"/>
      <c r="BX27" s="377"/>
      <c r="BY27" s="377"/>
      <c r="BZ27" s="377"/>
      <c r="CA27" s="377"/>
      <c r="CB27" s="377"/>
      <c r="CC27" s="377"/>
      <c r="CD27" s="377"/>
      <c r="CE27" s="377"/>
      <c r="CF27" s="377"/>
      <c r="CG27" s="377"/>
      <c r="CH27" s="377"/>
      <c r="CI27" s="377"/>
    </row>
    <row r="28" spans="1:87" ht="73.5" customHeight="1">
      <c r="A28" s="361">
        <f t="shared" si="32"/>
        <v>15</v>
      </c>
      <c r="B28" s="362">
        <f t="shared" si="32"/>
        <v>15</v>
      </c>
      <c r="C28" s="378" t="s">
        <v>1033</v>
      </c>
      <c r="D28" s="379" t="s">
        <v>1034</v>
      </c>
      <c r="E28" s="392" t="s">
        <v>998</v>
      </c>
      <c r="F28" s="508"/>
      <c r="G28" s="366" t="s">
        <v>1035</v>
      </c>
      <c r="H28" s="371" t="s">
        <v>279</v>
      </c>
      <c r="I28" s="366">
        <v>17697</v>
      </c>
      <c r="J28" s="367">
        <v>9.66</v>
      </c>
      <c r="K28" s="367">
        <f t="shared" si="23"/>
        <v>170953.02</v>
      </c>
      <c r="L28" s="380"/>
      <c r="M28" s="380">
        <v>16</v>
      </c>
      <c r="N28" s="380">
        <v>8</v>
      </c>
      <c r="O28" s="380"/>
      <c r="P28" s="380"/>
      <c r="Q28" s="368">
        <f t="shared" si="0"/>
        <v>24</v>
      </c>
      <c r="R28" s="380">
        <v>12</v>
      </c>
      <c r="S28" s="380">
        <v>2</v>
      </c>
      <c r="T28" s="380">
        <v>1</v>
      </c>
      <c r="U28" s="380"/>
      <c r="V28" s="380"/>
      <c r="W28" s="381">
        <f>SUM(R28:V28)</f>
        <v>15</v>
      </c>
      <c r="X28" s="370">
        <f t="shared" si="2"/>
        <v>39</v>
      </c>
      <c r="Y28" s="367">
        <f t="shared" si="3"/>
        <v>416697.98624999996</v>
      </c>
      <c r="Z28" s="367">
        <f t="shared" si="4"/>
        <v>41669.798624999996</v>
      </c>
      <c r="AA28" s="366">
        <v>9</v>
      </c>
      <c r="AB28" s="367">
        <f t="shared" si="5"/>
        <v>3981.8250000000003</v>
      </c>
      <c r="AC28" s="366">
        <v>18</v>
      </c>
      <c r="AD28" s="367">
        <f t="shared" si="6"/>
        <v>3981.8250000000003</v>
      </c>
      <c r="AE28" s="366"/>
      <c r="AF28" s="366"/>
      <c r="AG28" s="367"/>
      <c r="AH28" s="366"/>
      <c r="AI28" s="367"/>
      <c r="AJ28" s="366">
        <f t="shared" si="7"/>
        <v>39</v>
      </c>
      <c r="AK28" s="367">
        <f t="shared" si="8"/>
        <v>17254.575000000001</v>
      </c>
      <c r="AL28" s="366">
        <f t="shared" si="9"/>
        <v>39</v>
      </c>
      <c r="AM28" s="367">
        <f t="shared" si="10"/>
        <v>125009.39587499999</v>
      </c>
      <c r="AN28" s="366">
        <f t="shared" si="11"/>
        <v>0</v>
      </c>
      <c r="AO28" s="367" t="str">
        <f t="shared" si="12"/>
        <v>0</v>
      </c>
      <c r="AP28" s="367" t="str">
        <f t="shared" si="13"/>
        <v>0</v>
      </c>
      <c r="AQ28" s="367" t="str">
        <f t="shared" si="14"/>
        <v>0</v>
      </c>
      <c r="AR28" s="367" t="str">
        <f t="shared" si="15"/>
        <v>0</v>
      </c>
      <c r="AS28" s="366"/>
      <c r="AT28" s="367"/>
      <c r="AU28" s="371"/>
      <c r="AV28" s="367"/>
      <c r="AW28" s="371" t="str">
        <f t="shared" si="24"/>
        <v>Магистр прикладная математика</v>
      </c>
      <c r="AX28" s="372">
        <f>10*4325</f>
        <v>43250</v>
      </c>
      <c r="AY28" s="367"/>
      <c r="AZ28" s="367">
        <f t="shared" si="16"/>
        <v>235147.41949999996</v>
      </c>
      <c r="BA28" s="373">
        <f t="shared" si="17"/>
        <v>651845.40574999992</v>
      </c>
      <c r="BB28" s="374">
        <f t="shared" si="25"/>
        <v>65184.540574999992</v>
      </c>
      <c r="BC28" s="374">
        <f t="shared" si="26"/>
        <v>13036.908114999998</v>
      </c>
      <c r="BD28" s="374">
        <f t="shared" si="18"/>
        <v>51307.395705999996</v>
      </c>
      <c r="BE28" s="374">
        <f t="shared" si="27"/>
        <v>522316.56135399995</v>
      </c>
      <c r="BF28" s="374">
        <f t="shared" si="28"/>
        <v>7822144.868999999</v>
      </c>
      <c r="BG28" s="374">
        <f t="shared" si="19"/>
        <v>833395.97249999992</v>
      </c>
      <c r="BH28" s="374">
        <f t="shared" si="29"/>
        <v>8655540.8414999992</v>
      </c>
      <c r="BI28" s="374">
        <f t="shared" si="20"/>
        <v>302943.92945250002</v>
      </c>
      <c r="BJ28" s="374">
        <f t="shared" si="21"/>
        <v>450190.48672919988</v>
      </c>
      <c r="BK28" s="374">
        <f t="shared" si="30"/>
        <v>389499.33786750003</v>
      </c>
      <c r="BL28" s="374">
        <f t="shared" si="31"/>
        <v>259666.22524499998</v>
      </c>
      <c r="BM28" s="373">
        <f t="shared" si="22"/>
        <v>10057840.820794199</v>
      </c>
      <c r="BN28" s="375"/>
      <c r="BO28" s="376"/>
      <c r="BP28" s="376"/>
      <c r="BQ28" s="377"/>
      <c r="BR28" s="377"/>
      <c r="BS28" s="377"/>
      <c r="BT28" s="377"/>
      <c r="BU28" s="377"/>
      <c r="BV28" s="377"/>
      <c r="BW28" s="377"/>
      <c r="BX28" s="377"/>
      <c r="BY28" s="377"/>
      <c r="BZ28" s="377"/>
      <c r="CA28" s="377"/>
      <c r="CB28" s="377"/>
      <c r="CC28" s="377"/>
      <c r="CD28" s="377"/>
      <c r="CE28" s="377"/>
      <c r="CF28" s="377"/>
      <c r="CG28" s="377"/>
      <c r="CH28" s="377"/>
      <c r="CI28" s="377"/>
    </row>
    <row r="29" spans="1:87" ht="94.5" customHeight="1">
      <c r="A29" s="361">
        <f t="shared" si="32"/>
        <v>16</v>
      </c>
      <c r="B29" s="362">
        <f t="shared" si="32"/>
        <v>16</v>
      </c>
      <c r="C29" s="378" t="s">
        <v>455</v>
      </c>
      <c r="D29" s="379" t="s">
        <v>1036</v>
      </c>
      <c r="E29" s="392" t="s">
        <v>998</v>
      </c>
      <c r="F29" s="1314" t="s">
        <v>254</v>
      </c>
      <c r="G29" s="366"/>
      <c r="H29" s="371" t="s">
        <v>1405</v>
      </c>
      <c r="I29" s="366">
        <v>17697</v>
      </c>
      <c r="J29" s="367">
        <v>10.220000000000001</v>
      </c>
      <c r="K29" s="367">
        <f t="shared" si="23"/>
        <v>180863.34000000003</v>
      </c>
      <c r="L29" s="380"/>
      <c r="M29" s="380"/>
      <c r="N29" s="380"/>
      <c r="O29" s="380"/>
      <c r="P29" s="380"/>
      <c r="Q29" s="368">
        <f t="shared" si="0"/>
        <v>0</v>
      </c>
      <c r="R29" s="380">
        <v>12</v>
      </c>
      <c r="S29" s="380">
        <v>10</v>
      </c>
      <c r="T29" s="380"/>
      <c r="U29" s="380">
        <v>7</v>
      </c>
      <c r="V29" s="380">
        <v>7</v>
      </c>
      <c r="W29" s="381">
        <f>SUM(R29:V29)</f>
        <v>36</v>
      </c>
      <c r="X29" s="370">
        <f t="shared" si="2"/>
        <v>36</v>
      </c>
      <c r="Y29" s="367">
        <f t="shared" si="3"/>
        <v>406942.51500000007</v>
      </c>
      <c r="Z29" s="367">
        <f t="shared" si="4"/>
        <v>40694.251500000013</v>
      </c>
      <c r="AA29" s="366">
        <v>0</v>
      </c>
      <c r="AB29" s="367">
        <f t="shared" si="5"/>
        <v>0</v>
      </c>
      <c r="AC29" s="366">
        <v>0</v>
      </c>
      <c r="AD29" s="367">
        <f t="shared" si="6"/>
        <v>0</v>
      </c>
      <c r="AE29" s="366"/>
      <c r="AF29" s="366"/>
      <c r="AG29" s="367"/>
      <c r="AH29" s="366"/>
      <c r="AI29" s="367"/>
      <c r="AJ29" s="366">
        <f t="shared" si="7"/>
        <v>36</v>
      </c>
      <c r="AK29" s="367">
        <f t="shared" si="8"/>
        <v>15927.300000000001</v>
      </c>
      <c r="AL29" s="366">
        <f t="shared" si="9"/>
        <v>36</v>
      </c>
      <c r="AM29" s="367">
        <f t="shared" si="10"/>
        <v>122082.75450000001</v>
      </c>
      <c r="AN29" s="366" t="str">
        <f t="shared" si="11"/>
        <v>Педагог-модератор</v>
      </c>
      <c r="AO29" s="367" t="str">
        <f t="shared" si="12"/>
        <v>0</v>
      </c>
      <c r="AP29" s="367" t="str">
        <f t="shared" si="13"/>
        <v>0</v>
      </c>
      <c r="AQ29" s="367" t="str">
        <f t="shared" si="14"/>
        <v>0</v>
      </c>
      <c r="AR29" s="367">
        <f t="shared" si="15"/>
        <v>122082.75450000001</v>
      </c>
      <c r="AS29" s="366"/>
      <c r="AT29" s="367"/>
      <c r="AU29" s="371"/>
      <c r="AV29" s="367"/>
      <c r="AW29" s="371">
        <f t="shared" si="24"/>
        <v>0</v>
      </c>
      <c r="AX29" s="372"/>
      <c r="AY29" s="367"/>
      <c r="AZ29" s="367">
        <f t="shared" si="16"/>
        <v>300787.06050000002</v>
      </c>
      <c r="BA29" s="373">
        <f t="shared" si="17"/>
        <v>707729.57550000004</v>
      </c>
      <c r="BB29" s="374">
        <f t="shared" si="25"/>
        <v>70772.957550000006</v>
      </c>
      <c r="BC29" s="374">
        <f t="shared" si="26"/>
        <v>14154.59151</v>
      </c>
      <c r="BD29" s="374">
        <f t="shared" si="18"/>
        <v>56225.202643999997</v>
      </c>
      <c r="BE29" s="374">
        <f t="shared" si="27"/>
        <v>566576.82379599998</v>
      </c>
      <c r="BF29" s="374">
        <f t="shared" si="28"/>
        <v>8492754.9059999995</v>
      </c>
      <c r="BG29" s="374">
        <f t="shared" si="19"/>
        <v>813885.03000000014</v>
      </c>
      <c r="BH29" s="374">
        <f t="shared" si="29"/>
        <v>9306639.9359999988</v>
      </c>
      <c r="BI29" s="374">
        <f t="shared" si="20"/>
        <v>325732.39775999996</v>
      </c>
      <c r="BJ29" s="374">
        <f t="shared" si="21"/>
        <v>483874.49575079989</v>
      </c>
      <c r="BK29" s="374">
        <f t="shared" si="30"/>
        <v>418798.79712</v>
      </c>
      <c r="BL29" s="374">
        <f t="shared" si="31"/>
        <v>279199.19807999994</v>
      </c>
      <c r="BM29" s="373">
        <f t="shared" si="22"/>
        <v>10814244.824710798</v>
      </c>
      <c r="BN29" s="375"/>
      <c r="BO29" s="376"/>
      <c r="BP29" s="376"/>
      <c r="BQ29" s="377"/>
      <c r="BR29" s="377"/>
      <c r="BS29" s="377"/>
      <c r="BT29" s="377"/>
      <c r="BU29" s="377"/>
      <c r="BV29" s="377"/>
      <c r="BW29" s="377"/>
      <c r="BX29" s="377"/>
      <c r="BY29" s="377"/>
      <c r="BZ29" s="377"/>
      <c r="CA29" s="377"/>
      <c r="CB29" s="377"/>
      <c r="CC29" s="377"/>
      <c r="CD29" s="377"/>
      <c r="CE29" s="377"/>
      <c r="CF29" s="377"/>
      <c r="CG29" s="377"/>
      <c r="CH29" s="377"/>
      <c r="CI29" s="377"/>
    </row>
    <row r="30" spans="1:87" ht="47.25">
      <c r="A30" s="361">
        <f t="shared" si="32"/>
        <v>17</v>
      </c>
      <c r="B30" s="362">
        <f t="shared" si="32"/>
        <v>17</v>
      </c>
      <c r="C30" s="378" t="s">
        <v>267</v>
      </c>
      <c r="D30" s="379" t="s">
        <v>1037</v>
      </c>
      <c r="E30" s="392" t="s">
        <v>998</v>
      </c>
      <c r="F30" s="508" t="s">
        <v>999</v>
      </c>
      <c r="G30" s="366"/>
      <c r="H30" s="371" t="s">
        <v>1038</v>
      </c>
      <c r="I30" s="366">
        <v>17697</v>
      </c>
      <c r="J30" s="367">
        <v>11.4</v>
      </c>
      <c r="K30" s="367">
        <f t="shared" si="23"/>
        <v>201745.80000000002</v>
      </c>
      <c r="L30" s="366"/>
      <c r="M30" s="366"/>
      <c r="N30" s="366"/>
      <c r="O30" s="366"/>
      <c r="P30" s="366">
        <v>36</v>
      </c>
      <c r="Q30" s="368">
        <f t="shared" si="0"/>
        <v>36</v>
      </c>
      <c r="R30" s="366"/>
      <c r="S30" s="366"/>
      <c r="T30" s="366"/>
      <c r="U30" s="366"/>
      <c r="V30" s="366"/>
      <c r="W30" s="381">
        <f t="shared" si="1"/>
        <v>0</v>
      </c>
      <c r="X30" s="370">
        <f t="shared" si="2"/>
        <v>36</v>
      </c>
      <c r="Y30" s="367">
        <f t="shared" si="3"/>
        <v>453928.05000000005</v>
      </c>
      <c r="Z30" s="367">
        <f t="shared" si="4"/>
        <v>45392.805000000008</v>
      </c>
      <c r="AA30" s="366">
        <v>0</v>
      </c>
      <c r="AB30" s="367">
        <f t="shared" si="5"/>
        <v>0</v>
      </c>
      <c r="AC30" s="366">
        <v>36</v>
      </c>
      <c r="AD30" s="367">
        <f t="shared" si="6"/>
        <v>7963.6500000000005</v>
      </c>
      <c r="AE30" s="366"/>
      <c r="AF30" s="366" t="s">
        <v>547</v>
      </c>
      <c r="AG30" s="367">
        <f t="shared" ref="AG30:AG35" si="34">17697*20%</f>
        <v>3539.4</v>
      </c>
      <c r="AH30" s="366"/>
      <c r="AI30" s="367"/>
      <c r="AJ30" s="366">
        <f t="shared" si="7"/>
        <v>36</v>
      </c>
      <c r="AK30" s="367">
        <f t="shared" si="8"/>
        <v>15927.300000000001</v>
      </c>
      <c r="AL30" s="366">
        <f t="shared" si="9"/>
        <v>36</v>
      </c>
      <c r="AM30" s="367">
        <f t="shared" si="10"/>
        <v>136178.41500000001</v>
      </c>
      <c r="AN30" s="366" t="str">
        <f t="shared" si="11"/>
        <v>Педагог-шебер</v>
      </c>
      <c r="AO30" s="367">
        <f t="shared" si="12"/>
        <v>226964.02500000002</v>
      </c>
      <c r="AP30" s="367" t="str">
        <f t="shared" si="13"/>
        <v>0</v>
      </c>
      <c r="AQ30" s="367" t="str">
        <f t="shared" si="14"/>
        <v>0</v>
      </c>
      <c r="AR30" s="367" t="str">
        <f t="shared" si="15"/>
        <v>0</v>
      </c>
      <c r="AS30" s="366"/>
      <c r="AT30" s="367"/>
      <c r="AU30" s="366"/>
      <c r="AV30" s="367"/>
      <c r="AW30" s="371">
        <f t="shared" si="24"/>
        <v>0</v>
      </c>
      <c r="AX30" s="372"/>
      <c r="AY30" s="367"/>
      <c r="AZ30" s="367">
        <f t="shared" si="16"/>
        <v>435965.59500000003</v>
      </c>
      <c r="BA30" s="373">
        <f t="shared" si="17"/>
        <v>889893.64500000002</v>
      </c>
      <c r="BB30" s="374">
        <f t="shared" si="25"/>
        <v>88989.364500000011</v>
      </c>
      <c r="BC30" s="374">
        <f t="shared" si="26"/>
        <v>17797.872900000002</v>
      </c>
      <c r="BD30" s="374">
        <f t="shared" si="18"/>
        <v>72255.640760000009</v>
      </c>
      <c r="BE30" s="374">
        <f t="shared" si="27"/>
        <v>710850.76684000005</v>
      </c>
      <c r="BF30" s="374">
        <f t="shared" si="28"/>
        <v>10678723.74</v>
      </c>
      <c r="BG30" s="374">
        <f t="shared" si="19"/>
        <v>907856.10000000009</v>
      </c>
      <c r="BH30" s="374">
        <f t="shared" si="29"/>
        <v>11586579.84</v>
      </c>
      <c r="BI30" s="374">
        <f t="shared" si="20"/>
        <v>405530.29440000001</v>
      </c>
      <c r="BJ30" s="374">
        <f t="shared" si="21"/>
        <v>602182.11913200002</v>
      </c>
      <c r="BK30" s="374">
        <f t="shared" si="30"/>
        <v>521396.09280000004</v>
      </c>
      <c r="BL30" s="374">
        <f t="shared" si="31"/>
        <v>347597.39519999997</v>
      </c>
      <c r="BM30" s="373">
        <f t="shared" si="22"/>
        <v>13463285.741532002</v>
      </c>
      <c r="BN30" s="375"/>
      <c r="BO30" s="376"/>
      <c r="BP30" s="376"/>
      <c r="BQ30" s="377"/>
      <c r="BR30" s="377"/>
      <c r="BS30" s="377"/>
      <c r="BT30" s="377"/>
      <c r="BU30" s="377"/>
      <c r="BV30" s="377"/>
      <c r="BW30" s="377"/>
      <c r="BX30" s="377"/>
      <c r="BY30" s="377"/>
      <c r="BZ30" s="377"/>
      <c r="CA30" s="377"/>
      <c r="CB30" s="377"/>
      <c r="CC30" s="377"/>
      <c r="CD30" s="377"/>
      <c r="CE30" s="377"/>
      <c r="CF30" s="377"/>
      <c r="CG30" s="377"/>
      <c r="CH30" s="377"/>
      <c r="CI30" s="377"/>
    </row>
    <row r="31" spans="1:87" ht="47.25">
      <c r="A31" s="361">
        <f t="shared" si="32"/>
        <v>18</v>
      </c>
      <c r="B31" s="362">
        <f t="shared" si="32"/>
        <v>18</v>
      </c>
      <c r="C31" s="378" t="s">
        <v>202</v>
      </c>
      <c r="D31" s="379" t="s">
        <v>1039</v>
      </c>
      <c r="E31" s="392" t="s">
        <v>998</v>
      </c>
      <c r="F31" s="508" t="s">
        <v>1011</v>
      </c>
      <c r="G31" s="366" t="s">
        <v>224</v>
      </c>
      <c r="H31" s="371" t="s">
        <v>1040</v>
      </c>
      <c r="I31" s="366">
        <v>17697</v>
      </c>
      <c r="J31" s="367">
        <v>11.4</v>
      </c>
      <c r="K31" s="367">
        <f t="shared" si="23"/>
        <v>201745.80000000002</v>
      </c>
      <c r="L31" s="366"/>
      <c r="M31" s="366"/>
      <c r="N31" s="366">
        <v>32</v>
      </c>
      <c r="O31" s="366"/>
      <c r="P31" s="366"/>
      <c r="Q31" s="368">
        <f t="shared" si="0"/>
        <v>32</v>
      </c>
      <c r="R31" s="366"/>
      <c r="S31" s="366"/>
      <c r="T31" s="366">
        <v>4</v>
      </c>
      <c r="U31" s="366"/>
      <c r="V31" s="366"/>
      <c r="W31" s="381">
        <f t="shared" si="1"/>
        <v>4</v>
      </c>
      <c r="X31" s="370">
        <f t="shared" si="2"/>
        <v>36</v>
      </c>
      <c r="Y31" s="367">
        <f t="shared" si="3"/>
        <v>453928.05000000005</v>
      </c>
      <c r="Z31" s="367">
        <f t="shared" si="4"/>
        <v>45392.805000000008</v>
      </c>
      <c r="AA31" s="366">
        <v>36</v>
      </c>
      <c r="AB31" s="367">
        <f t="shared" si="5"/>
        <v>15927.300000000001</v>
      </c>
      <c r="AC31" s="366">
        <v>0</v>
      </c>
      <c r="AD31" s="367">
        <f t="shared" si="6"/>
        <v>0</v>
      </c>
      <c r="AE31" s="366"/>
      <c r="AF31" s="366"/>
      <c r="AG31" s="367"/>
      <c r="AH31" s="366"/>
      <c r="AI31" s="367"/>
      <c r="AJ31" s="366">
        <f t="shared" si="7"/>
        <v>36</v>
      </c>
      <c r="AK31" s="367">
        <f t="shared" si="8"/>
        <v>15927.300000000001</v>
      </c>
      <c r="AL31" s="366">
        <f t="shared" si="9"/>
        <v>36</v>
      </c>
      <c r="AM31" s="367">
        <f t="shared" si="10"/>
        <v>136178.41500000001</v>
      </c>
      <c r="AN31" s="366" t="str">
        <f t="shared" si="11"/>
        <v>Педагог-сарапшы</v>
      </c>
      <c r="AO31" s="367" t="str">
        <f t="shared" si="12"/>
        <v>0</v>
      </c>
      <c r="AP31" s="367" t="str">
        <f t="shared" si="13"/>
        <v>0</v>
      </c>
      <c r="AQ31" s="367">
        <f t="shared" si="14"/>
        <v>158874.8175</v>
      </c>
      <c r="AR31" s="367" t="str">
        <f t="shared" si="15"/>
        <v>0</v>
      </c>
      <c r="AS31" s="366"/>
      <c r="AT31" s="367"/>
      <c r="AU31" s="371"/>
      <c r="AV31" s="367"/>
      <c r="AW31" s="371" t="str">
        <f t="shared" si="24"/>
        <v>Магистр-математика</v>
      </c>
      <c r="AX31" s="372">
        <f>10*4325</f>
        <v>43250</v>
      </c>
      <c r="AY31" s="367"/>
      <c r="AZ31" s="367">
        <f t="shared" si="16"/>
        <v>415550.63750000001</v>
      </c>
      <c r="BA31" s="373">
        <f t="shared" si="17"/>
        <v>869478.6875</v>
      </c>
      <c r="BB31" s="374">
        <f t="shared" si="25"/>
        <v>86947.868750000009</v>
      </c>
      <c r="BC31" s="374">
        <f t="shared" si="26"/>
        <v>17389.57375</v>
      </c>
      <c r="BD31" s="374">
        <f t="shared" si="18"/>
        <v>70459.124500000005</v>
      </c>
      <c r="BE31" s="374">
        <f t="shared" si="27"/>
        <v>694682.12049999996</v>
      </c>
      <c r="BF31" s="374">
        <f t="shared" si="28"/>
        <v>10433744.25</v>
      </c>
      <c r="BG31" s="374">
        <f t="shared" si="19"/>
        <v>907856.10000000009</v>
      </c>
      <c r="BH31" s="374">
        <f t="shared" si="29"/>
        <v>11341600.35</v>
      </c>
      <c r="BI31" s="374">
        <f t="shared" si="20"/>
        <v>396956.01225000003</v>
      </c>
      <c r="BJ31" s="374">
        <f t="shared" si="21"/>
        <v>589492.18154999986</v>
      </c>
      <c r="BK31" s="374">
        <f t="shared" si="30"/>
        <v>510372.01575000002</v>
      </c>
      <c r="BL31" s="374">
        <f t="shared" si="31"/>
        <v>340248.01049999997</v>
      </c>
      <c r="BM31" s="373">
        <f t="shared" si="22"/>
        <v>13178668.570050001</v>
      </c>
      <c r="BN31" s="375"/>
      <c r="BO31" s="376"/>
      <c r="BP31" s="376"/>
      <c r="BQ31" s="377"/>
      <c r="BR31" s="377"/>
      <c r="BS31" s="377"/>
      <c r="BT31" s="377"/>
      <c r="BU31" s="377"/>
      <c r="BV31" s="377"/>
      <c r="BW31" s="377"/>
      <c r="BX31" s="377"/>
      <c r="BY31" s="377"/>
      <c r="BZ31" s="377"/>
      <c r="CA31" s="377"/>
      <c r="CB31" s="377"/>
      <c r="CC31" s="377"/>
      <c r="CD31" s="377"/>
      <c r="CE31" s="377"/>
      <c r="CF31" s="377"/>
      <c r="CG31" s="377"/>
      <c r="CH31" s="377"/>
      <c r="CI31" s="377"/>
    </row>
    <row r="32" spans="1:87" ht="47.25">
      <c r="A32" s="361">
        <f t="shared" ref="A32:B44" si="35">A31+1</f>
        <v>19</v>
      </c>
      <c r="B32" s="362">
        <f t="shared" si="35"/>
        <v>19</v>
      </c>
      <c r="C32" s="378" t="s">
        <v>548</v>
      </c>
      <c r="D32" s="379" t="s">
        <v>1041</v>
      </c>
      <c r="E32" s="392" t="s">
        <v>998</v>
      </c>
      <c r="F32" s="508"/>
      <c r="G32" s="366"/>
      <c r="H32" s="371" t="s">
        <v>1406</v>
      </c>
      <c r="I32" s="366">
        <v>17697</v>
      </c>
      <c r="J32" s="367">
        <v>9.84</v>
      </c>
      <c r="K32" s="367">
        <f t="shared" si="23"/>
        <v>174138.48</v>
      </c>
      <c r="L32" s="366"/>
      <c r="M32" s="366"/>
      <c r="N32" s="366"/>
      <c r="O32" s="366">
        <v>27</v>
      </c>
      <c r="P32" s="366"/>
      <c r="Q32" s="368">
        <f t="shared" si="0"/>
        <v>27</v>
      </c>
      <c r="R32" s="366"/>
      <c r="S32" s="366"/>
      <c r="T32" s="366"/>
      <c r="U32" s="366"/>
      <c r="V32" s="366"/>
      <c r="W32" s="381">
        <f t="shared" si="1"/>
        <v>0</v>
      </c>
      <c r="X32" s="370">
        <f t="shared" si="2"/>
        <v>27</v>
      </c>
      <c r="Y32" s="367">
        <f t="shared" si="3"/>
        <v>293858.685</v>
      </c>
      <c r="Z32" s="367">
        <f t="shared" si="4"/>
        <v>29385.8685</v>
      </c>
      <c r="AA32" s="366">
        <v>18</v>
      </c>
      <c r="AB32" s="367">
        <f t="shared" si="5"/>
        <v>7963.6500000000005</v>
      </c>
      <c r="AC32" s="366">
        <v>9</v>
      </c>
      <c r="AD32" s="367">
        <f t="shared" si="6"/>
        <v>1990.9125000000001</v>
      </c>
      <c r="AE32" s="366"/>
      <c r="AF32" s="366" t="s">
        <v>1043</v>
      </c>
      <c r="AG32" s="367">
        <f t="shared" si="34"/>
        <v>3539.4</v>
      </c>
      <c r="AH32" s="366"/>
      <c r="AI32" s="367"/>
      <c r="AJ32" s="366">
        <f t="shared" si="7"/>
        <v>27</v>
      </c>
      <c r="AK32" s="367">
        <f t="shared" si="8"/>
        <v>11945.475</v>
      </c>
      <c r="AL32" s="366">
        <f t="shared" si="9"/>
        <v>27</v>
      </c>
      <c r="AM32" s="367">
        <f t="shared" si="10"/>
        <v>88157.605499999991</v>
      </c>
      <c r="AN32" s="366">
        <f t="shared" si="11"/>
        <v>0</v>
      </c>
      <c r="AO32" s="367" t="str">
        <f t="shared" si="12"/>
        <v>0</v>
      </c>
      <c r="AP32" s="367" t="str">
        <f t="shared" si="13"/>
        <v>0</v>
      </c>
      <c r="AQ32" s="367" t="str">
        <f t="shared" si="14"/>
        <v>0</v>
      </c>
      <c r="AR32" s="367" t="str">
        <f t="shared" si="15"/>
        <v>0</v>
      </c>
      <c r="AS32" s="366"/>
      <c r="AT32" s="367"/>
      <c r="AU32" s="371"/>
      <c r="AV32" s="367"/>
      <c r="AW32" s="371">
        <f t="shared" si="24"/>
        <v>0</v>
      </c>
      <c r="AX32" s="372"/>
      <c r="AY32" s="367"/>
      <c r="AZ32" s="367">
        <f t="shared" si="16"/>
        <v>142982.91149999999</v>
      </c>
      <c r="BA32" s="373">
        <f t="shared" si="17"/>
        <v>436841.59649999999</v>
      </c>
      <c r="BB32" s="374">
        <f t="shared" si="25"/>
        <v>43684.159650000001</v>
      </c>
      <c r="BC32" s="374">
        <f t="shared" si="26"/>
        <v>8736.8319300000003</v>
      </c>
      <c r="BD32" s="374">
        <f t="shared" si="18"/>
        <v>32387.060492000004</v>
      </c>
      <c r="BE32" s="374">
        <f t="shared" si="27"/>
        <v>352033.54442799999</v>
      </c>
      <c r="BF32" s="374">
        <f t="shared" si="28"/>
        <v>5242099.1579999998</v>
      </c>
      <c r="BG32" s="374">
        <f t="shared" si="19"/>
        <v>587717.37</v>
      </c>
      <c r="BH32" s="374">
        <f t="shared" si="29"/>
        <v>5829816.5279999999</v>
      </c>
      <c r="BI32" s="374">
        <f t="shared" si="20"/>
        <v>204043.57848000003</v>
      </c>
      <c r="BJ32" s="374">
        <f t="shared" si="21"/>
        <v>303277.47436439991</v>
      </c>
      <c r="BK32" s="374">
        <f t="shared" si="30"/>
        <v>262341.74375999998</v>
      </c>
      <c r="BL32" s="374">
        <f t="shared" si="31"/>
        <v>174894.49583999999</v>
      </c>
      <c r="BM32" s="373">
        <f t="shared" si="22"/>
        <v>6774373.8204443995</v>
      </c>
      <c r="BN32" s="375">
        <v>0.5</v>
      </c>
      <c r="BO32" s="376"/>
      <c r="BP32" s="376"/>
      <c r="BQ32" s="377"/>
      <c r="BR32" s="377"/>
      <c r="BS32" s="377"/>
      <c r="BT32" s="377"/>
      <c r="BU32" s="377"/>
      <c r="BV32" s="377"/>
      <c r="BW32" s="377"/>
      <c r="BX32" s="377"/>
      <c r="BY32" s="377"/>
      <c r="BZ32" s="377"/>
      <c r="CA32" s="377"/>
      <c r="CB32" s="377"/>
      <c r="CC32" s="377"/>
      <c r="CD32" s="377"/>
      <c r="CE32" s="377"/>
      <c r="CF32" s="377"/>
      <c r="CG32" s="377"/>
      <c r="CH32" s="377"/>
      <c r="CI32" s="377"/>
    </row>
    <row r="33" spans="1:87" ht="47.25">
      <c r="A33" s="361">
        <f t="shared" si="35"/>
        <v>20</v>
      </c>
      <c r="B33" s="362">
        <f t="shared" si="35"/>
        <v>20</v>
      </c>
      <c r="C33" s="378" t="s">
        <v>1044</v>
      </c>
      <c r="D33" s="379" t="s">
        <v>1045</v>
      </c>
      <c r="E33" s="392" t="s">
        <v>998</v>
      </c>
      <c r="F33" s="1314" t="s">
        <v>254</v>
      </c>
      <c r="G33" s="394" t="s">
        <v>1046</v>
      </c>
      <c r="H33" s="371" t="s">
        <v>1407</v>
      </c>
      <c r="I33" s="366">
        <v>17697</v>
      </c>
      <c r="J33" s="367">
        <v>10.4</v>
      </c>
      <c r="K33" s="367">
        <f t="shared" si="23"/>
        <v>184048.80000000002</v>
      </c>
      <c r="L33" s="366">
        <v>32</v>
      </c>
      <c r="M33" s="366"/>
      <c r="N33" s="366"/>
      <c r="O33" s="366"/>
      <c r="P33" s="366"/>
      <c r="Q33" s="368">
        <f t="shared" si="0"/>
        <v>32</v>
      </c>
      <c r="R33" s="366">
        <v>4</v>
      </c>
      <c r="S33" s="366"/>
      <c r="T33" s="366"/>
      <c r="U33" s="366"/>
      <c r="V33" s="366"/>
      <c r="W33" s="381">
        <f>SUM(R33:V33)</f>
        <v>4</v>
      </c>
      <c r="X33" s="370">
        <f t="shared" si="2"/>
        <v>36</v>
      </c>
      <c r="Y33" s="367">
        <f t="shared" si="3"/>
        <v>414109.80000000005</v>
      </c>
      <c r="Z33" s="367">
        <f t="shared" si="4"/>
        <v>41410.98000000001</v>
      </c>
      <c r="AA33" s="366">
        <v>0</v>
      </c>
      <c r="AB33" s="367">
        <f t="shared" si="5"/>
        <v>0</v>
      </c>
      <c r="AC33" s="366">
        <v>36</v>
      </c>
      <c r="AD33" s="367">
        <f t="shared" si="6"/>
        <v>7963.6500000000005</v>
      </c>
      <c r="AE33" s="366"/>
      <c r="AF33" s="366"/>
      <c r="AG33" s="367"/>
      <c r="AH33" s="366"/>
      <c r="AI33" s="367"/>
      <c r="AJ33" s="366">
        <f t="shared" si="7"/>
        <v>36</v>
      </c>
      <c r="AK33" s="367">
        <f t="shared" si="8"/>
        <v>15927.300000000001</v>
      </c>
      <c r="AL33" s="366">
        <f t="shared" si="9"/>
        <v>36</v>
      </c>
      <c r="AM33" s="367">
        <f t="shared" si="10"/>
        <v>124232.94</v>
      </c>
      <c r="AN33" s="366" t="str">
        <f t="shared" si="11"/>
        <v>Педагог-модератор</v>
      </c>
      <c r="AO33" s="367" t="str">
        <f t="shared" si="12"/>
        <v>0</v>
      </c>
      <c r="AP33" s="367" t="str">
        <f t="shared" si="13"/>
        <v>0</v>
      </c>
      <c r="AQ33" s="367" t="str">
        <f t="shared" si="14"/>
        <v>0</v>
      </c>
      <c r="AR33" s="367">
        <f t="shared" si="15"/>
        <v>124232.94</v>
      </c>
      <c r="AS33" s="366"/>
      <c r="AT33" s="367"/>
      <c r="AU33" s="371"/>
      <c r="AV33" s="367"/>
      <c r="AW33" s="371" t="str">
        <f t="shared" si="24"/>
        <v>Магистр педагогических наук</v>
      </c>
      <c r="AX33" s="372">
        <f>10*4325</f>
        <v>43250</v>
      </c>
      <c r="AY33" s="367"/>
      <c r="AZ33" s="367">
        <f t="shared" si="16"/>
        <v>357017.81000000006</v>
      </c>
      <c r="BA33" s="373">
        <f t="shared" si="17"/>
        <v>771127.6100000001</v>
      </c>
      <c r="BB33" s="374">
        <f t="shared" si="25"/>
        <v>77112.761000000013</v>
      </c>
      <c r="BC33" s="374">
        <f t="shared" si="26"/>
        <v>15422.552200000002</v>
      </c>
      <c r="BD33" s="374">
        <f t="shared" si="18"/>
        <v>61804.229680000004</v>
      </c>
      <c r="BE33" s="374">
        <f t="shared" si="27"/>
        <v>616788.06712000002</v>
      </c>
      <c r="BF33" s="374">
        <f t="shared" si="28"/>
        <v>9253531.3200000003</v>
      </c>
      <c r="BG33" s="374">
        <f t="shared" si="19"/>
        <v>828219.60000000009</v>
      </c>
      <c r="BH33" s="374">
        <f t="shared" si="29"/>
        <v>10081750.92</v>
      </c>
      <c r="BI33" s="374">
        <f t="shared" si="20"/>
        <v>352861.28220000002</v>
      </c>
      <c r="BJ33" s="374">
        <f t="shared" si="21"/>
        <v>524056.780776</v>
      </c>
      <c r="BK33" s="374">
        <f t="shared" si="30"/>
        <v>453678.79139999999</v>
      </c>
      <c r="BL33" s="374">
        <f t="shared" si="31"/>
        <v>302452.52759999997</v>
      </c>
      <c r="BM33" s="373">
        <f t="shared" si="22"/>
        <v>11714800.301975999</v>
      </c>
      <c r="BN33" s="375"/>
      <c r="BO33" s="376"/>
      <c r="BP33" s="376"/>
      <c r="BQ33" s="377"/>
      <c r="BR33" s="377"/>
      <c r="BS33" s="377"/>
      <c r="BT33" s="377"/>
      <c r="BU33" s="377"/>
      <c r="BV33" s="377"/>
      <c r="BW33" s="377"/>
      <c r="BX33" s="377"/>
      <c r="BY33" s="377"/>
      <c r="BZ33" s="377"/>
      <c r="CA33" s="377"/>
      <c r="CB33" s="377"/>
      <c r="CC33" s="377"/>
      <c r="CD33" s="377"/>
      <c r="CE33" s="377"/>
      <c r="CF33" s="377"/>
      <c r="CG33" s="377"/>
      <c r="CH33" s="377"/>
      <c r="CI33" s="377"/>
    </row>
    <row r="34" spans="1:87" ht="47.25">
      <c r="A34" s="361">
        <f t="shared" si="35"/>
        <v>21</v>
      </c>
      <c r="B34" s="362">
        <f t="shared" si="35"/>
        <v>21</v>
      </c>
      <c r="C34" s="378" t="s">
        <v>1047</v>
      </c>
      <c r="D34" s="379" t="s">
        <v>1048</v>
      </c>
      <c r="E34" s="392" t="s">
        <v>998</v>
      </c>
      <c r="F34" s="1315"/>
      <c r="G34" s="394"/>
      <c r="H34" s="395" t="s">
        <v>1403</v>
      </c>
      <c r="I34" s="394">
        <v>17697</v>
      </c>
      <c r="J34" s="367">
        <v>9.5</v>
      </c>
      <c r="K34" s="367">
        <f t="shared" si="23"/>
        <v>168121.5</v>
      </c>
      <c r="L34" s="366">
        <v>16</v>
      </c>
      <c r="M34" s="366"/>
      <c r="N34" s="366">
        <v>8</v>
      </c>
      <c r="O34" s="366"/>
      <c r="P34" s="366"/>
      <c r="Q34" s="368">
        <f t="shared" si="0"/>
        <v>24</v>
      </c>
      <c r="R34" s="366">
        <v>2</v>
      </c>
      <c r="S34" s="366"/>
      <c r="T34" s="366">
        <v>1</v>
      </c>
      <c r="U34" s="366"/>
      <c r="V34" s="366"/>
      <c r="W34" s="381">
        <f>SUM(R34:V34)</f>
        <v>3</v>
      </c>
      <c r="X34" s="370">
        <f t="shared" si="2"/>
        <v>27</v>
      </c>
      <c r="Y34" s="367">
        <f t="shared" si="3"/>
        <v>283705.03125</v>
      </c>
      <c r="Z34" s="367">
        <f t="shared" si="4"/>
        <v>28370.503125000003</v>
      </c>
      <c r="AA34" s="366">
        <v>9</v>
      </c>
      <c r="AB34" s="367">
        <f t="shared" si="5"/>
        <v>3981.8250000000003</v>
      </c>
      <c r="AC34" s="366">
        <v>18</v>
      </c>
      <c r="AD34" s="367">
        <f t="shared" si="6"/>
        <v>3981.8250000000003</v>
      </c>
      <c r="AE34" s="366"/>
      <c r="AF34" s="366"/>
      <c r="AG34" s="367"/>
      <c r="AH34" s="366"/>
      <c r="AI34" s="367"/>
      <c r="AJ34" s="366">
        <f t="shared" si="7"/>
        <v>27</v>
      </c>
      <c r="AK34" s="367">
        <f t="shared" si="8"/>
        <v>11945.475</v>
      </c>
      <c r="AL34" s="366">
        <f t="shared" si="9"/>
        <v>27</v>
      </c>
      <c r="AM34" s="367">
        <f t="shared" si="10"/>
        <v>85111.509374999994</v>
      </c>
      <c r="AN34" s="366">
        <f t="shared" si="11"/>
        <v>0</v>
      </c>
      <c r="AO34" s="367" t="str">
        <f t="shared" si="12"/>
        <v>0</v>
      </c>
      <c r="AP34" s="367" t="str">
        <f t="shared" si="13"/>
        <v>0</v>
      </c>
      <c r="AQ34" s="367" t="str">
        <f t="shared" si="14"/>
        <v>0</v>
      </c>
      <c r="AR34" s="367" t="str">
        <f t="shared" si="15"/>
        <v>0</v>
      </c>
      <c r="AS34" s="366"/>
      <c r="AT34" s="367"/>
      <c r="AU34" s="371"/>
      <c r="AV34" s="367"/>
      <c r="AW34" s="371">
        <f t="shared" si="24"/>
        <v>0</v>
      </c>
      <c r="AX34" s="372"/>
      <c r="AY34" s="367"/>
      <c r="AZ34" s="367">
        <f t="shared" si="16"/>
        <v>133391.13750000001</v>
      </c>
      <c r="BA34" s="373">
        <f t="shared" si="17"/>
        <v>417096.16875000001</v>
      </c>
      <c r="BB34" s="374">
        <f t="shared" si="25"/>
        <v>41709.616875000007</v>
      </c>
      <c r="BC34" s="374">
        <f t="shared" si="26"/>
        <v>8341.9233750000003</v>
      </c>
      <c r="BD34" s="374">
        <f t="shared" si="18"/>
        <v>30649.46285</v>
      </c>
      <c r="BE34" s="374">
        <f t="shared" si="27"/>
        <v>336395.16564999998</v>
      </c>
      <c r="BF34" s="374">
        <f t="shared" si="28"/>
        <v>5005154.0250000004</v>
      </c>
      <c r="BG34" s="374">
        <f t="shared" si="19"/>
        <v>567410.0625</v>
      </c>
      <c r="BH34" s="374">
        <f t="shared" si="29"/>
        <v>5572564.0875000004</v>
      </c>
      <c r="BI34" s="374">
        <f t="shared" si="20"/>
        <v>195039.74306250003</v>
      </c>
      <c r="BJ34" s="374">
        <f t="shared" si="21"/>
        <v>289907.12187000003</v>
      </c>
      <c r="BK34" s="374">
        <f t="shared" si="30"/>
        <v>250765.38393750007</v>
      </c>
      <c r="BL34" s="374">
        <f t="shared" si="31"/>
        <v>167176.92262500001</v>
      </c>
      <c r="BM34" s="373">
        <f t="shared" si="22"/>
        <v>6475453.2589950003</v>
      </c>
      <c r="BN34" s="375"/>
      <c r="BO34" s="376"/>
      <c r="BP34" s="376"/>
      <c r="BQ34" s="377"/>
      <c r="BR34" s="377"/>
      <c r="BS34" s="377"/>
      <c r="BT34" s="377"/>
      <c r="BU34" s="377"/>
      <c r="BV34" s="377"/>
      <c r="BW34" s="377"/>
      <c r="BX34" s="377"/>
      <c r="BY34" s="377"/>
      <c r="BZ34" s="377"/>
      <c r="CA34" s="377"/>
      <c r="CB34" s="377"/>
      <c r="CC34" s="377"/>
      <c r="CD34" s="377"/>
      <c r="CE34" s="377"/>
      <c r="CF34" s="377"/>
      <c r="CG34" s="377"/>
      <c r="CH34" s="377"/>
      <c r="CI34" s="377"/>
    </row>
    <row r="35" spans="1:87" ht="47.25">
      <c r="A35" s="361">
        <f t="shared" si="35"/>
        <v>22</v>
      </c>
      <c r="B35" s="362">
        <f t="shared" si="35"/>
        <v>22</v>
      </c>
      <c r="C35" s="378" t="s">
        <v>201</v>
      </c>
      <c r="D35" s="379" t="s">
        <v>1039</v>
      </c>
      <c r="E35" s="396" t="s">
        <v>998</v>
      </c>
      <c r="F35" s="1298" t="s">
        <v>1005</v>
      </c>
      <c r="G35" s="362"/>
      <c r="H35" s="397" t="s">
        <v>1049</v>
      </c>
      <c r="I35" s="362">
        <v>17697</v>
      </c>
      <c r="J35" s="398">
        <v>11.4</v>
      </c>
      <c r="K35" s="367">
        <f>I35*J35</f>
        <v>201745.80000000002</v>
      </c>
      <c r="L35" s="366"/>
      <c r="M35" s="366"/>
      <c r="N35" s="366">
        <v>32</v>
      </c>
      <c r="O35" s="366"/>
      <c r="P35" s="366"/>
      <c r="Q35" s="368">
        <f t="shared" si="0"/>
        <v>32</v>
      </c>
      <c r="R35" s="366"/>
      <c r="S35" s="366"/>
      <c r="T35" s="366">
        <v>4</v>
      </c>
      <c r="U35" s="366"/>
      <c r="V35" s="366"/>
      <c r="W35" s="381">
        <f>SUM(R35:V35)</f>
        <v>4</v>
      </c>
      <c r="X35" s="370">
        <f t="shared" si="2"/>
        <v>36</v>
      </c>
      <c r="Y35" s="367">
        <f t="shared" si="3"/>
        <v>453928.05000000005</v>
      </c>
      <c r="Z35" s="367">
        <f t="shared" si="4"/>
        <v>45392.805000000008</v>
      </c>
      <c r="AA35" s="366">
        <v>36</v>
      </c>
      <c r="AB35" s="367">
        <f>I35/16*AA35*40%</f>
        <v>15927.300000000001</v>
      </c>
      <c r="AC35" s="366"/>
      <c r="AD35" s="367">
        <f>I35/16*AC35*40%*50%</f>
        <v>0</v>
      </c>
      <c r="AE35" s="366"/>
      <c r="AF35" s="366" t="s">
        <v>546</v>
      </c>
      <c r="AG35" s="367">
        <f t="shared" si="34"/>
        <v>3539.4</v>
      </c>
      <c r="AH35" s="366" t="s">
        <v>1050</v>
      </c>
      <c r="AI35" s="367">
        <f>I35*200%</f>
        <v>35394</v>
      </c>
      <c r="AJ35" s="366">
        <f t="shared" si="7"/>
        <v>36</v>
      </c>
      <c r="AK35" s="367">
        <f>I35/16*AJ35*40%</f>
        <v>15927.300000000001</v>
      </c>
      <c r="AL35" s="366">
        <f t="shared" si="9"/>
        <v>36</v>
      </c>
      <c r="AM35" s="367">
        <f t="shared" si="10"/>
        <v>136178.41500000001</v>
      </c>
      <c r="AN35" s="366" t="str">
        <f t="shared" si="11"/>
        <v>Педагог-зерттеуші</v>
      </c>
      <c r="AO35" s="367" t="str">
        <f t="shared" si="12"/>
        <v>0</v>
      </c>
      <c r="AP35" s="367">
        <f t="shared" si="13"/>
        <v>181571.22000000003</v>
      </c>
      <c r="AQ35" s="367" t="str">
        <f t="shared" si="14"/>
        <v>0</v>
      </c>
      <c r="AR35" s="367" t="str">
        <f t="shared" si="15"/>
        <v>0</v>
      </c>
      <c r="AS35" s="366"/>
      <c r="AT35" s="367"/>
      <c r="AU35" s="371"/>
      <c r="AV35" s="367"/>
      <c r="AW35" s="371">
        <f t="shared" si="24"/>
        <v>0</v>
      </c>
      <c r="AX35" s="372"/>
      <c r="AY35" s="367">
        <v>17697</v>
      </c>
      <c r="AZ35" s="367">
        <f t="shared" si="16"/>
        <v>451627.44000000006</v>
      </c>
      <c r="BA35" s="373">
        <f t="shared" si="17"/>
        <v>905555.49000000011</v>
      </c>
      <c r="BB35" s="374">
        <f t="shared" si="25"/>
        <v>90555.549000000014</v>
      </c>
      <c r="BC35" s="374">
        <f t="shared" si="26"/>
        <v>18111.109800000002</v>
      </c>
      <c r="BD35" s="374">
        <f t="shared" si="18"/>
        <v>73633.883120000013</v>
      </c>
      <c r="BE35" s="374">
        <f t="shared" si="27"/>
        <v>723254.94808000012</v>
      </c>
      <c r="BF35" s="374">
        <f t="shared" si="28"/>
        <v>10866665.880000001</v>
      </c>
      <c r="BG35" s="374">
        <f t="shared" si="19"/>
        <v>907856.10000000009</v>
      </c>
      <c r="BH35" s="374">
        <f t="shared" si="29"/>
        <v>11774521.98</v>
      </c>
      <c r="BI35" s="374">
        <f t="shared" si="20"/>
        <v>412108.26930000004</v>
      </c>
      <c r="BJ35" s="374">
        <f t="shared" si="21"/>
        <v>611917.52198399999</v>
      </c>
      <c r="BK35" s="374">
        <f t="shared" si="30"/>
        <v>529853.48910000012</v>
      </c>
      <c r="BL35" s="374">
        <f t="shared" si="31"/>
        <v>353235.6594</v>
      </c>
      <c r="BM35" s="373">
        <f t="shared" si="22"/>
        <v>13681636.919784</v>
      </c>
      <c r="BN35" s="375"/>
      <c r="BO35" s="376"/>
      <c r="BP35" s="376"/>
      <c r="BQ35" s="377"/>
      <c r="BR35" s="377"/>
      <c r="BS35" s="377"/>
      <c r="BT35" s="377"/>
      <c r="BU35" s="377"/>
      <c r="BV35" s="377"/>
      <c r="BW35" s="377"/>
      <c r="BX35" s="377"/>
      <c r="BY35" s="377"/>
      <c r="BZ35" s="377"/>
      <c r="CA35" s="377"/>
      <c r="CB35" s="377"/>
      <c r="CC35" s="377"/>
      <c r="CD35" s="377"/>
      <c r="CE35" s="377"/>
      <c r="CF35" s="377"/>
      <c r="CG35" s="377"/>
      <c r="CH35" s="377"/>
      <c r="CI35" s="377"/>
    </row>
    <row r="36" spans="1:87" ht="47.25">
      <c r="A36" s="361">
        <f t="shared" si="35"/>
        <v>23</v>
      </c>
      <c r="B36" s="362">
        <f t="shared" si="35"/>
        <v>23</v>
      </c>
      <c r="C36" s="378" t="s">
        <v>916</v>
      </c>
      <c r="D36" s="379" t="s">
        <v>1051</v>
      </c>
      <c r="E36" s="396" t="s">
        <v>998</v>
      </c>
      <c r="F36" s="1314" t="s">
        <v>254</v>
      </c>
      <c r="G36" s="362"/>
      <c r="H36" s="397" t="s">
        <v>1408</v>
      </c>
      <c r="I36" s="362">
        <v>17697</v>
      </c>
      <c r="J36" s="399">
        <v>9.84</v>
      </c>
      <c r="K36" s="367">
        <f>I36*J36</f>
        <v>174138.48</v>
      </c>
      <c r="L36" s="366"/>
      <c r="M36" s="366"/>
      <c r="N36" s="366"/>
      <c r="O36" s="366">
        <v>9</v>
      </c>
      <c r="P36" s="366">
        <v>18</v>
      </c>
      <c r="Q36" s="368">
        <f t="shared" si="0"/>
        <v>27</v>
      </c>
      <c r="R36" s="366"/>
      <c r="S36" s="366"/>
      <c r="T36" s="366"/>
      <c r="U36" s="366"/>
      <c r="V36" s="366"/>
      <c r="W36" s="381">
        <f>SUM(R36:V36)</f>
        <v>0</v>
      </c>
      <c r="X36" s="370">
        <f t="shared" si="2"/>
        <v>27</v>
      </c>
      <c r="Y36" s="367">
        <f t="shared" si="3"/>
        <v>293858.685</v>
      </c>
      <c r="Z36" s="367">
        <f t="shared" si="4"/>
        <v>29385.8685</v>
      </c>
      <c r="AA36" s="366">
        <v>18</v>
      </c>
      <c r="AB36" s="367">
        <f>I36/16*AA36*40%</f>
        <v>7963.6500000000005</v>
      </c>
      <c r="AC36" s="366">
        <v>9</v>
      </c>
      <c r="AD36" s="367">
        <f>I36/16*AC36*40%*50%</f>
        <v>1990.9125000000001</v>
      </c>
      <c r="AE36" s="366"/>
      <c r="AF36" s="366"/>
      <c r="AG36" s="367"/>
      <c r="AH36" s="366"/>
      <c r="AI36" s="367"/>
      <c r="AJ36" s="366">
        <f t="shared" si="7"/>
        <v>27</v>
      </c>
      <c r="AK36" s="367">
        <f>I36/16*AJ36*40%</f>
        <v>11945.475</v>
      </c>
      <c r="AL36" s="366">
        <f t="shared" si="9"/>
        <v>27</v>
      </c>
      <c r="AM36" s="367">
        <f t="shared" si="10"/>
        <v>88157.605499999991</v>
      </c>
      <c r="AN36" s="366" t="str">
        <f t="shared" si="11"/>
        <v>Педагог-модератор</v>
      </c>
      <c r="AO36" s="367" t="str">
        <f t="shared" si="12"/>
        <v>0</v>
      </c>
      <c r="AP36" s="367" t="str">
        <f t="shared" si="13"/>
        <v>0</v>
      </c>
      <c r="AQ36" s="367" t="str">
        <f t="shared" si="14"/>
        <v>0</v>
      </c>
      <c r="AR36" s="367">
        <f t="shared" si="15"/>
        <v>88157.605499999991</v>
      </c>
      <c r="AS36" s="366"/>
      <c r="AT36" s="367"/>
      <c r="AU36" s="371"/>
      <c r="AV36" s="367"/>
      <c r="AW36" s="371">
        <f t="shared" si="24"/>
        <v>0</v>
      </c>
      <c r="AX36" s="372"/>
      <c r="AY36" s="367"/>
      <c r="AZ36" s="367">
        <f t="shared" si="16"/>
        <v>227601.11699999997</v>
      </c>
      <c r="BA36" s="373">
        <f t="shared" si="17"/>
        <v>521459.80199999997</v>
      </c>
      <c r="BB36" s="374">
        <f t="shared" si="25"/>
        <v>52145.980199999998</v>
      </c>
      <c r="BC36" s="374">
        <f t="shared" si="26"/>
        <v>10429.196039999999</v>
      </c>
      <c r="BD36" s="374">
        <f t="shared" si="18"/>
        <v>39833.462575999998</v>
      </c>
      <c r="BE36" s="374">
        <f t="shared" si="27"/>
        <v>419051.16318399995</v>
      </c>
      <c r="BF36" s="374">
        <f t="shared" si="28"/>
        <v>6257517.6239999998</v>
      </c>
      <c r="BG36" s="374">
        <f t="shared" si="19"/>
        <v>587717.37</v>
      </c>
      <c r="BH36" s="374">
        <f t="shared" si="29"/>
        <v>6845234.9939999999</v>
      </c>
      <c r="BI36" s="374">
        <f t="shared" si="20"/>
        <v>239583.22479000001</v>
      </c>
      <c r="BJ36" s="374">
        <f t="shared" si="21"/>
        <v>355876.15090320003</v>
      </c>
      <c r="BK36" s="374">
        <f t="shared" si="30"/>
        <v>308035.57472999999</v>
      </c>
      <c r="BL36" s="374">
        <f t="shared" si="31"/>
        <v>205357.04981999999</v>
      </c>
      <c r="BM36" s="373">
        <f t="shared" si="22"/>
        <v>7954086.9942431999</v>
      </c>
      <c r="BN36" s="385">
        <v>0.25</v>
      </c>
      <c r="BO36" s="376"/>
      <c r="BP36" s="376"/>
      <c r="BQ36" s="377"/>
      <c r="BR36" s="377"/>
      <c r="BS36" s="377"/>
      <c r="BT36" s="377"/>
      <c r="BU36" s="377"/>
      <c r="BV36" s="377"/>
      <c r="BW36" s="377"/>
      <c r="BX36" s="377"/>
      <c r="BY36" s="377"/>
      <c r="BZ36" s="377"/>
      <c r="CA36" s="377"/>
      <c r="CB36" s="377"/>
      <c r="CC36" s="377"/>
      <c r="CD36" s="377"/>
      <c r="CE36" s="377"/>
      <c r="CF36" s="377"/>
      <c r="CG36" s="377"/>
      <c r="CH36" s="377"/>
      <c r="CI36" s="377"/>
    </row>
    <row r="37" spans="1:87" ht="63">
      <c r="A37" s="361">
        <f t="shared" si="35"/>
        <v>24</v>
      </c>
      <c r="B37" s="362">
        <f t="shared" si="35"/>
        <v>24</v>
      </c>
      <c r="C37" s="378" t="s">
        <v>112</v>
      </c>
      <c r="D37" s="379" t="s">
        <v>1052</v>
      </c>
      <c r="E37" s="396" t="s">
        <v>998</v>
      </c>
      <c r="F37" s="1298" t="s">
        <v>1005</v>
      </c>
      <c r="G37" s="362"/>
      <c r="H37" s="397" t="s">
        <v>1053</v>
      </c>
      <c r="I37" s="362">
        <v>17697</v>
      </c>
      <c r="J37" s="399">
        <v>11.4</v>
      </c>
      <c r="K37" s="367">
        <f t="shared" si="23"/>
        <v>201745.80000000002</v>
      </c>
      <c r="L37" s="366">
        <v>24</v>
      </c>
      <c r="M37" s="366"/>
      <c r="N37" s="366"/>
      <c r="O37" s="366">
        <v>9</v>
      </c>
      <c r="P37" s="366"/>
      <c r="Q37" s="368">
        <f t="shared" si="0"/>
        <v>33</v>
      </c>
      <c r="R37" s="366">
        <v>3</v>
      </c>
      <c r="S37" s="366"/>
      <c r="T37" s="366"/>
      <c r="U37" s="366"/>
      <c r="V37" s="366"/>
      <c r="W37" s="381">
        <f t="shared" si="1"/>
        <v>3</v>
      </c>
      <c r="X37" s="370">
        <f t="shared" si="2"/>
        <v>36</v>
      </c>
      <c r="Y37" s="367">
        <f t="shared" si="3"/>
        <v>453928.05000000005</v>
      </c>
      <c r="Z37" s="367">
        <f t="shared" si="4"/>
        <v>45392.805000000008</v>
      </c>
      <c r="AA37" s="366">
        <v>0</v>
      </c>
      <c r="AB37" s="367">
        <f t="shared" si="5"/>
        <v>0</v>
      </c>
      <c r="AC37" s="366">
        <v>36</v>
      </c>
      <c r="AD37" s="367">
        <f t="shared" si="6"/>
        <v>7963.6500000000005</v>
      </c>
      <c r="AE37" s="366"/>
      <c r="AF37" s="366" t="s">
        <v>1054</v>
      </c>
      <c r="AG37" s="367">
        <f>17697*20%</f>
        <v>3539.4</v>
      </c>
      <c r="AH37" s="366" t="s">
        <v>1055</v>
      </c>
      <c r="AI37" s="367">
        <f>I37*200%</f>
        <v>35394</v>
      </c>
      <c r="AJ37" s="366">
        <f t="shared" si="7"/>
        <v>36</v>
      </c>
      <c r="AK37" s="367">
        <f t="shared" si="8"/>
        <v>15927.300000000001</v>
      </c>
      <c r="AL37" s="366">
        <f t="shared" si="9"/>
        <v>36</v>
      </c>
      <c r="AM37" s="367">
        <f t="shared" si="10"/>
        <v>136178.41500000001</v>
      </c>
      <c r="AN37" s="366" t="str">
        <f t="shared" si="11"/>
        <v>Педагог-зерттеуші</v>
      </c>
      <c r="AO37" s="367" t="str">
        <f t="shared" si="12"/>
        <v>0</v>
      </c>
      <c r="AP37" s="367">
        <f t="shared" si="13"/>
        <v>181571.22000000003</v>
      </c>
      <c r="AQ37" s="367" t="str">
        <f t="shared" si="14"/>
        <v>0</v>
      </c>
      <c r="AR37" s="367" t="str">
        <f t="shared" si="15"/>
        <v>0</v>
      </c>
      <c r="AS37" s="366"/>
      <c r="AT37" s="367"/>
      <c r="AU37" s="371"/>
      <c r="AV37" s="367"/>
      <c r="AW37" s="371">
        <f t="shared" si="24"/>
        <v>0</v>
      </c>
      <c r="AX37" s="372"/>
      <c r="AY37" s="367">
        <v>17697</v>
      </c>
      <c r="AZ37" s="367">
        <f t="shared" si="16"/>
        <v>443663.79000000004</v>
      </c>
      <c r="BA37" s="373">
        <f t="shared" si="17"/>
        <v>897591.84000000008</v>
      </c>
      <c r="BB37" s="374">
        <f t="shared" si="25"/>
        <v>89759.184000000008</v>
      </c>
      <c r="BC37" s="374">
        <f t="shared" si="26"/>
        <v>17951.836800000001</v>
      </c>
      <c r="BD37" s="374">
        <f t="shared" si="18"/>
        <v>72933.081920000011</v>
      </c>
      <c r="BE37" s="374">
        <f t="shared" si="27"/>
        <v>716947.73728</v>
      </c>
      <c r="BF37" s="374">
        <f t="shared" si="28"/>
        <v>10771102.080000002</v>
      </c>
      <c r="BG37" s="374">
        <f t="shared" si="19"/>
        <v>907856.10000000009</v>
      </c>
      <c r="BH37" s="374">
        <f t="shared" si="29"/>
        <v>11678958.180000002</v>
      </c>
      <c r="BI37" s="374">
        <f t="shared" si="20"/>
        <v>408763.53630000009</v>
      </c>
      <c r="BJ37" s="374">
        <f t="shared" si="21"/>
        <v>606967.3171440002</v>
      </c>
      <c r="BK37" s="374">
        <f t="shared" si="30"/>
        <v>525553.11810000008</v>
      </c>
      <c r="BL37" s="374">
        <f t="shared" si="31"/>
        <v>350368.74540000001</v>
      </c>
      <c r="BM37" s="373">
        <f t="shared" si="22"/>
        <v>13570610.896944003</v>
      </c>
      <c r="BN37" s="375"/>
      <c r="BO37" s="376"/>
      <c r="BP37" s="376"/>
      <c r="BQ37" s="377"/>
      <c r="BR37" s="377"/>
      <c r="BS37" s="377"/>
      <c r="BT37" s="377"/>
      <c r="BU37" s="377"/>
      <c r="BV37" s="377"/>
      <c r="BW37" s="377"/>
      <c r="BX37" s="377"/>
      <c r="BY37" s="377"/>
      <c r="BZ37" s="377"/>
      <c r="CA37" s="377"/>
      <c r="CB37" s="377"/>
      <c r="CC37" s="377"/>
      <c r="CD37" s="377"/>
      <c r="CE37" s="377"/>
      <c r="CF37" s="377"/>
      <c r="CG37" s="377"/>
      <c r="CH37" s="377"/>
      <c r="CI37" s="377"/>
    </row>
    <row r="38" spans="1:87" ht="94.5" customHeight="1">
      <c r="A38" s="361">
        <f t="shared" si="35"/>
        <v>25</v>
      </c>
      <c r="B38" s="362">
        <f t="shared" si="35"/>
        <v>25</v>
      </c>
      <c r="C38" s="378" t="s">
        <v>1056</v>
      </c>
      <c r="D38" s="379" t="s">
        <v>1057</v>
      </c>
      <c r="E38" s="396" t="s">
        <v>998</v>
      </c>
      <c r="F38" s="1298" t="s">
        <v>1005</v>
      </c>
      <c r="G38" s="362"/>
      <c r="H38" s="689" t="s">
        <v>1409</v>
      </c>
      <c r="I38" s="362">
        <v>17697</v>
      </c>
      <c r="J38" s="400">
        <v>10.6</v>
      </c>
      <c r="K38" s="398">
        <f t="shared" si="23"/>
        <v>187588.19999999998</v>
      </c>
      <c r="L38" s="366">
        <v>8</v>
      </c>
      <c r="M38" s="366">
        <v>16</v>
      </c>
      <c r="N38" s="366"/>
      <c r="O38" s="366">
        <v>9</v>
      </c>
      <c r="P38" s="366"/>
      <c r="Q38" s="368">
        <f t="shared" si="0"/>
        <v>33</v>
      </c>
      <c r="R38" s="366">
        <v>1</v>
      </c>
      <c r="S38" s="366">
        <v>2</v>
      </c>
      <c r="T38" s="366"/>
      <c r="U38" s="366"/>
      <c r="V38" s="366"/>
      <c r="W38" s="381">
        <f>SUM(R38:V38)</f>
        <v>3</v>
      </c>
      <c r="X38" s="370">
        <f t="shared" si="2"/>
        <v>36</v>
      </c>
      <c r="Y38" s="367">
        <f t="shared" si="3"/>
        <v>422073.44999999995</v>
      </c>
      <c r="Z38" s="367">
        <f t="shared" si="4"/>
        <v>42207.345000000001</v>
      </c>
      <c r="AA38" s="366">
        <v>9</v>
      </c>
      <c r="AB38" s="367">
        <f t="shared" si="5"/>
        <v>3981.8250000000003</v>
      </c>
      <c r="AC38" s="366">
        <v>27</v>
      </c>
      <c r="AD38" s="367">
        <f t="shared" si="6"/>
        <v>5972.7375000000002</v>
      </c>
      <c r="AE38" s="366"/>
      <c r="AF38" s="366"/>
      <c r="AG38" s="367"/>
      <c r="AH38" s="366"/>
      <c r="AI38" s="367"/>
      <c r="AJ38" s="366">
        <f t="shared" si="7"/>
        <v>36</v>
      </c>
      <c r="AK38" s="367">
        <f t="shared" si="8"/>
        <v>15927.300000000001</v>
      </c>
      <c r="AL38" s="366">
        <f t="shared" si="9"/>
        <v>36</v>
      </c>
      <c r="AM38" s="367">
        <f t="shared" si="10"/>
        <v>126622.03499999997</v>
      </c>
      <c r="AN38" s="366" t="str">
        <f t="shared" si="11"/>
        <v>Педагог-зерттеуші</v>
      </c>
      <c r="AO38" s="367" t="str">
        <f t="shared" si="12"/>
        <v>0</v>
      </c>
      <c r="AP38" s="367">
        <f t="shared" si="13"/>
        <v>168829.38</v>
      </c>
      <c r="AQ38" s="367" t="str">
        <f t="shared" si="14"/>
        <v>0</v>
      </c>
      <c r="AR38" s="367" t="str">
        <f t="shared" si="15"/>
        <v>0</v>
      </c>
      <c r="AS38" s="366"/>
      <c r="AT38" s="367"/>
      <c r="AU38" s="371"/>
      <c r="AV38" s="367"/>
      <c r="AW38" s="371">
        <f t="shared" si="24"/>
        <v>0</v>
      </c>
      <c r="AX38" s="372"/>
      <c r="AY38" s="367"/>
      <c r="AZ38" s="367">
        <f t="shared" si="16"/>
        <v>363540.6225</v>
      </c>
      <c r="BA38" s="373">
        <f t="shared" si="17"/>
        <v>785614.07250000001</v>
      </c>
      <c r="BB38" s="374">
        <f t="shared" si="25"/>
        <v>78561.407250000004</v>
      </c>
      <c r="BC38" s="374">
        <f t="shared" si="26"/>
        <v>15712.28145</v>
      </c>
      <c r="BD38" s="374">
        <f t="shared" si="18"/>
        <v>63079.038379999998</v>
      </c>
      <c r="BE38" s="374">
        <f t="shared" si="27"/>
        <v>628261.34541999991</v>
      </c>
      <c r="BF38" s="374">
        <f t="shared" si="28"/>
        <v>9427368.870000001</v>
      </c>
      <c r="BG38" s="374">
        <f t="shared" si="19"/>
        <v>844146.89999999991</v>
      </c>
      <c r="BH38" s="374">
        <f t="shared" si="29"/>
        <v>10271515.770000001</v>
      </c>
      <c r="BI38" s="374">
        <f t="shared" si="20"/>
        <v>359503.05195000011</v>
      </c>
      <c r="BJ38" s="374">
        <f t="shared" si="21"/>
        <v>533921.64006600017</v>
      </c>
      <c r="BK38" s="374">
        <f t="shared" si="30"/>
        <v>462218.20965000009</v>
      </c>
      <c r="BL38" s="374">
        <f t="shared" si="31"/>
        <v>308145.4731</v>
      </c>
      <c r="BM38" s="373">
        <f t="shared" si="22"/>
        <v>11935304.144766001</v>
      </c>
      <c r="BN38" s="375"/>
      <c r="BO38" s="376"/>
      <c r="BP38" s="376"/>
      <c r="BQ38" s="377"/>
      <c r="BR38" s="377"/>
      <c r="BS38" s="377"/>
      <c r="BT38" s="377"/>
      <c r="BU38" s="377"/>
      <c r="BV38" s="377"/>
      <c r="BW38" s="377"/>
      <c r="BX38" s="377"/>
      <c r="BY38" s="377"/>
      <c r="BZ38" s="377"/>
      <c r="CA38" s="377"/>
      <c r="CB38" s="377"/>
      <c r="CC38" s="377"/>
      <c r="CD38" s="377"/>
      <c r="CE38" s="377"/>
      <c r="CF38" s="377"/>
      <c r="CG38" s="377"/>
      <c r="CH38" s="377"/>
      <c r="CI38" s="377"/>
    </row>
    <row r="39" spans="1:87" ht="57.75" customHeight="1">
      <c r="A39" s="361">
        <f t="shared" si="35"/>
        <v>26</v>
      </c>
      <c r="B39" s="362">
        <f t="shared" si="35"/>
        <v>26</v>
      </c>
      <c r="C39" s="378" t="s">
        <v>1058</v>
      </c>
      <c r="D39" s="379" t="s">
        <v>1059</v>
      </c>
      <c r="E39" s="396" t="s">
        <v>998</v>
      </c>
      <c r="F39" s="1316"/>
      <c r="G39" s="691"/>
      <c r="H39" s="692" t="s">
        <v>1410</v>
      </c>
      <c r="I39" s="691">
        <v>17697</v>
      </c>
      <c r="J39" s="693">
        <v>10</v>
      </c>
      <c r="K39" s="399">
        <f t="shared" si="23"/>
        <v>176970</v>
      </c>
      <c r="L39" s="366">
        <v>8</v>
      </c>
      <c r="M39" s="366">
        <v>16</v>
      </c>
      <c r="N39" s="366"/>
      <c r="O39" s="366"/>
      <c r="P39" s="366"/>
      <c r="Q39" s="368">
        <f t="shared" si="0"/>
        <v>24</v>
      </c>
      <c r="R39" s="366">
        <v>1</v>
      </c>
      <c r="S39" s="366">
        <v>2</v>
      </c>
      <c r="T39" s="366"/>
      <c r="U39" s="366"/>
      <c r="V39" s="366"/>
      <c r="W39" s="381">
        <f>SUM(R39:V39)</f>
        <v>3</v>
      </c>
      <c r="X39" s="370">
        <f t="shared" si="2"/>
        <v>27</v>
      </c>
      <c r="Y39" s="367">
        <f t="shared" si="3"/>
        <v>298636.875</v>
      </c>
      <c r="Z39" s="367">
        <f t="shared" si="4"/>
        <v>29863.6875</v>
      </c>
      <c r="AA39" s="366">
        <v>9</v>
      </c>
      <c r="AB39" s="367">
        <f t="shared" si="5"/>
        <v>3981.8250000000003</v>
      </c>
      <c r="AC39" s="366">
        <v>18</v>
      </c>
      <c r="AD39" s="367">
        <f t="shared" si="6"/>
        <v>3981.8250000000003</v>
      </c>
      <c r="AE39" s="366"/>
      <c r="AF39" s="366"/>
      <c r="AG39" s="367"/>
      <c r="AH39" s="366"/>
      <c r="AI39" s="367"/>
      <c r="AJ39" s="366">
        <f t="shared" si="7"/>
        <v>27</v>
      </c>
      <c r="AK39" s="367">
        <f t="shared" si="8"/>
        <v>11945.475</v>
      </c>
      <c r="AL39" s="366">
        <f t="shared" si="9"/>
        <v>27</v>
      </c>
      <c r="AM39" s="367">
        <f t="shared" si="10"/>
        <v>89591.0625</v>
      </c>
      <c r="AN39" s="366">
        <f t="shared" si="11"/>
        <v>0</v>
      </c>
      <c r="AO39" s="367" t="str">
        <f t="shared" si="12"/>
        <v>0</v>
      </c>
      <c r="AP39" s="367" t="str">
        <f t="shared" si="13"/>
        <v>0</v>
      </c>
      <c r="AQ39" s="367" t="str">
        <f t="shared" si="14"/>
        <v>0</v>
      </c>
      <c r="AR39" s="367" t="str">
        <f t="shared" si="15"/>
        <v>0</v>
      </c>
      <c r="AS39" s="366"/>
      <c r="AT39" s="367"/>
      <c r="AU39" s="371"/>
      <c r="AV39" s="367"/>
      <c r="AW39" s="371">
        <f t="shared" si="24"/>
        <v>0</v>
      </c>
      <c r="AX39" s="372"/>
      <c r="AY39" s="367"/>
      <c r="AZ39" s="367">
        <f t="shared" si="16"/>
        <v>139363.875</v>
      </c>
      <c r="BA39" s="373">
        <f t="shared" si="17"/>
        <v>438000.75</v>
      </c>
      <c r="BB39" s="374">
        <f t="shared" si="25"/>
        <v>43800.075000000004</v>
      </c>
      <c r="BC39" s="374">
        <f t="shared" si="26"/>
        <v>8760.0149999999994</v>
      </c>
      <c r="BD39" s="374">
        <f t="shared" si="18"/>
        <v>32489.065999999999</v>
      </c>
      <c r="BE39" s="374">
        <f t="shared" si="27"/>
        <v>352951.59399999998</v>
      </c>
      <c r="BF39" s="374">
        <f t="shared" si="28"/>
        <v>5256009</v>
      </c>
      <c r="BG39" s="374">
        <f t="shared" si="19"/>
        <v>597273.75</v>
      </c>
      <c r="BH39" s="374">
        <f t="shared" si="29"/>
        <v>5853282.75</v>
      </c>
      <c r="BI39" s="374">
        <f t="shared" si="20"/>
        <v>204864.89625000002</v>
      </c>
      <c r="BJ39" s="374">
        <f t="shared" si="21"/>
        <v>304514.04869999998</v>
      </c>
      <c r="BK39" s="374">
        <f t="shared" si="30"/>
        <v>263397.72375000006</v>
      </c>
      <c r="BL39" s="374">
        <f t="shared" si="31"/>
        <v>175598.48249999998</v>
      </c>
      <c r="BM39" s="373">
        <f t="shared" si="22"/>
        <v>6801657.9012000002</v>
      </c>
      <c r="BN39" s="375"/>
      <c r="BO39" s="376"/>
      <c r="BP39" s="376"/>
      <c r="BQ39" s="377"/>
      <c r="BR39" s="377"/>
      <c r="BS39" s="377"/>
      <c r="BT39" s="377"/>
      <c r="BU39" s="377"/>
      <c r="BV39" s="377"/>
      <c r="BW39" s="377"/>
      <c r="BX39" s="377"/>
      <c r="BY39" s="377"/>
      <c r="BZ39" s="377"/>
      <c r="CA39" s="377"/>
      <c r="CB39" s="377"/>
      <c r="CC39" s="377"/>
      <c r="CD39" s="377"/>
      <c r="CE39" s="377"/>
      <c r="CF39" s="377"/>
      <c r="CG39" s="377"/>
      <c r="CH39" s="377"/>
      <c r="CI39" s="377"/>
    </row>
    <row r="40" spans="1:87" ht="31.5">
      <c r="A40" s="361">
        <f t="shared" si="35"/>
        <v>27</v>
      </c>
      <c r="B40" s="362">
        <f t="shared" si="35"/>
        <v>27</v>
      </c>
      <c r="C40" s="384" t="s">
        <v>225</v>
      </c>
      <c r="D40" s="379" t="s">
        <v>1060</v>
      </c>
      <c r="E40" s="396" t="s">
        <v>998</v>
      </c>
      <c r="F40" s="1298" t="s">
        <v>1011</v>
      </c>
      <c r="G40" s="362" t="s">
        <v>224</v>
      </c>
      <c r="H40" s="397" t="s">
        <v>845</v>
      </c>
      <c r="I40" s="362">
        <v>17697</v>
      </c>
      <c r="J40" s="400">
        <v>10.220000000000001</v>
      </c>
      <c r="K40" s="400">
        <f t="shared" si="23"/>
        <v>180863.34000000003</v>
      </c>
      <c r="L40" s="401"/>
      <c r="M40" s="380"/>
      <c r="N40" s="380"/>
      <c r="O40" s="380"/>
      <c r="P40" s="380">
        <v>9</v>
      </c>
      <c r="Q40" s="368">
        <f t="shared" si="0"/>
        <v>9</v>
      </c>
      <c r="R40" s="380"/>
      <c r="S40" s="380"/>
      <c r="T40" s="380"/>
      <c r="U40" s="380"/>
      <c r="V40" s="380"/>
      <c r="W40" s="381">
        <f>SUM(R40:V40)</f>
        <v>0</v>
      </c>
      <c r="X40" s="370">
        <f t="shared" si="2"/>
        <v>9</v>
      </c>
      <c r="Y40" s="367">
        <f t="shared" si="3"/>
        <v>101735.62875000002</v>
      </c>
      <c r="Z40" s="367"/>
      <c r="AA40" s="366">
        <v>0</v>
      </c>
      <c r="AB40" s="367">
        <f t="shared" si="5"/>
        <v>0</v>
      </c>
      <c r="AC40" s="366">
        <v>9</v>
      </c>
      <c r="AD40" s="367">
        <f t="shared" si="6"/>
        <v>1990.9125000000001</v>
      </c>
      <c r="AE40" s="366"/>
      <c r="AF40" s="366"/>
      <c r="AG40" s="367"/>
      <c r="AH40" s="366"/>
      <c r="AI40" s="367"/>
      <c r="AJ40" s="366">
        <f t="shared" si="7"/>
        <v>9</v>
      </c>
      <c r="AK40" s="367">
        <f t="shared" si="8"/>
        <v>3981.8250000000003</v>
      </c>
      <c r="AL40" s="366">
        <f t="shared" si="9"/>
        <v>9</v>
      </c>
      <c r="AM40" s="367">
        <f t="shared" si="10"/>
        <v>30520.688625000003</v>
      </c>
      <c r="AN40" s="366" t="str">
        <f t="shared" si="11"/>
        <v>Педагог-сарапшы</v>
      </c>
      <c r="AO40" s="367" t="str">
        <f t="shared" si="12"/>
        <v>0</v>
      </c>
      <c r="AP40" s="367" t="str">
        <f t="shared" si="13"/>
        <v>0</v>
      </c>
      <c r="AQ40" s="367">
        <f t="shared" si="14"/>
        <v>35607.470062500004</v>
      </c>
      <c r="AR40" s="367" t="str">
        <f t="shared" si="15"/>
        <v>0</v>
      </c>
      <c r="AS40" s="366"/>
      <c r="AT40" s="367"/>
      <c r="AU40" s="371"/>
      <c r="AV40" s="367"/>
      <c r="AW40" s="371" t="str">
        <f t="shared" si="24"/>
        <v>Магистр-математика</v>
      </c>
      <c r="AX40" s="372">
        <f>10*4325</f>
        <v>43250</v>
      </c>
      <c r="AY40" s="367"/>
      <c r="AZ40" s="367">
        <f t="shared" si="16"/>
        <v>115350.89618750001</v>
      </c>
      <c r="BA40" s="373">
        <f t="shared" si="17"/>
        <v>217086.52493750001</v>
      </c>
      <c r="BB40" s="374">
        <f t="shared" si="25"/>
        <v>21708.652493750003</v>
      </c>
      <c r="BC40" s="374">
        <f t="shared" si="26"/>
        <v>4341.7304987500002</v>
      </c>
      <c r="BD40" s="374">
        <f t="shared" si="18"/>
        <v>13048.614194500002</v>
      </c>
      <c r="BE40" s="374">
        <f t="shared" si="27"/>
        <v>177987.52775050001</v>
      </c>
      <c r="BF40" s="374">
        <f t="shared" si="28"/>
        <v>2605038.2992500002</v>
      </c>
      <c r="BG40" s="374">
        <f t="shared" si="19"/>
        <v>203471.25750000004</v>
      </c>
      <c r="BH40" s="374">
        <f t="shared" si="29"/>
        <v>2808509.55675</v>
      </c>
      <c r="BI40" s="374">
        <f t="shared" si="20"/>
        <v>98297.834486250009</v>
      </c>
      <c r="BJ40" s="374">
        <f t="shared" si="21"/>
        <v>145928.43180615001</v>
      </c>
      <c r="BK40" s="374">
        <f t="shared" si="30"/>
        <v>126382.93005375001</v>
      </c>
      <c r="BL40" s="374">
        <f t="shared" si="31"/>
        <v>84255.286702500001</v>
      </c>
      <c r="BM40" s="373">
        <f t="shared" si="22"/>
        <v>3263374.03979865</v>
      </c>
      <c r="BN40" s="375">
        <v>1</v>
      </c>
      <c r="BO40" s="376"/>
      <c r="BP40" s="376"/>
      <c r="BQ40" s="377"/>
      <c r="BR40" s="377"/>
      <c r="BS40" s="377"/>
      <c r="BT40" s="377"/>
      <c r="BU40" s="377"/>
      <c r="BV40" s="377"/>
      <c r="BW40" s="377"/>
      <c r="BX40" s="377"/>
      <c r="BY40" s="377"/>
      <c r="BZ40" s="377"/>
      <c r="CA40" s="377"/>
      <c r="CB40" s="377"/>
      <c r="CC40" s="377"/>
      <c r="CD40" s="377"/>
      <c r="CE40" s="377"/>
      <c r="CF40" s="377"/>
      <c r="CG40" s="377"/>
      <c r="CH40" s="377"/>
      <c r="CI40" s="377"/>
    </row>
    <row r="41" spans="1:87" ht="63">
      <c r="A41" s="361">
        <f t="shared" si="35"/>
        <v>28</v>
      </c>
      <c r="B41" s="362">
        <f t="shared" si="35"/>
        <v>28</v>
      </c>
      <c r="C41" s="384" t="s">
        <v>189</v>
      </c>
      <c r="D41" s="379" t="s">
        <v>1061</v>
      </c>
      <c r="E41" s="396" t="s">
        <v>998</v>
      </c>
      <c r="F41" s="1317" t="s">
        <v>999</v>
      </c>
      <c r="G41" s="362"/>
      <c r="H41" s="397" t="s">
        <v>1411</v>
      </c>
      <c r="I41" s="362">
        <v>17697</v>
      </c>
      <c r="J41" s="400">
        <v>11.02</v>
      </c>
      <c r="K41" s="400">
        <f t="shared" si="23"/>
        <v>195020.94</v>
      </c>
      <c r="L41" s="401"/>
      <c r="M41" s="380">
        <v>24</v>
      </c>
      <c r="N41" s="380"/>
      <c r="O41" s="380"/>
      <c r="P41" s="380">
        <v>9</v>
      </c>
      <c r="Q41" s="368">
        <f t="shared" si="0"/>
        <v>33</v>
      </c>
      <c r="R41" s="380"/>
      <c r="S41" s="380">
        <v>3</v>
      </c>
      <c r="T41" s="380"/>
      <c r="U41" s="380"/>
      <c r="V41" s="380"/>
      <c r="W41" s="381">
        <f>SUM(R41:V41)</f>
        <v>3</v>
      </c>
      <c r="X41" s="370">
        <f t="shared" si="2"/>
        <v>36</v>
      </c>
      <c r="Y41" s="367">
        <f t="shared" si="3"/>
        <v>438797.11499999999</v>
      </c>
      <c r="Z41" s="367">
        <f t="shared" si="4"/>
        <v>43879.711500000005</v>
      </c>
      <c r="AA41" s="366">
        <v>36</v>
      </c>
      <c r="AB41" s="367">
        <f t="shared" si="5"/>
        <v>15927.300000000001</v>
      </c>
      <c r="AC41" s="366">
        <v>0</v>
      </c>
      <c r="AD41" s="367">
        <f t="shared" si="6"/>
        <v>0</v>
      </c>
      <c r="AE41" s="366"/>
      <c r="AF41" s="366"/>
      <c r="AG41" s="367"/>
      <c r="AH41" s="366"/>
      <c r="AI41" s="367"/>
      <c r="AJ41" s="366">
        <f t="shared" si="7"/>
        <v>36</v>
      </c>
      <c r="AK41" s="367">
        <f t="shared" si="8"/>
        <v>15927.300000000001</v>
      </c>
      <c r="AL41" s="366">
        <f t="shared" si="9"/>
        <v>36</v>
      </c>
      <c r="AM41" s="367">
        <f t="shared" si="10"/>
        <v>131639.13449999999</v>
      </c>
      <c r="AN41" s="366" t="str">
        <f t="shared" si="11"/>
        <v>Педагог-шебер</v>
      </c>
      <c r="AO41" s="367">
        <f t="shared" si="12"/>
        <v>219398.5575</v>
      </c>
      <c r="AP41" s="367" t="str">
        <f t="shared" si="13"/>
        <v>0</v>
      </c>
      <c r="AQ41" s="367" t="str">
        <f t="shared" si="14"/>
        <v>0</v>
      </c>
      <c r="AR41" s="367" t="str">
        <f t="shared" si="15"/>
        <v>0</v>
      </c>
      <c r="AS41" s="366"/>
      <c r="AT41" s="367"/>
      <c r="AU41" s="371"/>
      <c r="AV41" s="367"/>
      <c r="AW41" s="371">
        <f t="shared" si="24"/>
        <v>0</v>
      </c>
      <c r="AX41" s="372"/>
      <c r="AY41" s="367"/>
      <c r="AZ41" s="367">
        <f t="shared" si="16"/>
        <v>426772.00349999999</v>
      </c>
      <c r="BA41" s="373">
        <f t="shared" si="17"/>
        <v>865569.11849999998</v>
      </c>
      <c r="BB41" s="374">
        <f t="shared" si="25"/>
        <v>86556.911850000004</v>
      </c>
      <c r="BC41" s="374">
        <f t="shared" si="26"/>
        <v>17311.382369999999</v>
      </c>
      <c r="BD41" s="374">
        <f t="shared" si="18"/>
        <v>70115.082427999994</v>
      </c>
      <c r="BE41" s="374">
        <f t="shared" si="27"/>
        <v>691585.74185199989</v>
      </c>
      <c r="BF41" s="374">
        <f t="shared" si="28"/>
        <v>10386829.422</v>
      </c>
      <c r="BG41" s="374">
        <f t="shared" si="19"/>
        <v>877594.23</v>
      </c>
      <c r="BH41" s="374">
        <f t="shared" si="29"/>
        <v>11264423.652000001</v>
      </c>
      <c r="BI41" s="374">
        <f t="shared" si="20"/>
        <v>394254.82782000006</v>
      </c>
      <c r="BJ41" s="374">
        <f t="shared" si="21"/>
        <v>585427.85247960011</v>
      </c>
      <c r="BK41" s="374">
        <f t="shared" si="30"/>
        <v>506899.06434000004</v>
      </c>
      <c r="BL41" s="374">
        <f t="shared" si="31"/>
        <v>337932.70955999999</v>
      </c>
      <c r="BM41" s="373">
        <f t="shared" si="22"/>
        <v>13088938.1061996</v>
      </c>
      <c r="BN41" s="375"/>
      <c r="BO41" s="376"/>
      <c r="BP41" s="376"/>
      <c r="BQ41" s="377"/>
      <c r="BR41" s="377"/>
      <c r="BS41" s="377"/>
      <c r="BT41" s="377"/>
      <c r="BU41" s="377"/>
      <c r="BV41" s="377"/>
      <c r="BW41" s="377"/>
      <c r="BX41" s="377"/>
      <c r="BY41" s="377"/>
      <c r="BZ41" s="377"/>
      <c r="CA41" s="377"/>
      <c r="CB41" s="377"/>
      <c r="CC41" s="377"/>
      <c r="CD41" s="377"/>
      <c r="CE41" s="377"/>
      <c r="CF41" s="377"/>
      <c r="CG41" s="377"/>
      <c r="CH41" s="377"/>
      <c r="CI41" s="377"/>
    </row>
    <row r="42" spans="1:87" ht="47.25">
      <c r="A42" s="361">
        <f t="shared" si="35"/>
        <v>29</v>
      </c>
      <c r="B42" s="362">
        <f t="shared" si="35"/>
        <v>29</v>
      </c>
      <c r="C42" s="378" t="s">
        <v>208</v>
      </c>
      <c r="D42" s="379" t="s">
        <v>1062</v>
      </c>
      <c r="E42" s="392" t="s">
        <v>998</v>
      </c>
      <c r="F42" s="1317" t="s">
        <v>999</v>
      </c>
      <c r="G42" s="390"/>
      <c r="H42" s="402" t="s">
        <v>1412</v>
      </c>
      <c r="I42" s="390">
        <v>17697</v>
      </c>
      <c r="J42" s="403">
        <v>11.02</v>
      </c>
      <c r="K42" s="403">
        <f t="shared" si="23"/>
        <v>195020.94</v>
      </c>
      <c r="L42" s="380"/>
      <c r="M42" s="380"/>
      <c r="N42" s="380"/>
      <c r="O42" s="380">
        <v>31</v>
      </c>
      <c r="P42" s="380"/>
      <c r="Q42" s="368">
        <f t="shared" si="0"/>
        <v>31</v>
      </c>
      <c r="R42" s="380"/>
      <c r="S42" s="380"/>
      <c r="T42" s="380"/>
      <c r="U42" s="380"/>
      <c r="V42" s="380"/>
      <c r="W42" s="381">
        <f t="shared" si="1"/>
        <v>0</v>
      </c>
      <c r="X42" s="370">
        <f t="shared" si="2"/>
        <v>31</v>
      </c>
      <c r="Y42" s="367">
        <f t="shared" si="3"/>
        <v>377853.07124999998</v>
      </c>
      <c r="Z42" s="367">
        <f t="shared" si="4"/>
        <v>37785.307124999999</v>
      </c>
      <c r="AA42" s="366">
        <v>31</v>
      </c>
      <c r="AB42" s="367">
        <f t="shared" si="5"/>
        <v>13715.175000000001</v>
      </c>
      <c r="AC42" s="366">
        <v>0</v>
      </c>
      <c r="AD42" s="367">
        <f t="shared" si="6"/>
        <v>0</v>
      </c>
      <c r="AE42" s="366"/>
      <c r="AF42" s="366" t="s">
        <v>1063</v>
      </c>
      <c r="AG42" s="367">
        <f>17697*20%</f>
        <v>3539.4</v>
      </c>
      <c r="AH42" s="366"/>
      <c r="AI42" s="367"/>
      <c r="AJ42" s="366">
        <f t="shared" si="7"/>
        <v>31</v>
      </c>
      <c r="AK42" s="367">
        <f t="shared" si="8"/>
        <v>13715.175000000001</v>
      </c>
      <c r="AL42" s="366">
        <f t="shared" si="9"/>
        <v>31</v>
      </c>
      <c r="AM42" s="367">
        <f t="shared" si="10"/>
        <v>113355.92137499999</v>
      </c>
      <c r="AN42" s="366" t="str">
        <f t="shared" si="11"/>
        <v>Педагог-шебер</v>
      </c>
      <c r="AO42" s="367">
        <f t="shared" si="12"/>
        <v>188926.53562499999</v>
      </c>
      <c r="AP42" s="367" t="str">
        <f t="shared" si="13"/>
        <v>0</v>
      </c>
      <c r="AQ42" s="367" t="str">
        <f t="shared" si="14"/>
        <v>0</v>
      </c>
      <c r="AR42" s="367" t="str">
        <f t="shared" si="15"/>
        <v>0</v>
      </c>
      <c r="AS42" s="366"/>
      <c r="AT42" s="367"/>
      <c r="AU42" s="371"/>
      <c r="AV42" s="367"/>
      <c r="AW42" s="371">
        <f t="shared" si="24"/>
        <v>0</v>
      </c>
      <c r="AX42" s="372"/>
      <c r="AY42" s="367"/>
      <c r="AZ42" s="367">
        <f t="shared" si="16"/>
        <v>371037.51412499999</v>
      </c>
      <c r="BA42" s="373">
        <f t="shared" si="17"/>
        <v>748890.58537500002</v>
      </c>
      <c r="BB42" s="374">
        <f t="shared" si="25"/>
        <v>74889.058537500008</v>
      </c>
      <c r="BC42" s="374">
        <f t="shared" si="26"/>
        <v>14977.811707500001</v>
      </c>
      <c r="BD42" s="374">
        <f t="shared" si="18"/>
        <v>59847.371513000006</v>
      </c>
      <c r="BE42" s="374">
        <f t="shared" si="27"/>
        <v>599176.34361700004</v>
      </c>
      <c r="BF42" s="374">
        <f t="shared" si="28"/>
        <v>8986687.0245000012</v>
      </c>
      <c r="BG42" s="374">
        <f t="shared" si="19"/>
        <v>755706.14249999996</v>
      </c>
      <c r="BH42" s="374">
        <f t="shared" si="29"/>
        <v>9742393.1670000013</v>
      </c>
      <c r="BI42" s="374">
        <f t="shared" si="20"/>
        <v>340983.7608450001</v>
      </c>
      <c r="BJ42" s="374">
        <f t="shared" si="21"/>
        <v>506318.51956410002</v>
      </c>
      <c r="BK42" s="374">
        <f t="shared" si="30"/>
        <v>438407.69251500006</v>
      </c>
      <c r="BL42" s="374">
        <f t="shared" si="31"/>
        <v>292271.79501</v>
      </c>
      <c r="BM42" s="373">
        <f t="shared" si="22"/>
        <v>11320374.934934102</v>
      </c>
      <c r="BN42" s="375"/>
      <c r="BO42" s="376"/>
      <c r="BP42" s="376"/>
      <c r="BQ42" s="377"/>
      <c r="BR42" s="377"/>
      <c r="BS42" s="377"/>
      <c r="BT42" s="377"/>
      <c r="BU42" s="377"/>
      <c r="BV42" s="377"/>
      <c r="BW42" s="377"/>
      <c r="BX42" s="377"/>
      <c r="BY42" s="377"/>
      <c r="BZ42" s="377"/>
      <c r="CA42" s="377"/>
      <c r="CB42" s="377"/>
      <c r="CC42" s="377"/>
      <c r="CD42" s="377"/>
      <c r="CE42" s="377"/>
      <c r="CF42" s="377"/>
      <c r="CG42" s="377"/>
      <c r="CH42" s="377"/>
      <c r="CI42" s="377"/>
    </row>
    <row r="43" spans="1:87" ht="60">
      <c r="A43" s="361">
        <f t="shared" si="35"/>
        <v>30</v>
      </c>
      <c r="B43" s="362">
        <f t="shared" si="35"/>
        <v>30</v>
      </c>
      <c r="C43" s="378" t="s">
        <v>200</v>
      </c>
      <c r="D43" s="379" t="s">
        <v>1064</v>
      </c>
      <c r="E43" s="404" t="s">
        <v>998</v>
      </c>
      <c r="F43" s="1315" t="s">
        <v>999</v>
      </c>
      <c r="G43" s="394" t="s">
        <v>229</v>
      </c>
      <c r="H43" s="395" t="s">
        <v>1065</v>
      </c>
      <c r="I43" s="394">
        <v>17697</v>
      </c>
      <c r="J43" s="367">
        <v>11.4</v>
      </c>
      <c r="K43" s="367">
        <f t="shared" si="23"/>
        <v>201745.80000000002</v>
      </c>
      <c r="L43" s="380"/>
      <c r="M43" s="380"/>
      <c r="N43" s="380"/>
      <c r="O43" s="380">
        <v>18</v>
      </c>
      <c r="P43" s="380"/>
      <c r="Q43" s="368">
        <f t="shared" si="0"/>
        <v>18</v>
      </c>
      <c r="R43" s="380"/>
      <c r="S43" s="380"/>
      <c r="T43" s="380"/>
      <c r="U43" s="380"/>
      <c r="V43" s="380"/>
      <c r="W43" s="381">
        <f t="shared" si="1"/>
        <v>0</v>
      </c>
      <c r="X43" s="370">
        <f t="shared" si="2"/>
        <v>18</v>
      </c>
      <c r="Y43" s="367">
        <f t="shared" si="3"/>
        <v>226964.02500000002</v>
      </c>
      <c r="Z43" s="367">
        <f t="shared" si="4"/>
        <v>22696.402500000004</v>
      </c>
      <c r="AA43" s="366">
        <v>9</v>
      </c>
      <c r="AB43" s="367">
        <f t="shared" si="5"/>
        <v>3981.8250000000003</v>
      </c>
      <c r="AC43" s="366">
        <v>9</v>
      </c>
      <c r="AD43" s="367">
        <f t="shared" si="6"/>
        <v>1990.9125000000001</v>
      </c>
      <c r="AE43" s="366"/>
      <c r="AF43" s="366"/>
      <c r="AG43" s="367"/>
      <c r="AH43" s="366"/>
      <c r="AI43" s="367"/>
      <c r="AJ43" s="366">
        <f t="shared" si="7"/>
        <v>18</v>
      </c>
      <c r="AK43" s="367">
        <f t="shared" si="8"/>
        <v>7963.6500000000005</v>
      </c>
      <c r="AL43" s="366">
        <f t="shared" si="9"/>
        <v>18</v>
      </c>
      <c r="AM43" s="367">
        <f t="shared" si="10"/>
        <v>68089.207500000004</v>
      </c>
      <c r="AN43" s="366" t="str">
        <f t="shared" si="11"/>
        <v>Педагог-шебер</v>
      </c>
      <c r="AO43" s="367">
        <f t="shared" si="12"/>
        <v>113482.01250000001</v>
      </c>
      <c r="AP43" s="367" t="str">
        <f t="shared" si="13"/>
        <v>0</v>
      </c>
      <c r="AQ43" s="367" t="str">
        <f t="shared" si="14"/>
        <v>0</v>
      </c>
      <c r="AR43" s="367" t="str">
        <f t="shared" si="15"/>
        <v>0</v>
      </c>
      <c r="AS43" s="366"/>
      <c r="AT43" s="367"/>
      <c r="AU43" s="371"/>
      <c r="AV43" s="367"/>
      <c r="AW43" s="371" t="str">
        <f t="shared" si="24"/>
        <v>Магистр-информационные системы</v>
      </c>
      <c r="AX43" s="372">
        <f>10*4325</f>
        <v>43250</v>
      </c>
      <c r="AY43" s="367"/>
      <c r="AZ43" s="367">
        <f t="shared" si="16"/>
        <v>261454.01</v>
      </c>
      <c r="BA43" s="373">
        <f t="shared" si="17"/>
        <v>488418.03500000003</v>
      </c>
      <c r="BB43" s="374">
        <f t="shared" si="25"/>
        <v>48841.803500000009</v>
      </c>
      <c r="BC43" s="374">
        <f t="shared" si="26"/>
        <v>9768.3607000000011</v>
      </c>
      <c r="BD43" s="374">
        <f t="shared" si="18"/>
        <v>36925.787080000002</v>
      </c>
      <c r="BE43" s="374">
        <f t="shared" si="27"/>
        <v>392882.08372</v>
      </c>
      <c r="BF43" s="374">
        <f t="shared" si="28"/>
        <v>5861016.4199999999</v>
      </c>
      <c r="BG43" s="374">
        <f t="shared" si="19"/>
        <v>453928.05000000005</v>
      </c>
      <c r="BH43" s="374">
        <f t="shared" si="29"/>
        <v>6314944.4699999997</v>
      </c>
      <c r="BI43" s="374">
        <f t="shared" si="20"/>
        <v>221023.05645</v>
      </c>
      <c r="BJ43" s="374">
        <f t="shared" si="21"/>
        <v>328112.76525599998</v>
      </c>
      <c r="BK43" s="374">
        <f t="shared" si="30"/>
        <v>284172.50115000003</v>
      </c>
      <c r="BL43" s="374">
        <f t="shared" si="31"/>
        <v>189448.33409999998</v>
      </c>
      <c r="BM43" s="373">
        <f t="shared" si="22"/>
        <v>7337701.1269559991</v>
      </c>
      <c r="BN43" s="375"/>
      <c r="BO43" s="376"/>
      <c r="BP43" s="376"/>
      <c r="BQ43" s="377"/>
      <c r="BR43" s="377"/>
      <c r="BS43" s="377"/>
      <c r="BT43" s="377"/>
      <c r="BU43" s="377"/>
      <c r="BV43" s="377"/>
      <c r="BW43" s="377"/>
      <c r="BX43" s="377"/>
      <c r="BY43" s="377"/>
      <c r="BZ43" s="377"/>
      <c r="CA43" s="377"/>
      <c r="CB43" s="377"/>
      <c r="CC43" s="377"/>
      <c r="CD43" s="377"/>
      <c r="CE43" s="377"/>
      <c r="CF43" s="377"/>
      <c r="CG43" s="377"/>
      <c r="CH43" s="377"/>
      <c r="CI43" s="377"/>
    </row>
    <row r="44" spans="1:87" ht="75">
      <c r="A44" s="361">
        <f t="shared" si="35"/>
        <v>31</v>
      </c>
      <c r="B44" s="362">
        <f t="shared" si="35"/>
        <v>31</v>
      </c>
      <c r="C44" s="405" t="s">
        <v>1066</v>
      </c>
      <c r="D44" s="364" t="s">
        <v>1067</v>
      </c>
      <c r="E44" s="694" t="s">
        <v>998</v>
      </c>
      <c r="F44" s="1298" t="s">
        <v>1011</v>
      </c>
      <c r="G44" s="406" t="s">
        <v>1068</v>
      </c>
      <c r="H44" s="397" t="s">
        <v>1413</v>
      </c>
      <c r="I44" s="362">
        <v>17697</v>
      </c>
      <c r="J44" s="398">
        <v>10.6</v>
      </c>
      <c r="K44" s="367">
        <f t="shared" si="23"/>
        <v>187588.19999999998</v>
      </c>
      <c r="L44" s="380">
        <v>24</v>
      </c>
      <c r="M44" s="380"/>
      <c r="N44" s="380"/>
      <c r="O44" s="380"/>
      <c r="P44" s="380"/>
      <c r="Q44" s="368">
        <f t="shared" si="0"/>
        <v>24</v>
      </c>
      <c r="R44" s="380">
        <v>3</v>
      </c>
      <c r="S44" s="380"/>
      <c r="T44" s="380"/>
      <c r="U44" s="380"/>
      <c r="V44" s="380"/>
      <c r="W44" s="381">
        <f>SUM(R44:V44)</f>
        <v>3</v>
      </c>
      <c r="X44" s="370">
        <f t="shared" si="2"/>
        <v>27</v>
      </c>
      <c r="Y44" s="367">
        <f t="shared" si="3"/>
        <v>316555.08749999997</v>
      </c>
      <c r="Z44" s="367">
        <f t="shared" si="4"/>
        <v>31655.508749999997</v>
      </c>
      <c r="AA44" s="366">
        <v>0</v>
      </c>
      <c r="AB44" s="367">
        <f t="shared" si="5"/>
        <v>0</v>
      </c>
      <c r="AC44" s="366">
        <v>27</v>
      </c>
      <c r="AD44" s="367">
        <f t="shared" si="6"/>
        <v>5972.7375000000002</v>
      </c>
      <c r="AE44" s="366"/>
      <c r="AF44" s="366" t="s">
        <v>274</v>
      </c>
      <c r="AG44" s="367">
        <f>17697*20%</f>
        <v>3539.4</v>
      </c>
      <c r="AH44" s="366" t="s">
        <v>1069</v>
      </c>
      <c r="AI44" s="367">
        <f>I44*200%</f>
        <v>35394</v>
      </c>
      <c r="AJ44" s="366">
        <f t="shared" si="7"/>
        <v>27</v>
      </c>
      <c r="AK44" s="367">
        <f t="shared" si="8"/>
        <v>11945.475</v>
      </c>
      <c r="AL44" s="366">
        <f t="shared" si="9"/>
        <v>27</v>
      </c>
      <c r="AM44" s="367">
        <f t="shared" si="10"/>
        <v>94966.526249999981</v>
      </c>
      <c r="AN44" s="366" t="str">
        <f t="shared" si="11"/>
        <v>Педагог-сарапшы</v>
      </c>
      <c r="AO44" s="367" t="str">
        <f t="shared" si="12"/>
        <v>0</v>
      </c>
      <c r="AP44" s="367" t="str">
        <f t="shared" si="13"/>
        <v>0</v>
      </c>
      <c r="AQ44" s="367">
        <f t="shared" si="14"/>
        <v>110794.28062499998</v>
      </c>
      <c r="AR44" s="367" t="str">
        <f t="shared" si="15"/>
        <v>0</v>
      </c>
      <c r="AS44" s="366"/>
      <c r="AT44" s="367"/>
      <c r="AU44" s="371"/>
      <c r="AV44" s="367"/>
      <c r="AW44" s="371" t="str">
        <f t="shared" si="24"/>
        <v>Магистр-матем. и комп. моделирование</v>
      </c>
      <c r="AX44" s="372">
        <f>10*4325</f>
        <v>43250</v>
      </c>
      <c r="AY44" s="367"/>
      <c r="AZ44" s="367">
        <f t="shared" si="16"/>
        <v>337517.92812499998</v>
      </c>
      <c r="BA44" s="373">
        <f t="shared" si="17"/>
        <v>654073.015625</v>
      </c>
      <c r="BB44" s="374">
        <f t="shared" si="25"/>
        <v>65407.301562500004</v>
      </c>
      <c r="BC44" s="374">
        <f t="shared" si="26"/>
        <v>13081.460312499999</v>
      </c>
      <c r="BD44" s="374">
        <f t="shared" si="18"/>
        <v>51503.425375000006</v>
      </c>
      <c r="BE44" s="374">
        <f t="shared" si="27"/>
        <v>524080.82837500004</v>
      </c>
      <c r="BF44" s="374">
        <f t="shared" si="28"/>
        <v>7848876.1875</v>
      </c>
      <c r="BG44" s="374">
        <f t="shared" si="19"/>
        <v>633110.17499999993</v>
      </c>
      <c r="BH44" s="374">
        <f t="shared" si="29"/>
        <v>8481986.3625000007</v>
      </c>
      <c r="BI44" s="374">
        <f t="shared" si="20"/>
        <v>296869.52268750005</v>
      </c>
      <c r="BJ44" s="374">
        <f t="shared" si="21"/>
        <v>440759.7359625001</v>
      </c>
      <c r="BK44" s="374">
        <f t="shared" si="30"/>
        <v>381689.38631250011</v>
      </c>
      <c r="BL44" s="374">
        <f t="shared" si="31"/>
        <v>254459.59087500002</v>
      </c>
      <c r="BM44" s="373">
        <f t="shared" si="22"/>
        <v>9855764.5983375013</v>
      </c>
      <c r="BN44" s="375"/>
      <c r="BO44" s="376"/>
      <c r="BP44" s="376"/>
      <c r="BQ44" s="377"/>
      <c r="BR44" s="377"/>
      <c r="BS44" s="377"/>
      <c r="BT44" s="377"/>
      <c r="BU44" s="377"/>
      <c r="BV44" s="377"/>
      <c r="BW44" s="377"/>
      <c r="BX44" s="377"/>
      <c r="BY44" s="377"/>
      <c r="BZ44" s="377"/>
      <c r="CA44" s="377"/>
      <c r="CB44" s="377"/>
      <c r="CC44" s="377"/>
      <c r="CD44" s="377"/>
      <c r="CE44" s="377"/>
      <c r="CF44" s="377"/>
      <c r="CG44" s="377"/>
      <c r="CH44" s="377"/>
      <c r="CI44" s="377"/>
    </row>
    <row r="45" spans="1:87" ht="15">
      <c r="A45" s="1520"/>
      <c r="B45" s="1521"/>
      <c r="C45" s="1520" t="s">
        <v>2</v>
      </c>
      <c r="D45" s="1522"/>
      <c r="E45" s="1522"/>
      <c r="F45" s="1522"/>
      <c r="G45" s="1522"/>
      <c r="H45" s="1522"/>
      <c r="I45" s="1522"/>
      <c r="J45" s="1508"/>
      <c r="K45" s="407">
        <f t="shared" ref="K45:AE45" si="36">SUM(K14:K44)</f>
        <v>5795413.5599999996</v>
      </c>
      <c r="L45" s="407">
        <f t="shared" si="36"/>
        <v>160</v>
      </c>
      <c r="M45" s="407">
        <f t="shared" si="36"/>
        <v>160</v>
      </c>
      <c r="N45" s="407">
        <f t="shared" si="36"/>
        <v>144</v>
      </c>
      <c r="O45" s="407">
        <f t="shared" si="36"/>
        <v>159</v>
      </c>
      <c r="P45" s="407">
        <f t="shared" si="36"/>
        <v>162</v>
      </c>
      <c r="Q45" s="407">
        <f t="shared" si="36"/>
        <v>785</v>
      </c>
      <c r="R45" s="407">
        <f t="shared" si="36"/>
        <v>44</v>
      </c>
      <c r="S45" s="407">
        <f t="shared" si="36"/>
        <v>30</v>
      </c>
      <c r="T45" s="407">
        <f t="shared" si="36"/>
        <v>18</v>
      </c>
      <c r="U45" s="407">
        <f t="shared" si="36"/>
        <v>7</v>
      </c>
      <c r="V45" s="407">
        <f t="shared" si="36"/>
        <v>7</v>
      </c>
      <c r="W45" s="407">
        <f t="shared" si="36"/>
        <v>106</v>
      </c>
      <c r="X45" s="407">
        <f t="shared" si="36"/>
        <v>891</v>
      </c>
      <c r="Y45" s="407">
        <f t="shared" si="36"/>
        <v>10392253.552499998</v>
      </c>
      <c r="Z45" s="407">
        <f t="shared" si="36"/>
        <v>1023300.2673750002</v>
      </c>
      <c r="AA45" s="407">
        <f t="shared" si="36"/>
        <v>441</v>
      </c>
      <c r="AB45" s="407">
        <f t="shared" si="36"/>
        <v>195109.42499999999</v>
      </c>
      <c r="AC45" s="407">
        <f t="shared" si="36"/>
        <v>405</v>
      </c>
      <c r="AD45" s="407">
        <f t="shared" si="36"/>
        <v>89591.062500000015</v>
      </c>
      <c r="AE45" s="407">
        <f t="shared" si="36"/>
        <v>0</v>
      </c>
      <c r="AF45" s="407">
        <v>15</v>
      </c>
      <c r="AG45" s="407">
        <f>SUM(AG14:AG44)</f>
        <v>53091.000000000015</v>
      </c>
      <c r="AH45" s="407">
        <v>5</v>
      </c>
      <c r="AI45" s="407">
        <f t="shared" ref="AI45:BN45" si="37">SUM(AI14:AI44)</f>
        <v>176970</v>
      </c>
      <c r="AJ45" s="407">
        <f t="shared" si="37"/>
        <v>891</v>
      </c>
      <c r="AK45" s="407">
        <f t="shared" si="37"/>
        <v>394200.67499999987</v>
      </c>
      <c r="AL45" s="407">
        <f t="shared" si="37"/>
        <v>891</v>
      </c>
      <c r="AM45" s="407">
        <f t="shared" si="37"/>
        <v>3117676.0657500005</v>
      </c>
      <c r="AN45" s="407">
        <f t="shared" si="37"/>
        <v>0</v>
      </c>
      <c r="AO45" s="407">
        <f t="shared" si="37"/>
        <v>1422097.7381249999</v>
      </c>
      <c r="AP45" s="407">
        <f t="shared" si="37"/>
        <v>895114.26000000013</v>
      </c>
      <c r="AQ45" s="407">
        <f t="shared" si="37"/>
        <v>325406.90568750002</v>
      </c>
      <c r="AR45" s="407">
        <f t="shared" si="37"/>
        <v>754635.47400000005</v>
      </c>
      <c r="AS45" s="407">
        <f t="shared" si="37"/>
        <v>0</v>
      </c>
      <c r="AT45" s="407">
        <f t="shared" si="37"/>
        <v>0</v>
      </c>
      <c r="AU45" s="407">
        <f t="shared" si="37"/>
        <v>0</v>
      </c>
      <c r="AV45" s="407">
        <f t="shared" si="37"/>
        <v>0</v>
      </c>
      <c r="AW45" s="407">
        <v>10</v>
      </c>
      <c r="AX45" s="407">
        <f t="shared" si="37"/>
        <v>432500</v>
      </c>
      <c r="AY45" s="407">
        <f t="shared" si="37"/>
        <v>35394</v>
      </c>
      <c r="AZ45" s="407">
        <f t="shared" si="37"/>
        <v>8915086.8734374996</v>
      </c>
      <c r="BA45" s="1318">
        <f>SUM(BA14:BA44)</f>
        <v>19307340.4259375</v>
      </c>
      <c r="BB45" s="1318">
        <f t="shared" ref="BB45:BM45" si="38">SUM(BB14:BB44)</f>
        <v>1930734.0425937504</v>
      </c>
      <c r="BC45" s="1318">
        <f t="shared" si="38"/>
        <v>386146.80851875013</v>
      </c>
      <c r="BD45" s="1318">
        <f t="shared" si="38"/>
        <v>1511340.9574825002</v>
      </c>
      <c r="BE45" s="1318">
        <f t="shared" si="38"/>
        <v>15479118.617342502</v>
      </c>
      <c r="BF45" s="1318">
        <f t="shared" si="38"/>
        <v>231688085.11125004</v>
      </c>
      <c r="BG45" s="1318">
        <f t="shared" si="38"/>
        <v>20784507.104999997</v>
      </c>
      <c r="BH45" s="1318">
        <f t="shared" si="38"/>
        <v>252472592.21625</v>
      </c>
      <c r="BI45" s="1318">
        <f t="shared" si="38"/>
        <v>8836540.7275687493</v>
      </c>
      <c r="BJ45" s="1318">
        <f t="shared" si="38"/>
        <v>13123806.192432752</v>
      </c>
      <c r="BK45" s="1318">
        <f t="shared" si="38"/>
        <v>11361266.649731252</v>
      </c>
      <c r="BL45" s="1318">
        <f t="shared" si="38"/>
        <v>7574177.7664875006</v>
      </c>
      <c r="BM45" s="1318">
        <f t="shared" si="38"/>
        <v>293368383.55247021</v>
      </c>
      <c r="BN45" s="407">
        <f t="shared" si="37"/>
        <v>3</v>
      </c>
      <c r="BO45" s="408"/>
      <c r="BP45" s="355"/>
      <c r="BQ45" s="355"/>
      <c r="BR45" s="355"/>
      <c r="BS45" s="355"/>
      <c r="BT45" s="355"/>
      <c r="BU45" s="355"/>
      <c r="BV45" s="355"/>
      <c r="BW45" s="355"/>
      <c r="BX45" s="355"/>
      <c r="BY45" s="355"/>
      <c r="BZ45" s="355"/>
      <c r="CA45" s="355"/>
      <c r="CB45" s="355"/>
      <c r="CC45" s="355"/>
      <c r="CD45" s="355"/>
      <c r="CE45" s="355"/>
      <c r="CF45" s="355"/>
      <c r="CG45" s="355"/>
      <c r="CH45" s="355"/>
      <c r="CI45" s="356"/>
    </row>
    <row r="46" spans="1:87" ht="126">
      <c r="A46" s="366">
        <f>A44+1</f>
        <v>32</v>
      </c>
      <c r="B46" s="366">
        <v>1</v>
      </c>
      <c r="C46" s="409" t="s">
        <v>217</v>
      </c>
      <c r="D46" s="410" t="s">
        <v>1070</v>
      </c>
      <c r="E46" s="366" t="s">
        <v>998</v>
      </c>
      <c r="F46" s="1314" t="s">
        <v>254</v>
      </c>
      <c r="G46" s="366" t="s">
        <v>227</v>
      </c>
      <c r="H46" s="371" t="s">
        <v>1414</v>
      </c>
      <c r="I46" s="366">
        <v>17697</v>
      </c>
      <c r="J46" s="367">
        <v>10.82</v>
      </c>
      <c r="K46" s="367">
        <f t="shared" ref="K46:K64" si="39">I46*J46</f>
        <v>191481.54</v>
      </c>
      <c r="L46" s="380"/>
      <c r="M46" s="380"/>
      <c r="N46" s="380">
        <v>4</v>
      </c>
      <c r="O46" s="380">
        <v>16</v>
      </c>
      <c r="P46" s="380"/>
      <c r="Q46" s="368">
        <f t="shared" ref="Q46:Q64" si="40">SUM(L46:P46)</f>
        <v>20</v>
      </c>
      <c r="R46" s="411">
        <v>6</v>
      </c>
      <c r="S46" s="411"/>
      <c r="T46" s="411">
        <v>10</v>
      </c>
      <c r="U46" s="411"/>
      <c r="V46" s="411"/>
      <c r="W46" s="381">
        <f t="shared" ref="W46:W64" si="41">SUM(R46:V46)</f>
        <v>16</v>
      </c>
      <c r="X46" s="370">
        <f t="shared" ref="X46:X64" si="42">Q46+W46</f>
        <v>36</v>
      </c>
      <c r="Y46" s="367">
        <f t="shared" ref="Y46:Y64" si="43">K46/16*X46</f>
        <v>430833.46500000003</v>
      </c>
      <c r="Z46" s="367">
        <f t="shared" ref="Z46:Z64" si="44">Y46*10%</f>
        <v>43083.346500000007</v>
      </c>
      <c r="AA46" s="366">
        <v>21</v>
      </c>
      <c r="AB46" s="367">
        <f t="shared" ref="AB46:AB64" si="45">I46/16*AA46*40%</f>
        <v>9290.9250000000011</v>
      </c>
      <c r="AC46" s="366">
        <v>0</v>
      </c>
      <c r="AD46" s="367">
        <f t="shared" ref="AD46:AD64" si="46">I46/16*AC46*40%*50%</f>
        <v>0</v>
      </c>
      <c r="AE46" s="366">
        <v>196600</v>
      </c>
      <c r="AF46" s="366"/>
      <c r="AG46" s="367"/>
      <c r="AH46" s="366"/>
      <c r="AI46" s="367"/>
      <c r="AJ46" s="366">
        <f t="shared" ref="AJ46:AJ64" si="47">X46</f>
        <v>36</v>
      </c>
      <c r="AK46" s="367">
        <f t="shared" ref="AK46:AK64" si="48">I46/16*AJ46*40%</f>
        <v>15927.300000000001</v>
      </c>
      <c r="AL46" s="366">
        <f t="shared" ref="AL46:AL64" si="49">X46</f>
        <v>36</v>
      </c>
      <c r="AM46" s="367">
        <f t="shared" ref="AM46:AM64" si="50">K46/16*AL46*30%</f>
        <v>129250.0395</v>
      </c>
      <c r="AN46" s="366" t="str">
        <f t="shared" ref="AN46:AN60" si="51">F46</f>
        <v>Педагог-модератор</v>
      </c>
      <c r="AO46" s="367" t="str">
        <f t="shared" ref="AO46:AO64" si="52">IF(AN46="Педагог-зерттеуші", "0", IF(AN46="Педагог-шебер",K46/16*X46*50%, IF(AN46="Педагог-сарапшы", "0", IF(AN46="Педагог-модератор", "0", "0"))))</f>
        <v>0</v>
      </c>
      <c r="AP46" s="367" t="str">
        <f t="shared" ref="AP46:AP64" si="53">IF(AN46="Педагог-шебер", "0", IF(AN46="Педагог-зерттеуші",K46/16*X46*40%, IF(AN46="Педагог-сарапшы", "0", IF(AN46="Педагог-модератор", "0", "0"))))</f>
        <v>0</v>
      </c>
      <c r="AQ46" s="367" t="str">
        <f t="shared" ref="AQ46:AQ64" si="54">IF(AN46="Педагог-шебер", "0", IF(AN46="Педагог-сарапшы",K46/16*X46*35%, IF(AN46="Педагог-зерттеуші", "0", IF(AN46="Педагог-модератор", "0", "0"))))</f>
        <v>0</v>
      </c>
      <c r="AR46" s="367">
        <f t="shared" ref="AR46:AR64" si="55">IF(AN46="Педагог-шебер", "0", IF(AN46="Педагог-модератор",K46/16*X46*30%, IF(AN46="Педагог-зерттеуші", "0", IF(AN46="Педагог-сарапшы", "0", "0"))))</f>
        <v>129250.0395</v>
      </c>
      <c r="AS46" s="366"/>
      <c r="AT46" s="367"/>
      <c r="AU46" s="371"/>
      <c r="AV46" s="367"/>
      <c r="AW46" s="371" t="str">
        <f>G46</f>
        <v>Магистр-техническая физика</v>
      </c>
      <c r="AX46" s="372">
        <f>10*4325</f>
        <v>43250</v>
      </c>
      <c r="AY46" s="367"/>
      <c r="AZ46" s="367">
        <f t="shared" ref="AZ46:AZ64" si="56">Z46+AB46+AD46+AE46+AG46+AI46+AK46+AM46+AO46+AP46+AQ46++AR46+AT46+AV46+AX46+AY46</f>
        <v>566651.65049999999</v>
      </c>
      <c r="BA46" s="373">
        <f t="shared" si="17"/>
        <v>997485.11550000007</v>
      </c>
      <c r="BB46" s="374">
        <f t="shared" si="25"/>
        <v>99748.51155000001</v>
      </c>
      <c r="BC46" s="374">
        <f t="shared" si="26"/>
        <v>19949.702310000001</v>
      </c>
      <c r="BD46" s="374">
        <f t="shared" si="18"/>
        <v>81723.690164000014</v>
      </c>
      <c r="BE46" s="374">
        <f t="shared" si="27"/>
        <v>796063.21147600003</v>
      </c>
      <c r="BF46" s="374">
        <f t="shared" si="28"/>
        <v>11969821.386</v>
      </c>
      <c r="BG46" s="374">
        <f t="shared" si="19"/>
        <v>861666.93</v>
      </c>
      <c r="BH46" s="374">
        <f t="shared" si="29"/>
        <v>12831488.316</v>
      </c>
      <c r="BI46" s="374">
        <f t="shared" si="20"/>
        <v>449102.09106000001</v>
      </c>
      <c r="BJ46" s="374">
        <f t="shared" si="21"/>
        <v>666566.7620148001</v>
      </c>
      <c r="BK46" s="374">
        <f t="shared" si="30"/>
        <v>577416.97422000009</v>
      </c>
      <c r="BL46" s="374">
        <f t="shared" si="31"/>
        <v>384944.64947999996</v>
      </c>
      <c r="BM46" s="373">
        <f t="shared" ref="BM46:BM64" si="57">BH46+BJ46+BK46+BL46+BI46</f>
        <v>14909518.7927748</v>
      </c>
      <c r="BN46" s="385">
        <v>0.25</v>
      </c>
      <c r="BO46" s="377"/>
      <c r="BP46" s="377"/>
      <c r="BQ46" s="377"/>
      <c r="BR46" s="377"/>
      <c r="BS46" s="377"/>
      <c r="BT46" s="377"/>
      <c r="BU46" s="377"/>
      <c r="BV46" s="377"/>
      <c r="BW46" s="377"/>
      <c r="BX46" s="377"/>
      <c r="BY46" s="377"/>
      <c r="BZ46" s="377"/>
      <c r="CA46" s="377"/>
      <c r="CB46" s="377"/>
      <c r="CC46" s="377"/>
      <c r="CD46" s="377"/>
      <c r="CE46" s="377"/>
      <c r="CF46" s="377"/>
      <c r="CG46" s="377"/>
      <c r="CH46" s="377"/>
      <c r="CI46" s="377"/>
    </row>
    <row r="47" spans="1:87" ht="30">
      <c r="A47" s="366">
        <f t="shared" ref="A47:B62" si="58">A46+1</f>
        <v>33</v>
      </c>
      <c r="B47" s="366">
        <f t="shared" si="58"/>
        <v>2</v>
      </c>
      <c r="C47" s="409" t="s">
        <v>210</v>
      </c>
      <c r="D47" s="412" t="s">
        <v>1071</v>
      </c>
      <c r="E47" s="366" t="s">
        <v>998</v>
      </c>
      <c r="F47" s="508" t="s">
        <v>999</v>
      </c>
      <c r="G47" s="366"/>
      <c r="H47" s="371" t="s">
        <v>1072</v>
      </c>
      <c r="I47" s="366">
        <v>17697</v>
      </c>
      <c r="J47" s="367">
        <v>11.4</v>
      </c>
      <c r="K47" s="367">
        <f t="shared" si="39"/>
        <v>201745.80000000002</v>
      </c>
      <c r="L47" s="380"/>
      <c r="M47" s="380"/>
      <c r="N47" s="380"/>
      <c r="O47" s="380"/>
      <c r="P47" s="380">
        <v>16</v>
      </c>
      <c r="Q47" s="368">
        <f t="shared" si="40"/>
        <v>16</v>
      </c>
      <c r="R47" s="411"/>
      <c r="S47" s="411"/>
      <c r="T47" s="411"/>
      <c r="U47" s="411"/>
      <c r="V47" s="411"/>
      <c r="W47" s="381">
        <f t="shared" si="41"/>
        <v>0</v>
      </c>
      <c r="X47" s="370">
        <f t="shared" si="42"/>
        <v>16</v>
      </c>
      <c r="Y47" s="367">
        <f t="shared" si="43"/>
        <v>201745.80000000002</v>
      </c>
      <c r="Z47" s="367">
        <f t="shared" si="44"/>
        <v>20174.580000000002</v>
      </c>
      <c r="AA47" s="366">
        <v>12</v>
      </c>
      <c r="AB47" s="367">
        <f t="shared" si="45"/>
        <v>5309.1</v>
      </c>
      <c r="AC47" s="366">
        <v>4</v>
      </c>
      <c r="AD47" s="367">
        <f t="shared" si="46"/>
        <v>884.85</v>
      </c>
      <c r="AE47" s="380"/>
      <c r="AF47" s="366" t="s">
        <v>1073</v>
      </c>
      <c r="AG47" s="367">
        <f>17697*20%</f>
        <v>3539.4</v>
      </c>
      <c r="AH47" s="366"/>
      <c r="AI47" s="367"/>
      <c r="AJ47" s="366">
        <f t="shared" si="47"/>
        <v>16</v>
      </c>
      <c r="AK47" s="367">
        <f t="shared" si="48"/>
        <v>7078.8</v>
      </c>
      <c r="AL47" s="366">
        <f t="shared" si="49"/>
        <v>16</v>
      </c>
      <c r="AM47" s="367">
        <f t="shared" si="50"/>
        <v>60523.740000000005</v>
      </c>
      <c r="AN47" s="366" t="str">
        <f t="shared" si="51"/>
        <v>Педагог-шебер</v>
      </c>
      <c r="AO47" s="367">
        <f t="shared" si="52"/>
        <v>100872.90000000001</v>
      </c>
      <c r="AP47" s="367" t="str">
        <f t="shared" si="53"/>
        <v>0</v>
      </c>
      <c r="AQ47" s="367" t="str">
        <f t="shared" si="54"/>
        <v>0</v>
      </c>
      <c r="AR47" s="367" t="str">
        <f t="shared" si="55"/>
        <v>0</v>
      </c>
      <c r="AS47" s="366"/>
      <c r="AT47" s="367"/>
      <c r="AU47" s="380"/>
      <c r="AV47" s="367"/>
      <c r="AW47" s="371">
        <f t="shared" ref="AW47:AW64" si="59">G47</f>
        <v>0</v>
      </c>
      <c r="AX47" s="372"/>
      <c r="AY47" s="367"/>
      <c r="AZ47" s="367">
        <f t="shared" si="56"/>
        <v>198383.37</v>
      </c>
      <c r="BA47" s="373">
        <f t="shared" si="17"/>
        <v>400129.17000000004</v>
      </c>
      <c r="BB47" s="374">
        <f t="shared" si="25"/>
        <v>40012.917000000009</v>
      </c>
      <c r="BC47" s="374">
        <f t="shared" si="26"/>
        <v>8002.5834000000013</v>
      </c>
      <c r="BD47" s="374">
        <f t="shared" si="18"/>
        <v>29156.366960000003</v>
      </c>
      <c r="BE47" s="374">
        <f t="shared" si="27"/>
        <v>322957.30264000001</v>
      </c>
      <c r="BF47" s="374">
        <f t="shared" si="28"/>
        <v>4801550.040000001</v>
      </c>
      <c r="BG47" s="374">
        <f t="shared" si="19"/>
        <v>403491.60000000003</v>
      </c>
      <c r="BH47" s="374">
        <f t="shared" si="29"/>
        <v>5205041.6400000006</v>
      </c>
      <c r="BI47" s="374">
        <f t="shared" si="20"/>
        <v>182176.45740000004</v>
      </c>
      <c r="BJ47" s="374">
        <f t="shared" si="21"/>
        <v>270508.83847200009</v>
      </c>
      <c r="BK47" s="374">
        <f t="shared" si="30"/>
        <v>234226.87380000006</v>
      </c>
      <c r="BL47" s="374">
        <f t="shared" si="31"/>
        <v>156151.24920000002</v>
      </c>
      <c r="BM47" s="373">
        <f t="shared" si="57"/>
        <v>6048105.0588720012</v>
      </c>
      <c r="BN47" s="375"/>
      <c r="BO47" s="377"/>
      <c r="BP47" s="377"/>
      <c r="BQ47" s="377"/>
      <c r="BR47" s="377"/>
      <c r="BS47" s="377"/>
      <c r="BT47" s="377"/>
      <c r="BU47" s="377"/>
      <c r="BV47" s="377"/>
      <c r="BW47" s="377"/>
      <c r="BX47" s="377"/>
      <c r="BY47" s="377"/>
      <c r="BZ47" s="377"/>
      <c r="CA47" s="377"/>
      <c r="CB47" s="377"/>
      <c r="CC47" s="377"/>
      <c r="CD47" s="377"/>
      <c r="CE47" s="377"/>
      <c r="CF47" s="377"/>
      <c r="CG47" s="377"/>
      <c r="CH47" s="377"/>
      <c r="CI47" s="377"/>
    </row>
    <row r="48" spans="1:87" ht="75">
      <c r="A48" s="366">
        <f t="shared" si="58"/>
        <v>34</v>
      </c>
      <c r="B48" s="366">
        <f t="shared" si="58"/>
        <v>3</v>
      </c>
      <c r="C48" s="409" t="s">
        <v>914</v>
      </c>
      <c r="D48" s="412" t="s">
        <v>1074</v>
      </c>
      <c r="E48" s="366" t="s">
        <v>998</v>
      </c>
      <c r="F48" s="1314" t="s">
        <v>254</v>
      </c>
      <c r="G48" s="366" t="s">
        <v>1075</v>
      </c>
      <c r="H48" s="371" t="s">
        <v>1403</v>
      </c>
      <c r="I48" s="366">
        <v>17697</v>
      </c>
      <c r="J48" s="367">
        <v>9.5</v>
      </c>
      <c r="K48" s="367">
        <f t="shared" si="39"/>
        <v>168121.5</v>
      </c>
      <c r="L48" s="380"/>
      <c r="M48" s="380"/>
      <c r="N48" s="380">
        <v>4</v>
      </c>
      <c r="O48" s="380">
        <v>8</v>
      </c>
      <c r="P48" s="380"/>
      <c r="Q48" s="368">
        <f t="shared" si="40"/>
        <v>12</v>
      </c>
      <c r="R48" s="411"/>
      <c r="S48" s="411"/>
      <c r="T48" s="411">
        <v>1</v>
      </c>
      <c r="U48" s="411">
        <v>20</v>
      </c>
      <c r="V48" s="411"/>
      <c r="W48" s="381">
        <f>SUM(R48:V48)</f>
        <v>21</v>
      </c>
      <c r="X48" s="370">
        <f t="shared" si="42"/>
        <v>33</v>
      </c>
      <c r="Y48" s="367">
        <f t="shared" si="43"/>
        <v>346750.59375</v>
      </c>
      <c r="Z48" s="367">
        <f t="shared" si="44"/>
        <v>34675.059375000004</v>
      </c>
      <c r="AA48" s="366">
        <v>13</v>
      </c>
      <c r="AB48" s="367">
        <f t="shared" si="45"/>
        <v>5751.5250000000005</v>
      </c>
      <c r="AC48" s="366">
        <v>0</v>
      </c>
      <c r="AD48" s="367">
        <f t="shared" si="46"/>
        <v>0</v>
      </c>
      <c r="AE48" s="380"/>
      <c r="AF48" s="366"/>
      <c r="AG48" s="367"/>
      <c r="AH48" s="366"/>
      <c r="AI48" s="367"/>
      <c r="AJ48" s="366">
        <f t="shared" si="47"/>
        <v>33</v>
      </c>
      <c r="AK48" s="367">
        <f t="shared" si="48"/>
        <v>14600.025000000001</v>
      </c>
      <c r="AL48" s="366">
        <f t="shared" si="49"/>
        <v>33</v>
      </c>
      <c r="AM48" s="367">
        <f t="shared" si="50"/>
        <v>104025.17812499999</v>
      </c>
      <c r="AN48" s="366" t="str">
        <f t="shared" si="51"/>
        <v>Педагог-модератор</v>
      </c>
      <c r="AO48" s="367" t="str">
        <f t="shared" si="52"/>
        <v>0</v>
      </c>
      <c r="AP48" s="367" t="str">
        <f t="shared" si="53"/>
        <v>0</v>
      </c>
      <c r="AQ48" s="367" t="str">
        <f t="shared" si="54"/>
        <v>0</v>
      </c>
      <c r="AR48" s="367">
        <f t="shared" si="55"/>
        <v>104025.17812499999</v>
      </c>
      <c r="AS48" s="366"/>
      <c r="AT48" s="367"/>
      <c r="AU48" s="380"/>
      <c r="AV48" s="367"/>
      <c r="AW48" s="371" t="str">
        <f t="shared" si="59"/>
        <v>Магистр физика, кандидат доктора естест. Наук</v>
      </c>
      <c r="AX48" s="372">
        <f>(10*4325)+(17*4325)</f>
        <v>116775</v>
      </c>
      <c r="AY48" s="367"/>
      <c r="AZ48" s="367">
        <f t="shared" si="56"/>
        <v>379851.96562500001</v>
      </c>
      <c r="BA48" s="373">
        <f t="shared" si="17"/>
        <v>726602.55937499995</v>
      </c>
      <c r="BB48" s="374">
        <f t="shared" si="25"/>
        <v>72660.255937499998</v>
      </c>
      <c r="BC48" s="374">
        <f t="shared" si="26"/>
        <v>14532.051187499999</v>
      </c>
      <c r="BD48" s="374">
        <f t="shared" si="18"/>
        <v>57886.02522499999</v>
      </c>
      <c r="BE48" s="374">
        <f t="shared" si="27"/>
        <v>581524.22702499991</v>
      </c>
      <c r="BF48" s="374">
        <f t="shared" si="28"/>
        <v>8719230.7124999985</v>
      </c>
      <c r="BG48" s="374">
        <f t="shared" si="19"/>
        <v>693501.1875</v>
      </c>
      <c r="BH48" s="374">
        <f t="shared" si="29"/>
        <v>9412731.8999999985</v>
      </c>
      <c r="BI48" s="374">
        <f t="shared" si="20"/>
        <v>329445.6165</v>
      </c>
      <c r="BJ48" s="374">
        <f t="shared" si="21"/>
        <v>489105.21503249992</v>
      </c>
      <c r="BK48" s="374">
        <f t="shared" si="30"/>
        <v>423572.93549999996</v>
      </c>
      <c r="BL48" s="374">
        <f t="shared" si="31"/>
        <v>282381.95699999994</v>
      </c>
      <c r="BM48" s="373">
        <f t="shared" si="57"/>
        <v>10937237.624032497</v>
      </c>
      <c r="BN48" s="375">
        <v>0.5</v>
      </c>
      <c r="BO48" s="377"/>
      <c r="BP48" s="377"/>
      <c r="BQ48" s="377"/>
      <c r="BR48" s="377"/>
      <c r="BS48" s="377"/>
      <c r="BT48" s="377"/>
      <c r="BU48" s="377"/>
      <c r="BV48" s="377"/>
      <c r="BW48" s="377"/>
      <c r="BX48" s="377"/>
      <c r="BY48" s="377"/>
      <c r="BZ48" s="377"/>
      <c r="CA48" s="377"/>
      <c r="CB48" s="377"/>
      <c r="CC48" s="377"/>
      <c r="CD48" s="377"/>
      <c r="CE48" s="377"/>
      <c r="CF48" s="377"/>
      <c r="CG48" s="377"/>
      <c r="CH48" s="377"/>
      <c r="CI48" s="377"/>
    </row>
    <row r="49" spans="1:87" ht="63" customHeight="1">
      <c r="A49" s="366">
        <f t="shared" si="58"/>
        <v>35</v>
      </c>
      <c r="B49" s="366">
        <f t="shared" si="58"/>
        <v>4</v>
      </c>
      <c r="C49" s="413" t="s">
        <v>1076</v>
      </c>
      <c r="D49" s="414" t="s">
        <v>1077</v>
      </c>
      <c r="E49" s="394" t="s">
        <v>998</v>
      </c>
      <c r="F49" s="1315" t="s">
        <v>1005</v>
      </c>
      <c r="G49" s="394"/>
      <c r="H49" s="371" t="s">
        <v>1078</v>
      </c>
      <c r="I49" s="366">
        <v>17697</v>
      </c>
      <c r="J49" s="367">
        <v>11.4</v>
      </c>
      <c r="K49" s="367">
        <f t="shared" si="39"/>
        <v>201745.80000000002</v>
      </c>
      <c r="L49" s="380"/>
      <c r="M49" s="380">
        <v>12</v>
      </c>
      <c r="N49" s="380"/>
      <c r="O49" s="380"/>
      <c r="P49" s="380"/>
      <c r="Q49" s="368">
        <f t="shared" si="40"/>
        <v>12</v>
      </c>
      <c r="R49" s="411"/>
      <c r="S49" s="411">
        <v>3</v>
      </c>
      <c r="T49" s="411"/>
      <c r="U49" s="411"/>
      <c r="V49" s="411"/>
      <c r="W49" s="381">
        <f t="shared" si="41"/>
        <v>3</v>
      </c>
      <c r="X49" s="370">
        <f t="shared" si="42"/>
        <v>15</v>
      </c>
      <c r="Y49" s="367">
        <f t="shared" si="43"/>
        <v>189136.68750000003</v>
      </c>
      <c r="Z49" s="367">
        <f t="shared" si="44"/>
        <v>18913.668750000004</v>
      </c>
      <c r="AA49" s="366">
        <v>10</v>
      </c>
      <c r="AB49" s="367">
        <f t="shared" si="45"/>
        <v>4424.25</v>
      </c>
      <c r="AC49" s="366">
        <v>5</v>
      </c>
      <c r="AD49" s="367">
        <f t="shared" si="46"/>
        <v>1106.0625</v>
      </c>
      <c r="AE49" s="380"/>
      <c r="AF49" s="366" t="s">
        <v>275</v>
      </c>
      <c r="AG49" s="367">
        <f>17697*20%</f>
        <v>3539.4</v>
      </c>
      <c r="AH49" s="366"/>
      <c r="AI49" s="367"/>
      <c r="AJ49" s="366">
        <f t="shared" si="47"/>
        <v>15</v>
      </c>
      <c r="AK49" s="367">
        <f t="shared" si="48"/>
        <v>6636.375</v>
      </c>
      <c r="AL49" s="366">
        <f t="shared" si="49"/>
        <v>15</v>
      </c>
      <c r="AM49" s="367">
        <f t="shared" si="50"/>
        <v>56741.006250000006</v>
      </c>
      <c r="AN49" s="366" t="str">
        <f t="shared" si="51"/>
        <v>Педагог-зерттеуші</v>
      </c>
      <c r="AO49" s="367" t="str">
        <f t="shared" si="52"/>
        <v>0</v>
      </c>
      <c r="AP49" s="367">
        <f t="shared" si="53"/>
        <v>75654.675000000017</v>
      </c>
      <c r="AQ49" s="367" t="str">
        <f t="shared" si="54"/>
        <v>0</v>
      </c>
      <c r="AR49" s="367" t="str">
        <f t="shared" si="55"/>
        <v>0</v>
      </c>
      <c r="AS49" s="366"/>
      <c r="AT49" s="367"/>
      <c r="AU49" s="371"/>
      <c r="AV49" s="367"/>
      <c r="AW49" s="371">
        <f t="shared" si="59"/>
        <v>0</v>
      </c>
      <c r="AX49" s="372"/>
      <c r="AY49" s="367"/>
      <c r="AZ49" s="367">
        <f t="shared" si="56"/>
        <v>167015.43750000003</v>
      </c>
      <c r="BA49" s="373">
        <f t="shared" si="17"/>
        <v>356152.12500000006</v>
      </c>
      <c r="BB49" s="374">
        <f t="shared" si="25"/>
        <v>35615.212500000009</v>
      </c>
      <c r="BC49" s="374">
        <f t="shared" si="26"/>
        <v>7123.0425000000014</v>
      </c>
      <c r="BD49" s="374">
        <f t="shared" si="18"/>
        <v>25286.387000000006</v>
      </c>
      <c r="BE49" s="374">
        <f t="shared" si="27"/>
        <v>288127.48300000007</v>
      </c>
      <c r="BF49" s="374">
        <f t="shared" si="28"/>
        <v>4273825.5000000009</v>
      </c>
      <c r="BG49" s="374">
        <f t="shared" si="19"/>
        <v>378273.37500000006</v>
      </c>
      <c r="BH49" s="374">
        <f t="shared" si="29"/>
        <v>4652098.8750000009</v>
      </c>
      <c r="BI49" s="374">
        <f t="shared" si="20"/>
        <v>162823.46062500004</v>
      </c>
      <c r="BJ49" s="374">
        <f t="shared" si="21"/>
        <v>241810.92315000008</v>
      </c>
      <c r="BK49" s="374">
        <f t="shared" si="30"/>
        <v>209344.44937500005</v>
      </c>
      <c r="BL49" s="374">
        <f t="shared" si="31"/>
        <v>139562.96625000003</v>
      </c>
      <c r="BM49" s="373">
        <f t="shared" si="57"/>
        <v>5405640.6744000008</v>
      </c>
      <c r="BN49" s="375"/>
      <c r="BO49" s="377"/>
      <c r="BP49" s="377"/>
      <c r="BQ49" s="377"/>
      <c r="BR49" s="377"/>
      <c r="BS49" s="377"/>
      <c r="BT49" s="377"/>
      <c r="BU49" s="377"/>
      <c r="BV49" s="377"/>
      <c r="BW49" s="377"/>
      <c r="BX49" s="377"/>
      <c r="BY49" s="377"/>
      <c r="BZ49" s="377"/>
      <c r="CA49" s="377"/>
      <c r="CB49" s="377"/>
      <c r="CC49" s="377"/>
      <c r="CD49" s="377"/>
      <c r="CE49" s="377"/>
      <c r="CF49" s="377"/>
      <c r="CG49" s="377"/>
      <c r="CH49" s="377"/>
      <c r="CI49" s="377"/>
    </row>
    <row r="50" spans="1:87" ht="30">
      <c r="A50" s="366">
        <f t="shared" si="58"/>
        <v>36</v>
      </c>
      <c r="B50" s="366">
        <f t="shared" si="58"/>
        <v>5</v>
      </c>
      <c r="C50" s="378" t="s">
        <v>1079</v>
      </c>
      <c r="D50" s="379" t="s">
        <v>1080</v>
      </c>
      <c r="E50" s="362" t="s">
        <v>998</v>
      </c>
      <c r="F50" s="1298" t="s">
        <v>999</v>
      </c>
      <c r="G50" s="383"/>
      <c r="H50" s="365" t="s">
        <v>1081</v>
      </c>
      <c r="I50" s="366">
        <v>17697</v>
      </c>
      <c r="J50" s="367">
        <v>11.4</v>
      </c>
      <c r="K50" s="367">
        <f t="shared" si="39"/>
        <v>201745.80000000002</v>
      </c>
      <c r="L50" s="380"/>
      <c r="M50" s="380"/>
      <c r="N50" s="380"/>
      <c r="O50" s="380"/>
      <c r="P50" s="380">
        <v>16</v>
      </c>
      <c r="Q50" s="368">
        <f t="shared" si="40"/>
        <v>16</v>
      </c>
      <c r="R50" s="411"/>
      <c r="S50" s="411"/>
      <c r="T50" s="411"/>
      <c r="U50" s="411"/>
      <c r="V50" s="411"/>
      <c r="W50" s="381">
        <f t="shared" si="41"/>
        <v>0</v>
      </c>
      <c r="X50" s="370">
        <f t="shared" si="42"/>
        <v>16</v>
      </c>
      <c r="Y50" s="367">
        <f t="shared" si="43"/>
        <v>201745.80000000002</v>
      </c>
      <c r="Z50" s="367">
        <f t="shared" si="44"/>
        <v>20174.580000000002</v>
      </c>
      <c r="AA50" s="366">
        <v>12</v>
      </c>
      <c r="AB50" s="367">
        <f t="shared" si="45"/>
        <v>5309.1</v>
      </c>
      <c r="AC50" s="366">
        <v>4</v>
      </c>
      <c r="AD50" s="367">
        <f t="shared" si="46"/>
        <v>884.85</v>
      </c>
      <c r="AE50" s="380"/>
      <c r="AF50" s="366" t="s">
        <v>1082</v>
      </c>
      <c r="AG50" s="367">
        <f>17697*20%</f>
        <v>3539.4</v>
      </c>
      <c r="AH50" s="366"/>
      <c r="AI50" s="367"/>
      <c r="AJ50" s="366">
        <f t="shared" si="47"/>
        <v>16</v>
      </c>
      <c r="AK50" s="367">
        <f t="shared" si="48"/>
        <v>7078.8</v>
      </c>
      <c r="AL50" s="366">
        <f t="shared" si="49"/>
        <v>16</v>
      </c>
      <c r="AM50" s="367">
        <f t="shared" si="50"/>
        <v>60523.740000000005</v>
      </c>
      <c r="AN50" s="366" t="str">
        <f t="shared" si="51"/>
        <v>Педагог-шебер</v>
      </c>
      <c r="AO50" s="367">
        <f t="shared" si="52"/>
        <v>100872.90000000001</v>
      </c>
      <c r="AP50" s="367" t="str">
        <f t="shared" si="53"/>
        <v>0</v>
      </c>
      <c r="AQ50" s="367" t="str">
        <f t="shared" si="54"/>
        <v>0</v>
      </c>
      <c r="AR50" s="367" t="str">
        <f t="shared" si="55"/>
        <v>0</v>
      </c>
      <c r="AS50" s="366"/>
      <c r="AT50" s="367"/>
      <c r="AU50" s="380"/>
      <c r="AV50" s="367"/>
      <c r="AW50" s="371">
        <f t="shared" si="59"/>
        <v>0</v>
      </c>
      <c r="AX50" s="372"/>
      <c r="AY50" s="367"/>
      <c r="AZ50" s="367">
        <f t="shared" si="56"/>
        <v>198383.37</v>
      </c>
      <c r="BA50" s="373">
        <f t="shared" si="17"/>
        <v>400129.17000000004</v>
      </c>
      <c r="BB50" s="374">
        <f t="shared" si="25"/>
        <v>40012.917000000009</v>
      </c>
      <c r="BC50" s="374">
        <f t="shared" si="26"/>
        <v>8002.5834000000013</v>
      </c>
      <c r="BD50" s="374">
        <f t="shared" si="18"/>
        <v>29156.366960000003</v>
      </c>
      <c r="BE50" s="374">
        <f t="shared" si="27"/>
        <v>322957.30264000001</v>
      </c>
      <c r="BF50" s="374">
        <f t="shared" si="28"/>
        <v>4801550.040000001</v>
      </c>
      <c r="BG50" s="374">
        <f t="shared" si="19"/>
        <v>403491.60000000003</v>
      </c>
      <c r="BH50" s="374">
        <f t="shared" si="29"/>
        <v>5205041.6400000006</v>
      </c>
      <c r="BI50" s="374">
        <f t="shared" si="20"/>
        <v>182176.45740000004</v>
      </c>
      <c r="BJ50" s="374">
        <f t="shared" si="21"/>
        <v>270508.83847200009</v>
      </c>
      <c r="BK50" s="374">
        <f t="shared" si="30"/>
        <v>234226.87380000006</v>
      </c>
      <c r="BL50" s="374">
        <f t="shared" si="31"/>
        <v>156151.24920000002</v>
      </c>
      <c r="BM50" s="373">
        <f t="shared" si="57"/>
        <v>6048105.0588720012</v>
      </c>
      <c r="BN50" s="375"/>
      <c r="BO50" s="377"/>
      <c r="BP50" s="377"/>
      <c r="BQ50" s="377"/>
      <c r="BR50" s="377"/>
      <c r="BS50" s="377"/>
      <c r="BT50" s="377"/>
      <c r="BU50" s="377"/>
      <c r="BV50" s="377"/>
      <c r="BW50" s="377"/>
      <c r="BX50" s="377"/>
      <c r="BY50" s="377"/>
      <c r="BZ50" s="377"/>
      <c r="CA50" s="377"/>
      <c r="CB50" s="377"/>
      <c r="CC50" s="377"/>
      <c r="CD50" s="377"/>
      <c r="CE50" s="377"/>
      <c r="CF50" s="377"/>
      <c r="CG50" s="377"/>
      <c r="CH50" s="377"/>
      <c r="CI50" s="377"/>
    </row>
    <row r="51" spans="1:87" ht="68.25" customHeight="1">
      <c r="A51" s="366">
        <f t="shared" si="58"/>
        <v>37</v>
      </c>
      <c r="B51" s="366">
        <f t="shared" si="58"/>
        <v>6</v>
      </c>
      <c r="C51" s="415" t="s">
        <v>1083</v>
      </c>
      <c r="D51" s="379" t="s">
        <v>1084</v>
      </c>
      <c r="E51" s="362" t="s">
        <v>998</v>
      </c>
      <c r="F51" s="1299" t="s">
        <v>254</v>
      </c>
      <c r="G51" s="406" t="s">
        <v>1085</v>
      </c>
      <c r="H51" s="365" t="s">
        <v>1415</v>
      </c>
      <c r="I51" s="366">
        <v>17697</v>
      </c>
      <c r="J51" s="367">
        <v>10</v>
      </c>
      <c r="K51" s="367">
        <f t="shared" si="39"/>
        <v>176970</v>
      </c>
      <c r="L51" s="380"/>
      <c r="M51" s="380"/>
      <c r="N51" s="380">
        <v>16</v>
      </c>
      <c r="O51" s="380">
        <v>12</v>
      </c>
      <c r="P51" s="380"/>
      <c r="Q51" s="368">
        <f t="shared" si="40"/>
        <v>28</v>
      </c>
      <c r="R51" s="411"/>
      <c r="S51" s="411"/>
      <c r="T51" s="411">
        <v>4</v>
      </c>
      <c r="U51" s="411"/>
      <c r="V51" s="411"/>
      <c r="W51" s="381">
        <f t="shared" si="41"/>
        <v>4</v>
      </c>
      <c r="X51" s="370">
        <f t="shared" si="42"/>
        <v>32</v>
      </c>
      <c r="Y51" s="367">
        <f t="shared" si="43"/>
        <v>353940</v>
      </c>
      <c r="Z51" s="367">
        <f t="shared" si="44"/>
        <v>35394</v>
      </c>
      <c r="AA51" s="366">
        <v>32</v>
      </c>
      <c r="AB51" s="367">
        <f t="shared" si="45"/>
        <v>14157.6</v>
      </c>
      <c r="AC51" s="366">
        <v>0</v>
      </c>
      <c r="AD51" s="367">
        <f t="shared" si="46"/>
        <v>0</v>
      </c>
      <c r="AE51" s="416"/>
      <c r="AF51" s="366"/>
      <c r="AG51" s="367"/>
      <c r="AH51" s="366"/>
      <c r="AI51" s="367"/>
      <c r="AJ51" s="366">
        <f t="shared" si="47"/>
        <v>32</v>
      </c>
      <c r="AK51" s="367">
        <f t="shared" si="48"/>
        <v>14157.6</v>
      </c>
      <c r="AL51" s="366">
        <f t="shared" si="49"/>
        <v>32</v>
      </c>
      <c r="AM51" s="367">
        <f t="shared" si="50"/>
        <v>106182</v>
      </c>
      <c r="AN51" s="366" t="str">
        <f t="shared" si="51"/>
        <v>Педагог-модератор</v>
      </c>
      <c r="AO51" s="367" t="str">
        <f t="shared" si="52"/>
        <v>0</v>
      </c>
      <c r="AP51" s="367" t="str">
        <f t="shared" si="53"/>
        <v>0</v>
      </c>
      <c r="AQ51" s="367" t="str">
        <f t="shared" si="54"/>
        <v>0</v>
      </c>
      <c r="AR51" s="367">
        <f t="shared" si="55"/>
        <v>106182</v>
      </c>
      <c r="AS51" s="366"/>
      <c r="AT51" s="367"/>
      <c r="AU51" s="371"/>
      <c r="AV51" s="367"/>
      <c r="AW51" s="371" t="str">
        <f t="shared" si="59"/>
        <v>Магистр материаловедение</v>
      </c>
      <c r="AX51" s="372">
        <f>10*4325</f>
        <v>43250</v>
      </c>
      <c r="AY51" s="367"/>
      <c r="AZ51" s="367">
        <f t="shared" si="56"/>
        <v>319323.2</v>
      </c>
      <c r="BA51" s="373">
        <f t="shared" si="17"/>
        <v>673263.2</v>
      </c>
      <c r="BB51" s="374">
        <f t="shared" si="25"/>
        <v>67326.319999999992</v>
      </c>
      <c r="BC51" s="374">
        <f t="shared" si="26"/>
        <v>13465.263999999999</v>
      </c>
      <c r="BD51" s="374">
        <f t="shared" si="18"/>
        <v>53192.161600000007</v>
      </c>
      <c r="BE51" s="374">
        <f t="shared" si="27"/>
        <v>539279.45440000005</v>
      </c>
      <c r="BF51" s="374">
        <f t="shared" si="28"/>
        <v>8079158.3999999994</v>
      </c>
      <c r="BG51" s="374">
        <f t="shared" si="19"/>
        <v>707880</v>
      </c>
      <c r="BH51" s="374">
        <f t="shared" si="29"/>
        <v>8787038.3999999985</v>
      </c>
      <c r="BI51" s="374">
        <f t="shared" si="20"/>
        <v>307546.34399999998</v>
      </c>
      <c r="BJ51" s="374">
        <f t="shared" si="21"/>
        <v>456725.92511999997</v>
      </c>
      <c r="BK51" s="374">
        <f t="shared" si="30"/>
        <v>395416.72799999994</v>
      </c>
      <c r="BL51" s="374">
        <f t="shared" si="31"/>
        <v>263611.15199999994</v>
      </c>
      <c r="BM51" s="373">
        <f t="shared" si="57"/>
        <v>10210338.54912</v>
      </c>
      <c r="BN51" s="375"/>
      <c r="BO51" s="377"/>
      <c r="BP51" s="377"/>
      <c r="BQ51" s="377"/>
      <c r="BR51" s="377"/>
      <c r="BS51" s="377"/>
      <c r="BT51" s="377"/>
      <c r="BU51" s="377"/>
      <c r="BV51" s="377"/>
      <c r="BW51" s="377"/>
      <c r="BX51" s="377"/>
      <c r="BY51" s="377"/>
      <c r="BZ51" s="377"/>
      <c r="CA51" s="377"/>
      <c r="CB51" s="377"/>
      <c r="CC51" s="377"/>
      <c r="CD51" s="377"/>
      <c r="CE51" s="377"/>
      <c r="CF51" s="377"/>
      <c r="CG51" s="377"/>
      <c r="CH51" s="377"/>
      <c r="CI51" s="377"/>
    </row>
    <row r="52" spans="1:87" ht="31.5">
      <c r="A52" s="366">
        <f t="shared" si="58"/>
        <v>38</v>
      </c>
      <c r="B52" s="366">
        <f t="shared" si="58"/>
        <v>7</v>
      </c>
      <c r="C52" s="417" t="s">
        <v>1086</v>
      </c>
      <c r="D52" s="379" t="s">
        <v>1087</v>
      </c>
      <c r="E52" s="362" t="s">
        <v>998</v>
      </c>
      <c r="F52" s="1298"/>
      <c r="G52" s="362"/>
      <c r="H52" s="365" t="s">
        <v>1088</v>
      </c>
      <c r="I52" s="366">
        <v>17697</v>
      </c>
      <c r="J52" s="367">
        <v>11.4</v>
      </c>
      <c r="K52" s="367">
        <f t="shared" si="39"/>
        <v>201745.80000000002</v>
      </c>
      <c r="L52" s="380"/>
      <c r="M52" s="380">
        <v>20</v>
      </c>
      <c r="N52" s="380"/>
      <c r="O52" s="380"/>
      <c r="P52" s="380"/>
      <c r="Q52" s="368">
        <f t="shared" si="40"/>
        <v>20</v>
      </c>
      <c r="R52" s="411"/>
      <c r="S52" s="411">
        <v>5</v>
      </c>
      <c r="T52" s="411"/>
      <c r="U52" s="411"/>
      <c r="V52" s="411"/>
      <c r="W52" s="381">
        <f t="shared" si="41"/>
        <v>5</v>
      </c>
      <c r="X52" s="370">
        <f t="shared" si="42"/>
        <v>25</v>
      </c>
      <c r="Y52" s="367">
        <f t="shared" si="43"/>
        <v>315227.8125</v>
      </c>
      <c r="Z52" s="367">
        <f t="shared" si="44"/>
        <v>31522.78125</v>
      </c>
      <c r="AA52" s="366">
        <v>5</v>
      </c>
      <c r="AB52" s="367">
        <f t="shared" si="45"/>
        <v>2212.125</v>
      </c>
      <c r="AC52" s="366">
        <v>20</v>
      </c>
      <c r="AD52" s="367">
        <f t="shared" si="46"/>
        <v>4424.25</v>
      </c>
      <c r="AE52" s="380"/>
      <c r="AF52" s="366"/>
      <c r="AG52" s="367"/>
      <c r="AH52" s="366"/>
      <c r="AI52" s="367"/>
      <c r="AJ52" s="366">
        <f t="shared" si="47"/>
        <v>25</v>
      </c>
      <c r="AK52" s="367">
        <f t="shared" si="48"/>
        <v>11060.625</v>
      </c>
      <c r="AL52" s="366">
        <f t="shared" si="49"/>
        <v>25</v>
      </c>
      <c r="AM52" s="367">
        <f t="shared" si="50"/>
        <v>94568.34375</v>
      </c>
      <c r="AN52" s="366">
        <f t="shared" si="51"/>
        <v>0</v>
      </c>
      <c r="AO52" s="367" t="str">
        <f t="shared" si="52"/>
        <v>0</v>
      </c>
      <c r="AP52" s="367" t="str">
        <f t="shared" si="53"/>
        <v>0</v>
      </c>
      <c r="AQ52" s="367" t="str">
        <f t="shared" si="54"/>
        <v>0</v>
      </c>
      <c r="AR52" s="367" t="str">
        <f t="shared" si="55"/>
        <v>0</v>
      </c>
      <c r="AS52" s="366"/>
      <c r="AT52" s="367"/>
      <c r="AU52" s="371"/>
      <c r="AV52" s="367"/>
      <c r="AW52" s="371">
        <f t="shared" si="59"/>
        <v>0</v>
      </c>
      <c r="AX52" s="372"/>
      <c r="AY52" s="367"/>
      <c r="AZ52" s="367">
        <f t="shared" si="56"/>
        <v>143788.125</v>
      </c>
      <c r="BA52" s="373">
        <f t="shared" si="17"/>
        <v>459015.9375</v>
      </c>
      <c r="BB52" s="374">
        <f t="shared" si="25"/>
        <v>45901.59375</v>
      </c>
      <c r="BC52" s="374">
        <f t="shared" si="26"/>
        <v>9180.3187500000004</v>
      </c>
      <c r="BD52" s="374">
        <f t="shared" si="18"/>
        <v>34338.402500000004</v>
      </c>
      <c r="BE52" s="374">
        <f t="shared" si="27"/>
        <v>369595.6225</v>
      </c>
      <c r="BF52" s="374">
        <f t="shared" si="28"/>
        <v>5508191.25</v>
      </c>
      <c r="BG52" s="374">
        <f t="shared" si="19"/>
        <v>630455.625</v>
      </c>
      <c r="BH52" s="374">
        <f t="shared" si="29"/>
        <v>6138646.875</v>
      </c>
      <c r="BI52" s="374">
        <f t="shared" si="20"/>
        <v>214852.64062500003</v>
      </c>
      <c r="BJ52" s="374">
        <f t="shared" si="21"/>
        <v>319368.9105</v>
      </c>
      <c r="BK52" s="374">
        <f t="shared" si="30"/>
        <v>276239.109375</v>
      </c>
      <c r="BL52" s="374">
        <f t="shared" si="31"/>
        <v>184159.40625</v>
      </c>
      <c r="BM52" s="373">
        <f t="shared" si="57"/>
        <v>7133266.9417500002</v>
      </c>
      <c r="BN52" s="375"/>
      <c r="BO52" s="377"/>
      <c r="BP52" s="377"/>
      <c r="BQ52" s="377"/>
      <c r="BR52" s="377"/>
      <c r="BS52" s="377"/>
      <c r="BT52" s="377"/>
      <c r="BU52" s="377"/>
      <c r="BV52" s="377"/>
      <c r="BW52" s="377"/>
      <c r="BX52" s="377"/>
      <c r="BY52" s="377"/>
      <c r="BZ52" s="377"/>
      <c r="CA52" s="377"/>
      <c r="CB52" s="377"/>
      <c r="CC52" s="377"/>
      <c r="CD52" s="377"/>
      <c r="CE52" s="377"/>
      <c r="CF52" s="377"/>
      <c r="CG52" s="377"/>
      <c r="CH52" s="377"/>
      <c r="CI52" s="377"/>
    </row>
    <row r="53" spans="1:87" ht="31.5">
      <c r="A53" s="366">
        <f t="shared" si="58"/>
        <v>39</v>
      </c>
      <c r="B53" s="366">
        <f t="shared" si="58"/>
        <v>8</v>
      </c>
      <c r="C53" s="417" t="s">
        <v>1089</v>
      </c>
      <c r="D53" s="379" t="s">
        <v>1090</v>
      </c>
      <c r="E53" s="362" t="s">
        <v>998</v>
      </c>
      <c r="F53" s="1315" t="s">
        <v>1005</v>
      </c>
      <c r="G53" s="362"/>
      <c r="H53" s="365" t="s">
        <v>1416</v>
      </c>
      <c r="I53" s="366">
        <v>17697</v>
      </c>
      <c r="J53" s="367">
        <v>11.02</v>
      </c>
      <c r="K53" s="367">
        <f t="shared" si="39"/>
        <v>195020.94</v>
      </c>
      <c r="L53" s="380"/>
      <c r="M53" s="380">
        <v>4</v>
      </c>
      <c r="N53" s="380">
        <v>12</v>
      </c>
      <c r="O53" s="380"/>
      <c r="P53" s="380"/>
      <c r="Q53" s="368">
        <f t="shared" si="40"/>
        <v>16</v>
      </c>
      <c r="R53" s="411"/>
      <c r="S53" s="411">
        <v>1</v>
      </c>
      <c r="T53" s="411">
        <v>3</v>
      </c>
      <c r="U53" s="411"/>
      <c r="V53" s="411"/>
      <c r="W53" s="381">
        <f t="shared" si="41"/>
        <v>4</v>
      </c>
      <c r="X53" s="370">
        <f t="shared" si="42"/>
        <v>20</v>
      </c>
      <c r="Y53" s="367">
        <f t="shared" si="43"/>
        <v>243776.17499999999</v>
      </c>
      <c r="Z53" s="367">
        <f t="shared" si="44"/>
        <v>24377.6175</v>
      </c>
      <c r="AA53" s="366">
        <v>15</v>
      </c>
      <c r="AB53" s="367">
        <f t="shared" si="45"/>
        <v>6636.375</v>
      </c>
      <c r="AC53" s="366">
        <v>5</v>
      </c>
      <c r="AD53" s="367">
        <f t="shared" si="46"/>
        <v>1106.0625</v>
      </c>
      <c r="AE53" s="380"/>
      <c r="AF53" s="366"/>
      <c r="AG53" s="367"/>
      <c r="AH53" s="366"/>
      <c r="AI53" s="367"/>
      <c r="AJ53" s="366">
        <f t="shared" si="47"/>
        <v>20</v>
      </c>
      <c r="AK53" s="367">
        <f t="shared" si="48"/>
        <v>8848.5</v>
      </c>
      <c r="AL53" s="366">
        <f t="shared" si="49"/>
        <v>20</v>
      </c>
      <c r="AM53" s="367">
        <f t="shared" si="50"/>
        <v>73132.852499999994</v>
      </c>
      <c r="AN53" s="366" t="str">
        <f t="shared" si="51"/>
        <v>Педагог-зерттеуші</v>
      </c>
      <c r="AO53" s="367" t="str">
        <f t="shared" si="52"/>
        <v>0</v>
      </c>
      <c r="AP53" s="367">
        <f t="shared" si="53"/>
        <v>97510.47</v>
      </c>
      <c r="AQ53" s="367" t="str">
        <f t="shared" si="54"/>
        <v>0</v>
      </c>
      <c r="AR53" s="367" t="str">
        <f t="shared" si="55"/>
        <v>0</v>
      </c>
      <c r="AS53" s="366"/>
      <c r="AT53" s="367"/>
      <c r="AU53" s="371"/>
      <c r="AV53" s="367"/>
      <c r="AW53" s="371">
        <f t="shared" si="59"/>
        <v>0</v>
      </c>
      <c r="AX53" s="372"/>
      <c r="AY53" s="367"/>
      <c r="AZ53" s="367">
        <f t="shared" si="56"/>
        <v>211611.8775</v>
      </c>
      <c r="BA53" s="373">
        <f t="shared" si="17"/>
        <v>455388.05249999999</v>
      </c>
      <c r="BB53" s="374">
        <f t="shared" si="25"/>
        <v>45538.805250000005</v>
      </c>
      <c r="BC53" s="374">
        <f t="shared" si="26"/>
        <v>9107.7610499999992</v>
      </c>
      <c r="BD53" s="374">
        <f t="shared" si="18"/>
        <v>34019.148620000007</v>
      </c>
      <c r="BE53" s="374">
        <f t="shared" si="27"/>
        <v>366722.33758000005</v>
      </c>
      <c r="BF53" s="374">
        <f t="shared" si="28"/>
        <v>5464656.6299999999</v>
      </c>
      <c r="BG53" s="374">
        <f t="shared" si="19"/>
        <v>487552.35</v>
      </c>
      <c r="BH53" s="374">
        <f t="shared" si="29"/>
        <v>5952208.9799999995</v>
      </c>
      <c r="BI53" s="374">
        <f t="shared" si="20"/>
        <v>208327.3143</v>
      </c>
      <c r="BJ53" s="374">
        <f t="shared" si="21"/>
        <v>309397.04033399996</v>
      </c>
      <c r="BK53" s="374">
        <f t="shared" si="30"/>
        <v>267849.40409999999</v>
      </c>
      <c r="BL53" s="374">
        <f t="shared" si="31"/>
        <v>178566.26939999999</v>
      </c>
      <c r="BM53" s="373">
        <f t="shared" si="57"/>
        <v>6916349.0081339991</v>
      </c>
      <c r="BN53" s="375"/>
      <c r="BO53" s="377"/>
      <c r="BP53" s="377"/>
      <c r="BQ53" s="377"/>
      <c r="BR53" s="377"/>
      <c r="BS53" s="377"/>
      <c r="BT53" s="377"/>
      <c r="BU53" s="377"/>
      <c r="BV53" s="377"/>
      <c r="BW53" s="377"/>
      <c r="BX53" s="377"/>
      <c r="BY53" s="377"/>
      <c r="BZ53" s="377"/>
      <c r="CA53" s="377"/>
      <c r="CB53" s="377"/>
      <c r="CC53" s="377"/>
      <c r="CD53" s="377"/>
      <c r="CE53" s="377"/>
      <c r="CF53" s="377"/>
      <c r="CG53" s="377"/>
      <c r="CH53" s="377"/>
      <c r="CI53" s="377"/>
    </row>
    <row r="54" spans="1:87" ht="47.25">
      <c r="A54" s="366">
        <f t="shared" si="58"/>
        <v>40</v>
      </c>
      <c r="B54" s="366">
        <f t="shared" si="58"/>
        <v>9</v>
      </c>
      <c r="C54" s="378" t="s">
        <v>1091</v>
      </c>
      <c r="D54" s="379" t="s">
        <v>1092</v>
      </c>
      <c r="E54" s="362" t="s">
        <v>998</v>
      </c>
      <c r="F54" s="1298" t="s">
        <v>1005</v>
      </c>
      <c r="G54" s="362" t="s">
        <v>1093</v>
      </c>
      <c r="H54" s="365" t="s">
        <v>1417</v>
      </c>
      <c r="I54" s="366">
        <v>17697</v>
      </c>
      <c r="J54" s="367">
        <v>10.82</v>
      </c>
      <c r="K54" s="367">
        <f t="shared" si="39"/>
        <v>191481.54</v>
      </c>
      <c r="L54" s="380">
        <v>20</v>
      </c>
      <c r="M54" s="380"/>
      <c r="N54" s="380">
        <v>4</v>
      </c>
      <c r="O54" s="380"/>
      <c r="P54" s="380"/>
      <c r="Q54" s="368">
        <f>SUM(L54:P54)</f>
        <v>24</v>
      </c>
      <c r="R54" s="411">
        <v>5</v>
      </c>
      <c r="S54" s="411"/>
      <c r="T54" s="411">
        <v>1</v>
      </c>
      <c r="U54" s="411"/>
      <c r="V54" s="411"/>
      <c r="W54" s="381">
        <f>SUM(R54:V54)</f>
        <v>6</v>
      </c>
      <c r="X54" s="370">
        <f t="shared" si="42"/>
        <v>30</v>
      </c>
      <c r="Y54" s="367">
        <f t="shared" si="43"/>
        <v>359027.88750000001</v>
      </c>
      <c r="Z54" s="367">
        <f t="shared" si="44"/>
        <v>35902.78875</v>
      </c>
      <c r="AA54" s="366">
        <v>5</v>
      </c>
      <c r="AB54" s="367">
        <f t="shared" si="45"/>
        <v>2212.125</v>
      </c>
      <c r="AC54" s="366">
        <v>25</v>
      </c>
      <c r="AD54" s="367">
        <f t="shared" si="46"/>
        <v>5530.3125</v>
      </c>
      <c r="AE54" s="380"/>
      <c r="AF54" s="366" t="s">
        <v>1094</v>
      </c>
      <c r="AG54" s="367">
        <f>17697*20%</f>
        <v>3539.4</v>
      </c>
      <c r="AH54" s="366"/>
      <c r="AI54" s="367"/>
      <c r="AJ54" s="366">
        <f t="shared" si="47"/>
        <v>30</v>
      </c>
      <c r="AK54" s="367">
        <f t="shared" si="48"/>
        <v>13272.75</v>
      </c>
      <c r="AL54" s="366">
        <f t="shared" si="49"/>
        <v>30</v>
      </c>
      <c r="AM54" s="367">
        <f t="shared" si="50"/>
        <v>107708.36625000001</v>
      </c>
      <c r="AN54" s="366" t="str">
        <f t="shared" si="51"/>
        <v>Педагог-зерттеуші</v>
      </c>
      <c r="AO54" s="367" t="str">
        <f t="shared" si="52"/>
        <v>0</v>
      </c>
      <c r="AP54" s="367">
        <f t="shared" si="53"/>
        <v>143611.155</v>
      </c>
      <c r="AQ54" s="367" t="str">
        <f t="shared" si="54"/>
        <v>0</v>
      </c>
      <c r="AR54" s="367" t="str">
        <f t="shared" si="55"/>
        <v>0</v>
      </c>
      <c r="AS54" s="366"/>
      <c r="AT54" s="367"/>
      <c r="AU54" s="371"/>
      <c r="AV54" s="367"/>
      <c r="AW54" s="371" t="str">
        <f t="shared" si="59"/>
        <v>Магистр-физика</v>
      </c>
      <c r="AX54" s="372">
        <f>10*4325</f>
        <v>43250</v>
      </c>
      <c r="AY54" s="367"/>
      <c r="AZ54" s="367">
        <f t="shared" si="56"/>
        <v>355026.89749999996</v>
      </c>
      <c r="BA54" s="373">
        <f t="shared" si="17"/>
        <v>714054.78499999992</v>
      </c>
      <c r="BB54" s="374">
        <f t="shared" si="25"/>
        <v>71405.478499999997</v>
      </c>
      <c r="BC54" s="374">
        <f t="shared" si="26"/>
        <v>14281.095699999998</v>
      </c>
      <c r="BD54" s="374">
        <f t="shared" si="18"/>
        <v>56781.821080000002</v>
      </c>
      <c r="BE54" s="374">
        <f t="shared" si="27"/>
        <v>571586.38971999998</v>
      </c>
      <c r="BF54" s="374">
        <f t="shared" si="28"/>
        <v>8568657.4199999981</v>
      </c>
      <c r="BG54" s="374">
        <f t="shared" si="19"/>
        <v>718055.77500000002</v>
      </c>
      <c r="BH54" s="374">
        <f t="shared" si="29"/>
        <v>9286713.1949999984</v>
      </c>
      <c r="BI54" s="374">
        <f t="shared" si="20"/>
        <v>325034.96182499995</v>
      </c>
      <c r="BJ54" s="374">
        <f t="shared" si="21"/>
        <v>482631.46620599995</v>
      </c>
      <c r="BK54" s="374">
        <f t="shared" si="30"/>
        <v>417902.09377499996</v>
      </c>
      <c r="BL54" s="374">
        <f t="shared" si="31"/>
        <v>278601.39584999997</v>
      </c>
      <c r="BM54" s="373">
        <f t="shared" si="57"/>
        <v>10790883.112655999</v>
      </c>
      <c r="BN54" s="375"/>
      <c r="BO54" s="377"/>
      <c r="BP54" s="377"/>
      <c r="BQ54" s="377"/>
      <c r="BR54" s="377"/>
      <c r="BS54" s="377"/>
      <c r="BT54" s="377"/>
      <c r="BU54" s="377"/>
      <c r="BV54" s="377"/>
      <c r="BW54" s="377"/>
      <c r="BX54" s="377"/>
      <c r="BY54" s="377"/>
      <c r="BZ54" s="377"/>
      <c r="CA54" s="377"/>
      <c r="CB54" s="377"/>
      <c r="CC54" s="377"/>
      <c r="CD54" s="377"/>
      <c r="CE54" s="377"/>
      <c r="CF54" s="377"/>
      <c r="CG54" s="377"/>
      <c r="CH54" s="377"/>
      <c r="CI54" s="377"/>
    </row>
    <row r="55" spans="1:87" ht="96.6" customHeight="1">
      <c r="A55" s="366">
        <f t="shared" si="58"/>
        <v>41</v>
      </c>
      <c r="B55" s="366">
        <f t="shared" si="58"/>
        <v>10</v>
      </c>
      <c r="C55" s="418" t="s">
        <v>1095</v>
      </c>
      <c r="D55" s="412" t="s">
        <v>1096</v>
      </c>
      <c r="E55" s="390" t="s">
        <v>998</v>
      </c>
      <c r="F55" s="1317" t="s">
        <v>1005</v>
      </c>
      <c r="G55" s="390" t="s">
        <v>1097</v>
      </c>
      <c r="H55" s="371" t="s">
        <v>1418</v>
      </c>
      <c r="I55" s="366">
        <v>17697</v>
      </c>
      <c r="J55" s="367">
        <v>10.6</v>
      </c>
      <c r="K55" s="367">
        <f t="shared" si="39"/>
        <v>187588.19999999998</v>
      </c>
      <c r="L55" s="380"/>
      <c r="M55" s="380"/>
      <c r="N55" s="380">
        <v>8</v>
      </c>
      <c r="O55" s="380"/>
      <c r="P55" s="380">
        <v>20</v>
      </c>
      <c r="Q55" s="368">
        <f t="shared" si="40"/>
        <v>28</v>
      </c>
      <c r="R55" s="380"/>
      <c r="S55" s="380">
        <v>3</v>
      </c>
      <c r="T55" s="380">
        <v>6</v>
      </c>
      <c r="U55" s="380"/>
      <c r="V55" s="380"/>
      <c r="W55" s="381">
        <f t="shared" si="41"/>
        <v>9</v>
      </c>
      <c r="X55" s="370">
        <f t="shared" si="42"/>
        <v>37</v>
      </c>
      <c r="Y55" s="367">
        <f t="shared" si="43"/>
        <v>433797.71249999997</v>
      </c>
      <c r="Z55" s="367">
        <f t="shared" si="44"/>
        <v>43379.771249999998</v>
      </c>
      <c r="AA55" s="366">
        <v>10</v>
      </c>
      <c r="AB55" s="367">
        <f t="shared" si="45"/>
        <v>4424.25</v>
      </c>
      <c r="AC55" s="366">
        <v>20</v>
      </c>
      <c r="AD55" s="367">
        <f t="shared" si="46"/>
        <v>4424.25</v>
      </c>
      <c r="AE55" s="380"/>
      <c r="AF55" s="366"/>
      <c r="AG55" s="367"/>
      <c r="AH55" s="366"/>
      <c r="AI55" s="367"/>
      <c r="AJ55" s="366">
        <f t="shared" si="47"/>
        <v>37</v>
      </c>
      <c r="AK55" s="367">
        <f t="shared" si="48"/>
        <v>16369.725</v>
      </c>
      <c r="AL55" s="366">
        <f t="shared" si="49"/>
        <v>37</v>
      </c>
      <c r="AM55" s="367">
        <f t="shared" si="50"/>
        <v>130139.31374999999</v>
      </c>
      <c r="AN55" s="366" t="str">
        <f t="shared" si="51"/>
        <v>Педагог-зерттеуші</v>
      </c>
      <c r="AO55" s="367" t="str">
        <f t="shared" si="52"/>
        <v>0</v>
      </c>
      <c r="AP55" s="367">
        <f t="shared" si="53"/>
        <v>173519.08499999999</v>
      </c>
      <c r="AQ55" s="367" t="str">
        <f t="shared" si="54"/>
        <v>0</v>
      </c>
      <c r="AR55" s="367" t="str">
        <f t="shared" si="55"/>
        <v>0</v>
      </c>
      <c r="AS55" s="366"/>
      <c r="AT55" s="367"/>
      <c r="AU55" s="366"/>
      <c r="AV55" s="367"/>
      <c r="AW55" s="371" t="str">
        <f t="shared" si="59"/>
        <v>Магистр- физика</v>
      </c>
      <c r="AX55" s="372">
        <f>10*4325</f>
        <v>43250</v>
      </c>
      <c r="AY55" s="367"/>
      <c r="AZ55" s="367">
        <f t="shared" si="56"/>
        <v>415506.39500000002</v>
      </c>
      <c r="BA55" s="373">
        <f t="shared" si="17"/>
        <v>849304.10749999993</v>
      </c>
      <c r="BB55" s="374">
        <f t="shared" si="25"/>
        <v>84930.410749999995</v>
      </c>
      <c r="BC55" s="374">
        <f t="shared" si="26"/>
        <v>16986.082149999998</v>
      </c>
      <c r="BD55" s="374">
        <f t="shared" si="18"/>
        <v>68683.761459999994</v>
      </c>
      <c r="BE55" s="374">
        <f t="shared" si="27"/>
        <v>678703.8531399999</v>
      </c>
      <c r="BF55" s="374">
        <f t="shared" si="28"/>
        <v>10191649.289999999</v>
      </c>
      <c r="BG55" s="374">
        <f t="shared" si="19"/>
        <v>867595.42499999993</v>
      </c>
      <c r="BH55" s="374">
        <f t="shared" si="29"/>
        <v>11059244.715</v>
      </c>
      <c r="BI55" s="374">
        <f t="shared" si="20"/>
        <v>387073.56502500002</v>
      </c>
      <c r="BJ55" s="374">
        <f t="shared" si="21"/>
        <v>574777.58617200004</v>
      </c>
      <c r="BK55" s="374">
        <f t="shared" si="30"/>
        <v>497666.01217500004</v>
      </c>
      <c r="BL55" s="374">
        <f t="shared" si="31"/>
        <v>331777.34145000001</v>
      </c>
      <c r="BM55" s="373">
        <f t="shared" si="57"/>
        <v>12850539.219821999</v>
      </c>
      <c r="BN55" s="375"/>
      <c r="BO55" s="377"/>
      <c r="BP55" s="377"/>
      <c r="BQ55" s="377"/>
      <c r="BR55" s="377"/>
      <c r="BS55" s="377"/>
      <c r="BT55" s="377"/>
      <c r="BU55" s="377"/>
      <c r="BV55" s="377"/>
      <c r="BW55" s="377"/>
      <c r="BX55" s="377"/>
      <c r="BY55" s="377"/>
      <c r="BZ55" s="377"/>
      <c r="CA55" s="377"/>
      <c r="CB55" s="377"/>
      <c r="CC55" s="377"/>
      <c r="CD55" s="377"/>
      <c r="CE55" s="377"/>
      <c r="CF55" s="377"/>
      <c r="CG55" s="377"/>
      <c r="CH55" s="377"/>
      <c r="CI55" s="377"/>
    </row>
    <row r="56" spans="1:87" ht="48" customHeight="1">
      <c r="A56" s="366">
        <f t="shared" si="58"/>
        <v>42</v>
      </c>
      <c r="B56" s="366">
        <f t="shared" si="58"/>
        <v>11</v>
      </c>
      <c r="C56" s="1319" t="s">
        <v>1098</v>
      </c>
      <c r="D56" s="412" t="s">
        <v>1099</v>
      </c>
      <c r="E56" s="390" t="s">
        <v>998</v>
      </c>
      <c r="F56" s="1298" t="s">
        <v>999</v>
      </c>
      <c r="G56" s="390" t="s">
        <v>1097</v>
      </c>
      <c r="H56" s="371" t="s">
        <v>1100</v>
      </c>
      <c r="I56" s="366">
        <v>17697</v>
      </c>
      <c r="J56" s="367">
        <v>11.4</v>
      </c>
      <c r="K56" s="367">
        <f t="shared" si="39"/>
        <v>201745.80000000002</v>
      </c>
      <c r="L56" s="380">
        <v>20</v>
      </c>
      <c r="M56" s="380"/>
      <c r="N56" s="380"/>
      <c r="O56" s="380"/>
      <c r="P56" s="380"/>
      <c r="Q56" s="368">
        <f t="shared" si="40"/>
        <v>20</v>
      </c>
      <c r="R56" s="380"/>
      <c r="S56" s="380"/>
      <c r="T56" s="380"/>
      <c r="U56" s="380"/>
      <c r="V56" s="380"/>
      <c r="W56" s="381">
        <f>SUM(R56:V56)</f>
        <v>0</v>
      </c>
      <c r="X56" s="370">
        <f t="shared" si="42"/>
        <v>20</v>
      </c>
      <c r="Y56" s="367">
        <f t="shared" si="43"/>
        <v>252182.25000000003</v>
      </c>
      <c r="Z56" s="367">
        <f t="shared" si="44"/>
        <v>25218.225000000006</v>
      </c>
      <c r="AA56" s="366">
        <v>0</v>
      </c>
      <c r="AB56" s="367">
        <f t="shared" si="45"/>
        <v>0</v>
      </c>
      <c r="AC56" s="366">
        <v>25</v>
      </c>
      <c r="AD56" s="367">
        <f t="shared" si="46"/>
        <v>5530.3125</v>
      </c>
      <c r="AE56" s="380"/>
      <c r="AF56" s="366"/>
      <c r="AG56" s="367"/>
      <c r="AH56" s="366"/>
      <c r="AI56" s="367"/>
      <c r="AJ56" s="366">
        <f t="shared" si="47"/>
        <v>20</v>
      </c>
      <c r="AK56" s="367">
        <f t="shared" si="48"/>
        <v>8848.5</v>
      </c>
      <c r="AL56" s="366">
        <f t="shared" si="49"/>
        <v>20</v>
      </c>
      <c r="AM56" s="367">
        <f t="shared" si="50"/>
        <v>75654.675000000003</v>
      </c>
      <c r="AN56" s="366" t="str">
        <f t="shared" si="51"/>
        <v>Педагог-шебер</v>
      </c>
      <c r="AO56" s="367">
        <f t="shared" si="52"/>
        <v>126091.12500000001</v>
      </c>
      <c r="AP56" s="367" t="str">
        <f t="shared" si="53"/>
        <v>0</v>
      </c>
      <c r="AQ56" s="367" t="str">
        <f t="shared" si="54"/>
        <v>0</v>
      </c>
      <c r="AR56" s="367" t="str">
        <f t="shared" si="55"/>
        <v>0</v>
      </c>
      <c r="AS56" s="366"/>
      <c r="AT56" s="367"/>
      <c r="AU56" s="366"/>
      <c r="AV56" s="367"/>
      <c r="AW56" s="371" t="str">
        <f t="shared" si="59"/>
        <v>Магистр- физика</v>
      </c>
      <c r="AX56" s="372">
        <f>10*4325</f>
        <v>43250</v>
      </c>
      <c r="AY56" s="367"/>
      <c r="AZ56" s="367">
        <f t="shared" si="56"/>
        <v>284592.83750000002</v>
      </c>
      <c r="BA56" s="373">
        <f t="shared" si="17"/>
        <v>536775.08750000002</v>
      </c>
      <c r="BB56" s="374">
        <f t="shared" si="25"/>
        <v>53677.508750000008</v>
      </c>
      <c r="BC56" s="374">
        <f t="shared" si="26"/>
        <v>10735.501750000001</v>
      </c>
      <c r="BD56" s="374">
        <f t="shared" si="18"/>
        <v>41181.207699999999</v>
      </c>
      <c r="BE56" s="374">
        <f t="shared" si="27"/>
        <v>431180.86930000002</v>
      </c>
      <c r="BF56" s="374">
        <f t="shared" si="28"/>
        <v>6441301.0500000007</v>
      </c>
      <c r="BG56" s="374">
        <f t="shared" si="19"/>
        <v>504364.50000000006</v>
      </c>
      <c r="BH56" s="374">
        <f t="shared" si="29"/>
        <v>6945665.5500000007</v>
      </c>
      <c r="BI56" s="374">
        <f t="shared" si="20"/>
        <v>243098.29425000004</v>
      </c>
      <c r="BJ56" s="374">
        <f t="shared" si="21"/>
        <v>360895.07739000005</v>
      </c>
      <c r="BK56" s="374">
        <f t="shared" si="30"/>
        <v>312554.94975000009</v>
      </c>
      <c r="BL56" s="374">
        <f t="shared" si="31"/>
        <v>208369.96650000001</v>
      </c>
      <c r="BM56" s="373">
        <f t="shared" si="57"/>
        <v>8070583.837890001</v>
      </c>
      <c r="BN56" s="375"/>
      <c r="BO56" s="377"/>
      <c r="BP56" s="377"/>
      <c r="BQ56" s="377"/>
      <c r="BR56" s="377"/>
      <c r="BS56" s="377"/>
      <c r="BT56" s="377"/>
      <c r="BU56" s="377"/>
      <c r="BV56" s="377"/>
      <c r="BW56" s="377"/>
      <c r="BX56" s="377"/>
      <c r="BY56" s="377"/>
      <c r="BZ56" s="377"/>
      <c r="CA56" s="377"/>
      <c r="CB56" s="377"/>
      <c r="CC56" s="377"/>
      <c r="CD56" s="377"/>
      <c r="CE56" s="377"/>
      <c r="CF56" s="377"/>
      <c r="CG56" s="377"/>
      <c r="CH56" s="377"/>
      <c r="CI56" s="377"/>
    </row>
    <row r="57" spans="1:87" ht="63.75" customHeight="1">
      <c r="A57" s="366">
        <f t="shared" si="58"/>
        <v>43</v>
      </c>
      <c r="B57" s="366">
        <f t="shared" si="58"/>
        <v>12</v>
      </c>
      <c r="C57" s="409" t="s">
        <v>1101</v>
      </c>
      <c r="D57" s="412" t="s">
        <v>1102</v>
      </c>
      <c r="E57" s="366" t="s">
        <v>998</v>
      </c>
      <c r="F57" s="508" t="s">
        <v>1005</v>
      </c>
      <c r="G57" s="366" t="s">
        <v>227</v>
      </c>
      <c r="H57" s="371" t="s">
        <v>1402</v>
      </c>
      <c r="I57" s="366">
        <v>17697</v>
      </c>
      <c r="J57" s="367">
        <v>10.4</v>
      </c>
      <c r="K57" s="367">
        <f t="shared" si="39"/>
        <v>184048.80000000002</v>
      </c>
      <c r="L57" s="380"/>
      <c r="M57" s="380"/>
      <c r="N57" s="380">
        <v>12</v>
      </c>
      <c r="O57" s="380">
        <v>16</v>
      </c>
      <c r="P57" s="380"/>
      <c r="Q57" s="368">
        <f t="shared" si="40"/>
        <v>28</v>
      </c>
      <c r="R57" s="411"/>
      <c r="S57" s="411"/>
      <c r="T57" s="411">
        <v>3</v>
      </c>
      <c r="U57" s="411"/>
      <c r="V57" s="411"/>
      <c r="W57" s="381">
        <f t="shared" si="41"/>
        <v>3</v>
      </c>
      <c r="X57" s="370">
        <f t="shared" si="42"/>
        <v>31</v>
      </c>
      <c r="Y57" s="367">
        <f t="shared" si="43"/>
        <v>356594.55000000005</v>
      </c>
      <c r="Z57" s="367">
        <f t="shared" si="44"/>
        <v>35659.455000000009</v>
      </c>
      <c r="AA57" s="366">
        <v>23</v>
      </c>
      <c r="AB57" s="367">
        <f t="shared" si="45"/>
        <v>10175.775000000001</v>
      </c>
      <c r="AC57" s="366">
        <v>8</v>
      </c>
      <c r="AD57" s="367">
        <f t="shared" si="46"/>
        <v>1769.7</v>
      </c>
      <c r="AE57" s="416"/>
      <c r="AF57" s="366" t="s">
        <v>1103</v>
      </c>
      <c r="AG57" s="367">
        <f>17697*20%</f>
        <v>3539.4</v>
      </c>
      <c r="AH57" s="366"/>
      <c r="AI57" s="367"/>
      <c r="AJ57" s="366">
        <f t="shared" si="47"/>
        <v>31</v>
      </c>
      <c r="AK57" s="367">
        <f t="shared" si="48"/>
        <v>13715.175000000001</v>
      </c>
      <c r="AL57" s="366">
        <f t="shared" si="49"/>
        <v>31</v>
      </c>
      <c r="AM57" s="367">
        <f t="shared" si="50"/>
        <v>106978.36500000001</v>
      </c>
      <c r="AN57" s="366" t="str">
        <f t="shared" si="51"/>
        <v>Педагог-зерттеуші</v>
      </c>
      <c r="AO57" s="367" t="str">
        <f t="shared" si="52"/>
        <v>0</v>
      </c>
      <c r="AP57" s="367">
        <f t="shared" si="53"/>
        <v>142637.82000000004</v>
      </c>
      <c r="AQ57" s="367" t="str">
        <f t="shared" si="54"/>
        <v>0</v>
      </c>
      <c r="AR57" s="367" t="str">
        <f t="shared" si="55"/>
        <v>0</v>
      </c>
      <c r="AS57" s="366"/>
      <c r="AT57" s="367"/>
      <c r="AU57" s="371"/>
      <c r="AV57" s="367"/>
      <c r="AW57" s="371" t="str">
        <f t="shared" si="59"/>
        <v>Магистр-техническая физика</v>
      </c>
      <c r="AX57" s="372">
        <f>10*4325</f>
        <v>43250</v>
      </c>
      <c r="AY57" s="367"/>
      <c r="AZ57" s="367">
        <f t="shared" si="56"/>
        <v>357725.69000000006</v>
      </c>
      <c r="BA57" s="373">
        <f t="shared" si="17"/>
        <v>714320.24000000011</v>
      </c>
      <c r="BB57" s="374">
        <f t="shared" si="25"/>
        <v>71432.024000000019</v>
      </c>
      <c r="BC57" s="374">
        <f t="shared" si="26"/>
        <v>14286.404800000002</v>
      </c>
      <c r="BD57" s="374">
        <f t="shared" si="18"/>
        <v>56805.181120000016</v>
      </c>
      <c r="BE57" s="374">
        <f t="shared" si="27"/>
        <v>571796.63008000015</v>
      </c>
      <c r="BF57" s="374">
        <f t="shared" si="28"/>
        <v>8571842.8800000008</v>
      </c>
      <c r="BG57" s="374">
        <f t="shared" si="19"/>
        <v>713189.10000000009</v>
      </c>
      <c r="BH57" s="374">
        <f t="shared" si="29"/>
        <v>9285031.9800000004</v>
      </c>
      <c r="BI57" s="374">
        <f t="shared" si="20"/>
        <v>324976.11930000002</v>
      </c>
      <c r="BJ57" s="374">
        <f t="shared" si="21"/>
        <v>482533.67258400004</v>
      </c>
      <c r="BK57" s="374">
        <f t="shared" si="30"/>
        <v>417826.43910000008</v>
      </c>
      <c r="BL57" s="374">
        <f t="shared" si="31"/>
        <v>278550.95939999999</v>
      </c>
      <c r="BM57" s="373">
        <f t="shared" si="57"/>
        <v>10788919.170384003</v>
      </c>
      <c r="BN57" s="375"/>
      <c r="BO57" s="377"/>
      <c r="BP57" s="377"/>
      <c r="BQ57" s="377"/>
      <c r="BR57" s="377"/>
      <c r="BS57" s="377"/>
      <c r="BT57" s="377"/>
      <c r="BU57" s="377"/>
      <c r="BV57" s="377"/>
      <c r="BW57" s="377"/>
      <c r="BX57" s="377"/>
      <c r="BY57" s="377"/>
      <c r="BZ57" s="377"/>
      <c r="CA57" s="377"/>
      <c r="CB57" s="377"/>
      <c r="CC57" s="377"/>
      <c r="CD57" s="377"/>
      <c r="CE57" s="377"/>
      <c r="CF57" s="377"/>
      <c r="CG57" s="377"/>
      <c r="CH57" s="377"/>
      <c r="CI57" s="377"/>
    </row>
    <row r="58" spans="1:87" ht="126">
      <c r="A58" s="366">
        <f t="shared" si="58"/>
        <v>44</v>
      </c>
      <c r="B58" s="366">
        <f t="shared" si="58"/>
        <v>13</v>
      </c>
      <c r="C58" s="409" t="s">
        <v>915</v>
      </c>
      <c r="D58" s="412" t="s">
        <v>1104</v>
      </c>
      <c r="E58" s="366" t="s">
        <v>998</v>
      </c>
      <c r="F58" s="508" t="s">
        <v>999</v>
      </c>
      <c r="G58" s="366" t="s">
        <v>1093</v>
      </c>
      <c r="H58" s="371" t="s">
        <v>1105</v>
      </c>
      <c r="I58" s="366">
        <v>17697</v>
      </c>
      <c r="J58" s="367">
        <v>11.4</v>
      </c>
      <c r="K58" s="367">
        <f t="shared" si="39"/>
        <v>201745.80000000002</v>
      </c>
      <c r="L58" s="380"/>
      <c r="M58" s="380">
        <v>16</v>
      </c>
      <c r="N58" s="380"/>
      <c r="O58" s="380"/>
      <c r="P58" s="380"/>
      <c r="Q58" s="368">
        <f t="shared" si="40"/>
        <v>16</v>
      </c>
      <c r="R58" s="411">
        <v>2</v>
      </c>
      <c r="S58" s="411">
        <v>4</v>
      </c>
      <c r="T58" s="411">
        <v>14</v>
      </c>
      <c r="U58" s="411"/>
      <c r="V58" s="411"/>
      <c r="W58" s="381">
        <f t="shared" si="41"/>
        <v>20</v>
      </c>
      <c r="X58" s="370">
        <f t="shared" si="42"/>
        <v>36</v>
      </c>
      <c r="Y58" s="367">
        <f t="shared" si="43"/>
        <v>453928.05000000005</v>
      </c>
      <c r="Z58" s="367">
        <f t="shared" si="44"/>
        <v>45392.805000000008</v>
      </c>
      <c r="AA58" s="366">
        <v>15</v>
      </c>
      <c r="AB58" s="367">
        <f t="shared" si="45"/>
        <v>6636.375</v>
      </c>
      <c r="AC58" s="366">
        <v>5</v>
      </c>
      <c r="AD58" s="367">
        <f t="shared" si="46"/>
        <v>1106.0625</v>
      </c>
      <c r="AE58" s="416"/>
      <c r="AF58" s="366" t="s">
        <v>1106</v>
      </c>
      <c r="AG58" s="367">
        <f>17697*20%</f>
        <v>3539.4</v>
      </c>
      <c r="AH58" s="366"/>
      <c r="AI58" s="367"/>
      <c r="AJ58" s="366">
        <f t="shared" si="47"/>
        <v>36</v>
      </c>
      <c r="AK58" s="367">
        <f t="shared" si="48"/>
        <v>15927.300000000001</v>
      </c>
      <c r="AL58" s="366">
        <f t="shared" si="49"/>
        <v>36</v>
      </c>
      <c r="AM58" s="367">
        <f t="shared" si="50"/>
        <v>136178.41500000001</v>
      </c>
      <c r="AN58" s="366" t="str">
        <f t="shared" si="51"/>
        <v>Педагог-шебер</v>
      </c>
      <c r="AO58" s="367">
        <f t="shared" si="52"/>
        <v>226964.02500000002</v>
      </c>
      <c r="AP58" s="367" t="str">
        <f t="shared" si="53"/>
        <v>0</v>
      </c>
      <c r="AQ58" s="367" t="str">
        <f t="shared" si="54"/>
        <v>0</v>
      </c>
      <c r="AR58" s="367" t="str">
        <f t="shared" si="55"/>
        <v>0</v>
      </c>
      <c r="AS58" s="366"/>
      <c r="AT58" s="367"/>
      <c r="AU58" s="371"/>
      <c r="AV58" s="367"/>
      <c r="AW58" s="371" t="str">
        <f t="shared" si="59"/>
        <v>Магистр-физика</v>
      </c>
      <c r="AX58" s="372">
        <f>10*4325</f>
        <v>43250</v>
      </c>
      <c r="AY58" s="367"/>
      <c r="AZ58" s="367">
        <f t="shared" si="56"/>
        <v>478994.38250000007</v>
      </c>
      <c r="BA58" s="373">
        <f t="shared" si="17"/>
        <v>932922.43250000011</v>
      </c>
      <c r="BB58" s="374">
        <f t="shared" si="25"/>
        <v>93292.243250000014</v>
      </c>
      <c r="BC58" s="374">
        <f t="shared" si="26"/>
        <v>18658.448650000002</v>
      </c>
      <c r="BD58" s="374">
        <f t="shared" si="18"/>
        <v>76042.174060000005</v>
      </c>
      <c r="BE58" s="374">
        <f t="shared" si="27"/>
        <v>744929.56654000003</v>
      </c>
      <c r="BF58" s="374">
        <f t="shared" si="28"/>
        <v>11195069.190000001</v>
      </c>
      <c r="BG58" s="374">
        <f t="shared" si="19"/>
        <v>907856.10000000009</v>
      </c>
      <c r="BH58" s="374">
        <f t="shared" si="29"/>
        <v>12102925.290000001</v>
      </c>
      <c r="BI58" s="374">
        <f t="shared" si="20"/>
        <v>423602.38515000005</v>
      </c>
      <c r="BJ58" s="374">
        <f t="shared" si="21"/>
        <v>628928.81344200007</v>
      </c>
      <c r="BK58" s="374">
        <f t="shared" si="30"/>
        <v>544631.63805000007</v>
      </c>
      <c r="BL58" s="374">
        <f t="shared" si="31"/>
        <v>363087.75870000001</v>
      </c>
      <c r="BM58" s="373">
        <f t="shared" si="57"/>
        <v>14063175.885342</v>
      </c>
      <c r="BN58" s="375"/>
      <c r="BO58" s="377"/>
      <c r="BP58" s="377"/>
      <c r="BQ58" s="377"/>
      <c r="BR58" s="377"/>
      <c r="BS58" s="377"/>
      <c r="BT58" s="377"/>
      <c r="BU58" s="377"/>
      <c r="BV58" s="377"/>
      <c r="BW58" s="377"/>
      <c r="BX58" s="377"/>
      <c r="BY58" s="377"/>
      <c r="BZ58" s="377"/>
      <c r="CA58" s="377"/>
      <c r="CB58" s="377"/>
      <c r="CC58" s="377"/>
      <c r="CD58" s="377"/>
      <c r="CE58" s="377"/>
      <c r="CF58" s="377"/>
      <c r="CG58" s="377"/>
      <c r="CH58" s="377"/>
      <c r="CI58" s="377"/>
    </row>
    <row r="59" spans="1:87" ht="31.5">
      <c r="A59" s="366">
        <f t="shared" si="58"/>
        <v>45</v>
      </c>
      <c r="B59" s="366">
        <f t="shared" si="58"/>
        <v>14</v>
      </c>
      <c r="C59" s="409" t="s">
        <v>1107</v>
      </c>
      <c r="D59" s="412" t="s">
        <v>1099</v>
      </c>
      <c r="E59" s="366" t="s">
        <v>998</v>
      </c>
      <c r="F59" s="508"/>
      <c r="G59" s="366"/>
      <c r="H59" s="371" t="s">
        <v>1403</v>
      </c>
      <c r="I59" s="366">
        <v>17697</v>
      </c>
      <c r="J59" s="367">
        <v>9.5</v>
      </c>
      <c r="K59" s="367">
        <f t="shared" si="39"/>
        <v>168121.5</v>
      </c>
      <c r="L59" s="380">
        <v>20</v>
      </c>
      <c r="M59" s="380"/>
      <c r="N59" s="380"/>
      <c r="O59" s="380"/>
      <c r="P59" s="380"/>
      <c r="Q59" s="368">
        <f t="shared" si="40"/>
        <v>20</v>
      </c>
      <c r="R59" s="411">
        <v>5</v>
      </c>
      <c r="S59" s="411"/>
      <c r="T59" s="411"/>
      <c r="U59" s="411"/>
      <c r="V59" s="411"/>
      <c r="W59" s="381">
        <f>SUM(R59:V59)</f>
        <v>5</v>
      </c>
      <c r="X59" s="370">
        <f t="shared" si="42"/>
        <v>25</v>
      </c>
      <c r="Y59" s="367">
        <f t="shared" si="43"/>
        <v>262689.84375</v>
      </c>
      <c r="Z59" s="367">
        <f t="shared" si="44"/>
        <v>26268.984375</v>
      </c>
      <c r="AA59" s="366">
        <v>0</v>
      </c>
      <c r="AB59" s="367">
        <f t="shared" si="45"/>
        <v>0</v>
      </c>
      <c r="AC59" s="366">
        <v>25</v>
      </c>
      <c r="AD59" s="367">
        <f t="shared" si="46"/>
        <v>5530.3125</v>
      </c>
      <c r="AE59" s="416"/>
      <c r="AF59" s="366"/>
      <c r="AG59" s="367"/>
      <c r="AH59" s="366"/>
      <c r="AI59" s="367"/>
      <c r="AJ59" s="366">
        <f t="shared" si="47"/>
        <v>25</v>
      </c>
      <c r="AK59" s="367">
        <f t="shared" si="48"/>
        <v>11060.625</v>
      </c>
      <c r="AL59" s="366">
        <f t="shared" si="49"/>
        <v>25</v>
      </c>
      <c r="AM59" s="367">
        <f t="shared" si="50"/>
        <v>78806.953125</v>
      </c>
      <c r="AN59" s="366">
        <f t="shared" si="51"/>
        <v>0</v>
      </c>
      <c r="AO59" s="367" t="str">
        <f t="shared" si="52"/>
        <v>0</v>
      </c>
      <c r="AP59" s="367" t="str">
        <f t="shared" si="53"/>
        <v>0</v>
      </c>
      <c r="AQ59" s="367" t="str">
        <f t="shared" si="54"/>
        <v>0</v>
      </c>
      <c r="AR59" s="367" t="str">
        <f t="shared" si="55"/>
        <v>0</v>
      </c>
      <c r="AS59" s="366"/>
      <c r="AT59" s="367"/>
      <c r="AU59" s="371"/>
      <c r="AV59" s="367"/>
      <c r="AW59" s="371">
        <f t="shared" si="59"/>
        <v>0</v>
      </c>
      <c r="AX59" s="372"/>
      <c r="AY59" s="367"/>
      <c r="AZ59" s="367">
        <f t="shared" si="56"/>
        <v>121666.875</v>
      </c>
      <c r="BA59" s="373">
        <f t="shared" si="17"/>
        <v>384356.71875</v>
      </c>
      <c r="BB59" s="374">
        <f t="shared" si="25"/>
        <v>38435.671875</v>
      </c>
      <c r="BC59" s="374">
        <f t="shared" si="26"/>
        <v>7687.1343750000005</v>
      </c>
      <c r="BD59" s="374">
        <f t="shared" si="18"/>
        <v>27768.391250000001</v>
      </c>
      <c r="BE59" s="374">
        <f t="shared" si="27"/>
        <v>310465.52124999999</v>
      </c>
      <c r="BF59" s="374">
        <f t="shared" si="28"/>
        <v>4612280.625</v>
      </c>
      <c r="BG59" s="374">
        <f t="shared" si="19"/>
        <v>525379.6875</v>
      </c>
      <c r="BH59" s="374">
        <f t="shared" si="29"/>
        <v>5137660.3125</v>
      </c>
      <c r="BI59" s="374">
        <f t="shared" si="20"/>
        <v>179818.11093750002</v>
      </c>
      <c r="BJ59" s="374">
        <f t="shared" si="21"/>
        <v>267286.63950000005</v>
      </c>
      <c r="BK59" s="374">
        <f t="shared" si="30"/>
        <v>231194.71406250002</v>
      </c>
      <c r="BL59" s="374">
        <f t="shared" si="31"/>
        <v>154129.80937499998</v>
      </c>
      <c r="BM59" s="373">
        <f t="shared" si="57"/>
        <v>5970089.586375</v>
      </c>
      <c r="BN59" s="375"/>
      <c r="BO59" s="377"/>
      <c r="BP59" s="377"/>
      <c r="BQ59" s="377"/>
      <c r="BR59" s="377"/>
      <c r="BS59" s="377"/>
      <c r="BT59" s="377"/>
      <c r="BU59" s="377"/>
      <c r="BV59" s="377"/>
      <c r="BW59" s="377"/>
      <c r="BX59" s="377"/>
      <c r="BY59" s="377"/>
      <c r="BZ59" s="377"/>
      <c r="CA59" s="377"/>
      <c r="CB59" s="377"/>
      <c r="CC59" s="377"/>
      <c r="CD59" s="377"/>
      <c r="CE59" s="377"/>
      <c r="CF59" s="377"/>
      <c r="CG59" s="377"/>
      <c r="CH59" s="377"/>
      <c r="CI59" s="377"/>
    </row>
    <row r="60" spans="1:87" ht="47.25">
      <c r="A60" s="366">
        <f t="shared" si="58"/>
        <v>46</v>
      </c>
      <c r="B60" s="366">
        <f t="shared" si="58"/>
        <v>15</v>
      </c>
      <c r="C60" s="409" t="s">
        <v>228</v>
      </c>
      <c r="D60" s="412" t="s">
        <v>1092</v>
      </c>
      <c r="E60" s="366" t="s">
        <v>998</v>
      </c>
      <c r="F60" s="508" t="s">
        <v>1005</v>
      </c>
      <c r="G60" s="366"/>
      <c r="H60" s="371" t="s">
        <v>398</v>
      </c>
      <c r="I60" s="366">
        <v>17697</v>
      </c>
      <c r="J60" s="367">
        <v>11.18</v>
      </c>
      <c r="K60" s="367">
        <f t="shared" si="39"/>
        <v>197852.46</v>
      </c>
      <c r="L60" s="380">
        <v>20</v>
      </c>
      <c r="M60" s="380"/>
      <c r="N60" s="380">
        <v>4</v>
      </c>
      <c r="O60" s="380"/>
      <c r="P60" s="380"/>
      <c r="Q60" s="368">
        <f t="shared" si="40"/>
        <v>24</v>
      </c>
      <c r="R60" s="411">
        <v>5</v>
      </c>
      <c r="S60" s="411"/>
      <c r="T60" s="411">
        <v>1</v>
      </c>
      <c r="U60" s="411"/>
      <c r="V60" s="411"/>
      <c r="W60" s="381">
        <f>SUM(R60:V60)</f>
        <v>6</v>
      </c>
      <c r="X60" s="370">
        <f t="shared" si="42"/>
        <v>30</v>
      </c>
      <c r="Y60" s="367">
        <f t="shared" si="43"/>
        <v>370973.36249999999</v>
      </c>
      <c r="Z60" s="367">
        <f t="shared" si="44"/>
        <v>37097.33625</v>
      </c>
      <c r="AA60" s="366">
        <v>5</v>
      </c>
      <c r="AB60" s="367">
        <f t="shared" si="45"/>
        <v>2212.125</v>
      </c>
      <c r="AC60" s="366">
        <v>25</v>
      </c>
      <c r="AD60" s="367">
        <f t="shared" si="46"/>
        <v>5530.3125</v>
      </c>
      <c r="AE60" s="372"/>
      <c r="AF60" s="366" t="s">
        <v>1108</v>
      </c>
      <c r="AG60" s="367">
        <f>17697*20%</f>
        <v>3539.4</v>
      </c>
      <c r="AH60" s="366" t="s">
        <v>1109</v>
      </c>
      <c r="AI60" s="367">
        <f>I60*200%</f>
        <v>35394</v>
      </c>
      <c r="AJ60" s="366">
        <f t="shared" si="47"/>
        <v>30</v>
      </c>
      <c r="AK60" s="367">
        <f t="shared" si="48"/>
        <v>13272.75</v>
      </c>
      <c r="AL60" s="366">
        <f t="shared" si="49"/>
        <v>30</v>
      </c>
      <c r="AM60" s="367">
        <f t="shared" si="50"/>
        <v>111292.00874999999</v>
      </c>
      <c r="AN60" s="366" t="str">
        <f t="shared" si="51"/>
        <v>Педагог-зерттеуші</v>
      </c>
      <c r="AO60" s="367" t="str">
        <f t="shared" si="52"/>
        <v>0</v>
      </c>
      <c r="AP60" s="367">
        <f t="shared" si="53"/>
        <v>148389.345</v>
      </c>
      <c r="AQ60" s="367" t="str">
        <f t="shared" si="54"/>
        <v>0</v>
      </c>
      <c r="AR60" s="367" t="str">
        <f t="shared" si="55"/>
        <v>0</v>
      </c>
      <c r="AS60" s="366"/>
      <c r="AT60" s="367"/>
      <c r="AU60" s="371"/>
      <c r="AV60" s="367"/>
      <c r="AW60" s="371">
        <f t="shared" si="59"/>
        <v>0</v>
      </c>
      <c r="AX60" s="367"/>
      <c r="AY60" s="367"/>
      <c r="AZ60" s="367">
        <f t="shared" si="56"/>
        <v>356727.27749999997</v>
      </c>
      <c r="BA60" s="373">
        <f t="shared" si="17"/>
        <v>727700.6399999999</v>
      </c>
      <c r="BB60" s="374">
        <f t="shared" si="25"/>
        <v>72770.063999999998</v>
      </c>
      <c r="BC60" s="374">
        <f t="shared" si="26"/>
        <v>14554.012799999999</v>
      </c>
      <c r="BD60" s="374">
        <f t="shared" si="18"/>
        <v>57982.656319999987</v>
      </c>
      <c r="BE60" s="374">
        <f t="shared" si="27"/>
        <v>582393.90687999991</v>
      </c>
      <c r="BF60" s="374">
        <f t="shared" si="28"/>
        <v>8732407.6799999997</v>
      </c>
      <c r="BG60" s="374">
        <f t="shared" si="19"/>
        <v>741946.72499999998</v>
      </c>
      <c r="BH60" s="374">
        <f t="shared" si="29"/>
        <v>9474354.4049999993</v>
      </c>
      <c r="BI60" s="374">
        <f t="shared" si="20"/>
        <v>331602.40417500003</v>
      </c>
      <c r="BJ60" s="374">
        <f t="shared" si="21"/>
        <v>492403.84097399993</v>
      </c>
      <c r="BK60" s="374">
        <f t="shared" si="30"/>
        <v>426345.94822499994</v>
      </c>
      <c r="BL60" s="374">
        <f t="shared" si="31"/>
        <v>284230.63214999996</v>
      </c>
      <c r="BM60" s="373">
        <f t="shared" si="57"/>
        <v>11008937.230524</v>
      </c>
      <c r="BN60" s="375"/>
      <c r="BO60" s="377"/>
      <c r="BP60" s="377"/>
      <c r="BQ60" s="377"/>
      <c r="BR60" s="377"/>
      <c r="BS60" s="377"/>
      <c r="BT60" s="377"/>
      <c r="BU60" s="377"/>
      <c r="BV60" s="377"/>
      <c r="BW60" s="377"/>
      <c r="BX60" s="377"/>
      <c r="BY60" s="377"/>
      <c r="BZ60" s="377"/>
      <c r="CA60" s="377"/>
      <c r="CB60" s="377"/>
      <c r="CC60" s="377"/>
      <c r="CD60" s="377"/>
      <c r="CE60" s="377"/>
      <c r="CF60" s="377"/>
      <c r="CG60" s="377"/>
      <c r="CH60" s="377"/>
      <c r="CI60" s="377"/>
    </row>
    <row r="61" spans="1:87" ht="30">
      <c r="A61" s="366">
        <f t="shared" si="58"/>
        <v>47</v>
      </c>
      <c r="B61" s="366">
        <f t="shared" si="58"/>
        <v>16</v>
      </c>
      <c r="C61" s="409" t="s">
        <v>1110</v>
      </c>
      <c r="D61" s="412" t="s">
        <v>1111</v>
      </c>
      <c r="E61" s="366" t="s">
        <v>998</v>
      </c>
      <c r="F61" s="508" t="s">
        <v>999</v>
      </c>
      <c r="G61" s="366"/>
      <c r="H61" s="371" t="s">
        <v>1112</v>
      </c>
      <c r="I61" s="366">
        <v>17697</v>
      </c>
      <c r="J61" s="367">
        <v>11.4</v>
      </c>
      <c r="K61" s="367">
        <f t="shared" si="39"/>
        <v>201745.80000000002</v>
      </c>
      <c r="L61" s="380"/>
      <c r="M61" s="380"/>
      <c r="N61" s="380"/>
      <c r="O61" s="380"/>
      <c r="P61" s="380">
        <v>16</v>
      </c>
      <c r="Q61" s="368">
        <f t="shared" si="40"/>
        <v>16</v>
      </c>
      <c r="R61" s="411"/>
      <c r="S61" s="411"/>
      <c r="T61" s="411"/>
      <c r="U61" s="411"/>
      <c r="V61" s="411"/>
      <c r="W61" s="381">
        <f>SUM(R61:V61)</f>
        <v>0</v>
      </c>
      <c r="X61" s="370">
        <f t="shared" si="42"/>
        <v>16</v>
      </c>
      <c r="Y61" s="367">
        <f t="shared" si="43"/>
        <v>201745.80000000002</v>
      </c>
      <c r="Z61" s="367">
        <f t="shared" si="44"/>
        <v>20174.580000000002</v>
      </c>
      <c r="AA61" s="366"/>
      <c r="AB61" s="367">
        <f t="shared" si="45"/>
        <v>0</v>
      </c>
      <c r="AC61" s="366">
        <v>16</v>
      </c>
      <c r="AD61" s="367">
        <f t="shared" si="46"/>
        <v>3539.4</v>
      </c>
      <c r="AE61" s="416"/>
      <c r="AF61" s="366" t="s">
        <v>264</v>
      </c>
      <c r="AG61" s="367">
        <f>17697*20%</f>
        <v>3539.4</v>
      </c>
      <c r="AH61" s="366"/>
      <c r="AI61" s="367"/>
      <c r="AJ61" s="366">
        <f t="shared" si="47"/>
        <v>16</v>
      </c>
      <c r="AK61" s="367">
        <f t="shared" si="48"/>
        <v>7078.8</v>
      </c>
      <c r="AL61" s="366">
        <f t="shared" si="49"/>
        <v>16</v>
      </c>
      <c r="AM61" s="367">
        <f t="shared" si="50"/>
        <v>60523.740000000005</v>
      </c>
      <c r="AN61" s="366" t="str">
        <f>F61</f>
        <v>Педагог-шебер</v>
      </c>
      <c r="AO61" s="367">
        <f t="shared" si="52"/>
        <v>100872.90000000001</v>
      </c>
      <c r="AP61" s="367" t="str">
        <f t="shared" si="53"/>
        <v>0</v>
      </c>
      <c r="AQ61" s="367" t="str">
        <f t="shared" si="54"/>
        <v>0</v>
      </c>
      <c r="AR61" s="367" t="str">
        <f t="shared" si="55"/>
        <v>0</v>
      </c>
      <c r="AS61" s="366"/>
      <c r="AT61" s="367"/>
      <c r="AU61" s="371"/>
      <c r="AV61" s="367"/>
      <c r="AW61" s="371">
        <f t="shared" si="59"/>
        <v>0</v>
      </c>
      <c r="AX61" s="367"/>
      <c r="AY61" s="367"/>
      <c r="AZ61" s="367">
        <f t="shared" si="56"/>
        <v>195728.82</v>
      </c>
      <c r="BA61" s="373">
        <f t="shared" si="17"/>
        <v>397474.62</v>
      </c>
      <c r="BB61" s="374">
        <f t="shared" si="25"/>
        <v>39747.462</v>
      </c>
      <c r="BC61" s="374">
        <f t="shared" si="26"/>
        <v>7949.4924000000001</v>
      </c>
      <c r="BD61" s="374">
        <f t="shared" si="18"/>
        <v>28922.766560000004</v>
      </c>
      <c r="BE61" s="374">
        <f t="shared" si="27"/>
        <v>320854.89903999999</v>
      </c>
      <c r="BF61" s="374">
        <f t="shared" si="28"/>
        <v>4769695.4399999995</v>
      </c>
      <c r="BG61" s="374">
        <f t="shared" si="19"/>
        <v>403491.60000000003</v>
      </c>
      <c r="BH61" s="374">
        <f t="shared" si="29"/>
        <v>5173187.0399999991</v>
      </c>
      <c r="BI61" s="374">
        <f t="shared" si="20"/>
        <v>181061.54639999999</v>
      </c>
      <c r="BJ61" s="374">
        <f t="shared" si="21"/>
        <v>268858.77019199985</v>
      </c>
      <c r="BK61" s="374">
        <f t="shared" si="30"/>
        <v>232793.41679999998</v>
      </c>
      <c r="BL61" s="374">
        <f t="shared" si="31"/>
        <v>155195.61119999996</v>
      </c>
      <c r="BM61" s="373">
        <f t="shared" si="57"/>
        <v>6011096.3845919995</v>
      </c>
      <c r="BN61" s="375"/>
      <c r="BO61" s="377"/>
      <c r="BP61" s="377"/>
      <c r="BQ61" s="377"/>
      <c r="BR61" s="377"/>
      <c r="BS61" s="377"/>
      <c r="BT61" s="377"/>
      <c r="BU61" s="377"/>
      <c r="BV61" s="377"/>
      <c r="BW61" s="377"/>
      <c r="BX61" s="377"/>
      <c r="BY61" s="377"/>
      <c r="BZ61" s="377"/>
      <c r="CA61" s="377"/>
      <c r="CB61" s="377"/>
      <c r="CC61" s="377"/>
      <c r="CD61" s="377"/>
      <c r="CE61" s="377"/>
      <c r="CF61" s="377"/>
      <c r="CG61" s="377"/>
      <c r="CH61" s="377"/>
      <c r="CI61" s="377"/>
    </row>
    <row r="62" spans="1:87" ht="45">
      <c r="A62" s="366">
        <f t="shared" si="58"/>
        <v>48</v>
      </c>
      <c r="B62" s="366">
        <f t="shared" si="58"/>
        <v>17</v>
      </c>
      <c r="C62" s="413" t="s">
        <v>1113</v>
      </c>
      <c r="D62" s="419" t="s">
        <v>1114</v>
      </c>
      <c r="E62" s="366" t="s">
        <v>998</v>
      </c>
      <c r="F62" s="1315"/>
      <c r="G62" s="394" t="s">
        <v>1046</v>
      </c>
      <c r="H62" s="395" t="s">
        <v>1419</v>
      </c>
      <c r="I62" s="366">
        <v>17697</v>
      </c>
      <c r="J62" s="367">
        <v>9.84</v>
      </c>
      <c r="K62" s="367">
        <f t="shared" si="39"/>
        <v>174138.48</v>
      </c>
      <c r="L62" s="380"/>
      <c r="M62" s="380">
        <v>20</v>
      </c>
      <c r="N62" s="380"/>
      <c r="O62" s="380"/>
      <c r="P62" s="380"/>
      <c r="Q62" s="368">
        <f t="shared" si="40"/>
        <v>20</v>
      </c>
      <c r="R62" s="411"/>
      <c r="S62" s="411">
        <v>5</v>
      </c>
      <c r="T62" s="411"/>
      <c r="U62" s="411"/>
      <c r="V62" s="411"/>
      <c r="W62" s="381">
        <f>SUM(R62:V62)</f>
        <v>5</v>
      </c>
      <c r="X62" s="370">
        <f t="shared" si="42"/>
        <v>25</v>
      </c>
      <c r="Y62" s="367">
        <f t="shared" si="43"/>
        <v>272091.375</v>
      </c>
      <c r="Z62" s="367">
        <f t="shared" si="44"/>
        <v>27209.137500000001</v>
      </c>
      <c r="AA62" s="366">
        <v>15</v>
      </c>
      <c r="AB62" s="367">
        <f t="shared" si="45"/>
        <v>6636.375</v>
      </c>
      <c r="AC62" s="366">
        <v>10</v>
      </c>
      <c r="AD62" s="367">
        <f t="shared" si="46"/>
        <v>2212.125</v>
      </c>
      <c r="AE62" s="416"/>
      <c r="AF62" s="366"/>
      <c r="AG62" s="367"/>
      <c r="AH62" s="366"/>
      <c r="AI62" s="367"/>
      <c r="AJ62" s="366">
        <f t="shared" si="47"/>
        <v>25</v>
      </c>
      <c r="AK62" s="367">
        <f t="shared" si="48"/>
        <v>11060.625</v>
      </c>
      <c r="AL62" s="366">
        <f t="shared" si="49"/>
        <v>25</v>
      </c>
      <c r="AM62" s="367">
        <f t="shared" si="50"/>
        <v>81627.412499999991</v>
      </c>
      <c r="AN62" s="366">
        <f>F62</f>
        <v>0</v>
      </c>
      <c r="AO62" s="367" t="str">
        <f t="shared" si="52"/>
        <v>0</v>
      </c>
      <c r="AP62" s="367" t="str">
        <f t="shared" si="53"/>
        <v>0</v>
      </c>
      <c r="AQ62" s="367" t="str">
        <f t="shared" si="54"/>
        <v>0</v>
      </c>
      <c r="AR62" s="367" t="str">
        <f t="shared" si="55"/>
        <v>0</v>
      </c>
      <c r="AS62" s="366"/>
      <c r="AT62" s="367"/>
      <c r="AU62" s="371"/>
      <c r="AV62" s="367"/>
      <c r="AW62" s="371" t="str">
        <f t="shared" si="59"/>
        <v>Магистр педагогических наук</v>
      </c>
      <c r="AX62" s="372">
        <f>10*4325</f>
        <v>43250</v>
      </c>
      <c r="AY62" s="367"/>
      <c r="AZ62" s="367">
        <f t="shared" si="56"/>
        <v>171995.67499999999</v>
      </c>
      <c r="BA62" s="373">
        <f t="shared" si="17"/>
        <v>444087.05</v>
      </c>
      <c r="BB62" s="374">
        <f t="shared" si="25"/>
        <v>44408.705000000002</v>
      </c>
      <c r="BC62" s="374">
        <f t="shared" si="26"/>
        <v>8881.741</v>
      </c>
      <c r="BD62" s="374">
        <f t="shared" si="18"/>
        <v>33024.660400000001</v>
      </c>
      <c r="BE62" s="374">
        <f t="shared" si="27"/>
        <v>357771.9436</v>
      </c>
      <c r="BF62" s="374">
        <f t="shared" si="28"/>
        <v>5329044.5999999996</v>
      </c>
      <c r="BG62" s="374">
        <f t="shared" si="19"/>
        <v>544182.75</v>
      </c>
      <c r="BH62" s="374">
        <f t="shared" si="29"/>
        <v>5873227.3499999996</v>
      </c>
      <c r="BI62" s="374">
        <f t="shared" si="20"/>
        <v>205562.95725000001</v>
      </c>
      <c r="BJ62" s="374">
        <f t="shared" si="21"/>
        <v>305430.37877999997</v>
      </c>
      <c r="BK62" s="374">
        <f t="shared" si="30"/>
        <v>264295.23075000005</v>
      </c>
      <c r="BL62" s="374">
        <f t="shared" si="31"/>
        <v>176196.82049999997</v>
      </c>
      <c r="BM62" s="373">
        <f t="shared" si="57"/>
        <v>6824712.73728</v>
      </c>
      <c r="BN62" s="375"/>
      <c r="BO62" s="377"/>
      <c r="BP62" s="377"/>
      <c r="BQ62" s="377"/>
      <c r="BR62" s="377"/>
      <c r="BS62" s="377"/>
      <c r="BT62" s="377"/>
      <c r="BU62" s="377"/>
      <c r="BV62" s="377"/>
      <c r="BW62" s="377"/>
      <c r="BX62" s="377"/>
      <c r="BY62" s="377"/>
      <c r="BZ62" s="377"/>
      <c r="CA62" s="377"/>
      <c r="CB62" s="377"/>
      <c r="CC62" s="377"/>
      <c r="CD62" s="377"/>
      <c r="CE62" s="377"/>
      <c r="CF62" s="377"/>
      <c r="CG62" s="377"/>
      <c r="CH62" s="377"/>
      <c r="CI62" s="377"/>
    </row>
    <row r="63" spans="1:87" ht="63">
      <c r="A63" s="366">
        <f>A62+1</f>
        <v>49</v>
      </c>
      <c r="B63" s="366">
        <f>B62+1</f>
        <v>18</v>
      </c>
      <c r="C63" s="413" t="s">
        <v>919</v>
      </c>
      <c r="D63" s="410" t="s">
        <v>1115</v>
      </c>
      <c r="E63" s="366" t="s">
        <v>998</v>
      </c>
      <c r="F63" s="1315" t="s">
        <v>1005</v>
      </c>
      <c r="G63" s="394" t="s">
        <v>1116</v>
      </c>
      <c r="H63" s="395" t="s">
        <v>1420</v>
      </c>
      <c r="I63" s="394">
        <v>17697</v>
      </c>
      <c r="J63" s="367">
        <v>10.4</v>
      </c>
      <c r="K63" s="367">
        <f t="shared" si="39"/>
        <v>184048.80000000002</v>
      </c>
      <c r="L63" s="380"/>
      <c r="M63" s="380"/>
      <c r="N63" s="380"/>
      <c r="O63" s="380">
        <v>20</v>
      </c>
      <c r="P63" s="380">
        <v>4</v>
      </c>
      <c r="Q63" s="368">
        <f t="shared" si="40"/>
        <v>24</v>
      </c>
      <c r="R63" s="411">
        <v>10</v>
      </c>
      <c r="S63" s="411">
        <v>4</v>
      </c>
      <c r="T63" s="411"/>
      <c r="U63" s="411"/>
      <c r="V63" s="411"/>
      <c r="W63" s="381">
        <f t="shared" si="41"/>
        <v>14</v>
      </c>
      <c r="X63" s="370">
        <f t="shared" si="42"/>
        <v>38</v>
      </c>
      <c r="Y63" s="367">
        <f t="shared" si="43"/>
        <v>437115.9</v>
      </c>
      <c r="Z63" s="367">
        <f t="shared" si="44"/>
        <v>43711.590000000004</v>
      </c>
      <c r="AA63" s="366">
        <v>12</v>
      </c>
      <c r="AB63" s="367">
        <f t="shared" si="45"/>
        <v>5309.1</v>
      </c>
      <c r="AC63" s="366">
        <v>12</v>
      </c>
      <c r="AD63" s="367">
        <f t="shared" si="46"/>
        <v>2654.55</v>
      </c>
      <c r="AE63" s="416"/>
      <c r="AF63" s="366"/>
      <c r="AG63" s="367"/>
      <c r="AH63" s="366"/>
      <c r="AI63" s="367"/>
      <c r="AJ63" s="366">
        <f t="shared" si="47"/>
        <v>38</v>
      </c>
      <c r="AK63" s="367">
        <f t="shared" si="48"/>
        <v>16812.150000000001</v>
      </c>
      <c r="AL63" s="366">
        <f t="shared" si="49"/>
        <v>38</v>
      </c>
      <c r="AM63" s="367">
        <f t="shared" si="50"/>
        <v>131134.76999999999</v>
      </c>
      <c r="AN63" s="366" t="str">
        <f>F63</f>
        <v>Педагог-зерттеуші</v>
      </c>
      <c r="AO63" s="367" t="str">
        <f t="shared" si="52"/>
        <v>0</v>
      </c>
      <c r="AP63" s="367">
        <f t="shared" si="53"/>
        <v>174846.36000000002</v>
      </c>
      <c r="AQ63" s="367" t="str">
        <f t="shared" si="54"/>
        <v>0</v>
      </c>
      <c r="AR63" s="367" t="str">
        <f t="shared" si="55"/>
        <v>0</v>
      </c>
      <c r="AS63" s="366"/>
      <c r="AT63" s="367"/>
      <c r="AU63" s="420"/>
      <c r="AV63" s="367"/>
      <c r="AW63" s="371" t="str">
        <f t="shared" si="59"/>
        <v>Магистр-ядерная физика</v>
      </c>
      <c r="AX63" s="372">
        <f>10*4325</f>
        <v>43250</v>
      </c>
      <c r="AY63" s="367"/>
      <c r="AZ63" s="367">
        <f t="shared" si="56"/>
        <v>417718.52</v>
      </c>
      <c r="BA63" s="373">
        <f t="shared" si="17"/>
        <v>854834.42</v>
      </c>
      <c r="BB63" s="374">
        <f t="shared" si="25"/>
        <v>85483.44200000001</v>
      </c>
      <c r="BC63" s="374">
        <f t="shared" si="26"/>
        <v>17096.688400000003</v>
      </c>
      <c r="BD63" s="374">
        <f t="shared" si="18"/>
        <v>69170.428960000005</v>
      </c>
      <c r="BE63" s="374">
        <f t="shared" si="27"/>
        <v>683083.86063999997</v>
      </c>
      <c r="BF63" s="374">
        <f t="shared" si="28"/>
        <v>10258013.040000001</v>
      </c>
      <c r="BG63" s="374">
        <f t="shared" si="19"/>
        <v>874231.8</v>
      </c>
      <c r="BH63" s="374">
        <f t="shared" si="29"/>
        <v>11132244.840000002</v>
      </c>
      <c r="BI63" s="374">
        <f t="shared" si="20"/>
        <v>389628.56940000009</v>
      </c>
      <c r="BJ63" s="374">
        <f t="shared" si="21"/>
        <v>578573.59267200006</v>
      </c>
      <c r="BK63" s="374">
        <f t="shared" si="30"/>
        <v>500951.01780000015</v>
      </c>
      <c r="BL63" s="374">
        <f t="shared" si="31"/>
        <v>333967.34520000004</v>
      </c>
      <c r="BM63" s="373">
        <f t="shared" si="57"/>
        <v>12935365.365072001</v>
      </c>
      <c r="BN63" s="385">
        <v>0.25</v>
      </c>
      <c r="BO63" s="377"/>
      <c r="BP63" s="377"/>
      <c r="BQ63" s="377"/>
      <c r="BR63" s="377"/>
      <c r="BS63" s="377"/>
      <c r="BT63" s="377"/>
      <c r="BU63" s="377"/>
      <c r="BV63" s="377"/>
      <c r="BW63" s="377"/>
      <c r="BX63" s="377"/>
      <c r="BY63" s="377"/>
      <c r="BZ63" s="377"/>
      <c r="CA63" s="377"/>
      <c r="CB63" s="377"/>
      <c r="CC63" s="377"/>
      <c r="CD63" s="377"/>
      <c r="CE63" s="377"/>
      <c r="CF63" s="377"/>
      <c r="CG63" s="377"/>
      <c r="CH63" s="377"/>
      <c r="CI63" s="377"/>
    </row>
    <row r="64" spans="1:87" ht="31.5">
      <c r="A64" s="366">
        <f>A63+1</f>
        <v>50</v>
      </c>
      <c r="B64" s="366">
        <f>B63+1</f>
        <v>19</v>
      </c>
      <c r="C64" s="378" t="s">
        <v>930</v>
      </c>
      <c r="D64" s="421" t="s">
        <v>1117</v>
      </c>
      <c r="E64" s="366" t="s">
        <v>998</v>
      </c>
      <c r="F64" s="1298"/>
      <c r="G64" s="362"/>
      <c r="H64" s="397" t="s">
        <v>279</v>
      </c>
      <c r="I64" s="394">
        <v>17697</v>
      </c>
      <c r="J64" s="398">
        <v>9.66</v>
      </c>
      <c r="K64" s="367">
        <f t="shared" si="39"/>
        <v>170953.02</v>
      </c>
      <c r="L64" s="380"/>
      <c r="M64" s="380">
        <v>8</v>
      </c>
      <c r="N64" s="380">
        <v>8</v>
      </c>
      <c r="O64" s="380"/>
      <c r="P64" s="380"/>
      <c r="Q64" s="368">
        <f t="shared" si="40"/>
        <v>16</v>
      </c>
      <c r="R64" s="411"/>
      <c r="S64" s="411">
        <v>2</v>
      </c>
      <c r="T64" s="411">
        <v>2</v>
      </c>
      <c r="U64" s="411"/>
      <c r="V64" s="411"/>
      <c r="W64" s="381">
        <f t="shared" si="41"/>
        <v>4</v>
      </c>
      <c r="X64" s="370">
        <f t="shared" si="42"/>
        <v>20</v>
      </c>
      <c r="Y64" s="367">
        <f t="shared" si="43"/>
        <v>213691.27499999999</v>
      </c>
      <c r="Z64" s="367">
        <f t="shared" si="44"/>
        <v>21369.127500000002</v>
      </c>
      <c r="AA64" s="366">
        <v>20</v>
      </c>
      <c r="AB64" s="367">
        <f t="shared" si="45"/>
        <v>8848.5</v>
      </c>
      <c r="AC64" s="366"/>
      <c r="AD64" s="367">
        <f t="shared" si="46"/>
        <v>0</v>
      </c>
      <c r="AE64" s="416"/>
      <c r="AF64" s="366"/>
      <c r="AG64" s="367"/>
      <c r="AH64" s="366"/>
      <c r="AI64" s="367"/>
      <c r="AJ64" s="366">
        <f t="shared" si="47"/>
        <v>20</v>
      </c>
      <c r="AK64" s="367">
        <f t="shared" si="48"/>
        <v>8848.5</v>
      </c>
      <c r="AL64" s="366">
        <f t="shared" si="49"/>
        <v>20</v>
      </c>
      <c r="AM64" s="367">
        <f t="shared" si="50"/>
        <v>64107.382499999992</v>
      </c>
      <c r="AN64" s="366">
        <f>F64</f>
        <v>0</v>
      </c>
      <c r="AO64" s="367" t="str">
        <f t="shared" si="52"/>
        <v>0</v>
      </c>
      <c r="AP64" s="367" t="str">
        <f t="shared" si="53"/>
        <v>0</v>
      </c>
      <c r="AQ64" s="367" t="str">
        <f t="shared" si="54"/>
        <v>0</v>
      </c>
      <c r="AR64" s="367" t="str">
        <f t="shared" si="55"/>
        <v>0</v>
      </c>
      <c r="AS64" s="366"/>
      <c r="AT64" s="367"/>
      <c r="AU64" s="371"/>
      <c r="AV64" s="367"/>
      <c r="AW64" s="371">
        <f t="shared" si="59"/>
        <v>0</v>
      </c>
      <c r="AX64" s="372"/>
      <c r="AY64" s="367"/>
      <c r="AZ64" s="367">
        <f t="shared" si="56"/>
        <v>103173.51</v>
      </c>
      <c r="BA64" s="373">
        <f t="shared" si="17"/>
        <v>316864.78499999997</v>
      </c>
      <c r="BB64" s="374">
        <f t="shared" si="25"/>
        <v>31686.478499999997</v>
      </c>
      <c r="BC64" s="374">
        <f t="shared" si="26"/>
        <v>6337.2956999999997</v>
      </c>
      <c r="BD64" s="374">
        <f t="shared" si="18"/>
        <v>21829.101079999993</v>
      </c>
      <c r="BE64" s="374">
        <f t="shared" si="27"/>
        <v>257011.90971999994</v>
      </c>
      <c r="BF64" s="374">
        <f t="shared" si="28"/>
        <v>3802377.42</v>
      </c>
      <c r="BG64" s="374">
        <f t="shared" si="19"/>
        <v>427382.55</v>
      </c>
      <c r="BH64" s="374">
        <f t="shared" si="29"/>
        <v>4229759.97</v>
      </c>
      <c r="BI64" s="374">
        <f t="shared" si="20"/>
        <v>148041.59895000001</v>
      </c>
      <c r="BJ64" s="374">
        <f t="shared" si="21"/>
        <v>220041.80805599995</v>
      </c>
      <c r="BK64" s="374">
        <f t="shared" si="30"/>
        <v>190339.19865000001</v>
      </c>
      <c r="BL64" s="374">
        <f t="shared" si="31"/>
        <v>126892.79909999999</v>
      </c>
      <c r="BM64" s="373">
        <f t="shared" si="57"/>
        <v>4915075.3747559991</v>
      </c>
      <c r="BN64" s="375"/>
      <c r="BO64" s="377"/>
      <c r="BP64" s="377"/>
      <c r="BQ64" s="377"/>
      <c r="BR64" s="377"/>
      <c r="BS64" s="377"/>
      <c r="BT64" s="377"/>
      <c r="BU64" s="377"/>
      <c r="BV64" s="377"/>
      <c r="BW64" s="377"/>
      <c r="BX64" s="377"/>
      <c r="BY64" s="377"/>
      <c r="BZ64" s="377"/>
      <c r="CA64" s="377"/>
      <c r="CB64" s="377"/>
      <c r="CC64" s="377"/>
      <c r="CD64" s="377"/>
      <c r="CE64" s="377"/>
      <c r="CF64" s="377"/>
      <c r="CG64" s="377"/>
      <c r="CH64" s="377"/>
      <c r="CI64" s="377"/>
    </row>
    <row r="65" spans="1:87" ht="15">
      <c r="A65" s="1529"/>
      <c r="B65" s="1521"/>
      <c r="C65" s="1520" t="s">
        <v>2</v>
      </c>
      <c r="D65" s="1507"/>
      <c r="E65" s="1507"/>
      <c r="F65" s="1507"/>
      <c r="G65" s="1522"/>
      <c r="H65" s="1522"/>
      <c r="I65" s="1507"/>
      <c r="J65" s="1508"/>
      <c r="K65" s="422">
        <f t="shared" ref="K65:AE65" si="60">SUM(K46:K64)</f>
        <v>3602047.3799999994</v>
      </c>
      <c r="L65" s="422">
        <f t="shared" si="60"/>
        <v>80</v>
      </c>
      <c r="M65" s="422">
        <f t="shared" si="60"/>
        <v>80</v>
      </c>
      <c r="N65" s="422">
        <f t="shared" si="60"/>
        <v>72</v>
      </c>
      <c r="O65" s="422">
        <f t="shared" si="60"/>
        <v>72</v>
      </c>
      <c r="P65" s="422">
        <f t="shared" si="60"/>
        <v>72</v>
      </c>
      <c r="Q65" s="422">
        <f t="shared" si="60"/>
        <v>376</v>
      </c>
      <c r="R65" s="422">
        <f t="shared" si="60"/>
        <v>33</v>
      </c>
      <c r="S65" s="422">
        <f t="shared" si="60"/>
        <v>27</v>
      </c>
      <c r="T65" s="422">
        <f t="shared" si="60"/>
        <v>45</v>
      </c>
      <c r="U65" s="422">
        <f t="shared" si="60"/>
        <v>20</v>
      </c>
      <c r="V65" s="422">
        <f t="shared" si="60"/>
        <v>0</v>
      </c>
      <c r="W65" s="422">
        <f t="shared" si="60"/>
        <v>125</v>
      </c>
      <c r="X65" s="422">
        <f t="shared" si="60"/>
        <v>501</v>
      </c>
      <c r="Y65" s="423">
        <f t="shared" si="60"/>
        <v>5896994.3400000008</v>
      </c>
      <c r="Z65" s="422">
        <f t="shared" si="60"/>
        <v>589699.43399999989</v>
      </c>
      <c r="AA65" s="422">
        <f t="shared" si="60"/>
        <v>225</v>
      </c>
      <c r="AB65" s="422">
        <f t="shared" si="60"/>
        <v>99545.625</v>
      </c>
      <c r="AC65" s="422">
        <f t="shared" si="60"/>
        <v>209</v>
      </c>
      <c r="AD65" s="422">
        <f t="shared" si="60"/>
        <v>46233.412500000006</v>
      </c>
      <c r="AE65" s="422">
        <f t="shared" si="60"/>
        <v>196600</v>
      </c>
      <c r="AF65" s="422">
        <v>8</v>
      </c>
      <c r="AG65" s="422">
        <f>SUM(AG46:AG64)</f>
        <v>28315.200000000004</v>
      </c>
      <c r="AH65" s="422">
        <v>1</v>
      </c>
      <c r="AI65" s="422">
        <f t="shared" ref="AI65:BN65" si="61">SUM(AI46:AI64)</f>
        <v>35394</v>
      </c>
      <c r="AJ65" s="422">
        <f t="shared" si="61"/>
        <v>501</v>
      </c>
      <c r="AK65" s="422">
        <f t="shared" si="61"/>
        <v>221654.92499999996</v>
      </c>
      <c r="AL65" s="422">
        <f t="shared" si="61"/>
        <v>501</v>
      </c>
      <c r="AM65" s="422">
        <f t="shared" si="61"/>
        <v>1769098.3020000004</v>
      </c>
      <c r="AN65" s="422">
        <f t="shared" si="61"/>
        <v>0</v>
      </c>
      <c r="AO65" s="422">
        <f t="shared" si="61"/>
        <v>655673.85000000009</v>
      </c>
      <c r="AP65" s="422">
        <f t="shared" si="61"/>
        <v>956168.91</v>
      </c>
      <c r="AQ65" s="422">
        <f t="shared" si="61"/>
        <v>0</v>
      </c>
      <c r="AR65" s="422">
        <f t="shared" si="61"/>
        <v>339457.21762499999</v>
      </c>
      <c r="AS65" s="422">
        <f t="shared" si="61"/>
        <v>0</v>
      </c>
      <c r="AT65" s="422">
        <f t="shared" si="61"/>
        <v>0</v>
      </c>
      <c r="AU65" s="422">
        <f t="shared" si="61"/>
        <v>0</v>
      </c>
      <c r="AV65" s="422">
        <f t="shared" si="61"/>
        <v>0</v>
      </c>
      <c r="AW65" s="422">
        <v>10</v>
      </c>
      <c r="AX65" s="422">
        <f t="shared" si="61"/>
        <v>506025</v>
      </c>
      <c r="AY65" s="422">
        <f t="shared" si="61"/>
        <v>0</v>
      </c>
      <c r="AZ65" s="422">
        <f t="shared" si="61"/>
        <v>5443865.8761250004</v>
      </c>
      <c r="BA65" s="1318">
        <f>SUM(BA46:BA64)</f>
        <v>11340860.216125002</v>
      </c>
      <c r="BB65" s="1318">
        <f t="shared" ref="BB65:BM65" si="62">SUM(BB46:BB64)</f>
        <v>1134086.0216125001</v>
      </c>
      <c r="BC65" s="1318">
        <f t="shared" si="62"/>
        <v>226817.20432250001</v>
      </c>
      <c r="BD65" s="1318">
        <f t="shared" si="62"/>
        <v>882950.69901900017</v>
      </c>
      <c r="BE65" s="1318">
        <f t="shared" si="62"/>
        <v>9097006.2911709994</v>
      </c>
      <c r="BF65" s="1318">
        <f t="shared" si="62"/>
        <v>136090322.59349999</v>
      </c>
      <c r="BG65" s="1318">
        <f t="shared" si="62"/>
        <v>11793988.680000002</v>
      </c>
      <c r="BH65" s="1318">
        <f t="shared" si="62"/>
        <v>147884311.2735</v>
      </c>
      <c r="BI65" s="1318">
        <f t="shared" si="62"/>
        <v>5175950.8945725001</v>
      </c>
      <c r="BJ65" s="1318">
        <f t="shared" si="62"/>
        <v>7686354.0990632987</v>
      </c>
      <c r="BK65" s="1318">
        <f t="shared" si="62"/>
        <v>6654794.0073075006</v>
      </c>
      <c r="BL65" s="1318">
        <f t="shared" si="62"/>
        <v>4436529.3382050013</v>
      </c>
      <c r="BM65" s="1318">
        <f t="shared" si="62"/>
        <v>171837939.61264834</v>
      </c>
      <c r="BN65" s="422">
        <f t="shared" si="61"/>
        <v>1</v>
      </c>
      <c r="BO65" s="408"/>
      <c r="BP65" s="355"/>
      <c r="BQ65" s="355"/>
      <c r="BR65" s="355"/>
      <c r="BS65" s="355"/>
      <c r="BT65" s="355"/>
      <c r="BU65" s="355"/>
      <c r="BV65" s="355"/>
      <c r="BW65" s="355"/>
      <c r="BX65" s="355"/>
      <c r="BY65" s="355"/>
      <c r="BZ65" s="355"/>
      <c r="CA65" s="355"/>
      <c r="CB65" s="355"/>
      <c r="CC65" s="355"/>
      <c r="CD65" s="355"/>
      <c r="CE65" s="355"/>
      <c r="CF65" s="355"/>
      <c r="CG65" s="355"/>
      <c r="CH65" s="355"/>
      <c r="CI65" s="356"/>
    </row>
    <row r="66" spans="1:87" ht="24" customHeight="1">
      <c r="A66" s="369">
        <f>A64+1</f>
        <v>51</v>
      </c>
      <c r="B66" s="416">
        <v>1</v>
      </c>
      <c r="C66" s="409" t="s">
        <v>1118</v>
      </c>
      <c r="D66" s="414" t="s">
        <v>1119</v>
      </c>
      <c r="E66" s="366" t="s">
        <v>998</v>
      </c>
      <c r="F66" s="508" t="s">
        <v>1005</v>
      </c>
      <c r="G66" s="366"/>
      <c r="H66" s="371" t="s">
        <v>1120</v>
      </c>
      <c r="I66" s="366">
        <v>17697</v>
      </c>
      <c r="J66" s="367">
        <v>11.4</v>
      </c>
      <c r="K66" s="367">
        <f t="shared" ref="K66:K82" si="63">I66*J66</f>
        <v>201745.80000000002</v>
      </c>
      <c r="L66" s="380"/>
      <c r="M66" s="380">
        <v>9</v>
      </c>
      <c r="N66" s="380"/>
      <c r="O66" s="380"/>
      <c r="P66" s="380"/>
      <c r="Q66" s="368">
        <f t="shared" ref="Q66:Q82" si="64">SUM(L66:P66)</f>
        <v>9</v>
      </c>
      <c r="R66" s="380"/>
      <c r="S66" s="380"/>
      <c r="T66" s="380"/>
      <c r="U66" s="380"/>
      <c r="V66" s="380"/>
      <c r="W66" s="381">
        <f t="shared" ref="W66:W82" si="65">SUM(R66:V66)</f>
        <v>0</v>
      </c>
      <c r="X66" s="424">
        <f t="shared" ref="X66:X82" si="66">Q66+W66</f>
        <v>9</v>
      </c>
      <c r="Y66" s="400">
        <f t="shared" ref="Y66:Y82" si="67">K66/16*X66</f>
        <v>113482.01250000001</v>
      </c>
      <c r="Z66" s="398">
        <f t="shared" ref="Z66:Z82" si="68">Y66*10%</f>
        <v>11348.201250000002</v>
      </c>
      <c r="AA66" s="366"/>
      <c r="AB66" s="367">
        <f t="shared" ref="AB66:AB82" si="69">I66/16*AA66*40%</f>
        <v>0</v>
      </c>
      <c r="AC66" s="366"/>
      <c r="AD66" s="367">
        <f t="shared" ref="AD66:AD82" si="70">I66/16*AC66*40%*50%</f>
        <v>0</v>
      </c>
      <c r="AE66" s="367"/>
      <c r="AF66" s="366"/>
      <c r="AG66" s="367"/>
      <c r="AH66" s="366"/>
      <c r="AI66" s="367"/>
      <c r="AJ66" s="366">
        <f t="shared" ref="AJ66:AJ82" si="71">X66</f>
        <v>9</v>
      </c>
      <c r="AK66" s="367">
        <f t="shared" ref="AK66:AK82" si="72">I66/16*AJ66*40%</f>
        <v>3981.8250000000003</v>
      </c>
      <c r="AL66" s="366">
        <f t="shared" ref="AL66:AL82" si="73">X66</f>
        <v>9</v>
      </c>
      <c r="AM66" s="367">
        <f t="shared" ref="AM66:AM82" si="74">K66/16*AL66*30%</f>
        <v>34044.603750000002</v>
      </c>
      <c r="AN66" s="366" t="str">
        <f t="shared" ref="AN66:AN82" si="75">F66</f>
        <v>Педагог-зерттеуші</v>
      </c>
      <c r="AO66" s="367" t="str">
        <f t="shared" ref="AO66:AO78" si="76">IF(AN66="Педагог-зерттеуші", "0", IF(AN66="Педагог-шебер",K66/16*X66*50%, IF(AN66="Педагог-сарапшы", "0", IF(AN66="Педагог-модератор", "0", "0"))))</f>
        <v>0</v>
      </c>
      <c r="AP66" s="367">
        <f t="shared" ref="AP66:AP82" si="77">IF(AN66="Педагог-шебер", "0", IF(AN66="Педагог-зерттеуші",K66/16*X66*40%, IF(AN66="Педагог-сарапшы", "0", IF(AN66="Педагог-модератор", "0", "0"))))</f>
        <v>45392.805000000008</v>
      </c>
      <c r="AQ66" s="367" t="str">
        <f t="shared" ref="AQ66:AQ82" si="78">IF(AN66="Педагог-шебер", "0", IF(AN66="Педагог-сарапшы",K66/16*X66*35%, IF(AN66="Педагог-зерттеуші", "0", IF(AN66="Педагог-модератор", "0", "0"))))</f>
        <v>0</v>
      </c>
      <c r="AR66" s="367" t="str">
        <f t="shared" ref="AR66:AR82" si="79">IF(AN66="Педагог-шебер", "0", IF(AN66="Педагог-модератор",K66/16*X66*30%, IF(AN66="Педагог-зерттеуші", "0", IF(AN66="Педагог-сарапшы", "0", "0"))))</f>
        <v>0</v>
      </c>
      <c r="AS66" s="366"/>
      <c r="AT66" s="367"/>
      <c r="AU66" s="366"/>
      <c r="AV66" s="367"/>
      <c r="AW66" s="371">
        <f>G66</f>
        <v>0</v>
      </c>
      <c r="AX66" s="367"/>
      <c r="AY66" s="367"/>
      <c r="AZ66" s="367">
        <f t="shared" ref="AZ66:AZ82" si="80">Z66+AB66+AD66+AE66+AG66+AI66+AK66+AM66+AO66+AP66+AQ66++AR66+AT66+AV66+AX66+AY66</f>
        <v>94767.435000000012</v>
      </c>
      <c r="BA66" s="373">
        <f t="shared" si="17"/>
        <v>208249.44750000001</v>
      </c>
      <c r="BB66" s="374">
        <f t="shared" si="25"/>
        <v>20824.944750000002</v>
      </c>
      <c r="BC66" s="374">
        <f t="shared" si="26"/>
        <v>4164.9889499999999</v>
      </c>
      <c r="BD66" s="374">
        <f t="shared" si="18"/>
        <v>12270.951380000002</v>
      </c>
      <c r="BE66" s="374">
        <f t="shared" si="27"/>
        <v>170988.56242</v>
      </c>
      <c r="BF66" s="374">
        <f t="shared" si="28"/>
        <v>2498993.37</v>
      </c>
      <c r="BG66" s="374">
        <f t="shared" si="19"/>
        <v>226964.02500000002</v>
      </c>
      <c r="BH66" s="374">
        <f t="shared" si="29"/>
        <v>2725957.395</v>
      </c>
      <c r="BI66" s="374">
        <f t="shared" si="20"/>
        <v>95408.508825000012</v>
      </c>
      <c r="BJ66" s="374">
        <f t="shared" si="21"/>
        <v>141703.91391599999</v>
      </c>
      <c r="BK66" s="374">
        <f t="shared" si="30"/>
        <v>122668.082775</v>
      </c>
      <c r="BL66" s="374">
        <f t="shared" si="31"/>
        <v>81778.721850000002</v>
      </c>
      <c r="BM66" s="373">
        <f t="shared" ref="BM66:BM82" si="81">BH66+BJ66+BK66+BL66+BI66</f>
        <v>3167516.622366</v>
      </c>
      <c r="BN66" s="375"/>
      <c r="BO66" s="377"/>
      <c r="BP66" s="377"/>
      <c r="BQ66" s="377"/>
      <c r="BR66" s="377"/>
      <c r="BS66" s="377"/>
      <c r="BT66" s="377"/>
      <c r="BU66" s="377"/>
      <c r="BV66" s="377"/>
      <c r="BW66" s="377"/>
      <c r="BX66" s="377"/>
      <c r="BY66" s="377"/>
      <c r="BZ66" s="377"/>
      <c r="CA66" s="377"/>
      <c r="CB66" s="377"/>
      <c r="CC66" s="377"/>
      <c r="CD66" s="377"/>
      <c r="CE66" s="377"/>
      <c r="CF66" s="377"/>
      <c r="CG66" s="377"/>
      <c r="CH66" s="377"/>
      <c r="CI66" s="377"/>
    </row>
    <row r="67" spans="1:87" ht="30">
      <c r="A67" s="369">
        <f t="shared" ref="A67:B82" si="82">A66+1</f>
        <v>52</v>
      </c>
      <c r="B67" s="416">
        <f t="shared" si="82"/>
        <v>2</v>
      </c>
      <c r="C67" s="425" t="s">
        <v>1121</v>
      </c>
      <c r="D67" s="695" t="s">
        <v>1122</v>
      </c>
      <c r="E67" s="392" t="s">
        <v>998</v>
      </c>
      <c r="F67" s="508" t="s">
        <v>1005</v>
      </c>
      <c r="G67" s="366" t="s">
        <v>1123</v>
      </c>
      <c r="H67" s="371" t="s">
        <v>1421</v>
      </c>
      <c r="I67" s="366">
        <v>17697</v>
      </c>
      <c r="J67" s="367">
        <v>10.82</v>
      </c>
      <c r="K67" s="367">
        <f t="shared" si="63"/>
        <v>191481.54</v>
      </c>
      <c r="L67" s="380"/>
      <c r="M67" s="380"/>
      <c r="N67" s="380">
        <v>15</v>
      </c>
      <c r="O67" s="380">
        <v>12</v>
      </c>
      <c r="P67" s="380">
        <v>6</v>
      </c>
      <c r="Q67" s="368">
        <f t="shared" si="64"/>
        <v>33</v>
      </c>
      <c r="R67" s="380"/>
      <c r="S67" s="380"/>
      <c r="T67" s="380"/>
      <c r="U67" s="380"/>
      <c r="V67" s="380"/>
      <c r="W67" s="381">
        <f t="shared" si="65"/>
        <v>0</v>
      </c>
      <c r="X67" s="424">
        <f t="shared" si="66"/>
        <v>33</v>
      </c>
      <c r="Y67" s="400">
        <f t="shared" si="67"/>
        <v>394930.67625000002</v>
      </c>
      <c r="Z67" s="398">
        <f t="shared" si="68"/>
        <v>39493.067625000003</v>
      </c>
      <c r="AA67" s="366"/>
      <c r="AB67" s="367">
        <f t="shared" si="69"/>
        <v>0</v>
      </c>
      <c r="AC67" s="366"/>
      <c r="AD67" s="367">
        <f t="shared" si="70"/>
        <v>0</v>
      </c>
      <c r="AE67" s="366">
        <v>196600</v>
      </c>
      <c r="AF67" s="366" t="s">
        <v>1124</v>
      </c>
      <c r="AG67" s="367">
        <f>17697*20%</f>
        <v>3539.4</v>
      </c>
      <c r="AH67" s="366"/>
      <c r="AI67" s="367"/>
      <c r="AJ67" s="366">
        <f t="shared" si="71"/>
        <v>33</v>
      </c>
      <c r="AK67" s="367">
        <f t="shared" si="72"/>
        <v>14600.025000000001</v>
      </c>
      <c r="AL67" s="366">
        <f t="shared" si="73"/>
        <v>33</v>
      </c>
      <c r="AM67" s="367">
        <f t="shared" si="74"/>
        <v>118479.202875</v>
      </c>
      <c r="AN67" s="366" t="str">
        <f t="shared" si="75"/>
        <v>Педагог-зерттеуші</v>
      </c>
      <c r="AO67" s="367" t="str">
        <f t="shared" si="76"/>
        <v>0</v>
      </c>
      <c r="AP67" s="367">
        <f t="shared" si="77"/>
        <v>157972.27050000001</v>
      </c>
      <c r="AQ67" s="367" t="str">
        <f t="shared" si="78"/>
        <v>0</v>
      </c>
      <c r="AR67" s="367" t="str">
        <f t="shared" si="79"/>
        <v>0</v>
      </c>
      <c r="AS67" s="366"/>
      <c r="AT67" s="367"/>
      <c r="AU67" s="372"/>
      <c r="AV67" s="367"/>
      <c r="AW67" s="371" t="str">
        <f>G67</f>
        <v>Магистр-информатики</v>
      </c>
      <c r="AX67" s="372">
        <f>10*4325</f>
        <v>43250</v>
      </c>
      <c r="AY67" s="367"/>
      <c r="AZ67" s="367">
        <f t="shared" si="80"/>
        <v>573933.96600000001</v>
      </c>
      <c r="BA67" s="373">
        <f t="shared" si="17"/>
        <v>968864.64225000003</v>
      </c>
      <c r="BB67" s="374">
        <f t="shared" si="25"/>
        <v>96886.464225000003</v>
      </c>
      <c r="BC67" s="374">
        <f t="shared" si="26"/>
        <v>19377.292845</v>
      </c>
      <c r="BD67" s="374">
        <f t="shared" si="18"/>
        <v>79205.088518000004</v>
      </c>
      <c r="BE67" s="374">
        <f t="shared" si="27"/>
        <v>773395.79666200001</v>
      </c>
      <c r="BF67" s="374">
        <f t="shared" si="28"/>
        <v>11626375.707</v>
      </c>
      <c r="BG67" s="374">
        <f t="shared" si="19"/>
        <v>789861.35250000004</v>
      </c>
      <c r="BH67" s="374">
        <f t="shared" si="29"/>
        <v>12416237.059500001</v>
      </c>
      <c r="BI67" s="374">
        <f t="shared" si="20"/>
        <v>434568.29708250007</v>
      </c>
      <c r="BJ67" s="374">
        <f t="shared" si="21"/>
        <v>644898.77465759998</v>
      </c>
      <c r="BK67" s="374">
        <f t="shared" si="30"/>
        <v>558730.66767750017</v>
      </c>
      <c r="BL67" s="374">
        <f t="shared" si="31"/>
        <v>372487.11178500002</v>
      </c>
      <c r="BM67" s="373">
        <f t="shared" si="81"/>
        <v>14426921.910702601</v>
      </c>
      <c r="BN67" s="375">
        <v>0.5</v>
      </c>
      <c r="BO67" s="377"/>
      <c r="BP67" s="377"/>
      <c r="BQ67" s="377"/>
      <c r="BR67" s="377"/>
      <c r="BS67" s="377"/>
      <c r="BT67" s="377"/>
      <c r="BU67" s="377"/>
      <c r="BV67" s="377"/>
      <c r="BW67" s="377"/>
      <c r="BX67" s="377"/>
      <c r="BY67" s="377"/>
      <c r="BZ67" s="377"/>
      <c r="CA67" s="377"/>
      <c r="CB67" s="377"/>
      <c r="CC67" s="377"/>
      <c r="CD67" s="377"/>
      <c r="CE67" s="377"/>
      <c r="CF67" s="377"/>
      <c r="CG67" s="377"/>
      <c r="CH67" s="377"/>
      <c r="CI67" s="377"/>
    </row>
    <row r="68" spans="1:87" ht="60">
      <c r="A68" s="369">
        <f t="shared" si="82"/>
        <v>53</v>
      </c>
      <c r="B68" s="416">
        <f t="shared" si="82"/>
        <v>3</v>
      </c>
      <c r="C68" s="378" t="s">
        <v>116</v>
      </c>
      <c r="D68" s="406" t="s">
        <v>1125</v>
      </c>
      <c r="E68" s="392" t="s">
        <v>998</v>
      </c>
      <c r="F68" s="508" t="s">
        <v>1126</v>
      </c>
      <c r="G68" s="366" t="s">
        <v>229</v>
      </c>
      <c r="H68" s="371" t="s">
        <v>1127</v>
      </c>
      <c r="I68" s="366">
        <v>17697</v>
      </c>
      <c r="J68" s="367">
        <v>11.4</v>
      </c>
      <c r="K68" s="367">
        <f t="shared" si="63"/>
        <v>201745.80000000002</v>
      </c>
      <c r="L68" s="380"/>
      <c r="M68" s="380"/>
      <c r="N68" s="380"/>
      <c r="O68" s="380">
        <v>2</v>
      </c>
      <c r="P68" s="380">
        <v>8</v>
      </c>
      <c r="Q68" s="368">
        <f t="shared" si="64"/>
        <v>10</v>
      </c>
      <c r="R68" s="380"/>
      <c r="S68" s="380"/>
      <c r="T68" s="380"/>
      <c r="U68" s="380"/>
      <c r="V68" s="380"/>
      <c r="W68" s="381">
        <f t="shared" si="65"/>
        <v>0</v>
      </c>
      <c r="X68" s="424">
        <f t="shared" si="66"/>
        <v>10</v>
      </c>
      <c r="Y68" s="400">
        <f t="shared" si="67"/>
        <v>126091.12500000001</v>
      </c>
      <c r="Z68" s="398"/>
      <c r="AA68" s="366"/>
      <c r="AB68" s="367">
        <f t="shared" si="69"/>
        <v>0</v>
      </c>
      <c r="AC68" s="366"/>
      <c r="AD68" s="367">
        <f t="shared" si="70"/>
        <v>0</v>
      </c>
      <c r="AE68" s="372"/>
      <c r="AF68" s="366"/>
      <c r="AG68" s="367"/>
      <c r="AH68" s="366"/>
      <c r="AI68" s="367"/>
      <c r="AJ68" s="366">
        <f t="shared" si="71"/>
        <v>10</v>
      </c>
      <c r="AK68" s="367">
        <f t="shared" si="72"/>
        <v>4424.25</v>
      </c>
      <c r="AL68" s="366">
        <f t="shared" si="73"/>
        <v>10</v>
      </c>
      <c r="AM68" s="367">
        <f t="shared" si="74"/>
        <v>37827.337500000001</v>
      </c>
      <c r="AN68" s="366" t="str">
        <f t="shared" si="75"/>
        <v>педагог-шебер</v>
      </c>
      <c r="AO68" s="367">
        <f t="shared" si="76"/>
        <v>63045.562500000007</v>
      </c>
      <c r="AP68" s="367" t="str">
        <f t="shared" si="77"/>
        <v>0</v>
      </c>
      <c r="AQ68" s="367" t="str">
        <f t="shared" si="78"/>
        <v>0</v>
      </c>
      <c r="AR68" s="367" t="str">
        <f t="shared" si="79"/>
        <v>0</v>
      </c>
      <c r="AS68" s="366"/>
      <c r="AT68" s="367"/>
      <c r="AU68" s="372"/>
      <c r="AV68" s="367"/>
      <c r="AW68" s="371" t="str">
        <f>G68</f>
        <v>Магистр-информационные системы</v>
      </c>
      <c r="AX68" s="372">
        <f>10*4325</f>
        <v>43250</v>
      </c>
      <c r="AY68" s="367"/>
      <c r="AZ68" s="367">
        <f t="shared" si="80"/>
        <v>148547.15000000002</v>
      </c>
      <c r="BA68" s="373">
        <f t="shared" si="17"/>
        <v>274638.27500000002</v>
      </c>
      <c r="BB68" s="374">
        <f t="shared" si="25"/>
        <v>27463.827500000003</v>
      </c>
      <c r="BC68" s="374">
        <f t="shared" si="26"/>
        <v>5492.7655000000004</v>
      </c>
      <c r="BD68" s="374">
        <f t="shared" si="18"/>
        <v>18113.1682</v>
      </c>
      <c r="BE68" s="374">
        <f t="shared" si="27"/>
        <v>223568.51380000002</v>
      </c>
      <c r="BF68" s="374">
        <f t="shared" si="28"/>
        <v>3295659.3000000003</v>
      </c>
      <c r="BG68" s="374">
        <f t="shared" si="19"/>
        <v>252182.25000000003</v>
      </c>
      <c r="BH68" s="374">
        <f t="shared" si="29"/>
        <v>3547841.5500000003</v>
      </c>
      <c r="BI68" s="374">
        <f t="shared" si="20"/>
        <v>124174.45425000002</v>
      </c>
      <c r="BJ68" s="374">
        <f t="shared" si="21"/>
        <v>184332.99324000001</v>
      </c>
      <c r="BK68" s="374">
        <f t="shared" si="30"/>
        <v>159652.86975000004</v>
      </c>
      <c r="BL68" s="374">
        <f t="shared" si="31"/>
        <v>106435.24650000001</v>
      </c>
      <c r="BM68" s="373">
        <f t="shared" si="81"/>
        <v>4122437.1137400004</v>
      </c>
      <c r="BN68" s="375">
        <v>1</v>
      </c>
      <c r="BO68" s="377"/>
      <c r="BP68" s="377"/>
      <c r="BQ68" s="377"/>
      <c r="BR68" s="377"/>
      <c r="BS68" s="377"/>
      <c r="BT68" s="377"/>
      <c r="BU68" s="377"/>
      <c r="BV68" s="377"/>
      <c r="BW68" s="377"/>
      <c r="BX68" s="377"/>
      <c r="BY68" s="377"/>
      <c r="BZ68" s="377"/>
      <c r="CA68" s="377"/>
      <c r="CB68" s="377"/>
      <c r="CC68" s="377"/>
      <c r="CD68" s="377"/>
      <c r="CE68" s="377"/>
      <c r="CF68" s="377"/>
      <c r="CG68" s="377"/>
      <c r="CH68" s="377"/>
      <c r="CI68" s="377"/>
    </row>
    <row r="69" spans="1:87" ht="42" customHeight="1">
      <c r="A69" s="369">
        <f t="shared" si="82"/>
        <v>54</v>
      </c>
      <c r="B69" s="416">
        <f t="shared" si="82"/>
        <v>4</v>
      </c>
      <c r="C69" s="378" t="s">
        <v>1128</v>
      </c>
      <c r="D69" s="379" t="s">
        <v>1129</v>
      </c>
      <c r="E69" s="392" t="s">
        <v>998</v>
      </c>
      <c r="F69" s="508" t="s">
        <v>999</v>
      </c>
      <c r="G69" s="366" t="s">
        <v>1123</v>
      </c>
      <c r="H69" s="371" t="s">
        <v>1130</v>
      </c>
      <c r="I69" s="366">
        <v>17697</v>
      </c>
      <c r="J69" s="367">
        <v>11.4</v>
      </c>
      <c r="K69" s="367">
        <f t="shared" si="63"/>
        <v>201745.80000000002</v>
      </c>
      <c r="L69" s="380"/>
      <c r="M69" s="380">
        <v>9</v>
      </c>
      <c r="N69" s="380">
        <v>12</v>
      </c>
      <c r="O69" s="380">
        <v>6</v>
      </c>
      <c r="P69" s="380"/>
      <c r="Q69" s="368">
        <f t="shared" si="64"/>
        <v>27</v>
      </c>
      <c r="R69" s="380"/>
      <c r="S69" s="380"/>
      <c r="T69" s="380"/>
      <c r="U69" s="380"/>
      <c r="V69" s="380"/>
      <c r="W69" s="381">
        <f t="shared" si="65"/>
        <v>0</v>
      </c>
      <c r="X69" s="424">
        <f t="shared" si="66"/>
        <v>27</v>
      </c>
      <c r="Y69" s="400">
        <f t="shared" si="67"/>
        <v>340446.03750000003</v>
      </c>
      <c r="Z69" s="398">
        <f t="shared" si="68"/>
        <v>34044.603750000002</v>
      </c>
      <c r="AA69" s="366"/>
      <c r="AB69" s="367">
        <f t="shared" si="69"/>
        <v>0</v>
      </c>
      <c r="AC69" s="366"/>
      <c r="AD69" s="367">
        <f t="shared" si="70"/>
        <v>0</v>
      </c>
      <c r="AE69" s="366"/>
      <c r="AF69" s="366" t="s">
        <v>1131</v>
      </c>
      <c r="AG69" s="367">
        <f>17697*20%</f>
        <v>3539.4</v>
      </c>
      <c r="AH69" s="366"/>
      <c r="AI69" s="367"/>
      <c r="AJ69" s="366">
        <f t="shared" si="71"/>
        <v>27</v>
      </c>
      <c r="AK69" s="367">
        <f t="shared" si="72"/>
        <v>11945.475</v>
      </c>
      <c r="AL69" s="366">
        <f t="shared" si="73"/>
        <v>27</v>
      </c>
      <c r="AM69" s="367">
        <f t="shared" si="74"/>
        <v>102133.81125000001</v>
      </c>
      <c r="AN69" s="366" t="str">
        <f t="shared" si="75"/>
        <v>Педагог-шебер</v>
      </c>
      <c r="AO69" s="367">
        <f t="shared" si="76"/>
        <v>170223.01875000002</v>
      </c>
      <c r="AP69" s="367" t="str">
        <f t="shared" si="77"/>
        <v>0</v>
      </c>
      <c r="AQ69" s="367" t="str">
        <f t="shared" si="78"/>
        <v>0</v>
      </c>
      <c r="AR69" s="367" t="str">
        <f t="shared" si="79"/>
        <v>0</v>
      </c>
      <c r="AS69" s="366"/>
      <c r="AT69" s="367"/>
      <c r="AU69" s="366"/>
      <c r="AV69" s="367"/>
      <c r="AW69" s="371" t="str">
        <f>G69</f>
        <v>Магистр-информатики</v>
      </c>
      <c r="AX69" s="372">
        <f>10*4325</f>
        <v>43250</v>
      </c>
      <c r="AY69" s="367">
        <v>17697</v>
      </c>
      <c r="AZ69" s="367">
        <f t="shared" si="80"/>
        <v>382833.30875000003</v>
      </c>
      <c r="BA69" s="373">
        <f t="shared" si="17"/>
        <v>723279.34625000006</v>
      </c>
      <c r="BB69" s="374">
        <f t="shared" si="25"/>
        <v>72327.934625000009</v>
      </c>
      <c r="BC69" s="374">
        <f t="shared" si="26"/>
        <v>14465.586925000001</v>
      </c>
      <c r="BD69" s="374">
        <f t="shared" si="18"/>
        <v>57593.582470000016</v>
      </c>
      <c r="BE69" s="374">
        <f t="shared" si="27"/>
        <v>578892.24223000009</v>
      </c>
      <c r="BF69" s="374">
        <f t="shared" si="28"/>
        <v>8679352.1550000012</v>
      </c>
      <c r="BG69" s="374">
        <f t="shared" si="19"/>
        <v>680892.07500000007</v>
      </c>
      <c r="BH69" s="374">
        <f t="shared" si="29"/>
        <v>9360244.2300000004</v>
      </c>
      <c r="BI69" s="374">
        <f t="shared" si="20"/>
        <v>327608.54805000004</v>
      </c>
      <c r="BJ69" s="374">
        <f t="shared" si="21"/>
        <v>486358.61367899989</v>
      </c>
      <c r="BK69" s="374">
        <f t="shared" si="30"/>
        <v>421210.99035000004</v>
      </c>
      <c r="BL69" s="374">
        <f t="shared" si="31"/>
        <v>280807.32689999999</v>
      </c>
      <c r="BM69" s="373">
        <f t="shared" si="81"/>
        <v>10876229.708978999</v>
      </c>
      <c r="BN69" s="375"/>
      <c r="BO69" s="377"/>
      <c r="BP69" s="377"/>
      <c r="BQ69" s="377"/>
      <c r="BR69" s="377"/>
      <c r="BS69" s="377"/>
      <c r="BT69" s="377"/>
      <c r="BU69" s="377"/>
      <c r="BV69" s="377"/>
      <c r="BW69" s="377"/>
      <c r="BX69" s="377"/>
      <c r="BY69" s="377"/>
      <c r="BZ69" s="377"/>
      <c r="CA69" s="377"/>
      <c r="CB69" s="377"/>
      <c r="CC69" s="377"/>
      <c r="CD69" s="377"/>
      <c r="CE69" s="377"/>
      <c r="CF69" s="377"/>
      <c r="CG69" s="377"/>
      <c r="CH69" s="377"/>
      <c r="CI69" s="377"/>
    </row>
    <row r="70" spans="1:87" ht="45.75" customHeight="1">
      <c r="A70" s="369">
        <f t="shared" si="82"/>
        <v>55</v>
      </c>
      <c r="B70" s="416">
        <f t="shared" si="82"/>
        <v>5</v>
      </c>
      <c r="C70" s="418" t="s">
        <v>1132</v>
      </c>
      <c r="D70" s="421" t="s">
        <v>1133</v>
      </c>
      <c r="E70" s="366" t="s">
        <v>998</v>
      </c>
      <c r="F70" s="508"/>
      <c r="G70" s="366" t="s">
        <v>1046</v>
      </c>
      <c r="H70" s="371" t="s">
        <v>1422</v>
      </c>
      <c r="I70" s="366">
        <v>17697</v>
      </c>
      <c r="J70" s="367">
        <v>9.84</v>
      </c>
      <c r="K70" s="367">
        <f t="shared" si="63"/>
        <v>174138.48</v>
      </c>
      <c r="L70" s="380">
        <v>15</v>
      </c>
      <c r="M70" s="380">
        <v>6</v>
      </c>
      <c r="N70" s="380"/>
      <c r="O70" s="380"/>
      <c r="P70" s="380"/>
      <c r="Q70" s="368">
        <f t="shared" si="64"/>
        <v>21</v>
      </c>
      <c r="R70" s="380"/>
      <c r="S70" s="380"/>
      <c r="T70" s="380"/>
      <c r="U70" s="380"/>
      <c r="V70" s="380"/>
      <c r="W70" s="381">
        <f t="shared" si="65"/>
        <v>0</v>
      </c>
      <c r="X70" s="424">
        <f t="shared" si="66"/>
        <v>21</v>
      </c>
      <c r="Y70" s="400">
        <f t="shared" si="67"/>
        <v>228556.755</v>
      </c>
      <c r="Z70" s="398">
        <f t="shared" si="68"/>
        <v>22855.675500000001</v>
      </c>
      <c r="AA70" s="366"/>
      <c r="AB70" s="367">
        <f t="shared" si="69"/>
        <v>0</v>
      </c>
      <c r="AC70" s="366"/>
      <c r="AD70" s="367">
        <f t="shared" si="70"/>
        <v>0</v>
      </c>
      <c r="AE70" s="366"/>
      <c r="AF70" s="366"/>
      <c r="AG70" s="367"/>
      <c r="AH70" s="366"/>
      <c r="AI70" s="367"/>
      <c r="AJ70" s="366">
        <f t="shared" si="71"/>
        <v>21</v>
      </c>
      <c r="AK70" s="367">
        <f t="shared" si="72"/>
        <v>9290.9250000000011</v>
      </c>
      <c r="AL70" s="366">
        <f t="shared" si="73"/>
        <v>21</v>
      </c>
      <c r="AM70" s="367">
        <f t="shared" si="74"/>
        <v>68567.026499999993</v>
      </c>
      <c r="AN70" s="366">
        <f t="shared" si="75"/>
        <v>0</v>
      </c>
      <c r="AO70" s="367" t="str">
        <f t="shared" si="76"/>
        <v>0</v>
      </c>
      <c r="AP70" s="367" t="str">
        <f t="shared" si="77"/>
        <v>0</v>
      </c>
      <c r="AQ70" s="367" t="str">
        <f t="shared" si="78"/>
        <v>0</v>
      </c>
      <c r="AR70" s="367" t="str">
        <f t="shared" si="79"/>
        <v>0</v>
      </c>
      <c r="AS70" s="366"/>
      <c r="AT70" s="367"/>
      <c r="AU70" s="366"/>
      <c r="AV70" s="367"/>
      <c r="AW70" s="371" t="str">
        <f t="shared" ref="AW70:AW82" si="83">G70</f>
        <v>Магистр педагогических наук</v>
      </c>
      <c r="AX70" s="372">
        <f>10*4325</f>
        <v>43250</v>
      </c>
      <c r="AY70" s="367"/>
      <c r="AZ70" s="367">
        <f t="shared" si="80"/>
        <v>143963.62699999998</v>
      </c>
      <c r="BA70" s="373">
        <f t="shared" si="17"/>
        <v>372520.38199999998</v>
      </c>
      <c r="BB70" s="374">
        <f t="shared" si="25"/>
        <v>37252.038200000003</v>
      </c>
      <c r="BC70" s="374">
        <f t="shared" si="26"/>
        <v>7450.4076399999994</v>
      </c>
      <c r="BD70" s="374">
        <f t="shared" si="18"/>
        <v>26726.793615999999</v>
      </c>
      <c r="BE70" s="374">
        <f t="shared" si="27"/>
        <v>301091.142544</v>
      </c>
      <c r="BF70" s="374">
        <f t="shared" si="28"/>
        <v>4470244.5839999998</v>
      </c>
      <c r="BG70" s="374">
        <f t="shared" si="19"/>
        <v>457113.51</v>
      </c>
      <c r="BH70" s="374">
        <f t="shared" si="29"/>
        <v>4927358.0939999996</v>
      </c>
      <c r="BI70" s="374">
        <f t="shared" si="20"/>
        <v>172457.53328999999</v>
      </c>
      <c r="BJ70" s="374">
        <f t="shared" si="21"/>
        <v>256242.79899119993</v>
      </c>
      <c r="BK70" s="374">
        <f t="shared" si="30"/>
        <v>221731.11423000001</v>
      </c>
      <c r="BL70" s="374">
        <f t="shared" si="31"/>
        <v>147820.74281999998</v>
      </c>
      <c r="BM70" s="373">
        <f t="shared" si="81"/>
        <v>5725610.2833311995</v>
      </c>
      <c r="BN70" s="375"/>
      <c r="BO70" s="377"/>
      <c r="BP70" s="377"/>
      <c r="BQ70" s="377"/>
      <c r="BR70" s="377"/>
      <c r="BS70" s="377"/>
      <c r="BT70" s="377"/>
      <c r="BU70" s="377"/>
      <c r="BV70" s="377"/>
      <c r="BW70" s="377"/>
      <c r="BX70" s="377"/>
      <c r="BY70" s="377"/>
      <c r="BZ70" s="377"/>
      <c r="CA70" s="377"/>
      <c r="CB70" s="377"/>
      <c r="CC70" s="377"/>
      <c r="CD70" s="377"/>
      <c r="CE70" s="377"/>
      <c r="CF70" s="377"/>
      <c r="CG70" s="377"/>
      <c r="CH70" s="377"/>
      <c r="CI70" s="377"/>
    </row>
    <row r="71" spans="1:87" ht="42.75" customHeight="1">
      <c r="A71" s="369">
        <f t="shared" si="82"/>
        <v>56</v>
      </c>
      <c r="B71" s="416">
        <f t="shared" si="82"/>
        <v>6</v>
      </c>
      <c r="C71" s="409" t="s">
        <v>1135</v>
      </c>
      <c r="D71" s="412" t="s">
        <v>1136</v>
      </c>
      <c r="E71" s="366" t="s">
        <v>998</v>
      </c>
      <c r="F71" s="508" t="s">
        <v>1005</v>
      </c>
      <c r="G71" s="366" t="s">
        <v>1123</v>
      </c>
      <c r="H71" s="371" t="s">
        <v>1423</v>
      </c>
      <c r="I71" s="366">
        <v>17697</v>
      </c>
      <c r="J71" s="367">
        <v>10.82</v>
      </c>
      <c r="K71" s="367">
        <f t="shared" si="63"/>
        <v>191481.54</v>
      </c>
      <c r="L71" s="380"/>
      <c r="M71" s="380">
        <v>15</v>
      </c>
      <c r="N71" s="426"/>
      <c r="O71" s="380"/>
      <c r="P71" s="380">
        <v>10</v>
      </c>
      <c r="Q71" s="368">
        <f t="shared" si="64"/>
        <v>25</v>
      </c>
      <c r="R71" s="380"/>
      <c r="S71" s="380"/>
      <c r="T71" s="380"/>
      <c r="U71" s="380"/>
      <c r="V71" s="380"/>
      <c r="W71" s="381">
        <f t="shared" si="65"/>
        <v>0</v>
      </c>
      <c r="X71" s="424">
        <f t="shared" si="66"/>
        <v>25</v>
      </c>
      <c r="Y71" s="400">
        <f t="shared" si="67"/>
        <v>299189.90625</v>
      </c>
      <c r="Z71" s="398">
        <f t="shared" si="68"/>
        <v>29918.990625000002</v>
      </c>
      <c r="AA71" s="366"/>
      <c r="AB71" s="367">
        <f t="shared" si="69"/>
        <v>0</v>
      </c>
      <c r="AC71" s="366"/>
      <c r="AD71" s="367">
        <f t="shared" si="70"/>
        <v>0</v>
      </c>
      <c r="AE71" s="420"/>
      <c r="AF71" s="366" t="s">
        <v>1138</v>
      </c>
      <c r="AG71" s="367">
        <f>17697*20%</f>
        <v>3539.4</v>
      </c>
      <c r="AH71" s="366" t="s">
        <v>1139</v>
      </c>
      <c r="AI71" s="367">
        <f>I71*200%</f>
        <v>35394</v>
      </c>
      <c r="AJ71" s="366">
        <f t="shared" si="71"/>
        <v>25</v>
      </c>
      <c r="AK71" s="367">
        <f t="shared" si="72"/>
        <v>11060.625</v>
      </c>
      <c r="AL71" s="366">
        <f t="shared" si="73"/>
        <v>25</v>
      </c>
      <c r="AM71" s="367">
        <f t="shared" si="74"/>
        <v>89756.971875000003</v>
      </c>
      <c r="AN71" s="366" t="str">
        <f t="shared" si="75"/>
        <v>Педагог-зерттеуші</v>
      </c>
      <c r="AO71" s="367" t="str">
        <f t="shared" si="76"/>
        <v>0</v>
      </c>
      <c r="AP71" s="367">
        <f t="shared" si="77"/>
        <v>119675.96250000001</v>
      </c>
      <c r="AQ71" s="367" t="str">
        <f t="shared" si="78"/>
        <v>0</v>
      </c>
      <c r="AR71" s="367" t="str">
        <f t="shared" si="79"/>
        <v>0</v>
      </c>
      <c r="AS71" s="366"/>
      <c r="AT71" s="367"/>
      <c r="AU71" s="420"/>
      <c r="AV71" s="367"/>
      <c r="AW71" s="371" t="str">
        <f t="shared" si="83"/>
        <v>Магистр-информатики</v>
      </c>
      <c r="AX71" s="372">
        <f>10*4325</f>
        <v>43250</v>
      </c>
      <c r="AY71" s="367"/>
      <c r="AZ71" s="367">
        <f t="shared" si="80"/>
        <v>332595.95</v>
      </c>
      <c r="BA71" s="373">
        <f t="shared" si="17"/>
        <v>631785.85624999995</v>
      </c>
      <c r="BB71" s="374">
        <f t="shared" si="25"/>
        <v>63178.585625</v>
      </c>
      <c r="BC71" s="374">
        <f t="shared" si="26"/>
        <v>12635.717124999999</v>
      </c>
      <c r="BD71" s="374">
        <f t="shared" si="18"/>
        <v>49542.155350000008</v>
      </c>
      <c r="BE71" s="374">
        <f t="shared" si="27"/>
        <v>506429.39815000002</v>
      </c>
      <c r="BF71" s="374">
        <f t="shared" si="28"/>
        <v>7581430.2749999994</v>
      </c>
      <c r="BG71" s="374">
        <f t="shared" si="19"/>
        <v>598379.8125</v>
      </c>
      <c r="BH71" s="374">
        <f t="shared" si="29"/>
        <v>8179810.0874999994</v>
      </c>
      <c r="BI71" s="374">
        <f t="shared" si="20"/>
        <v>286293.35306250001</v>
      </c>
      <c r="BJ71" s="374">
        <f t="shared" si="21"/>
        <v>425030.59811999998</v>
      </c>
      <c r="BK71" s="374">
        <f t="shared" si="30"/>
        <v>368091.45393750002</v>
      </c>
      <c r="BL71" s="374">
        <f t="shared" si="31"/>
        <v>245394.30262499998</v>
      </c>
      <c r="BM71" s="373">
        <f t="shared" si="81"/>
        <v>9504619.7952449992</v>
      </c>
      <c r="BN71" s="375"/>
      <c r="BO71" s="377"/>
      <c r="BP71" s="377"/>
      <c r="BQ71" s="377"/>
      <c r="BR71" s="377"/>
      <c r="BS71" s="377"/>
      <c r="BT71" s="377"/>
      <c r="BU71" s="377"/>
      <c r="BV71" s="377"/>
      <c r="BW71" s="377"/>
      <c r="BX71" s="377"/>
      <c r="BY71" s="377"/>
      <c r="BZ71" s="377"/>
      <c r="CA71" s="377"/>
      <c r="CB71" s="377"/>
      <c r="CC71" s="377"/>
      <c r="CD71" s="377"/>
      <c r="CE71" s="377"/>
      <c r="CF71" s="377"/>
      <c r="CG71" s="377"/>
      <c r="CH71" s="377"/>
      <c r="CI71" s="377"/>
    </row>
    <row r="72" spans="1:87" ht="42.75" customHeight="1">
      <c r="A72" s="369">
        <f t="shared" si="82"/>
        <v>57</v>
      </c>
      <c r="B72" s="416">
        <f t="shared" si="82"/>
        <v>7</v>
      </c>
      <c r="C72" s="413" t="s">
        <v>1140</v>
      </c>
      <c r="D72" s="414" t="s">
        <v>1141</v>
      </c>
      <c r="E72" s="394" t="s">
        <v>998</v>
      </c>
      <c r="F72" s="1315" t="s">
        <v>999</v>
      </c>
      <c r="G72" s="394"/>
      <c r="H72" s="395" t="s">
        <v>397</v>
      </c>
      <c r="I72" s="394">
        <v>17697</v>
      </c>
      <c r="J72" s="427">
        <v>11.4</v>
      </c>
      <c r="K72" s="427">
        <f t="shared" si="63"/>
        <v>201745.80000000002</v>
      </c>
      <c r="L72" s="380"/>
      <c r="M72" s="380"/>
      <c r="N72" s="380">
        <v>15</v>
      </c>
      <c r="O72" s="380">
        <v>8</v>
      </c>
      <c r="P72" s="380">
        <v>4</v>
      </c>
      <c r="Q72" s="368">
        <f t="shared" si="64"/>
        <v>27</v>
      </c>
      <c r="R72" s="380"/>
      <c r="S72" s="380"/>
      <c r="T72" s="380"/>
      <c r="U72" s="380"/>
      <c r="V72" s="380"/>
      <c r="W72" s="381">
        <f t="shared" si="65"/>
        <v>0</v>
      </c>
      <c r="X72" s="424">
        <f t="shared" si="66"/>
        <v>27</v>
      </c>
      <c r="Y72" s="400">
        <f t="shared" si="67"/>
        <v>340446.03750000003</v>
      </c>
      <c r="Z72" s="398">
        <f t="shared" si="68"/>
        <v>34044.603750000002</v>
      </c>
      <c r="AA72" s="366"/>
      <c r="AB72" s="367">
        <f t="shared" si="69"/>
        <v>0</v>
      </c>
      <c r="AC72" s="366"/>
      <c r="AD72" s="367">
        <f t="shared" si="70"/>
        <v>0</v>
      </c>
      <c r="AE72" s="372"/>
      <c r="AF72" s="366" t="s">
        <v>1142</v>
      </c>
      <c r="AG72" s="367">
        <f>17697*20%</f>
        <v>3539.4</v>
      </c>
      <c r="AH72" s="366"/>
      <c r="AI72" s="367"/>
      <c r="AJ72" s="366">
        <f t="shared" si="71"/>
        <v>27</v>
      </c>
      <c r="AK72" s="367">
        <f t="shared" si="72"/>
        <v>11945.475</v>
      </c>
      <c r="AL72" s="366">
        <f t="shared" si="73"/>
        <v>27</v>
      </c>
      <c r="AM72" s="367">
        <f t="shared" si="74"/>
        <v>102133.81125000001</v>
      </c>
      <c r="AN72" s="366" t="str">
        <f t="shared" si="75"/>
        <v>Педагог-шебер</v>
      </c>
      <c r="AO72" s="367">
        <f t="shared" si="76"/>
        <v>170223.01875000002</v>
      </c>
      <c r="AP72" s="367" t="str">
        <f t="shared" si="77"/>
        <v>0</v>
      </c>
      <c r="AQ72" s="367" t="str">
        <f t="shared" si="78"/>
        <v>0</v>
      </c>
      <c r="AR72" s="367" t="str">
        <f t="shared" si="79"/>
        <v>0</v>
      </c>
      <c r="AS72" s="366"/>
      <c r="AT72" s="367"/>
      <c r="AU72" s="371"/>
      <c r="AV72" s="367"/>
      <c r="AW72" s="371">
        <f t="shared" si="83"/>
        <v>0</v>
      </c>
      <c r="AX72" s="367"/>
      <c r="AY72" s="367">
        <v>17697</v>
      </c>
      <c r="AZ72" s="367">
        <f t="shared" si="80"/>
        <v>339583.30875000003</v>
      </c>
      <c r="BA72" s="373">
        <f t="shared" si="17"/>
        <v>680029.34625000006</v>
      </c>
      <c r="BB72" s="374">
        <f t="shared" si="25"/>
        <v>68002.934625000009</v>
      </c>
      <c r="BC72" s="374">
        <f t="shared" si="26"/>
        <v>13600.586925000001</v>
      </c>
      <c r="BD72" s="374">
        <f t="shared" si="18"/>
        <v>53787.582470000016</v>
      </c>
      <c r="BE72" s="374">
        <f t="shared" si="27"/>
        <v>544638.24223000009</v>
      </c>
      <c r="BF72" s="374">
        <f t="shared" si="28"/>
        <v>8160352.1550000012</v>
      </c>
      <c r="BG72" s="374">
        <f t="shared" si="19"/>
        <v>680892.07500000007</v>
      </c>
      <c r="BH72" s="374">
        <f t="shared" si="29"/>
        <v>8841244.2300000004</v>
      </c>
      <c r="BI72" s="374">
        <f t="shared" si="20"/>
        <v>309443.54805000004</v>
      </c>
      <c r="BJ72" s="374">
        <f t="shared" si="21"/>
        <v>459474.41367899999</v>
      </c>
      <c r="BK72" s="374">
        <f t="shared" si="30"/>
        <v>397855.99035000009</v>
      </c>
      <c r="BL72" s="374">
        <f t="shared" si="31"/>
        <v>265237.32689999999</v>
      </c>
      <c r="BM72" s="373">
        <f t="shared" si="81"/>
        <v>10273255.508979</v>
      </c>
      <c r="BN72" s="375"/>
      <c r="BO72" s="377"/>
      <c r="BP72" s="377"/>
      <c r="BQ72" s="377"/>
      <c r="BR72" s="377"/>
      <c r="BS72" s="377"/>
      <c r="BT72" s="377"/>
      <c r="BU72" s="377"/>
      <c r="BV72" s="377"/>
      <c r="BW72" s="377"/>
      <c r="BX72" s="377"/>
      <c r="BY72" s="377"/>
      <c r="BZ72" s="377"/>
      <c r="CA72" s="377"/>
      <c r="CB72" s="377"/>
      <c r="CC72" s="377"/>
      <c r="CD72" s="377"/>
      <c r="CE72" s="377"/>
      <c r="CF72" s="377"/>
      <c r="CG72" s="377"/>
      <c r="CH72" s="377"/>
      <c r="CI72" s="377"/>
    </row>
    <row r="73" spans="1:87" ht="45" customHeight="1">
      <c r="A73" s="369">
        <f t="shared" si="82"/>
        <v>58</v>
      </c>
      <c r="B73" s="428">
        <f t="shared" si="82"/>
        <v>8</v>
      </c>
      <c r="C73" s="387" t="s">
        <v>1143</v>
      </c>
      <c r="D73" s="429" t="s">
        <v>1144</v>
      </c>
      <c r="E73" s="362" t="s">
        <v>998</v>
      </c>
      <c r="F73" s="1298" t="s">
        <v>1005</v>
      </c>
      <c r="G73" s="362" t="s">
        <v>1123</v>
      </c>
      <c r="H73" s="397" t="s">
        <v>1424</v>
      </c>
      <c r="I73" s="362">
        <v>17697</v>
      </c>
      <c r="J73" s="400">
        <v>10.6</v>
      </c>
      <c r="K73" s="400">
        <f t="shared" si="63"/>
        <v>187588.19999999998</v>
      </c>
      <c r="L73" s="401"/>
      <c r="M73" s="380"/>
      <c r="N73" s="380">
        <v>12</v>
      </c>
      <c r="O73" s="380"/>
      <c r="P73" s="380">
        <v>8</v>
      </c>
      <c r="Q73" s="368">
        <f t="shared" si="64"/>
        <v>20</v>
      </c>
      <c r="R73" s="426"/>
      <c r="S73" s="380"/>
      <c r="T73" s="380"/>
      <c r="U73" s="380"/>
      <c r="V73" s="430"/>
      <c r="W73" s="381">
        <f t="shared" si="65"/>
        <v>0</v>
      </c>
      <c r="X73" s="424">
        <f t="shared" si="66"/>
        <v>20</v>
      </c>
      <c r="Y73" s="400">
        <f t="shared" si="67"/>
        <v>234485.24999999997</v>
      </c>
      <c r="Z73" s="398">
        <f t="shared" si="68"/>
        <v>23448.524999999998</v>
      </c>
      <c r="AA73" s="366"/>
      <c r="AB73" s="367">
        <f t="shared" si="69"/>
        <v>0</v>
      </c>
      <c r="AC73" s="366"/>
      <c r="AD73" s="367">
        <f t="shared" si="70"/>
        <v>0</v>
      </c>
      <c r="AE73" s="366"/>
      <c r="AF73" s="366" t="s">
        <v>1146</v>
      </c>
      <c r="AG73" s="367">
        <f>17697*20%</f>
        <v>3539.4</v>
      </c>
      <c r="AH73" s="366"/>
      <c r="AI73" s="367"/>
      <c r="AJ73" s="366">
        <f t="shared" si="71"/>
        <v>20</v>
      </c>
      <c r="AK73" s="367">
        <f t="shared" si="72"/>
        <v>8848.5</v>
      </c>
      <c r="AL73" s="366">
        <f t="shared" si="73"/>
        <v>20</v>
      </c>
      <c r="AM73" s="367">
        <f t="shared" si="74"/>
        <v>70345.574999999983</v>
      </c>
      <c r="AN73" s="366" t="str">
        <f t="shared" si="75"/>
        <v>Педагог-зерттеуші</v>
      </c>
      <c r="AO73" s="367" t="str">
        <f t="shared" si="76"/>
        <v>0</v>
      </c>
      <c r="AP73" s="367">
        <f t="shared" si="77"/>
        <v>93794.099999999991</v>
      </c>
      <c r="AQ73" s="367" t="str">
        <f t="shared" si="78"/>
        <v>0</v>
      </c>
      <c r="AR73" s="367" t="str">
        <f t="shared" si="79"/>
        <v>0</v>
      </c>
      <c r="AS73" s="366"/>
      <c r="AT73" s="367"/>
      <c r="AU73" s="371"/>
      <c r="AV73" s="367"/>
      <c r="AW73" s="371" t="str">
        <f t="shared" si="83"/>
        <v>Магистр-информатики</v>
      </c>
      <c r="AX73" s="372">
        <f>10*4325</f>
        <v>43250</v>
      </c>
      <c r="AY73" s="367"/>
      <c r="AZ73" s="367">
        <f t="shared" si="80"/>
        <v>243226.09999999998</v>
      </c>
      <c r="BA73" s="373">
        <f t="shared" si="17"/>
        <v>477711.35</v>
      </c>
      <c r="BB73" s="374">
        <f t="shared" si="25"/>
        <v>47771.135000000002</v>
      </c>
      <c r="BC73" s="374">
        <f t="shared" si="26"/>
        <v>9554.226999999999</v>
      </c>
      <c r="BD73" s="374">
        <f t="shared" si="18"/>
        <v>35983.5988</v>
      </c>
      <c r="BE73" s="374">
        <f t="shared" si="27"/>
        <v>384402.38919999998</v>
      </c>
      <c r="BF73" s="374">
        <f t="shared" si="28"/>
        <v>5732536.1999999993</v>
      </c>
      <c r="BG73" s="374">
        <f t="shared" si="19"/>
        <v>468970.49999999994</v>
      </c>
      <c r="BH73" s="374">
        <f t="shared" si="29"/>
        <v>6201506.6999999993</v>
      </c>
      <c r="BI73" s="374">
        <f t="shared" si="20"/>
        <v>217052.73449999999</v>
      </c>
      <c r="BJ73" s="374">
        <f t="shared" si="21"/>
        <v>322269.78215999989</v>
      </c>
      <c r="BK73" s="374">
        <f t="shared" si="30"/>
        <v>279067.8015</v>
      </c>
      <c r="BL73" s="374">
        <f t="shared" si="31"/>
        <v>186045.20099999997</v>
      </c>
      <c r="BM73" s="373">
        <f t="shared" si="81"/>
        <v>7205942.2191599999</v>
      </c>
      <c r="BN73" s="375"/>
      <c r="BO73" s="377"/>
      <c r="BP73" s="377"/>
      <c r="BQ73" s="377"/>
      <c r="BR73" s="377"/>
      <c r="BS73" s="377"/>
      <c r="BT73" s="377"/>
      <c r="BU73" s="377"/>
      <c r="BV73" s="377"/>
      <c r="BW73" s="377"/>
      <c r="BX73" s="377"/>
      <c r="BY73" s="377"/>
      <c r="BZ73" s="377"/>
      <c r="CA73" s="377"/>
      <c r="CB73" s="377"/>
      <c r="CC73" s="377"/>
      <c r="CD73" s="377"/>
      <c r="CE73" s="377"/>
      <c r="CF73" s="377"/>
      <c r="CG73" s="377"/>
      <c r="CH73" s="377"/>
      <c r="CI73" s="377"/>
    </row>
    <row r="74" spans="1:87" ht="45" customHeight="1">
      <c r="A74" s="369">
        <f t="shared" si="82"/>
        <v>59</v>
      </c>
      <c r="B74" s="428">
        <f t="shared" si="82"/>
        <v>9</v>
      </c>
      <c r="C74" s="387" t="s">
        <v>1147</v>
      </c>
      <c r="D74" s="379" t="s">
        <v>1148</v>
      </c>
      <c r="E74" s="362" t="s">
        <v>1022</v>
      </c>
      <c r="F74" s="1298"/>
      <c r="G74" s="362"/>
      <c r="H74" s="397" t="s">
        <v>1403</v>
      </c>
      <c r="I74" s="362">
        <v>17697</v>
      </c>
      <c r="J74" s="400">
        <v>7.98</v>
      </c>
      <c r="K74" s="400">
        <f t="shared" si="63"/>
        <v>141222.06</v>
      </c>
      <c r="L74" s="401">
        <v>15</v>
      </c>
      <c r="M74" s="380"/>
      <c r="N74" s="380"/>
      <c r="O74" s="380"/>
      <c r="P74" s="380"/>
      <c r="Q74" s="368">
        <f t="shared" si="64"/>
        <v>15</v>
      </c>
      <c r="R74" s="426"/>
      <c r="S74" s="380"/>
      <c r="T74" s="380"/>
      <c r="U74" s="380"/>
      <c r="V74" s="430"/>
      <c r="W74" s="381">
        <f t="shared" si="65"/>
        <v>0</v>
      </c>
      <c r="X74" s="424">
        <f t="shared" si="66"/>
        <v>15</v>
      </c>
      <c r="Y74" s="400">
        <f t="shared" si="67"/>
        <v>132395.68124999999</v>
      </c>
      <c r="Z74" s="398">
        <f t="shared" si="68"/>
        <v>13239.568125</v>
      </c>
      <c r="AA74" s="366"/>
      <c r="AB74" s="367">
        <f t="shared" si="69"/>
        <v>0</v>
      </c>
      <c r="AC74" s="366"/>
      <c r="AD74" s="367">
        <f t="shared" si="70"/>
        <v>0</v>
      </c>
      <c r="AE74" s="366"/>
      <c r="AF74" s="366"/>
      <c r="AG74" s="367"/>
      <c r="AH74" s="366"/>
      <c r="AI74" s="367"/>
      <c r="AJ74" s="366">
        <f t="shared" si="71"/>
        <v>15</v>
      </c>
      <c r="AK74" s="367">
        <f t="shared" si="72"/>
        <v>6636.375</v>
      </c>
      <c r="AL74" s="366">
        <f t="shared" si="73"/>
        <v>15</v>
      </c>
      <c r="AM74" s="367">
        <f t="shared" si="74"/>
        <v>39718.704374999994</v>
      </c>
      <c r="AN74" s="366">
        <f t="shared" si="75"/>
        <v>0</v>
      </c>
      <c r="AO74" s="367" t="str">
        <f t="shared" si="76"/>
        <v>0</v>
      </c>
      <c r="AP74" s="367" t="str">
        <f t="shared" si="77"/>
        <v>0</v>
      </c>
      <c r="AQ74" s="367" t="str">
        <f t="shared" si="78"/>
        <v>0</v>
      </c>
      <c r="AR74" s="367" t="str">
        <f t="shared" si="79"/>
        <v>0</v>
      </c>
      <c r="AS74" s="366"/>
      <c r="AT74" s="367"/>
      <c r="AU74" s="371"/>
      <c r="AV74" s="367"/>
      <c r="AW74" s="371">
        <f t="shared" si="83"/>
        <v>0</v>
      </c>
      <c r="AX74" s="372"/>
      <c r="AY74" s="367"/>
      <c r="AZ74" s="367">
        <f t="shared" si="80"/>
        <v>59594.647499999992</v>
      </c>
      <c r="BA74" s="373">
        <f t="shared" si="17"/>
        <v>191990.32874999999</v>
      </c>
      <c r="BB74" s="374">
        <f t="shared" si="25"/>
        <v>19199.032875000001</v>
      </c>
      <c r="BC74" s="374">
        <f t="shared" si="26"/>
        <v>3839.8065749999996</v>
      </c>
      <c r="BD74" s="374">
        <f t="shared" si="18"/>
        <v>10840.148929999999</v>
      </c>
      <c r="BE74" s="374">
        <f t="shared" si="27"/>
        <v>158111.34036999999</v>
      </c>
      <c r="BF74" s="374">
        <f t="shared" si="28"/>
        <v>2303883.9449999998</v>
      </c>
      <c r="BG74" s="374">
        <f t="shared" si="19"/>
        <v>264791.36249999999</v>
      </c>
      <c r="BH74" s="374">
        <f t="shared" si="29"/>
        <v>2568675.3074999996</v>
      </c>
      <c r="BI74" s="374">
        <f t="shared" si="20"/>
        <v>89903.635762499995</v>
      </c>
      <c r="BJ74" s="374">
        <f t="shared" si="21"/>
        <v>133639.92192599998</v>
      </c>
      <c r="BK74" s="374">
        <f t="shared" si="30"/>
        <v>115590.3888375</v>
      </c>
      <c r="BL74" s="374">
        <f t="shared" si="31"/>
        <v>77060.259224999987</v>
      </c>
      <c r="BM74" s="373">
        <f t="shared" si="81"/>
        <v>2984869.5132510001</v>
      </c>
      <c r="BN74" s="375"/>
      <c r="BO74" s="377"/>
      <c r="BP74" s="377"/>
      <c r="BQ74" s="377"/>
      <c r="BR74" s="377"/>
      <c r="BS74" s="377"/>
      <c r="BT74" s="377"/>
      <c r="BU74" s="377"/>
      <c r="BV74" s="377"/>
      <c r="BW74" s="377"/>
      <c r="BX74" s="377"/>
      <c r="BY74" s="377"/>
      <c r="BZ74" s="377"/>
      <c r="CA74" s="377"/>
      <c r="CB74" s="377"/>
      <c r="CC74" s="377"/>
      <c r="CD74" s="377"/>
      <c r="CE74" s="377"/>
      <c r="CF74" s="377"/>
      <c r="CG74" s="377"/>
      <c r="CH74" s="377"/>
      <c r="CI74" s="377"/>
    </row>
    <row r="75" spans="1:87" ht="63">
      <c r="A75" s="369">
        <f t="shared" si="82"/>
        <v>60</v>
      </c>
      <c r="B75" s="428">
        <f t="shared" si="82"/>
        <v>10</v>
      </c>
      <c r="C75" s="431" t="s">
        <v>1149</v>
      </c>
      <c r="D75" s="379" t="s">
        <v>1150</v>
      </c>
      <c r="E75" s="362" t="s">
        <v>998</v>
      </c>
      <c r="F75" s="1298"/>
      <c r="G75" s="362"/>
      <c r="H75" s="397" t="s">
        <v>1402</v>
      </c>
      <c r="I75" s="362">
        <v>17697</v>
      </c>
      <c r="J75" s="400">
        <v>10.4</v>
      </c>
      <c r="K75" s="400">
        <f t="shared" si="63"/>
        <v>184048.80000000002</v>
      </c>
      <c r="L75" s="401"/>
      <c r="M75" s="380"/>
      <c r="N75" s="380"/>
      <c r="O75" s="380"/>
      <c r="P75" s="380"/>
      <c r="Q75" s="368">
        <f t="shared" si="64"/>
        <v>0</v>
      </c>
      <c r="R75" s="380"/>
      <c r="S75" s="380"/>
      <c r="T75" s="380">
        <v>11</v>
      </c>
      <c r="U75" s="380">
        <v>14</v>
      </c>
      <c r="V75" s="380"/>
      <c r="W75" s="381">
        <f t="shared" si="65"/>
        <v>25</v>
      </c>
      <c r="X75" s="424">
        <f t="shared" si="66"/>
        <v>25</v>
      </c>
      <c r="Y75" s="400">
        <f t="shared" si="67"/>
        <v>287576.25</v>
      </c>
      <c r="Z75" s="398">
        <f t="shared" si="68"/>
        <v>28757.625</v>
      </c>
      <c r="AA75" s="366"/>
      <c r="AB75" s="367">
        <f t="shared" si="69"/>
        <v>0</v>
      </c>
      <c r="AC75" s="366"/>
      <c r="AD75" s="367">
        <f t="shared" si="70"/>
        <v>0</v>
      </c>
      <c r="AE75" s="366"/>
      <c r="AF75" s="366"/>
      <c r="AG75" s="367"/>
      <c r="AH75" s="366"/>
      <c r="AI75" s="367"/>
      <c r="AJ75" s="366">
        <f t="shared" si="71"/>
        <v>25</v>
      </c>
      <c r="AK75" s="367">
        <f t="shared" si="72"/>
        <v>11060.625</v>
      </c>
      <c r="AL75" s="366">
        <f t="shared" si="73"/>
        <v>25</v>
      </c>
      <c r="AM75" s="367">
        <f t="shared" si="74"/>
        <v>86272.875</v>
      </c>
      <c r="AN75" s="366">
        <f t="shared" si="75"/>
        <v>0</v>
      </c>
      <c r="AO75" s="367" t="str">
        <f t="shared" si="76"/>
        <v>0</v>
      </c>
      <c r="AP75" s="367" t="str">
        <f t="shared" si="77"/>
        <v>0</v>
      </c>
      <c r="AQ75" s="367" t="str">
        <f t="shared" si="78"/>
        <v>0</v>
      </c>
      <c r="AR75" s="367" t="str">
        <f t="shared" si="79"/>
        <v>0</v>
      </c>
      <c r="AS75" s="366"/>
      <c r="AT75" s="367"/>
      <c r="AU75" s="366"/>
      <c r="AV75" s="367"/>
      <c r="AW75" s="371">
        <f t="shared" si="83"/>
        <v>0</v>
      </c>
      <c r="AX75" s="367"/>
      <c r="AY75" s="367"/>
      <c r="AZ75" s="367">
        <f t="shared" si="80"/>
        <v>126091.125</v>
      </c>
      <c r="BA75" s="373">
        <f t="shared" si="17"/>
        <v>413667.375</v>
      </c>
      <c r="BB75" s="374">
        <f t="shared" si="25"/>
        <v>41366.737500000003</v>
      </c>
      <c r="BC75" s="374">
        <f t="shared" si="26"/>
        <v>8273.3474999999999</v>
      </c>
      <c r="BD75" s="374">
        <f t="shared" si="18"/>
        <v>30347.729000000007</v>
      </c>
      <c r="BE75" s="374">
        <f t="shared" si="27"/>
        <v>333679.56100000005</v>
      </c>
      <c r="BF75" s="374">
        <f t="shared" si="28"/>
        <v>4964008.5</v>
      </c>
      <c r="BG75" s="374">
        <f t="shared" si="19"/>
        <v>575152.5</v>
      </c>
      <c r="BH75" s="374">
        <f t="shared" si="29"/>
        <v>5539161</v>
      </c>
      <c r="BI75" s="374">
        <f t="shared" si="20"/>
        <v>193870.63500000001</v>
      </c>
      <c r="BJ75" s="374">
        <f t="shared" si="21"/>
        <v>288193.87530000007</v>
      </c>
      <c r="BK75" s="374">
        <f t="shared" si="30"/>
        <v>249262.24500000002</v>
      </c>
      <c r="BL75" s="374">
        <f t="shared" si="31"/>
        <v>166174.82999999999</v>
      </c>
      <c r="BM75" s="373">
        <f t="shared" si="81"/>
        <v>6436662.5853000004</v>
      </c>
      <c r="BN75" s="375"/>
      <c r="BO75" s="377"/>
      <c r="BP75" s="377"/>
      <c r="BQ75" s="377"/>
      <c r="BR75" s="377"/>
      <c r="BS75" s="377"/>
      <c r="BT75" s="377"/>
      <c r="BU75" s="377"/>
      <c r="BV75" s="377"/>
      <c r="BW75" s="377"/>
      <c r="BX75" s="377"/>
      <c r="BY75" s="377"/>
      <c r="BZ75" s="377"/>
      <c r="CA75" s="377"/>
      <c r="CB75" s="377"/>
      <c r="CC75" s="377"/>
      <c r="CD75" s="377"/>
      <c r="CE75" s="377"/>
      <c r="CF75" s="377"/>
      <c r="CG75" s="377"/>
      <c r="CH75" s="377"/>
      <c r="CI75" s="377"/>
    </row>
    <row r="76" spans="1:87" ht="126">
      <c r="A76" s="369">
        <f t="shared" si="82"/>
        <v>61</v>
      </c>
      <c r="B76" s="428">
        <f t="shared" si="82"/>
        <v>11</v>
      </c>
      <c r="C76" s="432" t="s">
        <v>918</v>
      </c>
      <c r="D76" s="433" t="s">
        <v>1151</v>
      </c>
      <c r="E76" s="389" t="s">
        <v>998</v>
      </c>
      <c r="F76" s="1317" t="s">
        <v>1011</v>
      </c>
      <c r="G76" s="390" t="s">
        <v>229</v>
      </c>
      <c r="H76" s="402" t="s">
        <v>1425</v>
      </c>
      <c r="I76" s="390">
        <v>17697</v>
      </c>
      <c r="J76" s="434">
        <v>10.82</v>
      </c>
      <c r="K76" s="403">
        <f t="shared" si="63"/>
        <v>191481.54</v>
      </c>
      <c r="L76" s="380"/>
      <c r="M76" s="380"/>
      <c r="N76" s="380"/>
      <c r="O76" s="380"/>
      <c r="P76" s="380"/>
      <c r="Q76" s="368">
        <f t="shared" si="64"/>
        <v>0</v>
      </c>
      <c r="R76" s="380"/>
      <c r="S76" s="380"/>
      <c r="T76" s="380">
        <v>5</v>
      </c>
      <c r="U76" s="380">
        <v>27</v>
      </c>
      <c r="V76" s="430">
        <v>4</v>
      </c>
      <c r="W76" s="381">
        <f t="shared" si="65"/>
        <v>36</v>
      </c>
      <c r="X76" s="424">
        <f t="shared" si="66"/>
        <v>36</v>
      </c>
      <c r="Y76" s="400">
        <f t="shared" si="67"/>
        <v>430833.46500000003</v>
      </c>
      <c r="Z76" s="398">
        <f t="shared" si="68"/>
        <v>43083.346500000007</v>
      </c>
      <c r="AA76" s="366"/>
      <c r="AB76" s="367">
        <f t="shared" si="69"/>
        <v>0</v>
      </c>
      <c r="AC76" s="366"/>
      <c r="AD76" s="367">
        <f t="shared" si="70"/>
        <v>0</v>
      </c>
      <c r="AE76" s="366"/>
      <c r="AF76" s="366"/>
      <c r="AG76" s="367"/>
      <c r="AH76" s="366"/>
      <c r="AI76" s="367"/>
      <c r="AJ76" s="366">
        <f t="shared" si="71"/>
        <v>36</v>
      </c>
      <c r="AK76" s="367">
        <f t="shared" si="72"/>
        <v>15927.300000000001</v>
      </c>
      <c r="AL76" s="366">
        <f t="shared" si="73"/>
        <v>36</v>
      </c>
      <c r="AM76" s="367">
        <f t="shared" si="74"/>
        <v>129250.0395</v>
      </c>
      <c r="AN76" s="366" t="str">
        <f t="shared" si="75"/>
        <v>Педагог-сарапшы</v>
      </c>
      <c r="AO76" s="367" t="str">
        <f t="shared" si="76"/>
        <v>0</v>
      </c>
      <c r="AP76" s="367" t="str">
        <f t="shared" si="77"/>
        <v>0</v>
      </c>
      <c r="AQ76" s="367">
        <f t="shared" si="78"/>
        <v>150791.71275000001</v>
      </c>
      <c r="AR76" s="367" t="str">
        <f t="shared" si="79"/>
        <v>0</v>
      </c>
      <c r="AS76" s="366"/>
      <c r="AT76" s="367"/>
      <c r="AU76" s="366"/>
      <c r="AV76" s="367"/>
      <c r="AW76" s="371" t="str">
        <f t="shared" si="83"/>
        <v>Магистр-информационные системы</v>
      </c>
      <c r="AX76" s="372">
        <f t="shared" ref="AX76:AX78" si="84">10*4325</f>
        <v>43250</v>
      </c>
      <c r="AY76" s="367"/>
      <c r="AZ76" s="367">
        <f t="shared" si="80"/>
        <v>382302.39875000005</v>
      </c>
      <c r="BA76" s="373">
        <f t="shared" si="17"/>
        <v>813135.86375000002</v>
      </c>
      <c r="BB76" s="374">
        <f t="shared" si="25"/>
        <v>81313.586375000014</v>
      </c>
      <c r="BC76" s="374">
        <f t="shared" si="26"/>
        <v>16262.717275000001</v>
      </c>
      <c r="BD76" s="374">
        <f t="shared" si="18"/>
        <v>65500.956010000016</v>
      </c>
      <c r="BE76" s="374">
        <f t="shared" si="27"/>
        <v>650058.60409000015</v>
      </c>
      <c r="BF76" s="374">
        <f t="shared" si="28"/>
        <v>9757630.3650000002</v>
      </c>
      <c r="BG76" s="374">
        <f t="shared" si="19"/>
        <v>861666.93</v>
      </c>
      <c r="BH76" s="374">
        <f t="shared" si="29"/>
        <v>10619297.295</v>
      </c>
      <c r="BI76" s="374">
        <f t="shared" si="20"/>
        <v>371675.40532500006</v>
      </c>
      <c r="BJ76" s="374">
        <f t="shared" si="21"/>
        <v>551975.26712700003</v>
      </c>
      <c r="BK76" s="374">
        <f t="shared" si="30"/>
        <v>477868.37827500002</v>
      </c>
      <c r="BL76" s="374">
        <f t="shared" si="31"/>
        <v>318578.91884999996</v>
      </c>
      <c r="BM76" s="373">
        <f t="shared" si="81"/>
        <v>12339395.264576998</v>
      </c>
      <c r="BN76" s="375"/>
      <c r="BO76" s="377"/>
      <c r="BP76" s="377"/>
      <c r="BQ76" s="377"/>
      <c r="BR76" s="377"/>
      <c r="BS76" s="377"/>
      <c r="BT76" s="377"/>
      <c r="BU76" s="377"/>
      <c r="BV76" s="377"/>
      <c r="BW76" s="377"/>
      <c r="BX76" s="377"/>
      <c r="BY76" s="377"/>
      <c r="BZ76" s="377"/>
      <c r="CA76" s="377"/>
      <c r="CB76" s="377"/>
      <c r="CC76" s="377"/>
      <c r="CD76" s="377"/>
      <c r="CE76" s="377"/>
      <c r="CF76" s="377"/>
      <c r="CG76" s="377"/>
      <c r="CH76" s="377"/>
      <c r="CI76" s="377"/>
    </row>
    <row r="77" spans="1:87" ht="60">
      <c r="A77" s="369">
        <f t="shared" si="82"/>
        <v>62</v>
      </c>
      <c r="B77" s="428">
        <f t="shared" si="82"/>
        <v>12</v>
      </c>
      <c r="C77" s="378" t="s">
        <v>1152</v>
      </c>
      <c r="D77" s="412" t="s">
        <v>1153</v>
      </c>
      <c r="E77" s="392" t="s">
        <v>998</v>
      </c>
      <c r="F77" s="508" t="s">
        <v>1005</v>
      </c>
      <c r="G77" s="366" t="s">
        <v>229</v>
      </c>
      <c r="H77" s="371" t="s">
        <v>1344</v>
      </c>
      <c r="I77" s="366">
        <v>17697</v>
      </c>
      <c r="J77" s="435">
        <v>10.6</v>
      </c>
      <c r="K77" s="367">
        <f t="shared" si="63"/>
        <v>187588.19999999998</v>
      </c>
      <c r="L77" s="380"/>
      <c r="M77" s="380"/>
      <c r="N77" s="380"/>
      <c r="O77" s="380">
        <v>8</v>
      </c>
      <c r="P77" s="380"/>
      <c r="Q77" s="368">
        <f t="shared" si="64"/>
        <v>8</v>
      </c>
      <c r="R77" s="380"/>
      <c r="S77" s="380"/>
      <c r="T77" s="380"/>
      <c r="U77" s="380"/>
      <c r="V77" s="430"/>
      <c r="W77" s="381">
        <f t="shared" si="65"/>
        <v>0</v>
      </c>
      <c r="X77" s="424">
        <f t="shared" si="66"/>
        <v>8</v>
      </c>
      <c r="Y77" s="400">
        <f t="shared" si="67"/>
        <v>93794.099999999991</v>
      </c>
      <c r="Z77" s="398">
        <f t="shared" si="68"/>
        <v>9379.41</v>
      </c>
      <c r="AA77" s="366"/>
      <c r="AB77" s="367">
        <f t="shared" si="69"/>
        <v>0</v>
      </c>
      <c r="AC77" s="366"/>
      <c r="AD77" s="367">
        <f t="shared" si="70"/>
        <v>0</v>
      </c>
      <c r="AE77" s="366"/>
      <c r="AF77" s="366"/>
      <c r="AG77" s="367"/>
      <c r="AH77" s="366"/>
      <c r="AI77" s="367"/>
      <c r="AJ77" s="366">
        <f t="shared" si="71"/>
        <v>8</v>
      </c>
      <c r="AK77" s="367">
        <f t="shared" si="72"/>
        <v>3539.4</v>
      </c>
      <c r="AL77" s="366">
        <f t="shared" si="73"/>
        <v>8</v>
      </c>
      <c r="AM77" s="367">
        <f t="shared" si="74"/>
        <v>28138.229999999996</v>
      </c>
      <c r="AN77" s="366" t="str">
        <f t="shared" si="75"/>
        <v>Педагог-зерттеуші</v>
      </c>
      <c r="AO77" s="367" t="str">
        <f t="shared" si="76"/>
        <v>0</v>
      </c>
      <c r="AP77" s="367">
        <f t="shared" si="77"/>
        <v>37517.64</v>
      </c>
      <c r="AQ77" s="367" t="str">
        <f t="shared" si="78"/>
        <v>0</v>
      </c>
      <c r="AR77" s="367" t="str">
        <f t="shared" si="79"/>
        <v>0</v>
      </c>
      <c r="AS77" s="366"/>
      <c r="AT77" s="367"/>
      <c r="AU77" s="366"/>
      <c r="AV77" s="367"/>
      <c r="AW77" s="371" t="str">
        <f t="shared" si="83"/>
        <v>Магистр-информационные системы</v>
      </c>
      <c r="AX77" s="372">
        <f t="shared" si="84"/>
        <v>43250</v>
      </c>
      <c r="AY77" s="367"/>
      <c r="AZ77" s="367">
        <f t="shared" si="80"/>
        <v>121824.68</v>
      </c>
      <c r="BA77" s="373">
        <f t="shared" si="17"/>
        <v>215618.77999999997</v>
      </c>
      <c r="BB77" s="374">
        <f t="shared" si="25"/>
        <v>21561.877999999997</v>
      </c>
      <c r="BC77" s="374">
        <f t="shared" si="26"/>
        <v>4312.3755999999994</v>
      </c>
      <c r="BD77" s="374">
        <f t="shared" si="18"/>
        <v>12919.452639999998</v>
      </c>
      <c r="BE77" s="374">
        <f t="shared" si="27"/>
        <v>176825.07375999997</v>
      </c>
      <c r="BF77" s="374">
        <f t="shared" si="28"/>
        <v>2587425.3599999994</v>
      </c>
      <c r="BG77" s="374">
        <f t="shared" si="19"/>
        <v>187588.19999999998</v>
      </c>
      <c r="BH77" s="374">
        <f t="shared" si="29"/>
        <v>2775013.5599999996</v>
      </c>
      <c r="BI77" s="374">
        <f t="shared" si="20"/>
        <v>97125.474600000001</v>
      </c>
      <c r="BJ77" s="374">
        <f t="shared" si="21"/>
        <v>144158.39644799998</v>
      </c>
      <c r="BK77" s="374">
        <f t="shared" si="30"/>
        <v>124875.6102</v>
      </c>
      <c r="BL77" s="374">
        <f t="shared" si="31"/>
        <v>83250.406799999982</v>
      </c>
      <c r="BM77" s="373">
        <f t="shared" si="81"/>
        <v>3224423.4480479993</v>
      </c>
      <c r="BN77" s="375"/>
      <c r="BO77" s="377"/>
      <c r="BP77" s="377"/>
      <c r="BQ77" s="377"/>
      <c r="BR77" s="377"/>
      <c r="BS77" s="377"/>
      <c r="BT77" s="377"/>
      <c r="BU77" s="377"/>
      <c r="BV77" s="377"/>
      <c r="BW77" s="377"/>
      <c r="BX77" s="377"/>
      <c r="BY77" s="377"/>
      <c r="BZ77" s="377"/>
      <c r="CA77" s="377"/>
      <c r="CB77" s="377"/>
      <c r="CC77" s="377"/>
      <c r="CD77" s="377"/>
      <c r="CE77" s="377"/>
      <c r="CF77" s="377"/>
      <c r="CG77" s="377"/>
      <c r="CH77" s="377"/>
      <c r="CI77" s="377"/>
    </row>
    <row r="78" spans="1:87" ht="60">
      <c r="A78" s="369">
        <f t="shared" si="82"/>
        <v>63</v>
      </c>
      <c r="B78" s="428">
        <f t="shared" si="82"/>
        <v>13</v>
      </c>
      <c r="C78" s="436" t="s">
        <v>1154</v>
      </c>
      <c r="D78" s="696" t="s">
        <v>1155</v>
      </c>
      <c r="E78" s="392" t="s">
        <v>998</v>
      </c>
      <c r="F78" s="1320" t="s">
        <v>1005</v>
      </c>
      <c r="G78" s="437" t="s">
        <v>1156</v>
      </c>
      <c r="H78" s="438" t="s">
        <v>1426</v>
      </c>
      <c r="I78" s="437">
        <v>17697</v>
      </c>
      <c r="J78" s="439">
        <v>10.6</v>
      </c>
      <c r="K78" s="440">
        <f t="shared" si="63"/>
        <v>187588.19999999998</v>
      </c>
      <c r="L78" s="441"/>
      <c r="M78" s="441"/>
      <c r="N78" s="441"/>
      <c r="O78" s="442"/>
      <c r="P78" s="442"/>
      <c r="Q78" s="443">
        <f t="shared" si="64"/>
        <v>0</v>
      </c>
      <c r="R78" s="442"/>
      <c r="S78" s="442">
        <v>6</v>
      </c>
      <c r="T78" s="442"/>
      <c r="U78" s="442">
        <v>14</v>
      </c>
      <c r="V78" s="442"/>
      <c r="W78" s="444">
        <f t="shared" si="65"/>
        <v>20</v>
      </c>
      <c r="X78" s="445">
        <f t="shared" si="66"/>
        <v>20</v>
      </c>
      <c r="Y78" s="446">
        <f t="shared" si="67"/>
        <v>234485.24999999997</v>
      </c>
      <c r="Z78" s="398">
        <f t="shared" si="68"/>
        <v>23448.524999999998</v>
      </c>
      <c r="AA78" s="437"/>
      <c r="AB78" s="447">
        <f t="shared" si="69"/>
        <v>0</v>
      </c>
      <c r="AC78" s="437"/>
      <c r="AD78" s="447">
        <f t="shared" si="70"/>
        <v>0</v>
      </c>
      <c r="AE78" s="437"/>
      <c r="AF78" s="437"/>
      <c r="AG78" s="447"/>
      <c r="AH78" s="437"/>
      <c r="AI78" s="447"/>
      <c r="AJ78" s="437">
        <f t="shared" si="71"/>
        <v>20</v>
      </c>
      <c r="AK78" s="447">
        <f t="shared" si="72"/>
        <v>8848.5</v>
      </c>
      <c r="AL78" s="437">
        <f t="shared" si="73"/>
        <v>20</v>
      </c>
      <c r="AM78" s="447">
        <f t="shared" si="74"/>
        <v>70345.574999999983</v>
      </c>
      <c r="AN78" s="437" t="str">
        <f t="shared" si="75"/>
        <v>Педагог-зерттеуші</v>
      </c>
      <c r="AO78" s="447" t="str">
        <f t="shared" si="76"/>
        <v>0</v>
      </c>
      <c r="AP78" s="447">
        <f t="shared" si="77"/>
        <v>93794.099999999991</v>
      </c>
      <c r="AQ78" s="447" t="str">
        <f t="shared" si="78"/>
        <v>0</v>
      </c>
      <c r="AR78" s="447" t="str">
        <f t="shared" si="79"/>
        <v>0</v>
      </c>
      <c r="AS78" s="366"/>
      <c r="AT78" s="367"/>
      <c r="AU78" s="437"/>
      <c r="AV78" s="447"/>
      <c r="AW78" s="371" t="str">
        <f t="shared" si="83"/>
        <v>Магистр-Управления IT проектами</v>
      </c>
      <c r="AX78" s="372">
        <f t="shared" si="84"/>
        <v>43250</v>
      </c>
      <c r="AY78" s="447"/>
      <c r="AZ78" s="367">
        <f t="shared" si="80"/>
        <v>239686.69999999995</v>
      </c>
      <c r="BA78" s="373">
        <f t="shared" ref="BA78:BA141" si="85">Y78+AZ78</f>
        <v>474171.94999999995</v>
      </c>
      <c r="BB78" s="374">
        <f t="shared" si="25"/>
        <v>47417.195</v>
      </c>
      <c r="BC78" s="374">
        <f t="shared" si="26"/>
        <v>9483.4389999999985</v>
      </c>
      <c r="BD78" s="374">
        <f t="shared" ref="BD78:BD141" si="86">(BA78-BB78-BC78-(14*4325))*10%</f>
        <v>35672.131599999993</v>
      </c>
      <c r="BE78" s="374">
        <f t="shared" si="27"/>
        <v>381599.18439999991</v>
      </c>
      <c r="BF78" s="374">
        <f t="shared" si="28"/>
        <v>5690063.3999999994</v>
      </c>
      <c r="BG78" s="374">
        <f t="shared" ref="BG78:BG141" si="87">Y78*2</f>
        <v>468970.49999999994</v>
      </c>
      <c r="BH78" s="374">
        <f t="shared" si="29"/>
        <v>6159033.8999999994</v>
      </c>
      <c r="BI78" s="374">
        <f t="shared" ref="BI78:BI141" si="88">BH78*3.5%</f>
        <v>215566.18650000001</v>
      </c>
      <c r="BJ78" s="374">
        <f t="shared" ref="BJ78:BJ141" si="89">(BH78*0.9-(BC78*12))*11%-BK78</f>
        <v>320069.69111999997</v>
      </c>
      <c r="BK78" s="374">
        <f t="shared" si="30"/>
        <v>277156.52549999999</v>
      </c>
      <c r="BL78" s="374">
        <f t="shared" si="31"/>
        <v>184771.01699999996</v>
      </c>
      <c r="BM78" s="373">
        <f t="shared" si="81"/>
        <v>7156597.3201199984</v>
      </c>
      <c r="BN78" s="448"/>
      <c r="BO78" s="449"/>
      <c r="BP78" s="449"/>
      <c r="BQ78" s="449"/>
      <c r="BR78" s="449"/>
      <c r="BS78" s="449"/>
      <c r="BT78" s="449"/>
      <c r="BU78" s="449"/>
      <c r="BV78" s="449"/>
      <c r="BW78" s="449"/>
      <c r="BX78" s="449"/>
      <c r="BY78" s="449"/>
      <c r="BZ78" s="449"/>
      <c r="CA78" s="449"/>
      <c r="CB78" s="449"/>
      <c r="CC78" s="449"/>
      <c r="CD78" s="449"/>
      <c r="CE78" s="449"/>
      <c r="CF78" s="449"/>
      <c r="CG78" s="449"/>
      <c r="CH78" s="449"/>
      <c r="CI78" s="450"/>
    </row>
    <row r="79" spans="1:87" ht="47.25">
      <c r="A79" s="457">
        <f t="shared" si="82"/>
        <v>64</v>
      </c>
      <c r="B79" s="1321">
        <f t="shared" si="82"/>
        <v>14</v>
      </c>
      <c r="C79" s="697" t="s">
        <v>113</v>
      </c>
      <c r="D79" s="451" t="s">
        <v>1157</v>
      </c>
      <c r="E79" s="452" t="s">
        <v>998</v>
      </c>
      <c r="F79" s="698" t="s">
        <v>999</v>
      </c>
      <c r="G79" s="698" t="s">
        <v>1158</v>
      </c>
      <c r="H79" s="699" t="s">
        <v>273</v>
      </c>
      <c r="I79" s="698">
        <v>17697</v>
      </c>
      <c r="J79" s="700">
        <v>11.4</v>
      </c>
      <c r="K79" s="453">
        <f t="shared" si="63"/>
        <v>201745.80000000002</v>
      </c>
      <c r="L79" s="454">
        <v>30</v>
      </c>
      <c r="M79" s="454">
        <v>21</v>
      </c>
      <c r="N79" s="454"/>
      <c r="O79" s="455"/>
      <c r="P79" s="456"/>
      <c r="Q79" s="457">
        <f t="shared" si="64"/>
        <v>51</v>
      </c>
      <c r="R79" s="456"/>
      <c r="S79" s="456"/>
      <c r="T79" s="456"/>
      <c r="U79" s="456"/>
      <c r="V79" s="456"/>
      <c r="W79" s="458">
        <f t="shared" si="65"/>
        <v>0</v>
      </c>
      <c r="X79" s="458">
        <f t="shared" si="66"/>
        <v>51</v>
      </c>
      <c r="Y79" s="459">
        <f t="shared" si="67"/>
        <v>643064.73750000005</v>
      </c>
      <c r="Z79" s="460">
        <f t="shared" si="68"/>
        <v>64306.473750000005</v>
      </c>
      <c r="AA79" s="458"/>
      <c r="AB79" s="460">
        <f t="shared" si="69"/>
        <v>0</v>
      </c>
      <c r="AC79" s="458"/>
      <c r="AD79" s="460">
        <f t="shared" si="70"/>
        <v>0</v>
      </c>
      <c r="AE79" s="458"/>
      <c r="AF79" s="458"/>
      <c r="AG79" s="460"/>
      <c r="AH79" s="458"/>
      <c r="AI79" s="460"/>
      <c r="AJ79" s="458">
        <f t="shared" si="71"/>
        <v>51</v>
      </c>
      <c r="AK79" s="460">
        <f t="shared" si="72"/>
        <v>22563.675000000003</v>
      </c>
      <c r="AL79" s="458">
        <f t="shared" si="73"/>
        <v>51</v>
      </c>
      <c r="AM79" s="460">
        <f t="shared" si="74"/>
        <v>192919.42125000001</v>
      </c>
      <c r="AN79" s="458" t="str">
        <f t="shared" si="75"/>
        <v>Педагог-шебер</v>
      </c>
      <c r="AO79" s="460">
        <f>IF(AN79="Педагог-зерттеуші", "0", IF(AN79="Педагог-шебер",K79/16*X79*50%, IF(AN79="Педагог-сарапшы", "0", IF(AN79="Педагог-модератор", "0", "0"))))-150000+32820+135.92+0.57</f>
        <v>204488.85875000004</v>
      </c>
      <c r="AP79" s="460" t="str">
        <f t="shared" si="77"/>
        <v>0</v>
      </c>
      <c r="AQ79" s="460" t="str">
        <f t="shared" si="78"/>
        <v>0</v>
      </c>
      <c r="AR79" s="460" t="str">
        <f t="shared" si="79"/>
        <v>0</v>
      </c>
      <c r="AS79" s="458">
        <v>100</v>
      </c>
      <c r="AT79" s="460">
        <f>AS79*4325</f>
        <v>432500</v>
      </c>
      <c r="AU79" s="458"/>
      <c r="AV79" s="460"/>
      <c r="AW79" s="461" t="str">
        <f t="shared" si="83"/>
        <v>Магистр</v>
      </c>
      <c r="AX79" s="462"/>
      <c r="AY79" s="460"/>
      <c r="AZ79" s="460">
        <f t="shared" si="80"/>
        <v>916778.42875000008</v>
      </c>
      <c r="BA79" s="463">
        <f t="shared" si="85"/>
        <v>1559843.1662500002</v>
      </c>
      <c r="BB79" s="464">
        <f t="shared" ref="BB79:BB141" si="90">BA79*10%</f>
        <v>155984.31662500004</v>
      </c>
      <c r="BC79" s="464">
        <f t="shared" ref="BC79:BC141" si="91">BA79*2%</f>
        <v>31196.863325000006</v>
      </c>
      <c r="BD79" s="464">
        <f t="shared" si="86"/>
        <v>131211.19863000003</v>
      </c>
      <c r="BE79" s="464">
        <f t="shared" ref="BE79:BE141" si="92">BA79-BB79-BC79-BD79</f>
        <v>1241450.7876700002</v>
      </c>
      <c r="BF79" s="464">
        <f t="shared" ref="BF79:BF141" si="93">BA79*12</f>
        <v>18718117.995000005</v>
      </c>
      <c r="BG79" s="464">
        <f t="shared" si="87"/>
        <v>1286129.4750000001</v>
      </c>
      <c r="BH79" s="464">
        <f t="shared" ref="BH79:BH141" si="94">BF79+BG79</f>
        <v>20004247.470000006</v>
      </c>
      <c r="BI79" s="464">
        <f t="shared" si="88"/>
        <v>700148.66145000025</v>
      </c>
      <c r="BJ79" s="464">
        <f t="shared" si="89"/>
        <v>1039049.5037910001</v>
      </c>
      <c r="BK79" s="464">
        <f t="shared" ref="BK79:BK141" si="95">BH79*0.9*5%</f>
        <v>900191.13615000027</v>
      </c>
      <c r="BL79" s="464">
        <f t="shared" ref="BL79:BL141" si="96">BH79*3%</f>
        <v>600127.42410000018</v>
      </c>
      <c r="BM79" s="463">
        <f t="shared" si="81"/>
        <v>23243764.195491005</v>
      </c>
      <c r="BN79" s="465"/>
      <c r="BO79" s="466"/>
      <c r="BP79" s="466"/>
      <c r="BQ79" s="466"/>
      <c r="BR79" s="466"/>
      <c r="BS79" s="466"/>
      <c r="BT79" s="466"/>
      <c r="BU79" s="466"/>
      <c r="BV79" s="466"/>
      <c r="BW79" s="466"/>
      <c r="BX79" s="466"/>
      <c r="BY79" s="466"/>
      <c r="BZ79" s="466"/>
      <c r="CA79" s="466"/>
      <c r="CB79" s="466"/>
      <c r="CC79" s="466"/>
      <c r="CD79" s="466"/>
      <c r="CE79" s="466"/>
      <c r="CF79" s="466"/>
      <c r="CG79" s="466"/>
      <c r="CH79" s="466"/>
      <c r="CI79" s="466"/>
    </row>
    <row r="80" spans="1:87" ht="141.75">
      <c r="A80" s="457">
        <f t="shared" si="82"/>
        <v>65</v>
      </c>
      <c r="B80" s="1321">
        <f t="shared" si="82"/>
        <v>15</v>
      </c>
      <c r="C80" s="697" t="s">
        <v>113</v>
      </c>
      <c r="D80" s="467" t="s">
        <v>1159</v>
      </c>
      <c r="E80" s="452" t="s">
        <v>998</v>
      </c>
      <c r="F80" s="698" t="s">
        <v>999</v>
      </c>
      <c r="G80" s="698" t="s">
        <v>1158</v>
      </c>
      <c r="H80" s="699" t="s">
        <v>273</v>
      </c>
      <c r="I80" s="698">
        <v>17697</v>
      </c>
      <c r="J80" s="700">
        <v>11.4</v>
      </c>
      <c r="K80" s="453">
        <f t="shared" si="63"/>
        <v>201745.80000000002</v>
      </c>
      <c r="L80" s="454"/>
      <c r="M80" s="454"/>
      <c r="N80" s="454"/>
      <c r="O80" s="455"/>
      <c r="P80" s="456"/>
      <c r="Q80" s="457">
        <f t="shared" si="64"/>
        <v>0</v>
      </c>
      <c r="R80" s="456">
        <v>8</v>
      </c>
      <c r="S80" s="456">
        <v>10</v>
      </c>
      <c r="T80" s="456"/>
      <c r="U80" s="456">
        <v>15</v>
      </c>
      <c r="V80" s="456">
        <v>3</v>
      </c>
      <c r="W80" s="458">
        <f t="shared" si="65"/>
        <v>36</v>
      </c>
      <c r="X80" s="458">
        <f t="shared" si="66"/>
        <v>36</v>
      </c>
      <c r="Y80" s="459">
        <f t="shared" si="67"/>
        <v>453928.05000000005</v>
      </c>
      <c r="Z80" s="460">
        <f t="shared" si="68"/>
        <v>45392.805000000008</v>
      </c>
      <c r="AA80" s="458"/>
      <c r="AB80" s="460">
        <f t="shared" si="69"/>
        <v>0</v>
      </c>
      <c r="AC80" s="458"/>
      <c r="AD80" s="460">
        <f t="shared" si="70"/>
        <v>0</v>
      </c>
      <c r="AE80" s="458"/>
      <c r="AF80" s="458"/>
      <c r="AG80" s="460"/>
      <c r="AH80" s="458"/>
      <c r="AI80" s="460"/>
      <c r="AJ80" s="458">
        <f t="shared" si="71"/>
        <v>36</v>
      </c>
      <c r="AK80" s="460">
        <f t="shared" si="72"/>
        <v>15927.300000000001</v>
      </c>
      <c r="AL80" s="458">
        <f t="shared" si="73"/>
        <v>36</v>
      </c>
      <c r="AM80" s="460">
        <f t="shared" si="74"/>
        <v>136178.41500000001</v>
      </c>
      <c r="AN80" s="458" t="str">
        <f t="shared" si="75"/>
        <v>Педагог-шебер</v>
      </c>
      <c r="AO80" s="460"/>
      <c r="AP80" s="460" t="str">
        <f t="shared" si="77"/>
        <v>0</v>
      </c>
      <c r="AQ80" s="460" t="str">
        <f t="shared" si="78"/>
        <v>0</v>
      </c>
      <c r="AR80" s="460" t="str">
        <f t="shared" si="79"/>
        <v>0</v>
      </c>
      <c r="AS80" s="458">
        <v>100</v>
      </c>
      <c r="AT80" s="460">
        <f>AS80*4325</f>
        <v>432500</v>
      </c>
      <c r="AU80" s="458"/>
      <c r="AV80" s="460"/>
      <c r="AW80" s="461" t="str">
        <f t="shared" si="83"/>
        <v>Магистр</v>
      </c>
      <c r="AX80" s="462"/>
      <c r="AY80" s="460"/>
      <c r="AZ80" s="460">
        <f t="shared" si="80"/>
        <v>629998.52</v>
      </c>
      <c r="BA80" s="463">
        <f t="shared" si="85"/>
        <v>1083926.57</v>
      </c>
      <c r="BB80" s="464">
        <f t="shared" si="90"/>
        <v>108392.65700000001</v>
      </c>
      <c r="BC80" s="464">
        <f t="shared" si="91"/>
        <v>21678.531400000003</v>
      </c>
      <c r="BD80" s="464">
        <f t="shared" si="86"/>
        <v>89330.538160000011</v>
      </c>
      <c r="BE80" s="464">
        <f t="shared" si="92"/>
        <v>864524.84344000008</v>
      </c>
      <c r="BF80" s="464">
        <f t="shared" si="93"/>
        <v>13007118.84</v>
      </c>
      <c r="BG80" s="464">
        <f t="shared" si="87"/>
        <v>907856.10000000009</v>
      </c>
      <c r="BH80" s="464">
        <f t="shared" si="94"/>
        <v>13914974.939999999</v>
      </c>
      <c r="BI80" s="464">
        <f t="shared" si="88"/>
        <v>487024.12290000002</v>
      </c>
      <c r="BJ80" s="464">
        <f t="shared" si="89"/>
        <v>722792.98531200003</v>
      </c>
      <c r="BK80" s="464">
        <f t="shared" si="95"/>
        <v>626173.87230000005</v>
      </c>
      <c r="BL80" s="464">
        <f t="shared" si="96"/>
        <v>417449.24819999997</v>
      </c>
      <c r="BM80" s="463">
        <f t="shared" si="81"/>
        <v>16168415.168711999</v>
      </c>
      <c r="BN80" s="465"/>
      <c r="BO80" s="466"/>
      <c r="BP80" s="466"/>
      <c r="BQ80" s="466"/>
      <c r="BR80" s="466"/>
      <c r="BS80" s="466"/>
      <c r="BT80" s="466"/>
      <c r="BU80" s="466"/>
      <c r="BV80" s="466"/>
      <c r="BW80" s="466"/>
      <c r="BX80" s="466"/>
      <c r="BY80" s="466"/>
      <c r="BZ80" s="466"/>
      <c r="CA80" s="466"/>
      <c r="CB80" s="466"/>
      <c r="CC80" s="466"/>
      <c r="CD80" s="466"/>
      <c r="CE80" s="466"/>
      <c r="CF80" s="466"/>
      <c r="CG80" s="466"/>
      <c r="CH80" s="466"/>
      <c r="CI80" s="466"/>
    </row>
    <row r="81" spans="1:87" ht="63">
      <c r="A81" s="457">
        <f t="shared" si="82"/>
        <v>66</v>
      </c>
      <c r="B81" s="1321">
        <f t="shared" si="82"/>
        <v>16</v>
      </c>
      <c r="C81" s="697" t="s">
        <v>113</v>
      </c>
      <c r="D81" s="467" t="s">
        <v>1160</v>
      </c>
      <c r="E81" s="452" t="s">
        <v>998</v>
      </c>
      <c r="F81" s="698" t="s">
        <v>999</v>
      </c>
      <c r="G81" s="698" t="s">
        <v>1158</v>
      </c>
      <c r="H81" s="699" t="s">
        <v>273</v>
      </c>
      <c r="I81" s="698">
        <v>17697</v>
      </c>
      <c r="J81" s="700">
        <v>11.4</v>
      </c>
      <c r="K81" s="453">
        <f t="shared" si="63"/>
        <v>201745.80000000002</v>
      </c>
      <c r="L81" s="454"/>
      <c r="M81" s="454"/>
      <c r="N81" s="454"/>
      <c r="O81" s="455"/>
      <c r="P81" s="456"/>
      <c r="Q81" s="457">
        <f t="shared" si="64"/>
        <v>0</v>
      </c>
      <c r="R81" s="456"/>
      <c r="S81" s="456"/>
      <c r="T81" s="456"/>
      <c r="U81" s="456"/>
      <c r="V81" s="456">
        <v>14</v>
      </c>
      <c r="W81" s="458">
        <f t="shared" si="65"/>
        <v>14</v>
      </c>
      <c r="X81" s="458">
        <f t="shared" si="66"/>
        <v>14</v>
      </c>
      <c r="Y81" s="459">
        <f t="shared" si="67"/>
        <v>176527.57500000001</v>
      </c>
      <c r="Z81" s="460">
        <f t="shared" si="68"/>
        <v>17652.757500000003</v>
      </c>
      <c r="AA81" s="458"/>
      <c r="AB81" s="460">
        <f t="shared" si="69"/>
        <v>0</v>
      </c>
      <c r="AC81" s="458"/>
      <c r="AD81" s="460">
        <f t="shared" si="70"/>
        <v>0</v>
      </c>
      <c r="AE81" s="458"/>
      <c r="AF81" s="458"/>
      <c r="AG81" s="460"/>
      <c r="AH81" s="458"/>
      <c r="AI81" s="460"/>
      <c r="AJ81" s="458">
        <f t="shared" si="71"/>
        <v>14</v>
      </c>
      <c r="AK81" s="460">
        <f t="shared" si="72"/>
        <v>6193.9500000000007</v>
      </c>
      <c r="AL81" s="458">
        <f t="shared" si="73"/>
        <v>14</v>
      </c>
      <c r="AM81" s="460">
        <f t="shared" si="74"/>
        <v>52958.272499999999</v>
      </c>
      <c r="AN81" s="458" t="str">
        <f t="shared" si="75"/>
        <v>Педагог-шебер</v>
      </c>
      <c r="AO81" s="460"/>
      <c r="AP81" s="460" t="str">
        <f t="shared" si="77"/>
        <v>0</v>
      </c>
      <c r="AQ81" s="460" t="str">
        <f t="shared" si="78"/>
        <v>0</v>
      </c>
      <c r="AR81" s="460" t="str">
        <f t="shared" si="79"/>
        <v>0</v>
      </c>
      <c r="AS81" s="458">
        <v>100</v>
      </c>
      <c r="AT81" s="460">
        <f>AS81*4325</f>
        <v>432500</v>
      </c>
      <c r="AU81" s="458"/>
      <c r="AV81" s="460"/>
      <c r="AW81" s="461" t="str">
        <f t="shared" si="83"/>
        <v>Магистр</v>
      </c>
      <c r="AX81" s="462"/>
      <c r="AY81" s="460"/>
      <c r="AZ81" s="460">
        <f t="shared" si="80"/>
        <v>509304.98</v>
      </c>
      <c r="BA81" s="463">
        <f t="shared" si="85"/>
        <v>685832.55499999993</v>
      </c>
      <c r="BB81" s="464">
        <f t="shared" si="90"/>
        <v>68583.255499999999</v>
      </c>
      <c r="BC81" s="464">
        <f t="shared" si="91"/>
        <v>13716.651099999999</v>
      </c>
      <c r="BD81" s="464">
        <f t="shared" si="86"/>
        <v>54298.264839999996</v>
      </c>
      <c r="BE81" s="464">
        <f t="shared" si="92"/>
        <v>549234.38355999999</v>
      </c>
      <c r="BF81" s="464">
        <f t="shared" si="93"/>
        <v>8229990.6599999992</v>
      </c>
      <c r="BG81" s="464">
        <f t="shared" si="87"/>
        <v>353055.15</v>
      </c>
      <c r="BH81" s="464">
        <f t="shared" si="94"/>
        <v>8583045.8099999987</v>
      </c>
      <c r="BI81" s="464">
        <f t="shared" si="88"/>
        <v>300406.60334999999</v>
      </c>
      <c r="BJ81" s="464">
        <f t="shared" si="89"/>
        <v>445378.49428799999</v>
      </c>
      <c r="BK81" s="464">
        <f t="shared" si="95"/>
        <v>386237.06144999998</v>
      </c>
      <c r="BL81" s="464">
        <f t="shared" si="96"/>
        <v>257491.37429999994</v>
      </c>
      <c r="BM81" s="463">
        <f t="shared" si="81"/>
        <v>9972559.3433879986</v>
      </c>
      <c r="BN81" s="465"/>
      <c r="BO81" s="466"/>
      <c r="BP81" s="466"/>
      <c r="BQ81" s="466"/>
      <c r="BR81" s="466"/>
      <c r="BS81" s="466"/>
      <c r="BT81" s="466"/>
      <c r="BU81" s="466"/>
      <c r="BV81" s="466"/>
      <c r="BW81" s="466"/>
      <c r="BX81" s="466"/>
      <c r="BY81" s="466"/>
      <c r="BZ81" s="466"/>
      <c r="CA81" s="466"/>
      <c r="CB81" s="466"/>
      <c r="CC81" s="466"/>
      <c r="CD81" s="466"/>
      <c r="CE81" s="466"/>
      <c r="CF81" s="466"/>
      <c r="CG81" s="466"/>
      <c r="CH81" s="466"/>
      <c r="CI81" s="466"/>
    </row>
    <row r="82" spans="1:87" ht="47.25">
      <c r="A82" s="457">
        <f t="shared" si="82"/>
        <v>67</v>
      </c>
      <c r="B82" s="1321">
        <f t="shared" si="82"/>
        <v>17</v>
      </c>
      <c r="C82" s="697" t="s">
        <v>113</v>
      </c>
      <c r="D82" s="467" t="s">
        <v>1161</v>
      </c>
      <c r="E82" s="452" t="s">
        <v>998</v>
      </c>
      <c r="F82" s="698" t="s">
        <v>999</v>
      </c>
      <c r="G82" s="698" t="s">
        <v>1158</v>
      </c>
      <c r="H82" s="699" t="s">
        <v>273</v>
      </c>
      <c r="I82" s="698">
        <v>17697</v>
      </c>
      <c r="J82" s="700">
        <v>11.4</v>
      </c>
      <c r="K82" s="453">
        <f t="shared" si="63"/>
        <v>201745.80000000002</v>
      </c>
      <c r="L82" s="454"/>
      <c r="M82" s="454"/>
      <c r="N82" s="454"/>
      <c r="O82" s="455"/>
      <c r="P82" s="456"/>
      <c r="Q82" s="457">
        <f t="shared" si="64"/>
        <v>0</v>
      </c>
      <c r="R82" s="456"/>
      <c r="S82" s="456"/>
      <c r="T82" s="456"/>
      <c r="U82" s="456">
        <v>7</v>
      </c>
      <c r="V82" s="456">
        <v>9</v>
      </c>
      <c r="W82" s="458">
        <f t="shared" si="65"/>
        <v>16</v>
      </c>
      <c r="X82" s="458">
        <f t="shared" si="66"/>
        <v>16</v>
      </c>
      <c r="Y82" s="459">
        <f t="shared" si="67"/>
        <v>201745.80000000002</v>
      </c>
      <c r="Z82" s="460">
        <f t="shared" si="68"/>
        <v>20174.580000000002</v>
      </c>
      <c r="AA82" s="458"/>
      <c r="AB82" s="460">
        <f t="shared" si="69"/>
        <v>0</v>
      </c>
      <c r="AC82" s="458"/>
      <c r="AD82" s="460">
        <f t="shared" si="70"/>
        <v>0</v>
      </c>
      <c r="AE82" s="458"/>
      <c r="AF82" s="458"/>
      <c r="AG82" s="460"/>
      <c r="AH82" s="458"/>
      <c r="AI82" s="460"/>
      <c r="AJ82" s="458">
        <f t="shared" si="71"/>
        <v>16</v>
      </c>
      <c r="AK82" s="460">
        <f t="shared" si="72"/>
        <v>7078.8</v>
      </c>
      <c r="AL82" s="458">
        <f t="shared" si="73"/>
        <v>16</v>
      </c>
      <c r="AM82" s="460">
        <f t="shared" si="74"/>
        <v>60523.740000000005</v>
      </c>
      <c r="AN82" s="458" t="str">
        <f t="shared" si="75"/>
        <v>Педагог-шебер</v>
      </c>
      <c r="AO82" s="460"/>
      <c r="AP82" s="460" t="str">
        <f t="shared" si="77"/>
        <v>0</v>
      </c>
      <c r="AQ82" s="460" t="str">
        <f t="shared" si="78"/>
        <v>0</v>
      </c>
      <c r="AR82" s="460" t="str">
        <f t="shared" si="79"/>
        <v>0</v>
      </c>
      <c r="AS82" s="458">
        <v>100</v>
      </c>
      <c r="AT82" s="460">
        <f>AS82*4325</f>
        <v>432500</v>
      </c>
      <c r="AU82" s="458"/>
      <c r="AV82" s="460"/>
      <c r="AW82" s="461" t="str">
        <f t="shared" si="83"/>
        <v>Магистр</v>
      </c>
      <c r="AX82" s="462"/>
      <c r="AY82" s="460"/>
      <c r="AZ82" s="460">
        <f t="shared" si="80"/>
        <v>520277.12</v>
      </c>
      <c r="BA82" s="463">
        <f t="shared" si="85"/>
        <v>722022.92</v>
      </c>
      <c r="BB82" s="464">
        <f t="shared" si="90"/>
        <v>72202.292000000001</v>
      </c>
      <c r="BC82" s="464">
        <f t="shared" si="91"/>
        <v>14440.458400000001</v>
      </c>
      <c r="BD82" s="464">
        <f t="shared" si="86"/>
        <v>57483.016960000008</v>
      </c>
      <c r="BE82" s="464">
        <f t="shared" si="92"/>
        <v>577897.15263999999</v>
      </c>
      <c r="BF82" s="464">
        <f t="shared" si="93"/>
        <v>8664275.040000001</v>
      </c>
      <c r="BG82" s="464">
        <f t="shared" si="87"/>
        <v>403491.60000000003</v>
      </c>
      <c r="BH82" s="464">
        <f t="shared" si="94"/>
        <v>9067766.6400000006</v>
      </c>
      <c r="BI82" s="464">
        <f t="shared" si="88"/>
        <v>317371.83240000007</v>
      </c>
      <c r="BJ82" s="464">
        <f t="shared" si="89"/>
        <v>470597.99347200012</v>
      </c>
      <c r="BK82" s="464">
        <f t="shared" si="95"/>
        <v>408049.49880000006</v>
      </c>
      <c r="BL82" s="464">
        <f t="shared" si="96"/>
        <v>272032.99920000002</v>
      </c>
      <c r="BM82" s="463">
        <f t="shared" si="81"/>
        <v>10535818.963872001</v>
      </c>
      <c r="BN82" s="465"/>
      <c r="BO82" s="466"/>
      <c r="BP82" s="466"/>
      <c r="BQ82" s="466"/>
      <c r="BR82" s="466"/>
      <c r="BS82" s="466"/>
      <c r="BT82" s="466"/>
      <c r="BU82" s="466"/>
      <c r="BV82" s="466"/>
      <c r="BW82" s="466"/>
      <c r="BX82" s="466"/>
      <c r="BY82" s="466"/>
      <c r="BZ82" s="466"/>
      <c r="CA82" s="466"/>
      <c r="CB82" s="466"/>
      <c r="CC82" s="466"/>
      <c r="CD82" s="466"/>
      <c r="CE82" s="466"/>
      <c r="CF82" s="466"/>
      <c r="CG82" s="466"/>
      <c r="CH82" s="466"/>
      <c r="CI82" s="466"/>
    </row>
    <row r="83" spans="1:87" ht="15">
      <c r="A83" s="1530"/>
      <c r="B83" s="1531"/>
      <c r="C83" s="1532" t="s">
        <v>1162</v>
      </c>
      <c r="D83" s="1531"/>
      <c r="E83" s="1531"/>
      <c r="F83" s="1531"/>
      <c r="G83" s="1531"/>
      <c r="H83" s="1531"/>
      <c r="I83" s="1531"/>
      <c r="J83" s="1531"/>
      <c r="K83" s="468">
        <f t="shared" ref="K83:AE83" si="97">SUM(K66:K82)</f>
        <v>3250584.9599999995</v>
      </c>
      <c r="L83" s="468">
        <f t="shared" si="97"/>
        <v>60</v>
      </c>
      <c r="M83" s="468">
        <f t="shared" si="97"/>
        <v>60</v>
      </c>
      <c r="N83" s="468">
        <f t="shared" si="97"/>
        <v>54</v>
      </c>
      <c r="O83" s="468">
        <f t="shared" si="97"/>
        <v>36</v>
      </c>
      <c r="P83" s="468">
        <f t="shared" si="97"/>
        <v>36</v>
      </c>
      <c r="Q83" s="468">
        <f t="shared" si="97"/>
        <v>246</v>
      </c>
      <c r="R83" s="468">
        <f t="shared" si="97"/>
        <v>8</v>
      </c>
      <c r="S83" s="468">
        <f t="shared" si="97"/>
        <v>16</v>
      </c>
      <c r="T83" s="468">
        <f t="shared" si="97"/>
        <v>16</v>
      </c>
      <c r="U83" s="468">
        <f t="shared" si="97"/>
        <v>77</v>
      </c>
      <c r="V83" s="468">
        <f t="shared" si="97"/>
        <v>30</v>
      </c>
      <c r="W83" s="468">
        <f t="shared" si="97"/>
        <v>147</v>
      </c>
      <c r="X83" s="468">
        <f t="shared" si="97"/>
        <v>393</v>
      </c>
      <c r="Y83" s="468">
        <f t="shared" si="97"/>
        <v>4731978.7087500002</v>
      </c>
      <c r="Z83" s="468">
        <f t="shared" si="97"/>
        <v>460588.75837500003</v>
      </c>
      <c r="AA83" s="468">
        <f t="shared" si="97"/>
        <v>0</v>
      </c>
      <c r="AB83" s="468">
        <f t="shared" si="97"/>
        <v>0</v>
      </c>
      <c r="AC83" s="468">
        <f t="shared" si="97"/>
        <v>0</v>
      </c>
      <c r="AD83" s="468">
        <f t="shared" si="97"/>
        <v>0</v>
      </c>
      <c r="AE83" s="468">
        <f t="shared" si="97"/>
        <v>196600</v>
      </c>
      <c r="AF83" s="468">
        <v>5</v>
      </c>
      <c r="AG83" s="468">
        <f>SUM(AG66:AG82)</f>
        <v>17697</v>
      </c>
      <c r="AH83" s="468">
        <v>1</v>
      </c>
      <c r="AI83" s="468">
        <f t="shared" ref="AI83:BN83" si="98">SUM(AI66:AI82)</f>
        <v>35394</v>
      </c>
      <c r="AJ83" s="468">
        <f t="shared" si="98"/>
        <v>393</v>
      </c>
      <c r="AK83" s="468">
        <f t="shared" si="98"/>
        <v>173873.02499999999</v>
      </c>
      <c r="AL83" s="468">
        <f t="shared" si="98"/>
        <v>393</v>
      </c>
      <c r="AM83" s="468">
        <f t="shared" si="98"/>
        <v>1419593.6126249998</v>
      </c>
      <c r="AN83" s="468">
        <f t="shared" si="98"/>
        <v>0</v>
      </c>
      <c r="AO83" s="468">
        <f t="shared" si="98"/>
        <v>607980.45875000011</v>
      </c>
      <c r="AP83" s="468">
        <f t="shared" si="98"/>
        <v>548146.87800000003</v>
      </c>
      <c r="AQ83" s="468">
        <f t="shared" si="98"/>
        <v>150791.71275000001</v>
      </c>
      <c r="AR83" s="468">
        <f t="shared" si="98"/>
        <v>0</v>
      </c>
      <c r="AS83" s="468">
        <f t="shared" si="98"/>
        <v>400</v>
      </c>
      <c r="AT83" s="468">
        <f t="shared" si="98"/>
        <v>1730000</v>
      </c>
      <c r="AU83" s="468">
        <f t="shared" si="98"/>
        <v>0</v>
      </c>
      <c r="AV83" s="468">
        <f t="shared" si="98"/>
        <v>0</v>
      </c>
      <c r="AW83" s="468">
        <v>13</v>
      </c>
      <c r="AX83" s="468">
        <f t="shared" si="98"/>
        <v>389250</v>
      </c>
      <c r="AY83" s="468">
        <f t="shared" si="98"/>
        <v>35394</v>
      </c>
      <c r="AZ83" s="468">
        <f t="shared" si="98"/>
        <v>5765309.4455000004</v>
      </c>
      <c r="BA83" s="1318">
        <f>SUM(BA66:BA82)</f>
        <v>10497288.154250002</v>
      </c>
      <c r="BB83" s="1318">
        <f t="shared" ref="BB83:BM83" si="99">SUM(BB66:BB82)</f>
        <v>1049728.8154250002</v>
      </c>
      <c r="BC83" s="1318">
        <f t="shared" si="99"/>
        <v>209945.76308499998</v>
      </c>
      <c r="BD83" s="1318">
        <f t="shared" si="99"/>
        <v>820826.35757400002</v>
      </c>
      <c r="BE83" s="1318">
        <f t="shared" si="99"/>
        <v>8416787.2181660011</v>
      </c>
      <c r="BF83" s="1318">
        <f t="shared" si="99"/>
        <v>125967457.85100003</v>
      </c>
      <c r="BG83" s="1318">
        <f t="shared" si="99"/>
        <v>9463957.4175000004</v>
      </c>
      <c r="BH83" s="1318">
        <f t="shared" si="99"/>
        <v>135431415.26850003</v>
      </c>
      <c r="BI83" s="1318">
        <f t="shared" si="99"/>
        <v>4740099.5343974996</v>
      </c>
      <c r="BJ83" s="1318">
        <f t="shared" si="99"/>
        <v>7036168.0172268003</v>
      </c>
      <c r="BK83" s="1318">
        <f t="shared" si="99"/>
        <v>6094413.6870825011</v>
      </c>
      <c r="BL83" s="1318">
        <f t="shared" si="99"/>
        <v>4062942.4580549994</v>
      </c>
      <c r="BM83" s="1318">
        <f t="shared" si="99"/>
        <v>157365038.96526176</v>
      </c>
      <c r="BN83" s="468">
        <f t="shared" si="98"/>
        <v>1.5</v>
      </c>
      <c r="BO83" s="355"/>
      <c r="BP83" s="355"/>
      <c r="BQ83" s="355"/>
      <c r="BR83" s="355"/>
      <c r="BS83" s="355"/>
      <c r="BT83" s="355"/>
      <c r="BU83" s="355"/>
      <c r="BV83" s="355"/>
      <c r="BW83" s="355"/>
      <c r="BX83" s="355"/>
      <c r="BY83" s="355"/>
      <c r="BZ83" s="355"/>
      <c r="CA83" s="355"/>
      <c r="CB83" s="355"/>
      <c r="CC83" s="355"/>
      <c r="CD83" s="355"/>
      <c r="CE83" s="355"/>
      <c r="CF83" s="355"/>
      <c r="CG83" s="355"/>
      <c r="CH83" s="355"/>
      <c r="CI83" s="356"/>
    </row>
    <row r="84" spans="1:87" ht="94.5">
      <c r="A84" s="469">
        <f>A82+1</f>
        <v>68</v>
      </c>
      <c r="B84" s="470">
        <v>1</v>
      </c>
      <c r="C84" s="418" t="s">
        <v>1163</v>
      </c>
      <c r="D84" s="471" t="s">
        <v>1164</v>
      </c>
      <c r="E84" s="390" t="s">
        <v>998</v>
      </c>
      <c r="F84" s="1322" t="s">
        <v>1005</v>
      </c>
      <c r="G84" s="390" t="s">
        <v>1165</v>
      </c>
      <c r="H84" s="402" t="s">
        <v>1427</v>
      </c>
      <c r="I84" s="390">
        <v>17697</v>
      </c>
      <c r="J84" s="403">
        <v>11.18</v>
      </c>
      <c r="K84" s="367">
        <f t="shared" ref="K84:K103" si="100">I84*J84</f>
        <v>197852.46</v>
      </c>
      <c r="L84" s="380"/>
      <c r="M84" s="380"/>
      <c r="N84" s="380">
        <v>9</v>
      </c>
      <c r="O84" s="380"/>
      <c r="P84" s="380">
        <v>12</v>
      </c>
      <c r="Q84" s="368">
        <f t="shared" ref="Q84:Q103" si="101">SUM(L84:P84)</f>
        <v>21</v>
      </c>
      <c r="R84" s="380"/>
      <c r="S84" s="380"/>
      <c r="T84" s="380">
        <v>6</v>
      </c>
      <c r="U84" s="380"/>
      <c r="V84" s="380">
        <v>8</v>
      </c>
      <c r="W84" s="381">
        <f t="shared" ref="W84:W103" si="102">SUM(R84:V84)</f>
        <v>14</v>
      </c>
      <c r="X84" s="370">
        <f t="shared" ref="X84:X103" si="103">Q84+W84</f>
        <v>35</v>
      </c>
      <c r="Y84" s="367">
        <f t="shared" ref="Y84:Y103" si="104">K84/16*X84</f>
        <v>432802.25624999998</v>
      </c>
      <c r="Z84" s="367">
        <f t="shared" ref="Z84:Z103" si="105">Y84*10%</f>
        <v>43280.225624999999</v>
      </c>
      <c r="AA84" s="366">
        <v>15</v>
      </c>
      <c r="AB84" s="367">
        <f>I84/16*AA84*50%</f>
        <v>8295.46875</v>
      </c>
      <c r="AC84" s="366">
        <v>16</v>
      </c>
      <c r="AD84" s="367">
        <f>I84/16*AC84*50%*50%</f>
        <v>4424.25</v>
      </c>
      <c r="AE84" s="366">
        <v>196600</v>
      </c>
      <c r="AF84" s="366" t="s">
        <v>1167</v>
      </c>
      <c r="AG84" s="367">
        <f>17697*20%</f>
        <v>3539.4</v>
      </c>
      <c r="AH84" s="366" t="s">
        <v>1168</v>
      </c>
      <c r="AI84" s="367">
        <f>I84*200%</f>
        <v>35394</v>
      </c>
      <c r="AJ84" s="366">
        <f>X84</f>
        <v>35</v>
      </c>
      <c r="AK84" s="367">
        <f t="shared" ref="AK84:AK103" si="106">I84/16*AJ84*40%</f>
        <v>15484.875</v>
      </c>
      <c r="AL84" s="366">
        <f t="shared" ref="AL84:AL103" si="107">X84</f>
        <v>35</v>
      </c>
      <c r="AM84" s="367">
        <f t="shared" ref="AM84:AM103" si="108">K84/16*AL84*30%</f>
        <v>129840.67687499999</v>
      </c>
      <c r="AN84" s="366" t="str">
        <f>F84</f>
        <v>Педагог-зерттеуші</v>
      </c>
      <c r="AO84" s="367" t="str">
        <f t="shared" ref="AO84:AO102" si="109">IF(AN84="Педагог-зерттеуші", "0", IF(AN84="Педагог-шебер",K84/16*X84*50%, IF(AN84="Педагог-сарапшы", "0", IF(AN84="Педагог-модератор", "0", "0"))))</f>
        <v>0</v>
      </c>
      <c r="AP84" s="367">
        <f t="shared" ref="AP84:AP103" si="110">IF(AN84="Педагог-шебер", "0", IF(AN84="Педагог-зерттеуші",K84/16*X84*40%, IF(AN84="Педагог-сарапшы", "0", IF(AN84="Педагог-модератор", "0", "0"))))</f>
        <v>173120.9025</v>
      </c>
      <c r="AQ84" s="367" t="str">
        <f t="shared" ref="AQ84:AQ103" si="111">IF(AN84="Педагог-шебер", "0", IF(AN84="Педагог-сарапшы",K84/16*X84*35%, IF(AN84="Педагог-зерттеуші", "0", IF(AN84="Педагог-модератор", "0", "0"))))</f>
        <v>0</v>
      </c>
      <c r="AR84" s="367" t="str">
        <f t="shared" ref="AR84:AR103" si="112">IF(AN84="Педагог-шебер", "0", IF(AN84="Педагог-модератор",K84/16*X84*30%, IF(AN84="Педагог-зерттеуші", "0", IF(AN84="Педагог-сарапшы", "0", "0"))))</f>
        <v>0</v>
      </c>
      <c r="AS84" s="366"/>
      <c r="AT84" s="367"/>
      <c r="AU84" s="371"/>
      <c r="AV84" s="367"/>
      <c r="AW84" s="371" t="str">
        <f>G84</f>
        <v>Магистр-лингвистика</v>
      </c>
      <c r="AX84" s="372">
        <f>10*4325</f>
        <v>43250</v>
      </c>
      <c r="AY84" s="367"/>
      <c r="AZ84" s="367">
        <f t="shared" ref="AZ84:AZ103" si="113">Z84+AB84+AD84+AE84+AG84+AI84+AK84+AM84+AO84+AP84+AQ84++AR84+AT84+AV84+AX84+AY84</f>
        <v>653229.79874999996</v>
      </c>
      <c r="BA84" s="373">
        <f t="shared" si="85"/>
        <v>1086032.0549999999</v>
      </c>
      <c r="BB84" s="374">
        <f t="shared" si="90"/>
        <v>108603.2055</v>
      </c>
      <c r="BC84" s="374">
        <f t="shared" si="91"/>
        <v>21720.641100000001</v>
      </c>
      <c r="BD84" s="374">
        <f t="shared" si="86"/>
        <v>89515.82084</v>
      </c>
      <c r="BE84" s="374">
        <f t="shared" si="92"/>
        <v>866192.38755999994</v>
      </c>
      <c r="BF84" s="374">
        <f t="shared" si="93"/>
        <v>13032384.66</v>
      </c>
      <c r="BG84" s="374">
        <f t="shared" si="87"/>
        <v>865604.51249999995</v>
      </c>
      <c r="BH84" s="374">
        <f t="shared" si="94"/>
        <v>13897989.172499999</v>
      </c>
      <c r="BI84" s="374">
        <f t="shared" si="88"/>
        <v>486429.62103750004</v>
      </c>
      <c r="BJ84" s="374">
        <f t="shared" si="89"/>
        <v>721820.16906300001</v>
      </c>
      <c r="BK84" s="374">
        <f t="shared" si="95"/>
        <v>625409.51276249997</v>
      </c>
      <c r="BL84" s="374">
        <f t="shared" si="96"/>
        <v>416939.67517499998</v>
      </c>
      <c r="BM84" s="373">
        <f t="shared" ref="BM84:BM104" si="114">BH84+BJ84+BK84+BL84+BI84</f>
        <v>16148588.150537999</v>
      </c>
      <c r="BN84" s="375"/>
      <c r="BO84" s="376"/>
      <c r="BP84" s="377"/>
      <c r="BQ84" s="377"/>
      <c r="BR84" s="377"/>
      <c r="BS84" s="377"/>
      <c r="BT84" s="377"/>
      <c r="BU84" s="377"/>
      <c r="BV84" s="377"/>
      <c r="BW84" s="377"/>
      <c r="BX84" s="377"/>
      <c r="BY84" s="377"/>
      <c r="BZ84" s="377"/>
      <c r="CA84" s="377"/>
      <c r="CB84" s="377"/>
      <c r="CC84" s="377"/>
      <c r="CD84" s="377"/>
      <c r="CE84" s="377"/>
      <c r="CF84" s="377"/>
      <c r="CG84" s="377"/>
      <c r="CH84" s="377"/>
      <c r="CI84" s="377"/>
    </row>
    <row r="85" spans="1:87" ht="31.5">
      <c r="A85" s="369">
        <f t="shared" ref="A85:B100" si="115">A84+1</f>
        <v>69</v>
      </c>
      <c r="B85" s="416">
        <f t="shared" si="115"/>
        <v>2</v>
      </c>
      <c r="C85" s="473" t="s">
        <v>1169</v>
      </c>
      <c r="D85" s="474" t="s">
        <v>1170</v>
      </c>
      <c r="E85" s="366" t="s">
        <v>998</v>
      </c>
      <c r="F85" s="508" t="s">
        <v>1011</v>
      </c>
      <c r="G85" s="393"/>
      <c r="H85" s="371" t="s">
        <v>1171</v>
      </c>
      <c r="I85" s="366">
        <v>17697</v>
      </c>
      <c r="J85" s="367">
        <v>11.4</v>
      </c>
      <c r="K85" s="367">
        <f t="shared" si="100"/>
        <v>201745.80000000002</v>
      </c>
      <c r="L85" s="380"/>
      <c r="M85" s="380">
        <v>3</v>
      </c>
      <c r="N85" s="380"/>
      <c r="O85" s="380"/>
      <c r="P85" s="380"/>
      <c r="Q85" s="368">
        <f t="shared" si="101"/>
        <v>3</v>
      </c>
      <c r="R85" s="380"/>
      <c r="S85" s="380">
        <v>2</v>
      </c>
      <c r="T85" s="380"/>
      <c r="U85" s="380"/>
      <c r="V85" s="380"/>
      <c r="W85" s="381">
        <f t="shared" si="102"/>
        <v>2</v>
      </c>
      <c r="X85" s="370">
        <f t="shared" si="103"/>
        <v>5</v>
      </c>
      <c r="Y85" s="367">
        <f t="shared" si="104"/>
        <v>63045.562500000007</v>
      </c>
      <c r="Z85" s="367">
        <f t="shared" si="105"/>
        <v>6304.5562500000015</v>
      </c>
      <c r="AA85" s="366">
        <v>0</v>
      </c>
      <c r="AB85" s="367">
        <f t="shared" ref="AB85:AB103" si="116">I85/16*AA85*50%</f>
        <v>0</v>
      </c>
      <c r="AC85" s="372">
        <v>5</v>
      </c>
      <c r="AD85" s="367">
        <f t="shared" ref="AD85:AD103" si="117">I85/16*AC85*50%*50%</f>
        <v>1382.578125</v>
      </c>
      <c r="AE85" s="366"/>
      <c r="AF85" s="366"/>
      <c r="AG85" s="367"/>
      <c r="AH85" s="366"/>
      <c r="AI85" s="367"/>
      <c r="AJ85" s="366">
        <f t="shared" ref="AJ85:AJ103" si="118">X85</f>
        <v>5</v>
      </c>
      <c r="AK85" s="367">
        <f t="shared" si="106"/>
        <v>2212.125</v>
      </c>
      <c r="AL85" s="366">
        <f t="shared" si="107"/>
        <v>5</v>
      </c>
      <c r="AM85" s="367">
        <f t="shared" si="108"/>
        <v>18913.668750000001</v>
      </c>
      <c r="AN85" s="366" t="str">
        <f>F85</f>
        <v>Педагог-сарапшы</v>
      </c>
      <c r="AO85" s="367" t="str">
        <f t="shared" si="109"/>
        <v>0</v>
      </c>
      <c r="AP85" s="367" t="str">
        <f t="shared" si="110"/>
        <v>0</v>
      </c>
      <c r="AQ85" s="367">
        <f t="shared" si="111"/>
        <v>22065.946875000001</v>
      </c>
      <c r="AR85" s="367" t="str">
        <f t="shared" si="112"/>
        <v>0</v>
      </c>
      <c r="AS85" s="366"/>
      <c r="AT85" s="367"/>
      <c r="AU85" s="371"/>
      <c r="AV85" s="367"/>
      <c r="AW85" s="371"/>
      <c r="AX85" s="372"/>
      <c r="AY85" s="367"/>
      <c r="AZ85" s="367">
        <f t="shared" si="113"/>
        <v>50878.875</v>
      </c>
      <c r="BA85" s="373">
        <f t="shared" si="85"/>
        <v>113924.4375</v>
      </c>
      <c r="BB85" s="374">
        <f t="shared" si="90"/>
        <v>11392.44375</v>
      </c>
      <c r="BC85" s="374">
        <f t="shared" si="91"/>
        <v>2278.48875</v>
      </c>
      <c r="BD85" s="374">
        <f t="shared" si="86"/>
        <v>3970.3504999999991</v>
      </c>
      <c r="BE85" s="374">
        <f t="shared" si="92"/>
        <v>96283.15449999999</v>
      </c>
      <c r="BF85" s="374">
        <f t="shared" si="93"/>
        <v>1367093.25</v>
      </c>
      <c r="BG85" s="374">
        <f t="shared" si="87"/>
        <v>126091.12500000001</v>
      </c>
      <c r="BH85" s="374">
        <f t="shared" si="94"/>
        <v>1493184.375</v>
      </c>
      <c r="BI85" s="374">
        <f t="shared" si="88"/>
        <v>52261.453125000007</v>
      </c>
      <c r="BJ85" s="374">
        <f t="shared" si="89"/>
        <v>77624.3511</v>
      </c>
      <c r="BK85" s="374">
        <f t="shared" si="95"/>
        <v>67193.296875</v>
      </c>
      <c r="BL85" s="374">
        <f t="shared" si="96"/>
        <v>44795.53125</v>
      </c>
      <c r="BM85" s="373">
        <f t="shared" si="114"/>
        <v>1735059.0073500001</v>
      </c>
      <c r="BN85" s="375"/>
      <c r="BO85" s="377"/>
      <c r="BP85" s="377"/>
      <c r="BQ85" s="377"/>
      <c r="BR85" s="377"/>
      <c r="BS85" s="377"/>
      <c r="BT85" s="377"/>
      <c r="BU85" s="377"/>
      <c r="BV85" s="377"/>
      <c r="BW85" s="377"/>
      <c r="BX85" s="377"/>
      <c r="BY85" s="377"/>
      <c r="BZ85" s="377"/>
      <c r="CA85" s="377"/>
      <c r="CB85" s="377"/>
      <c r="CC85" s="377"/>
      <c r="CD85" s="377"/>
      <c r="CE85" s="377"/>
      <c r="CF85" s="377"/>
      <c r="CG85" s="377"/>
      <c r="CH85" s="377"/>
      <c r="CI85" s="377"/>
    </row>
    <row r="86" spans="1:87" ht="45">
      <c r="A86" s="369">
        <f t="shared" si="115"/>
        <v>70</v>
      </c>
      <c r="B86" s="416">
        <f t="shared" si="115"/>
        <v>3</v>
      </c>
      <c r="C86" s="473" t="s">
        <v>1172</v>
      </c>
      <c r="D86" s="475" t="s">
        <v>1173</v>
      </c>
      <c r="E86" s="366" t="s">
        <v>998</v>
      </c>
      <c r="F86" s="508" t="s">
        <v>1011</v>
      </c>
      <c r="G86" s="393" t="s">
        <v>1174</v>
      </c>
      <c r="H86" s="371" t="s">
        <v>1428</v>
      </c>
      <c r="I86" s="366">
        <v>17697</v>
      </c>
      <c r="J86" s="367">
        <v>11.4</v>
      </c>
      <c r="K86" s="367">
        <f>I86*J86</f>
        <v>201745.80000000002</v>
      </c>
      <c r="L86" s="380"/>
      <c r="M86" s="380">
        <v>15</v>
      </c>
      <c r="N86" s="380">
        <v>6</v>
      </c>
      <c r="O86" s="380"/>
      <c r="P86" s="380"/>
      <c r="Q86" s="368">
        <f>SUM(L86:P86)</f>
        <v>21</v>
      </c>
      <c r="R86" s="380"/>
      <c r="S86" s="380">
        <v>10</v>
      </c>
      <c r="T86" s="380">
        <v>4</v>
      </c>
      <c r="U86" s="380"/>
      <c r="V86" s="380"/>
      <c r="W86" s="381">
        <f>SUM(R86:V86)</f>
        <v>14</v>
      </c>
      <c r="X86" s="370">
        <f>Q86+W86</f>
        <v>35</v>
      </c>
      <c r="Y86" s="367">
        <f>K86/16*X86</f>
        <v>441318.93750000006</v>
      </c>
      <c r="Z86" s="367">
        <f>Y86*10%</f>
        <v>44131.89375000001</v>
      </c>
      <c r="AA86" s="366">
        <v>25</v>
      </c>
      <c r="AB86" s="367">
        <f t="shared" si="116"/>
        <v>13825.78125</v>
      </c>
      <c r="AC86" s="372">
        <v>10</v>
      </c>
      <c r="AD86" s="367">
        <f t="shared" si="117"/>
        <v>2765.15625</v>
      </c>
      <c r="AE86" s="366"/>
      <c r="AF86" s="366" t="s">
        <v>1175</v>
      </c>
      <c r="AG86" s="367">
        <f>17697*20%</f>
        <v>3539.4</v>
      </c>
      <c r="AH86" s="366"/>
      <c r="AI86" s="367"/>
      <c r="AJ86" s="366">
        <f>X86</f>
        <v>35</v>
      </c>
      <c r="AK86" s="367">
        <f>I86/16*AJ86*40%</f>
        <v>15484.875</v>
      </c>
      <c r="AL86" s="366">
        <f>X86</f>
        <v>35</v>
      </c>
      <c r="AM86" s="367">
        <f>K86/16*AL86*30%</f>
        <v>132395.68125000002</v>
      </c>
      <c r="AN86" s="366" t="str">
        <f>F86</f>
        <v>Педагог-сарапшы</v>
      </c>
      <c r="AO86" s="367" t="str">
        <f t="shared" si="109"/>
        <v>0</v>
      </c>
      <c r="AP86" s="367" t="str">
        <f t="shared" si="110"/>
        <v>0</v>
      </c>
      <c r="AQ86" s="367">
        <f t="shared" si="111"/>
        <v>154461.62812500002</v>
      </c>
      <c r="AR86" s="367" t="str">
        <f t="shared" si="112"/>
        <v>0</v>
      </c>
      <c r="AS86" s="366"/>
      <c r="AT86" s="367"/>
      <c r="AU86" s="371"/>
      <c r="AV86" s="367"/>
      <c r="AW86" s="371" t="str">
        <f>G86</f>
        <v>Магистр образования (ин.язык)</v>
      </c>
      <c r="AX86" s="372">
        <f>10*4325</f>
        <v>43250</v>
      </c>
      <c r="AY86" s="367"/>
      <c r="AZ86" s="367">
        <f t="shared" si="113"/>
        <v>409854.41562500002</v>
      </c>
      <c r="BA86" s="373">
        <f t="shared" si="85"/>
        <v>851173.35312500014</v>
      </c>
      <c r="BB86" s="374">
        <f t="shared" si="90"/>
        <v>85117.335312500014</v>
      </c>
      <c r="BC86" s="374">
        <f t="shared" si="91"/>
        <v>17023.467062500004</v>
      </c>
      <c r="BD86" s="374">
        <f t="shared" si="86"/>
        <v>68848.255075000023</v>
      </c>
      <c r="BE86" s="374">
        <f t="shared" si="92"/>
        <v>680184.29567500018</v>
      </c>
      <c r="BF86" s="374">
        <f t="shared" si="93"/>
        <v>10214080.237500001</v>
      </c>
      <c r="BG86" s="374">
        <f t="shared" si="87"/>
        <v>882637.87500000012</v>
      </c>
      <c r="BH86" s="374">
        <f t="shared" si="94"/>
        <v>11096718.112500001</v>
      </c>
      <c r="BI86" s="374">
        <f t="shared" si="88"/>
        <v>388385.13393750007</v>
      </c>
      <c r="BJ86" s="374">
        <f t="shared" si="89"/>
        <v>576751.80155250011</v>
      </c>
      <c r="BK86" s="374">
        <f t="shared" si="95"/>
        <v>499352.31506250007</v>
      </c>
      <c r="BL86" s="374">
        <f t="shared" si="96"/>
        <v>332901.54337500001</v>
      </c>
      <c r="BM86" s="373">
        <f t="shared" si="114"/>
        <v>12894108.906427503</v>
      </c>
      <c r="BN86" s="375"/>
      <c r="BO86" s="377"/>
      <c r="BP86" s="377"/>
      <c r="BQ86" s="377"/>
      <c r="BR86" s="377"/>
      <c r="BS86" s="377"/>
      <c r="BT86" s="377"/>
      <c r="BU86" s="377"/>
      <c r="BV86" s="377"/>
      <c r="BW86" s="377"/>
      <c r="BX86" s="377"/>
      <c r="BY86" s="377"/>
      <c r="BZ86" s="377"/>
      <c r="CA86" s="377"/>
      <c r="CB86" s="377"/>
      <c r="CC86" s="377"/>
      <c r="CD86" s="377"/>
      <c r="CE86" s="377"/>
      <c r="CF86" s="377"/>
      <c r="CG86" s="377"/>
      <c r="CH86" s="377"/>
      <c r="CI86" s="377"/>
    </row>
    <row r="87" spans="1:87" ht="78.75">
      <c r="A87" s="369">
        <f t="shared" si="115"/>
        <v>71</v>
      </c>
      <c r="B87" s="416">
        <f t="shared" si="115"/>
        <v>4</v>
      </c>
      <c r="C87" s="473" t="s">
        <v>910</v>
      </c>
      <c r="D87" s="419" t="s">
        <v>1176</v>
      </c>
      <c r="E87" s="366" t="s">
        <v>998</v>
      </c>
      <c r="F87" s="366"/>
      <c r="G87" s="393"/>
      <c r="H87" s="371" t="s">
        <v>279</v>
      </c>
      <c r="I87" s="366">
        <v>17697</v>
      </c>
      <c r="J87" s="367">
        <v>9.66</v>
      </c>
      <c r="K87" s="367">
        <f>I87*J87</f>
        <v>170953.02</v>
      </c>
      <c r="L87" s="380"/>
      <c r="M87" s="380"/>
      <c r="N87" s="380">
        <v>9</v>
      </c>
      <c r="O87" s="380">
        <v>12</v>
      </c>
      <c r="P87" s="380"/>
      <c r="Q87" s="368">
        <f>SUM(L87:P87)</f>
        <v>21</v>
      </c>
      <c r="R87" s="380"/>
      <c r="S87" s="380"/>
      <c r="T87" s="380">
        <v>6</v>
      </c>
      <c r="U87" s="380">
        <v>6</v>
      </c>
      <c r="V87" s="380"/>
      <c r="W87" s="381">
        <f>SUM(R87:V87)</f>
        <v>12</v>
      </c>
      <c r="X87" s="370">
        <f>Q87+W87</f>
        <v>33</v>
      </c>
      <c r="Y87" s="367">
        <f>K87/16*X87</f>
        <v>352590.60374999995</v>
      </c>
      <c r="Z87" s="367">
        <f>Y87*10%</f>
        <v>35259.060374999994</v>
      </c>
      <c r="AA87" s="366">
        <v>30</v>
      </c>
      <c r="AB87" s="367">
        <f t="shared" si="116"/>
        <v>16590.9375</v>
      </c>
      <c r="AC87" s="372"/>
      <c r="AD87" s="367">
        <f t="shared" si="117"/>
        <v>0</v>
      </c>
      <c r="AE87" s="366"/>
      <c r="AF87" s="366"/>
      <c r="AG87" s="367"/>
      <c r="AH87" s="366"/>
      <c r="AI87" s="367"/>
      <c r="AJ87" s="366">
        <f>X87</f>
        <v>33</v>
      </c>
      <c r="AK87" s="367">
        <f>I87/16*AJ87*40%</f>
        <v>14600.025000000001</v>
      </c>
      <c r="AL87" s="366">
        <f>X87</f>
        <v>33</v>
      </c>
      <c r="AM87" s="367">
        <f>K87/16*AL87*30%</f>
        <v>105777.18112499999</v>
      </c>
      <c r="AN87" s="366">
        <f>F87</f>
        <v>0</v>
      </c>
      <c r="AO87" s="367" t="str">
        <f t="shared" si="109"/>
        <v>0</v>
      </c>
      <c r="AP87" s="367" t="str">
        <f t="shared" si="110"/>
        <v>0</v>
      </c>
      <c r="AQ87" s="367" t="str">
        <f t="shared" si="111"/>
        <v>0</v>
      </c>
      <c r="AR87" s="367" t="str">
        <f t="shared" si="112"/>
        <v>0</v>
      </c>
      <c r="AS87" s="366"/>
      <c r="AT87" s="367"/>
      <c r="AU87" s="371"/>
      <c r="AV87" s="367"/>
      <c r="AW87" s="371"/>
      <c r="AX87" s="372"/>
      <c r="AY87" s="367"/>
      <c r="AZ87" s="367">
        <f t="shared" si="113"/>
        <v>172227.20399999997</v>
      </c>
      <c r="BA87" s="373">
        <f t="shared" si="85"/>
        <v>524817.80774999992</v>
      </c>
      <c r="BB87" s="374">
        <f t="shared" si="90"/>
        <v>52481.780774999992</v>
      </c>
      <c r="BC87" s="374">
        <f t="shared" si="91"/>
        <v>10496.356154999999</v>
      </c>
      <c r="BD87" s="374">
        <f t="shared" si="86"/>
        <v>40128.967081999996</v>
      </c>
      <c r="BE87" s="374">
        <f t="shared" si="92"/>
        <v>421710.70373799995</v>
      </c>
      <c r="BF87" s="374">
        <f t="shared" si="93"/>
        <v>6297813.692999999</v>
      </c>
      <c r="BG87" s="374">
        <f t="shared" si="87"/>
        <v>705181.2074999999</v>
      </c>
      <c r="BH87" s="374">
        <f t="shared" si="94"/>
        <v>7002994.9004999986</v>
      </c>
      <c r="BI87" s="374">
        <f t="shared" si="88"/>
        <v>245104.82151749998</v>
      </c>
      <c r="BJ87" s="374">
        <f t="shared" si="89"/>
        <v>364306.53450239985</v>
      </c>
      <c r="BK87" s="374">
        <f t="shared" si="95"/>
        <v>315134.77052249992</v>
      </c>
      <c r="BL87" s="374">
        <f t="shared" si="96"/>
        <v>210089.84701499995</v>
      </c>
      <c r="BM87" s="373">
        <f t="shared" si="114"/>
        <v>8137630.8740573991</v>
      </c>
      <c r="BN87" s="375"/>
      <c r="BO87" s="377"/>
      <c r="BP87" s="377"/>
      <c r="BQ87" s="377"/>
      <c r="BR87" s="377"/>
      <c r="BS87" s="377"/>
      <c r="BT87" s="377"/>
      <c r="BU87" s="377"/>
      <c r="BV87" s="377"/>
      <c r="BW87" s="377"/>
      <c r="BX87" s="377"/>
      <c r="BY87" s="377"/>
      <c r="BZ87" s="377"/>
      <c r="CA87" s="377"/>
      <c r="CB87" s="377"/>
      <c r="CC87" s="377"/>
      <c r="CD87" s="377"/>
      <c r="CE87" s="377"/>
      <c r="CF87" s="377"/>
      <c r="CG87" s="377"/>
      <c r="CH87" s="377"/>
      <c r="CI87" s="377"/>
    </row>
    <row r="88" spans="1:87" ht="47.25">
      <c r="A88" s="369">
        <f t="shared" si="115"/>
        <v>72</v>
      </c>
      <c r="B88" s="416">
        <f t="shared" si="115"/>
        <v>5</v>
      </c>
      <c r="C88" s="409" t="s">
        <v>1177</v>
      </c>
      <c r="D88" s="476" t="s">
        <v>1178</v>
      </c>
      <c r="E88" s="366" t="s">
        <v>998</v>
      </c>
      <c r="F88" s="1314" t="s">
        <v>254</v>
      </c>
      <c r="G88" s="366" t="s">
        <v>1174</v>
      </c>
      <c r="H88" s="371" t="s">
        <v>845</v>
      </c>
      <c r="I88" s="366">
        <v>17697</v>
      </c>
      <c r="J88" s="367">
        <v>10.220000000000001</v>
      </c>
      <c r="K88" s="367">
        <f t="shared" si="100"/>
        <v>180863.34000000003</v>
      </c>
      <c r="L88" s="380"/>
      <c r="M88" s="380">
        <v>3</v>
      </c>
      <c r="N88" s="380"/>
      <c r="O88" s="380"/>
      <c r="P88" s="380"/>
      <c r="Q88" s="368">
        <f t="shared" si="101"/>
        <v>3</v>
      </c>
      <c r="R88" s="380"/>
      <c r="S88" s="380">
        <v>5</v>
      </c>
      <c r="T88" s="380"/>
      <c r="U88" s="380"/>
      <c r="V88" s="380"/>
      <c r="W88" s="381">
        <f t="shared" si="102"/>
        <v>5</v>
      </c>
      <c r="X88" s="370">
        <f t="shared" si="103"/>
        <v>8</v>
      </c>
      <c r="Y88" s="367">
        <f t="shared" si="104"/>
        <v>90431.670000000013</v>
      </c>
      <c r="Z88" s="367"/>
      <c r="AA88" s="366">
        <v>5</v>
      </c>
      <c r="AB88" s="367">
        <f t="shared" si="116"/>
        <v>2765.15625</v>
      </c>
      <c r="AC88" s="366"/>
      <c r="AD88" s="367">
        <f t="shared" si="117"/>
        <v>0</v>
      </c>
      <c r="AE88" s="367"/>
      <c r="AF88" s="366"/>
      <c r="AG88" s="367"/>
      <c r="AH88" s="366"/>
      <c r="AI88" s="367"/>
      <c r="AJ88" s="366">
        <f t="shared" si="118"/>
        <v>8</v>
      </c>
      <c r="AK88" s="367">
        <f t="shared" si="106"/>
        <v>3539.4</v>
      </c>
      <c r="AL88" s="366">
        <f t="shared" si="107"/>
        <v>8</v>
      </c>
      <c r="AM88" s="367">
        <f t="shared" si="108"/>
        <v>27129.501000000004</v>
      </c>
      <c r="AN88" s="366" t="str">
        <f t="shared" ref="AN88:AN103" si="119">F88</f>
        <v>Педагог-модератор</v>
      </c>
      <c r="AO88" s="367" t="str">
        <f t="shared" si="109"/>
        <v>0</v>
      </c>
      <c r="AP88" s="367" t="str">
        <f t="shared" si="110"/>
        <v>0</v>
      </c>
      <c r="AQ88" s="367" t="str">
        <f t="shared" si="111"/>
        <v>0</v>
      </c>
      <c r="AR88" s="367">
        <f t="shared" si="112"/>
        <v>27129.501000000004</v>
      </c>
      <c r="AS88" s="366"/>
      <c r="AT88" s="367"/>
      <c r="AU88" s="371"/>
      <c r="AV88" s="367"/>
      <c r="AW88" s="371" t="str">
        <f>G88</f>
        <v>Магистр образования (ин.язык)</v>
      </c>
      <c r="AX88" s="372">
        <f>10*4325</f>
        <v>43250</v>
      </c>
      <c r="AY88" s="367"/>
      <c r="AZ88" s="367">
        <f t="shared" si="113"/>
        <v>103813.55825</v>
      </c>
      <c r="BA88" s="373">
        <f t="shared" si="85"/>
        <v>194245.22825000001</v>
      </c>
      <c r="BB88" s="374">
        <f t="shared" si="90"/>
        <v>19424.522825000004</v>
      </c>
      <c r="BC88" s="374">
        <f t="shared" si="91"/>
        <v>3884.9045650000003</v>
      </c>
      <c r="BD88" s="374">
        <f t="shared" si="86"/>
        <v>11038.580086000002</v>
      </c>
      <c r="BE88" s="374">
        <f t="shared" si="92"/>
        <v>159897.22077400002</v>
      </c>
      <c r="BF88" s="374">
        <f t="shared" si="93"/>
        <v>2330942.7390000001</v>
      </c>
      <c r="BG88" s="374">
        <f t="shared" si="87"/>
        <v>180863.34000000003</v>
      </c>
      <c r="BH88" s="374">
        <f t="shared" si="94"/>
        <v>2511806.0789999999</v>
      </c>
      <c r="BI88" s="374">
        <f t="shared" si="88"/>
        <v>87913.212765000004</v>
      </c>
      <c r="BJ88" s="374">
        <f t="shared" si="89"/>
        <v>130509.45424019999</v>
      </c>
      <c r="BK88" s="374">
        <f t="shared" si="95"/>
        <v>113031.27355500002</v>
      </c>
      <c r="BL88" s="374">
        <f t="shared" si="96"/>
        <v>75354.182369999995</v>
      </c>
      <c r="BM88" s="373">
        <f t="shared" si="114"/>
        <v>2918614.2019301997</v>
      </c>
      <c r="BN88" s="375">
        <v>1</v>
      </c>
      <c r="BO88" s="377"/>
      <c r="BP88" s="377"/>
      <c r="BQ88" s="377"/>
      <c r="BR88" s="377"/>
      <c r="BS88" s="377"/>
      <c r="BT88" s="377"/>
      <c r="BU88" s="377"/>
      <c r="BV88" s="377"/>
      <c r="BW88" s="377"/>
      <c r="BX88" s="377"/>
      <c r="BY88" s="377"/>
      <c r="BZ88" s="377"/>
      <c r="CA88" s="377"/>
      <c r="CB88" s="377"/>
      <c r="CC88" s="377"/>
      <c r="CD88" s="377"/>
      <c r="CE88" s="377"/>
      <c r="CF88" s="377"/>
      <c r="CG88" s="377"/>
      <c r="CH88" s="377"/>
      <c r="CI88" s="377"/>
    </row>
    <row r="89" spans="1:87" ht="78.75">
      <c r="A89" s="369">
        <f t="shared" si="115"/>
        <v>73</v>
      </c>
      <c r="B89" s="416">
        <f t="shared" si="115"/>
        <v>6</v>
      </c>
      <c r="C89" s="477" t="s">
        <v>1179</v>
      </c>
      <c r="D89" s="412" t="s">
        <v>1180</v>
      </c>
      <c r="E89" s="366" t="s">
        <v>998</v>
      </c>
      <c r="F89" s="1314" t="s">
        <v>254</v>
      </c>
      <c r="G89" s="366" t="s">
        <v>1174</v>
      </c>
      <c r="H89" s="371" t="s">
        <v>278</v>
      </c>
      <c r="I89" s="366">
        <v>17697</v>
      </c>
      <c r="J89" s="367">
        <v>10</v>
      </c>
      <c r="K89" s="367">
        <f t="shared" si="100"/>
        <v>176970</v>
      </c>
      <c r="L89" s="380"/>
      <c r="M89" s="380">
        <v>12</v>
      </c>
      <c r="N89" s="380"/>
      <c r="O89" s="380">
        <v>9</v>
      </c>
      <c r="P89" s="380"/>
      <c r="Q89" s="368">
        <f t="shared" si="101"/>
        <v>21</v>
      </c>
      <c r="R89" s="380"/>
      <c r="S89" s="380">
        <v>8</v>
      </c>
      <c r="T89" s="380"/>
      <c r="U89" s="380">
        <v>6</v>
      </c>
      <c r="V89" s="380"/>
      <c r="W89" s="381">
        <f t="shared" si="102"/>
        <v>14</v>
      </c>
      <c r="X89" s="370">
        <f t="shared" si="103"/>
        <v>35</v>
      </c>
      <c r="Y89" s="367">
        <f t="shared" si="104"/>
        <v>387121.875</v>
      </c>
      <c r="Z89" s="367">
        <f t="shared" si="105"/>
        <v>38712.1875</v>
      </c>
      <c r="AA89" s="366">
        <v>29</v>
      </c>
      <c r="AB89" s="367">
        <f t="shared" si="116"/>
        <v>16037.90625</v>
      </c>
      <c r="AC89" s="372">
        <v>3</v>
      </c>
      <c r="AD89" s="367">
        <f t="shared" si="117"/>
        <v>829.546875</v>
      </c>
      <c r="AE89" s="366"/>
      <c r="AF89" s="366"/>
      <c r="AG89" s="367"/>
      <c r="AH89" s="366"/>
      <c r="AI89" s="367"/>
      <c r="AJ89" s="366">
        <f t="shared" si="118"/>
        <v>35</v>
      </c>
      <c r="AK89" s="367">
        <f t="shared" si="106"/>
        <v>15484.875</v>
      </c>
      <c r="AL89" s="366">
        <f t="shared" si="107"/>
        <v>35</v>
      </c>
      <c r="AM89" s="367">
        <f t="shared" si="108"/>
        <v>116136.5625</v>
      </c>
      <c r="AN89" s="366" t="str">
        <f t="shared" si="119"/>
        <v>Педагог-модератор</v>
      </c>
      <c r="AO89" s="367" t="str">
        <f t="shared" si="109"/>
        <v>0</v>
      </c>
      <c r="AP89" s="367" t="str">
        <f t="shared" si="110"/>
        <v>0</v>
      </c>
      <c r="AQ89" s="367" t="str">
        <f t="shared" si="111"/>
        <v>0</v>
      </c>
      <c r="AR89" s="367">
        <f t="shared" si="112"/>
        <v>116136.5625</v>
      </c>
      <c r="AS89" s="366"/>
      <c r="AT89" s="367"/>
      <c r="AU89" s="371"/>
      <c r="AV89" s="367"/>
      <c r="AW89" s="371" t="str">
        <f>G89</f>
        <v>Магистр образования (ин.язык)</v>
      </c>
      <c r="AX89" s="372">
        <f>10*4325</f>
        <v>43250</v>
      </c>
      <c r="AY89" s="367"/>
      <c r="AZ89" s="367">
        <f t="shared" si="113"/>
        <v>346587.640625</v>
      </c>
      <c r="BA89" s="373">
        <f t="shared" si="85"/>
        <v>733709.515625</v>
      </c>
      <c r="BB89" s="374">
        <f t="shared" si="90"/>
        <v>73370.951562500006</v>
      </c>
      <c r="BC89" s="374">
        <f t="shared" si="91"/>
        <v>14674.190312500001</v>
      </c>
      <c r="BD89" s="374">
        <f t="shared" si="86"/>
        <v>58511.437375000009</v>
      </c>
      <c r="BE89" s="374">
        <f t="shared" si="92"/>
        <v>587152.93637500005</v>
      </c>
      <c r="BF89" s="374">
        <f t="shared" si="93"/>
        <v>8804514.1875</v>
      </c>
      <c r="BG89" s="374">
        <f t="shared" si="87"/>
        <v>774243.75</v>
      </c>
      <c r="BH89" s="374">
        <f t="shared" si="94"/>
        <v>9578757.9375</v>
      </c>
      <c r="BI89" s="374">
        <f t="shared" si="88"/>
        <v>335256.52781250002</v>
      </c>
      <c r="BJ89" s="374">
        <f t="shared" si="89"/>
        <v>497882.99741250015</v>
      </c>
      <c r="BK89" s="374">
        <f t="shared" si="95"/>
        <v>431044.10718750005</v>
      </c>
      <c r="BL89" s="374">
        <f t="shared" si="96"/>
        <v>287362.73812499997</v>
      </c>
      <c r="BM89" s="373">
        <f t="shared" si="114"/>
        <v>11130304.308037501</v>
      </c>
      <c r="BN89" s="375"/>
      <c r="BO89" s="377"/>
      <c r="BP89" s="377"/>
      <c r="BQ89" s="377"/>
      <c r="BR89" s="377"/>
      <c r="BS89" s="377"/>
      <c r="BT89" s="377"/>
      <c r="BU89" s="377"/>
      <c r="BV89" s="377"/>
      <c r="BW89" s="377"/>
      <c r="BX89" s="377"/>
      <c r="BY89" s="377"/>
      <c r="BZ89" s="377"/>
      <c r="CA89" s="377"/>
      <c r="CB89" s="377"/>
      <c r="CC89" s="377"/>
      <c r="CD89" s="377"/>
      <c r="CE89" s="377"/>
      <c r="CF89" s="377"/>
      <c r="CG89" s="377"/>
      <c r="CH89" s="377"/>
      <c r="CI89" s="377"/>
    </row>
    <row r="90" spans="1:87" ht="45">
      <c r="A90" s="369">
        <f t="shared" si="115"/>
        <v>74</v>
      </c>
      <c r="B90" s="416">
        <f t="shared" si="115"/>
        <v>7</v>
      </c>
      <c r="C90" s="477" t="s">
        <v>1181</v>
      </c>
      <c r="D90" s="412" t="s">
        <v>1182</v>
      </c>
      <c r="E90" s="366" t="s">
        <v>998</v>
      </c>
      <c r="F90" s="366"/>
      <c r="G90" s="366" t="s">
        <v>1046</v>
      </c>
      <c r="H90" s="371" t="s">
        <v>1429</v>
      </c>
      <c r="I90" s="366">
        <v>17697</v>
      </c>
      <c r="J90" s="367">
        <v>9.5</v>
      </c>
      <c r="K90" s="367">
        <f t="shared" si="100"/>
        <v>168121.5</v>
      </c>
      <c r="L90" s="380">
        <v>15</v>
      </c>
      <c r="M90" s="380"/>
      <c r="N90" s="380"/>
      <c r="O90" s="380"/>
      <c r="P90" s="380"/>
      <c r="Q90" s="368">
        <f t="shared" si="101"/>
        <v>15</v>
      </c>
      <c r="R90" s="380">
        <v>10</v>
      </c>
      <c r="S90" s="380"/>
      <c r="T90" s="380"/>
      <c r="U90" s="380"/>
      <c r="V90" s="380"/>
      <c r="W90" s="381">
        <f>SUM(R90:V90)</f>
        <v>10</v>
      </c>
      <c r="X90" s="370">
        <f t="shared" si="103"/>
        <v>25</v>
      </c>
      <c r="Y90" s="367">
        <f t="shared" si="104"/>
        <v>262689.84375</v>
      </c>
      <c r="Z90" s="367">
        <f t="shared" si="105"/>
        <v>26268.984375</v>
      </c>
      <c r="AA90" s="366">
        <v>0</v>
      </c>
      <c r="AB90" s="367">
        <f t="shared" si="116"/>
        <v>0</v>
      </c>
      <c r="AC90" s="372">
        <v>25</v>
      </c>
      <c r="AD90" s="367">
        <f t="shared" si="117"/>
        <v>6912.890625</v>
      </c>
      <c r="AE90" s="366"/>
      <c r="AF90" s="366"/>
      <c r="AG90" s="367"/>
      <c r="AH90" s="366"/>
      <c r="AI90" s="367"/>
      <c r="AJ90" s="366">
        <f t="shared" si="118"/>
        <v>25</v>
      </c>
      <c r="AK90" s="367">
        <f t="shared" si="106"/>
        <v>11060.625</v>
      </c>
      <c r="AL90" s="366">
        <f t="shared" si="107"/>
        <v>25</v>
      </c>
      <c r="AM90" s="367">
        <f t="shared" si="108"/>
        <v>78806.953125</v>
      </c>
      <c r="AN90" s="366">
        <f t="shared" si="119"/>
        <v>0</v>
      </c>
      <c r="AO90" s="367" t="str">
        <f t="shared" si="109"/>
        <v>0</v>
      </c>
      <c r="AP90" s="367" t="str">
        <f t="shared" si="110"/>
        <v>0</v>
      </c>
      <c r="AQ90" s="367" t="str">
        <f t="shared" si="111"/>
        <v>0</v>
      </c>
      <c r="AR90" s="367" t="str">
        <f t="shared" si="112"/>
        <v>0</v>
      </c>
      <c r="AS90" s="366"/>
      <c r="AT90" s="367"/>
      <c r="AU90" s="371"/>
      <c r="AV90" s="367"/>
      <c r="AW90" s="371" t="str">
        <f>G90</f>
        <v>Магистр педагогических наук</v>
      </c>
      <c r="AX90" s="372">
        <f>10*4325</f>
        <v>43250</v>
      </c>
      <c r="AY90" s="367"/>
      <c r="AZ90" s="367">
        <f t="shared" si="113"/>
        <v>166299.453125</v>
      </c>
      <c r="BA90" s="373">
        <f t="shared" si="85"/>
        <v>428989.296875</v>
      </c>
      <c r="BB90" s="374">
        <f t="shared" si="90"/>
        <v>42898.9296875</v>
      </c>
      <c r="BC90" s="374">
        <f t="shared" si="91"/>
        <v>8579.7859375000007</v>
      </c>
      <c r="BD90" s="374">
        <f t="shared" si="86"/>
        <v>31696.058125</v>
      </c>
      <c r="BE90" s="374">
        <f t="shared" si="92"/>
        <v>345814.52312500001</v>
      </c>
      <c r="BF90" s="374">
        <f t="shared" si="93"/>
        <v>5147871.5625</v>
      </c>
      <c r="BG90" s="374">
        <f t="shared" si="87"/>
        <v>525379.6875</v>
      </c>
      <c r="BH90" s="374">
        <f t="shared" si="94"/>
        <v>5673251.25</v>
      </c>
      <c r="BI90" s="374">
        <f t="shared" si="88"/>
        <v>198563.79375000001</v>
      </c>
      <c r="BJ90" s="374">
        <f t="shared" si="89"/>
        <v>295030.25006249989</v>
      </c>
      <c r="BK90" s="374">
        <f t="shared" si="95"/>
        <v>255296.30625000002</v>
      </c>
      <c r="BL90" s="374">
        <f t="shared" si="96"/>
        <v>170197.53750000001</v>
      </c>
      <c r="BM90" s="373">
        <f t="shared" si="114"/>
        <v>6592339.1375625003</v>
      </c>
      <c r="BN90" s="375"/>
      <c r="BO90" s="377"/>
      <c r="BP90" s="377"/>
      <c r="BQ90" s="377"/>
      <c r="BR90" s="377"/>
      <c r="BS90" s="377"/>
      <c r="BT90" s="377"/>
      <c r="BU90" s="377"/>
      <c r="BV90" s="377"/>
      <c r="BW90" s="377"/>
      <c r="BX90" s="377"/>
      <c r="BY90" s="377"/>
      <c r="BZ90" s="377"/>
      <c r="CA90" s="377"/>
      <c r="CB90" s="377"/>
      <c r="CC90" s="377"/>
      <c r="CD90" s="377"/>
      <c r="CE90" s="377"/>
      <c r="CF90" s="377"/>
      <c r="CG90" s="377"/>
      <c r="CH90" s="377"/>
      <c r="CI90" s="377"/>
    </row>
    <row r="91" spans="1:87" ht="31.5">
      <c r="A91" s="369">
        <f t="shared" si="115"/>
        <v>75</v>
      </c>
      <c r="B91" s="416">
        <f t="shared" si="115"/>
        <v>8</v>
      </c>
      <c r="C91" s="477" t="s">
        <v>1183</v>
      </c>
      <c r="D91" s="412" t="s">
        <v>1184</v>
      </c>
      <c r="E91" s="366" t="s">
        <v>998</v>
      </c>
      <c r="F91" s="1314" t="s">
        <v>254</v>
      </c>
      <c r="G91" s="366"/>
      <c r="H91" s="371" t="s">
        <v>1430</v>
      </c>
      <c r="I91" s="366">
        <v>17697</v>
      </c>
      <c r="J91" s="367">
        <v>10</v>
      </c>
      <c r="K91" s="367">
        <f t="shared" si="100"/>
        <v>176970</v>
      </c>
      <c r="L91" s="380">
        <v>15</v>
      </c>
      <c r="M91" s="380">
        <v>6</v>
      </c>
      <c r="N91" s="380"/>
      <c r="O91" s="380"/>
      <c r="P91" s="380"/>
      <c r="Q91" s="368">
        <f t="shared" si="101"/>
        <v>21</v>
      </c>
      <c r="R91" s="380">
        <v>10</v>
      </c>
      <c r="S91" s="380">
        <v>4</v>
      </c>
      <c r="T91" s="380"/>
      <c r="U91" s="380"/>
      <c r="V91" s="380"/>
      <c r="W91" s="381">
        <f>SUM(R91:V91)</f>
        <v>14</v>
      </c>
      <c r="X91" s="370">
        <f t="shared" si="103"/>
        <v>35</v>
      </c>
      <c r="Y91" s="367">
        <f t="shared" si="104"/>
        <v>387121.875</v>
      </c>
      <c r="Z91" s="367">
        <f t="shared" si="105"/>
        <v>38712.1875</v>
      </c>
      <c r="AA91" s="366">
        <v>0</v>
      </c>
      <c r="AB91" s="367">
        <f t="shared" si="116"/>
        <v>0</v>
      </c>
      <c r="AC91" s="372">
        <v>35</v>
      </c>
      <c r="AD91" s="367">
        <f t="shared" si="117"/>
        <v>9678.046875</v>
      </c>
      <c r="AE91" s="366"/>
      <c r="AF91" s="366"/>
      <c r="AG91" s="367"/>
      <c r="AH91" s="366"/>
      <c r="AI91" s="367"/>
      <c r="AJ91" s="366">
        <f t="shared" si="118"/>
        <v>35</v>
      </c>
      <c r="AK91" s="367">
        <f t="shared" si="106"/>
        <v>15484.875</v>
      </c>
      <c r="AL91" s="366">
        <f t="shared" si="107"/>
        <v>35</v>
      </c>
      <c r="AM91" s="367">
        <f t="shared" si="108"/>
        <v>116136.5625</v>
      </c>
      <c r="AN91" s="366" t="str">
        <f t="shared" si="119"/>
        <v>Педагог-модератор</v>
      </c>
      <c r="AO91" s="367" t="str">
        <f t="shared" si="109"/>
        <v>0</v>
      </c>
      <c r="AP91" s="367" t="str">
        <f t="shared" si="110"/>
        <v>0</v>
      </c>
      <c r="AQ91" s="367" t="str">
        <f t="shared" si="111"/>
        <v>0</v>
      </c>
      <c r="AR91" s="367">
        <f t="shared" si="112"/>
        <v>116136.5625</v>
      </c>
      <c r="AS91" s="366"/>
      <c r="AT91" s="367"/>
      <c r="AU91" s="371"/>
      <c r="AV91" s="367"/>
      <c r="AW91" s="371"/>
      <c r="AX91" s="372"/>
      <c r="AY91" s="367"/>
      <c r="AZ91" s="367">
        <f t="shared" si="113"/>
        <v>296148.234375</v>
      </c>
      <c r="BA91" s="373">
        <f t="shared" si="85"/>
        <v>683270.109375</v>
      </c>
      <c r="BB91" s="374">
        <f t="shared" si="90"/>
        <v>68327.010937500003</v>
      </c>
      <c r="BC91" s="374">
        <f t="shared" si="91"/>
        <v>13665.4021875</v>
      </c>
      <c r="BD91" s="374">
        <f t="shared" si="86"/>
        <v>54072.769624999994</v>
      </c>
      <c r="BE91" s="374">
        <f t="shared" si="92"/>
        <v>547204.92662499996</v>
      </c>
      <c r="BF91" s="374">
        <f t="shared" si="93"/>
        <v>8199241.3125</v>
      </c>
      <c r="BG91" s="374">
        <f t="shared" si="87"/>
        <v>774243.75</v>
      </c>
      <c r="BH91" s="374">
        <f t="shared" si="94"/>
        <v>8973485.0625</v>
      </c>
      <c r="BI91" s="374">
        <f t="shared" si="88"/>
        <v>314071.97718750004</v>
      </c>
      <c r="BJ91" s="374">
        <f t="shared" si="89"/>
        <v>466529.86248749995</v>
      </c>
      <c r="BK91" s="374">
        <f t="shared" si="95"/>
        <v>403806.82781250007</v>
      </c>
      <c r="BL91" s="374">
        <f t="shared" si="96"/>
        <v>269204.551875</v>
      </c>
      <c r="BM91" s="373">
        <f t="shared" si="114"/>
        <v>10427098.281862501</v>
      </c>
      <c r="BN91" s="375"/>
      <c r="BO91" s="377"/>
      <c r="BP91" s="377"/>
      <c r="BQ91" s="377"/>
      <c r="BR91" s="377"/>
      <c r="BS91" s="377"/>
      <c r="BT91" s="377"/>
      <c r="BU91" s="377"/>
      <c r="BV91" s="377"/>
      <c r="BW91" s="377"/>
      <c r="BX91" s="377"/>
      <c r="BY91" s="377"/>
      <c r="BZ91" s="377"/>
      <c r="CA91" s="377"/>
      <c r="CB91" s="377"/>
      <c r="CC91" s="377"/>
      <c r="CD91" s="377"/>
      <c r="CE91" s="377"/>
      <c r="CF91" s="377"/>
      <c r="CG91" s="377"/>
      <c r="CH91" s="377"/>
      <c r="CI91" s="377"/>
    </row>
    <row r="92" spans="1:87" ht="31.5">
      <c r="A92" s="369">
        <f t="shared" si="115"/>
        <v>76</v>
      </c>
      <c r="B92" s="416">
        <f t="shared" si="115"/>
        <v>9</v>
      </c>
      <c r="C92" s="409" t="s">
        <v>1185</v>
      </c>
      <c r="D92" s="412" t="s">
        <v>1186</v>
      </c>
      <c r="E92" s="366" t="s">
        <v>998</v>
      </c>
      <c r="F92" s="366"/>
      <c r="G92" s="366"/>
      <c r="H92" s="371" t="s">
        <v>1187</v>
      </c>
      <c r="I92" s="366">
        <v>17697</v>
      </c>
      <c r="J92" s="367">
        <v>11.4</v>
      </c>
      <c r="K92" s="367">
        <f t="shared" si="100"/>
        <v>201745.80000000002</v>
      </c>
      <c r="L92" s="380"/>
      <c r="M92" s="380">
        <v>3</v>
      </c>
      <c r="N92" s="380"/>
      <c r="O92" s="380"/>
      <c r="P92" s="380"/>
      <c r="Q92" s="368">
        <f t="shared" si="101"/>
        <v>3</v>
      </c>
      <c r="R92" s="380"/>
      <c r="S92" s="380">
        <v>2</v>
      </c>
      <c r="T92" s="380"/>
      <c r="U92" s="380"/>
      <c r="V92" s="380"/>
      <c r="W92" s="381">
        <f t="shared" si="102"/>
        <v>2</v>
      </c>
      <c r="X92" s="370">
        <f t="shared" si="103"/>
        <v>5</v>
      </c>
      <c r="Y92" s="367">
        <f t="shared" si="104"/>
        <v>63045.562500000007</v>
      </c>
      <c r="Z92" s="367">
        <f t="shared" si="105"/>
        <v>6304.5562500000015</v>
      </c>
      <c r="AA92" s="366">
        <v>5</v>
      </c>
      <c r="AB92" s="367">
        <f t="shared" si="116"/>
        <v>2765.15625</v>
      </c>
      <c r="AC92" s="366">
        <v>0</v>
      </c>
      <c r="AD92" s="367">
        <f t="shared" si="117"/>
        <v>0</v>
      </c>
      <c r="AE92" s="366"/>
      <c r="AF92" s="366"/>
      <c r="AG92" s="367"/>
      <c r="AH92" s="366"/>
      <c r="AI92" s="367"/>
      <c r="AJ92" s="366">
        <f t="shared" si="118"/>
        <v>5</v>
      </c>
      <c r="AK92" s="367">
        <f t="shared" si="106"/>
        <v>2212.125</v>
      </c>
      <c r="AL92" s="366">
        <f t="shared" si="107"/>
        <v>5</v>
      </c>
      <c r="AM92" s="367">
        <f t="shared" si="108"/>
        <v>18913.668750000001</v>
      </c>
      <c r="AN92" s="366">
        <f t="shared" si="119"/>
        <v>0</v>
      </c>
      <c r="AO92" s="367" t="str">
        <f t="shared" si="109"/>
        <v>0</v>
      </c>
      <c r="AP92" s="367" t="str">
        <f t="shared" si="110"/>
        <v>0</v>
      </c>
      <c r="AQ92" s="367" t="str">
        <f t="shared" si="111"/>
        <v>0</v>
      </c>
      <c r="AR92" s="367" t="str">
        <f t="shared" si="112"/>
        <v>0</v>
      </c>
      <c r="AS92" s="366"/>
      <c r="AT92" s="367"/>
      <c r="AU92" s="371"/>
      <c r="AV92" s="367"/>
      <c r="AW92" s="371"/>
      <c r="AX92" s="372"/>
      <c r="AY92" s="367"/>
      <c r="AZ92" s="367">
        <f t="shared" si="113"/>
        <v>30195.506250000002</v>
      </c>
      <c r="BA92" s="373">
        <f t="shared" si="85"/>
        <v>93241.068750000006</v>
      </c>
      <c r="BB92" s="374">
        <f t="shared" si="90"/>
        <v>9324.1068750000013</v>
      </c>
      <c r="BC92" s="374">
        <f t="shared" si="91"/>
        <v>1864.8213750000002</v>
      </c>
      <c r="BD92" s="374">
        <f t="shared" si="86"/>
        <v>2150.214050000001</v>
      </c>
      <c r="BE92" s="374">
        <f t="shared" si="92"/>
        <v>79901.926450000014</v>
      </c>
      <c r="BF92" s="374">
        <f t="shared" si="93"/>
        <v>1118892.8250000002</v>
      </c>
      <c r="BG92" s="374">
        <f t="shared" si="87"/>
        <v>126091.12500000001</v>
      </c>
      <c r="BH92" s="374">
        <f t="shared" si="94"/>
        <v>1244983.9500000002</v>
      </c>
      <c r="BI92" s="374">
        <f t="shared" si="88"/>
        <v>43574.438250000014</v>
      </c>
      <c r="BJ92" s="374">
        <f t="shared" si="89"/>
        <v>64767.56908500001</v>
      </c>
      <c r="BK92" s="374">
        <f t="shared" si="95"/>
        <v>56024.277750000008</v>
      </c>
      <c r="BL92" s="374">
        <f t="shared" si="96"/>
        <v>37349.518500000006</v>
      </c>
      <c r="BM92" s="373">
        <f t="shared" si="114"/>
        <v>1446699.7535850003</v>
      </c>
      <c r="BN92" s="375"/>
      <c r="BO92" s="377"/>
      <c r="BP92" s="377"/>
      <c r="BQ92" s="377"/>
      <c r="BR92" s="377"/>
      <c r="BS92" s="377"/>
      <c r="BT92" s="377"/>
      <c r="BU92" s="377"/>
      <c r="BV92" s="377"/>
      <c r="BW92" s="377"/>
      <c r="BX92" s="377"/>
      <c r="BY92" s="377"/>
      <c r="BZ92" s="377"/>
      <c r="CA92" s="377"/>
      <c r="CB92" s="377"/>
      <c r="CC92" s="377"/>
      <c r="CD92" s="377"/>
      <c r="CE92" s="377"/>
      <c r="CF92" s="377"/>
      <c r="CG92" s="377"/>
      <c r="CH92" s="377"/>
      <c r="CI92" s="377"/>
    </row>
    <row r="93" spans="1:87" ht="75">
      <c r="A93" s="369">
        <f t="shared" si="115"/>
        <v>77</v>
      </c>
      <c r="B93" s="416">
        <f t="shared" si="115"/>
        <v>10</v>
      </c>
      <c r="C93" s="409" t="s">
        <v>1188</v>
      </c>
      <c r="D93" s="412" t="s">
        <v>1189</v>
      </c>
      <c r="E93" s="366" t="s">
        <v>998</v>
      </c>
      <c r="F93" s="508" t="s">
        <v>1005</v>
      </c>
      <c r="G93" s="366" t="s">
        <v>1190</v>
      </c>
      <c r="H93" s="371" t="s">
        <v>1431</v>
      </c>
      <c r="I93" s="366">
        <v>17697</v>
      </c>
      <c r="J93" s="367">
        <v>10.82</v>
      </c>
      <c r="K93" s="367">
        <f t="shared" si="100"/>
        <v>191481.54</v>
      </c>
      <c r="L93" s="380"/>
      <c r="M93" s="380"/>
      <c r="N93" s="380">
        <v>21</v>
      </c>
      <c r="O93" s="380"/>
      <c r="P93" s="380"/>
      <c r="Q93" s="368">
        <f t="shared" si="101"/>
        <v>21</v>
      </c>
      <c r="R93" s="380"/>
      <c r="S93" s="380"/>
      <c r="T93" s="380">
        <v>14</v>
      </c>
      <c r="U93" s="380"/>
      <c r="V93" s="380"/>
      <c r="W93" s="381">
        <f t="shared" si="102"/>
        <v>14</v>
      </c>
      <c r="X93" s="370">
        <f t="shared" si="103"/>
        <v>35</v>
      </c>
      <c r="Y93" s="367">
        <f t="shared" si="104"/>
        <v>418865.86875000002</v>
      </c>
      <c r="Z93" s="367">
        <f t="shared" si="105"/>
        <v>41886.586875000008</v>
      </c>
      <c r="AA93" s="366">
        <v>35</v>
      </c>
      <c r="AB93" s="367">
        <f t="shared" si="116"/>
        <v>19356.09375</v>
      </c>
      <c r="AC93" s="366">
        <v>0</v>
      </c>
      <c r="AD93" s="367">
        <f t="shared" si="117"/>
        <v>0</v>
      </c>
      <c r="AE93" s="366"/>
      <c r="AF93" s="366" t="s">
        <v>260</v>
      </c>
      <c r="AG93" s="367">
        <f>17697*20%</f>
        <v>3539.4</v>
      </c>
      <c r="AH93" s="366"/>
      <c r="AI93" s="367"/>
      <c r="AJ93" s="366">
        <f t="shared" si="118"/>
        <v>35</v>
      </c>
      <c r="AK93" s="367">
        <f t="shared" si="106"/>
        <v>15484.875</v>
      </c>
      <c r="AL93" s="366">
        <f t="shared" si="107"/>
        <v>35</v>
      </c>
      <c r="AM93" s="367">
        <f t="shared" si="108"/>
        <v>125659.760625</v>
      </c>
      <c r="AN93" s="366" t="str">
        <f t="shared" si="119"/>
        <v>Педагог-зерттеуші</v>
      </c>
      <c r="AO93" s="367" t="str">
        <f t="shared" si="109"/>
        <v>0</v>
      </c>
      <c r="AP93" s="367">
        <f t="shared" si="110"/>
        <v>167546.34750000003</v>
      </c>
      <c r="AQ93" s="367" t="str">
        <f t="shared" si="111"/>
        <v>0</v>
      </c>
      <c r="AR93" s="367" t="str">
        <f t="shared" si="112"/>
        <v>0</v>
      </c>
      <c r="AS93" s="366"/>
      <c r="AT93" s="367"/>
      <c r="AU93" s="371"/>
      <c r="AV93" s="367"/>
      <c r="AW93" s="371" t="str">
        <f>G93</f>
        <v>Магистр-иностранный язык (два инностранных языка)</v>
      </c>
      <c r="AX93" s="372">
        <f>10*4325</f>
        <v>43250</v>
      </c>
      <c r="AY93" s="367"/>
      <c r="AZ93" s="367">
        <f t="shared" si="113"/>
        <v>416723.06375000003</v>
      </c>
      <c r="BA93" s="373">
        <f t="shared" si="85"/>
        <v>835588.93250000011</v>
      </c>
      <c r="BB93" s="374">
        <f t="shared" si="90"/>
        <v>83558.893250000023</v>
      </c>
      <c r="BC93" s="374">
        <f t="shared" si="91"/>
        <v>16711.778650000004</v>
      </c>
      <c r="BD93" s="374">
        <f t="shared" si="86"/>
        <v>67476.826060000021</v>
      </c>
      <c r="BE93" s="374">
        <f t="shared" si="92"/>
        <v>667841.43454000016</v>
      </c>
      <c r="BF93" s="374">
        <f t="shared" si="93"/>
        <v>10027067.190000001</v>
      </c>
      <c r="BG93" s="374">
        <f t="shared" si="87"/>
        <v>837731.73750000005</v>
      </c>
      <c r="BH93" s="374">
        <f t="shared" si="94"/>
        <v>10864798.927500002</v>
      </c>
      <c r="BI93" s="374">
        <f t="shared" si="88"/>
        <v>380267.96246250009</v>
      </c>
      <c r="BJ93" s="374">
        <f t="shared" si="89"/>
        <v>564639.59426699998</v>
      </c>
      <c r="BK93" s="374">
        <f t="shared" si="95"/>
        <v>488915.95173750009</v>
      </c>
      <c r="BL93" s="374">
        <f t="shared" si="96"/>
        <v>325943.96782500006</v>
      </c>
      <c r="BM93" s="373">
        <f t="shared" si="114"/>
        <v>12624566.403792001</v>
      </c>
      <c r="BN93" s="375"/>
      <c r="BO93" s="377"/>
      <c r="BP93" s="377"/>
      <c r="BQ93" s="377"/>
      <c r="BR93" s="377"/>
      <c r="BS93" s="377"/>
      <c r="BT93" s="377"/>
      <c r="BU93" s="377"/>
      <c r="BV93" s="377"/>
      <c r="BW93" s="377"/>
      <c r="BX93" s="377"/>
      <c r="BY93" s="377"/>
      <c r="BZ93" s="377"/>
      <c r="CA93" s="377"/>
      <c r="CB93" s="377"/>
      <c r="CC93" s="377"/>
      <c r="CD93" s="377"/>
      <c r="CE93" s="377"/>
      <c r="CF93" s="377"/>
      <c r="CG93" s="377"/>
      <c r="CH93" s="377"/>
      <c r="CI93" s="377"/>
    </row>
    <row r="94" spans="1:87" ht="31.5">
      <c r="A94" s="369">
        <f t="shared" si="115"/>
        <v>78</v>
      </c>
      <c r="B94" s="416">
        <f t="shared" si="115"/>
        <v>11</v>
      </c>
      <c r="C94" s="409" t="s">
        <v>1191</v>
      </c>
      <c r="D94" s="412" t="s">
        <v>1192</v>
      </c>
      <c r="E94" s="366" t="s">
        <v>998</v>
      </c>
      <c r="F94" s="508" t="s">
        <v>1011</v>
      </c>
      <c r="G94" s="366"/>
      <c r="H94" s="371" t="s">
        <v>1432</v>
      </c>
      <c r="I94" s="366">
        <v>17697</v>
      </c>
      <c r="J94" s="367">
        <v>11.4</v>
      </c>
      <c r="K94" s="367">
        <f t="shared" si="100"/>
        <v>201745.80000000002</v>
      </c>
      <c r="L94" s="380">
        <v>15</v>
      </c>
      <c r="M94" s="380">
        <v>6</v>
      </c>
      <c r="N94" s="380"/>
      <c r="O94" s="380"/>
      <c r="P94" s="380"/>
      <c r="Q94" s="368">
        <f t="shared" si="101"/>
        <v>21</v>
      </c>
      <c r="R94" s="380">
        <v>10</v>
      </c>
      <c r="S94" s="380">
        <v>4</v>
      </c>
      <c r="T94" s="380"/>
      <c r="U94" s="380"/>
      <c r="V94" s="380"/>
      <c r="W94" s="381">
        <f t="shared" si="102"/>
        <v>14</v>
      </c>
      <c r="X94" s="370">
        <f t="shared" si="103"/>
        <v>35</v>
      </c>
      <c r="Y94" s="367">
        <f t="shared" si="104"/>
        <v>441318.93750000006</v>
      </c>
      <c r="Z94" s="367">
        <f t="shared" si="105"/>
        <v>44131.89375000001</v>
      </c>
      <c r="AA94" s="366">
        <v>10</v>
      </c>
      <c r="AB94" s="367">
        <f t="shared" si="116"/>
        <v>5530.3125</v>
      </c>
      <c r="AC94" s="366">
        <v>25</v>
      </c>
      <c r="AD94" s="367">
        <f t="shared" si="117"/>
        <v>6912.890625</v>
      </c>
      <c r="AE94" s="366"/>
      <c r="AF94" s="366"/>
      <c r="AG94" s="367"/>
      <c r="AH94" s="366"/>
      <c r="AI94" s="367"/>
      <c r="AJ94" s="366">
        <f t="shared" si="118"/>
        <v>35</v>
      </c>
      <c r="AK94" s="367">
        <f t="shared" si="106"/>
        <v>15484.875</v>
      </c>
      <c r="AL94" s="366">
        <f t="shared" si="107"/>
        <v>35</v>
      </c>
      <c r="AM94" s="367">
        <f t="shared" si="108"/>
        <v>132395.68125000002</v>
      </c>
      <c r="AN94" s="366" t="str">
        <f t="shared" si="119"/>
        <v>Педагог-сарапшы</v>
      </c>
      <c r="AO94" s="367" t="str">
        <f t="shared" si="109"/>
        <v>0</v>
      </c>
      <c r="AP94" s="367" t="str">
        <f t="shared" si="110"/>
        <v>0</v>
      </c>
      <c r="AQ94" s="367">
        <f t="shared" si="111"/>
        <v>154461.62812500002</v>
      </c>
      <c r="AR94" s="367" t="str">
        <f t="shared" si="112"/>
        <v>0</v>
      </c>
      <c r="AS94" s="366"/>
      <c r="AT94" s="367"/>
      <c r="AU94" s="371"/>
      <c r="AV94" s="367"/>
      <c r="AW94" s="371"/>
      <c r="AX94" s="372"/>
      <c r="AY94" s="367"/>
      <c r="AZ94" s="367">
        <f t="shared" si="113"/>
        <v>358917.28125000006</v>
      </c>
      <c r="BA94" s="373">
        <f t="shared" si="85"/>
        <v>800236.21875000012</v>
      </c>
      <c r="BB94" s="374">
        <f t="shared" si="90"/>
        <v>80023.621875000012</v>
      </c>
      <c r="BC94" s="374">
        <f t="shared" si="91"/>
        <v>16004.724375000003</v>
      </c>
      <c r="BD94" s="374">
        <f t="shared" si="86"/>
        <v>64365.787250000008</v>
      </c>
      <c r="BE94" s="374">
        <f t="shared" si="92"/>
        <v>639842.08525</v>
      </c>
      <c r="BF94" s="374">
        <f t="shared" si="93"/>
        <v>9602834.6250000019</v>
      </c>
      <c r="BG94" s="374">
        <f t="shared" si="87"/>
        <v>882637.87500000012</v>
      </c>
      <c r="BH94" s="374">
        <f t="shared" si="94"/>
        <v>10485472.500000002</v>
      </c>
      <c r="BI94" s="374">
        <f t="shared" si="88"/>
        <v>366991.53750000009</v>
      </c>
      <c r="BJ94" s="374">
        <f t="shared" si="89"/>
        <v>545089.27882499993</v>
      </c>
      <c r="BK94" s="374">
        <f t="shared" si="95"/>
        <v>471846.26250000013</v>
      </c>
      <c r="BL94" s="374">
        <f t="shared" si="96"/>
        <v>314564.17500000005</v>
      </c>
      <c r="BM94" s="373">
        <f t="shared" si="114"/>
        <v>12183963.753825001</v>
      </c>
      <c r="BN94" s="375"/>
      <c r="BO94" s="377"/>
      <c r="BP94" s="377"/>
      <c r="BQ94" s="377"/>
      <c r="BR94" s="377"/>
      <c r="BS94" s="377"/>
      <c r="BT94" s="377"/>
      <c r="BU94" s="377"/>
      <c r="BV94" s="377"/>
      <c r="BW94" s="377"/>
      <c r="BX94" s="377"/>
      <c r="BY94" s="377"/>
      <c r="BZ94" s="377"/>
      <c r="CA94" s="377"/>
      <c r="CB94" s="377"/>
      <c r="CC94" s="377"/>
      <c r="CD94" s="377"/>
      <c r="CE94" s="377"/>
      <c r="CF94" s="377"/>
      <c r="CG94" s="377"/>
      <c r="CH94" s="377"/>
      <c r="CI94" s="377"/>
    </row>
    <row r="95" spans="1:87" ht="94.5">
      <c r="A95" s="369">
        <f t="shared" si="115"/>
        <v>79</v>
      </c>
      <c r="B95" s="416">
        <f t="shared" si="115"/>
        <v>12</v>
      </c>
      <c r="C95" s="473" t="s">
        <v>912</v>
      </c>
      <c r="D95" s="421" t="s">
        <v>1193</v>
      </c>
      <c r="E95" s="366" t="s">
        <v>998</v>
      </c>
      <c r="F95" s="1314" t="s">
        <v>254</v>
      </c>
      <c r="G95" s="393" t="s">
        <v>1190</v>
      </c>
      <c r="H95" s="478" t="s">
        <v>278</v>
      </c>
      <c r="I95" s="393">
        <v>17697</v>
      </c>
      <c r="J95" s="479">
        <v>10</v>
      </c>
      <c r="K95" s="479">
        <f t="shared" si="100"/>
        <v>176970</v>
      </c>
      <c r="L95" s="430"/>
      <c r="M95" s="430"/>
      <c r="N95" s="430">
        <v>6</v>
      </c>
      <c r="O95" s="430">
        <v>15</v>
      </c>
      <c r="P95" s="430"/>
      <c r="Q95" s="368">
        <f t="shared" si="101"/>
        <v>21</v>
      </c>
      <c r="R95" s="430"/>
      <c r="S95" s="430"/>
      <c r="T95" s="430">
        <v>4</v>
      </c>
      <c r="U95" s="430">
        <v>8</v>
      </c>
      <c r="V95" s="430"/>
      <c r="W95" s="381">
        <f t="shared" si="102"/>
        <v>12</v>
      </c>
      <c r="X95" s="370">
        <f t="shared" si="103"/>
        <v>33</v>
      </c>
      <c r="Y95" s="479">
        <f t="shared" si="104"/>
        <v>365000.625</v>
      </c>
      <c r="Z95" s="367">
        <f t="shared" si="105"/>
        <v>36500.0625</v>
      </c>
      <c r="AA95" s="366">
        <v>25</v>
      </c>
      <c r="AB95" s="367">
        <f t="shared" si="116"/>
        <v>13825.78125</v>
      </c>
      <c r="AC95" s="366">
        <v>4</v>
      </c>
      <c r="AD95" s="367">
        <f t="shared" si="117"/>
        <v>1106.0625</v>
      </c>
      <c r="AE95" s="393"/>
      <c r="AF95" s="366" t="s">
        <v>1194</v>
      </c>
      <c r="AG95" s="367">
        <f>17697*20%</f>
        <v>3539.4</v>
      </c>
      <c r="AH95" s="393"/>
      <c r="AI95" s="479"/>
      <c r="AJ95" s="366">
        <f t="shared" si="118"/>
        <v>33</v>
      </c>
      <c r="AK95" s="479">
        <f t="shared" si="106"/>
        <v>14600.025000000001</v>
      </c>
      <c r="AL95" s="393">
        <f t="shared" si="107"/>
        <v>33</v>
      </c>
      <c r="AM95" s="479">
        <f t="shared" si="108"/>
        <v>109500.1875</v>
      </c>
      <c r="AN95" s="393" t="str">
        <f t="shared" si="119"/>
        <v>Педагог-модератор</v>
      </c>
      <c r="AO95" s="479" t="str">
        <f t="shared" si="109"/>
        <v>0</v>
      </c>
      <c r="AP95" s="479" t="str">
        <f t="shared" si="110"/>
        <v>0</v>
      </c>
      <c r="AQ95" s="479" t="str">
        <f t="shared" si="111"/>
        <v>0</v>
      </c>
      <c r="AR95" s="479">
        <f t="shared" si="112"/>
        <v>109500.1875</v>
      </c>
      <c r="AS95" s="393"/>
      <c r="AT95" s="479"/>
      <c r="AU95" s="478"/>
      <c r="AV95" s="479"/>
      <c r="AW95" s="478" t="str">
        <f>G95</f>
        <v>Магистр-иностранный язык (два инностранных языка)</v>
      </c>
      <c r="AX95" s="372">
        <f>10*4325</f>
        <v>43250</v>
      </c>
      <c r="AY95" s="479"/>
      <c r="AZ95" s="367">
        <f t="shared" si="113"/>
        <v>331821.70624999999</v>
      </c>
      <c r="BA95" s="373">
        <f t="shared" si="85"/>
        <v>696822.33125000005</v>
      </c>
      <c r="BB95" s="374">
        <f t="shared" si="90"/>
        <v>69682.233125000013</v>
      </c>
      <c r="BC95" s="374">
        <f t="shared" si="91"/>
        <v>13936.446625</v>
      </c>
      <c r="BD95" s="374">
        <f t="shared" si="86"/>
        <v>55265.365150000005</v>
      </c>
      <c r="BE95" s="374">
        <f t="shared" si="92"/>
        <v>557938.28635000007</v>
      </c>
      <c r="BF95" s="374">
        <f t="shared" si="93"/>
        <v>8361867.9750000006</v>
      </c>
      <c r="BG95" s="374">
        <f t="shared" si="87"/>
        <v>730001.25</v>
      </c>
      <c r="BH95" s="374">
        <f t="shared" si="94"/>
        <v>9091869.2250000015</v>
      </c>
      <c r="BI95" s="374">
        <f t="shared" si="88"/>
        <v>318215.42287500011</v>
      </c>
      <c r="BJ95" s="374">
        <f t="shared" si="89"/>
        <v>472564.82860499999</v>
      </c>
      <c r="BK95" s="374">
        <f t="shared" si="95"/>
        <v>409134.11512500007</v>
      </c>
      <c r="BL95" s="374">
        <f t="shared" si="96"/>
        <v>272756.07675000001</v>
      </c>
      <c r="BM95" s="373">
        <f t="shared" si="114"/>
        <v>10564539.668355001</v>
      </c>
      <c r="BN95" s="480"/>
      <c r="BO95" s="481"/>
      <c r="BP95" s="481"/>
      <c r="BQ95" s="481"/>
      <c r="BR95" s="481"/>
      <c r="BS95" s="481"/>
      <c r="BT95" s="481"/>
      <c r="BU95" s="481"/>
      <c r="BV95" s="481"/>
      <c r="BW95" s="481"/>
      <c r="BX95" s="481"/>
      <c r="BY95" s="481"/>
      <c r="BZ95" s="481"/>
      <c r="CA95" s="481"/>
      <c r="CB95" s="481"/>
      <c r="CC95" s="481"/>
      <c r="CD95" s="481"/>
      <c r="CE95" s="481"/>
      <c r="CF95" s="481"/>
      <c r="CG95" s="481"/>
      <c r="CH95" s="481"/>
      <c r="CI95" s="481"/>
    </row>
    <row r="96" spans="1:87" ht="78.75">
      <c r="A96" s="369">
        <f t="shared" si="115"/>
        <v>80</v>
      </c>
      <c r="B96" s="416">
        <f t="shared" si="115"/>
        <v>13</v>
      </c>
      <c r="C96" s="473" t="s">
        <v>913</v>
      </c>
      <c r="D96" s="421" t="s">
        <v>1195</v>
      </c>
      <c r="E96" s="366" t="s">
        <v>998</v>
      </c>
      <c r="F96" s="1314" t="s">
        <v>254</v>
      </c>
      <c r="G96" s="393" t="s">
        <v>1196</v>
      </c>
      <c r="H96" s="478" t="s">
        <v>1433</v>
      </c>
      <c r="I96" s="393">
        <v>17697</v>
      </c>
      <c r="J96" s="479">
        <v>9.5</v>
      </c>
      <c r="K96" s="479">
        <f t="shared" si="100"/>
        <v>168121.5</v>
      </c>
      <c r="L96" s="430"/>
      <c r="M96" s="430">
        <v>12</v>
      </c>
      <c r="N96" s="430"/>
      <c r="O96" s="430">
        <v>6</v>
      </c>
      <c r="P96" s="430"/>
      <c r="Q96" s="368">
        <f t="shared" si="101"/>
        <v>18</v>
      </c>
      <c r="R96" s="430"/>
      <c r="S96" s="430">
        <v>8</v>
      </c>
      <c r="T96" s="430"/>
      <c r="U96" s="380">
        <v>2</v>
      </c>
      <c r="V96" s="430"/>
      <c r="W96" s="381">
        <f t="shared" si="102"/>
        <v>10</v>
      </c>
      <c r="X96" s="370">
        <f t="shared" si="103"/>
        <v>28</v>
      </c>
      <c r="Y96" s="479">
        <f t="shared" si="104"/>
        <v>294212.625</v>
      </c>
      <c r="Z96" s="367">
        <f t="shared" si="105"/>
        <v>29421.262500000001</v>
      </c>
      <c r="AA96" s="366">
        <v>17</v>
      </c>
      <c r="AB96" s="367">
        <f t="shared" si="116"/>
        <v>9401.53125</v>
      </c>
      <c r="AC96" s="366">
        <v>10</v>
      </c>
      <c r="AD96" s="367">
        <f t="shared" si="117"/>
        <v>2765.15625</v>
      </c>
      <c r="AE96" s="393"/>
      <c r="AF96" s="366"/>
      <c r="AG96" s="367"/>
      <c r="AH96" s="366" t="s">
        <v>258</v>
      </c>
      <c r="AI96" s="367">
        <f>I96*200%</f>
        <v>35394</v>
      </c>
      <c r="AJ96" s="366">
        <f t="shared" si="118"/>
        <v>28</v>
      </c>
      <c r="AK96" s="479">
        <f t="shared" si="106"/>
        <v>12387.900000000001</v>
      </c>
      <c r="AL96" s="393">
        <f t="shared" si="107"/>
        <v>28</v>
      </c>
      <c r="AM96" s="479">
        <f t="shared" si="108"/>
        <v>88263.787499999991</v>
      </c>
      <c r="AN96" s="393" t="str">
        <f t="shared" si="119"/>
        <v>Педагог-модератор</v>
      </c>
      <c r="AO96" s="479" t="str">
        <f t="shared" si="109"/>
        <v>0</v>
      </c>
      <c r="AP96" s="479" t="str">
        <f t="shared" si="110"/>
        <v>0</v>
      </c>
      <c r="AQ96" s="479" t="str">
        <f t="shared" si="111"/>
        <v>0</v>
      </c>
      <c r="AR96" s="479">
        <f t="shared" si="112"/>
        <v>88263.787499999991</v>
      </c>
      <c r="AS96" s="393"/>
      <c r="AT96" s="479"/>
      <c r="AU96" s="478"/>
      <c r="AV96" s="479"/>
      <c r="AW96" s="478" t="str">
        <f>G96</f>
        <v>Магистр по спец.управлении образованием</v>
      </c>
      <c r="AX96" s="372">
        <f>10*4325</f>
        <v>43250</v>
      </c>
      <c r="AY96" s="479"/>
      <c r="AZ96" s="367">
        <f t="shared" si="113"/>
        <v>309147.42499999999</v>
      </c>
      <c r="BA96" s="373">
        <f t="shared" si="85"/>
        <v>603360.05000000005</v>
      </c>
      <c r="BB96" s="374">
        <f t="shared" si="90"/>
        <v>60336.005000000005</v>
      </c>
      <c r="BC96" s="374">
        <f t="shared" si="91"/>
        <v>12067.201000000001</v>
      </c>
      <c r="BD96" s="374">
        <f t="shared" si="86"/>
        <v>47040.684400000006</v>
      </c>
      <c r="BE96" s="374">
        <f t="shared" si="92"/>
        <v>483916.15960000001</v>
      </c>
      <c r="BF96" s="374">
        <f t="shared" si="93"/>
        <v>7240320.6000000006</v>
      </c>
      <c r="BG96" s="374">
        <f t="shared" si="87"/>
        <v>588425.25</v>
      </c>
      <c r="BH96" s="374">
        <f t="shared" si="94"/>
        <v>7828745.8500000006</v>
      </c>
      <c r="BI96" s="374">
        <f t="shared" si="88"/>
        <v>274006.10475000006</v>
      </c>
      <c r="BJ96" s="374">
        <f t="shared" si="89"/>
        <v>406823.57058</v>
      </c>
      <c r="BK96" s="374">
        <f t="shared" si="95"/>
        <v>352293.56325000006</v>
      </c>
      <c r="BL96" s="374">
        <f t="shared" si="96"/>
        <v>234862.37549999999</v>
      </c>
      <c r="BM96" s="373">
        <f t="shared" si="114"/>
        <v>9096731.4640800003</v>
      </c>
      <c r="BN96" s="482">
        <v>0.25</v>
      </c>
      <c r="BO96" s="481"/>
      <c r="BP96" s="481"/>
      <c r="BQ96" s="481"/>
      <c r="BR96" s="481"/>
      <c r="BS96" s="481"/>
      <c r="BT96" s="481"/>
      <c r="BU96" s="481"/>
      <c r="BV96" s="481"/>
      <c r="BW96" s="481"/>
      <c r="BX96" s="481"/>
      <c r="BY96" s="481"/>
      <c r="BZ96" s="481"/>
      <c r="CA96" s="481"/>
      <c r="CB96" s="481"/>
      <c r="CC96" s="481"/>
      <c r="CD96" s="481"/>
      <c r="CE96" s="481"/>
      <c r="CF96" s="481"/>
      <c r="CG96" s="481"/>
      <c r="CH96" s="481"/>
      <c r="CI96" s="481"/>
    </row>
    <row r="97" spans="1:87" ht="31.5">
      <c r="A97" s="369">
        <f t="shared" si="115"/>
        <v>81</v>
      </c>
      <c r="B97" s="416">
        <f t="shared" si="115"/>
        <v>14</v>
      </c>
      <c r="C97" s="409" t="s">
        <v>1197</v>
      </c>
      <c r="D97" s="410" t="s">
        <v>1198</v>
      </c>
      <c r="E97" s="366" t="s">
        <v>998</v>
      </c>
      <c r="F97" s="508" t="s">
        <v>1005</v>
      </c>
      <c r="G97" s="366"/>
      <c r="H97" s="371" t="s">
        <v>1199</v>
      </c>
      <c r="I97" s="366">
        <v>17697</v>
      </c>
      <c r="J97" s="367">
        <v>11.4</v>
      </c>
      <c r="K97" s="367">
        <f t="shared" si="100"/>
        <v>201745.80000000002</v>
      </c>
      <c r="L97" s="380"/>
      <c r="M97" s="380"/>
      <c r="N97" s="380">
        <v>3</v>
      </c>
      <c r="O97" s="380"/>
      <c r="P97" s="380"/>
      <c r="Q97" s="368">
        <f t="shared" si="101"/>
        <v>3</v>
      </c>
      <c r="R97" s="380"/>
      <c r="S97" s="380"/>
      <c r="T97" s="380">
        <v>2</v>
      </c>
      <c r="U97" s="380"/>
      <c r="V97" s="380"/>
      <c r="W97" s="381">
        <f t="shared" si="102"/>
        <v>2</v>
      </c>
      <c r="X97" s="370">
        <f t="shared" si="103"/>
        <v>5</v>
      </c>
      <c r="Y97" s="367">
        <f t="shared" si="104"/>
        <v>63045.562500000007</v>
      </c>
      <c r="Z97" s="367">
        <f t="shared" si="105"/>
        <v>6304.5562500000015</v>
      </c>
      <c r="AA97" s="366">
        <v>5</v>
      </c>
      <c r="AB97" s="367">
        <f t="shared" si="116"/>
        <v>2765.15625</v>
      </c>
      <c r="AC97" s="366">
        <v>0</v>
      </c>
      <c r="AD97" s="367">
        <f t="shared" si="117"/>
        <v>0</v>
      </c>
      <c r="AE97" s="366"/>
      <c r="AF97" s="366"/>
      <c r="AG97" s="367"/>
      <c r="AH97" s="366"/>
      <c r="AI97" s="367"/>
      <c r="AJ97" s="366">
        <f t="shared" si="118"/>
        <v>5</v>
      </c>
      <c r="AK97" s="367">
        <f t="shared" si="106"/>
        <v>2212.125</v>
      </c>
      <c r="AL97" s="366">
        <f t="shared" si="107"/>
        <v>5</v>
      </c>
      <c r="AM97" s="367">
        <f t="shared" si="108"/>
        <v>18913.668750000001</v>
      </c>
      <c r="AN97" s="366" t="str">
        <f t="shared" si="119"/>
        <v>Педагог-зерттеуші</v>
      </c>
      <c r="AO97" s="367" t="str">
        <f t="shared" si="109"/>
        <v>0</v>
      </c>
      <c r="AP97" s="367">
        <f t="shared" si="110"/>
        <v>25218.225000000006</v>
      </c>
      <c r="AQ97" s="367" t="str">
        <f t="shared" si="111"/>
        <v>0</v>
      </c>
      <c r="AR97" s="367" t="str">
        <f t="shared" si="112"/>
        <v>0</v>
      </c>
      <c r="AS97" s="366"/>
      <c r="AT97" s="367"/>
      <c r="AU97" s="371"/>
      <c r="AV97" s="367"/>
      <c r="AW97" s="478"/>
      <c r="AX97" s="372"/>
      <c r="AY97" s="367"/>
      <c r="AZ97" s="367">
        <f t="shared" si="113"/>
        <v>55413.731250000012</v>
      </c>
      <c r="BA97" s="373">
        <f t="shared" si="85"/>
        <v>118459.29375000001</v>
      </c>
      <c r="BB97" s="374">
        <f t="shared" si="90"/>
        <v>11845.929375000002</v>
      </c>
      <c r="BC97" s="374">
        <f t="shared" si="91"/>
        <v>2369.1858750000001</v>
      </c>
      <c r="BD97" s="374">
        <f t="shared" si="86"/>
        <v>4369.4178500000007</v>
      </c>
      <c r="BE97" s="374">
        <f t="shared" si="92"/>
        <v>99874.760650000011</v>
      </c>
      <c r="BF97" s="374">
        <f t="shared" si="93"/>
        <v>1421511.5250000001</v>
      </c>
      <c r="BG97" s="374">
        <f t="shared" si="87"/>
        <v>126091.12500000001</v>
      </c>
      <c r="BH97" s="374">
        <f t="shared" si="94"/>
        <v>1547602.6500000001</v>
      </c>
      <c r="BI97" s="374">
        <f t="shared" si="88"/>
        <v>54166.092750000011</v>
      </c>
      <c r="BJ97" s="374">
        <f t="shared" si="89"/>
        <v>80443.217745000002</v>
      </c>
      <c r="BK97" s="374">
        <f t="shared" si="95"/>
        <v>69642.119250000018</v>
      </c>
      <c r="BL97" s="374">
        <f t="shared" si="96"/>
        <v>46428.0795</v>
      </c>
      <c r="BM97" s="373">
        <f t="shared" si="114"/>
        <v>1798282.1592450002</v>
      </c>
      <c r="BN97" s="385"/>
      <c r="BO97" s="377"/>
      <c r="BP97" s="377"/>
      <c r="BQ97" s="377"/>
      <c r="BR97" s="377"/>
      <c r="BS97" s="377"/>
      <c r="BT97" s="377"/>
      <c r="BU97" s="377"/>
      <c r="BV97" s="377"/>
      <c r="BW97" s="377"/>
      <c r="BX97" s="377"/>
      <c r="BY97" s="377"/>
      <c r="BZ97" s="377"/>
      <c r="CA97" s="377"/>
      <c r="CB97" s="377"/>
      <c r="CC97" s="377"/>
      <c r="CD97" s="377"/>
      <c r="CE97" s="377"/>
      <c r="CF97" s="377"/>
      <c r="CG97" s="377"/>
      <c r="CH97" s="377"/>
      <c r="CI97" s="377"/>
    </row>
    <row r="98" spans="1:87" ht="60">
      <c r="A98" s="369">
        <f t="shared" si="115"/>
        <v>82</v>
      </c>
      <c r="B98" s="416">
        <f t="shared" si="115"/>
        <v>15</v>
      </c>
      <c r="C98" s="409" t="s">
        <v>1200</v>
      </c>
      <c r="D98" s="412" t="s">
        <v>1201</v>
      </c>
      <c r="E98" s="366" t="s">
        <v>998</v>
      </c>
      <c r="F98" s="508" t="s">
        <v>1005</v>
      </c>
      <c r="G98" s="366" t="s">
        <v>1202</v>
      </c>
      <c r="H98" s="371" t="s">
        <v>1402</v>
      </c>
      <c r="I98" s="366">
        <v>17697</v>
      </c>
      <c r="J98" s="367">
        <v>10.4</v>
      </c>
      <c r="K98" s="367">
        <f t="shared" si="100"/>
        <v>184048.80000000002</v>
      </c>
      <c r="L98" s="380"/>
      <c r="M98" s="380"/>
      <c r="N98" s="380"/>
      <c r="O98" s="380">
        <v>3</v>
      </c>
      <c r="P98" s="380"/>
      <c r="Q98" s="368">
        <f t="shared" si="101"/>
        <v>3</v>
      </c>
      <c r="R98" s="380"/>
      <c r="S98" s="380"/>
      <c r="T98" s="380"/>
      <c r="U98" s="380"/>
      <c r="V98" s="380"/>
      <c r="W98" s="381">
        <f t="shared" si="102"/>
        <v>0</v>
      </c>
      <c r="X98" s="370">
        <f t="shared" si="103"/>
        <v>3</v>
      </c>
      <c r="Y98" s="367">
        <f t="shared" si="104"/>
        <v>34509.15</v>
      </c>
      <c r="Z98" s="367"/>
      <c r="AA98" s="393">
        <v>3</v>
      </c>
      <c r="AB98" s="367">
        <f t="shared" si="116"/>
        <v>1659.09375</v>
      </c>
      <c r="AC98" s="393"/>
      <c r="AD98" s="367">
        <f t="shared" si="117"/>
        <v>0</v>
      </c>
      <c r="AE98" s="366"/>
      <c r="AF98" s="366"/>
      <c r="AG98" s="367"/>
      <c r="AH98" s="366"/>
      <c r="AI98" s="367"/>
      <c r="AJ98" s="366">
        <f t="shared" si="118"/>
        <v>3</v>
      </c>
      <c r="AK98" s="367">
        <f t="shared" si="106"/>
        <v>1327.2750000000001</v>
      </c>
      <c r="AL98" s="366">
        <f t="shared" si="107"/>
        <v>3</v>
      </c>
      <c r="AM98" s="367">
        <f t="shared" si="108"/>
        <v>10352.745000000001</v>
      </c>
      <c r="AN98" s="366" t="str">
        <f t="shared" si="119"/>
        <v>Педагог-зерттеуші</v>
      </c>
      <c r="AO98" s="367" t="str">
        <f t="shared" si="109"/>
        <v>0</v>
      </c>
      <c r="AP98" s="367">
        <f t="shared" si="110"/>
        <v>13803.660000000002</v>
      </c>
      <c r="AQ98" s="367" t="str">
        <f t="shared" si="111"/>
        <v>0</v>
      </c>
      <c r="AR98" s="367" t="str">
        <f t="shared" si="112"/>
        <v>0</v>
      </c>
      <c r="AS98" s="366"/>
      <c r="AT98" s="367"/>
      <c r="AU98" s="371"/>
      <c r="AV98" s="367"/>
      <c r="AW98" s="478" t="str">
        <f>G98</f>
        <v>Магистр наук в области лингвистики</v>
      </c>
      <c r="AX98" s="372">
        <f>10*4325</f>
        <v>43250</v>
      </c>
      <c r="AY98" s="367"/>
      <c r="AZ98" s="367">
        <f t="shared" si="113"/>
        <v>70392.773749999993</v>
      </c>
      <c r="BA98" s="373">
        <f t="shared" si="85"/>
        <v>104901.92374999999</v>
      </c>
      <c r="BB98" s="374">
        <f t="shared" si="90"/>
        <v>10490.192374999999</v>
      </c>
      <c r="BC98" s="374">
        <f t="shared" si="91"/>
        <v>2098.0384749999998</v>
      </c>
      <c r="BD98" s="374">
        <f t="shared" si="86"/>
        <v>3176.3692899999996</v>
      </c>
      <c r="BE98" s="374">
        <f t="shared" si="92"/>
        <v>89137.323609999992</v>
      </c>
      <c r="BF98" s="374">
        <f t="shared" si="93"/>
        <v>1258823.085</v>
      </c>
      <c r="BG98" s="374">
        <f t="shared" si="87"/>
        <v>69018.3</v>
      </c>
      <c r="BH98" s="374">
        <f t="shared" si="94"/>
        <v>1327841.385</v>
      </c>
      <c r="BI98" s="374">
        <f t="shared" si="88"/>
        <v>46474.448475000005</v>
      </c>
      <c r="BJ98" s="374">
        <f t="shared" si="89"/>
        <v>68934.024002999999</v>
      </c>
      <c r="BK98" s="374">
        <f t="shared" si="95"/>
        <v>59752.862325000009</v>
      </c>
      <c r="BL98" s="374">
        <f t="shared" si="96"/>
        <v>39835.241549999999</v>
      </c>
      <c r="BM98" s="373">
        <f t="shared" si="114"/>
        <v>1542837.961353</v>
      </c>
      <c r="BN98" s="385">
        <v>1.25</v>
      </c>
      <c r="BO98" s="377"/>
      <c r="BP98" s="377"/>
      <c r="BQ98" s="377"/>
      <c r="BR98" s="377"/>
      <c r="BS98" s="377"/>
      <c r="BT98" s="377"/>
      <c r="BU98" s="377"/>
      <c r="BV98" s="377"/>
      <c r="BW98" s="377"/>
      <c r="BX98" s="377"/>
      <c r="BY98" s="377"/>
      <c r="BZ98" s="377"/>
      <c r="CA98" s="377"/>
      <c r="CB98" s="377"/>
      <c r="CC98" s="377"/>
      <c r="CD98" s="377"/>
      <c r="CE98" s="377"/>
      <c r="CF98" s="377"/>
      <c r="CG98" s="377"/>
      <c r="CH98" s="377"/>
      <c r="CI98" s="377"/>
    </row>
    <row r="99" spans="1:87" ht="47.25">
      <c r="A99" s="369">
        <f t="shared" si="115"/>
        <v>83</v>
      </c>
      <c r="B99" s="416">
        <f t="shared" si="115"/>
        <v>16</v>
      </c>
      <c r="C99" s="409" t="s">
        <v>1203</v>
      </c>
      <c r="D99" s="412" t="s">
        <v>1204</v>
      </c>
      <c r="E99" s="366" t="s">
        <v>998</v>
      </c>
      <c r="F99" s="508" t="s">
        <v>1005</v>
      </c>
      <c r="G99" s="366"/>
      <c r="H99" s="371" t="s">
        <v>1434</v>
      </c>
      <c r="I99" s="366">
        <v>17697</v>
      </c>
      <c r="J99" s="367">
        <v>11.18</v>
      </c>
      <c r="K99" s="367">
        <f t="shared" si="100"/>
        <v>197852.46</v>
      </c>
      <c r="L99" s="380"/>
      <c r="M99" s="380"/>
      <c r="N99" s="380"/>
      <c r="O99" s="380">
        <v>6</v>
      </c>
      <c r="P99" s="380"/>
      <c r="Q99" s="368">
        <f t="shared" si="101"/>
        <v>6</v>
      </c>
      <c r="R99" s="380"/>
      <c r="S99" s="380"/>
      <c r="T99" s="380"/>
      <c r="U99" s="380">
        <v>4</v>
      </c>
      <c r="V99" s="380"/>
      <c r="W99" s="381">
        <f t="shared" si="102"/>
        <v>4</v>
      </c>
      <c r="X99" s="370">
        <f t="shared" si="103"/>
        <v>10</v>
      </c>
      <c r="Y99" s="367">
        <f t="shared" si="104"/>
        <v>123657.78749999999</v>
      </c>
      <c r="Z99" s="367">
        <f t="shared" si="105"/>
        <v>12365.778749999999</v>
      </c>
      <c r="AA99" s="366">
        <v>5</v>
      </c>
      <c r="AB99" s="367">
        <f t="shared" si="116"/>
        <v>2765.15625</v>
      </c>
      <c r="AC99" s="366">
        <v>5</v>
      </c>
      <c r="AD99" s="367">
        <f t="shared" si="117"/>
        <v>1382.578125</v>
      </c>
      <c r="AE99" s="366"/>
      <c r="AF99" s="366"/>
      <c r="AG99" s="367"/>
      <c r="AH99" s="366"/>
      <c r="AI99" s="367"/>
      <c r="AJ99" s="366">
        <f t="shared" si="118"/>
        <v>10</v>
      </c>
      <c r="AK99" s="367">
        <f>I99/16*AJ99*40%</f>
        <v>4424.25</v>
      </c>
      <c r="AL99" s="366">
        <f t="shared" si="107"/>
        <v>10</v>
      </c>
      <c r="AM99" s="367">
        <f t="shared" si="108"/>
        <v>37097.336249999993</v>
      </c>
      <c r="AN99" s="366" t="str">
        <f t="shared" si="119"/>
        <v>Педагог-зерттеуші</v>
      </c>
      <c r="AO99" s="367" t="str">
        <f t="shared" si="109"/>
        <v>0</v>
      </c>
      <c r="AP99" s="367">
        <f t="shared" si="110"/>
        <v>49463.114999999998</v>
      </c>
      <c r="AQ99" s="367" t="str">
        <f t="shared" si="111"/>
        <v>0</v>
      </c>
      <c r="AR99" s="367" t="str">
        <f t="shared" si="112"/>
        <v>0</v>
      </c>
      <c r="AS99" s="366"/>
      <c r="AT99" s="367"/>
      <c r="AU99" s="371"/>
      <c r="AV99" s="367"/>
      <c r="AW99" s="478"/>
      <c r="AX99" s="372"/>
      <c r="AY99" s="367"/>
      <c r="AZ99" s="367">
        <f t="shared" si="113"/>
        <v>107498.21437499998</v>
      </c>
      <c r="BA99" s="373">
        <f t="shared" si="85"/>
        <v>231156.00187499996</v>
      </c>
      <c r="BB99" s="374">
        <f t="shared" si="90"/>
        <v>23115.600187499997</v>
      </c>
      <c r="BC99" s="374">
        <f t="shared" si="91"/>
        <v>4623.1200374999989</v>
      </c>
      <c r="BD99" s="374">
        <f t="shared" si="86"/>
        <v>14286.728164999997</v>
      </c>
      <c r="BE99" s="374">
        <f t="shared" si="92"/>
        <v>189130.55348499995</v>
      </c>
      <c r="BF99" s="374">
        <f t="shared" si="93"/>
        <v>2773872.0224999995</v>
      </c>
      <c r="BG99" s="374">
        <f t="shared" si="87"/>
        <v>247315.57499999998</v>
      </c>
      <c r="BH99" s="374">
        <f t="shared" si="94"/>
        <v>3021187.5974999997</v>
      </c>
      <c r="BI99" s="374">
        <f t="shared" si="88"/>
        <v>105741.56591249999</v>
      </c>
      <c r="BJ99" s="374">
        <f t="shared" si="89"/>
        <v>157041.61181550001</v>
      </c>
      <c r="BK99" s="374">
        <f t="shared" si="95"/>
        <v>135953.4418875</v>
      </c>
      <c r="BL99" s="374">
        <f t="shared" si="96"/>
        <v>90635.627924999993</v>
      </c>
      <c r="BM99" s="373">
        <f t="shared" si="114"/>
        <v>3510559.8450405002</v>
      </c>
      <c r="BN99" s="375"/>
      <c r="BO99" s="377"/>
      <c r="BP99" s="377"/>
      <c r="BQ99" s="377"/>
      <c r="BR99" s="377"/>
      <c r="BS99" s="377"/>
      <c r="BT99" s="377"/>
      <c r="BU99" s="377"/>
      <c r="BV99" s="377"/>
      <c r="BW99" s="377"/>
      <c r="BX99" s="377"/>
      <c r="BY99" s="377"/>
      <c r="BZ99" s="377"/>
      <c r="CA99" s="377"/>
      <c r="CB99" s="377"/>
      <c r="CC99" s="377"/>
      <c r="CD99" s="377"/>
      <c r="CE99" s="377"/>
      <c r="CF99" s="377"/>
      <c r="CG99" s="377"/>
      <c r="CH99" s="377"/>
      <c r="CI99" s="377"/>
    </row>
    <row r="100" spans="1:87" ht="45">
      <c r="A100" s="369">
        <f t="shared" si="115"/>
        <v>84</v>
      </c>
      <c r="B100" s="416">
        <f t="shared" si="115"/>
        <v>17</v>
      </c>
      <c r="C100" s="409" t="s">
        <v>1205</v>
      </c>
      <c r="D100" s="412" t="s">
        <v>1182</v>
      </c>
      <c r="E100" s="366" t="s">
        <v>998</v>
      </c>
      <c r="F100" s="366"/>
      <c r="G100" s="366" t="s">
        <v>1046</v>
      </c>
      <c r="H100" s="371" t="s">
        <v>1403</v>
      </c>
      <c r="I100" s="366">
        <v>17697</v>
      </c>
      <c r="J100" s="367">
        <v>9.5</v>
      </c>
      <c r="K100" s="367">
        <f t="shared" si="100"/>
        <v>168121.5</v>
      </c>
      <c r="L100" s="380">
        <v>15</v>
      </c>
      <c r="M100" s="380"/>
      <c r="N100" s="380"/>
      <c r="O100" s="380"/>
      <c r="P100" s="380"/>
      <c r="Q100" s="368">
        <f t="shared" si="101"/>
        <v>15</v>
      </c>
      <c r="R100" s="380">
        <v>10</v>
      </c>
      <c r="S100" s="380"/>
      <c r="T100" s="380"/>
      <c r="U100" s="380"/>
      <c r="V100" s="380"/>
      <c r="W100" s="381">
        <f t="shared" si="102"/>
        <v>10</v>
      </c>
      <c r="X100" s="370">
        <f t="shared" si="103"/>
        <v>25</v>
      </c>
      <c r="Y100" s="367">
        <f t="shared" si="104"/>
        <v>262689.84375</v>
      </c>
      <c r="Z100" s="367">
        <f t="shared" si="105"/>
        <v>26268.984375</v>
      </c>
      <c r="AA100" s="366">
        <v>0</v>
      </c>
      <c r="AB100" s="367">
        <f t="shared" si="116"/>
        <v>0</v>
      </c>
      <c r="AC100" s="366">
        <v>25</v>
      </c>
      <c r="AD100" s="367">
        <f t="shared" si="117"/>
        <v>6912.890625</v>
      </c>
      <c r="AE100" s="366"/>
      <c r="AF100" s="366"/>
      <c r="AG100" s="367"/>
      <c r="AH100" s="366"/>
      <c r="AI100" s="367"/>
      <c r="AJ100" s="366">
        <f t="shared" si="118"/>
        <v>25</v>
      </c>
      <c r="AK100" s="367">
        <f>I100/16*AJ100*40%</f>
        <v>11060.625</v>
      </c>
      <c r="AL100" s="366">
        <f t="shared" si="107"/>
        <v>25</v>
      </c>
      <c r="AM100" s="367">
        <f t="shared" si="108"/>
        <v>78806.953125</v>
      </c>
      <c r="AN100" s="366">
        <f t="shared" si="119"/>
        <v>0</v>
      </c>
      <c r="AO100" s="367" t="str">
        <f t="shared" si="109"/>
        <v>0</v>
      </c>
      <c r="AP100" s="367" t="str">
        <f t="shared" si="110"/>
        <v>0</v>
      </c>
      <c r="AQ100" s="367" t="str">
        <f t="shared" si="111"/>
        <v>0</v>
      </c>
      <c r="AR100" s="367" t="str">
        <f t="shared" si="112"/>
        <v>0</v>
      </c>
      <c r="AS100" s="366"/>
      <c r="AT100" s="367"/>
      <c r="AU100" s="371"/>
      <c r="AV100" s="367"/>
      <c r="AW100" s="478" t="str">
        <f>G100</f>
        <v>Магистр педагогических наук</v>
      </c>
      <c r="AX100" s="372">
        <f>10*4325</f>
        <v>43250</v>
      </c>
      <c r="AY100" s="367"/>
      <c r="AZ100" s="367">
        <f t="shared" si="113"/>
        <v>166299.453125</v>
      </c>
      <c r="BA100" s="373">
        <f t="shared" si="85"/>
        <v>428989.296875</v>
      </c>
      <c r="BB100" s="374">
        <f t="shared" si="90"/>
        <v>42898.9296875</v>
      </c>
      <c r="BC100" s="374">
        <f t="shared" si="91"/>
        <v>8579.7859375000007</v>
      </c>
      <c r="BD100" s="374">
        <f t="shared" si="86"/>
        <v>31696.058125</v>
      </c>
      <c r="BE100" s="374">
        <f t="shared" si="92"/>
        <v>345814.52312500001</v>
      </c>
      <c r="BF100" s="374">
        <f t="shared" si="93"/>
        <v>5147871.5625</v>
      </c>
      <c r="BG100" s="374">
        <f t="shared" si="87"/>
        <v>525379.6875</v>
      </c>
      <c r="BH100" s="374">
        <f t="shared" si="94"/>
        <v>5673251.25</v>
      </c>
      <c r="BI100" s="374">
        <f t="shared" si="88"/>
        <v>198563.79375000001</v>
      </c>
      <c r="BJ100" s="374">
        <f t="shared" si="89"/>
        <v>295030.25006249989</v>
      </c>
      <c r="BK100" s="374">
        <f t="shared" si="95"/>
        <v>255296.30625000002</v>
      </c>
      <c r="BL100" s="374">
        <f t="shared" si="96"/>
        <v>170197.53750000001</v>
      </c>
      <c r="BM100" s="373">
        <f t="shared" si="114"/>
        <v>6592339.1375625003</v>
      </c>
      <c r="BN100" s="375"/>
      <c r="BO100" s="377"/>
      <c r="BP100" s="377"/>
      <c r="BQ100" s="377"/>
      <c r="BR100" s="377"/>
      <c r="BS100" s="377"/>
      <c r="BT100" s="377"/>
      <c r="BU100" s="377"/>
      <c r="BV100" s="377"/>
      <c r="BW100" s="377"/>
      <c r="BX100" s="377"/>
      <c r="BY100" s="377"/>
      <c r="BZ100" s="377"/>
      <c r="CA100" s="377"/>
      <c r="CB100" s="377"/>
      <c r="CC100" s="377"/>
      <c r="CD100" s="377"/>
      <c r="CE100" s="377"/>
      <c r="CF100" s="377"/>
      <c r="CG100" s="377"/>
      <c r="CH100" s="377"/>
      <c r="CI100" s="377"/>
    </row>
    <row r="101" spans="1:87" ht="63">
      <c r="A101" s="369">
        <f t="shared" ref="A101:B103" si="120">A100+1</f>
        <v>85</v>
      </c>
      <c r="B101" s="416">
        <f t="shared" si="120"/>
        <v>18</v>
      </c>
      <c r="C101" s="409" t="s">
        <v>1206</v>
      </c>
      <c r="D101" s="475" t="s">
        <v>1207</v>
      </c>
      <c r="E101" s="366" t="s">
        <v>998</v>
      </c>
      <c r="F101" s="508" t="s">
        <v>1005</v>
      </c>
      <c r="G101" s="366" t="s">
        <v>1208</v>
      </c>
      <c r="H101" s="371" t="s">
        <v>1435</v>
      </c>
      <c r="I101" s="366">
        <v>17697</v>
      </c>
      <c r="J101" s="367">
        <v>10.82</v>
      </c>
      <c r="K101" s="367">
        <f t="shared" si="100"/>
        <v>191481.54</v>
      </c>
      <c r="L101" s="380"/>
      <c r="M101" s="380"/>
      <c r="N101" s="380"/>
      <c r="O101" s="380"/>
      <c r="P101" s="380">
        <v>21</v>
      </c>
      <c r="Q101" s="368">
        <f t="shared" si="101"/>
        <v>21</v>
      </c>
      <c r="R101" s="380"/>
      <c r="S101" s="380"/>
      <c r="T101" s="380"/>
      <c r="U101" s="380"/>
      <c r="V101" s="380">
        <v>14</v>
      </c>
      <c r="W101" s="381">
        <f t="shared" si="102"/>
        <v>14</v>
      </c>
      <c r="X101" s="370">
        <f t="shared" si="103"/>
        <v>35</v>
      </c>
      <c r="Y101" s="367">
        <f t="shared" si="104"/>
        <v>418865.86875000002</v>
      </c>
      <c r="Z101" s="367">
        <f t="shared" si="105"/>
        <v>41886.586875000008</v>
      </c>
      <c r="AA101" s="366">
        <v>16</v>
      </c>
      <c r="AB101" s="367">
        <f t="shared" si="116"/>
        <v>8848.5</v>
      </c>
      <c r="AC101" s="366">
        <v>12</v>
      </c>
      <c r="AD101" s="367">
        <f t="shared" si="117"/>
        <v>3318.1875</v>
      </c>
      <c r="AE101" s="366"/>
      <c r="AF101" s="366" t="s">
        <v>1209</v>
      </c>
      <c r="AG101" s="367">
        <f>17697*20%</f>
        <v>3539.4</v>
      </c>
      <c r="AH101" s="366"/>
      <c r="AI101" s="367"/>
      <c r="AJ101" s="366">
        <f t="shared" si="118"/>
        <v>35</v>
      </c>
      <c r="AK101" s="367">
        <f t="shared" si="106"/>
        <v>15484.875</v>
      </c>
      <c r="AL101" s="366">
        <f t="shared" si="107"/>
        <v>35</v>
      </c>
      <c r="AM101" s="367">
        <f t="shared" si="108"/>
        <v>125659.760625</v>
      </c>
      <c r="AN101" s="366" t="str">
        <f t="shared" si="119"/>
        <v>Педагог-зерттеуші</v>
      </c>
      <c r="AO101" s="367" t="str">
        <f t="shared" si="109"/>
        <v>0</v>
      </c>
      <c r="AP101" s="367">
        <f t="shared" si="110"/>
        <v>167546.34750000003</v>
      </c>
      <c r="AQ101" s="367" t="str">
        <f t="shared" si="111"/>
        <v>0</v>
      </c>
      <c r="AR101" s="367" t="str">
        <f t="shared" si="112"/>
        <v>0</v>
      </c>
      <c r="AS101" s="366"/>
      <c r="AT101" s="367"/>
      <c r="AU101" s="371"/>
      <c r="AV101" s="367"/>
      <c r="AW101" s="371" t="str">
        <f>G101</f>
        <v>Магистр-лингвистика и препод. англ. яз.</v>
      </c>
      <c r="AX101" s="372">
        <f>10*4325</f>
        <v>43250</v>
      </c>
      <c r="AY101" s="367"/>
      <c r="AZ101" s="367">
        <f t="shared" si="113"/>
        <v>409533.65750000003</v>
      </c>
      <c r="BA101" s="373">
        <f t="shared" si="85"/>
        <v>828399.52625000011</v>
      </c>
      <c r="BB101" s="374">
        <f t="shared" si="90"/>
        <v>82839.95262500002</v>
      </c>
      <c r="BC101" s="374">
        <f t="shared" si="91"/>
        <v>16567.990525000001</v>
      </c>
      <c r="BD101" s="374">
        <f t="shared" si="86"/>
        <v>66844.158310000013</v>
      </c>
      <c r="BE101" s="374">
        <f t="shared" si="92"/>
        <v>662147.42479000008</v>
      </c>
      <c r="BF101" s="374">
        <f t="shared" si="93"/>
        <v>9940794.3150000013</v>
      </c>
      <c r="BG101" s="374">
        <f t="shared" si="87"/>
        <v>837731.73750000005</v>
      </c>
      <c r="BH101" s="374">
        <f t="shared" si="94"/>
        <v>10778526.052500002</v>
      </c>
      <c r="BI101" s="374">
        <f t="shared" si="88"/>
        <v>377248.41183750011</v>
      </c>
      <c r="BJ101" s="374">
        <f t="shared" si="89"/>
        <v>560170.65934200026</v>
      </c>
      <c r="BK101" s="374">
        <f t="shared" si="95"/>
        <v>485033.67236250016</v>
      </c>
      <c r="BL101" s="374">
        <f t="shared" si="96"/>
        <v>323355.78157500003</v>
      </c>
      <c r="BM101" s="373">
        <f t="shared" si="114"/>
        <v>12524334.577617003</v>
      </c>
      <c r="BN101" s="375"/>
      <c r="BO101" s="377"/>
      <c r="BP101" s="377"/>
      <c r="BQ101" s="377"/>
      <c r="BR101" s="377"/>
      <c r="BS101" s="377"/>
      <c r="BT101" s="377"/>
      <c r="BU101" s="377"/>
      <c r="BV101" s="377"/>
      <c r="BW101" s="377"/>
      <c r="BX101" s="377"/>
      <c r="BY101" s="377"/>
      <c r="BZ101" s="377"/>
      <c r="CA101" s="377"/>
      <c r="CB101" s="377"/>
      <c r="CC101" s="377"/>
      <c r="CD101" s="377"/>
      <c r="CE101" s="377"/>
      <c r="CF101" s="377"/>
      <c r="CG101" s="377"/>
      <c r="CH101" s="377"/>
      <c r="CI101" s="377"/>
    </row>
    <row r="102" spans="1:87" ht="90.75" customHeight="1">
      <c r="A102" s="369">
        <f t="shared" si="120"/>
        <v>86</v>
      </c>
      <c r="B102" s="416">
        <f t="shared" si="120"/>
        <v>19</v>
      </c>
      <c r="C102" s="409" t="s">
        <v>1210</v>
      </c>
      <c r="D102" s="475" t="s">
        <v>1211</v>
      </c>
      <c r="E102" s="366" t="s">
        <v>998</v>
      </c>
      <c r="F102" s="1314" t="s">
        <v>254</v>
      </c>
      <c r="G102" s="366"/>
      <c r="H102" s="371" t="s">
        <v>278</v>
      </c>
      <c r="I102" s="366">
        <v>17697</v>
      </c>
      <c r="J102" s="367">
        <v>10</v>
      </c>
      <c r="K102" s="367">
        <f t="shared" si="100"/>
        <v>176970</v>
      </c>
      <c r="L102" s="380"/>
      <c r="M102" s="380"/>
      <c r="N102" s="380"/>
      <c r="O102" s="380"/>
      <c r="P102" s="380">
        <v>21</v>
      </c>
      <c r="Q102" s="368">
        <f t="shared" si="101"/>
        <v>21</v>
      </c>
      <c r="R102" s="380"/>
      <c r="S102" s="380">
        <v>3</v>
      </c>
      <c r="T102" s="380"/>
      <c r="U102" s="380"/>
      <c r="V102" s="380">
        <v>14</v>
      </c>
      <c r="W102" s="381">
        <f t="shared" si="102"/>
        <v>17</v>
      </c>
      <c r="X102" s="370">
        <f t="shared" si="103"/>
        <v>38</v>
      </c>
      <c r="Y102" s="367">
        <f t="shared" si="104"/>
        <v>420303.75</v>
      </c>
      <c r="Z102" s="367">
        <f t="shared" si="105"/>
        <v>42030.375</v>
      </c>
      <c r="AA102" s="393">
        <v>12</v>
      </c>
      <c r="AB102" s="367">
        <f t="shared" si="116"/>
        <v>6636.375</v>
      </c>
      <c r="AC102" s="366">
        <v>16</v>
      </c>
      <c r="AD102" s="367">
        <f t="shared" si="117"/>
        <v>4424.25</v>
      </c>
      <c r="AE102" s="366"/>
      <c r="AF102" s="366"/>
      <c r="AG102" s="367"/>
      <c r="AH102" s="366"/>
      <c r="AI102" s="367"/>
      <c r="AJ102" s="366">
        <f t="shared" si="118"/>
        <v>38</v>
      </c>
      <c r="AK102" s="367">
        <f t="shared" si="106"/>
        <v>16812.150000000001</v>
      </c>
      <c r="AL102" s="366">
        <f t="shared" si="107"/>
        <v>38</v>
      </c>
      <c r="AM102" s="367">
        <f t="shared" si="108"/>
        <v>126091.125</v>
      </c>
      <c r="AN102" s="366" t="str">
        <f t="shared" si="119"/>
        <v>Педагог-модератор</v>
      </c>
      <c r="AO102" s="367" t="str">
        <f t="shared" si="109"/>
        <v>0</v>
      </c>
      <c r="AP102" s="367" t="str">
        <f t="shared" si="110"/>
        <v>0</v>
      </c>
      <c r="AQ102" s="367" t="str">
        <f t="shared" si="111"/>
        <v>0</v>
      </c>
      <c r="AR102" s="367">
        <f t="shared" si="112"/>
        <v>126091.125</v>
      </c>
      <c r="AS102" s="366"/>
      <c r="AT102" s="367"/>
      <c r="AU102" s="371"/>
      <c r="AV102" s="367"/>
      <c r="AW102" s="371"/>
      <c r="AX102" s="372"/>
      <c r="AY102" s="367"/>
      <c r="AZ102" s="367">
        <f t="shared" si="113"/>
        <v>322085.40000000002</v>
      </c>
      <c r="BA102" s="373">
        <f t="shared" si="85"/>
        <v>742389.15</v>
      </c>
      <c r="BB102" s="374">
        <f t="shared" si="90"/>
        <v>74238.915000000008</v>
      </c>
      <c r="BC102" s="374">
        <f t="shared" si="91"/>
        <v>14847.783000000001</v>
      </c>
      <c r="BD102" s="374">
        <f t="shared" si="86"/>
        <v>59275.245199999998</v>
      </c>
      <c r="BE102" s="374">
        <f t="shared" si="92"/>
        <v>594027.20679999993</v>
      </c>
      <c r="BF102" s="374">
        <f t="shared" si="93"/>
        <v>8908669.8000000007</v>
      </c>
      <c r="BG102" s="374">
        <f t="shared" si="87"/>
        <v>840607.5</v>
      </c>
      <c r="BH102" s="374">
        <f t="shared" si="94"/>
        <v>9749277.3000000007</v>
      </c>
      <c r="BI102" s="374">
        <f t="shared" si="88"/>
        <v>341224.70550000004</v>
      </c>
      <c r="BJ102" s="374">
        <f t="shared" si="89"/>
        <v>506861.90064000007</v>
      </c>
      <c r="BK102" s="374">
        <f t="shared" si="95"/>
        <v>438717.47850000003</v>
      </c>
      <c r="BL102" s="374">
        <f t="shared" si="96"/>
        <v>292478.31900000002</v>
      </c>
      <c r="BM102" s="373">
        <f t="shared" si="114"/>
        <v>11328559.703639999</v>
      </c>
      <c r="BN102" s="483"/>
      <c r="BO102" s="481"/>
      <c r="BP102" s="481"/>
      <c r="BQ102" s="481"/>
      <c r="BR102" s="481"/>
      <c r="BS102" s="481"/>
      <c r="BT102" s="481"/>
      <c r="BU102" s="481"/>
      <c r="BV102" s="481"/>
      <c r="BW102" s="481"/>
      <c r="BX102" s="481"/>
      <c r="BY102" s="481"/>
      <c r="BZ102" s="481"/>
      <c r="CA102" s="481"/>
      <c r="CB102" s="481"/>
      <c r="CC102" s="481"/>
      <c r="CD102" s="481"/>
      <c r="CE102" s="481"/>
      <c r="CF102" s="481"/>
      <c r="CG102" s="481"/>
      <c r="CH102" s="481"/>
      <c r="CI102" s="484"/>
    </row>
    <row r="103" spans="1:87" ht="90.75" customHeight="1">
      <c r="A103" s="457">
        <f t="shared" si="120"/>
        <v>87</v>
      </c>
      <c r="B103" s="1321">
        <f t="shared" si="120"/>
        <v>20</v>
      </c>
      <c r="C103" s="697" t="s">
        <v>113</v>
      </c>
      <c r="D103" s="485" t="s">
        <v>1212</v>
      </c>
      <c r="E103" s="452" t="s">
        <v>998</v>
      </c>
      <c r="F103" s="698" t="s">
        <v>999</v>
      </c>
      <c r="G103" s="698" t="s">
        <v>1158</v>
      </c>
      <c r="H103" s="699" t="s">
        <v>273</v>
      </c>
      <c r="I103" s="698">
        <v>17697</v>
      </c>
      <c r="J103" s="700">
        <v>11.4</v>
      </c>
      <c r="K103" s="460">
        <f t="shared" si="100"/>
        <v>201745.80000000002</v>
      </c>
      <c r="L103" s="456"/>
      <c r="M103" s="456"/>
      <c r="N103" s="456"/>
      <c r="O103" s="456">
        <v>3</v>
      </c>
      <c r="P103" s="456"/>
      <c r="Q103" s="486">
        <f t="shared" si="101"/>
        <v>3</v>
      </c>
      <c r="R103" s="456"/>
      <c r="S103" s="456"/>
      <c r="T103" s="456"/>
      <c r="U103" s="456">
        <v>2</v>
      </c>
      <c r="V103" s="456"/>
      <c r="W103" s="487">
        <f t="shared" si="102"/>
        <v>2</v>
      </c>
      <c r="X103" s="370">
        <f t="shared" si="103"/>
        <v>5</v>
      </c>
      <c r="Y103" s="460">
        <f t="shared" si="104"/>
        <v>63045.562500000007</v>
      </c>
      <c r="Z103" s="460">
        <f t="shared" si="105"/>
        <v>6304.5562500000015</v>
      </c>
      <c r="AA103" s="488">
        <v>0</v>
      </c>
      <c r="AB103" s="460">
        <f t="shared" si="116"/>
        <v>0</v>
      </c>
      <c r="AC103" s="458">
        <v>4</v>
      </c>
      <c r="AD103" s="460">
        <f t="shared" si="117"/>
        <v>1106.0625</v>
      </c>
      <c r="AE103" s="458"/>
      <c r="AF103" s="458"/>
      <c r="AG103" s="460"/>
      <c r="AH103" s="458"/>
      <c r="AI103" s="460"/>
      <c r="AJ103" s="458">
        <f t="shared" si="118"/>
        <v>5</v>
      </c>
      <c r="AK103" s="460">
        <f t="shared" si="106"/>
        <v>2212.125</v>
      </c>
      <c r="AL103" s="458">
        <f t="shared" si="107"/>
        <v>5</v>
      </c>
      <c r="AM103" s="460">
        <f t="shared" si="108"/>
        <v>18913.668750000001</v>
      </c>
      <c r="AN103" s="458" t="str">
        <f t="shared" si="119"/>
        <v>Педагог-шебер</v>
      </c>
      <c r="AO103" s="460"/>
      <c r="AP103" s="460" t="str">
        <f t="shared" si="110"/>
        <v>0</v>
      </c>
      <c r="AQ103" s="460" t="str">
        <f t="shared" si="111"/>
        <v>0</v>
      </c>
      <c r="AR103" s="460" t="str">
        <f t="shared" si="112"/>
        <v>0</v>
      </c>
      <c r="AS103" s="458"/>
      <c r="AT103" s="460"/>
      <c r="AU103" s="461"/>
      <c r="AV103" s="460"/>
      <c r="AW103" s="461" t="str">
        <f>G103</f>
        <v>Магистр</v>
      </c>
      <c r="AX103" s="462"/>
      <c r="AY103" s="460"/>
      <c r="AZ103" s="460">
        <f t="shared" si="113"/>
        <v>28536.412500000002</v>
      </c>
      <c r="BA103" s="373">
        <f t="shared" si="85"/>
        <v>91581.975000000006</v>
      </c>
      <c r="BB103" s="374">
        <f t="shared" si="90"/>
        <v>9158.1975000000002</v>
      </c>
      <c r="BC103" s="374">
        <f t="shared" si="91"/>
        <v>1831.6395000000002</v>
      </c>
      <c r="BD103" s="374">
        <f t="shared" si="86"/>
        <v>2004.2138000000007</v>
      </c>
      <c r="BE103" s="374">
        <f t="shared" si="92"/>
        <v>78587.924200000009</v>
      </c>
      <c r="BF103" s="374">
        <f t="shared" si="93"/>
        <v>1098983.7000000002</v>
      </c>
      <c r="BG103" s="374">
        <f t="shared" si="87"/>
        <v>126091.12500000001</v>
      </c>
      <c r="BH103" s="374">
        <f t="shared" si="94"/>
        <v>1225074.8250000002</v>
      </c>
      <c r="BI103" s="374">
        <f t="shared" si="88"/>
        <v>42877.618875000007</v>
      </c>
      <c r="BJ103" s="374">
        <f t="shared" si="89"/>
        <v>63736.276409999991</v>
      </c>
      <c r="BK103" s="374">
        <f t="shared" si="95"/>
        <v>55128.367125000019</v>
      </c>
      <c r="BL103" s="374">
        <f t="shared" si="96"/>
        <v>36752.244750000005</v>
      </c>
      <c r="BM103" s="463">
        <f t="shared" si="114"/>
        <v>1423569.3321600002</v>
      </c>
      <c r="BN103" s="483"/>
      <c r="BO103" s="481"/>
      <c r="BP103" s="481"/>
      <c r="BQ103" s="481"/>
      <c r="BR103" s="481"/>
      <c r="BS103" s="481"/>
      <c r="BT103" s="481"/>
      <c r="BU103" s="481"/>
      <c r="BV103" s="481"/>
      <c r="BW103" s="481"/>
      <c r="BX103" s="481"/>
      <c r="BY103" s="481"/>
      <c r="BZ103" s="481"/>
      <c r="CA103" s="481"/>
      <c r="CB103" s="481"/>
      <c r="CC103" s="481"/>
      <c r="CD103" s="481"/>
      <c r="CE103" s="481"/>
      <c r="CF103" s="481"/>
      <c r="CG103" s="481"/>
      <c r="CH103" s="481"/>
      <c r="CI103" s="484"/>
    </row>
    <row r="104" spans="1:87" ht="20.100000000000001" customHeight="1">
      <c r="A104" s="489"/>
      <c r="B104" s="489"/>
      <c r="C104" s="490" t="s">
        <v>1162</v>
      </c>
      <c r="D104" s="490"/>
      <c r="E104" s="490"/>
      <c r="F104" s="490"/>
      <c r="G104" s="490"/>
      <c r="H104" s="491"/>
      <c r="I104" s="490"/>
      <c r="J104" s="490"/>
      <c r="K104" s="407">
        <f>SUM(K84:K103)</f>
        <v>3737252.46</v>
      </c>
      <c r="L104" s="407">
        <f t="shared" ref="L104:BN104" si="121">SUM(L84:L103)</f>
        <v>60</v>
      </c>
      <c r="M104" s="407">
        <f t="shared" si="121"/>
        <v>60</v>
      </c>
      <c r="N104" s="407">
        <f t="shared" si="121"/>
        <v>54</v>
      </c>
      <c r="O104" s="407">
        <f t="shared" si="121"/>
        <v>54</v>
      </c>
      <c r="P104" s="407">
        <f t="shared" si="121"/>
        <v>54</v>
      </c>
      <c r="Q104" s="407">
        <f t="shared" si="121"/>
        <v>282</v>
      </c>
      <c r="R104" s="407">
        <f t="shared" si="121"/>
        <v>40</v>
      </c>
      <c r="S104" s="407">
        <f t="shared" si="121"/>
        <v>46</v>
      </c>
      <c r="T104" s="407">
        <f t="shared" si="121"/>
        <v>36</v>
      </c>
      <c r="U104" s="407">
        <f t="shared" si="121"/>
        <v>28</v>
      </c>
      <c r="V104" s="407">
        <f t="shared" si="121"/>
        <v>36</v>
      </c>
      <c r="W104" s="407">
        <f t="shared" si="121"/>
        <v>186</v>
      </c>
      <c r="X104" s="407">
        <f t="shared" si="121"/>
        <v>468</v>
      </c>
      <c r="Y104" s="407">
        <f t="shared" si="121"/>
        <v>5385683.7675000001</v>
      </c>
      <c r="Z104" s="407">
        <f t="shared" si="121"/>
        <v>526074.29475</v>
      </c>
      <c r="AA104" s="407">
        <f t="shared" si="121"/>
        <v>237</v>
      </c>
      <c r="AB104" s="407">
        <f t="shared" si="121"/>
        <v>131068.40625</v>
      </c>
      <c r="AC104" s="407">
        <f t="shared" si="121"/>
        <v>195</v>
      </c>
      <c r="AD104" s="407">
        <f t="shared" si="121"/>
        <v>53920.546875</v>
      </c>
      <c r="AE104" s="407">
        <f t="shared" si="121"/>
        <v>196600</v>
      </c>
      <c r="AF104" s="407">
        <v>5</v>
      </c>
      <c r="AG104" s="407">
        <f t="shared" si="121"/>
        <v>17697</v>
      </c>
      <c r="AH104" s="407">
        <v>2</v>
      </c>
      <c r="AI104" s="407">
        <f t="shared" si="121"/>
        <v>70788</v>
      </c>
      <c r="AJ104" s="407">
        <f t="shared" si="121"/>
        <v>468</v>
      </c>
      <c r="AK104" s="407">
        <f t="shared" si="121"/>
        <v>207054.9</v>
      </c>
      <c r="AL104" s="407">
        <f t="shared" si="121"/>
        <v>468</v>
      </c>
      <c r="AM104" s="407">
        <f t="shared" si="121"/>
        <v>1615705.1302500002</v>
      </c>
      <c r="AN104" s="407">
        <f t="shared" si="121"/>
        <v>0</v>
      </c>
      <c r="AO104" s="407">
        <f t="shared" si="121"/>
        <v>0</v>
      </c>
      <c r="AP104" s="407">
        <f t="shared" si="121"/>
        <v>596698.59749999992</v>
      </c>
      <c r="AQ104" s="407">
        <f t="shared" si="121"/>
        <v>330989.203125</v>
      </c>
      <c r="AR104" s="407">
        <f t="shared" si="121"/>
        <v>583257.72600000002</v>
      </c>
      <c r="AS104" s="407">
        <f t="shared" si="121"/>
        <v>0</v>
      </c>
      <c r="AT104" s="407">
        <f t="shared" si="121"/>
        <v>0</v>
      </c>
      <c r="AU104" s="407">
        <f t="shared" si="121"/>
        <v>0</v>
      </c>
      <c r="AV104" s="407">
        <f t="shared" si="121"/>
        <v>0</v>
      </c>
      <c r="AW104" s="407">
        <v>12</v>
      </c>
      <c r="AX104" s="407">
        <f t="shared" si="121"/>
        <v>475750</v>
      </c>
      <c r="AY104" s="407">
        <f t="shared" si="121"/>
        <v>0</v>
      </c>
      <c r="AZ104" s="407">
        <f t="shared" si="121"/>
        <v>4805603.8047500001</v>
      </c>
      <c r="BA104" s="1318">
        <f>SUM(BA84:BA103)</f>
        <v>10191287.572250001</v>
      </c>
      <c r="BB104" s="1318">
        <f t="shared" ref="BB104:BL104" si="122">SUM(BB84:BB103)</f>
        <v>1019128.7572250001</v>
      </c>
      <c r="BC104" s="1318">
        <f t="shared" si="122"/>
        <v>203825.751445</v>
      </c>
      <c r="BD104" s="1318">
        <f t="shared" si="122"/>
        <v>775733.30635799991</v>
      </c>
      <c r="BE104" s="1318">
        <f t="shared" si="122"/>
        <v>8192599.7572219996</v>
      </c>
      <c r="BF104" s="1318">
        <f t="shared" si="122"/>
        <v>122295450.86699998</v>
      </c>
      <c r="BG104" s="1318">
        <f t="shared" si="122"/>
        <v>10771367.535</v>
      </c>
      <c r="BH104" s="1318">
        <f t="shared" si="122"/>
        <v>133066818.40200001</v>
      </c>
      <c r="BI104" s="1318">
        <f t="shared" si="122"/>
        <v>4657338.6440700004</v>
      </c>
      <c r="BJ104" s="1318">
        <f t="shared" si="122"/>
        <v>6916558.2018005997</v>
      </c>
      <c r="BK104" s="1318">
        <f t="shared" si="122"/>
        <v>5988006.8280900009</v>
      </c>
      <c r="BL104" s="1318">
        <f t="shared" si="122"/>
        <v>3992004.5520600001</v>
      </c>
      <c r="BM104" s="1318">
        <f t="shared" si="114"/>
        <v>154620726.62802061</v>
      </c>
      <c r="BN104" s="407">
        <f t="shared" si="121"/>
        <v>2.5</v>
      </c>
      <c r="BO104" s="355"/>
      <c r="BP104" s="355"/>
      <c r="BQ104" s="355"/>
      <c r="BR104" s="355"/>
      <c r="BS104" s="355"/>
      <c r="BT104" s="355"/>
      <c r="BU104" s="355"/>
      <c r="BV104" s="355"/>
      <c r="BW104" s="355"/>
      <c r="BX104" s="355"/>
      <c r="BY104" s="355"/>
      <c r="BZ104" s="355"/>
      <c r="CA104" s="355"/>
      <c r="CB104" s="355"/>
      <c r="CC104" s="355"/>
      <c r="CD104" s="355"/>
      <c r="CE104" s="355"/>
      <c r="CF104" s="355"/>
      <c r="CG104" s="355"/>
      <c r="CH104" s="355"/>
      <c r="CI104" s="356"/>
    </row>
    <row r="105" spans="1:87" ht="20.100000000000001" customHeight="1">
      <c r="A105" s="492"/>
      <c r="B105" s="492"/>
      <c r="C105" s="493" t="s">
        <v>1213</v>
      </c>
      <c r="D105" s="493"/>
      <c r="E105" s="493"/>
      <c r="F105" s="493"/>
      <c r="G105" s="493"/>
      <c r="H105" s="494"/>
      <c r="I105" s="493"/>
      <c r="J105" s="493"/>
      <c r="K105" s="495">
        <f>K45+K65+K83+K104</f>
        <v>16385298.359999999</v>
      </c>
      <c r="L105" s="495">
        <f t="shared" ref="L105:BN105" si="123">L104+L83+L65+L45</f>
        <v>360</v>
      </c>
      <c r="M105" s="495">
        <f t="shared" si="123"/>
        <v>360</v>
      </c>
      <c r="N105" s="495">
        <f t="shared" si="123"/>
        <v>324</v>
      </c>
      <c r="O105" s="495">
        <f t="shared" si="123"/>
        <v>321</v>
      </c>
      <c r="P105" s="495">
        <f t="shared" si="123"/>
        <v>324</v>
      </c>
      <c r="Q105" s="495">
        <f t="shared" si="123"/>
        <v>1689</v>
      </c>
      <c r="R105" s="495">
        <f t="shared" si="123"/>
        <v>125</v>
      </c>
      <c r="S105" s="495">
        <f t="shared" si="123"/>
        <v>119</v>
      </c>
      <c r="T105" s="495">
        <f t="shared" si="123"/>
        <v>115</v>
      </c>
      <c r="U105" s="495">
        <f t="shared" si="123"/>
        <v>132</v>
      </c>
      <c r="V105" s="495">
        <f t="shared" si="123"/>
        <v>73</v>
      </c>
      <c r="W105" s="495">
        <f t="shared" si="123"/>
        <v>564</v>
      </c>
      <c r="X105" s="495">
        <f t="shared" si="123"/>
        <v>2253</v>
      </c>
      <c r="Y105" s="495">
        <f t="shared" si="123"/>
        <v>26406910.368749999</v>
      </c>
      <c r="Z105" s="495">
        <f t="shared" si="123"/>
        <v>2599662.7545000003</v>
      </c>
      <c r="AA105" s="495">
        <f t="shared" si="123"/>
        <v>903</v>
      </c>
      <c r="AB105" s="495">
        <f t="shared" si="123"/>
        <v>425723.45624999999</v>
      </c>
      <c r="AC105" s="495">
        <f t="shared" si="123"/>
        <v>809</v>
      </c>
      <c r="AD105" s="495">
        <f t="shared" si="123"/>
        <v>189745.02187500003</v>
      </c>
      <c r="AE105" s="495">
        <f t="shared" si="123"/>
        <v>589800</v>
      </c>
      <c r="AF105" s="495">
        <f t="shared" si="123"/>
        <v>33</v>
      </c>
      <c r="AG105" s="495">
        <f t="shared" si="123"/>
        <v>116800.20000000001</v>
      </c>
      <c r="AH105" s="495">
        <f t="shared" si="123"/>
        <v>9</v>
      </c>
      <c r="AI105" s="495">
        <f t="shared" si="123"/>
        <v>318546</v>
      </c>
      <c r="AJ105" s="495">
        <f t="shared" si="123"/>
        <v>2253</v>
      </c>
      <c r="AK105" s="495">
        <f t="shared" si="123"/>
        <v>996783.52499999991</v>
      </c>
      <c r="AL105" s="495">
        <f t="shared" si="123"/>
        <v>2253</v>
      </c>
      <c r="AM105" s="495">
        <f t="shared" si="123"/>
        <v>7922073.1106250007</v>
      </c>
      <c r="AN105" s="495">
        <f t="shared" si="123"/>
        <v>0</v>
      </c>
      <c r="AO105" s="495">
        <f t="shared" si="123"/>
        <v>2685752.046875</v>
      </c>
      <c r="AP105" s="495">
        <f t="shared" si="123"/>
        <v>2996128.6455000001</v>
      </c>
      <c r="AQ105" s="495">
        <f t="shared" si="123"/>
        <v>807187.82156249997</v>
      </c>
      <c r="AR105" s="495">
        <f t="shared" si="123"/>
        <v>1677350.4176250002</v>
      </c>
      <c r="AS105" s="495">
        <f t="shared" si="123"/>
        <v>400</v>
      </c>
      <c r="AT105" s="495">
        <f t="shared" si="123"/>
        <v>1730000</v>
      </c>
      <c r="AU105" s="495">
        <f t="shared" si="123"/>
        <v>0</v>
      </c>
      <c r="AV105" s="495">
        <f t="shared" si="123"/>
        <v>0</v>
      </c>
      <c r="AW105" s="495">
        <f>AW45+AW65+AW83+AW104</f>
        <v>45</v>
      </c>
      <c r="AX105" s="495">
        <f t="shared" si="123"/>
        <v>1803525</v>
      </c>
      <c r="AY105" s="495">
        <f t="shared" si="123"/>
        <v>70788</v>
      </c>
      <c r="AZ105" s="495">
        <f t="shared" si="123"/>
        <v>24929865.999812499</v>
      </c>
      <c r="BA105" s="495">
        <f t="shared" si="123"/>
        <v>51336776.368562505</v>
      </c>
      <c r="BB105" s="495">
        <f t="shared" si="123"/>
        <v>5133677.6368562505</v>
      </c>
      <c r="BC105" s="495">
        <f t="shared" si="123"/>
        <v>1026735.5273712501</v>
      </c>
      <c r="BD105" s="495">
        <f t="shared" si="123"/>
        <v>3990851.3204335002</v>
      </c>
      <c r="BE105" s="495">
        <f t="shared" si="123"/>
        <v>41185511.883901507</v>
      </c>
      <c r="BF105" s="495">
        <f t="shared" si="123"/>
        <v>616041316.42275</v>
      </c>
      <c r="BG105" s="495">
        <f t="shared" si="123"/>
        <v>52813820.737499997</v>
      </c>
      <c r="BH105" s="495">
        <f t="shared" si="123"/>
        <v>668855137.16024995</v>
      </c>
      <c r="BI105" s="495">
        <f t="shared" si="123"/>
        <v>23409929.80060875</v>
      </c>
      <c r="BJ105" s="495">
        <f t="shared" si="123"/>
        <v>34762886.510523453</v>
      </c>
      <c r="BK105" s="495">
        <f t="shared" si="123"/>
        <v>30098481.172211256</v>
      </c>
      <c r="BL105" s="495">
        <f t="shared" si="123"/>
        <v>20065654.114807501</v>
      </c>
      <c r="BM105" s="495">
        <f t="shared" si="123"/>
        <v>777192088.75840092</v>
      </c>
      <c r="BN105" s="495">
        <f t="shared" si="123"/>
        <v>8</v>
      </c>
      <c r="BO105" s="355"/>
      <c r="BP105" s="355"/>
      <c r="BQ105" s="355"/>
      <c r="BR105" s="355"/>
      <c r="BS105" s="355"/>
      <c r="BT105" s="355"/>
      <c r="BU105" s="355"/>
      <c r="BV105" s="355"/>
      <c r="BW105" s="355"/>
      <c r="BX105" s="355"/>
      <c r="BY105" s="355"/>
      <c r="BZ105" s="355"/>
      <c r="CA105" s="355"/>
      <c r="CB105" s="355"/>
      <c r="CC105" s="355"/>
      <c r="CD105" s="355"/>
      <c r="CE105" s="355"/>
      <c r="CF105" s="355"/>
      <c r="CG105" s="355"/>
      <c r="CH105" s="355"/>
      <c r="CI105" s="356"/>
    </row>
    <row r="106" spans="1:87" ht="31.5">
      <c r="A106" s="369">
        <f>A103+1</f>
        <v>88</v>
      </c>
      <c r="B106" s="416">
        <v>1</v>
      </c>
      <c r="C106" s="409" t="s">
        <v>1214</v>
      </c>
      <c r="D106" s="412" t="s">
        <v>1215</v>
      </c>
      <c r="E106" s="366" t="s">
        <v>998</v>
      </c>
      <c r="F106" s="508" t="s">
        <v>1005</v>
      </c>
      <c r="G106" s="366"/>
      <c r="H106" s="371" t="s">
        <v>1216</v>
      </c>
      <c r="I106" s="366">
        <v>17697</v>
      </c>
      <c r="J106" s="367">
        <v>11.4</v>
      </c>
      <c r="K106" s="367">
        <f t="shared" ref="K106:K115" si="124">I106*J106</f>
        <v>201745.80000000002</v>
      </c>
      <c r="L106" s="496"/>
      <c r="M106" s="496">
        <v>3</v>
      </c>
      <c r="N106" s="496"/>
      <c r="O106" s="496">
        <v>12</v>
      </c>
      <c r="P106" s="496">
        <v>12</v>
      </c>
      <c r="Q106" s="368">
        <f t="shared" ref="Q106:Q115" si="125">SUM(L106:P106)</f>
        <v>27</v>
      </c>
      <c r="R106" s="496"/>
      <c r="S106" s="496"/>
      <c r="T106" s="496"/>
      <c r="U106" s="496"/>
      <c r="V106" s="496"/>
      <c r="W106" s="381">
        <f t="shared" ref="W106:W115" si="126">SUM(R106:V106)</f>
        <v>0</v>
      </c>
      <c r="X106" s="370">
        <f t="shared" ref="X106:X115" si="127">Q106+W106</f>
        <v>27</v>
      </c>
      <c r="Y106" s="367">
        <f t="shared" ref="Y106:Y115" si="128">K106/16*X106</f>
        <v>340446.03750000003</v>
      </c>
      <c r="Z106" s="367">
        <f t="shared" ref="Z106:Z115" si="129">Y106*10%</f>
        <v>34044.603750000002</v>
      </c>
      <c r="AA106" s="497">
        <v>24</v>
      </c>
      <c r="AB106" s="367">
        <f t="shared" ref="AB106:AB115" si="130">I106/16*AA106*50%</f>
        <v>13272.75</v>
      </c>
      <c r="AC106" s="497">
        <v>3</v>
      </c>
      <c r="AD106" s="367">
        <f t="shared" ref="AD106:AD115" si="131">I106/16*AC106*50%*50%</f>
        <v>829.546875</v>
      </c>
      <c r="AE106" s="366">
        <v>196600</v>
      </c>
      <c r="AF106" s="497"/>
      <c r="AG106" s="367"/>
      <c r="AH106" s="497"/>
      <c r="AI106" s="367"/>
      <c r="AJ106" s="372"/>
      <c r="AK106" s="367"/>
      <c r="AL106" s="366">
        <f t="shared" ref="AL106:AL115" si="132">X106</f>
        <v>27</v>
      </c>
      <c r="AM106" s="367">
        <f t="shared" ref="AM106:AM115" si="133">K106/16*AL106*30%</f>
        <v>102133.81125000001</v>
      </c>
      <c r="AN106" s="366" t="str">
        <f t="shared" ref="AN106:AN115" si="134">F106</f>
        <v>Педагог-зерттеуші</v>
      </c>
      <c r="AO106" s="367" t="str">
        <f t="shared" ref="AO106:AO115" si="135">IF(AN106="Педагог-зерттеуші", "0", IF(AN106="Педагог-шебер",K106/16*X106*50%, IF(AN106="Педагог-сарапшы", "0", IF(AN106="Педагог-модератор", "0", "0"))))</f>
        <v>0</v>
      </c>
      <c r="AP106" s="367">
        <f t="shared" ref="AP106:AP115" si="136">IF(AN106="Педагог-шебер", "0", IF(AN106="Педагог-зерттеуші",K106/16*X106*40%, IF(AN106="Педагог-сарапшы", "0", IF(AN106="Педагог-модератор", "0", "0"))))</f>
        <v>136178.41500000001</v>
      </c>
      <c r="AQ106" s="367" t="str">
        <f t="shared" ref="AQ106:AQ115" si="137">IF(AN106="Педагог-шебер", "0", IF(AN106="Педагог-сарапшы",K106/16*X106*35%, IF(AN106="Педагог-зерттеуші", "0", IF(AN106="Педагог-модератор", "0", "0"))))</f>
        <v>0</v>
      </c>
      <c r="AR106" s="367" t="str">
        <f t="shared" ref="AR106:AR115" si="138">IF(AN106="Педагог-шебер", "0", IF(AN106="Педагог-модератор",K106/16*X106*30%, IF(AN106="Педагог-зерттеуші", "0", IF(AN106="Педагог-сарапшы", "0", "0"))))</f>
        <v>0</v>
      </c>
      <c r="AS106" s="497"/>
      <c r="AT106" s="374"/>
      <c r="AU106" s="499"/>
      <c r="AV106" s="374"/>
      <c r="AW106" s="371"/>
      <c r="AX106" s="367"/>
      <c r="AY106" s="374"/>
      <c r="AZ106" s="367">
        <f t="shared" ref="AZ106:AZ115" si="139">Z106+AB106+AD106+AE106+AG106+AI106+AK106+AM106+AO106+AP106+AQ106++AR106+AT106+AV106+AX106+AY106</f>
        <v>483059.12687500007</v>
      </c>
      <c r="BA106" s="373">
        <f t="shared" si="85"/>
        <v>823505.16437500017</v>
      </c>
      <c r="BB106" s="374">
        <f t="shared" si="90"/>
        <v>82350.516437500017</v>
      </c>
      <c r="BC106" s="374">
        <f t="shared" si="91"/>
        <v>16470.103287500002</v>
      </c>
      <c r="BD106" s="374">
        <f t="shared" si="86"/>
        <v>66413.454465000017</v>
      </c>
      <c r="BE106" s="374">
        <f t="shared" si="92"/>
        <v>658271.0901850001</v>
      </c>
      <c r="BF106" s="374">
        <f t="shared" si="93"/>
        <v>9882061.972500002</v>
      </c>
      <c r="BG106" s="374">
        <f t="shared" si="87"/>
        <v>680892.07500000007</v>
      </c>
      <c r="BH106" s="374">
        <f t="shared" si="94"/>
        <v>10562954.047500001</v>
      </c>
      <c r="BI106" s="374">
        <f t="shared" si="88"/>
        <v>369703.3916625001</v>
      </c>
      <c r="BJ106" s="374">
        <f t="shared" si="89"/>
        <v>548658.98222550005</v>
      </c>
      <c r="BK106" s="374">
        <f t="shared" si="95"/>
        <v>475332.93213750003</v>
      </c>
      <c r="BL106" s="374">
        <f t="shared" si="96"/>
        <v>316888.62142500002</v>
      </c>
      <c r="BM106" s="373">
        <f t="shared" ref="BM106:BM115" si="140">BH106+BJ106+BK106+BL106+BI106</f>
        <v>12273537.974950504</v>
      </c>
      <c r="BN106" s="375"/>
      <c r="BO106" s="376"/>
      <c r="BP106" s="377"/>
      <c r="BQ106" s="377"/>
      <c r="BR106" s="377"/>
      <c r="BS106" s="377"/>
      <c r="BT106" s="377"/>
      <c r="BU106" s="377"/>
      <c r="BV106" s="377"/>
      <c r="BW106" s="377"/>
      <c r="BX106" s="377"/>
      <c r="BY106" s="377"/>
      <c r="BZ106" s="377"/>
      <c r="CA106" s="377"/>
      <c r="CB106" s="377"/>
      <c r="CC106" s="377"/>
      <c r="CD106" s="377"/>
      <c r="CE106" s="377"/>
      <c r="CF106" s="377"/>
      <c r="CG106" s="377"/>
      <c r="CH106" s="377"/>
      <c r="CI106" s="377"/>
    </row>
    <row r="107" spans="1:87" ht="47.25">
      <c r="A107" s="369">
        <f t="shared" ref="A107:B115" si="141">A106+1</f>
        <v>89</v>
      </c>
      <c r="B107" s="416">
        <f t="shared" si="141"/>
        <v>2</v>
      </c>
      <c r="C107" s="409" t="s">
        <v>1217</v>
      </c>
      <c r="D107" s="412" t="s">
        <v>1218</v>
      </c>
      <c r="E107" s="366" t="s">
        <v>998</v>
      </c>
      <c r="F107" s="508" t="s">
        <v>1005</v>
      </c>
      <c r="G107" s="366"/>
      <c r="H107" s="371" t="s">
        <v>1219</v>
      </c>
      <c r="I107" s="366">
        <v>17697</v>
      </c>
      <c r="J107" s="367">
        <v>11.4</v>
      </c>
      <c r="K107" s="367">
        <f t="shared" si="124"/>
        <v>201745.80000000002</v>
      </c>
      <c r="L107" s="496"/>
      <c r="M107" s="496">
        <v>3</v>
      </c>
      <c r="N107" s="496"/>
      <c r="O107" s="496">
        <v>12</v>
      </c>
      <c r="P107" s="496">
        <v>12</v>
      </c>
      <c r="Q107" s="368">
        <f t="shared" si="125"/>
        <v>27</v>
      </c>
      <c r="R107" s="496"/>
      <c r="S107" s="496"/>
      <c r="T107" s="496"/>
      <c r="U107" s="496"/>
      <c r="V107" s="496">
        <v>6</v>
      </c>
      <c r="W107" s="381">
        <f t="shared" si="126"/>
        <v>6</v>
      </c>
      <c r="X107" s="370">
        <f t="shared" si="127"/>
        <v>33</v>
      </c>
      <c r="Y107" s="367">
        <f t="shared" si="128"/>
        <v>416100.71250000002</v>
      </c>
      <c r="Z107" s="367">
        <f t="shared" si="129"/>
        <v>41610.071250000008</v>
      </c>
      <c r="AA107" s="497">
        <v>21</v>
      </c>
      <c r="AB107" s="367">
        <f t="shared" si="130"/>
        <v>11613.65625</v>
      </c>
      <c r="AC107" s="497">
        <v>6</v>
      </c>
      <c r="AD107" s="367">
        <f t="shared" si="131"/>
        <v>1659.09375</v>
      </c>
      <c r="AE107" s="497"/>
      <c r="AF107" s="497"/>
      <c r="AG107" s="367"/>
      <c r="AH107" s="497"/>
      <c r="AI107" s="374"/>
      <c r="AJ107" s="372"/>
      <c r="AK107" s="367"/>
      <c r="AL107" s="366">
        <f t="shared" si="132"/>
        <v>33</v>
      </c>
      <c r="AM107" s="367">
        <f t="shared" si="133"/>
        <v>124830.21375</v>
      </c>
      <c r="AN107" s="366" t="str">
        <f t="shared" si="134"/>
        <v>Педагог-зерттеуші</v>
      </c>
      <c r="AO107" s="367" t="str">
        <f t="shared" si="135"/>
        <v>0</v>
      </c>
      <c r="AP107" s="367">
        <f t="shared" si="136"/>
        <v>166440.28500000003</v>
      </c>
      <c r="AQ107" s="367" t="str">
        <f t="shared" si="137"/>
        <v>0</v>
      </c>
      <c r="AR107" s="367" t="str">
        <f t="shared" si="138"/>
        <v>0</v>
      </c>
      <c r="AS107" s="497"/>
      <c r="AT107" s="374"/>
      <c r="AU107" s="499"/>
      <c r="AV107" s="374"/>
      <c r="AW107" s="371"/>
      <c r="AX107" s="367"/>
      <c r="AY107" s="374"/>
      <c r="AZ107" s="367">
        <f t="shared" si="139"/>
        <v>346153.32000000007</v>
      </c>
      <c r="BA107" s="373">
        <f t="shared" si="85"/>
        <v>762254.03250000009</v>
      </c>
      <c r="BB107" s="374">
        <f t="shared" si="90"/>
        <v>76225.403250000018</v>
      </c>
      <c r="BC107" s="374">
        <f t="shared" si="91"/>
        <v>15245.080650000002</v>
      </c>
      <c r="BD107" s="374">
        <f t="shared" si="86"/>
        <v>61023.354860000014</v>
      </c>
      <c r="BE107" s="374">
        <f t="shared" si="92"/>
        <v>609760.19374000013</v>
      </c>
      <c r="BF107" s="374">
        <f t="shared" si="93"/>
        <v>9147048.3900000006</v>
      </c>
      <c r="BG107" s="374">
        <f t="shared" si="87"/>
        <v>832201.42500000005</v>
      </c>
      <c r="BH107" s="374">
        <f t="shared" si="94"/>
        <v>9979249.8150000013</v>
      </c>
      <c r="BI107" s="374">
        <f t="shared" si="88"/>
        <v>349273.74352500006</v>
      </c>
      <c r="BJ107" s="374">
        <f t="shared" si="89"/>
        <v>518755.98355199996</v>
      </c>
      <c r="BK107" s="374">
        <f t="shared" si="95"/>
        <v>449066.24167500011</v>
      </c>
      <c r="BL107" s="374">
        <f t="shared" si="96"/>
        <v>299377.49445000006</v>
      </c>
      <c r="BM107" s="373">
        <f t="shared" si="140"/>
        <v>11595723.278202001</v>
      </c>
      <c r="BN107" s="375"/>
      <c r="BO107" s="377"/>
      <c r="BP107" s="377"/>
      <c r="BQ107" s="377"/>
      <c r="BR107" s="377"/>
      <c r="BS107" s="377"/>
      <c r="BT107" s="377"/>
      <c r="BU107" s="377"/>
      <c r="BV107" s="377"/>
      <c r="BW107" s="377"/>
      <c r="BX107" s="377"/>
      <c r="BY107" s="377"/>
      <c r="BZ107" s="377"/>
      <c r="CA107" s="377"/>
      <c r="CB107" s="377"/>
      <c r="CC107" s="377"/>
      <c r="CD107" s="377"/>
      <c r="CE107" s="377"/>
      <c r="CF107" s="377"/>
      <c r="CG107" s="377"/>
      <c r="CH107" s="377"/>
      <c r="CI107" s="377"/>
    </row>
    <row r="108" spans="1:87" ht="31.5">
      <c r="A108" s="369">
        <f t="shared" si="141"/>
        <v>90</v>
      </c>
      <c r="B108" s="416">
        <f t="shared" si="141"/>
        <v>3</v>
      </c>
      <c r="C108" s="409" t="s">
        <v>1220</v>
      </c>
      <c r="D108" s="412" t="s">
        <v>1221</v>
      </c>
      <c r="E108" s="366" t="s">
        <v>998</v>
      </c>
      <c r="F108" s="508" t="s">
        <v>1011</v>
      </c>
      <c r="G108" s="500"/>
      <c r="H108" s="371" t="s">
        <v>1222</v>
      </c>
      <c r="I108" s="366">
        <v>17697</v>
      </c>
      <c r="J108" s="367">
        <v>11.4</v>
      </c>
      <c r="K108" s="367">
        <f t="shared" si="124"/>
        <v>201745.80000000002</v>
      </c>
      <c r="L108" s="496">
        <v>15</v>
      </c>
      <c r="M108" s="496">
        <v>3</v>
      </c>
      <c r="N108" s="496"/>
      <c r="O108" s="496"/>
      <c r="P108" s="496"/>
      <c r="Q108" s="368">
        <f t="shared" si="125"/>
        <v>18</v>
      </c>
      <c r="R108" s="496"/>
      <c r="S108" s="496"/>
      <c r="T108" s="496"/>
      <c r="U108" s="496"/>
      <c r="V108" s="496"/>
      <c r="W108" s="381">
        <f t="shared" si="126"/>
        <v>0</v>
      </c>
      <c r="X108" s="370">
        <f t="shared" si="127"/>
        <v>18</v>
      </c>
      <c r="Y108" s="367">
        <f t="shared" si="128"/>
        <v>226964.02500000002</v>
      </c>
      <c r="Z108" s="367">
        <f t="shared" si="129"/>
        <v>22696.402500000004</v>
      </c>
      <c r="AA108" s="497">
        <v>3</v>
      </c>
      <c r="AB108" s="367">
        <f t="shared" si="130"/>
        <v>1659.09375</v>
      </c>
      <c r="AC108" s="497">
        <v>15</v>
      </c>
      <c r="AD108" s="367">
        <f t="shared" si="131"/>
        <v>4147.734375</v>
      </c>
      <c r="AE108" s="497"/>
      <c r="AF108" s="497" t="s">
        <v>1223</v>
      </c>
      <c r="AG108" s="367">
        <f>17697*20%</f>
        <v>3539.4</v>
      </c>
      <c r="AH108" s="497"/>
      <c r="AI108" s="367"/>
      <c r="AJ108" s="372"/>
      <c r="AK108" s="367"/>
      <c r="AL108" s="366">
        <f t="shared" si="132"/>
        <v>18</v>
      </c>
      <c r="AM108" s="367">
        <f t="shared" si="133"/>
        <v>68089.207500000004</v>
      </c>
      <c r="AN108" s="366" t="str">
        <f t="shared" si="134"/>
        <v>Педагог-сарапшы</v>
      </c>
      <c r="AO108" s="367" t="str">
        <f t="shared" si="135"/>
        <v>0</v>
      </c>
      <c r="AP108" s="367" t="str">
        <f t="shared" si="136"/>
        <v>0</v>
      </c>
      <c r="AQ108" s="367">
        <f t="shared" si="137"/>
        <v>79437.408750000002</v>
      </c>
      <c r="AR108" s="367" t="str">
        <f t="shared" si="138"/>
        <v>0</v>
      </c>
      <c r="AS108" s="497"/>
      <c r="AT108" s="374"/>
      <c r="AU108" s="499"/>
      <c r="AV108" s="374"/>
      <c r="AW108" s="371"/>
      <c r="AX108" s="367"/>
      <c r="AY108" s="374"/>
      <c r="AZ108" s="367">
        <f t="shared" si="139"/>
        <v>179569.24687500001</v>
      </c>
      <c r="BA108" s="373">
        <f t="shared" si="85"/>
        <v>406533.27187500003</v>
      </c>
      <c r="BB108" s="374">
        <f t="shared" si="90"/>
        <v>40653.327187500006</v>
      </c>
      <c r="BC108" s="374">
        <f t="shared" si="91"/>
        <v>8130.6654375000007</v>
      </c>
      <c r="BD108" s="374">
        <f t="shared" si="86"/>
        <v>29719.927925000004</v>
      </c>
      <c r="BE108" s="374">
        <f t="shared" si="92"/>
        <v>328029.351325</v>
      </c>
      <c r="BF108" s="374">
        <f t="shared" si="93"/>
        <v>4878399.2625000002</v>
      </c>
      <c r="BG108" s="374">
        <f t="shared" si="87"/>
        <v>453928.05000000005</v>
      </c>
      <c r="BH108" s="374">
        <f t="shared" si="94"/>
        <v>5332327.3125</v>
      </c>
      <c r="BI108" s="374">
        <f t="shared" si="88"/>
        <v>186631.45593750002</v>
      </c>
      <c r="BJ108" s="374">
        <f t="shared" si="89"/>
        <v>277213.1964975</v>
      </c>
      <c r="BK108" s="374">
        <f t="shared" si="95"/>
        <v>239954.7290625</v>
      </c>
      <c r="BL108" s="374">
        <f t="shared" si="96"/>
        <v>159969.81937499999</v>
      </c>
      <c r="BM108" s="373">
        <f t="shared" si="140"/>
        <v>6196096.5133725004</v>
      </c>
      <c r="BN108" s="375"/>
      <c r="BO108" s="377"/>
      <c r="BP108" s="377"/>
      <c r="BQ108" s="377"/>
      <c r="BR108" s="377"/>
      <c r="BS108" s="377"/>
      <c r="BT108" s="377"/>
      <c r="BU108" s="377"/>
      <c r="BV108" s="377"/>
      <c r="BW108" s="377"/>
      <c r="BX108" s="377"/>
      <c r="BY108" s="377"/>
      <c r="BZ108" s="377"/>
      <c r="CA108" s="377"/>
      <c r="CB108" s="377"/>
      <c r="CC108" s="377"/>
      <c r="CD108" s="377"/>
      <c r="CE108" s="377"/>
      <c r="CF108" s="377"/>
      <c r="CG108" s="377"/>
      <c r="CH108" s="377"/>
      <c r="CI108" s="377"/>
    </row>
    <row r="109" spans="1:87" ht="110.25">
      <c r="A109" s="369">
        <f t="shared" si="141"/>
        <v>91</v>
      </c>
      <c r="B109" s="416">
        <f t="shared" si="141"/>
        <v>4</v>
      </c>
      <c r="C109" s="409" t="s">
        <v>1224</v>
      </c>
      <c r="D109" s="412" t="s">
        <v>1225</v>
      </c>
      <c r="E109" s="366" t="s">
        <v>998</v>
      </c>
      <c r="F109" s="508" t="s">
        <v>999</v>
      </c>
      <c r="G109" s="366" t="s">
        <v>1226</v>
      </c>
      <c r="H109" s="371" t="s">
        <v>1227</v>
      </c>
      <c r="I109" s="366">
        <v>17697</v>
      </c>
      <c r="J109" s="367">
        <v>11.4</v>
      </c>
      <c r="K109" s="367">
        <f t="shared" si="124"/>
        <v>201745.80000000002</v>
      </c>
      <c r="L109" s="496">
        <v>20</v>
      </c>
      <c r="M109" s="496"/>
      <c r="N109" s="496"/>
      <c r="O109" s="496">
        <v>9</v>
      </c>
      <c r="P109" s="496"/>
      <c r="Q109" s="368">
        <f t="shared" si="125"/>
        <v>29</v>
      </c>
      <c r="R109" s="496"/>
      <c r="S109" s="496">
        <v>1</v>
      </c>
      <c r="T109" s="496"/>
      <c r="U109" s="496"/>
      <c r="V109" s="496">
        <v>5</v>
      </c>
      <c r="W109" s="381">
        <f t="shared" si="126"/>
        <v>6</v>
      </c>
      <c r="X109" s="370">
        <f t="shared" si="127"/>
        <v>35</v>
      </c>
      <c r="Y109" s="367">
        <f t="shared" si="128"/>
        <v>441318.93750000006</v>
      </c>
      <c r="Z109" s="367">
        <f t="shared" si="129"/>
        <v>44131.89375000001</v>
      </c>
      <c r="AA109" s="501">
        <v>29</v>
      </c>
      <c r="AB109" s="367">
        <f t="shared" si="130"/>
        <v>16037.90625</v>
      </c>
      <c r="AC109" s="497"/>
      <c r="AD109" s="367">
        <f t="shared" si="131"/>
        <v>0</v>
      </c>
      <c r="AE109" s="497"/>
      <c r="AF109" s="497"/>
      <c r="AG109" s="367"/>
      <c r="AH109" s="497" t="s">
        <v>1228</v>
      </c>
      <c r="AI109" s="367">
        <f t="shared" ref="AI109:AI115" si="142">I109*200%</f>
        <v>35394</v>
      </c>
      <c r="AJ109" s="372"/>
      <c r="AK109" s="367"/>
      <c r="AL109" s="366">
        <f t="shared" si="132"/>
        <v>35</v>
      </c>
      <c r="AM109" s="367">
        <f t="shared" si="133"/>
        <v>132395.68125000002</v>
      </c>
      <c r="AN109" s="366" t="str">
        <f t="shared" si="134"/>
        <v>Педагог-шебер</v>
      </c>
      <c r="AO109" s="367">
        <f t="shared" si="135"/>
        <v>220659.46875000003</v>
      </c>
      <c r="AP109" s="367" t="str">
        <f t="shared" si="136"/>
        <v>0</v>
      </c>
      <c r="AQ109" s="367" t="str">
        <f t="shared" si="137"/>
        <v>0</v>
      </c>
      <c r="AR109" s="367" t="str">
        <f t="shared" si="138"/>
        <v>0</v>
      </c>
      <c r="AS109" s="497"/>
      <c r="AT109" s="374"/>
      <c r="AU109" s="499"/>
      <c r="AV109" s="374"/>
      <c r="AW109" s="371" t="str">
        <f>G109</f>
        <v>Магистр-педагогика</v>
      </c>
      <c r="AX109" s="372">
        <f>10*4325</f>
        <v>43250</v>
      </c>
      <c r="AY109" s="374"/>
      <c r="AZ109" s="367">
        <f t="shared" si="139"/>
        <v>491868.95000000007</v>
      </c>
      <c r="BA109" s="373">
        <f t="shared" si="85"/>
        <v>933187.88750000019</v>
      </c>
      <c r="BB109" s="374">
        <f t="shared" si="90"/>
        <v>93318.788750000022</v>
      </c>
      <c r="BC109" s="374">
        <f t="shared" si="91"/>
        <v>18663.757750000004</v>
      </c>
      <c r="BD109" s="374">
        <f t="shared" si="86"/>
        <v>76065.534100000019</v>
      </c>
      <c r="BE109" s="374">
        <f t="shared" si="92"/>
        <v>745139.80690000008</v>
      </c>
      <c r="BF109" s="374">
        <f t="shared" si="93"/>
        <v>11198254.650000002</v>
      </c>
      <c r="BG109" s="374">
        <f t="shared" si="87"/>
        <v>882637.87500000012</v>
      </c>
      <c r="BH109" s="374">
        <f t="shared" si="94"/>
        <v>12080892.525000002</v>
      </c>
      <c r="BI109" s="374">
        <f t="shared" si="88"/>
        <v>422831.23837500013</v>
      </c>
      <c r="BJ109" s="374">
        <f t="shared" si="89"/>
        <v>627732.03612000018</v>
      </c>
      <c r="BK109" s="374">
        <f t="shared" si="95"/>
        <v>543640.16362500016</v>
      </c>
      <c r="BL109" s="374">
        <f t="shared" si="96"/>
        <v>362426.77575000003</v>
      </c>
      <c r="BM109" s="373">
        <f t="shared" si="140"/>
        <v>14037522.738870002</v>
      </c>
      <c r="BN109" s="375"/>
      <c r="BO109" s="377"/>
      <c r="BP109" s="377"/>
      <c r="BQ109" s="377"/>
      <c r="BR109" s="377"/>
      <c r="BS109" s="377"/>
      <c r="BT109" s="377"/>
      <c r="BU109" s="377"/>
      <c r="BV109" s="377"/>
      <c r="BW109" s="377"/>
      <c r="BX109" s="377"/>
      <c r="BY109" s="377"/>
      <c r="BZ109" s="377"/>
      <c r="CA109" s="377"/>
      <c r="CB109" s="377"/>
      <c r="CC109" s="377"/>
      <c r="CD109" s="377"/>
      <c r="CE109" s="377"/>
      <c r="CF109" s="377"/>
      <c r="CG109" s="377"/>
      <c r="CH109" s="377"/>
      <c r="CI109" s="377"/>
    </row>
    <row r="110" spans="1:87" ht="30">
      <c r="A110" s="369">
        <f t="shared" si="141"/>
        <v>92</v>
      </c>
      <c r="B110" s="416">
        <f t="shared" si="141"/>
        <v>5</v>
      </c>
      <c r="C110" s="409" t="s">
        <v>511</v>
      </c>
      <c r="D110" s="412" t="s">
        <v>1229</v>
      </c>
      <c r="E110" s="366" t="s">
        <v>998</v>
      </c>
      <c r="F110" s="508" t="s">
        <v>1005</v>
      </c>
      <c r="G110" s="366"/>
      <c r="H110" s="371" t="s">
        <v>1436</v>
      </c>
      <c r="I110" s="366">
        <v>17697</v>
      </c>
      <c r="J110" s="367">
        <v>11.18</v>
      </c>
      <c r="K110" s="367">
        <f t="shared" si="124"/>
        <v>197852.46</v>
      </c>
      <c r="L110" s="496"/>
      <c r="M110" s="496">
        <v>6</v>
      </c>
      <c r="N110" s="496"/>
      <c r="O110" s="496"/>
      <c r="P110" s="496"/>
      <c r="Q110" s="368">
        <f t="shared" si="125"/>
        <v>6</v>
      </c>
      <c r="R110" s="496"/>
      <c r="S110" s="496"/>
      <c r="T110" s="496"/>
      <c r="U110" s="496"/>
      <c r="V110" s="496"/>
      <c r="W110" s="381">
        <f t="shared" si="126"/>
        <v>0</v>
      </c>
      <c r="X110" s="370">
        <f t="shared" si="127"/>
        <v>6</v>
      </c>
      <c r="Y110" s="367">
        <f t="shared" si="128"/>
        <v>74194.672500000001</v>
      </c>
      <c r="Z110" s="367"/>
      <c r="AA110" s="497">
        <v>3</v>
      </c>
      <c r="AB110" s="367">
        <f t="shared" si="130"/>
        <v>1659.09375</v>
      </c>
      <c r="AC110" s="497">
        <v>3</v>
      </c>
      <c r="AD110" s="367">
        <f t="shared" si="131"/>
        <v>829.546875</v>
      </c>
      <c r="AE110" s="497"/>
      <c r="AF110" s="497"/>
      <c r="AG110" s="367"/>
      <c r="AH110" s="501" t="s">
        <v>1230</v>
      </c>
      <c r="AI110" s="479">
        <f t="shared" si="142"/>
        <v>35394</v>
      </c>
      <c r="AJ110" s="372"/>
      <c r="AK110" s="367"/>
      <c r="AL110" s="366">
        <f t="shared" si="132"/>
        <v>6</v>
      </c>
      <c r="AM110" s="367">
        <f t="shared" si="133"/>
        <v>22258.401750000001</v>
      </c>
      <c r="AN110" s="366" t="str">
        <f t="shared" si="134"/>
        <v>Педагог-зерттеуші</v>
      </c>
      <c r="AO110" s="367" t="str">
        <f t="shared" si="135"/>
        <v>0</v>
      </c>
      <c r="AP110" s="367">
        <f t="shared" si="136"/>
        <v>29677.869000000002</v>
      </c>
      <c r="AQ110" s="367" t="str">
        <f t="shared" si="137"/>
        <v>0</v>
      </c>
      <c r="AR110" s="367" t="str">
        <f t="shared" si="138"/>
        <v>0</v>
      </c>
      <c r="AS110" s="497"/>
      <c r="AT110" s="374"/>
      <c r="AU110" s="499"/>
      <c r="AV110" s="374"/>
      <c r="AW110" s="371"/>
      <c r="AX110" s="367"/>
      <c r="AY110" s="374"/>
      <c r="AZ110" s="367">
        <f t="shared" si="139"/>
        <v>89818.911375000011</v>
      </c>
      <c r="BA110" s="373">
        <f t="shared" si="85"/>
        <v>164013.58387500001</v>
      </c>
      <c r="BB110" s="374">
        <f t="shared" si="90"/>
        <v>16401.3583875</v>
      </c>
      <c r="BC110" s="374">
        <f t="shared" si="91"/>
        <v>3280.2716775000004</v>
      </c>
      <c r="BD110" s="374">
        <f t="shared" si="86"/>
        <v>8378.1953810000032</v>
      </c>
      <c r="BE110" s="374">
        <f t="shared" si="92"/>
        <v>135953.75842900004</v>
      </c>
      <c r="BF110" s="374">
        <f t="shared" si="93"/>
        <v>1968163.0065000001</v>
      </c>
      <c r="BG110" s="374">
        <f t="shared" si="87"/>
        <v>148389.345</v>
      </c>
      <c r="BH110" s="374">
        <f t="shared" si="94"/>
        <v>2116552.3515000003</v>
      </c>
      <c r="BI110" s="374">
        <f t="shared" si="88"/>
        <v>74079.332302500014</v>
      </c>
      <c r="BJ110" s="374">
        <f t="shared" si="89"/>
        <v>109963.8683667</v>
      </c>
      <c r="BK110" s="374">
        <f t="shared" si="95"/>
        <v>95244.855817500022</v>
      </c>
      <c r="BL110" s="374">
        <f t="shared" si="96"/>
        <v>63496.57054500001</v>
      </c>
      <c r="BM110" s="373">
        <f t="shared" si="140"/>
        <v>2459336.9785317006</v>
      </c>
      <c r="BN110" s="375">
        <v>1</v>
      </c>
      <c r="BO110" s="377"/>
      <c r="BP110" s="377"/>
      <c r="BQ110" s="377"/>
      <c r="BR110" s="377"/>
      <c r="BS110" s="377"/>
      <c r="BT110" s="377"/>
      <c r="BU110" s="377"/>
      <c r="BV110" s="377"/>
      <c r="BW110" s="377"/>
      <c r="BX110" s="377"/>
      <c r="BY110" s="377"/>
      <c r="BZ110" s="377"/>
      <c r="CA110" s="377"/>
      <c r="CB110" s="377"/>
      <c r="CC110" s="377"/>
      <c r="CD110" s="377"/>
      <c r="CE110" s="377"/>
      <c r="CF110" s="377"/>
      <c r="CG110" s="377"/>
      <c r="CH110" s="377"/>
      <c r="CI110" s="377"/>
    </row>
    <row r="111" spans="1:87" ht="47.25">
      <c r="A111" s="369">
        <f t="shared" si="141"/>
        <v>93</v>
      </c>
      <c r="B111" s="416">
        <f t="shared" si="141"/>
        <v>6</v>
      </c>
      <c r="C111" s="409" t="s">
        <v>1231</v>
      </c>
      <c r="D111" s="412" t="s">
        <v>1232</v>
      </c>
      <c r="E111" s="366" t="s">
        <v>998</v>
      </c>
      <c r="F111" s="366"/>
      <c r="G111" s="366"/>
      <c r="H111" s="371" t="s">
        <v>1437</v>
      </c>
      <c r="I111" s="366">
        <v>17697</v>
      </c>
      <c r="J111" s="367">
        <v>9.66</v>
      </c>
      <c r="K111" s="367">
        <f t="shared" si="124"/>
        <v>170953.02</v>
      </c>
      <c r="L111" s="496"/>
      <c r="M111" s="496">
        <v>7</v>
      </c>
      <c r="N111" s="496">
        <v>3</v>
      </c>
      <c r="O111" s="496">
        <v>6</v>
      </c>
      <c r="P111" s="496"/>
      <c r="Q111" s="368">
        <f t="shared" si="125"/>
        <v>16</v>
      </c>
      <c r="R111" s="496"/>
      <c r="S111" s="496"/>
      <c r="T111" s="496"/>
      <c r="U111" s="496"/>
      <c r="V111" s="496"/>
      <c r="W111" s="381">
        <f t="shared" si="126"/>
        <v>0</v>
      </c>
      <c r="X111" s="370">
        <f t="shared" si="127"/>
        <v>16</v>
      </c>
      <c r="Y111" s="367">
        <f t="shared" si="128"/>
        <v>170953.02</v>
      </c>
      <c r="Z111" s="367">
        <f t="shared" si="129"/>
        <v>17095.302</v>
      </c>
      <c r="AA111" s="497">
        <v>16</v>
      </c>
      <c r="AB111" s="367">
        <f t="shared" si="130"/>
        <v>8848.5</v>
      </c>
      <c r="AC111" s="497"/>
      <c r="AD111" s="367">
        <f t="shared" si="131"/>
        <v>0</v>
      </c>
      <c r="AE111" s="497"/>
      <c r="AF111" s="497"/>
      <c r="AG111" s="367"/>
      <c r="AH111" s="501"/>
      <c r="AI111" s="479"/>
      <c r="AJ111" s="372"/>
      <c r="AK111" s="367"/>
      <c r="AL111" s="366">
        <f t="shared" si="132"/>
        <v>16</v>
      </c>
      <c r="AM111" s="367">
        <f t="shared" si="133"/>
        <v>51285.905999999995</v>
      </c>
      <c r="AN111" s="366">
        <f t="shared" si="134"/>
        <v>0</v>
      </c>
      <c r="AO111" s="367" t="str">
        <f t="shared" si="135"/>
        <v>0</v>
      </c>
      <c r="AP111" s="367" t="str">
        <f t="shared" si="136"/>
        <v>0</v>
      </c>
      <c r="AQ111" s="367" t="str">
        <f t="shared" si="137"/>
        <v>0</v>
      </c>
      <c r="AR111" s="367" t="str">
        <f t="shared" si="138"/>
        <v>0</v>
      </c>
      <c r="AS111" s="497"/>
      <c r="AT111" s="374"/>
      <c r="AU111" s="499"/>
      <c r="AV111" s="374"/>
      <c r="AW111" s="371"/>
      <c r="AX111" s="367"/>
      <c r="AY111" s="374"/>
      <c r="AZ111" s="367">
        <f t="shared" si="139"/>
        <v>77229.707999999999</v>
      </c>
      <c r="BA111" s="373">
        <f t="shared" si="85"/>
        <v>248182.728</v>
      </c>
      <c r="BB111" s="374">
        <f t="shared" si="90"/>
        <v>24818.272800000002</v>
      </c>
      <c r="BC111" s="374">
        <f t="shared" si="91"/>
        <v>4963.6545599999999</v>
      </c>
      <c r="BD111" s="374">
        <f t="shared" si="86"/>
        <v>15785.080064000002</v>
      </c>
      <c r="BE111" s="374">
        <f t="shared" si="92"/>
        <v>202615.72057599999</v>
      </c>
      <c r="BF111" s="374">
        <f t="shared" si="93"/>
        <v>2978192.736</v>
      </c>
      <c r="BG111" s="374">
        <f t="shared" si="87"/>
        <v>341906.04</v>
      </c>
      <c r="BH111" s="374">
        <f t="shared" si="94"/>
        <v>3320098.7760000001</v>
      </c>
      <c r="BI111" s="374">
        <f t="shared" si="88"/>
        <v>116203.45716000002</v>
      </c>
      <c r="BJ111" s="374">
        <f t="shared" si="89"/>
        <v>172733.30988480002</v>
      </c>
      <c r="BK111" s="374">
        <f t="shared" si="95"/>
        <v>149404.44492000001</v>
      </c>
      <c r="BL111" s="374">
        <f t="shared" si="96"/>
        <v>99602.963279999996</v>
      </c>
      <c r="BM111" s="373">
        <f t="shared" si="140"/>
        <v>3858042.9512448004</v>
      </c>
      <c r="BN111" s="375"/>
      <c r="BO111" s="377"/>
      <c r="BP111" s="377"/>
      <c r="BQ111" s="377"/>
      <c r="BR111" s="377"/>
      <c r="BS111" s="377"/>
      <c r="BT111" s="377"/>
      <c r="BU111" s="377"/>
      <c r="BV111" s="377"/>
      <c r="BW111" s="377"/>
      <c r="BX111" s="377"/>
      <c r="BY111" s="377"/>
      <c r="BZ111" s="377"/>
      <c r="CA111" s="377"/>
      <c r="CB111" s="377"/>
      <c r="CC111" s="377"/>
      <c r="CD111" s="377"/>
      <c r="CE111" s="377"/>
      <c r="CF111" s="377"/>
      <c r="CG111" s="377"/>
      <c r="CH111" s="377"/>
      <c r="CI111" s="377"/>
    </row>
    <row r="112" spans="1:87" ht="31.5">
      <c r="A112" s="369">
        <f t="shared" si="141"/>
        <v>94</v>
      </c>
      <c r="B112" s="416">
        <f t="shared" si="141"/>
        <v>7</v>
      </c>
      <c r="C112" s="409" t="s">
        <v>1233</v>
      </c>
      <c r="D112" s="502" t="s">
        <v>1234</v>
      </c>
      <c r="E112" s="366" t="s">
        <v>998</v>
      </c>
      <c r="F112" s="508" t="s">
        <v>1005</v>
      </c>
      <c r="G112" s="366"/>
      <c r="H112" s="371" t="s">
        <v>1438</v>
      </c>
      <c r="I112" s="366">
        <v>17697</v>
      </c>
      <c r="J112" s="367">
        <v>11.18</v>
      </c>
      <c r="K112" s="367">
        <f t="shared" si="124"/>
        <v>197852.46</v>
      </c>
      <c r="L112" s="496">
        <v>15</v>
      </c>
      <c r="M112" s="496"/>
      <c r="N112" s="496">
        <v>12</v>
      </c>
      <c r="O112" s="496"/>
      <c r="P112" s="496"/>
      <c r="Q112" s="368">
        <f t="shared" si="125"/>
        <v>27</v>
      </c>
      <c r="R112" s="496"/>
      <c r="S112" s="496"/>
      <c r="T112" s="496"/>
      <c r="U112" s="496"/>
      <c r="V112" s="496"/>
      <c r="W112" s="381">
        <f t="shared" si="126"/>
        <v>0</v>
      </c>
      <c r="X112" s="370">
        <f t="shared" si="127"/>
        <v>27</v>
      </c>
      <c r="Y112" s="367">
        <f t="shared" si="128"/>
        <v>333876.02625</v>
      </c>
      <c r="Z112" s="367">
        <f t="shared" si="129"/>
        <v>33387.602625</v>
      </c>
      <c r="AA112" s="497">
        <v>12</v>
      </c>
      <c r="AB112" s="367">
        <f t="shared" si="130"/>
        <v>6636.375</v>
      </c>
      <c r="AC112" s="497">
        <v>15</v>
      </c>
      <c r="AD112" s="367">
        <f t="shared" si="131"/>
        <v>4147.734375</v>
      </c>
      <c r="AE112" s="497"/>
      <c r="AF112" s="497" t="s">
        <v>1235</v>
      </c>
      <c r="AG112" s="367">
        <f>17697*20%</f>
        <v>3539.4</v>
      </c>
      <c r="AH112" s="497" t="s">
        <v>545</v>
      </c>
      <c r="AI112" s="479">
        <f t="shared" si="142"/>
        <v>35394</v>
      </c>
      <c r="AJ112" s="372"/>
      <c r="AK112" s="367"/>
      <c r="AL112" s="366">
        <f t="shared" si="132"/>
        <v>27</v>
      </c>
      <c r="AM112" s="367">
        <f t="shared" si="133"/>
        <v>100162.807875</v>
      </c>
      <c r="AN112" s="366" t="str">
        <f t="shared" si="134"/>
        <v>Педагог-зерттеуші</v>
      </c>
      <c r="AO112" s="367" t="str">
        <f t="shared" si="135"/>
        <v>0</v>
      </c>
      <c r="AP112" s="367">
        <f t="shared" si="136"/>
        <v>133550.4105</v>
      </c>
      <c r="AQ112" s="367" t="str">
        <f t="shared" si="137"/>
        <v>0</v>
      </c>
      <c r="AR112" s="367" t="str">
        <f t="shared" si="138"/>
        <v>0</v>
      </c>
      <c r="AS112" s="497"/>
      <c r="AT112" s="374"/>
      <c r="AU112" s="499"/>
      <c r="AV112" s="374"/>
      <c r="AW112" s="371"/>
      <c r="AX112" s="367"/>
      <c r="AY112" s="374"/>
      <c r="AZ112" s="367">
        <f t="shared" si="139"/>
        <v>316818.33037500002</v>
      </c>
      <c r="BA112" s="373">
        <f t="shared" si="85"/>
        <v>650694.35662500001</v>
      </c>
      <c r="BB112" s="374">
        <f t="shared" si="90"/>
        <v>65069.435662500007</v>
      </c>
      <c r="BC112" s="374">
        <f t="shared" si="91"/>
        <v>13013.8871325</v>
      </c>
      <c r="BD112" s="374">
        <f t="shared" si="86"/>
        <v>51206.103383000009</v>
      </c>
      <c r="BE112" s="374">
        <f t="shared" si="92"/>
        <v>521404.93044700008</v>
      </c>
      <c r="BF112" s="374">
        <f t="shared" si="93"/>
        <v>7808332.2795000002</v>
      </c>
      <c r="BG112" s="374">
        <f t="shared" si="87"/>
        <v>667752.05249999999</v>
      </c>
      <c r="BH112" s="374">
        <f t="shared" si="94"/>
        <v>8476084.3320000004</v>
      </c>
      <c r="BI112" s="374">
        <f t="shared" si="88"/>
        <v>296662.95162000007</v>
      </c>
      <c r="BJ112" s="374">
        <f t="shared" si="89"/>
        <v>440530.22291310003</v>
      </c>
      <c r="BK112" s="374">
        <f t="shared" si="95"/>
        <v>381423.79494000005</v>
      </c>
      <c r="BL112" s="374">
        <f t="shared" si="96"/>
        <v>254282.52996000001</v>
      </c>
      <c r="BM112" s="373">
        <f t="shared" si="140"/>
        <v>9848983.8314331006</v>
      </c>
      <c r="BN112" s="375"/>
      <c r="BO112" s="377"/>
      <c r="BP112" s="377"/>
      <c r="BQ112" s="377"/>
      <c r="BR112" s="377"/>
      <c r="BS112" s="377"/>
      <c r="BT112" s="377"/>
      <c r="BU112" s="377"/>
      <c r="BV112" s="377"/>
      <c r="BW112" s="377"/>
      <c r="BX112" s="377"/>
      <c r="BY112" s="377"/>
      <c r="BZ112" s="377"/>
      <c r="CA112" s="377"/>
      <c r="CB112" s="377"/>
      <c r="CC112" s="377"/>
      <c r="CD112" s="377"/>
      <c r="CE112" s="377"/>
      <c r="CF112" s="377"/>
      <c r="CG112" s="377"/>
      <c r="CH112" s="377"/>
      <c r="CI112" s="377"/>
    </row>
    <row r="113" spans="1:87" ht="45">
      <c r="A113" s="369">
        <f t="shared" si="141"/>
        <v>95</v>
      </c>
      <c r="B113" s="416">
        <f t="shared" si="141"/>
        <v>8</v>
      </c>
      <c r="C113" s="503" t="s">
        <v>904</v>
      </c>
      <c r="D113" s="502" t="s">
        <v>1236</v>
      </c>
      <c r="E113" s="366" t="s">
        <v>998</v>
      </c>
      <c r="F113" s="1314" t="s">
        <v>254</v>
      </c>
      <c r="G113" s="366" t="s">
        <v>1237</v>
      </c>
      <c r="H113" s="504" t="s">
        <v>1439</v>
      </c>
      <c r="I113" s="366">
        <v>17697</v>
      </c>
      <c r="J113" s="367">
        <v>10</v>
      </c>
      <c r="K113" s="367">
        <f t="shared" si="124"/>
        <v>176970</v>
      </c>
      <c r="L113" s="496"/>
      <c r="M113" s="496">
        <v>12</v>
      </c>
      <c r="N113" s="496">
        <v>12</v>
      </c>
      <c r="O113" s="496"/>
      <c r="P113" s="496"/>
      <c r="Q113" s="368">
        <f t="shared" si="125"/>
        <v>24</v>
      </c>
      <c r="R113" s="496"/>
      <c r="S113" s="496"/>
      <c r="T113" s="496"/>
      <c r="U113" s="496"/>
      <c r="V113" s="496"/>
      <c r="W113" s="381">
        <f t="shared" si="126"/>
        <v>0</v>
      </c>
      <c r="X113" s="370">
        <f t="shared" si="127"/>
        <v>24</v>
      </c>
      <c r="Y113" s="367">
        <f t="shared" si="128"/>
        <v>265455</v>
      </c>
      <c r="Z113" s="367">
        <f t="shared" si="129"/>
        <v>26545.5</v>
      </c>
      <c r="AA113" s="497">
        <v>21</v>
      </c>
      <c r="AB113" s="367">
        <f t="shared" si="130"/>
        <v>11613.65625</v>
      </c>
      <c r="AC113" s="497">
        <v>3</v>
      </c>
      <c r="AD113" s="367">
        <f t="shared" si="131"/>
        <v>829.546875</v>
      </c>
      <c r="AE113" s="497"/>
      <c r="AF113" s="497"/>
      <c r="AG113" s="367"/>
      <c r="AH113" s="497" t="s">
        <v>115</v>
      </c>
      <c r="AI113" s="479">
        <f t="shared" si="142"/>
        <v>35394</v>
      </c>
      <c r="AJ113" s="372"/>
      <c r="AK113" s="367"/>
      <c r="AL113" s="366">
        <f t="shared" si="132"/>
        <v>24</v>
      </c>
      <c r="AM113" s="367">
        <f t="shared" si="133"/>
        <v>79636.5</v>
      </c>
      <c r="AN113" s="366" t="str">
        <f t="shared" si="134"/>
        <v>Педагог-модератор</v>
      </c>
      <c r="AO113" s="367" t="str">
        <f t="shared" si="135"/>
        <v>0</v>
      </c>
      <c r="AP113" s="367" t="str">
        <f t="shared" si="136"/>
        <v>0</v>
      </c>
      <c r="AQ113" s="367" t="str">
        <f t="shared" si="137"/>
        <v>0</v>
      </c>
      <c r="AR113" s="367">
        <f t="shared" si="138"/>
        <v>79636.5</v>
      </c>
      <c r="AS113" s="497"/>
      <c r="AT113" s="374"/>
      <c r="AU113" s="499"/>
      <c r="AV113" s="374"/>
      <c r="AW113" s="371" t="str">
        <f>G113</f>
        <v>Магистр каз.филологии</v>
      </c>
      <c r="AX113" s="372">
        <f>10*4325</f>
        <v>43250</v>
      </c>
      <c r="AY113" s="374"/>
      <c r="AZ113" s="367">
        <f t="shared" si="139"/>
        <v>276905.703125</v>
      </c>
      <c r="BA113" s="373">
        <f t="shared" si="85"/>
        <v>542360.703125</v>
      </c>
      <c r="BB113" s="374">
        <f t="shared" si="90"/>
        <v>54236.0703125</v>
      </c>
      <c r="BC113" s="374">
        <f t="shared" si="91"/>
        <v>10847.214062500001</v>
      </c>
      <c r="BD113" s="374">
        <f t="shared" si="86"/>
        <v>41672.741875000007</v>
      </c>
      <c r="BE113" s="374">
        <f t="shared" si="92"/>
        <v>435604.676875</v>
      </c>
      <c r="BF113" s="374">
        <f t="shared" si="93"/>
        <v>6508328.4375</v>
      </c>
      <c r="BG113" s="374">
        <f t="shared" si="87"/>
        <v>530910</v>
      </c>
      <c r="BH113" s="374">
        <f t="shared" si="94"/>
        <v>7039238.4375</v>
      </c>
      <c r="BI113" s="374">
        <f t="shared" si="88"/>
        <v>246373.34531250002</v>
      </c>
      <c r="BJ113" s="374">
        <f t="shared" si="89"/>
        <v>365800.55306249997</v>
      </c>
      <c r="BK113" s="374">
        <f t="shared" si="95"/>
        <v>316765.72968750005</v>
      </c>
      <c r="BL113" s="374">
        <f t="shared" si="96"/>
        <v>211177.15312499998</v>
      </c>
      <c r="BM113" s="373">
        <f t="shared" si="140"/>
        <v>8179355.2186875008</v>
      </c>
      <c r="BN113" s="375"/>
      <c r="BO113" s="377"/>
      <c r="BP113" s="377"/>
      <c r="BQ113" s="377"/>
      <c r="BR113" s="377"/>
      <c r="BS113" s="377"/>
      <c r="BT113" s="377"/>
      <c r="BU113" s="377"/>
      <c r="BV113" s="377"/>
      <c r="BW113" s="377"/>
      <c r="BX113" s="377"/>
      <c r="BY113" s="377"/>
      <c r="BZ113" s="377"/>
      <c r="CA113" s="377"/>
      <c r="CB113" s="377"/>
      <c r="CC113" s="377"/>
      <c r="CD113" s="377"/>
      <c r="CE113" s="377"/>
      <c r="CF113" s="377"/>
      <c r="CG113" s="377"/>
      <c r="CH113" s="377"/>
      <c r="CI113" s="377"/>
    </row>
    <row r="114" spans="1:87" ht="31.5">
      <c r="A114" s="369">
        <f t="shared" si="141"/>
        <v>96</v>
      </c>
      <c r="B114" s="416">
        <f t="shared" si="141"/>
        <v>9</v>
      </c>
      <c r="C114" s="409" t="s">
        <v>1238</v>
      </c>
      <c r="D114" s="475" t="s">
        <v>1239</v>
      </c>
      <c r="E114" s="366" t="s">
        <v>998</v>
      </c>
      <c r="F114" s="508" t="s">
        <v>1005</v>
      </c>
      <c r="G114" s="366"/>
      <c r="H114" s="371" t="s">
        <v>1240</v>
      </c>
      <c r="I114" s="366">
        <v>17697</v>
      </c>
      <c r="J114" s="367">
        <v>11.4</v>
      </c>
      <c r="K114" s="367">
        <f t="shared" si="124"/>
        <v>201745.80000000002</v>
      </c>
      <c r="L114" s="496"/>
      <c r="M114" s="496">
        <v>16</v>
      </c>
      <c r="N114" s="496"/>
      <c r="O114" s="496"/>
      <c r="P114" s="496"/>
      <c r="Q114" s="368">
        <f t="shared" si="125"/>
        <v>16</v>
      </c>
      <c r="R114" s="496"/>
      <c r="S114" s="496"/>
      <c r="T114" s="496"/>
      <c r="U114" s="496"/>
      <c r="V114" s="496"/>
      <c r="W114" s="381">
        <f t="shared" si="126"/>
        <v>0</v>
      </c>
      <c r="X114" s="370">
        <f t="shared" si="127"/>
        <v>16</v>
      </c>
      <c r="Y114" s="367">
        <f t="shared" si="128"/>
        <v>201745.80000000002</v>
      </c>
      <c r="Z114" s="367">
        <f t="shared" si="129"/>
        <v>20174.580000000002</v>
      </c>
      <c r="AA114" s="497">
        <v>16</v>
      </c>
      <c r="AB114" s="367">
        <f t="shared" si="130"/>
        <v>8848.5</v>
      </c>
      <c r="AC114" s="497"/>
      <c r="AD114" s="367">
        <f t="shared" si="131"/>
        <v>0</v>
      </c>
      <c r="AE114" s="497"/>
      <c r="AF114" s="497" t="s">
        <v>1241</v>
      </c>
      <c r="AG114" s="367">
        <f>17697*20%</f>
        <v>3539.4</v>
      </c>
      <c r="AH114" s="497" t="s">
        <v>117</v>
      </c>
      <c r="AI114" s="479">
        <f t="shared" si="142"/>
        <v>35394</v>
      </c>
      <c r="AJ114" s="372"/>
      <c r="AK114" s="367"/>
      <c r="AL114" s="366">
        <f t="shared" si="132"/>
        <v>16</v>
      </c>
      <c r="AM114" s="367">
        <f t="shared" si="133"/>
        <v>60523.740000000005</v>
      </c>
      <c r="AN114" s="366" t="str">
        <f t="shared" si="134"/>
        <v>Педагог-зерттеуші</v>
      </c>
      <c r="AO114" s="367" t="str">
        <f t="shared" si="135"/>
        <v>0</v>
      </c>
      <c r="AP114" s="367">
        <f t="shared" si="136"/>
        <v>80698.320000000007</v>
      </c>
      <c r="AQ114" s="367" t="str">
        <f t="shared" si="137"/>
        <v>0</v>
      </c>
      <c r="AR114" s="367" t="str">
        <f t="shared" si="138"/>
        <v>0</v>
      </c>
      <c r="AS114" s="497"/>
      <c r="AT114" s="374"/>
      <c r="AU114" s="499"/>
      <c r="AV114" s="374"/>
      <c r="AW114" s="371"/>
      <c r="AX114" s="372"/>
      <c r="AY114" s="374"/>
      <c r="AZ114" s="367">
        <f t="shared" si="139"/>
        <v>209178.54000000004</v>
      </c>
      <c r="BA114" s="373">
        <f t="shared" si="85"/>
        <v>410924.34000000008</v>
      </c>
      <c r="BB114" s="374">
        <f t="shared" si="90"/>
        <v>41092.434000000008</v>
      </c>
      <c r="BC114" s="374">
        <f t="shared" si="91"/>
        <v>8218.4868000000024</v>
      </c>
      <c r="BD114" s="374">
        <f t="shared" si="86"/>
        <v>30106.341920000006</v>
      </c>
      <c r="BE114" s="374">
        <f t="shared" si="92"/>
        <v>331507.07728000009</v>
      </c>
      <c r="BF114" s="374">
        <f t="shared" si="93"/>
        <v>4931092.080000001</v>
      </c>
      <c r="BG114" s="374">
        <f t="shared" si="87"/>
        <v>403491.60000000003</v>
      </c>
      <c r="BH114" s="374">
        <f t="shared" si="94"/>
        <v>5334583.6800000006</v>
      </c>
      <c r="BI114" s="374">
        <f t="shared" si="88"/>
        <v>186710.42880000005</v>
      </c>
      <c r="BJ114" s="374">
        <f t="shared" si="89"/>
        <v>277219.11614400009</v>
      </c>
      <c r="BK114" s="374">
        <f t="shared" si="95"/>
        <v>240056.26560000004</v>
      </c>
      <c r="BL114" s="374">
        <f t="shared" si="96"/>
        <v>160037.5104</v>
      </c>
      <c r="BM114" s="373">
        <f t="shared" si="140"/>
        <v>6198607.0009440007</v>
      </c>
      <c r="BN114" s="375"/>
      <c r="BO114" s="377"/>
      <c r="BP114" s="377"/>
      <c r="BQ114" s="377"/>
      <c r="BR114" s="377"/>
      <c r="BS114" s="377"/>
      <c r="BT114" s="377"/>
      <c r="BU114" s="377"/>
      <c r="BV114" s="377"/>
      <c r="BW114" s="377"/>
      <c r="BX114" s="377"/>
      <c r="BY114" s="377"/>
      <c r="BZ114" s="377"/>
      <c r="CA114" s="377"/>
      <c r="CB114" s="377"/>
      <c r="CC114" s="377"/>
      <c r="CD114" s="377"/>
      <c r="CE114" s="377"/>
      <c r="CF114" s="377"/>
      <c r="CG114" s="377"/>
      <c r="CH114" s="377"/>
      <c r="CI114" s="377"/>
    </row>
    <row r="115" spans="1:87" ht="47.25">
      <c r="A115" s="369">
        <f t="shared" si="141"/>
        <v>97</v>
      </c>
      <c r="B115" s="416">
        <f t="shared" si="141"/>
        <v>10</v>
      </c>
      <c r="C115" s="409" t="s">
        <v>1242</v>
      </c>
      <c r="D115" s="475" t="s">
        <v>1243</v>
      </c>
      <c r="E115" s="366" t="s">
        <v>998</v>
      </c>
      <c r="F115" s="508" t="s">
        <v>1005</v>
      </c>
      <c r="G115" s="366" t="s">
        <v>1244</v>
      </c>
      <c r="H115" s="371" t="s">
        <v>1440</v>
      </c>
      <c r="I115" s="366">
        <v>17697</v>
      </c>
      <c r="J115" s="367">
        <v>11.18</v>
      </c>
      <c r="K115" s="367">
        <f t="shared" si="124"/>
        <v>197852.46</v>
      </c>
      <c r="L115" s="496"/>
      <c r="M115" s="496"/>
      <c r="N115" s="496">
        <v>12</v>
      </c>
      <c r="O115" s="496"/>
      <c r="P115" s="496">
        <v>15</v>
      </c>
      <c r="Q115" s="368">
        <f t="shared" si="125"/>
        <v>27</v>
      </c>
      <c r="R115" s="496"/>
      <c r="S115" s="496"/>
      <c r="T115" s="496"/>
      <c r="U115" s="496"/>
      <c r="V115" s="496">
        <v>6</v>
      </c>
      <c r="W115" s="381">
        <f t="shared" si="126"/>
        <v>6</v>
      </c>
      <c r="X115" s="370">
        <f t="shared" si="127"/>
        <v>33</v>
      </c>
      <c r="Y115" s="367">
        <f t="shared" si="128"/>
        <v>408070.69874999998</v>
      </c>
      <c r="Z115" s="367">
        <f t="shared" si="129"/>
        <v>40807.069875000001</v>
      </c>
      <c r="AA115" s="497">
        <v>27</v>
      </c>
      <c r="AB115" s="367">
        <f t="shared" si="130"/>
        <v>14931.84375</v>
      </c>
      <c r="AC115" s="497"/>
      <c r="AD115" s="367">
        <f t="shared" si="131"/>
        <v>0</v>
      </c>
      <c r="AE115" s="497"/>
      <c r="AF115" s="497" t="s">
        <v>1245</v>
      </c>
      <c r="AG115" s="367">
        <f>17697*20%</f>
        <v>3539.4</v>
      </c>
      <c r="AH115" s="501" t="s">
        <v>1246</v>
      </c>
      <c r="AI115" s="479">
        <f t="shared" si="142"/>
        <v>35394</v>
      </c>
      <c r="AJ115" s="372"/>
      <c r="AK115" s="367"/>
      <c r="AL115" s="366">
        <f t="shared" si="132"/>
        <v>33</v>
      </c>
      <c r="AM115" s="367">
        <f t="shared" si="133"/>
        <v>122421.20962499999</v>
      </c>
      <c r="AN115" s="366" t="str">
        <f t="shared" si="134"/>
        <v>Педагог-зерттеуші</v>
      </c>
      <c r="AO115" s="367" t="str">
        <f t="shared" si="135"/>
        <v>0</v>
      </c>
      <c r="AP115" s="367">
        <f t="shared" si="136"/>
        <v>163228.2795</v>
      </c>
      <c r="AQ115" s="367" t="str">
        <f t="shared" si="137"/>
        <v>0</v>
      </c>
      <c r="AR115" s="367" t="str">
        <f t="shared" si="138"/>
        <v>0</v>
      </c>
      <c r="AS115" s="497"/>
      <c r="AT115" s="374"/>
      <c r="AU115" s="499"/>
      <c r="AV115" s="374"/>
      <c r="AW115" s="371" t="str">
        <f>G115</f>
        <v>Магистр-филология</v>
      </c>
      <c r="AX115" s="372">
        <f>10*4325</f>
        <v>43250</v>
      </c>
      <c r="AY115" s="374"/>
      <c r="AZ115" s="367">
        <f t="shared" si="139"/>
        <v>423571.80275000003</v>
      </c>
      <c r="BA115" s="373">
        <f t="shared" si="85"/>
        <v>831642.50150000001</v>
      </c>
      <c r="BB115" s="374">
        <f t="shared" si="90"/>
        <v>83164.250150000007</v>
      </c>
      <c r="BC115" s="374">
        <f t="shared" si="91"/>
        <v>16632.850030000001</v>
      </c>
      <c r="BD115" s="374">
        <f t="shared" si="86"/>
        <v>67129.540132000009</v>
      </c>
      <c r="BE115" s="374">
        <f t="shared" si="92"/>
        <v>664715.86118800007</v>
      </c>
      <c r="BF115" s="374">
        <f t="shared" si="93"/>
        <v>9979710.0179999992</v>
      </c>
      <c r="BG115" s="374">
        <f t="shared" si="87"/>
        <v>816141.39749999996</v>
      </c>
      <c r="BH115" s="374">
        <f t="shared" si="94"/>
        <v>10795851.4155</v>
      </c>
      <c r="BI115" s="374">
        <f t="shared" si="88"/>
        <v>377854.79954250006</v>
      </c>
      <c r="BJ115" s="374">
        <f t="shared" si="89"/>
        <v>561020.61439740006</v>
      </c>
      <c r="BK115" s="374">
        <f t="shared" si="95"/>
        <v>485813.3136975001</v>
      </c>
      <c r="BL115" s="374">
        <f t="shared" si="96"/>
        <v>323875.54246500001</v>
      </c>
      <c r="BM115" s="373">
        <f t="shared" si="140"/>
        <v>12544415.685602399</v>
      </c>
      <c r="BN115" s="375"/>
      <c r="BO115" s="377"/>
      <c r="BP115" s="377"/>
      <c r="BQ115" s="377"/>
      <c r="BR115" s="377"/>
      <c r="BS115" s="377"/>
      <c r="BT115" s="377"/>
      <c r="BU115" s="377"/>
      <c r="BV115" s="377"/>
      <c r="BW115" s="377"/>
      <c r="BX115" s="377"/>
      <c r="BY115" s="377"/>
      <c r="BZ115" s="377"/>
      <c r="CA115" s="377"/>
      <c r="CB115" s="377"/>
      <c r="CC115" s="377"/>
      <c r="CD115" s="377"/>
      <c r="CE115" s="377"/>
      <c r="CF115" s="377"/>
      <c r="CG115" s="377"/>
      <c r="CH115" s="377"/>
      <c r="CI115" s="377"/>
    </row>
    <row r="116" spans="1:87" ht="15">
      <c r="A116" s="1515"/>
      <c r="B116" s="1508"/>
      <c r="C116" s="490" t="s">
        <v>1162</v>
      </c>
      <c r="D116" s="490"/>
      <c r="E116" s="490"/>
      <c r="F116" s="490"/>
      <c r="G116" s="490"/>
      <c r="H116" s="491"/>
      <c r="I116" s="490"/>
      <c r="J116" s="490"/>
      <c r="K116" s="407">
        <f t="shared" ref="K116:AE116" si="143">SUM(K106:K115)</f>
        <v>1950209.4</v>
      </c>
      <c r="L116" s="407">
        <f t="shared" si="143"/>
        <v>50</v>
      </c>
      <c r="M116" s="407">
        <f t="shared" si="143"/>
        <v>50</v>
      </c>
      <c r="N116" s="407">
        <f t="shared" si="143"/>
        <v>39</v>
      </c>
      <c r="O116" s="407">
        <f t="shared" si="143"/>
        <v>39</v>
      </c>
      <c r="P116" s="407">
        <f t="shared" si="143"/>
        <v>39</v>
      </c>
      <c r="Q116" s="407">
        <f t="shared" si="143"/>
        <v>217</v>
      </c>
      <c r="R116" s="407">
        <f t="shared" si="143"/>
        <v>0</v>
      </c>
      <c r="S116" s="407">
        <f t="shared" si="143"/>
        <v>1</v>
      </c>
      <c r="T116" s="407">
        <f t="shared" si="143"/>
        <v>0</v>
      </c>
      <c r="U116" s="407">
        <f t="shared" si="143"/>
        <v>0</v>
      </c>
      <c r="V116" s="407">
        <f t="shared" si="143"/>
        <v>17</v>
      </c>
      <c r="W116" s="407">
        <f t="shared" si="143"/>
        <v>18</v>
      </c>
      <c r="X116" s="505">
        <f t="shared" si="143"/>
        <v>235</v>
      </c>
      <c r="Y116" s="422">
        <f t="shared" si="143"/>
        <v>2879124.93</v>
      </c>
      <c r="Z116" s="422">
        <f t="shared" si="143"/>
        <v>280493.02575000003</v>
      </c>
      <c r="AA116" s="422">
        <f t="shared" si="143"/>
        <v>172</v>
      </c>
      <c r="AB116" s="422">
        <f t="shared" si="143"/>
        <v>95121.375</v>
      </c>
      <c r="AC116" s="422">
        <f t="shared" si="143"/>
        <v>45</v>
      </c>
      <c r="AD116" s="422">
        <f t="shared" si="143"/>
        <v>12443.203125</v>
      </c>
      <c r="AE116" s="422">
        <f t="shared" si="143"/>
        <v>196600</v>
      </c>
      <c r="AF116" s="505">
        <v>4</v>
      </c>
      <c r="AG116" s="422">
        <f>SUM(AG106:AG115)</f>
        <v>14157.6</v>
      </c>
      <c r="AH116" s="505">
        <v>6</v>
      </c>
      <c r="AI116" s="422">
        <f>SUM(AI106:AI115)</f>
        <v>212364</v>
      </c>
      <c r="AJ116" s="422">
        <f>SUM(AJ106:AJ115)</f>
        <v>0</v>
      </c>
      <c r="AK116" s="422">
        <f>SUM(AK106:AK115)</f>
        <v>0</v>
      </c>
      <c r="AL116" s="505">
        <f>SUM(AL106:AL115)</f>
        <v>235</v>
      </c>
      <c r="AM116" s="422">
        <f>SUM(AM106:AM115)</f>
        <v>863737.47900000017</v>
      </c>
      <c r="AN116" s="422"/>
      <c r="AO116" s="422">
        <f t="shared" ref="AO116:AV116" si="144">SUM(AO106:AO115)</f>
        <v>220659.46875000003</v>
      </c>
      <c r="AP116" s="422">
        <f t="shared" si="144"/>
        <v>709773.57900000014</v>
      </c>
      <c r="AQ116" s="422">
        <f t="shared" si="144"/>
        <v>79437.408750000002</v>
      </c>
      <c r="AR116" s="422">
        <f t="shared" si="144"/>
        <v>79636.5</v>
      </c>
      <c r="AS116" s="422">
        <f t="shared" si="144"/>
        <v>0</v>
      </c>
      <c r="AT116" s="422">
        <f t="shared" si="144"/>
        <v>0</v>
      </c>
      <c r="AU116" s="422">
        <f t="shared" si="144"/>
        <v>0</v>
      </c>
      <c r="AV116" s="422">
        <f t="shared" si="144"/>
        <v>0</v>
      </c>
      <c r="AW116" s="506" t="s">
        <v>237</v>
      </c>
      <c r="AX116" s="422">
        <f t="shared" ref="AX116:BN116" si="145">SUM(AX106:AX115)</f>
        <v>129750</v>
      </c>
      <c r="AY116" s="422">
        <f t="shared" si="145"/>
        <v>0</v>
      </c>
      <c r="AZ116" s="422">
        <f t="shared" si="145"/>
        <v>2894173.6393750003</v>
      </c>
      <c r="BA116" s="1318">
        <f>SUM(BA106:BA115)</f>
        <v>5773298.5693750009</v>
      </c>
      <c r="BB116" s="1318">
        <f t="shared" ref="BB116:BM116" si="146">SUM(BB106:BB115)</f>
        <v>577329.85693750007</v>
      </c>
      <c r="BC116" s="1318">
        <f t="shared" si="146"/>
        <v>115465.9713875</v>
      </c>
      <c r="BD116" s="1318">
        <f t="shared" si="146"/>
        <v>447500.27410500008</v>
      </c>
      <c r="BE116" s="1318">
        <f t="shared" si="146"/>
        <v>4633002.466945</v>
      </c>
      <c r="BF116" s="1318">
        <f t="shared" si="146"/>
        <v>69279582.832500011</v>
      </c>
      <c r="BG116" s="1318">
        <f t="shared" si="146"/>
        <v>5758249.8600000003</v>
      </c>
      <c r="BH116" s="1318">
        <f t="shared" si="146"/>
        <v>75037832.692499995</v>
      </c>
      <c r="BI116" s="1318">
        <f t="shared" si="146"/>
        <v>2626324.1442375001</v>
      </c>
      <c r="BJ116" s="1318">
        <f t="shared" si="146"/>
        <v>3899627.8831635001</v>
      </c>
      <c r="BK116" s="1318">
        <f t="shared" si="146"/>
        <v>3376702.4711625003</v>
      </c>
      <c r="BL116" s="1318">
        <f t="shared" si="146"/>
        <v>2251134.9807750001</v>
      </c>
      <c r="BM116" s="1318">
        <f t="shared" si="146"/>
        <v>87191622.171838522</v>
      </c>
      <c r="BN116" s="422">
        <f t="shared" si="145"/>
        <v>1</v>
      </c>
      <c r="BO116" s="355"/>
      <c r="BP116" s="355"/>
      <c r="BQ116" s="355"/>
      <c r="BR116" s="355"/>
      <c r="BS116" s="355"/>
      <c r="BT116" s="355"/>
      <c r="BU116" s="355"/>
      <c r="BV116" s="355"/>
      <c r="BW116" s="355"/>
      <c r="BX116" s="355"/>
      <c r="BY116" s="355"/>
      <c r="BZ116" s="355"/>
      <c r="CA116" s="355"/>
      <c r="CB116" s="355"/>
      <c r="CC116" s="355"/>
      <c r="CD116" s="355"/>
      <c r="CE116" s="355"/>
      <c r="CF116" s="355"/>
      <c r="CG116" s="355"/>
      <c r="CH116" s="355"/>
      <c r="CI116" s="356"/>
    </row>
    <row r="117" spans="1:87" ht="31.5">
      <c r="A117" s="369">
        <f>A115+1</f>
        <v>98</v>
      </c>
      <c r="B117" s="416">
        <f>1</f>
        <v>1</v>
      </c>
      <c r="C117" s="409" t="s">
        <v>1247</v>
      </c>
      <c r="D117" s="412" t="s">
        <v>1248</v>
      </c>
      <c r="E117" s="366" t="s">
        <v>998</v>
      </c>
      <c r="F117" s="508" t="s">
        <v>1005</v>
      </c>
      <c r="G117" s="366"/>
      <c r="H117" s="371" t="s">
        <v>1249</v>
      </c>
      <c r="I117" s="366">
        <v>17697</v>
      </c>
      <c r="J117" s="367">
        <v>11.4</v>
      </c>
      <c r="K117" s="367">
        <f t="shared" ref="K117:K123" si="147">I117*J117</f>
        <v>201745.80000000002</v>
      </c>
      <c r="L117" s="496">
        <v>15</v>
      </c>
      <c r="M117" s="496">
        <v>15</v>
      </c>
      <c r="N117" s="496"/>
      <c r="O117" s="496"/>
      <c r="P117" s="496"/>
      <c r="Q117" s="368">
        <f t="shared" ref="Q117:Q122" si="148">SUM(L117:P117)</f>
        <v>30</v>
      </c>
      <c r="R117" s="496"/>
      <c r="S117" s="496"/>
      <c r="T117" s="496"/>
      <c r="U117" s="496"/>
      <c r="V117" s="496"/>
      <c r="W117" s="381">
        <f t="shared" ref="W117:W123" si="149">SUM(R117:V117)</f>
        <v>0</v>
      </c>
      <c r="X117" s="370">
        <f t="shared" ref="X117:X123" si="150">Q117+W117</f>
        <v>30</v>
      </c>
      <c r="Y117" s="367">
        <f t="shared" ref="Y117:Y123" si="151">K117/16*X117</f>
        <v>378273.37500000006</v>
      </c>
      <c r="Z117" s="367">
        <f t="shared" ref="Z117:Z123" si="152">Y117*10%</f>
        <v>37827.337500000009</v>
      </c>
      <c r="AA117" s="497">
        <v>30</v>
      </c>
      <c r="AB117" s="367">
        <f t="shared" ref="AB117:AB123" si="153">I117/16*AA117*50%</f>
        <v>16590.9375</v>
      </c>
      <c r="AC117" s="497"/>
      <c r="AD117" s="367">
        <f t="shared" ref="AD117:AD123" si="154">I117/16*AC117*50%*50%</f>
        <v>0</v>
      </c>
      <c r="AE117" s="374"/>
      <c r="AF117" s="497" t="s">
        <v>1250</v>
      </c>
      <c r="AG117" s="367">
        <f>17697*20%</f>
        <v>3539.4</v>
      </c>
      <c r="AH117" s="497" t="s">
        <v>119</v>
      </c>
      <c r="AI117" s="367">
        <f>I117*200%</f>
        <v>35394</v>
      </c>
      <c r="AJ117" s="372"/>
      <c r="AK117" s="367"/>
      <c r="AL117" s="366">
        <f t="shared" ref="AL117:AL123" si="155">X117</f>
        <v>30</v>
      </c>
      <c r="AM117" s="367">
        <f t="shared" ref="AM117:AM123" si="156">K117/16*AL117*30%</f>
        <v>113482.01250000001</v>
      </c>
      <c r="AN117" s="366" t="str">
        <f t="shared" ref="AN117:AN123" si="157">F117</f>
        <v>Педагог-зерттеуші</v>
      </c>
      <c r="AO117" s="367" t="str">
        <f t="shared" ref="AO117:AO123" si="158">IF(AN117="Педагог-зерттеуші", "0", IF(AN117="Педагог-шебер",K117/16*X117*50%, IF(AN117="Педагог-сарапшы", "0", IF(AN117="Педагог-модератор", "0", "0"))))</f>
        <v>0</v>
      </c>
      <c r="AP117" s="367">
        <f t="shared" ref="AP117:AP123" si="159">IF(AN117="Педагог-шебер", "0", IF(AN117="Педагог-зерттеуші",K117/16*X117*40%, IF(AN117="Педагог-сарапшы", "0", IF(AN117="Педагог-модератор", "0", "0"))))</f>
        <v>151309.35000000003</v>
      </c>
      <c r="AQ117" s="367" t="str">
        <f t="shared" ref="AQ117:AQ123" si="160">IF(AN117="Педагог-шебер", "0", IF(AN117="Педагог-сарапшы",K117/16*X117*35%, IF(AN117="Педагог-зерттеуші", "0", IF(AN117="Педагог-модератор", "0", "0"))))</f>
        <v>0</v>
      </c>
      <c r="AR117" s="367" t="str">
        <f t="shared" ref="AR117:AR123" si="161">IF(AN117="Педагог-шебер", "0", IF(AN117="Педагог-модератор",K117/16*X117*30%, IF(AN117="Педагог-зерттеуші", "0", IF(AN117="Педагог-сарапшы", "0", "0"))))</f>
        <v>0</v>
      </c>
      <c r="AS117" s="497"/>
      <c r="AT117" s="374"/>
      <c r="AU117" s="499"/>
      <c r="AV117" s="374"/>
      <c r="AW117" s="371"/>
      <c r="AX117" s="367"/>
      <c r="AY117" s="374"/>
      <c r="AZ117" s="367">
        <f t="shared" ref="AZ117:AZ123" si="162">Z117+AB117+AD117+AE117+AG117+AI117+AK117+AM117+AO117+AP117+AQ117++AR117+AT117+AV117+AX117+AY117</f>
        <v>358143.03750000009</v>
      </c>
      <c r="BA117" s="373">
        <f t="shared" si="85"/>
        <v>736416.41250000009</v>
      </c>
      <c r="BB117" s="374">
        <f t="shared" si="90"/>
        <v>73641.641250000015</v>
      </c>
      <c r="BC117" s="374">
        <f t="shared" si="91"/>
        <v>14728.328250000002</v>
      </c>
      <c r="BD117" s="374">
        <f t="shared" si="86"/>
        <v>58749.644300000014</v>
      </c>
      <c r="BE117" s="374">
        <f t="shared" si="92"/>
        <v>589296.79870000004</v>
      </c>
      <c r="BF117" s="374">
        <f t="shared" si="93"/>
        <v>8836996.9500000011</v>
      </c>
      <c r="BG117" s="374">
        <f t="shared" si="87"/>
        <v>756546.75000000012</v>
      </c>
      <c r="BH117" s="374">
        <f t="shared" si="94"/>
        <v>9593543.7000000011</v>
      </c>
      <c r="BI117" s="374">
        <f t="shared" si="88"/>
        <v>335774.02950000006</v>
      </c>
      <c r="BJ117" s="374">
        <f t="shared" si="89"/>
        <v>498609.96651000017</v>
      </c>
      <c r="BK117" s="374">
        <f t="shared" si="95"/>
        <v>431709.4665000001</v>
      </c>
      <c r="BL117" s="374">
        <f t="shared" si="96"/>
        <v>287806.31100000005</v>
      </c>
      <c r="BM117" s="373">
        <f t="shared" ref="BM117:BM123" si="163">BH117+BJ117+BK117+BL117+BI117</f>
        <v>11147443.473510001</v>
      </c>
      <c r="BN117" s="375"/>
      <c r="BO117" s="376"/>
      <c r="BP117" s="377"/>
      <c r="BQ117" s="377"/>
      <c r="BR117" s="377"/>
      <c r="BS117" s="377"/>
      <c r="BT117" s="377"/>
      <c r="BU117" s="377"/>
      <c r="BV117" s="377"/>
      <c r="BW117" s="377"/>
      <c r="BX117" s="377"/>
      <c r="BY117" s="377"/>
      <c r="BZ117" s="377"/>
      <c r="CA117" s="377"/>
      <c r="CB117" s="377"/>
      <c r="CC117" s="377"/>
      <c r="CD117" s="377"/>
      <c r="CE117" s="377"/>
      <c r="CF117" s="377"/>
      <c r="CG117" s="377"/>
      <c r="CH117" s="377"/>
      <c r="CI117" s="377"/>
    </row>
    <row r="118" spans="1:87" ht="47.25">
      <c r="A118" s="369">
        <f>A117+1</f>
        <v>99</v>
      </c>
      <c r="B118" s="416">
        <f>B117+1</f>
        <v>2</v>
      </c>
      <c r="C118" s="409" t="s">
        <v>1251</v>
      </c>
      <c r="D118" s="412" t="s">
        <v>1252</v>
      </c>
      <c r="E118" s="366" t="s">
        <v>998</v>
      </c>
      <c r="F118" s="508" t="s">
        <v>1005</v>
      </c>
      <c r="G118" s="366"/>
      <c r="H118" s="371" t="s">
        <v>1253</v>
      </c>
      <c r="I118" s="366">
        <v>17697</v>
      </c>
      <c r="J118" s="367">
        <v>11.4</v>
      </c>
      <c r="K118" s="367">
        <f t="shared" si="147"/>
        <v>201745.80000000002</v>
      </c>
      <c r="L118" s="496"/>
      <c r="M118" s="496"/>
      <c r="N118" s="496"/>
      <c r="O118" s="496">
        <v>15</v>
      </c>
      <c r="P118" s="496">
        <v>15</v>
      </c>
      <c r="Q118" s="368">
        <f t="shared" si="148"/>
        <v>30</v>
      </c>
      <c r="R118" s="496"/>
      <c r="S118" s="496"/>
      <c r="T118" s="496"/>
      <c r="U118" s="496"/>
      <c r="V118" s="496">
        <v>4</v>
      </c>
      <c r="W118" s="381">
        <f>SUM(R118:V118)</f>
        <v>4</v>
      </c>
      <c r="X118" s="370">
        <f t="shared" si="150"/>
        <v>34</v>
      </c>
      <c r="Y118" s="367">
        <f t="shared" si="151"/>
        <v>428709.82500000001</v>
      </c>
      <c r="Z118" s="367">
        <f t="shared" si="152"/>
        <v>42870.982500000006</v>
      </c>
      <c r="AA118" s="501">
        <v>30</v>
      </c>
      <c r="AB118" s="367">
        <f t="shared" si="153"/>
        <v>16590.9375</v>
      </c>
      <c r="AC118" s="497"/>
      <c r="AD118" s="367">
        <f t="shared" si="154"/>
        <v>0</v>
      </c>
      <c r="AE118" s="497"/>
      <c r="AF118" s="497" t="s">
        <v>1254</v>
      </c>
      <c r="AG118" s="367">
        <f>17697*20%</f>
        <v>3539.4</v>
      </c>
      <c r="AH118" s="497" t="s">
        <v>1255</v>
      </c>
      <c r="AI118" s="367">
        <f>I118*200%</f>
        <v>35394</v>
      </c>
      <c r="AJ118" s="372"/>
      <c r="AK118" s="367"/>
      <c r="AL118" s="366">
        <f t="shared" si="155"/>
        <v>34</v>
      </c>
      <c r="AM118" s="367">
        <f t="shared" si="156"/>
        <v>128612.94749999999</v>
      </c>
      <c r="AN118" s="366" t="str">
        <f t="shared" si="157"/>
        <v>Педагог-зерттеуші</v>
      </c>
      <c r="AO118" s="367" t="str">
        <f t="shared" si="158"/>
        <v>0</v>
      </c>
      <c r="AP118" s="367">
        <f t="shared" si="159"/>
        <v>171483.93000000002</v>
      </c>
      <c r="AQ118" s="367" t="str">
        <f t="shared" si="160"/>
        <v>0</v>
      </c>
      <c r="AR118" s="367" t="str">
        <f t="shared" si="161"/>
        <v>0</v>
      </c>
      <c r="AS118" s="497"/>
      <c r="AT118" s="374"/>
      <c r="AU118" s="499"/>
      <c r="AV118" s="374"/>
      <c r="AW118" s="371"/>
      <c r="AX118" s="367"/>
      <c r="AY118" s="374"/>
      <c r="AZ118" s="367">
        <f t="shared" si="162"/>
        <v>398492.19750000001</v>
      </c>
      <c r="BA118" s="373">
        <f t="shared" si="85"/>
        <v>827202.02249999996</v>
      </c>
      <c r="BB118" s="374">
        <f t="shared" si="90"/>
        <v>82720.202250000002</v>
      </c>
      <c r="BC118" s="374">
        <f t="shared" si="91"/>
        <v>16544.04045</v>
      </c>
      <c r="BD118" s="374">
        <f t="shared" si="86"/>
        <v>66738.777979999999</v>
      </c>
      <c r="BE118" s="374">
        <f t="shared" si="92"/>
        <v>661199.00182</v>
      </c>
      <c r="BF118" s="374">
        <f t="shared" si="93"/>
        <v>9926424.2699999996</v>
      </c>
      <c r="BG118" s="374">
        <f t="shared" si="87"/>
        <v>857419.65</v>
      </c>
      <c r="BH118" s="374">
        <f t="shared" si="94"/>
        <v>10783843.92</v>
      </c>
      <c r="BI118" s="374">
        <f t="shared" si="88"/>
        <v>377434.53720000002</v>
      </c>
      <c r="BJ118" s="374">
        <f t="shared" si="89"/>
        <v>560489.43828600005</v>
      </c>
      <c r="BK118" s="374">
        <f t="shared" si="95"/>
        <v>485272.97640000004</v>
      </c>
      <c r="BL118" s="374">
        <f t="shared" si="96"/>
        <v>323515.31760000001</v>
      </c>
      <c r="BM118" s="373">
        <f t="shared" si="163"/>
        <v>12530556.189486001</v>
      </c>
      <c r="BN118" s="375"/>
      <c r="BO118" s="377"/>
      <c r="BP118" s="377"/>
      <c r="BQ118" s="377"/>
      <c r="BR118" s="377"/>
      <c r="BS118" s="377"/>
      <c r="BT118" s="377"/>
      <c r="BU118" s="377"/>
      <c r="BV118" s="377"/>
      <c r="BW118" s="377"/>
      <c r="BX118" s="377"/>
      <c r="BY118" s="377"/>
      <c r="BZ118" s="377"/>
      <c r="CA118" s="377"/>
      <c r="CB118" s="377"/>
      <c r="CC118" s="377"/>
      <c r="CD118" s="377"/>
      <c r="CE118" s="377"/>
      <c r="CF118" s="377"/>
      <c r="CG118" s="377"/>
      <c r="CH118" s="377"/>
      <c r="CI118" s="377"/>
    </row>
    <row r="119" spans="1:87" ht="31.5">
      <c r="A119" s="369">
        <f>A118+1</f>
        <v>100</v>
      </c>
      <c r="B119" s="416">
        <f>B118+1</f>
        <v>3</v>
      </c>
      <c r="C119" s="409" t="s">
        <v>1256</v>
      </c>
      <c r="D119" s="410" t="s">
        <v>1257</v>
      </c>
      <c r="E119" s="366" t="s">
        <v>998</v>
      </c>
      <c r="F119" s="366"/>
      <c r="G119" s="366"/>
      <c r="H119" s="371" t="s">
        <v>1258</v>
      </c>
      <c r="I119" s="366">
        <v>17697</v>
      </c>
      <c r="J119" s="367">
        <v>11.4</v>
      </c>
      <c r="K119" s="367">
        <f t="shared" si="147"/>
        <v>201745.80000000002</v>
      </c>
      <c r="L119" s="496"/>
      <c r="M119" s="496"/>
      <c r="N119" s="496">
        <v>12</v>
      </c>
      <c r="O119" s="496"/>
      <c r="P119" s="496"/>
      <c r="Q119" s="368">
        <f t="shared" si="148"/>
        <v>12</v>
      </c>
      <c r="R119" s="496"/>
      <c r="S119" s="496"/>
      <c r="T119" s="496"/>
      <c r="U119" s="496"/>
      <c r="V119" s="496"/>
      <c r="W119" s="381">
        <f t="shared" si="149"/>
        <v>0</v>
      </c>
      <c r="X119" s="370">
        <f t="shared" si="150"/>
        <v>12</v>
      </c>
      <c r="Y119" s="367">
        <f t="shared" si="151"/>
        <v>151309.35</v>
      </c>
      <c r="Z119" s="367">
        <f t="shared" si="152"/>
        <v>15130.935000000001</v>
      </c>
      <c r="AA119" s="497">
        <v>12</v>
      </c>
      <c r="AB119" s="367">
        <f t="shared" si="153"/>
        <v>6636.375</v>
      </c>
      <c r="AC119" s="497"/>
      <c r="AD119" s="367">
        <f t="shared" si="154"/>
        <v>0</v>
      </c>
      <c r="AE119" s="497"/>
      <c r="AF119" s="497"/>
      <c r="AG119" s="367"/>
      <c r="AH119" s="497"/>
      <c r="AI119" s="367"/>
      <c r="AJ119" s="372"/>
      <c r="AK119" s="367"/>
      <c r="AL119" s="366">
        <f t="shared" si="155"/>
        <v>12</v>
      </c>
      <c r="AM119" s="367">
        <f t="shared" si="156"/>
        <v>45392.805</v>
      </c>
      <c r="AN119" s="366">
        <f t="shared" si="157"/>
        <v>0</v>
      </c>
      <c r="AO119" s="367" t="str">
        <f t="shared" si="158"/>
        <v>0</v>
      </c>
      <c r="AP119" s="367" t="str">
        <f t="shared" si="159"/>
        <v>0</v>
      </c>
      <c r="AQ119" s="367" t="str">
        <f t="shared" si="160"/>
        <v>0</v>
      </c>
      <c r="AR119" s="367" t="str">
        <f t="shared" si="161"/>
        <v>0</v>
      </c>
      <c r="AS119" s="497"/>
      <c r="AT119" s="374"/>
      <c r="AU119" s="499"/>
      <c r="AV119" s="374"/>
      <c r="AW119" s="371"/>
      <c r="AX119" s="367"/>
      <c r="AY119" s="374"/>
      <c r="AZ119" s="367">
        <f t="shared" si="162"/>
        <v>67160.115000000005</v>
      </c>
      <c r="BA119" s="373">
        <f t="shared" si="85"/>
        <v>218469.46500000003</v>
      </c>
      <c r="BB119" s="374">
        <f t="shared" si="90"/>
        <v>21846.946500000005</v>
      </c>
      <c r="BC119" s="374">
        <f t="shared" si="91"/>
        <v>4369.3893000000007</v>
      </c>
      <c r="BD119" s="374">
        <f t="shared" si="86"/>
        <v>13170.31292</v>
      </c>
      <c r="BE119" s="374">
        <f t="shared" si="92"/>
        <v>179082.81628</v>
      </c>
      <c r="BF119" s="374">
        <f t="shared" si="93"/>
        <v>2621633.58</v>
      </c>
      <c r="BG119" s="374">
        <f t="shared" si="87"/>
        <v>302618.7</v>
      </c>
      <c r="BH119" s="374">
        <f t="shared" si="94"/>
        <v>2924252.2800000003</v>
      </c>
      <c r="BI119" s="374">
        <f t="shared" si="88"/>
        <v>102348.82980000002</v>
      </c>
      <c r="BJ119" s="374">
        <f t="shared" si="89"/>
        <v>152142.029244</v>
      </c>
      <c r="BK119" s="374">
        <f t="shared" si="95"/>
        <v>131591.35260000001</v>
      </c>
      <c r="BL119" s="374">
        <f t="shared" si="96"/>
        <v>87727.568400000004</v>
      </c>
      <c r="BM119" s="373">
        <f t="shared" si="163"/>
        <v>3398062.0600440004</v>
      </c>
      <c r="BN119" s="375"/>
      <c r="BO119" s="377"/>
      <c r="BP119" s="377"/>
      <c r="BQ119" s="377"/>
      <c r="BR119" s="377"/>
      <c r="BS119" s="377"/>
      <c r="BT119" s="377"/>
      <c r="BU119" s="377"/>
      <c r="BV119" s="377"/>
      <c r="BW119" s="377"/>
      <c r="BX119" s="377"/>
      <c r="BY119" s="377"/>
      <c r="BZ119" s="377"/>
      <c r="CA119" s="377"/>
      <c r="CB119" s="377"/>
      <c r="CC119" s="377"/>
      <c r="CD119" s="377"/>
      <c r="CE119" s="377"/>
      <c r="CF119" s="377"/>
      <c r="CG119" s="377"/>
      <c r="CH119" s="377"/>
      <c r="CI119" s="377"/>
    </row>
    <row r="120" spans="1:87" ht="31.5">
      <c r="A120" s="369">
        <f t="shared" ref="A120:B123" si="164">A119+1</f>
        <v>101</v>
      </c>
      <c r="B120" s="416">
        <f t="shared" si="164"/>
        <v>4</v>
      </c>
      <c r="C120" s="409" t="s">
        <v>1259</v>
      </c>
      <c r="D120" s="410" t="s">
        <v>1260</v>
      </c>
      <c r="E120" s="366" t="s">
        <v>998</v>
      </c>
      <c r="F120" s="366"/>
      <c r="G120" s="366"/>
      <c r="H120" s="371" t="s">
        <v>1261</v>
      </c>
      <c r="I120" s="366">
        <v>17697</v>
      </c>
      <c r="J120" s="367">
        <v>11.4</v>
      </c>
      <c r="K120" s="367">
        <f t="shared" si="147"/>
        <v>201745.80000000002</v>
      </c>
      <c r="L120" s="496"/>
      <c r="M120" s="496">
        <v>12</v>
      </c>
      <c r="N120" s="496"/>
      <c r="O120" s="496"/>
      <c r="P120" s="496">
        <v>6</v>
      </c>
      <c r="Q120" s="368">
        <f t="shared" si="148"/>
        <v>18</v>
      </c>
      <c r="R120" s="496"/>
      <c r="S120" s="496"/>
      <c r="T120" s="496"/>
      <c r="U120" s="496"/>
      <c r="V120" s="496"/>
      <c r="W120" s="381">
        <f t="shared" si="149"/>
        <v>0</v>
      </c>
      <c r="X120" s="370">
        <f t="shared" si="150"/>
        <v>18</v>
      </c>
      <c r="Y120" s="367">
        <f t="shared" si="151"/>
        <v>226964.02500000002</v>
      </c>
      <c r="Z120" s="367">
        <f t="shared" si="152"/>
        <v>22696.402500000004</v>
      </c>
      <c r="AA120" s="497">
        <v>18</v>
      </c>
      <c r="AB120" s="367">
        <f t="shared" si="153"/>
        <v>9954.5625</v>
      </c>
      <c r="AC120" s="497"/>
      <c r="AD120" s="367">
        <f t="shared" si="154"/>
        <v>0</v>
      </c>
      <c r="AE120" s="497"/>
      <c r="AF120" s="497" t="s">
        <v>1262</v>
      </c>
      <c r="AG120" s="367">
        <f>17697*20%</f>
        <v>3539.4</v>
      </c>
      <c r="AH120" s="497"/>
      <c r="AI120" s="367"/>
      <c r="AJ120" s="372"/>
      <c r="AK120" s="367"/>
      <c r="AL120" s="366">
        <f t="shared" si="155"/>
        <v>18</v>
      </c>
      <c r="AM120" s="367">
        <f t="shared" si="156"/>
        <v>68089.207500000004</v>
      </c>
      <c r="AN120" s="366">
        <f t="shared" si="157"/>
        <v>0</v>
      </c>
      <c r="AO120" s="367" t="str">
        <f t="shared" si="158"/>
        <v>0</v>
      </c>
      <c r="AP120" s="367" t="str">
        <f t="shared" si="159"/>
        <v>0</v>
      </c>
      <c r="AQ120" s="367" t="str">
        <f t="shared" si="160"/>
        <v>0</v>
      </c>
      <c r="AR120" s="367" t="str">
        <f t="shared" si="161"/>
        <v>0</v>
      </c>
      <c r="AS120" s="497"/>
      <c r="AT120" s="374"/>
      <c r="AU120" s="499"/>
      <c r="AV120" s="374"/>
      <c r="AW120" s="371"/>
      <c r="AX120" s="367"/>
      <c r="AY120" s="374"/>
      <c r="AZ120" s="367">
        <f t="shared" si="162"/>
        <v>104279.57250000001</v>
      </c>
      <c r="BA120" s="373">
        <f t="shared" si="85"/>
        <v>331243.59750000003</v>
      </c>
      <c r="BB120" s="374">
        <f t="shared" si="90"/>
        <v>33124.359750000003</v>
      </c>
      <c r="BC120" s="374">
        <f t="shared" si="91"/>
        <v>6624.8719500000007</v>
      </c>
      <c r="BD120" s="374">
        <f t="shared" si="86"/>
        <v>23094.436580000005</v>
      </c>
      <c r="BE120" s="374">
        <f t="shared" si="92"/>
        <v>268399.92922000005</v>
      </c>
      <c r="BF120" s="374">
        <f t="shared" si="93"/>
        <v>3974923.1700000004</v>
      </c>
      <c r="BG120" s="374">
        <f t="shared" si="87"/>
        <v>453928.05000000005</v>
      </c>
      <c r="BH120" s="374">
        <f t="shared" si="94"/>
        <v>4428851.2200000007</v>
      </c>
      <c r="BI120" s="374">
        <f t="shared" si="88"/>
        <v>155009.79270000005</v>
      </c>
      <c r="BJ120" s="374">
        <f t="shared" si="89"/>
        <v>230413.13490599999</v>
      </c>
      <c r="BK120" s="374">
        <f t="shared" si="95"/>
        <v>199298.30490000005</v>
      </c>
      <c r="BL120" s="374">
        <f t="shared" si="96"/>
        <v>132865.53660000002</v>
      </c>
      <c r="BM120" s="373">
        <f t="shared" si="163"/>
        <v>5146437.9891060004</v>
      </c>
      <c r="BN120" s="375"/>
      <c r="BO120" s="377"/>
      <c r="BP120" s="377"/>
      <c r="BQ120" s="377"/>
      <c r="BR120" s="377"/>
      <c r="BS120" s="377"/>
      <c r="BT120" s="377"/>
      <c r="BU120" s="377"/>
      <c r="BV120" s="377"/>
      <c r="BW120" s="377"/>
      <c r="BX120" s="377"/>
      <c r="BY120" s="377"/>
      <c r="BZ120" s="377"/>
      <c r="CA120" s="377"/>
      <c r="CB120" s="377"/>
      <c r="CC120" s="377"/>
      <c r="CD120" s="377"/>
      <c r="CE120" s="377"/>
      <c r="CF120" s="377"/>
      <c r="CG120" s="377"/>
      <c r="CH120" s="377"/>
      <c r="CI120" s="377"/>
    </row>
    <row r="121" spans="1:87" ht="45">
      <c r="A121" s="369">
        <f t="shared" si="164"/>
        <v>102</v>
      </c>
      <c r="B121" s="416">
        <f t="shared" si="164"/>
        <v>5</v>
      </c>
      <c r="C121" s="409" t="s">
        <v>1263</v>
      </c>
      <c r="D121" s="410" t="s">
        <v>1264</v>
      </c>
      <c r="E121" s="366" t="s">
        <v>998</v>
      </c>
      <c r="F121" s="1314" t="s">
        <v>254</v>
      </c>
      <c r="G121" s="366" t="s">
        <v>1265</v>
      </c>
      <c r="H121" s="371" t="s">
        <v>1403</v>
      </c>
      <c r="I121" s="366">
        <v>17697</v>
      </c>
      <c r="J121" s="367">
        <v>9.5</v>
      </c>
      <c r="K121" s="367">
        <f t="shared" si="147"/>
        <v>168121.5</v>
      </c>
      <c r="L121" s="496">
        <v>20</v>
      </c>
      <c r="M121" s="496">
        <v>8</v>
      </c>
      <c r="N121" s="496"/>
      <c r="O121" s="496"/>
      <c r="P121" s="496"/>
      <c r="Q121" s="368">
        <f t="shared" si="148"/>
        <v>28</v>
      </c>
      <c r="R121" s="496"/>
      <c r="S121" s="496"/>
      <c r="T121" s="496"/>
      <c r="U121" s="496"/>
      <c r="V121" s="496"/>
      <c r="W121" s="381">
        <f t="shared" si="149"/>
        <v>0</v>
      </c>
      <c r="X121" s="370">
        <f t="shared" si="150"/>
        <v>28</v>
      </c>
      <c r="Y121" s="367">
        <f t="shared" si="151"/>
        <v>294212.625</v>
      </c>
      <c r="Z121" s="367">
        <f t="shared" si="152"/>
        <v>29421.262500000001</v>
      </c>
      <c r="AA121" s="497">
        <v>28</v>
      </c>
      <c r="AB121" s="367">
        <f t="shared" si="153"/>
        <v>15484.875</v>
      </c>
      <c r="AC121" s="497"/>
      <c r="AD121" s="367">
        <f t="shared" si="154"/>
        <v>0</v>
      </c>
      <c r="AE121" s="497"/>
      <c r="AF121" s="497"/>
      <c r="AG121" s="367"/>
      <c r="AH121" s="497" t="s">
        <v>1266</v>
      </c>
      <c r="AI121" s="367">
        <f>I121*200%</f>
        <v>35394</v>
      </c>
      <c r="AJ121" s="372"/>
      <c r="AK121" s="367"/>
      <c r="AL121" s="366">
        <f t="shared" si="155"/>
        <v>28</v>
      </c>
      <c r="AM121" s="367">
        <f t="shared" si="156"/>
        <v>88263.787499999991</v>
      </c>
      <c r="AN121" s="366" t="str">
        <f t="shared" si="157"/>
        <v>Педагог-модератор</v>
      </c>
      <c r="AO121" s="367" t="str">
        <f t="shared" si="158"/>
        <v>0</v>
      </c>
      <c r="AP121" s="367" t="str">
        <f t="shared" si="159"/>
        <v>0</v>
      </c>
      <c r="AQ121" s="367" t="str">
        <f t="shared" si="160"/>
        <v>0</v>
      </c>
      <c r="AR121" s="367">
        <f t="shared" si="161"/>
        <v>88263.787499999991</v>
      </c>
      <c r="AS121" s="497"/>
      <c r="AT121" s="374"/>
      <c r="AU121" s="499"/>
      <c r="AV121" s="374"/>
      <c r="AW121" s="371" t="str">
        <f>G121</f>
        <v>Магистр филологических наук</v>
      </c>
      <c r="AX121" s="372">
        <f>10*4325</f>
        <v>43250</v>
      </c>
      <c r="AY121" s="374"/>
      <c r="AZ121" s="367">
        <f t="shared" si="162"/>
        <v>300077.71249999997</v>
      </c>
      <c r="BA121" s="373">
        <f t="shared" si="85"/>
        <v>594290.33749999991</v>
      </c>
      <c r="BB121" s="374">
        <f t="shared" si="90"/>
        <v>59429.033749999995</v>
      </c>
      <c r="BC121" s="374">
        <f t="shared" si="91"/>
        <v>11885.806749999998</v>
      </c>
      <c r="BD121" s="374">
        <f t="shared" si="86"/>
        <v>46242.549700000003</v>
      </c>
      <c r="BE121" s="374">
        <f t="shared" si="92"/>
        <v>476732.9473</v>
      </c>
      <c r="BF121" s="374">
        <f t="shared" si="93"/>
        <v>7131484.0499999989</v>
      </c>
      <c r="BG121" s="374">
        <f t="shared" si="87"/>
        <v>588425.25</v>
      </c>
      <c r="BH121" s="374">
        <f t="shared" si="94"/>
        <v>7719909.2999999989</v>
      </c>
      <c r="BI121" s="374">
        <f t="shared" si="88"/>
        <v>270196.82549999998</v>
      </c>
      <c r="BJ121" s="374">
        <f t="shared" si="89"/>
        <v>401185.83729</v>
      </c>
      <c r="BK121" s="374">
        <f t="shared" si="95"/>
        <v>347395.91849999997</v>
      </c>
      <c r="BL121" s="374">
        <f t="shared" si="96"/>
        <v>231597.27899999995</v>
      </c>
      <c r="BM121" s="373">
        <f t="shared" si="163"/>
        <v>8970285.1602899991</v>
      </c>
      <c r="BN121" s="375"/>
      <c r="BO121" s="377"/>
      <c r="BP121" s="377"/>
      <c r="BQ121" s="377"/>
      <c r="BR121" s="377"/>
      <c r="BS121" s="377"/>
      <c r="BT121" s="377"/>
      <c r="BU121" s="377"/>
      <c r="BV121" s="377"/>
      <c r="BW121" s="377"/>
      <c r="BX121" s="377"/>
      <c r="BY121" s="377"/>
      <c r="BZ121" s="377"/>
      <c r="CA121" s="377"/>
      <c r="CB121" s="377"/>
      <c r="CC121" s="377"/>
      <c r="CD121" s="377"/>
      <c r="CE121" s="377"/>
      <c r="CF121" s="377"/>
      <c r="CG121" s="377"/>
      <c r="CH121" s="377"/>
      <c r="CI121" s="377"/>
    </row>
    <row r="122" spans="1:87" ht="63">
      <c r="A122" s="369">
        <f t="shared" si="164"/>
        <v>103</v>
      </c>
      <c r="B122" s="416">
        <f t="shared" si="164"/>
        <v>6</v>
      </c>
      <c r="C122" s="409" t="s">
        <v>1267</v>
      </c>
      <c r="D122" s="410" t="s">
        <v>1268</v>
      </c>
      <c r="E122" s="366" t="s">
        <v>998</v>
      </c>
      <c r="F122" s="508" t="s">
        <v>1005</v>
      </c>
      <c r="G122" s="366"/>
      <c r="H122" s="371" t="s">
        <v>1269</v>
      </c>
      <c r="I122" s="366">
        <v>17697</v>
      </c>
      <c r="J122" s="367">
        <v>11.4</v>
      </c>
      <c r="K122" s="367">
        <f t="shared" si="147"/>
        <v>201745.80000000002</v>
      </c>
      <c r="L122" s="496"/>
      <c r="M122" s="496"/>
      <c r="N122" s="496">
        <v>3</v>
      </c>
      <c r="O122" s="496"/>
      <c r="P122" s="496">
        <v>6</v>
      </c>
      <c r="Q122" s="368">
        <f t="shared" si="148"/>
        <v>9</v>
      </c>
      <c r="R122" s="496"/>
      <c r="S122" s="496"/>
      <c r="T122" s="496"/>
      <c r="U122" s="496"/>
      <c r="V122" s="496">
        <v>4</v>
      </c>
      <c r="W122" s="381">
        <f t="shared" si="149"/>
        <v>4</v>
      </c>
      <c r="X122" s="370">
        <f t="shared" si="150"/>
        <v>13</v>
      </c>
      <c r="Y122" s="367">
        <f t="shared" si="151"/>
        <v>163918.46250000002</v>
      </c>
      <c r="Z122" s="367">
        <f t="shared" si="152"/>
        <v>16391.846250000002</v>
      </c>
      <c r="AA122" s="497">
        <v>9</v>
      </c>
      <c r="AB122" s="367">
        <f t="shared" si="153"/>
        <v>4977.28125</v>
      </c>
      <c r="AC122" s="497"/>
      <c r="AD122" s="367">
        <f t="shared" si="154"/>
        <v>0</v>
      </c>
      <c r="AE122" s="497"/>
      <c r="AF122" s="497" t="s">
        <v>1270</v>
      </c>
      <c r="AG122" s="367">
        <f>17697*20%</f>
        <v>3539.4</v>
      </c>
      <c r="AH122" s="497"/>
      <c r="AI122" s="367"/>
      <c r="AJ122" s="372"/>
      <c r="AK122" s="367"/>
      <c r="AL122" s="366">
        <f t="shared" si="155"/>
        <v>13</v>
      </c>
      <c r="AM122" s="367">
        <f t="shared" si="156"/>
        <v>49175.538750000007</v>
      </c>
      <c r="AN122" s="366" t="str">
        <f t="shared" si="157"/>
        <v>Педагог-зерттеуші</v>
      </c>
      <c r="AO122" s="367" t="str">
        <f t="shared" si="158"/>
        <v>0</v>
      </c>
      <c r="AP122" s="367">
        <f t="shared" si="159"/>
        <v>65567.385000000009</v>
      </c>
      <c r="AQ122" s="367" t="str">
        <f t="shared" si="160"/>
        <v>0</v>
      </c>
      <c r="AR122" s="367" t="str">
        <f t="shared" si="161"/>
        <v>0</v>
      </c>
      <c r="AS122" s="497"/>
      <c r="AT122" s="374"/>
      <c r="AU122" s="499"/>
      <c r="AV122" s="374"/>
      <c r="AW122" s="371"/>
      <c r="AX122" s="367"/>
      <c r="AY122" s="374"/>
      <c r="AZ122" s="367">
        <f t="shared" si="162"/>
        <v>139651.45125000001</v>
      </c>
      <c r="BA122" s="373">
        <f t="shared" si="85"/>
        <v>303569.91375000007</v>
      </c>
      <c r="BB122" s="374">
        <f t="shared" si="90"/>
        <v>30356.991375000009</v>
      </c>
      <c r="BC122" s="374">
        <f t="shared" si="91"/>
        <v>6071.3982750000014</v>
      </c>
      <c r="BD122" s="374">
        <f t="shared" si="86"/>
        <v>20659.15241000001</v>
      </c>
      <c r="BE122" s="374">
        <f t="shared" si="92"/>
        <v>246482.37169000009</v>
      </c>
      <c r="BF122" s="374">
        <f t="shared" si="93"/>
        <v>3642838.9650000008</v>
      </c>
      <c r="BG122" s="374">
        <f t="shared" si="87"/>
        <v>327836.92500000005</v>
      </c>
      <c r="BH122" s="374">
        <f t="shared" si="94"/>
        <v>3970675.8900000006</v>
      </c>
      <c r="BI122" s="374">
        <f t="shared" si="88"/>
        <v>138973.65615000002</v>
      </c>
      <c r="BJ122" s="374">
        <f t="shared" si="89"/>
        <v>206402.25233700001</v>
      </c>
      <c r="BK122" s="374">
        <f t="shared" si="95"/>
        <v>178680.41505000004</v>
      </c>
      <c r="BL122" s="374">
        <f t="shared" si="96"/>
        <v>119120.27670000002</v>
      </c>
      <c r="BM122" s="373">
        <f t="shared" si="163"/>
        <v>4613852.4902370013</v>
      </c>
      <c r="BN122" s="375"/>
      <c r="BO122" s="377"/>
      <c r="BP122" s="377"/>
      <c r="BQ122" s="377"/>
      <c r="BR122" s="377"/>
      <c r="BS122" s="377"/>
      <c r="BT122" s="377"/>
      <c r="BU122" s="377"/>
      <c r="BV122" s="377"/>
      <c r="BW122" s="377"/>
      <c r="BX122" s="377"/>
      <c r="BY122" s="377"/>
      <c r="BZ122" s="377"/>
      <c r="CA122" s="377"/>
      <c r="CB122" s="377"/>
      <c r="CC122" s="377"/>
      <c r="CD122" s="377"/>
      <c r="CE122" s="377"/>
      <c r="CF122" s="377"/>
      <c r="CG122" s="377"/>
      <c r="CH122" s="377"/>
      <c r="CI122" s="377"/>
    </row>
    <row r="123" spans="1:87" ht="45">
      <c r="A123" s="369">
        <f t="shared" si="164"/>
        <v>104</v>
      </c>
      <c r="B123" s="416">
        <f t="shared" si="164"/>
        <v>7</v>
      </c>
      <c r="C123" s="409" t="s">
        <v>1271</v>
      </c>
      <c r="D123" s="410" t="s">
        <v>1272</v>
      </c>
      <c r="E123" s="366" t="s">
        <v>998</v>
      </c>
      <c r="F123" s="508" t="s">
        <v>1011</v>
      </c>
      <c r="G123" s="366" t="s">
        <v>1273</v>
      </c>
      <c r="H123" s="371" t="s">
        <v>1274</v>
      </c>
      <c r="I123" s="366">
        <v>17697</v>
      </c>
      <c r="J123" s="367">
        <v>11.4</v>
      </c>
      <c r="K123" s="367">
        <f t="shared" si="147"/>
        <v>201745.80000000002</v>
      </c>
      <c r="L123" s="496"/>
      <c r="M123" s="496"/>
      <c r="N123" s="496">
        <v>12</v>
      </c>
      <c r="O123" s="496">
        <v>12</v>
      </c>
      <c r="P123" s="496"/>
      <c r="Q123" s="368">
        <f>SUM(L123:P123)</f>
        <v>24</v>
      </c>
      <c r="R123" s="496"/>
      <c r="S123" s="496"/>
      <c r="T123" s="496"/>
      <c r="U123" s="496"/>
      <c r="V123" s="496"/>
      <c r="W123" s="381">
        <f t="shared" si="149"/>
        <v>0</v>
      </c>
      <c r="X123" s="370">
        <f t="shared" si="150"/>
        <v>24</v>
      </c>
      <c r="Y123" s="367">
        <f t="shared" si="151"/>
        <v>302618.7</v>
      </c>
      <c r="Z123" s="367">
        <f t="shared" si="152"/>
        <v>30261.870000000003</v>
      </c>
      <c r="AA123" s="497">
        <v>24</v>
      </c>
      <c r="AB123" s="367">
        <f t="shared" si="153"/>
        <v>13272.75</v>
      </c>
      <c r="AC123" s="497"/>
      <c r="AD123" s="367">
        <f t="shared" si="154"/>
        <v>0</v>
      </c>
      <c r="AE123" s="497"/>
      <c r="AF123" s="497"/>
      <c r="AG123" s="367"/>
      <c r="AH123" s="497"/>
      <c r="AI123" s="367"/>
      <c r="AJ123" s="372"/>
      <c r="AK123" s="367"/>
      <c r="AL123" s="366">
        <f t="shared" si="155"/>
        <v>24</v>
      </c>
      <c r="AM123" s="367">
        <f t="shared" si="156"/>
        <v>90785.61</v>
      </c>
      <c r="AN123" s="366" t="str">
        <f t="shared" si="157"/>
        <v>Педагог-сарапшы</v>
      </c>
      <c r="AO123" s="367" t="str">
        <f t="shared" si="158"/>
        <v>0</v>
      </c>
      <c r="AP123" s="367" t="str">
        <f t="shared" si="159"/>
        <v>0</v>
      </c>
      <c r="AQ123" s="367">
        <f t="shared" si="160"/>
        <v>105916.545</v>
      </c>
      <c r="AR123" s="367" t="str">
        <f t="shared" si="161"/>
        <v>0</v>
      </c>
      <c r="AS123" s="497"/>
      <c r="AT123" s="374"/>
      <c r="AU123" s="499"/>
      <c r="AV123" s="374"/>
      <c r="AW123" s="371" t="str">
        <f>G123</f>
        <v>Магистр педагогика и психология</v>
      </c>
      <c r="AX123" s="372">
        <f>10*4325</f>
        <v>43250</v>
      </c>
      <c r="AY123" s="367"/>
      <c r="AZ123" s="367">
        <f t="shared" si="162"/>
        <v>283486.77500000002</v>
      </c>
      <c r="BA123" s="373">
        <f t="shared" si="85"/>
        <v>586105.47500000009</v>
      </c>
      <c r="BB123" s="374">
        <f t="shared" si="90"/>
        <v>58610.547500000015</v>
      </c>
      <c r="BC123" s="374">
        <f t="shared" si="91"/>
        <v>11722.109500000002</v>
      </c>
      <c r="BD123" s="374">
        <f t="shared" si="86"/>
        <v>45522.281800000012</v>
      </c>
      <c r="BE123" s="374">
        <f t="shared" si="92"/>
        <v>470250.53620000009</v>
      </c>
      <c r="BF123" s="374">
        <f t="shared" si="93"/>
        <v>7033265.7000000011</v>
      </c>
      <c r="BG123" s="374">
        <f t="shared" si="87"/>
        <v>605237.4</v>
      </c>
      <c r="BH123" s="374">
        <f t="shared" si="94"/>
        <v>7638503.1000000015</v>
      </c>
      <c r="BI123" s="374">
        <f t="shared" si="88"/>
        <v>267347.60850000009</v>
      </c>
      <c r="BJ123" s="374">
        <f t="shared" si="89"/>
        <v>397005.98286000005</v>
      </c>
      <c r="BK123" s="374">
        <f t="shared" si="95"/>
        <v>343732.63950000011</v>
      </c>
      <c r="BL123" s="374">
        <f t="shared" si="96"/>
        <v>229155.09300000002</v>
      </c>
      <c r="BM123" s="373">
        <f t="shared" si="163"/>
        <v>8875744.4238600023</v>
      </c>
      <c r="BN123" s="375"/>
      <c r="BO123" s="377"/>
      <c r="BP123" s="377"/>
      <c r="BQ123" s="377"/>
      <c r="BR123" s="377"/>
      <c r="BS123" s="377"/>
      <c r="BT123" s="377"/>
      <c r="BU123" s="377"/>
      <c r="BV123" s="377"/>
      <c r="BW123" s="377"/>
      <c r="BX123" s="377"/>
      <c r="BY123" s="377"/>
      <c r="BZ123" s="377"/>
      <c r="CA123" s="377"/>
      <c r="CB123" s="377"/>
      <c r="CC123" s="377"/>
      <c r="CD123" s="377"/>
      <c r="CE123" s="377"/>
      <c r="CF123" s="377"/>
      <c r="CG123" s="377"/>
      <c r="CH123" s="377"/>
      <c r="CI123" s="377"/>
    </row>
    <row r="124" spans="1:87" ht="15">
      <c r="A124" s="1515"/>
      <c r="B124" s="1508"/>
      <c r="C124" s="490" t="s">
        <v>1162</v>
      </c>
      <c r="D124" s="490"/>
      <c r="E124" s="490"/>
      <c r="F124" s="490"/>
      <c r="G124" s="490"/>
      <c r="H124" s="491"/>
      <c r="I124" s="490"/>
      <c r="J124" s="490"/>
      <c r="K124" s="422">
        <f t="shared" ref="K124:AE124" si="165">SUM(K117:K123)</f>
        <v>1378596.3</v>
      </c>
      <c r="L124" s="407">
        <f t="shared" si="165"/>
        <v>35</v>
      </c>
      <c r="M124" s="407">
        <f t="shared" si="165"/>
        <v>35</v>
      </c>
      <c r="N124" s="407">
        <f t="shared" si="165"/>
        <v>27</v>
      </c>
      <c r="O124" s="407">
        <f t="shared" si="165"/>
        <v>27</v>
      </c>
      <c r="P124" s="407">
        <f t="shared" si="165"/>
        <v>27</v>
      </c>
      <c r="Q124" s="407">
        <f t="shared" si="165"/>
        <v>151</v>
      </c>
      <c r="R124" s="407">
        <f t="shared" si="165"/>
        <v>0</v>
      </c>
      <c r="S124" s="407">
        <f t="shared" si="165"/>
        <v>0</v>
      </c>
      <c r="T124" s="407">
        <f t="shared" si="165"/>
        <v>0</v>
      </c>
      <c r="U124" s="407">
        <f t="shared" si="165"/>
        <v>0</v>
      </c>
      <c r="V124" s="407">
        <f t="shared" si="165"/>
        <v>8</v>
      </c>
      <c r="W124" s="407">
        <f t="shared" si="165"/>
        <v>8</v>
      </c>
      <c r="X124" s="407">
        <f t="shared" si="165"/>
        <v>159</v>
      </c>
      <c r="Y124" s="407">
        <f t="shared" si="165"/>
        <v>1946006.3625</v>
      </c>
      <c r="Z124" s="407">
        <f t="shared" si="165"/>
        <v>194600.63625000001</v>
      </c>
      <c r="AA124" s="407">
        <f t="shared" si="165"/>
        <v>151</v>
      </c>
      <c r="AB124" s="407">
        <f t="shared" si="165"/>
        <v>83507.71875</v>
      </c>
      <c r="AC124" s="407">
        <f t="shared" si="165"/>
        <v>0</v>
      </c>
      <c r="AD124" s="407">
        <f t="shared" si="165"/>
        <v>0</v>
      </c>
      <c r="AE124" s="407">
        <f t="shared" si="165"/>
        <v>0</v>
      </c>
      <c r="AF124" s="407">
        <v>4</v>
      </c>
      <c r="AG124" s="407">
        <f>SUM(AG117:AG123)</f>
        <v>14157.6</v>
      </c>
      <c r="AH124" s="407">
        <v>3</v>
      </c>
      <c r="AI124" s="407">
        <f t="shared" ref="AI124:BN124" si="166">SUM(AI117:AI123)</f>
        <v>106182</v>
      </c>
      <c r="AJ124" s="407">
        <f t="shared" si="166"/>
        <v>0</v>
      </c>
      <c r="AK124" s="407">
        <f t="shared" si="166"/>
        <v>0</v>
      </c>
      <c r="AL124" s="407">
        <f t="shared" si="166"/>
        <v>159</v>
      </c>
      <c r="AM124" s="407">
        <f t="shared" si="166"/>
        <v>583801.90875000006</v>
      </c>
      <c r="AN124" s="407">
        <f t="shared" si="166"/>
        <v>0</v>
      </c>
      <c r="AO124" s="407">
        <f t="shared" si="166"/>
        <v>0</v>
      </c>
      <c r="AP124" s="407">
        <f t="shared" si="166"/>
        <v>388360.66500000004</v>
      </c>
      <c r="AQ124" s="407">
        <f t="shared" si="166"/>
        <v>105916.545</v>
      </c>
      <c r="AR124" s="407">
        <f t="shared" si="166"/>
        <v>88263.787499999991</v>
      </c>
      <c r="AS124" s="407">
        <f t="shared" si="166"/>
        <v>0</v>
      </c>
      <c r="AT124" s="407">
        <f t="shared" si="166"/>
        <v>0</v>
      </c>
      <c r="AU124" s="407">
        <f t="shared" si="166"/>
        <v>0</v>
      </c>
      <c r="AV124" s="407">
        <f t="shared" si="166"/>
        <v>0</v>
      </c>
      <c r="AW124" s="407">
        <v>2</v>
      </c>
      <c r="AX124" s="407">
        <f t="shared" si="166"/>
        <v>86500</v>
      </c>
      <c r="AY124" s="407">
        <f t="shared" si="166"/>
        <v>0</v>
      </c>
      <c r="AZ124" s="407">
        <f t="shared" si="166"/>
        <v>1651290.8612500001</v>
      </c>
      <c r="BA124" s="1318">
        <f>SUM(BA117:BA123)</f>
        <v>3597297.2237500004</v>
      </c>
      <c r="BB124" s="1318">
        <f t="shared" ref="BB124:BM124" si="167">SUM(BB117:BB123)</f>
        <v>359729.72237500001</v>
      </c>
      <c r="BC124" s="1318">
        <f t="shared" si="167"/>
        <v>71945.944474999997</v>
      </c>
      <c r="BD124" s="1318">
        <f t="shared" si="167"/>
        <v>274177.15569000004</v>
      </c>
      <c r="BE124" s="1318">
        <f t="shared" si="167"/>
        <v>2891444.4012099998</v>
      </c>
      <c r="BF124" s="1318">
        <f t="shared" si="167"/>
        <v>43167566.685000002</v>
      </c>
      <c r="BG124" s="1318">
        <f t="shared" si="167"/>
        <v>3892012.7250000001</v>
      </c>
      <c r="BH124" s="1318">
        <f t="shared" si="167"/>
        <v>47059579.410000004</v>
      </c>
      <c r="BI124" s="1318">
        <f t="shared" si="167"/>
        <v>1647085.2793500002</v>
      </c>
      <c r="BJ124" s="1318">
        <f t="shared" si="167"/>
        <v>2446248.6414330001</v>
      </c>
      <c r="BK124" s="1318">
        <f t="shared" si="167"/>
        <v>2117681.07345</v>
      </c>
      <c r="BL124" s="1318">
        <f t="shared" si="167"/>
        <v>1411787.3823000002</v>
      </c>
      <c r="BM124" s="1318">
        <f t="shared" si="167"/>
        <v>54682381.786532998</v>
      </c>
      <c r="BN124" s="407">
        <f t="shared" si="166"/>
        <v>0</v>
      </c>
      <c r="BO124" s="355"/>
      <c r="BP124" s="355"/>
      <c r="BQ124" s="355"/>
      <c r="BR124" s="355"/>
      <c r="BS124" s="355"/>
      <c r="BT124" s="355"/>
      <c r="BU124" s="355"/>
      <c r="BV124" s="355"/>
      <c r="BW124" s="355"/>
      <c r="BX124" s="355"/>
      <c r="BY124" s="355"/>
      <c r="BZ124" s="355"/>
      <c r="CA124" s="355"/>
      <c r="CB124" s="355"/>
      <c r="CC124" s="355"/>
      <c r="CD124" s="355"/>
      <c r="CE124" s="355"/>
      <c r="CF124" s="355"/>
      <c r="CG124" s="355"/>
      <c r="CH124" s="355"/>
      <c r="CI124" s="356"/>
    </row>
    <row r="125" spans="1:87" ht="78.75">
      <c r="A125" s="369">
        <f>A123+1</f>
        <v>105</v>
      </c>
      <c r="B125" s="416">
        <v>1</v>
      </c>
      <c r="C125" s="409" t="s">
        <v>1275</v>
      </c>
      <c r="D125" s="412" t="s">
        <v>1276</v>
      </c>
      <c r="E125" s="366" t="s">
        <v>998</v>
      </c>
      <c r="F125" s="1314" t="s">
        <v>254</v>
      </c>
      <c r="G125" s="366" t="s">
        <v>1277</v>
      </c>
      <c r="H125" s="371" t="s">
        <v>1441</v>
      </c>
      <c r="I125" s="366">
        <v>17697</v>
      </c>
      <c r="J125" s="367">
        <v>11.18</v>
      </c>
      <c r="K125" s="367">
        <f t="shared" ref="K125:K132" si="168">I125*J125</f>
        <v>197852.46</v>
      </c>
      <c r="L125" s="380">
        <v>3</v>
      </c>
      <c r="M125" s="380"/>
      <c r="N125" s="380">
        <v>20</v>
      </c>
      <c r="O125" s="380"/>
      <c r="P125" s="380">
        <v>8</v>
      </c>
      <c r="Q125" s="368">
        <f t="shared" ref="Q125:Q132" si="169">SUM(L125:P125)</f>
        <v>31</v>
      </c>
      <c r="R125" s="380"/>
      <c r="S125" s="380"/>
      <c r="T125" s="380"/>
      <c r="U125" s="380"/>
      <c r="V125" s="380"/>
      <c r="W125" s="381">
        <f t="shared" ref="W125:W132" si="170">SUM(R125:V125)</f>
        <v>0</v>
      </c>
      <c r="X125" s="370">
        <f t="shared" ref="X125:X132" si="171">Q125+W125</f>
        <v>31</v>
      </c>
      <c r="Y125" s="367">
        <f t="shared" ref="Y125:Y132" si="172">K125/16*X125</f>
        <v>383339.14124999999</v>
      </c>
      <c r="Z125" s="367">
        <f t="shared" ref="Z125:Z131" si="173">Y125*10%</f>
        <v>38333.914125000003</v>
      </c>
      <c r="AA125" s="497"/>
      <c r="AB125" s="367">
        <f t="shared" ref="AB125:AB132" si="174">I125/16*AA125*40%</f>
        <v>0</v>
      </c>
      <c r="AC125" s="497"/>
      <c r="AD125" s="367">
        <f t="shared" ref="AD125:AD132" si="175">I125/16*AC125*40%*50%</f>
        <v>0</v>
      </c>
      <c r="AE125" s="497"/>
      <c r="AF125" s="497" t="s">
        <v>1278</v>
      </c>
      <c r="AG125" s="367">
        <f t="shared" ref="AG125:AG131" si="176">17697*20%</f>
        <v>3539.4</v>
      </c>
      <c r="AH125" s="497" t="s">
        <v>1279</v>
      </c>
      <c r="AI125" s="367">
        <f>I125*200%</f>
        <v>35394</v>
      </c>
      <c r="AJ125" s="372"/>
      <c r="AK125" s="367"/>
      <c r="AL125" s="366">
        <f t="shared" ref="AL125:AL132" si="177">X125</f>
        <v>31</v>
      </c>
      <c r="AM125" s="367">
        <f t="shared" ref="AM125:AM132" si="178">K125/16*AL125*30%</f>
        <v>115001.74237499999</v>
      </c>
      <c r="AN125" s="366" t="str">
        <f t="shared" ref="AN125:AN132" si="179">F125</f>
        <v>Педагог-модератор</v>
      </c>
      <c r="AO125" s="367" t="str">
        <f t="shared" ref="AO125:AO132" si="180">IF(AN125="Педагог-зерттеуші", "0", IF(AN125="Педагог-шебер",K125/16*X125*50%, IF(AN125="Педагог-сарапшы", "0", IF(AN125="Педагог-модератор", "0", "0"))))</f>
        <v>0</v>
      </c>
      <c r="AP125" s="367" t="str">
        <f t="shared" ref="AP125:AP132" si="181">IF(AN125="Педагог-шебер", "0", IF(AN125="Педагог-зерттеуші",K125/16*X125*40%, IF(AN125="Педагог-сарапшы", "0", IF(AN125="Педагог-модератор", "0", "0"))))</f>
        <v>0</v>
      </c>
      <c r="AQ125" s="367" t="str">
        <f t="shared" ref="AQ125:AQ132" si="182">IF(AN125="Педагог-шебер", "0", IF(AN125="Педагог-сарапшы",K125/16*X125*35%, IF(AN125="Педагог-зерттеуші", "0", IF(AN125="Педагог-модератор", "0", "0"))))</f>
        <v>0</v>
      </c>
      <c r="AR125" s="367">
        <f t="shared" ref="AR125:AR132" si="183">IF(AN125="Педагог-шебер", "0", IF(AN125="Педагог-модератор",K125/16*X125*30%, IF(AN125="Педагог-зерттеуші", "0", IF(AN125="Педагог-сарапшы", "0", "0"))))</f>
        <v>115001.74237499999</v>
      </c>
      <c r="AS125" s="497"/>
      <c r="AT125" s="374"/>
      <c r="AU125" s="499"/>
      <c r="AV125" s="374"/>
      <c r="AW125" s="371" t="str">
        <f>G125</f>
        <v>Магистр-история</v>
      </c>
      <c r="AX125" s="372">
        <f>10*4325</f>
        <v>43250</v>
      </c>
      <c r="AY125" s="367"/>
      <c r="AZ125" s="367">
        <f t="shared" ref="AZ125:AZ132" si="184">Z125+AB125+AD125+AE125+AG125+AI125+AK125+AM125+AO125+AP125+AQ125++AR125+AT125+AV125+AX125+AY125</f>
        <v>350520.79887499998</v>
      </c>
      <c r="BA125" s="373">
        <f t="shared" si="85"/>
        <v>733859.94012499996</v>
      </c>
      <c r="BB125" s="374">
        <f t="shared" si="90"/>
        <v>73385.994012499999</v>
      </c>
      <c r="BC125" s="374">
        <f t="shared" si="91"/>
        <v>14677.198802499999</v>
      </c>
      <c r="BD125" s="374">
        <f t="shared" si="86"/>
        <v>58524.674730999992</v>
      </c>
      <c r="BE125" s="374">
        <f t="shared" si="92"/>
        <v>587272.07257899991</v>
      </c>
      <c r="BF125" s="374">
        <f t="shared" si="93"/>
        <v>8806319.2815000005</v>
      </c>
      <c r="BG125" s="374">
        <f t="shared" si="87"/>
        <v>766678.28249999997</v>
      </c>
      <c r="BH125" s="374">
        <f t="shared" si="94"/>
        <v>9572997.5640000012</v>
      </c>
      <c r="BI125" s="374">
        <f t="shared" si="88"/>
        <v>335054.91474000009</v>
      </c>
      <c r="BJ125" s="374">
        <f t="shared" si="89"/>
        <v>497567.9660367</v>
      </c>
      <c r="BK125" s="374">
        <f t="shared" si="95"/>
        <v>430784.89038000006</v>
      </c>
      <c r="BL125" s="374">
        <f t="shared" si="96"/>
        <v>287189.92692</v>
      </c>
      <c r="BM125" s="373">
        <f t="shared" ref="BM125:BM132" si="185">BH125+BJ125+BK125+BL125+BI125</f>
        <v>11123595.262076702</v>
      </c>
      <c r="BN125" s="375"/>
      <c r="BO125" s="377"/>
      <c r="BP125" s="377"/>
      <c r="BQ125" s="377"/>
      <c r="BR125" s="377"/>
      <c r="BS125" s="377"/>
      <c r="BT125" s="377"/>
      <c r="BU125" s="377"/>
      <c r="BV125" s="377"/>
      <c r="BW125" s="377"/>
      <c r="BX125" s="377"/>
      <c r="BY125" s="377"/>
      <c r="BZ125" s="377"/>
      <c r="CA125" s="377"/>
      <c r="CB125" s="377"/>
      <c r="CC125" s="377"/>
      <c r="CD125" s="377"/>
      <c r="CE125" s="377"/>
      <c r="CF125" s="377"/>
      <c r="CG125" s="377"/>
      <c r="CH125" s="377"/>
      <c r="CI125" s="377"/>
    </row>
    <row r="126" spans="1:87" ht="78.75">
      <c r="A126" s="369">
        <f>A125+1</f>
        <v>106</v>
      </c>
      <c r="B126" s="416">
        <f>B125+1</f>
        <v>2</v>
      </c>
      <c r="C126" s="409" t="s">
        <v>1280</v>
      </c>
      <c r="D126" s="412" t="s">
        <v>1281</v>
      </c>
      <c r="E126" s="366" t="s">
        <v>998</v>
      </c>
      <c r="F126" s="508" t="s">
        <v>999</v>
      </c>
      <c r="G126" s="366"/>
      <c r="H126" s="371" t="s">
        <v>1282</v>
      </c>
      <c r="I126" s="366">
        <v>17697</v>
      </c>
      <c r="J126" s="367">
        <v>11.4</v>
      </c>
      <c r="K126" s="367">
        <f t="shared" si="168"/>
        <v>201745.80000000002</v>
      </c>
      <c r="L126" s="380"/>
      <c r="M126" s="380"/>
      <c r="N126" s="380"/>
      <c r="O126" s="380">
        <v>20</v>
      </c>
      <c r="P126" s="380">
        <v>12</v>
      </c>
      <c r="Q126" s="368">
        <f t="shared" si="169"/>
        <v>32</v>
      </c>
      <c r="R126" s="380"/>
      <c r="S126" s="380"/>
      <c r="T126" s="380"/>
      <c r="U126" s="380"/>
      <c r="V126" s="380">
        <v>4</v>
      </c>
      <c r="W126" s="381">
        <f t="shared" si="170"/>
        <v>4</v>
      </c>
      <c r="X126" s="370">
        <f t="shared" si="171"/>
        <v>36</v>
      </c>
      <c r="Y126" s="367">
        <f t="shared" si="172"/>
        <v>453928.05000000005</v>
      </c>
      <c r="Z126" s="367">
        <f t="shared" si="173"/>
        <v>45392.805000000008</v>
      </c>
      <c r="AA126" s="497"/>
      <c r="AB126" s="367">
        <f t="shared" si="174"/>
        <v>0</v>
      </c>
      <c r="AC126" s="497"/>
      <c r="AD126" s="367">
        <f t="shared" si="175"/>
        <v>0</v>
      </c>
      <c r="AE126" s="498"/>
      <c r="AF126" s="497" t="s">
        <v>1283</v>
      </c>
      <c r="AG126" s="367">
        <f t="shared" si="176"/>
        <v>3539.4</v>
      </c>
      <c r="AH126" s="497" t="s">
        <v>1284</v>
      </c>
      <c r="AI126" s="367">
        <f>I126*200%</f>
        <v>35394</v>
      </c>
      <c r="AJ126" s="372"/>
      <c r="AK126" s="367"/>
      <c r="AL126" s="366">
        <f t="shared" si="177"/>
        <v>36</v>
      </c>
      <c r="AM126" s="367">
        <f t="shared" si="178"/>
        <v>136178.41500000001</v>
      </c>
      <c r="AN126" s="366" t="str">
        <f t="shared" si="179"/>
        <v>Педагог-шебер</v>
      </c>
      <c r="AO126" s="367">
        <f t="shared" si="180"/>
        <v>226964.02500000002</v>
      </c>
      <c r="AP126" s="367" t="str">
        <f t="shared" si="181"/>
        <v>0</v>
      </c>
      <c r="AQ126" s="367" t="str">
        <f t="shared" si="182"/>
        <v>0</v>
      </c>
      <c r="AR126" s="367" t="str">
        <f t="shared" si="183"/>
        <v>0</v>
      </c>
      <c r="AS126" s="497"/>
      <c r="AT126" s="374"/>
      <c r="AU126" s="499"/>
      <c r="AV126" s="374"/>
      <c r="AW126" s="371">
        <f t="shared" ref="AW126:AW132" si="186">G126</f>
        <v>0</v>
      </c>
      <c r="AX126" s="367"/>
      <c r="AY126" s="367"/>
      <c r="AZ126" s="367">
        <f t="shared" si="184"/>
        <v>447468.64500000002</v>
      </c>
      <c r="BA126" s="373">
        <f t="shared" si="85"/>
        <v>901396.69500000007</v>
      </c>
      <c r="BB126" s="374">
        <f t="shared" si="90"/>
        <v>90139.669500000018</v>
      </c>
      <c r="BC126" s="374">
        <f t="shared" si="91"/>
        <v>18027.9339</v>
      </c>
      <c r="BD126" s="374">
        <f t="shared" si="86"/>
        <v>73267.90916000001</v>
      </c>
      <c r="BE126" s="374">
        <f t="shared" si="92"/>
        <v>719961.18244</v>
      </c>
      <c r="BF126" s="374">
        <f t="shared" si="93"/>
        <v>10816760.34</v>
      </c>
      <c r="BG126" s="374">
        <f t="shared" si="87"/>
        <v>907856.10000000009</v>
      </c>
      <c r="BH126" s="374">
        <f t="shared" si="94"/>
        <v>11724616.439999999</v>
      </c>
      <c r="BI126" s="374">
        <f t="shared" si="88"/>
        <v>410361.57540000003</v>
      </c>
      <c r="BJ126" s="374">
        <f t="shared" si="89"/>
        <v>609332.41501200001</v>
      </c>
      <c r="BK126" s="374">
        <f t="shared" si="95"/>
        <v>527607.73979999998</v>
      </c>
      <c r="BL126" s="374">
        <f t="shared" si="96"/>
        <v>351738.49319999997</v>
      </c>
      <c r="BM126" s="373">
        <f t="shared" si="185"/>
        <v>13623656.663412001</v>
      </c>
      <c r="BN126" s="375"/>
      <c r="BO126" s="377"/>
      <c r="BP126" s="377"/>
      <c r="BQ126" s="377"/>
      <c r="BR126" s="377"/>
      <c r="BS126" s="377"/>
      <c r="BT126" s="377"/>
      <c r="BU126" s="377"/>
      <c r="BV126" s="377"/>
      <c r="BW126" s="377"/>
      <c r="BX126" s="377"/>
      <c r="BY126" s="377"/>
      <c r="BZ126" s="377"/>
      <c r="CA126" s="377"/>
      <c r="CB126" s="377"/>
      <c r="CC126" s="377"/>
      <c r="CD126" s="377"/>
      <c r="CE126" s="377"/>
      <c r="CF126" s="377"/>
      <c r="CG126" s="377"/>
      <c r="CH126" s="377"/>
      <c r="CI126" s="377"/>
    </row>
    <row r="127" spans="1:87" ht="78.75">
      <c r="A127" s="369">
        <f t="shared" ref="A127:B132" si="187">A126+1</f>
        <v>107</v>
      </c>
      <c r="B127" s="416">
        <f t="shared" si="187"/>
        <v>3</v>
      </c>
      <c r="C127" s="409" t="s">
        <v>1285</v>
      </c>
      <c r="D127" s="412" t="s">
        <v>1286</v>
      </c>
      <c r="E127" s="366" t="s">
        <v>998</v>
      </c>
      <c r="F127" s="508" t="s">
        <v>1005</v>
      </c>
      <c r="G127" s="366" t="s">
        <v>1226</v>
      </c>
      <c r="H127" s="371" t="s">
        <v>1442</v>
      </c>
      <c r="I127" s="366">
        <v>17697</v>
      </c>
      <c r="J127" s="367">
        <v>11.18</v>
      </c>
      <c r="K127" s="367">
        <f t="shared" si="168"/>
        <v>197852.46</v>
      </c>
      <c r="L127" s="380"/>
      <c r="M127" s="380"/>
      <c r="N127" s="380">
        <v>16</v>
      </c>
      <c r="O127" s="380">
        <v>16</v>
      </c>
      <c r="P127" s="380"/>
      <c r="Q127" s="368">
        <f t="shared" si="169"/>
        <v>32</v>
      </c>
      <c r="R127" s="380"/>
      <c r="S127" s="380"/>
      <c r="T127" s="380"/>
      <c r="U127" s="380"/>
      <c r="V127" s="380">
        <v>4</v>
      </c>
      <c r="W127" s="381">
        <f t="shared" si="170"/>
        <v>4</v>
      </c>
      <c r="X127" s="370">
        <f t="shared" si="171"/>
        <v>36</v>
      </c>
      <c r="Y127" s="367">
        <f t="shared" si="172"/>
        <v>445168.03499999997</v>
      </c>
      <c r="Z127" s="367">
        <f t="shared" si="173"/>
        <v>44516.803500000002</v>
      </c>
      <c r="AA127" s="497"/>
      <c r="AB127" s="367">
        <f t="shared" si="174"/>
        <v>0</v>
      </c>
      <c r="AC127" s="497"/>
      <c r="AD127" s="367">
        <f t="shared" si="175"/>
        <v>0</v>
      </c>
      <c r="AE127" s="497"/>
      <c r="AF127" s="497" t="s">
        <v>1287</v>
      </c>
      <c r="AG127" s="367">
        <f t="shared" si="176"/>
        <v>3539.4</v>
      </c>
      <c r="AH127" s="497"/>
      <c r="AI127" s="367"/>
      <c r="AJ127" s="372"/>
      <c r="AK127" s="367"/>
      <c r="AL127" s="366">
        <f t="shared" si="177"/>
        <v>36</v>
      </c>
      <c r="AM127" s="367">
        <f t="shared" si="178"/>
        <v>133550.4105</v>
      </c>
      <c r="AN127" s="366" t="str">
        <f t="shared" si="179"/>
        <v>Педагог-зерттеуші</v>
      </c>
      <c r="AO127" s="367" t="str">
        <f t="shared" si="180"/>
        <v>0</v>
      </c>
      <c r="AP127" s="367">
        <f t="shared" si="181"/>
        <v>178067.21400000001</v>
      </c>
      <c r="AQ127" s="367" t="str">
        <f t="shared" si="182"/>
        <v>0</v>
      </c>
      <c r="AR127" s="367" t="str">
        <f t="shared" si="183"/>
        <v>0</v>
      </c>
      <c r="AS127" s="497"/>
      <c r="AT127" s="374"/>
      <c r="AU127" s="499"/>
      <c r="AV127" s="374"/>
      <c r="AW127" s="371" t="str">
        <f t="shared" si="186"/>
        <v>Магистр-педагогика</v>
      </c>
      <c r="AX127" s="372">
        <f>10*4325</f>
        <v>43250</v>
      </c>
      <c r="AY127" s="367"/>
      <c r="AZ127" s="367">
        <f t="shared" si="184"/>
        <v>402923.82799999998</v>
      </c>
      <c r="BA127" s="373">
        <f t="shared" si="85"/>
        <v>848091.8629999999</v>
      </c>
      <c r="BB127" s="374">
        <f t="shared" si="90"/>
        <v>84809.186300000001</v>
      </c>
      <c r="BC127" s="374">
        <f t="shared" si="91"/>
        <v>16961.837259999997</v>
      </c>
      <c r="BD127" s="374">
        <f t="shared" si="86"/>
        <v>68577.083943999998</v>
      </c>
      <c r="BE127" s="374">
        <f t="shared" si="92"/>
        <v>677743.75549600006</v>
      </c>
      <c r="BF127" s="374">
        <f t="shared" si="93"/>
        <v>10177102.355999999</v>
      </c>
      <c r="BG127" s="374">
        <f t="shared" si="87"/>
        <v>890336.07</v>
      </c>
      <c r="BH127" s="374">
        <f t="shared" si="94"/>
        <v>11067438.425999999</v>
      </c>
      <c r="BI127" s="374">
        <f t="shared" si="88"/>
        <v>387360.34490999999</v>
      </c>
      <c r="BJ127" s="374">
        <f t="shared" si="89"/>
        <v>575252.04982080008</v>
      </c>
      <c r="BK127" s="374">
        <f t="shared" si="95"/>
        <v>498034.72917000001</v>
      </c>
      <c r="BL127" s="374">
        <f t="shared" si="96"/>
        <v>332023.15277999995</v>
      </c>
      <c r="BM127" s="373">
        <f t="shared" si="185"/>
        <v>12860108.702680798</v>
      </c>
      <c r="BN127" s="375"/>
      <c r="BO127" s="377"/>
      <c r="BP127" s="377"/>
      <c r="BQ127" s="377"/>
      <c r="BR127" s="377"/>
      <c r="BS127" s="377"/>
      <c r="BT127" s="377"/>
      <c r="BU127" s="377"/>
      <c r="BV127" s="377"/>
      <c r="BW127" s="377"/>
      <c r="BX127" s="377"/>
      <c r="BY127" s="377"/>
      <c r="BZ127" s="377"/>
      <c r="CA127" s="377"/>
      <c r="CB127" s="377"/>
      <c r="CC127" s="377"/>
      <c r="CD127" s="377"/>
      <c r="CE127" s="377"/>
      <c r="CF127" s="377"/>
      <c r="CG127" s="377"/>
      <c r="CH127" s="377"/>
      <c r="CI127" s="377"/>
    </row>
    <row r="128" spans="1:87" ht="47.25">
      <c r="A128" s="369">
        <f t="shared" si="187"/>
        <v>108</v>
      </c>
      <c r="B128" s="416">
        <f t="shared" si="187"/>
        <v>4</v>
      </c>
      <c r="C128" s="409" t="s">
        <v>1288</v>
      </c>
      <c r="D128" s="502" t="s">
        <v>1289</v>
      </c>
      <c r="E128" s="366" t="s">
        <v>998</v>
      </c>
      <c r="F128" s="508" t="s">
        <v>1005</v>
      </c>
      <c r="G128" s="366"/>
      <c r="H128" s="371" t="s">
        <v>1443</v>
      </c>
      <c r="I128" s="366">
        <v>17697</v>
      </c>
      <c r="J128" s="367">
        <v>10.6</v>
      </c>
      <c r="K128" s="367">
        <f t="shared" si="168"/>
        <v>187588.19999999998</v>
      </c>
      <c r="L128" s="380">
        <v>3</v>
      </c>
      <c r="M128" s="380">
        <v>15</v>
      </c>
      <c r="N128" s="380"/>
      <c r="O128" s="380"/>
      <c r="P128" s="380"/>
      <c r="Q128" s="368">
        <f t="shared" si="169"/>
        <v>18</v>
      </c>
      <c r="R128" s="380"/>
      <c r="S128" s="380"/>
      <c r="T128" s="380"/>
      <c r="U128" s="380"/>
      <c r="V128" s="380"/>
      <c r="W128" s="381">
        <f t="shared" si="170"/>
        <v>0</v>
      </c>
      <c r="X128" s="370">
        <f t="shared" si="171"/>
        <v>18</v>
      </c>
      <c r="Y128" s="367">
        <f t="shared" si="172"/>
        <v>211036.72499999998</v>
      </c>
      <c r="Z128" s="367">
        <f t="shared" si="173"/>
        <v>21103.672500000001</v>
      </c>
      <c r="AA128" s="497"/>
      <c r="AB128" s="367">
        <f t="shared" si="174"/>
        <v>0</v>
      </c>
      <c r="AC128" s="497"/>
      <c r="AD128" s="367">
        <f t="shared" si="175"/>
        <v>0</v>
      </c>
      <c r="AE128" s="497"/>
      <c r="AF128" s="497"/>
      <c r="AG128" s="367"/>
      <c r="AH128" s="497" t="s">
        <v>1290</v>
      </c>
      <c r="AI128" s="367">
        <f>I128*200%</f>
        <v>35394</v>
      </c>
      <c r="AJ128" s="372"/>
      <c r="AK128" s="367"/>
      <c r="AL128" s="366">
        <f t="shared" si="177"/>
        <v>18</v>
      </c>
      <c r="AM128" s="367">
        <f t="shared" si="178"/>
        <v>63311.017499999987</v>
      </c>
      <c r="AN128" s="366" t="str">
        <f t="shared" si="179"/>
        <v>Педагог-зерттеуші</v>
      </c>
      <c r="AO128" s="367" t="str">
        <f t="shared" si="180"/>
        <v>0</v>
      </c>
      <c r="AP128" s="367">
        <f t="shared" si="181"/>
        <v>84414.69</v>
      </c>
      <c r="AQ128" s="367" t="str">
        <f t="shared" si="182"/>
        <v>0</v>
      </c>
      <c r="AR128" s="367" t="str">
        <f t="shared" si="183"/>
        <v>0</v>
      </c>
      <c r="AS128" s="497"/>
      <c r="AT128" s="374"/>
      <c r="AU128" s="499"/>
      <c r="AV128" s="374"/>
      <c r="AW128" s="371">
        <f t="shared" si="186"/>
        <v>0</v>
      </c>
      <c r="AX128" s="372"/>
      <c r="AY128" s="367"/>
      <c r="AZ128" s="367">
        <f t="shared" si="184"/>
        <v>204223.38</v>
      </c>
      <c r="BA128" s="373">
        <f t="shared" si="85"/>
        <v>415260.10499999998</v>
      </c>
      <c r="BB128" s="374">
        <f t="shared" si="90"/>
        <v>41526.010500000004</v>
      </c>
      <c r="BC128" s="374">
        <f t="shared" si="91"/>
        <v>8305.2021000000004</v>
      </c>
      <c r="BD128" s="374">
        <f t="shared" si="86"/>
        <v>30487.889240000004</v>
      </c>
      <c r="BE128" s="374">
        <f t="shared" si="92"/>
        <v>334941.00316000002</v>
      </c>
      <c r="BF128" s="374">
        <f t="shared" si="93"/>
        <v>4983121.26</v>
      </c>
      <c r="BG128" s="374">
        <f t="shared" si="87"/>
        <v>422073.44999999995</v>
      </c>
      <c r="BH128" s="374">
        <f t="shared" si="94"/>
        <v>5405194.71</v>
      </c>
      <c r="BI128" s="374">
        <f t="shared" si="88"/>
        <v>189181.81485000002</v>
      </c>
      <c r="BJ128" s="374">
        <f t="shared" si="89"/>
        <v>280917.64756799996</v>
      </c>
      <c r="BK128" s="374">
        <f t="shared" si="95"/>
        <v>243233.76195000001</v>
      </c>
      <c r="BL128" s="374">
        <f t="shared" si="96"/>
        <v>162155.8413</v>
      </c>
      <c r="BM128" s="373">
        <f t="shared" si="185"/>
        <v>6280683.7756679999</v>
      </c>
      <c r="BN128" s="375"/>
      <c r="BO128" s="377"/>
      <c r="BP128" s="377"/>
      <c r="BQ128" s="377"/>
      <c r="BR128" s="377"/>
      <c r="BS128" s="377"/>
      <c r="BT128" s="377"/>
      <c r="BU128" s="377"/>
      <c r="BV128" s="377"/>
      <c r="BW128" s="377"/>
      <c r="BX128" s="377"/>
      <c r="BY128" s="377"/>
      <c r="BZ128" s="377"/>
      <c r="CA128" s="377"/>
      <c r="CB128" s="377"/>
      <c r="CC128" s="377"/>
      <c r="CD128" s="377"/>
      <c r="CE128" s="377"/>
      <c r="CF128" s="377"/>
      <c r="CG128" s="377"/>
      <c r="CH128" s="377"/>
      <c r="CI128" s="377"/>
    </row>
    <row r="129" spans="1:87" ht="47.25">
      <c r="A129" s="369">
        <f t="shared" si="187"/>
        <v>109</v>
      </c>
      <c r="B129" s="416">
        <f t="shared" si="187"/>
        <v>5</v>
      </c>
      <c r="C129" s="409" t="s">
        <v>1291</v>
      </c>
      <c r="D129" s="502" t="s">
        <v>1292</v>
      </c>
      <c r="E129" s="366" t="s">
        <v>998</v>
      </c>
      <c r="F129" s="1314" t="s">
        <v>254</v>
      </c>
      <c r="G129" s="366"/>
      <c r="H129" s="371" t="s">
        <v>1444</v>
      </c>
      <c r="I129" s="366">
        <v>17697</v>
      </c>
      <c r="J129" s="367">
        <v>11.02</v>
      </c>
      <c r="K129" s="367">
        <f t="shared" si="168"/>
        <v>195020.94</v>
      </c>
      <c r="L129" s="380"/>
      <c r="M129" s="380">
        <v>9</v>
      </c>
      <c r="N129" s="380"/>
      <c r="O129" s="380"/>
      <c r="P129" s="380"/>
      <c r="Q129" s="368">
        <f t="shared" si="169"/>
        <v>9</v>
      </c>
      <c r="R129" s="380"/>
      <c r="S129" s="380"/>
      <c r="T129" s="380"/>
      <c r="U129" s="380"/>
      <c r="V129" s="380"/>
      <c r="W129" s="381">
        <f t="shared" si="170"/>
        <v>0</v>
      </c>
      <c r="X129" s="370">
        <f t="shared" si="171"/>
        <v>9</v>
      </c>
      <c r="Y129" s="367">
        <f t="shared" si="172"/>
        <v>109699.27875</v>
      </c>
      <c r="Z129" s="367">
        <f t="shared" si="173"/>
        <v>10969.927875000001</v>
      </c>
      <c r="AA129" s="497"/>
      <c r="AB129" s="367">
        <f t="shared" si="174"/>
        <v>0</v>
      </c>
      <c r="AC129" s="497"/>
      <c r="AD129" s="367">
        <f t="shared" si="175"/>
        <v>0</v>
      </c>
      <c r="AE129" s="497"/>
      <c r="AF129" s="497"/>
      <c r="AG129" s="367"/>
      <c r="AH129" s="497"/>
      <c r="AI129" s="367"/>
      <c r="AJ129" s="372"/>
      <c r="AK129" s="367"/>
      <c r="AL129" s="366">
        <f t="shared" si="177"/>
        <v>9</v>
      </c>
      <c r="AM129" s="367">
        <f t="shared" si="178"/>
        <v>32909.783624999996</v>
      </c>
      <c r="AN129" s="366" t="str">
        <f t="shared" si="179"/>
        <v>Педагог-модератор</v>
      </c>
      <c r="AO129" s="367" t="str">
        <f t="shared" si="180"/>
        <v>0</v>
      </c>
      <c r="AP129" s="367" t="str">
        <f t="shared" si="181"/>
        <v>0</v>
      </c>
      <c r="AQ129" s="367" t="str">
        <f t="shared" si="182"/>
        <v>0</v>
      </c>
      <c r="AR129" s="367">
        <f t="shared" si="183"/>
        <v>32909.783624999996</v>
      </c>
      <c r="AS129" s="497"/>
      <c r="AT129" s="374"/>
      <c r="AU129" s="499"/>
      <c r="AV129" s="374"/>
      <c r="AW129" s="371">
        <f t="shared" si="186"/>
        <v>0</v>
      </c>
      <c r="AX129" s="372"/>
      <c r="AY129" s="367"/>
      <c r="AZ129" s="367">
        <f t="shared" si="184"/>
        <v>76789.495124999987</v>
      </c>
      <c r="BA129" s="373">
        <f t="shared" si="85"/>
        <v>186488.77387499998</v>
      </c>
      <c r="BB129" s="374">
        <f t="shared" si="90"/>
        <v>18648.877387500001</v>
      </c>
      <c r="BC129" s="374">
        <f t="shared" si="91"/>
        <v>3729.7754774999999</v>
      </c>
      <c r="BD129" s="374">
        <f t="shared" si="86"/>
        <v>10356.012101</v>
      </c>
      <c r="BE129" s="374">
        <f t="shared" si="92"/>
        <v>153754.108909</v>
      </c>
      <c r="BF129" s="374">
        <f t="shared" si="93"/>
        <v>2237865.2864999999</v>
      </c>
      <c r="BG129" s="374">
        <f t="shared" si="87"/>
        <v>219398.5575</v>
      </c>
      <c r="BH129" s="374">
        <f t="shared" si="94"/>
        <v>2457263.844</v>
      </c>
      <c r="BI129" s="374">
        <f t="shared" si="88"/>
        <v>86004.234540000005</v>
      </c>
      <c r="BJ129" s="374">
        <f t="shared" si="89"/>
        <v>127768.94394569998</v>
      </c>
      <c r="BK129" s="374">
        <f t="shared" si="95"/>
        <v>110576.87298000001</v>
      </c>
      <c r="BL129" s="374">
        <f t="shared" si="96"/>
        <v>73717.91532</v>
      </c>
      <c r="BM129" s="373">
        <f t="shared" si="185"/>
        <v>2855331.8107857001</v>
      </c>
      <c r="BN129" s="375"/>
      <c r="BO129" s="377"/>
      <c r="BP129" s="377"/>
      <c r="BQ129" s="377"/>
      <c r="BR129" s="377"/>
      <c r="BS129" s="377"/>
      <c r="BT129" s="377"/>
      <c r="BU129" s="377"/>
      <c r="BV129" s="377"/>
      <c r="BW129" s="377"/>
      <c r="BX129" s="377"/>
      <c r="BY129" s="377"/>
      <c r="BZ129" s="377"/>
      <c r="CA129" s="377"/>
      <c r="CB129" s="377"/>
      <c r="CC129" s="377"/>
      <c r="CD129" s="377"/>
      <c r="CE129" s="377"/>
      <c r="CF129" s="377"/>
      <c r="CG129" s="377"/>
      <c r="CH129" s="377"/>
      <c r="CI129" s="377"/>
    </row>
    <row r="130" spans="1:87" ht="31.5">
      <c r="A130" s="369">
        <f t="shared" si="187"/>
        <v>110</v>
      </c>
      <c r="B130" s="416">
        <f t="shared" si="187"/>
        <v>6</v>
      </c>
      <c r="C130" s="409" t="s">
        <v>1293</v>
      </c>
      <c r="D130" s="412" t="s">
        <v>1294</v>
      </c>
      <c r="E130" s="366" t="s">
        <v>998</v>
      </c>
      <c r="F130" s="508" t="s">
        <v>1011</v>
      </c>
      <c r="G130" s="366"/>
      <c r="H130" s="371" t="s">
        <v>121</v>
      </c>
      <c r="I130" s="366">
        <v>17697</v>
      </c>
      <c r="J130" s="367">
        <v>11.18</v>
      </c>
      <c r="K130" s="367">
        <v>195020.94</v>
      </c>
      <c r="L130" s="380">
        <v>9</v>
      </c>
      <c r="M130" s="380"/>
      <c r="N130" s="380"/>
      <c r="O130" s="380"/>
      <c r="P130" s="380"/>
      <c r="Q130" s="368">
        <v>9</v>
      </c>
      <c r="R130" s="380"/>
      <c r="S130" s="380"/>
      <c r="T130" s="380"/>
      <c r="U130" s="380"/>
      <c r="V130" s="380"/>
      <c r="W130" s="381">
        <v>0</v>
      </c>
      <c r="X130" s="370">
        <v>9</v>
      </c>
      <c r="Y130" s="367">
        <v>109699.27875</v>
      </c>
      <c r="Z130" s="367">
        <v>10969.927875000001</v>
      </c>
      <c r="AA130" s="497"/>
      <c r="AB130" s="367">
        <v>0</v>
      </c>
      <c r="AC130" s="497"/>
      <c r="AD130" s="367">
        <v>0</v>
      </c>
      <c r="AE130" s="497"/>
      <c r="AF130" s="497"/>
      <c r="AG130" s="367"/>
      <c r="AH130" s="497"/>
      <c r="AI130" s="367"/>
      <c r="AJ130" s="372"/>
      <c r="AK130" s="367"/>
      <c r="AL130" s="366">
        <v>9</v>
      </c>
      <c r="AM130" s="367">
        <v>32909.783624999996</v>
      </c>
      <c r="AN130" s="366" t="str">
        <f t="shared" si="179"/>
        <v>Педагог-сарапшы</v>
      </c>
      <c r="AO130" s="367" t="str">
        <f t="shared" si="180"/>
        <v>0</v>
      </c>
      <c r="AP130" s="367" t="str">
        <f t="shared" si="181"/>
        <v>0</v>
      </c>
      <c r="AQ130" s="367">
        <f t="shared" si="182"/>
        <v>38394.747562499993</v>
      </c>
      <c r="AR130" s="367" t="str">
        <f t="shared" si="183"/>
        <v>0</v>
      </c>
      <c r="AS130" s="497"/>
      <c r="AT130" s="374"/>
      <c r="AU130" s="499"/>
      <c r="AV130" s="374"/>
      <c r="AW130" s="371">
        <f t="shared" si="186"/>
        <v>0</v>
      </c>
      <c r="AX130" s="372"/>
      <c r="AY130" s="367"/>
      <c r="AZ130" s="367">
        <f t="shared" si="184"/>
        <v>82274.459062499984</v>
      </c>
      <c r="BA130" s="373">
        <f t="shared" si="85"/>
        <v>191973.73781249998</v>
      </c>
      <c r="BB130" s="374">
        <f t="shared" si="90"/>
        <v>19197.37378125</v>
      </c>
      <c r="BC130" s="374">
        <f t="shared" si="91"/>
        <v>3839.4747562499997</v>
      </c>
      <c r="BD130" s="374">
        <f t="shared" si="86"/>
        <v>10838.688927499998</v>
      </c>
      <c r="BE130" s="374">
        <f t="shared" si="92"/>
        <v>158098.20034749998</v>
      </c>
      <c r="BF130" s="374">
        <f t="shared" si="93"/>
        <v>2303684.8537499998</v>
      </c>
      <c r="BG130" s="374">
        <f t="shared" si="87"/>
        <v>219398.5575</v>
      </c>
      <c r="BH130" s="374">
        <f t="shared" si="94"/>
        <v>2523083.4112499999</v>
      </c>
      <c r="BI130" s="374">
        <f t="shared" si="88"/>
        <v>88307.919393750009</v>
      </c>
      <c r="BJ130" s="374">
        <f t="shared" si="89"/>
        <v>131178.39752925001</v>
      </c>
      <c r="BK130" s="374">
        <f t="shared" si="95"/>
        <v>113538.75350625001</v>
      </c>
      <c r="BL130" s="374">
        <f t="shared" si="96"/>
        <v>75692.502337499987</v>
      </c>
      <c r="BM130" s="373">
        <f t="shared" si="185"/>
        <v>2931800.98401675</v>
      </c>
      <c r="BN130" s="375"/>
      <c r="BO130" s="377"/>
      <c r="BP130" s="377"/>
      <c r="BQ130" s="377"/>
      <c r="BR130" s="377"/>
      <c r="BS130" s="377"/>
      <c r="BT130" s="377"/>
      <c r="BU130" s="377"/>
      <c r="BV130" s="377"/>
      <c r="BW130" s="377"/>
      <c r="BX130" s="377"/>
      <c r="BY130" s="377"/>
      <c r="BZ130" s="377"/>
      <c r="CA130" s="377"/>
      <c r="CB130" s="377"/>
      <c r="CC130" s="377"/>
      <c r="CD130" s="377"/>
      <c r="CE130" s="377"/>
      <c r="CF130" s="377"/>
      <c r="CG130" s="377"/>
      <c r="CH130" s="377"/>
      <c r="CI130" s="377"/>
    </row>
    <row r="131" spans="1:87" ht="78.75">
      <c r="A131" s="369">
        <f t="shared" si="187"/>
        <v>111</v>
      </c>
      <c r="B131" s="416">
        <f t="shared" si="187"/>
        <v>7</v>
      </c>
      <c r="C131" s="409" t="s">
        <v>1295</v>
      </c>
      <c r="D131" s="410" t="s">
        <v>1296</v>
      </c>
      <c r="E131" s="366" t="s">
        <v>998</v>
      </c>
      <c r="F131" s="508" t="s">
        <v>1005</v>
      </c>
      <c r="G131" s="366"/>
      <c r="H131" s="507" t="s">
        <v>1297</v>
      </c>
      <c r="I131" s="508">
        <v>17697</v>
      </c>
      <c r="J131" s="509">
        <v>11.4</v>
      </c>
      <c r="K131" s="367">
        <f t="shared" si="168"/>
        <v>201745.80000000002</v>
      </c>
      <c r="L131" s="380">
        <v>15</v>
      </c>
      <c r="M131" s="380"/>
      <c r="N131" s="380"/>
      <c r="O131" s="380"/>
      <c r="P131" s="380">
        <v>16</v>
      </c>
      <c r="Q131" s="368">
        <f t="shared" si="169"/>
        <v>31</v>
      </c>
      <c r="R131" s="380"/>
      <c r="S131" s="380"/>
      <c r="T131" s="380"/>
      <c r="U131" s="380"/>
      <c r="V131" s="380"/>
      <c r="W131" s="381">
        <f t="shared" si="170"/>
        <v>0</v>
      </c>
      <c r="X131" s="370">
        <f t="shared" si="171"/>
        <v>31</v>
      </c>
      <c r="Y131" s="367">
        <f t="shared" si="172"/>
        <v>390882.48750000005</v>
      </c>
      <c r="Z131" s="367">
        <f t="shared" si="173"/>
        <v>39088.248750000006</v>
      </c>
      <c r="AA131" s="497"/>
      <c r="AB131" s="367">
        <f t="shared" si="174"/>
        <v>0</v>
      </c>
      <c r="AC131" s="497"/>
      <c r="AD131" s="367">
        <f t="shared" si="175"/>
        <v>0</v>
      </c>
      <c r="AE131" s="497"/>
      <c r="AF131" s="497" t="s">
        <v>1298</v>
      </c>
      <c r="AG131" s="367">
        <f t="shared" si="176"/>
        <v>3539.4</v>
      </c>
      <c r="AH131" s="497" t="s">
        <v>1299</v>
      </c>
      <c r="AI131" s="367">
        <f>I131*200%</f>
        <v>35394</v>
      </c>
      <c r="AJ131" s="372"/>
      <c r="AK131" s="367"/>
      <c r="AL131" s="366">
        <f t="shared" si="177"/>
        <v>31</v>
      </c>
      <c r="AM131" s="367">
        <f t="shared" si="178"/>
        <v>117264.74625000001</v>
      </c>
      <c r="AN131" s="366" t="str">
        <f t="shared" si="179"/>
        <v>Педагог-зерттеуші</v>
      </c>
      <c r="AO131" s="367" t="str">
        <f t="shared" si="180"/>
        <v>0</v>
      </c>
      <c r="AP131" s="367">
        <f t="shared" si="181"/>
        <v>156352.99500000002</v>
      </c>
      <c r="AQ131" s="367" t="str">
        <f t="shared" si="182"/>
        <v>0</v>
      </c>
      <c r="AR131" s="367" t="str">
        <f t="shared" si="183"/>
        <v>0</v>
      </c>
      <c r="AS131" s="497"/>
      <c r="AT131" s="374"/>
      <c r="AU131" s="499"/>
      <c r="AV131" s="374"/>
      <c r="AW131" s="371">
        <f t="shared" si="186"/>
        <v>0</v>
      </c>
      <c r="AX131" s="367"/>
      <c r="AY131" s="367"/>
      <c r="AZ131" s="367">
        <f t="shared" si="184"/>
        <v>351639.39</v>
      </c>
      <c r="BA131" s="373">
        <f t="shared" si="85"/>
        <v>742521.87750000006</v>
      </c>
      <c r="BB131" s="374">
        <f t="shared" si="90"/>
        <v>74252.187750000012</v>
      </c>
      <c r="BC131" s="374">
        <f t="shared" si="91"/>
        <v>14850.437550000002</v>
      </c>
      <c r="BD131" s="374">
        <f t="shared" si="86"/>
        <v>59286.925220000005</v>
      </c>
      <c r="BE131" s="374">
        <f t="shared" si="92"/>
        <v>594132.32698000001</v>
      </c>
      <c r="BF131" s="374">
        <f t="shared" si="93"/>
        <v>8910262.5300000012</v>
      </c>
      <c r="BG131" s="374">
        <f t="shared" si="87"/>
        <v>781764.97500000009</v>
      </c>
      <c r="BH131" s="374">
        <f t="shared" si="94"/>
        <v>9692027.5050000008</v>
      </c>
      <c r="BI131" s="374">
        <f t="shared" si="88"/>
        <v>339220.96267500008</v>
      </c>
      <c r="BJ131" s="374">
        <f t="shared" si="89"/>
        <v>503766.90770400001</v>
      </c>
      <c r="BK131" s="374">
        <f t="shared" si="95"/>
        <v>436141.23772500013</v>
      </c>
      <c r="BL131" s="374">
        <f t="shared" si="96"/>
        <v>290760.82514999999</v>
      </c>
      <c r="BM131" s="373">
        <f t="shared" si="185"/>
        <v>11261917.438254001</v>
      </c>
      <c r="BN131" s="375"/>
      <c r="BO131" s="377"/>
      <c r="BP131" s="377"/>
      <c r="BQ131" s="377"/>
      <c r="BR131" s="377"/>
      <c r="BS131" s="377"/>
      <c r="BT131" s="377"/>
      <c r="BU131" s="377"/>
      <c r="BV131" s="377"/>
      <c r="BW131" s="377"/>
      <c r="BX131" s="377"/>
      <c r="BY131" s="377"/>
      <c r="BZ131" s="377"/>
      <c r="CA131" s="377"/>
      <c r="CB131" s="377"/>
      <c r="CC131" s="377"/>
      <c r="CD131" s="377"/>
      <c r="CE131" s="377"/>
      <c r="CF131" s="377"/>
      <c r="CG131" s="377"/>
      <c r="CH131" s="377"/>
      <c r="CI131" s="377"/>
    </row>
    <row r="132" spans="1:87" ht="45">
      <c r="A132" s="369">
        <f t="shared" si="187"/>
        <v>112</v>
      </c>
      <c r="B132" s="416">
        <f t="shared" si="187"/>
        <v>8</v>
      </c>
      <c r="C132" s="409" t="s">
        <v>1300</v>
      </c>
      <c r="D132" s="412" t="s">
        <v>1301</v>
      </c>
      <c r="E132" s="366" t="s">
        <v>998</v>
      </c>
      <c r="F132" s="1314" t="s">
        <v>254</v>
      </c>
      <c r="G132" s="366" t="s">
        <v>1302</v>
      </c>
      <c r="H132" s="371" t="s">
        <v>1445</v>
      </c>
      <c r="I132" s="366">
        <v>17697</v>
      </c>
      <c r="J132" s="367">
        <v>10.4</v>
      </c>
      <c r="K132" s="367">
        <f t="shared" si="168"/>
        <v>184048.80000000002</v>
      </c>
      <c r="L132" s="380"/>
      <c r="M132" s="380">
        <v>6</v>
      </c>
      <c r="N132" s="380"/>
      <c r="O132" s="380"/>
      <c r="P132" s="380"/>
      <c r="Q132" s="368">
        <f t="shared" si="169"/>
        <v>6</v>
      </c>
      <c r="R132" s="380"/>
      <c r="S132" s="380"/>
      <c r="T132" s="380"/>
      <c r="U132" s="380"/>
      <c r="V132" s="380"/>
      <c r="W132" s="381">
        <f t="shared" si="170"/>
        <v>0</v>
      </c>
      <c r="X132" s="370">
        <f t="shared" si="171"/>
        <v>6</v>
      </c>
      <c r="Y132" s="367">
        <f t="shared" si="172"/>
        <v>69018.3</v>
      </c>
      <c r="Z132" s="367"/>
      <c r="AA132" s="497"/>
      <c r="AB132" s="367">
        <f t="shared" si="174"/>
        <v>0</v>
      </c>
      <c r="AC132" s="497"/>
      <c r="AD132" s="367">
        <f t="shared" si="175"/>
        <v>0</v>
      </c>
      <c r="AE132" s="497"/>
      <c r="AF132" s="497"/>
      <c r="AG132" s="367"/>
      <c r="AH132" s="497"/>
      <c r="AI132" s="367"/>
      <c r="AJ132" s="372"/>
      <c r="AK132" s="367"/>
      <c r="AL132" s="366">
        <f t="shared" si="177"/>
        <v>6</v>
      </c>
      <c r="AM132" s="367">
        <f t="shared" si="178"/>
        <v>20705.490000000002</v>
      </c>
      <c r="AN132" s="366" t="str">
        <f t="shared" si="179"/>
        <v>Педагог-модератор</v>
      </c>
      <c r="AO132" s="367" t="str">
        <f t="shared" si="180"/>
        <v>0</v>
      </c>
      <c r="AP132" s="367" t="str">
        <f t="shared" si="181"/>
        <v>0</v>
      </c>
      <c r="AQ132" s="367" t="str">
        <f t="shared" si="182"/>
        <v>0</v>
      </c>
      <c r="AR132" s="367">
        <f t="shared" si="183"/>
        <v>20705.490000000002</v>
      </c>
      <c r="AS132" s="497"/>
      <c r="AT132" s="374"/>
      <c r="AU132" s="499"/>
      <c r="AV132" s="374"/>
      <c r="AW132" s="371" t="str">
        <f t="shared" si="186"/>
        <v>Магистр археология и этнология</v>
      </c>
      <c r="AX132" s="372">
        <f>10*4325</f>
        <v>43250</v>
      </c>
      <c r="AY132" s="367"/>
      <c r="AZ132" s="367">
        <f t="shared" si="184"/>
        <v>84660.98000000001</v>
      </c>
      <c r="BA132" s="373">
        <f t="shared" si="85"/>
        <v>153679.28000000003</v>
      </c>
      <c r="BB132" s="374">
        <f t="shared" si="90"/>
        <v>15367.928000000004</v>
      </c>
      <c r="BC132" s="374">
        <f t="shared" si="91"/>
        <v>3073.5856000000008</v>
      </c>
      <c r="BD132" s="374">
        <f t="shared" si="86"/>
        <v>7468.7766400000028</v>
      </c>
      <c r="BE132" s="374">
        <f t="shared" si="92"/>
        <v>127768.98976000003</v>
      </c>
      <c r="BF132" s="374">
        <f t="shared" si="93"/>
        <v>1844151.3600000003</v>
      </c>
      <c r="BG132" s="374">
        <f t="shared" si="87"/>
        <v>138036.6</v>
      </c>
      <c r="BH132" s="374">
        <f t="shared" si="94"/>
        <v>1982187.9600000004</v>
      </c>
      <c r="BI132" s="374">
        <f t="shared" si="88"/>
        <v>69376.578600000023</v>
      </c>
      <c r="BJ132" s="374">
        <f t="shared" si="89"/>
        <v>102981.01684800003</v>
      </c>
      <c r="BK132" s="374">
        <f t="shared" si="95"/>
        <v>89198.458200000023</v>
      </c>
      <c r="BL132" s="374">
        <f t="shared" si="96"/>
        <v>59465.638800000008</v>
      </c>
      <c r="BM132" s="373">
        <f t="shared" si="185"/>
        <v>2303209.6524480004</v>
      </c>
      <c r="BN132" s="375">
        <v>1</v>
      </c>
      <c r="BO132" s="377"/>
      <c r="BP132" s="377"/>
      <c r="BQ132" s="377"/>
      <c r="BR132" s="377"/>
      <c r="BS132" s="377"/>
      <c r="BT132" s="377"/>
      <c r="BU132" s="377"/>
      <c r="BV132" s="377"/>
      <c r="BW132" s="377"/>
      <c r="BX132" s="377"/>
      <c r="BY132" s="377"/>
      <c r="BZ132" s="377"/>
      <c r="CA132" s="377"/>
      <c r="CB132" s="377"/>
      <c r="CC132" s="377"/>
      <c r="CD132" s="377"/>
      <c r="CE132" s="377"/>
      <c r="CF132" s="377"/>
      <c r="CG132" s="377"/>
      <c r="CH132" s="377"/>
      <c r="CI132" s="377"/>
    </row>
    <row r="133" spans="1:87" ht="14.25">
      <c r="A133" s="489"/>
      <c r="B133" s="489"/>
      <c r="C133" s="490" t="s">
        <v>1162</v>
      </c>
      <c r="D133" s="490"/>
      <c r="E133" s="490"/>
      <c r="F133" s="490"/>
      <c r="G133" s="490"/>
      <c r="H133" s="491"/>
      <c r="I133" s="490"/>
      <c r="J133" s="490"/>
      <c r="K133" s="422">
        <f t="shared" ref="K133:AE133" si="188">SUM(K125:K132)</f>
        <v>1560875.4</v>
      </c>
      <c r="L133" s="407">
        <f t="shared" si="188"/>
        <v>30</v>
      </c>
      <c r="M133" s="407">
        <f t="shared" si="188"/>
        <v>30</v>
      </c>
      <c r="N133" s="407">
        <f t="shared" si="188"/>
        <v>36</v>
      </c>
      <c r="O133" s="407">
        <f t="shared" si="188"/>
        <v>36</v>
      </c>
      <c r="P133" s="407">
        <f t="shared" si="188"/>
        <v>36</v>
      </c>
      <c r="Q133" s="407">
        <f t="shared" si="188"/>
        <v>168</v>
      </c>
      <c r="R133" s="407">
        <f t="shared" si="188"/>
        <v>0</v>
      </c>
      <c r="S133" s="407">
        <f t="shared" si="188"/>
        <v>0</v>
      </c>
      <c r="T133" s="407">
        <f t="shared" si="188"/>
        <v>0</v>
      </c>
      <c r="U133" s="407">
        <f t="shared" si="188"/>
        <v>0</v>
      </c>
      <c r="V133" s="407">
        <f t="shared" si="188"/>
        <v>8</v>
      </c>
      <c r="W133" s="407">
        <f t="shared" si="188"/>
        <v>8</v>
      </c>
      <c r="X133" s="505">
        <f t="shared" si="188"/>
        <v>176</v>
      </c>
      <c r="Y133" s="422">
        <f t="shared" si="188"/>
        <v>2172771.2962499997</v>
      </c>
      <c r="Z133" s="422">
        <f t="shared" si="188"/>
        <v>210375.29962500001</v>
      </c>
      <c r="AA133" s="422">
        <f t="shared" si="188"/>
        <v>0</v>
      </c>
      <c r="AB133" s="422">
        <f t="shared" si="188"/>
        <v>0</v>
      </c>
      <c r="AC133" s="422">
        <f t="shared" si="188"/>
        <v>0</v>
      </c>
      <c r="AD133" s="422">
        <f t="shared" si="188"/>
        <v>0</v>
      </c>
      <c r="AE133" s="422">
        <f t="shared" si="188"/>
        <v>0</v>
      </c>
      <c r="AF133" s="505">
        <v>4</v>
      </c>
      <c r="AG133" s="422">
        <f>SUM(AG125:AG132)</f>
        <v>14157.6</v>
      </c>
      <c r="AH133" s="505">
        <v>4</v>
      </c>
      <c r="AI133" s="422">
        <f>SUM(AI125:AI132)</f>
        <v>141576</v>
      </c>
      <c r="AJ133" s="422">
        <f>SUM(AJ125:AJ132)</f>
        <v>0</v>
      </c>
      <c r="AK133" s="422">
        <f>SUM(AK125:AK132)</f>
        <v>0</v>
      </c>
      <c r="AL133" s="505">
        <f>SUM(AL125:AL132)</f>
        <v>176</v>
      </c>
      <c r="AM133" s="422">
        <f>SUM(AM125:AM132)</f>
        <v>651831.38887499995</v>
      </c>
      <c r="AN133" s="422"/>
      <c r="AO133" s="422">
        <f t="shared" ref="AO133:AV133" si="189">SUM(AO125:AO132)</f>
        <v>226964.02500000002</v>
      </c>
      <c r="AP133" s="422">
        <f t="shared" si="189"/>
        <v>418834.89899999998</v>
      </c>
      <c r="AQ133" s="422">
        <f t="shared" si="189"/>
        <v>38394.747562499993</v>
      </c>
      <c r="AR133" s="422">
        <f t="shared" si="189"/>
        <v>168617.01599999997</v>
      </c>
      <c r="AS133" s="422">
        <f t="shared" si="189"/>
        <v>0</v>
      </c>
      <c r="AT133" s="422">
        <f t="shared" si="189"/>
        <v>0</v>
      </c>
      <c r="AU133" s="422">
        <f t="shared" si="189"/>
        <v>0</v>
      </c>
      <c r="AV133" s="422">
        <f t="shared" si="189"/>
        <v>0</v>
      </c>
      <c r="AW133" s="506" t="s">
        <v>237</v>
      </c>
      <c r="AX133" s="422">
        <f t="shared" ref="AX133:BN133" si="190">SUM(AX125:AX132)</f>
        <v>129750</v>
      </c>
      <c r="AY133" s="422">
        <f t="shared" si="190"/>
        <v>0</v>
      </c>
      <c r="AZ133" s="422">
        <f t="shared" si="190"/>
        <v>2000500.9760624999</v>
      </c>
      <c r="BA133" s="1318">
        <f>SUM(BA125:BA132)</f>
        <v>4173272.2723124996</v>
      </c>
      <c r="BB133" s="1318">
        <f t="shared" ref="BB133:BM133" si="191">SUM(BB125:BB132)</f>
        <v>417327.22723125009</v>
      </c>
      <c r="BC133" s="1318">
        <f t="shared" si="191"/>
        <v>83465.44544625</v>
      </c>
      <c r="BD133" s="1318">
        <f t="shared" si="191"/>
        <v>318807.95996349998</v>
      </c>
      <c r="BE133" s="1318">
        <f t="shared" si="191"/>
        <v>3353671.6396714998</v>
      </c>
      <c r="BF133" s="1318">
        <f t="shared" si="191"/>
        <v>50079267.267749995</v>
      </c>
      <c r="BG133" s="1318">
        <f t="shared" si="191"/>
        <v>4345542.5924999993</v>
      </c>
      <c r="BH133" s="1318">
        <f t="shared" si="191"/>
        <v>54424809.860250004</v>
      </c>
      <c r="BI133" s="1318">
        <f t="shared" si="191"/>
        <v>1904868.3451087503</v>
      </c>
      <c r="BJ133" s="1318">
        <f t="shared" si="191"/>
        <v>2828765.3444644501</v>
      </c>
      <c r="BK133" s="1318">
        <f t="shared" si="191"/>
        <v>2449116.4437112501</v>
      </c>
      <c r="BL133" s="1318">
        <f t="shared" si="191"/>
        <v>1632744.2958074997</v>
      </c>
      <c r="BM133" s="1318">
        <f t="shared" si="191"/>
        <v>63240304.289341956</v>
      </c>
      <c r="BN133" s="422">
        <f t="shared" si="190"/>
        <v>1</v>
      </c>
      <c r="BO133" s="355"/>
      <c r="BP133" s="355"/>
      <c r="BQ133" s="355"/>
      <c r="BR133" s="355"/>
      <c r="BS133" s="355"/>
      <c r="BT133" s="355"/>
      <c r="BU133" s="355"/>
      <c r="BV133" s="355"/>
      <c r="BW133" s="355"/>
      <c r="BX133" s="355"/>
      <c r="BY133" s="355"/>
      <c r="BZ133" s="355"/>
      <c r="CA133" s="355"/>
      <c r="CB133" s="355"/>
      <c r="CC133" s="355"/>
      <c r="CD133" s="355"/>
      <c r="CE133" s="355"/>
      <c r="CF133" s="355"/>
      <c r="CG133" s="355"/>
      <c r="CH133" s="355"/>
      <c r="CI133" s="356"/>
    </row>
    <row r="134" spans="1:87" ht="94.5">
      <c r="A134" s="369">
        <f>A132+1</f>
        <v>113</v>
      </c>
      <c r="B134" s="416">
        <f>1</f>
        <v>1</v>
      </c>
      <c r="C134" s="409" t="s">
        <v>1293</v>
      </c>
      <c r="D134" s="502" t="s">
        <v>1303</v>
      </c>
      <c r="E134" s="366" t="s">
        <v>998</v>
      </c>
      <c r="F134" s="508" t="s">
        <v>1011</v>
      </c>
      <c r="G134" s="366" t="s">
        <v>270</v>
      </c>
      <c r="H134" s="371" t="s">
        <v>121</v>
      </c>
      <c r="I134" s="366">
        <v>17697</v>
      </c>
      <c r="J134" s="367">
        <v>11.18</v>
      </c>
      <c r="K134" s="367">
        <f>I134*J134</f>
        <v>197852.46</v>
      </c>
      <c r="L134" s="380">
        <v>5</v>
      </c>
      <c r="M134" s="380">
        <v>5</v>
      </c>
      <c r="N134" s="380">
        <v>5</v>
      </c>
      <c r="O134" s="380">
        <v>5</v>
      </c>
      <c r="P134" s="380">
        <v>5</v>
      </c>
      <c r="Q134" s="368">
        <f>SUM(L134:P134)</f>
        <v>25</v>
      </c>
      <c r="R134" s="380"/>
      <c r="S134" s="380"/>
      <c r="T134" s="380"/>
      <c r="U134" s="380"/>
      <c r="V134" s="380">
        <v>4</v>
      </c>
      <c r="W134" s="381">
        <f>SUM(R134:V134)</f>
        <v>4</v>
      </c>
      <c r="X134" s="370">
        <f>Q134+W134</f>
        <v>29</v>
      </c>
      <c r="Y134" s="367">
        <f>K134/16*X134</f>
        <v>358607.58374999999</v>
      </c>
      <c r="Z134" s="367">
        <f>Y134*10%</f>
        <v>35860.758374999998</v>
      </c>
      <c r="AA134" s="372"/>
      <c r="AB134" s="367">
        <f>I134/16*AA134*40%</f>
        <v>0</v>
      </c>
      <c r="AC134" s="372"/>
      <c r="AD134" s="367">
        <f>I134/16*AC134*40%*50%</f>
        <v>0</v>
      </c>
      <c r="AE134" s="366">
        <v>196600</v>
      </c>
      <c r="AF134" s="366" t="s">
        <v>1304</v>
      </c>
      <c r="AG134" s="367">
        <f>17697*20%</f>
        <v>3539.4</v>
      </c>
      <c r="AH134" s="372" t="s">
        <v>1305</v>
      </c>
      <c r="AI134" s="367">
        <f>I134*200%</f>
        <v>35394</v>
      </c>
      <c r="AJ134" s="372"/>
      <c r="AK134" s="367"/>
      <c r="AL134" s="366">
        <f>X134</f>
        <v>29</v>
      </c>
      <c r="AM134" s="367">
        <f>K134/16*AL134*30%</f>
        <v>107582.275125</v>
      </c>
      <c r="AN134" s="366" t="str">
        <f>F134</f>
        <v>Педагог-сарапшы</v>
      </c>
      <c r="AO134" s="367" t="str">
        <f>IF(AN134="Педагог-зерттеуші", "0", IF(AN134="Педагог-шебер",K134/16*X134*50%, IF(AN134="Педагог-сарапшы", "0", IF(AN134="Педагог-модератор", "0", "0"))))</f>
        <v>0</v>
      </c>
      <c r="AP134" s="367" t="str">
        <f>IF(AN134="Педагог-шебер", "0", IF(AN134="Педагог-зерттеуші",K134/16*X134*40%, IF(AN134="Педагог-сарапшы", "0", IF(AN134="Педагог-модератор", "0", "0"))))</f>
        <v>0</v>
      </c>
      <c r="AQ134" s="367">
        <f>IF(AN134="Педагог-шебер", "0", IF(AN134="Педагог-сарапшы",K134/16*X134*35%, IF(AN134="Педагог-зерттеуші", "0", IF(AN134="Педагог-модератор", "0", "0"))))</f>
        <v>125512.65431249999</v>
      </c>
      <c r="AR134" s="367" t="str">
        <f>IF(AN134="Педагог-шебер", "0", IF(AN134="Педагог-модератор",K134/16*X134*30%, IF(AN134="Педагог-зерттеуші", "0", IF(AN134="Педагог-сарапшы", "0", "0"))))</f>
        <v>0</v>
      </c>
      <c r="AS134" s="366"/>
      <c r="AT134" s="367"/>
      <c r="AU134" s="372"/>
      <c r="AV134" s="367"/>
      <c r="AW134" s="371" t="str">
        <f>G134</f>
        <v>Магистр-естественных наук</v>
      </c>
      <c r="AX134" s="372">
        <f>10*4325</f>
        <v>43250</v>
      </c>
      <c r="AY134" s="367"/>
      <c r="AZ134" s="367">
        <f>Z134+AB134+AD134+AE134+AG134+AI134+AK134+AM134+AO134+AP134+AQ134++AR134+AT134+AV134+AX134+AY134</f>
        <v>547739.08781249996</v>
      </c>
      <c r="BA134" s="373">
        <f t="shared" si="85"/>
        <v>906346.67156249995</v>
      </c>
      <c r="BB134" s="374">
        <f t="shared" si="90"/>
        <v>90634.667156249998</v>
      </c>
      <c r="BC134" s="374">
        <f t="shared" si="91"/>
        <v>18126.93343125</v>
      </c>
      <c r="BD134" s="374">
        <f t="shared" si="86"/>
        <v>73703.507097499998</v>
      </c>
      <c r="BE134" s="374">
        <f t="shared" si="92"/>
        <v>723881.5638774999</v>
      </c>
      <c r="BF134" s="374">
        <f t="shared" si="93"/>
        <v>10876160.05875</v>
      </c>
      <c r="BG134" s="374">
        <f t="shared" si="87"/>
        <v>717215.16749999998</v>
      </c>
      <c r="BH134" s="374">
        <f t="shared" si="94"/>
        <v>11593375.22625</v>
      </c>
      <c r="BI134" s="374">
        <f t="shared" si="88"/>
        <v>405768.13291875005</v>
      </c>
      <c r="BJ134" s="374">
        <f t="shared" si="89"/>
        <v>602114.71008824999</v>
      </c>
      <c r="BK134" s="374">
        <f t="shared" si="95"/>
        <v>521701.88518125005</v>
      </c>
      <c r="BL134" s="374">
        <f t="shared" si="96"/>
        <v>347801.25678749999</v>
      </c>
      <c r="BM134" s="373">
        <f>BH134+BJ134+BK134+BL134+BI134</f>
        <v>13470761.21122575</v>
      </c>
      <c r="BN134" s="375"/>
      <c r="BO134" s="377"/>
      <c r="BP134" s="377"/>
      <c r="BQ134" s="377"/>
      <c r="BR134" s="377"/>
      <c r="BS134" s="377"/>
      <c r="BT134" s="377"/>
      <c r="BU134" s="377"/>
      <c r="BV134" s="377"/>
      <c r="BW134" s="377"/>
      <c r="BX134" s="377"/>
      <c r="BY134" s="377"/>
      <c r="BZ134" s="377"/>
      <c r="CA134" s="377"/>
      <c r="CB134" s="377"/>
      <c r="CC134" s="377"/>
      <c r="CD134" s="377"/>
      <c r="CE134" s="377"/>
      <c r="CF134" s="377"/>
      <c r="CG134" s="377"/>
      <c r="CH134" s="377"/>
      <c r="CI134" s="377"/>
    </row>
    <row r="135" spans="1:87" ht="47.25">
      <c r="A135" s="369">
        <f>A134+1</f>
        <v>114</v>
      </c>
      <c r="B135" s="416">
        <f>B134+1</f>
        <v>2</v>
      </c>
      <c r="C135" s="409" t="s">
        <v>1306</v>
      </c>
      <c r="D135" s="502" t="s">
        <v>1307</v>
      </c>
      <c r="E135" s="366" t="s">
        <v>998</v>
      </c>
      <c r="F135" s="508" t="s">
        <v>1005</v>
      </c>
      <c r="G135" s="366"/>
      <c r="H135" s="371" t="s">
        <v>1308</v>
      </c>
      <c r="I135" s="366">
        <v>17697</v>
      </c>
      <c r="J135" s="367">
        <v>11.4</v>
      </c>
      <c r="K135" s="367">
        <f>I135*J135</f>
        <v>201745.80000000002</v>
      </c>
      <c r="L135" s="380">
        <v>5</v>
      </c>
      <c r="M135" s="380">
        <v>5</v>
      </c>
      <c r="N135" s="380">
        <v>4</v>
      </c>
      <c r="O135" s="380">
        <v>4</v>
      </c>
      <c r="P135" s="380">
        <v>4</v>
      </c>
      <c r="Q135" s="368">
        <f>SUM(L135:P135)</f>
        <v>22</v>
      </c>
      <c r="R135" s="380"/>
      <c r="S135" s="380"/>
      <c r="T135" s="380"/>
      <c r="U135" s="380"/>
      <c r="V135" s="380"/>
      <c r="W135" s="381">
        <f>SUM(R135:V135)</f>
        <v>0</v>
      </c>
      <c r="X135" s="370">
        <f>Q135+W135</f>
        <v>22</v>
      </c>
      <c r="Y135" s="367">
        <f>K135/16*X135</f>
        <v>277400.47500000003</v>
      </c>
      <c r="Z135" s="367">
        <f>Y135*10%</f>
        <v>27740.047500000004</v>
      </c>
      <c r="AA135" s="372"/>
      <c r="AB135" s="367">
        <f>I135/16*AA135*40%</f>
        <v>0</v>
      </c>
      <c r="AC135" s="372"/>
      <c r="AD135" s="367">
        <f>I135/16*AC135*40%*50%</f>
        <v>0</v>
      </c>
      <c r="AE135" s="366"/>
      <c r="AF135" s="366" t="s">
        <v>1309</v>
      </c>
      <c r="AG135" s="367">
        <f>17697*20%</f>
        <v>3539.4</v>
      </c>
      <c r="AH135" s="372" t="s">
        <v>1310</v>
      </c>
      <c r="AI135" s="367">
        <f>I135*200%</f>
        <v>35394</v>
      </c>
      <c r="AJ135" s="372"/>
      <c r="AK135" s="367"/>
      <c r="AL135" s="366">
        <f>X135</f>
        <v>22</v>
      </c>
      <c r="AM135" s="367">
        <f>K135/16*AL135*30%</f>
        <v>83220.142500000002</v>
      </c>
      <c r="AN135" s="366" t="str">
        <f>F135</f>
        <v>Педагог-зерттеуші</v>
      </c>
      <c r="AO135" s="367" t="str">
        <f>IF(AN135="Педагог-зерттеуші", "0", IF(AN135="Педагог-шебер",K135/16*X135*50%, IF(AN135="Педагог-сарапшы", "0", IF(AN135="Педагог-модератор", "0", "0"))))</f>
        <v>0</v>
      </c>
      <c r="AP135" s="367">
        <f>IF(AN135="Педагог-шебер", "0", IF(AN135="Педагог-зерттеуші",K135/16*X135*40%, IF(AN135="Педагог-сарапшы", "0", IF(AN135="Педагог-модератор", "0", "0"))))</f>
        <v>110960.19000000002</v>
      </c>
      <c r="AQ135" s="367" t="str">
        <f>IF(AN135="Педагог-шебер", "0", IF(AN135="Педагог-сарапшы",K135/16*X135*35%, IF(AN135="Педагог-зерттеуші", "0", IF(AN135="Педагог-модератор", "0", "0"))))</f>
        <v>0</v>
      </c>
      <c r="AR135" s="367" t="str">
        <f>IF(AN135="Педагог-шебер", "0", IF(AN135="Педагог-модератор",K135/16*X135*30%, IF(AN135="Педагог-зерттеуші", "0", IF(AN135="Педагог-сарапшы", "0", "0"))))</f>
        <v>0</v>
      </c>
      <c r="AS135" s="366"/>
      <c r="AT135" s="367"/>
      <c r="AU135" s="372"/>
      <c r="AV135" s="367"/>
      <c r="AW135" s="371"/>
      <c r="AX135" s="367"/>
      <c r="AY135" s="367"/>
      <c r="AZ135" s="367">
        <f>Z135+AB135+AD135+AE135+AG135+AI135+AK135+AM135+AO135+AP135+AQ135++AR135+AT135+AV135+AX135+AY135</f>
        <v>260853.78000000003</v>
      </c>
      <c r="BA135" s="373">
        <f t="shared" si="85"/>
        <v>538254.25500000012</v>
      </c>
      <c r="BB135" s="374">
        <f t="shared" si="90"/>
        <v>53825.425500000012</v>
      </c>
      <c r="BC135" s="374">
        <f t="shared" si="91"/>
        <v>10765.085100000002</v>
      </c>
      <c r="BD135" s="374">
        <f t="shared" si="86"/>
        <v>41311.374440000014</v>
      </c>
      <c r="BE135" s="374">
        <f t="shared" si="92"/>
        <v>432352.36996000004</v>
      </c>
      <c r="BF135" s="374">
        <f t="shared" si="93"/>
        <v>6459051.0600000015</v>
      </c>
      <c r="BG135" s="374">
        <f t="shared" si="87"/>
        <v>554800.95000000007</v>
      </c>
      <c r="BH135" s="374">
        <f t="shared" si="94"/>
        <v>7013852.0100000016</v>
      </c>
      <c r="BI135" s="374">
        <f t="shared" si="88"/>
        <v>245484.82035000008</v>
      </c>
      <c r="BJ135" s="374">
        <f t="shared" si="89"/>
        <v>364538.09620800003</v>
      </c>
      <c r="BK135" s="374">
        <f t="shared" si="95"/>
        <v>315623.34045000008</v>
      </c>
      <c r="BL135" s="374">
        <f t="shared" si="96"/>
        <v>210415.56030000004</v>
      </c>
      <c r="BM135" s="373">
        <f>BH135+BJ135+BK135+BL135+BI135</f>
        <v>8149913.827308001</v>
      </c>
      <c r="BN135" s="375"/>
      <c r="BO135" s="377"/>
      <c r="BP135" s="377"/>
      <c r="BQ135" s="377"/>
      <c r="BR135" s="377"/>
      <c r="BS135" s="377"/>
      <c r="BT135" s="377"/>
      <c r="BU135" s="377"/>
      <c r="BV135" s="377"/>
      <c r="BW135" s="377"/>
      <c r="BX135" s="377"/>
      <c r="BY135" s="377"/>
      <c r="BZ135" s="377"/>
      <c r="CA135" s="377"/>
      <c r="CB135" s="377"/>
      <c r="CC135" s="377"/>
      <c r="CD135" s="377"/>
      <c r="CE135" s="377"/>
      <c r="CF135" s="377"/>
      <c r="CG135" s="377"/>
      <c r="CH135" s="377"/>
      <c r="CI135" s="377"/>
    </row>
    <row r="136" spans="1:87" ht="47.25">
      <c r="A136" s="457">
        <f>A135+1</f>
        <v>115</v>
      </c>
      <c r="B136" s="1321">
        <f>B135+1</f>
        <v>3</v>
      </c>
      <c r="C136" s="697" t="s">
        <v>113</v>
      </c>
      <c r="D136" s="510" t="s">
        <v>1311</v>
      </c>
      <c r="E136" s="366" t="s">
        <v>998</v>
      </c>
      <c r="F136" s="698" t="s">
        <v>999</v>
      </c>
      <c r="G136" s="698" t="s">
        <v>1158</v>
      </c>
      <c r="H136" s="699" t="s">
        <v>273</v>
      </c>
      <c r="I136" s="698">
        <v>17697</v>
      </c>
      <c r="J136" s="700">
        <v>11.4</v>
      </c>
      <c r="K136" s="460">
        <f>I136*J136</f>
        <v>201745.80000000002</v>
      </c>
      <c r="L136" s="456"/>
      <c r="M136" s="456"/>
      <c r="N136" s="456"/>
      <c r="O136" s="456"/>
      <c r="P136" s="456"/>
      <c r="Q136" s="486">
        <f>SUM(L136:P136)</f>
        <v>0</v>
      </c>
      <c r="R136" s="456"/>
      <c r="S136" s="456"/>
      <c r="T136" s="456"/>
      <c r="U136" s="456"/>
      <c r="V136" s="456">
        <v>4</v>
      </c>
      <c r="W136" s="487">
        <f>SUM(R136:V136)</f>
        <v>4</v>
      </c>
      <c r="X136" s="370">
        <f>Q136+W136</f>
        <v>4</v>
      </c>
      <c r="Y136" s="460">
        <f>K136/16*X136</f>
        <v>50436.450000000004</v>
      </c>
      <c r="Z136" s="460">
        <f>Y136*10%</f>
        <v>5043.6450000000004</v>
      </c>
      <c r="AA136" s="462"/>
      <c r="AB136" s="460">
        <f>I136/16*AA136*40%</f>
        <v>0</v>
      </c>
      <c r="AC136" s="462"/>
      <c r="AD136" s="460">
        <f>I136/16*AC136*40%*50%</f>
        <v>0</v>
      </c>
      <c r="AE136" s="458"/>
      <c r="AF136" s="458"/>
      <c r="AG136" s="460"/>
      <c r="AH136" s="462"/>
      <c r="AI136" s="460"/>
      <c r="AJ136" s="462"/>
      <c r="AK136" s="460"/>
      <c r="AL136" s="458">
        <f>X136</f>
        <v>4</v>
      </c>
      <c r="AM136" s="460">
        <f>K136/16*AL136*30%</f>
        <v>15130.935000000001</v>
      </c>
      <c r="AN136" s="458" t="str">
        <f>F136</f>
        <v>Педагог-шебер</v>
      </c>
      <c r="AO136" s="460"/>
      <c r="AP136" s="460" t="str">
        <f>IF(AN136="Педагог-шебер", "0", IF(AN136="Педагог-зерттеуші",K136/16*X136*40%, IF(AN136="Педагог-сарапшы", "0", IF(AN136="Педагог-модератор", "0", "0"))))</f>
        <v>0</v>
      </c>
      <c r="AQ136" s="460" t="str">
        <f>IF(AN136="Педагог-шебер", "0", IF(AN136="Педагог-сарапшы",K136/16*X136*35%, IF(AN136="Педагог-зерттеуші", "0", IF(AN136="Педагог-модератор", "0", "0"))))</f>
        <v>0</v>
      </c>
      <c r="AR136" s="460" t="str">
        <f>IF(AN136="Педагог-шебер", "0", IF(AN136="Педагог-модератор",K136/16*X136*30%, IF(AN136="Педагог-зерттеуші", "0", IF(AN136="Педагог-сарапшы", "0", "0"))))</f>
        <v>0</v>
      </c>
      <c r="AS136" s="458"/>
      <c r="AT136" s="460"/>
      <c r="AU136" s="462"/>
      <c r="AV136" s="460"/>
      <c r="AW136" s="461" t="str">
        <f>G136</f>
        <v>Магистр</v>
      </c>
      <c r="AX136" s="462"/>
      <c r="AY136" s="460"/>
      <c r="AZ136" s="460">
        <f>Z136+AB136+AD136+AE136+AG136+AI136+AK136+AM136+AO136+AP136+AQ136++AR136+AT136+AV136+AX136+AY136</f>
        <v>20174.580000000002</v>
      </c>
      <c r="BA136" s="373">
        <f t="shared" si="85"/>
        <v>70611.03</v>
      </c>
      <c r="BB136" s="374">
        <f t="shared" si="90"/>
        <v>7061.1030000000001</v>
      </c>
      <c r="BC136" s="374">
        <f t="shared" si="91"/>
        <v>1412.2206000000001</v>
      </c>
      <c r="BD136" s="374">
        <f t="shared" si="86"/>
        <v>158.77063999999956</v>
      </c>
      <c r="BE136" s="374">
        <f t="shared" si="92"/>
        <v>61978.935759999993</v>
      </c>
      <c r="BF136" s="374">
        <f t="shared" si="93"/>
        <v>847332.36</v>
      </c>
      <c r="BG136" s="374">
        <f t="shared" si="87"/>
        <v>100872.90000000001</v>
      </c>
      <c r="BH136" s="374">
        <f t="shared" si="94"/>
        <v>948205.26</v>
      </c>
      <c r="BI136" s="374">
        <f t="shared" si="88"/>
        <v>33187.184100000006</v>
      </c>
      <c r="BJ136" s="374">
        <f t="shared" si="89"/>
        <v>49338.952848000001</v>
      </c>
      <c r="BK136" s="374">
        <f t="shared" si="95"/>
        <v>42669.236700000009</v>
      </c>
      <c r="BL136" s="374">
        <f t="shared" si="96"/>
        <v>28446.157800000001</v>
      </c>
      <c r="BM136" s="463">
        <f>BH136+BJ136+BK136+BL136+BI136</f>
        <v>1101846.7914479999</v>
      </c>
      <c r="BN136" s="465"/>
      <c r="BO136" s="377"/>
      <c r="BP136" s="377"/>
      <c r="BQ136" s="377"/>
      <c r="BR136" s="377"/>
      <c r="BS136" s="377"/>
      <c r="BT136" s="377"/>
      <c r="BU136" s="377"/>
      <c r="BV136" s="377"/>
      <c r="BW136" s="377"/>
      <c r="BX136" s="377"/>
      <c r="BY136" s="377"/>
      <c r="BZ136" s="377"/>
      <c r="CA136" s="377"/>
      <c r="CB136" s="377"/>
      <c r="CC136" s="377"/>
      <c r="CD136" s="377"/>
      <c r="CE136" s="377"/>
      <c r="CF136" s="377"/>
      <c r="CG136" s="377"/>
      <c r="CH136" s="377"/>
      <c r="CI136" s="377"/>
    </row>
    <row r="137" spans="1:87" ht="14.25">
      <c r="A137" s="489"/>
      <c r="B137" s="489"/>
      <c r="C137" s="490" t="s">
        <v>1162</v>
      </c>
      <c r="D137" s="490"/>
      <c r="E137" s="490"/>
      <c r="F137" s="490"/>
      <c r="G137" s="490"/>
      <c r="H137" s="491"/>
      <c r="I137" s="490"/>
      <c r="J137" s="490"/>
      <c r="K137" s="422">
        <f>SUM(K134:K136)</f>
        <v>601344.06000000006</v>
      </c>
      <c r="L137" s="422">
        <f t="shared" ref="L137:BN137" si="192">SUM(L134:L136)</f>
        <v>10</v>
      </c>
      <c r="M137" s="422">
        <f t="shared" si="192"/>
        <v>10</v>
      </c>
      <c r="N137" s="422">
        <f t="shared" si="192"/>
        <v>9</v>
      </c>
      <c r="O137" s="422">
        <f t="shared" si="192"/>
        <v>9</v>
      </c>
      <c r="P137" s="422">
        <f t="shared" si="192"/>
        <v>9</v>
      </c>
      <c r="Q137" s="422">
        <f t="shared" si="192"/>
        <v>47</v>
      </c>
      <c r="R137" s="422">
        <f t="shared" si="192"/>
        <v>0</v>
      </c>
      <c r="S137" s="422">
        <f t="shared" si="192"/>
        <v>0</v>
      </c>
      <c r="T137" s="422">
        <f t="shared" si="192"/>
        <v>0</v>
      </c>
      <c r="U137" s="422">
        <f t="shared" si="192"/>
        <v>0</v>
      </c>
      <c r="V137" s="422">
        <f t="shared" si="192"/>
        <v>8</v>
      </c>
      <c r="W137" s="422">
        <f t="shared" si="192"/>
        <v>8</v>
      </c>
      <c r="X137" s="422">
        <f t="shared" si="192"/>
        <v>55</v>
      </c>
      <c r="Y137" s="422">
        <f t="shared" si="192"/>
        <v>686444.50875000004</v>
      </c>
      <c r="Z137" s="422">
        <f t="shared" si="192"/>
        <v>68644.45087500001</v>
      </c>
      <c r="AA137" s="422">
        <f t="shared" si="192"/>
        <v>0</v>
      </c>
      <c r="AB137" s="422">
        <f t="shared" si="192"/>
        <v>0</v>
      </c>
      <c r="AC137" s="422">
        <f t="shared" si="192"/>
        <v>0</v>
      </c>
      <c r="AD137" s="422">
        <f t="shared" si="192"/>
        <v>0</v>
      </c>
      <c r="AE137" s="422">
        <f t="shared" si="192"/>
        <v>196600</v>
      </c>
      <c r="AF137" s="422">
        <v>2</v>
      </c>
      <c r="AG137" s="422">
        <f t="shared" si="192"/>
        <v>7078.8</v>
      </c>
      <c r="AH137" s="422">
        <v>2</v>
      </c>
      <c r="AI137" s="422">
        <f t="shared" si="192"/>
        <v>70788</v>
      </c>
      <c r="AJ137" s="422">
        <f t="shared" si="192"/>
        <v>0</v>
      </c>
      <c r="AK137" s="422">
        <f t="shared" si="192"/>
        <v>0</v>
      </c>
      <c r="AL137" s="422">
        <f t="shared" si="192"/>
        <v>55</v>
      </c>
      <c r="AM137" s="422">
        <f t="shared" si="192"/>
        <v>205933.352625</v>
      </c>
      <c r="AN137" s="422">
        <f t="shared" si="192"/>
        <v>0</v>
      </c>
      <c r="AO137" s="422">
        <f t="shared" si="192"/>
        <v>0</v>
      </c>
      <c r="AP137" s="422">
        <f t="shared" si="192"/>
        <v>110960.19000000002</v>
      </c>
      <c r="AQ137" s="422">
        <f t="shared" si="192"/>
        <v>125512.65431249999</v>
      </c>
      <c r="AR137" s="422">
        <f t="shared" si="192"/>
        <v>0</v>
      </c>
      <c r="AS137" s="422">
        <f t="shared" si="192"/>
        <v>0</v>
      </c>
      <c r="AT137" s="422">
        <f t="shared" si="192"/>
        <v>0</v>
      </c>
      <c r="AU137" s="422">
        <f t="shared" si="192"/>
        <v>0</v>
      </c>
      <c r="AV137" s="422">
        <f t="shared" si="192"/>
        <v>0</v>
      </c>
      <c r="AW137" s="422">
        <v>2</v>
      </c>
      <c r="AX137" s="422">
        <f t="shared" si="192"/>
        <v>43250</v>
      </c>
      <c r="AY137" s="422">
        <f t="shared" si="192"/>
        <v>0</v>
      </c>
      <c r="AZ137" s="422">
        <f t="shared" si="192"/>
        <v>828767.44781249994</v>
      </c>
      <c r="BA137" s="1318">
        <f>SUM(BA134:BA136)</f>
        <v>1515211.9565625002</v>
      </c>
      <c r="BB137" s="1318">
        <f t="shared" ref="BB137:BM137" si="193">SUM(BB134:BB136)</f>
        <v>151521.19565625</v>
      </c>
      <c r="BC137" s="1318">
        <f t="shared" si="193"/>
        <v>30304.239131250004</v>
      </c>
      <c r="BD137" s="1318">
        <f t="shared" si="193"/>
        <v>115173.65217750001</v>
      </c>
      <c r="BE137" s="1318">
        <f t="shared" si="193"/>
        <v>1218212.8695975</v>
      </c>
      <c r="BF137" s="1318">
        <f t="shared" si="193"/>
        <v>18182543.478750002</v>
      </c>
      <c r="BG137" s="1318">
        <f t="shared" si="193"/>
        <v>1372889.0175000001</v>
      </c>
      <c r="BH137" s="1318">
        <f t="shared" si="193"/>
        <v>19555432.496250004</v>
      </c>
      <c r="BI137" s="1318">
        <f t="shared" si="193"/>
        <v>684440.13736875006</v>
      </c>
      <c r="BJ137" s="1318">
        <f t="shared" si="193"/>
        <v>1015991.7591442501</v>
      </c>
      <c r="BK137" s="1318">
        <f t="shared" si="193"/>
        <v>879994.46233125008</v>
      </c>
      <c r="BL137" s="1318">
        <f t="shared" si="193"/>
        <v>586662.97488750005</v>
      </c>
      <c r="BM137" s="1318">
        <f t="shared" si="193"/>
        <v>22722521.829981752</v>
      </c>
      <c r="BN137" s="422">
        <f t="shared" si="192"/>
        <v>0</v>
      </c>
      <c r="BO137" s="511"/>
      <c r="BP137" s="355"/>
      <c r="BQ137" s="355"/>
      <c r="BR137" s="355"/>
      <c r="BS137" s="355"/>
      <c r="BT137" s="355"/>
      <c r="BU137" s="355"/>
      <c r="BV137" s="355"/>
      <c r="BW137" s="355"/>
      <c r="BX137" s="355"/>
      <c r="BY137" s="355"/>
      <c r="BZ137" s="355"/>
      <c r="CA137" s="355"/>
      <c r="CB137" s="355"/>
      <c r="CC137" s="355"/>
      <c r="CD137" s="355"/>
      <c r="CE137" s="355"/>
      <c r="CF137" s="355"/>
      <c r="CG137" s="355"/>
      <c r="CH137" s="355"/>
      <c r="CI137" s="356"/>
    </row>
    <row r="138" spans="1:87" ht="31.5">
      <c r="A138" s="369">
        <f>A136+1</f>
        <v>116</v>
      </c>
      <c r="B138" s="416">
        <v>1</v>
      </c>
      <c r="C138" s="512" t="s">
        <v>188</v>
      </c>
      <c r="D138" s="412" t="s">
        <v>1312</v>
      </c>
      <c r="E138" s="366" t="s">
        <v>998</v>
      </c>
      <c r="F138" s="508" t="s">
        <v>1005</v>
      </c>
      <c r="G138" s="366"/>
      <c r="H138" s="371" t="s">
        <v>1313</v>
      </c>
      <c r="I138" s="366">
        <v>17697</v>
      </c>
      <c r="J138" s="367">
        <v>11.4</v>
      </c>
      <c r="K138" s="367">
        <f>I138*J138</f>
        <v>201745.80000000002</v>
      </c>
      <c r="L138" s="380"/>
      <c r="M138" s="380"/>
      <c r="N138" s="380"/>
      <c r="O138" s="380">
        <v>5</v>
      </c>
      <c r="P138" s="380">
        <v>5</v>
      </c>
      <c r="Q138" s="368">
        <f>SUM(L138:P138)</f>
        <v>10</v>
      </c>
      <c r="R138" s="380"/>
      <c r="S138" s="380"/>
      <c r="T138" s="380"/>
      <c r="U138" s="380"/>
      <c r="V138" s="380"/>
      <c r="W138" s="381">
        <f>SUM(R138:V138)</f>
        <v>0</v>
      </c>
      <c r="X138" s="370">
        <f>Q138+W138</f>
        <v>10</v>
      </c>
      <c r="Y138" s="367">
        <f>K138/16*X138</f>
        <v>126091.12500000001</v>
      </c>
      <c r="Z138" s="367"/>
      <c r="AA138" s="366">
        <v>10</v>
      </c>
      <c r="AB138" s="367">
        <f>I138/16*AA138*40%</f>
        <v>4424.25</v>
      </c>
      <c r="AC138" s="366"/>
      <c r="AD138" s="367">
        <f>I138/16*AC138*40%*50%</f>
        <v>0</v>
      </c>
      <c r="AE138" s="366"/>
      <c r="AF138" s="366"/>
      <c r="AG138" s="367"/>
      <c r="AH138" s="372"/>
      <c r="AI138" s="367"/>
      <c r="AJ138" s="372"/>
      <c r="AK138" s="367"/>
      <c r="AL138" s="366">
        <f>X138</f>
        <v>10</v>
      </c>
      <c r="AM138" s="367">
        <f>K138/16*AL138*30%</f>
        <v>37827.337500000001</v>
      </c>
      <c r="AN138" s="366" t="str">
        <f>F138</f>
        <v>Педагог-зерттеуші</v>
      </c>
      <c r="AO138" s="367" t="str">
        <f>IF(AN138="Педагог-зерттеуші", "0", IF(AN138="Педагог-шебер",K138/16*X138*50%, IF(AN138="Педагог-сарапшы", "0", IF(AN138="Педагог-модератор", "0", "0"))))</f>
        <v>0</v>
      </c>
      <c r="AP138" s="367">
        <f>IF(AN138="Педагог-шебер", "0", IF(AN138="Педагог-зерттеуші",K138/16*X138*40%, IF(AN138="Педагог-сарапшы", "0", IF(AN138="Педагог-модератор", "0", "0"))))</f>
        <v>50436.450000000012</v>
      </c>
      <c r="AQ138" s="367" t="str">
        <f>IF(AN138="Педагог-шебер", "0", IF(AN138="Педагог-сарапшы",K138/16*X138*35%, IF(AN138="Педагог-зерттеуші", "0", IF(AN138="Педагог-модератор", "0", "0"))))</f>
        <v>0</v>
      </c>
      <c r="AR138" s="367" t="str">
        <f>IF(AN138="Педагог-шебер", "0", IF(AN138="Педагог-модератор",K138/16*X138*30%, IF(AN138="Педагог-зерттеуші", "0", IF(AN138="Педагог-сарапшы", "0", "0"))))</f>
        <v>0</v>
      </c>
      <c r="AS138" s="366"/>
      <c r="AT138" s="367"/>
      <c r="AU138" s="366"/>
      <c r="AV138" s="367"/>
      <c r="AW138" s="371"/>
      <c r="AX138" s="367"/>
      <c r="AY138" s="367"/>
      <c r="AZ138" s="367">
        <f>Z138+AB138+AD138+AE138+AG138+AI138+AK138+AM138+AO138+AP138+AQ138++AR138+AT138+AV138+AX138+AY138</f>
        <v>92688.037500000006</v>
      </c>
      <c r="BA138" s="373">
        <f t="shared" si="85"/>
        <v>218779.16250000003</v>
      </c>
      <c r="BB138" s="374">
        <f t="shared" si="90"/>
        <v>21877.916250000006</v>
      </c>
      <c r="BC138" s="374">
        <f t="shared" si="91"/>
        <v>4375.5832500000006</v>
      </c>
      <c r="BD138" s="374">
        <f t="shared" si="86"/>
        <v>13197.566300000004</v>
      </c>
      <c r="BE138" s="374">
        <f t="shared" si="92"/>
        <v>179328.09670000002</v>
      </c>
      <c r="BF138" s="374">
        <f t="shared" si="93"/>
        <v>2625349.9500000002</v>
      </c>
      <c r="BG138" s="374">
        <f t="shared" si="87"/>
        <v>252182.25000000003</v>
      </c>
      <c r="BH138" s="374">
        <f t="shared" si="94"/>
        <v>2877532.2</v>
      </c>
      <c r="BI138" s="374">
        <f t="shared" si="88"/>
        <v>100713.62700000002</v>
      </c>
      <c r="BJ138" s="374">
        <f t="shared" si="89"/>
        <v>149610.96891000005</v>
      </c>
      <c r="BK138" s="374">
        <f t="shared" si="95"/>
        <v>129488.94900000002</v>
      </c>
      <c r="BL138" s="374">
        <f t="shared" si="96"/>
        <v>86325.966</v>
      </c>
      <c r="BM138" s="373">
        <f>BH138+BJ138+BK138+BL138+BI138</f>
        <v>3343671.7109100004</v>
      </c>
      <c r="BN138" s="375">
        <v>1</v>
      </c>
      <c r="BO138" s="377"/>
      <c r="BP138" s="377"/>
      <c r="BQ138" s="377"/>
      <c r="BR138" s="377"/>
      <c r="BS138" s="377"/>
      <c r="BT138" s="377"/>
      <c r="BU138" s="377"/>
      <c r="BV138" s="377"/>
      <c r="BW138" s="377"/>
      <c r="BX138" s="377"/>
      <c r="BY138" s="377"/>
      <c r="BZ138" s="377"/>
      <c r="CA138" s="377"/>
      <c r="CB138" s="377"/>
      <c r="CC138" s="377"/>
      <c r="CD138" s="377"/>
      <c r="CE138" s="377"/>
      <c r="CF138" s="377"/>
      <c r="CG138" s="377"/>
      <c r="CH138" s="377"/>
      <c r="CI138" s="377"/>
    </row>
    <row r="139" spans="1:87" ht="30">
      <c r="A139" s="369">
        <f t="shared" ref="A139:B141" si="194">A138+1</f>
        <v>117</v>
      </c>
      <c r="B139" s="416">
        <f t="shared" si="194"/>
        <v>2</v>
      </c>
      <c r="C139" s="409" t="s">
        <v>1306</v>
      </c>
      <c r="D139" s="414" t="s">
        <v>1314</v>
      </c>
      <c r="E139" s="366" t="s">
        <v>998</v>
      </c>
      <c r="F139" s="508" t="s">
        <v>1005</v>
      </c>
      <c r="G139" s="366"/>
      <c r="H139" s="371" t="s">
        <v>1308</v>
      </c>
      <c r="I139" s="366">
        <v>17697</v>
      </c>
      <c r="J139" s="367">
        <v>11.4</v>
      </c>
      <c r="K139" s="367">
        <f>I139*J139</f>
        <v>201745.80000000002</v>
      </c>
      <c r="L139" s="380">
        <v>5</v>
      </c>
      <c r="M139" s="380">
        <v>5</v>
      </c>
      <c r="N139" s="380"/>
      <c r="O139" s="380"/>
      <c r="P139" s="380"/>
      <c r="Q139" s="368">
        <f>SUM(L139:P139)</f>
        <v>10</v>
      </c>
      <c r="R139" s="380"/>
      <c r="S139" s="380"/>
      <c r="T139" s="380"/>
      <c r="U139" s="380"/>
      <c r="V139" s="380"/>
      <c r="W139" s="381">
        <f>SUM(R139:V139)</f>
        <v>0</v>
      </c>
      <c r="X139" s="370">
        <f>Q139+W139</f>
        <v>10</v>
      </c>
      <c r="Y139" s="367">
        <f>K139/16*X139</f>
        <v>126091.12500000001</v>
      </c>
      <c r="Z139" s="367">
        <f>Y139*10%</f>
        <v>12609.112500000003</v>
      </c>
      <c r="AA139" s="366">
        <v>10</v>
      </c>
      <c r="AB139" s="367">
        <f>I139/16*AA139*40%</f>
        <v>4424.25</v>
      </c>
      <c r="AC139" s="366"/>
      <c r="AD139" s="367">
        <f>I139/16*AC139*40%*50%</f>
        <v>0</v>
      </c>
      <c r="AE139" s="366"/>
      <c r="AF139" s="366"/>
      <c r="AG139" s="367"/>
      <c r="AH139" s="372"/>
      <c r="AI139" s="367"/>
      <c r="AJ139" s="372"/>
      <c r="AK139" s="367"/>
      <c r="AL139" s="366">
        <f>X139</f>
        <v>10</v>
      </c>
      <c r="AM139" s="367">
        <f>K139/16*AL139*30%</f>
        <v>37827.337500000001</v>
      </c>
      <c r="AN139" s="366" t="str">
        <f>F139</f>
        <v>Педагог-зерттеуші</v>
      </c>
      <c r="AO139" s="367" t="str">
        <f>IF(AN139="Педагог-зерттеуші", "0", IF(AN139="Педагог-шебер",K139/16*X139*50%, IF(AN139="Педагог-сарапшы", "0", IF(AN139="Педагог-модератор", "0", "0"))))</f>
        <v>0</v>
      </c>
      <c r="AP139" s="367">
        <f>IF(AN139="Педагог-шебер", "0", IF(AN139="Педагог-зерттеуші",K139/16*X139*40%, IF(AN139="Педагог-сарапшы", "0", IF(AN139="Педагог-модератор", "0", "0"))))</f>
        <v>50436.450000000012</v>
      </c>
      <c r="AQ139" s="367" t="str">
        <f>IF(AN139="Педагог-шебер", "0", IF(AN139="Педагог-сарапшы",K139/16*X139*35%, IF(AN139="Педагог-зерттеуші", "0", IF(AN139="Педагог-модератор", "0", "0"))))</f>
        <v>0</v>
      </c>
      <c r="AR139" s="367" t="str">
        <f>IF(AN139="Педагог-шебер", "0", IF(AN139="Педагог-модератор",K139/16*X139*30%, IF(AN139="Педагог-зерттеуші", "0", IF(AN139="Педагог-сарапшы", "0", "0"))))</f>
        <v>0</v>
      </c>
      <c r="AS139" s="366"/>
      <c r="AT139" s="367"/>
      <c r="AU139" s="366"/>
      <c r="AV139" s="367"/>
      <c r="AW139" s="371"/>
      <c r="AX139" s="367"/>
      <c r="AY139" s="367"/>
      <c r="AZ139" s="367">
        <f>Z139+AB139+AD139+AE139+AG139+AI139+AK139+AM139+AO139+AP139+AQ139++AR139+AT139+AV139+AX139+AY139</f>
        <v>105297.15000000002</v>
      </c>
      <c r="BA139" s="373">
        <f t="shared" si="85"/>
        <v>231388.27500000002</v>
      </c>
      <c r="BB139" s="374">
        <f t="shared" si="90"/>
        <v>23138.827500000003</v>
      </c>
      <c r="BC139" s="374">
        <f t="shared" si="91"/>
        <v>4627.7655000000004</v>
      </c>
      <c r="BD139" s="374">
        <f t="shared" si="86"/>
        <v>14307.1682</v>
      </c>
      <c r="BE139" s="374">
        <f t="shared" si="92"/>
        <v>189314.51380000002</v>
      </c>
      <c r="BF139" s="374">
        <f t="shared" si="93"/>
        <v>2776659.3000000003</v>
      </c>
      <c r="BG139" s="374">
        <f t="shared" si="87"/>
        <v>252182.25000000003</v>
      </c>
      <c r="BH139" s="374">
        <f t="shared" si="94"/>
        <v>3028841.5500000003</v>
      </c>
      <c r="BI139" s="374">
        <f t="shared" si="88"/>
        <v>106009.45425000002</v>
      </c>
      <c r="BJ139" s="374">
        <f t="shared" si="89"/>
        <v>157448.79324</v>
      </c>
      <c r="BK139" s="374">
        <f t="shared" si="95"/>
        <v>136297.86975000004</v>
      </c>
      <c r="BL139" s="374">
        <f t="shared" si="96"/>
        <v>90865.246500000008</v>
      </c>
      <c r="BM139" s="373">
        <f>BH139+BJ139+BK139+BL139+BI139</f>
        <v>3519462.9137400002</v>
      </c>
      <c r="BN139" s="375"/>
      <c r="BO139" s="377"/>
      <c r="BP139" s="377"/>
      <c r="BQ139" s="377"/>
      <c r="BR139" s="377"/>
      <c r="BS139" s="377"/>
      <c r="BT139" s="377"/>
      <c r="BU139" s="377"/>
      <c r="BV139" s="377"/>
      <c r="BW139" s="377"/>
      <c r="BX139" s="377"/>
      <c r="BY139" s="377"/>
      <c r="BZ139" s="377"/>
      <c r="CA139" s="377"/>
      <c r="CB139" s="377"/>
      <c r="CC139" s="377"/>
      <c r="CD139" s="377"/>
      <c r="CE139" s="377"/>
      <c r="CF139" s="377"/>
      <c r="CG139" s="377"/>
      <c r="CH139" s="377"/>
      <c r="CI139" s="377"/>
    </row>
    <row r="140" spans="1:87" ht="110.25">
      <c r="A140" s="369">
        <f t="shared" si="194"/>
        <v>118</v>
      </c>
      <c r="B140" s="416">
        <f t="shared" si="194"/>
        <v>3</v>
      </c>
      <c r="C140" s="513" t="s">
        <v>917</v>
      </c>
      <c r="D140" s="514" t="s">
        <v>1315</v>
      </c>
      <c r="E140" s="392" t="s">
        <v>998</v>
      </c>
      <c r="F140" s="508" t="s">
        <v>1005</v>
      </c>
      <c r="G140" s="366" t="s">
        <v>1316</v>
      </c>
      <c r="H140" s="371" t="s">
        <v>1446</v>
      </c>
      <c r="I140" s="366">
        <v>17697</v>
      </c>
      <c r="J140" s="367">
        <v>10.4</v>
      </c>
      <c r="K140" s="367">
        <f>I140*J140</f>
        <v>184048.80000000002</v>
      </c>
      <c r="L140" s="380"/>
      <c r="M140" s="380"/>
      <c r="N140" s="380">
        <v>4</v>
      </c>
      <c r="O140" s="380">
        <v>4</v>
      </c>
      <c r="P140" s="380">
        <v>4</v>
      </c>
      <c r="Q140" s="368">
        <f>SUM(L140:P140)</f>
        <v>12</v>
      </c>
      <c r="R140" s="380"/>
      <c r="S140" s="380">
        <v>9</v>
      </c>
      <c r="T140" s="380"/>
      <c r="U140" s="380"/>
      <c r="V140" s="380">
        <v>15</v>
      </c>
      <c r="W140" s="381">
        <f>SUM(R140:V140)</f>
        <v>24</v>
      </c>
      <c r="X140" s="370">
        <f>Q140+W140</f>
        <v>36</v>
      </c>
      <c r="Y140" s="367">
        <f>K140/16*X140</f>
        <v>414109.80000000005</v>
      </c>
      <c r="Z140" s="367">
        <f>Y140*10%</f>
        <v>41410.98000000001</v>
      </c>
      <c r="AA140" s="366">
        <v>12</v>
      </c>
      <c r="AB140" s="367">
        <f>I140/16*AA140*40%</f>
        <v>5309.1</v>
      </c>
      <c r="AC140" s="366"/>
      <c r="AD140" s="367">
        <f>I140/16*AC140*40%*50%</f>
        <v>0</v>
      </c>
      <c r="AE140" s="366"/>
      <c r="AF140" s="366" t="s">
        <v>1317</v>
      </c>
      <c r="AG140" s="367">
        <f>17697*20%</f>
        <v>3539.4</v>
      </c>
      <c r="AH140" s="366"/>
      <c r="AI140" s="367"/>
      <c r="AJ140" s="372"/>
      <c r="AK140" s="367"/>
      <c r="AL140" s="366">
        <f>X140</f>
        <v>36</v>
      </c>
      <c r="AM140" s="367">
        <f>K140/16*AL140*30%</f>
        <v>124232.94</v>
      </c>
      <c r="AN140" s="366" t="str">
        <f>F140</f>
        <v>Педагог-зерттеуші</v>
      </c>
      <c r="AO140" s="367" t="str">
        <f>IF(AN140="Педагог-зерттеуші", "0", IF(AN140="Педагог-шебер",K140/16*X140*50%, IF(AN140="Педагог-сарапшы", "0", IF(AN140="Педагог-модератор", "0", "0"))))</f>
        <v>0</v>
      </c>
      <c r="AP140" s="367">
        <f>IF(AN140="Педагог-шебер", "0", IF(AN140="Педагог-зерттеуші",K140/16*X140*40%, IF(AN140="Педагог-сарапшы", "0", IF(AN140="Педагог-модератор", "0", "0"))))</f>
        <v>165643.92000000004</v>
      </c>
      <c r="AQ140" s="367" t="str">
        <f>IF(AN140="Педагог-шебер", "0", IF(AN140="Педагог-сарапшы",K140/16*X140*35%, IF(AN140="Педагог-зерттеуші", "0", IF(AN140="Педагог-модератор", "0", "0"))))</f>
        <v>0</v>
      </c>
      <c r="AR140" s="367" t="str">
        <f>IF(AN140="Педагог-шебер", "0", IF(AN140="Педагог-модератор",K140/16*X140*30%, IF(AN140="Педагог-зерттеуші", "0", IF(AN140="Педагог-сарапшы", "0", "0"))))</f>
        <v>0</v>
      </c>
      <c r="AS140" s="366"/>
      <c r="AT140" s="367"/>
      <c r="AU140" s="366"/>
      <c r="AV140" s="367"/>
      <c r="AW140" s="371" t="str">
        <f>G140</f>
        <v>Магистр-биотехнология</v>
      </c>
      <c r="AX140" s="372">
        <f>10*4325</f>
        <v>43250</v>
      </c>
      <c r="AY140" s="367"/>
      <c r="AZ140" s="367">
        <f>Z140+AB140+AD140+AE140+AG140+AI140+AK140+AM140+AO140+AP140+AQ140++AR140+AT140+AV140+AX140+AY140</f>
        <v>383386.34000000008</v>
      </c>
      <c r="BA140" s="373">
        <f t="shared" si="85"/>
        <v>797496.14000000013</v>
      </c>
      <c r="BB140" s="374">
        <f t="shared" si="90"/>
        <v>79749.614000000016</v>
      </c>
      <c r="BC140" s="374">
        <f t="shared" si="91"/>
        <v>15949.922800000002</v>
      </c>
      <c r="BD140" s="374">
        <f t="shared" si="86"/>
        <v>64124.660320000003</v>
      </c>
      <c r="BE140" s="374">
        <f t="shared" si="92"/>
        <v>637671.94287999999</v>
      </c>
      <c r="BF140" s="374">
        <f t="shared" si="93"/>
        <v>9569953.6800000016</v>
      </c>
      <c r="BG140" s="374">
        <f t="shared" si="87"/>
        <v>828219.60000000009</v>
      </c>
      <c r="BH140" s="374">
        <f t="shared" si="94"/>
        <v>10398173.280000001</v>
      </c>
      <c r="BI140" s="374">
        <f t="shared" si="88"/>
        <v>363936.06480000005</v>
      </c>
      <c r="BJ140" s="374">
        <f t="shared" si="89"/>
        <v>540447.45902399998</v>
      </c>
      <c r="BK140" s="374">
        <f t="shared" si="95"/>
        <v>467917.79760000011</v>
      </c>
      <c r="BL140" s="374">
        <f t="shared" si="96"/>
        <v>311945.19840000005</v>
      </c>
      <c r="BM140" s="373">
        <f>BH140+BJ140+BK140+BL140+BI140</f>
        <v>12082419.799824001</v>
      </c>
      <c r="BN140" s="375"/>
      <c r="BO140" s="377"/>
      <c r="BP140" s="377"/>
      <c r="BQ140" s="377"/>
      <c r="BR140" s="377"/>
      <c r="BS140" s="377"/>
      <c r="BT140" s="377"/>
      <c r="BU140" s="377"/>
      <c r="BV140" s="377"/>
      <c r="BW140" s="377"/>
      <c r="BX140" s="377"/>
      <c r="BY140" s="377"/>
      <c r="BZ140" s="377"/>
      <c r="CA140" s="377"/>
      <c r="CB140" s="377"/>
      <c r="CC140" s="377"/>
      <c r="CD140" s="377"/>
      <c r="CE140" s="377"/>
      <c r="CF140" s="377"/>
      <c r="CG140" s="377"/>
      <c r="CH140" s="377"/>
      <c r="CI140" s="377"/>
    </row>
    <row r="141" spans="1:87" ht="31.5">
      <c r="A141" s="457">
        <f t="shared" si="194"/>
        <v>119</v>
      </c>
      <c r="B141" s="1321">
        <f t="shared" si="194"/>
        <v>4</v>
      </c>
      <c r="C141" s="701" t="s">
        <v>113</v>
      </c>
      <c r="D141" s="515" t="s">
        <v>1318</v>
      </c>
      <c r="E141" s="458" t="s">
        <v>998</v>
      </c>
      <c r="F141" s="698" t="s">
        <v>999</v>
      </c>
      <c r="G141" s="698" t="s">
        <v>1158</v>
      </c>
      <c r="H141" s="699" t="s">
        <v>273</v>
      </c>
      <c r="I141" s="698">
        <v>17697</v>
      </c>
      <c r="J141" s="700">
        <v>11.4</v>
      </c>
      <c r="K141" s="460">
        <f>I141*J141</f>
        <v>201745.80000000002</v>
      </c>
      <c r="L141" s="456">
        <v>5</v>
      </c>
      <c r="M141" s="456">
        <v>5</v>
      </c>
      <c r="N141" s="456">
        <v>5</v>
      </c>
      <c r="O141" s="456"/>
      <c r="P141" s="456"/>
      <c r="Q141" s="486">
        <f>SUM(L141:P141)</f>
        <v>15</v>
      </c>
      <c r="R141" s="456"/>
      <c r="S141" s="456"/>
      <c r="T141" s="456"/>
      <c r="U141" s="456"/>
      <c r="V141" s="456"/>
      <c r="W141" s="487">
        <f>SUM(R141:V141)</f>
        <v>0</v>
      </c>
      <c r="X141" s="370">
        <f>Q141+W141</f>
        <v>15</v>
      </c>
      <c r="Y141" s="460">
        <f>K141/16*X141</f>
        <v>189136.68750000003</v>
      </c>
      <c r="Z141" s="460">
        <f>Y141*10%</f>
        <v>18913.668750000004</v>
      </c>
      <c r="AA141" s="458">
        <v>15</v>
      </c>
      <c r="AB141" s="460">
        <f>I141/16*AA141*40%</f>
        <v>6636.375</v>
      </c>
      <c r="AC141" s="458"/>
      <c r="AD141" s="460">
        <f>I141/16*AC141*40%*50%</f>
        <v>0</v>
      </c>
      <c r="AE141" s="458"/>
      <c r="AF141" s="458"/>
      <c r="AG141" s="460"/>
      <c r="AH141" s="458"/>
      <c r="AI141" s="460"/>
      <c r="AJ141" s="462"/>
      <c r="AK141" s="460"/>
      <c r="AL141" s="458">
        <f>X141</f>
        <v>15</v>
      </c>
      <c r="AM141" s="460">
        <f>K141/16*AL141*30%</f>
        <v>56741.006250000006</v>
      </c>
      <c r="AN141" s="458" t="str">
        <f>F141</f>
        <v>Педагог-шебер</v>
      </c>
      <c r="AO141" s="460"/>
      <c r="AP141" s="460" t="str">
        <f>IF(AN141="Педагог-шебер", "0", IF(AN141="Педагог-зерттеуші",K141/16*X141*40%, IF(AN141="Педагог-сарапшы", "0", IF(AN141="Педагог-модератор", "0", "0"))))</f>
        <v>0</v>
      </c>
      <c r="AQ141" s="460" t="str">
        <f>IF(AN141="Педагог-шебер", "0", IF(AN141="Педагог-сарапшы",K141/16*X141*35%, IF(AN141="Педагог-зерттеуші", "0", IF(AN141="Педагог-модератор", "0", "0"))))</f>
        <v>0</v>
      </c>
      <c r="AR141" s="460" t="str">
        <f>IF(AN141="Педагог-шебер", "0", IF(AN141="Педагог-модератор",K141/16*X141*30%, IF(AN141="Педагог-зерттеуші", "0", IF(AN141="Педагог-сарапшы", "0", "0"))))</f>
        <v>0</v>
      </c>
      <c r="AS141" s="458"/>
      <c r="AT141" s="460"/>
      <c r="AU141" s="458"/>
      <c r="AV141" s="460"/>
      <c r="AW141" s="461" t="str">
        <f>G141</f>
        <v>Магистр</v>
      </c>
      <c r="AX141" s="462"/>
      <c r="AY141" s="460"/>
      <c r="AZ141" s="460">
        <f>Z141+AB141+AD141+AE141+AG141+AI141+AK141+AM141+AO141+AP141+AQ141++AR141+AT141+AV141+AX141+AY141</f>
        <v>82291.050000000017</v>
      </c>
      <c r="BA141" s="373">
        <f t="shared" si="85"/>
        <v>271427.73750000005</v>
      </c>
      <c r="BB141" s="374">
        <f t="shared" si="90"/>
        <v>27142.773750000008</v>
      </c>
      <c r="BC141" s="374">
        <f t="shared" si="91"/>
        <v>5428.5547500000011</v>
      </c>
      <c r="BD141" s="374">
        <f t="shared" si="86"/>
        <v>17830.640900000006</v>
      </c>
      <c r="BE141" s="374">
        <f t="shared" si="92"/>
        <v>221025.76810000004</v>
      </c>
      <c r="BF141" s="374">
        <f t="shared" si="93"/>
        <v>3257132.8500000006</v>
      </c>
      <c r="BG141" s="374">
        <f t="shared" si="87"/>
        <v>378273.37500000006</v>
      </c>
      <c r="BH141" s="374">
        <f t="shared" si="94"/>
        <v>3635406.2250000006</v>
      </c>
      <c r="BI141" s="374">
        <f t="shared" si="88"/>
        <v>127239.21787500003</v>
      </c>
      <c r="BJ141" s="374">
        <f t="shared" si="89"/>
        <v>189146.24388000002</v>
      </c>
      <c r="BK141" s="374">
        <f t="shared" si="95"/>
        <v>163593.28012500005</v>
      </c>
      <c r="BL141" s="374">
        <f t="shared" si="96"/>
        <v>109062.18675000001</v>
      </c>
      <c r="BM141" s="463">
        <f>BH141+BJ141+BK141+BL141+BI141</f>
        <v>4224447.1536300005</v>
      </c>
      <c r="BN141" s="465"/>
      <c r="BO141" s="377"/>
      <c r="BP141" s="377"/>
      <c r="BQ141" s="377"/>
      <c r="BR141" s="377"/>
      <c r="BS141" s="377"/>
      <c r="BT141" s="377"/>
      <c r="BU141" s="377"/>
      <c r="BV141" s="377"/>
      <c r="BW141" s="377"/>
      <c r="BX141" s="377"/>
      <c r="BY141" s="377"/>
      <c r="BZ141" s="377"/>
      <c r="CA141" s="377"/>
      <c r="CB141" s="377"/>
      <c r="CC141" s="377"/>
      <c r="CD141" s="377"/>
      <c r="CE141" s="377"/>
      <c r="CF141" s="377"/>
      <c r="CG141" s="377"/>
      <c r="CH141" s="377"/>
      <c r="CI141" s="377"/>
    </row>
    <row r="142" spans="1:87" ht="14.25">
      <c r="A142" s="489"/>
      <c r="B142" s="489"/>
      <c r="C142" s="516" t="s">
        <v>1162</v>
      </c>
      <c r="D142" s="517" t="s">
        <v>549</v>
      </c>
      <c r="E142" s="490"/>
      <c r="F142" s="490"/>
      <c r="G142" s="490"/>
      <c r="H142" s="491"/>
      <c r="I142" s="490"/>
      <c r="J142" s="490"/>
      <c r="K142" s="422">
        <f>SUM(K138:K141)</f>
        <v>789286.20000000007</v>
      </c>
      <c r="L142" s="422">
        <f t="shared" ref="L142:BN142" si="195">SUM(L138:L141)</f>
        <v>10</v>
      </c>
      <c r="M142" s="422">
        <f t="shared" si="195"/>
        <v>10</v>
      </c>
      <c r="N142" s="422">
        <f t="shared" si="195"/>
        <v>9</v>
      </c>
      <c r="O142" s="422">
        <f t="shared" si="195"/>
        <v>9</v>
      </c>
      <c r="P142" s="422">
        <f t="shared" si="195"/>
        <v>9</v>
      </c>
      <c r="Q142" s="422">
        <f t="shared" si="195"/>
        <v>47</v>
      </c>
      <c r="R142" s="422">
        <f t="shared" si="195"/>
        <v>0</v>
      </c>
      <c r="S142" s="422">
        <f t="shared" si="195"/>
        <v>9</v>
      </c>
      <c r="T142" s="422">
        <f t="shared" si="195"/>
        <v>0</v>
      </c>
      <c r="U142" s="422">
        <f t="shared" si="195"/>
        <v>0</v>
      </c>
      <c r="V142" s="422">
        <f t="shared" si="195"/>
        <v>15</v>
      </c>
      <c r="W142" s="422">
        <f t="shared" si="195"/>
        <v>24</v>
      </c>
      <c r="X142" s="422">
        <f t="shared" si="195"/>
        <v>71</v>
      </c>
      <c r="Y142" s="422">
        <f t="shared" si="195"/>
        <v>855428.73750000005</v>
      </c>
      <c r="Z142" s="422">
        <f t="shared" si="195"/>
        <v>72933.76125000001</v>
      </c>
      <c r="AA142" s="422">
        <f t="shared" si="195"/>
        <v>47</v>
      </c>
      <c r="AB142" s="422">
        <f t="shared" si="195"/>
        <v>20793.974999999999</v>
      </c>
      <c r="AC142" s="422">
        <f t="shared" si="195"/>
        <v>0</v>
      </c>
      <c r="AD142" s="422">
        <f t="shared" si="195"/>
        <v>0</v>
      </c>
      <c r="AE142" s="422">
        <f t="shared" si="195"/>
        <v>0</v>
      </c>
      <c r="AF142" s="422">
        <v>1</v>
      </c>
      <c r="AG142" s="422">
        <f t="shared" si="195"/>
        <v>3539.4</v>
      </c>
      <c r="AH142" s="422">
        <f t="shared" si="195"/>
        <v>0</v>
      </c>
      <c r="AI142" s="422">
        <f t="shared" si="195"/>
        <v>0</v>
      </c>
      <c r="AJ142" s="422">
        <f t="shared" si="195"/>
        <v>0</v>
      </c>
      <c r="AK142" s="422">
        <f t="shared" si="195"/>
        <v>0</v>
      </c>
      <c r="AL142" s="422">
        <f t="shared" si="195"/>
        <v>71</v>
      </c>
      <c r="AM142" s="422">
        <f t="shared" si="195"/>
        <v>256628.62125</v>
      </c>
      <c r="AN142" s="422">
        <f t="shared" si="195"/>
        <v>0</v>
      </c>
      <c r="AO142" s="422">
        <f t="shared" si="195"/>
        <v>0</v>
      </c>
      <c r="AP142" s="422">
        <f t="shared" si="195"/>
        <v>266516.82000000007</v>
      </c>
      <c r="AQ142" s="422">
        <f t="shared" si="195"/>
        <v>0</v>
      </c>
      <c r="AR142" s="422">
        <f t="shared" si="195"/>
        <v>0</v>
      </c>
      <c r="AS142" s="422">
        <f t="shared" si="195"/>
        <v>0</v>
      </c>
      <c r="AT142" s="422">
        <f t="shared" si="195"/>
        <v>0</v>
      </c>
      <c r="AU142" s="422">
        <f t="shared" si="195"/>
        <v>0</v>
      </c>
      <c r="AV142" s="422">
        <f t="shared" si="195"/>
        <v>0</v>
      </c>
      <c r="AW142" s="422">
        <v>2</v>
      </c>
      <c r="AX142" s="422">
        <f t="shared" si="195"/>
        <v>43250</v>
      </c>
      <c r="AY142" s="422">
        <f t="shared" si="195"/>
        <v>0</v>
      </c>
      <c r="AZ142" s="422">
        <f t="shared" si="195"/>
        <v>663662.57750000013</v>
      </c>
      <c r="BA142" s="1318">
        <f>SUM(BA138:BA141)</f>
        <v>1519091.3150000002</v>
      </c>
      <c r="BB142" s="1318">
        <f t="shared" ref="BB142:BM142" si="196">SUM(BB138:BB141)</f>
        <v>151909.13150000002</v>
      </c>
      <c r="BC142" s="1318">
        <f t="shared" si="196"/>
        <v>30381.826300000008</v>
      </c>
      <c r="BD142" s="1318">
        <f t="shared" si="196"/>
        <v>109460.03572000001</v>
      </c>
      <c r="BE142" s="1318">
        <f t="shared" si="196"/>
        <v>1227340.3214800002</v>
      </c>
      <c r="BF142" s="1318">
        <f t="shared" si="196"/>
        <v>18229095.780000001</v>
      </c>
      <c r="BG142" s="1318">
        <f t="shared" si="196"/>
        <v>1710857.4750000001</v>
      </c>
      <c r="BH142" s="1318">
        <f t="shared" si="196"/>
        <v>19939953.255000003</v>
      </c>
      <c r="BI142" s="1318">
        <f t="shared" si="196"/>
        <v>697898.36392500019</v>
      </c>
      <c r="BJ142" s="1318">
        <f t="shared" si="196"/>
        <v>1036653.465054</v>
      </c>
      <c r="BK142" s="1318">
        <f t="shared" si="196"/>
        <v>897297.89647500031</v>
      </c>
      <c r="BL142" s="1318">
        <f t="shared" si="196"/>
        <v>598198.59765000013</v>
      </c>
      <c r="BM142" s="1318">
        <f t="shared" si="196"/>
        <v>23170001.578104001</v>
      </c>
      <c r="BN142" s="422">
        <f t="shared" si="195"/>
        <v>1</v>
      </c>
      <c r="BO142" s="355"/>
      <c r="BP142" s="355"/>
      <c r="BQ142" s="355"/>
      <c r="BR142" s="355"/>
      <c r="BS142" s="355"/>
      <c r="BT142" s="355"/>
      <c r="BU142" s="355"/>
      <c r="BV142" s="355"/>
      <c r="BW142" s="355"/>
      <c r="BX142" s="355"/>
      <c r="BY142" s="355"/>
      <c r="BZ142" s="355"/>
      <c r="CA142" s="355"/>
      <c r="CB142" s="355"/>
      <c r="CC142" s="355"/>
      <c r="CD142" s="355"/>
      <c r="CE142" s="355"/>
      <c r="CF142" s="355"/>
      <c r="CG142" s="355"/>
      <c r="CH142" s="355"/>
      <c r="CI142" s="356"/>
    </row>
    <row r="143" spans="1:87" ht="47.25">
      <c r="A143" s="369">
        <f>A141+1</f>
        <v>120</v>
      </c>
      <c r="B143" s="428">
        <v>1</v>
      </c>
      <c r="C143" s="415" t="s">
        <v>1319</v>
      </c>
      <c r="D143" s="382" t="s">
        <v>1320</v>
      </c>
      <c r="E143" s="392" t="s">
        <v>998</v>
      </c>
      <c r="F143" s="508" t="s">
        <v>1005</v>
      </c>
      <c r="G143" s="366" t="s">
        <v>1321</v>
      </c>
      <c r="H143" s="371" t="s">
        <v>1447</v>
      </c>
      <c r="I143" s="366">
        <v>17697</v>
      </c>
      <c r="J143" s="367">
        <v>10.4</v>
      </c>
      <c r="K143" s="367">
        <f>I143*J143</f>
        <v>184048.80000000002</v>
      </c>
      <c r="L143" s="380"/>
      <c r="M143" s="380">
        <v>8</v>
      </c>
      <c r="N143" s="380">
        <v>8</v>
      </c>
      <c r="O143" s="380">
        <v>4</v>
      </c>
      <c r="P143" s="380">
        <v>4</v>
      </c>
      <c r="Q143" s="368">
        <f>SUM(L143:P143)</f>
        <v>24</v>
      </c>
      <c r="R143" s="380"/>
      <c r="S143" s="380"/>
      <c r="T143" s="380"/>
      <c r="U143" s="380"/>
      <c r="V143" s="380"/>
      <c r="W143" s="381">
        <f>SUM(R143:V143)</f>
        <v>0</v>
      </c>
      <c r="X143" s="370">
        <f>Q143+W143</f>
        <v>24</v>
      </c>
      <c r="Y143" s="367">
        <f>K143/16*X143</f>
        <v>276073.2</v>
      </c>
      <c r="Z143" s="367">
        <f>Y143*10%</f>
        <v>27607.320000000003</v>
      </c>
      <c r="AA143" s="366">
        <v>24</v>
      </c>
      <c r="AB143" s="367">
        <f>I143/16*AA143*40%</f>
        <v>10618.2</v>
      </c>
      <c r="AC143" s="372"/>
      <c r="AD143" s="367">
        <f>I143/16*AC143*40%*50%</f>
        <v>0</v>
      </c>
      <c r="AE143" s="367"/>
      <c r="AF143" s="366" t="s">
        <v>1322</v>
      </c>
      <c r="AG143" s="367">
        <f>17697*20%</f>
        <v>3539.4</v>
      </c>
      <c r="AH143" s="372"/>
      <c r="AI143" s="367"/>
      <c r="AJ143" s="372"/>
      <c r="AK143" s="367"/>
      <c r="AL143" s="366">
        <f>X143</f>
        <v>24</v>
      </c>
      <c r="AM143" s="367">
        <f>K143/16*AL143*30%</f>
        <v>82821.960000000006</v>
      </c>
      <c r="AN143" s="366" t="str">
        <f>F143</f>
        <v>Педагог-зерттеуші</v>
      </c>
      <c r="AO143" s="367" t="str">
        <f>IF(AN143="Педагог-зерттеуші", "0", IF(AN143="Педагог-шебер",K143/16*X143*50%, IF(AN143="Педагог-сарапшы", "0", IF(AN143="Педагог-модератор", "0", "0"))))</f>
        <v>0</v>
      </c>
      <c r="AP143" s="367">
        <f>IF(AN143="Педагог-шебер", "0", IF(AN143="Педагог-зерттеуші",K143/16*X143*40%, IF(AN143="Педагог-сарапшы", "0", IF(AN143="Педагог-модератор", "0", "0"))))</f>
        <v>110429.28000000001</v>
      </c>
      <c r="AQ143" s="367" t="str">
        <f>IF(AN143="Педагог-шебер", "0", IF(AN143="Педагог-сарапшы",K143/16*X143*35%, IF(AN143="Педагог-зерттеуші", "0", IF(AN143="Педагог-модератор", "0", "0"))))</f>
        <v>0</v>
      </c>
      <c r="AR143" s="367" t="str">
        <f>IF(AN143="Педагог-шебер", "0", IF(AN143="Педагог-модератор",K143/16*X143*30%, IF(AN143="Педагог-зерттеуші", "0", IF(AN143="Педагог-сарапшы", "0", "0"))))</f>
        <v>0</v>
      </c>
      <c r="AS143" s="366"/>
      <c r="AT143" s="367"/>
      <c r="AU143" s="372"/>
      <c r="AV143" s="367"/>
      <c r="AW143" s="366" t="str">
        <f>G143</f>
        <v>Магистр-химия, доктор PhD</v>
      </c>
      <c r="AX143" s="372">
        <f>(10*4325)+(17*4325)</f>
        <v>116775</v>
      </c>
      <c r="AY143" s="427"/>
      <c r="AZ143" s="367">
        <f>Z143+AB143+AD143+AE143+AG143+AI143+AK143+AM143+AO143+AP143+AQ143++AR143+AT143+AV143+AX143+AY143</f>
        <v>351791.16000000003</v>
      </c>
      <c r="BA143" s="373">
        <f t="shared" ref="BA143:BA180" si="197">Y143+AZ143</f>
        <v>627864.3600000001</v>
      </c>
      <c r="BB143" s="374">
        <f t="shared" ref="BB143:BB180" si="198">BA143*10%</f>
        <v>62786.436000000016</v>
      </c>
      <c r="BC143" s="374">
        <f t="shared" ref="BC143:BC180" si="199">BA143*2%</f>
        <v>12557.287200000002</v>
      </c>
      <c r="BD143" s="374">
        <f t="shared" ref="BD143:BD180" si="200">(BA143-BB143-BC143-(14*4325))*10%</f>
        <v>49197.063680000014</v>
      </c>
      <c r="BE143" s="374">
        <f t="shared" ref="BE143:BE180" si="201">BA143-BB143-BC143-BD143</f>
        <v>503323.57312000007</v>
      </c>
      <c r="BF143" s="374">
        <f t="shared" ref="BF143:BF180" si="202">BA143*12</f>
        <v>7534372.3200000012</v>
      </c>
      <c r="BG143" s="374">
        <f t="shared" ref="BG143:BG180" si="203">Y143*2</f>
        <v>552146.4</v>
      </c>
      <c r="BH143" s="374">
        <f t="shared" ref="BH143:BH180" si="204">BF143+BG143</f>
        <v>8086518.7200000016</v>
      </c>
      <c r="BI143" s="374">
        <f t="shared" ref="BI143:BI180" si="205">BH143*3.5%</f>
        <v>283028.1552000001</v>
      </c>
      <c r="BJ143" s="374">
        <f t="shared" ref="BJ143:BJ180" si="206">(BH143*0.9-(BC143*12))*11%-BK143</f>
        <v>420096.39177600003</v>
      </c>
      <c r="BK143" s="374">
        <f t="shared" ref="BK143:BK180" si="207">BH143*0.9*5%</f>
        <v>363893.34240000008</v>
      </c>
      <c r="BL143" s="374">
        <f t="shared" ref="BL143:BL180" si="208">BH143*3%</f>
        <v>242595.56160000004</v>
      </c>
      <c r="BM143" s="373">
        <f>BH143+BJ143+BK143+BL143+BI143</f>
        <v>9396132.1709760018</v>
      </c>
      <c r="BN143" s="375"/>
      <c r="BO143" s="377"/>
      <c r="BP143" s="377"/>
      <c r="BQ143" s="377"/>
      <c r="BR143" s="377"/>
      <c r="BS143" s="377"/>
      <c r="BT143" s="377"/>
      <c r="BU143" s="377"/>
      <c r="BV143" s="377"/>
      <c r="BW143" s="377"/>
      <c r="BX143" s="377"/>
      <c r="BY143" s="377"/>
      <c r="BZ143" s="377"/>
      <c r="CA143" s="377"/>
      <c r="CB143" s="377"/>
      <c r="CC143" s="377"/>
      <c r="CD143" s="377"/>
      <c r="CE143" s="377"/>
      <c r="CF143" s="377"/>
      <c r="CG143" s="377"/>
      <c r="CH143" s="377"/>
      <c r="CI143" s="377"/>
    </row>
    <row r="144" spans="1:87" ht="47.25">
      <c r="A144" s="369">
        <f t="shared" ref="A144:B146" si="209">A143+1</f>
        <v>121</v>
      </c>
      <c r="B144" s="416">
        <f t="shared" si="209"/>
        <v>2</v>
      </c>
      <c r="C144" s="518" t="s">
        <v>1323</v>
      </c>
      <c r="D144" s="519" t="s">
        <v>1324</v>
      </c>
      <c r="E144" s="366" t="s">
        <v>998</v>
      </c>
      <c r="F144" s="508" t="s">
        <v>1005</v>
      </c>
      <c r="G144" s="366" t="s">
        <v>1325</v>
      </c>
      <c r="H144" s="371" t="s">
        <v>1448</v>
      </c>
      <c r="I144" s="366">
        <v>17697</v>
      </c>
      <c r="J144" s="367">
        <v>10.82</v>
      </c>
      <c r="K144" s="367">
        <f>I144*J144</f>
        <v>191481.54</v>
      </c>
      <c r="L144" s="380"/>
      <c r="M144" s="380"/>
      <c r="N144" s="380">
        <v>8</v>
      </c>
      <c r="O144" s="380">
        <v>5</v>
      </c>
      <c r="P144" s="380">
        <v>5</v>
      </c>
      <c r="Q144" s="368">
        <f>SUM(L144:P144)</f>
        <v>18</v>
      </c>
      <c r="R144" s="380"/>
      <c r="S144" s="380"/>
      <c r="T144" s="380"/>
      <c r="U144" s="380"/>
      <c r="V144" s="380"/>
      <c r="W144" s="381">
        <f>SUM(R144:V144)</f>
        <v>0</v>
      </c>
      <c r="X144" s="370">
        <f>Q144+W144</f>
        <v>18</v>
      </c>
      <c r="Y144" s="367">
        <f>K144/16*X144</f>
        <v>215416.73250000001</v>
      </c>
      <c r="Z144" s="367">
        <f>Y144*10%</f>
        <v>21541.673250000003</v>
      </c>
      <c r="AA144" s="366">
        <v>18</v>
      </c>
      <c r="AB144" s="367">
        <f>I144/16*AA144*40%</f>
        <v>7963.6500000000005</v>
      </c>
      <c r="AC144" s="366"/>
      <c r="AD144" s="367">
        <f>I144/16*AC144*40%*50%</f>
        <v>0</v>
      </c>
      <c r="AE144" s="366"/>
      <c r="AF144" s="366" t="s">
        <v>1326</v>
      </c>
      <c r="AG144" s="367">
        <f>17697*20%</f>
        <v>3539.4</v>
      </c>
      <c r="AH144" s="366"/>
      <c r="AI144" s="367"/>
      <c r="AJ144" s="372"/>
      <c r="AK144" s="367"/>
      <c r="AL144" s="366">
        <f>X144</f>
        <v>18</v>
      </c>
      <c r="AM144" s="367">
        <f>K144/16*AL144*30%</f>
        <v>64625.019749999999</v>
      </c>
      <c r="AN144" s="366" t="str">
        <f>F144</f>
        <v>Педагог-зерттеуші</v>
      </c>
      <c r="AO144" s="367" t="str">
        <f>IF(AN144="Педагог-зерттеуші", "0", IF(AN144="Педагог-шебер",K144/16*X144*50%, IF(AN144="Педагог-сарапшы", "0", IF(AN144="Педагог-модератор", "0", "0"))))</f>
        <v>0</v>
      </c>
      <c r="AP144" s="367">
        <f>IF(AN144="Педагог-шебер", "0", IF(AN144="Педагог-зерттеуші",K144/16*X144*40%, IF(AN144="Педагог-сарапшы", "0", IF(AN144="Педагог-модератор", "0", "0"))))</f>
        <v>86166.693000000014</v>
      </c>
      <c r="AQ144" s="367" t="str">
        <f>IF(AN144="Педагог-шебер", "0", IF(AN144="Педагог-сарапшы",K144/16*X144*35%, IF(AN144="Педагог-зерттеуші", "0", IF(AN144="Педагог-модератор", "0", "0"))))</f>
        <v>0</v>
      </c>
      <c r="AR144" s="367" t="str">
        <f>IF(AN144="Педагог-шебер", "0", IF(AN144="Педагог-модератор",K144/16*X144*30%, IF(AN144="Педагог-зерттеуші", "0", IF(AN144="Педагог-сарапшы", "0", "0"))))</f>
        <v>0</v>
      </c>
      <c r="AS144" s="366"/>
      <c r="AT144" s="367"/>
      <c r="AU144" s="371"/>
      <c r="AV144" s="367"/>
      <c r="AW144" s="366" t="str">
        <f>G144</f>
        <v>Магистр-химия</v>
      </c>
      <c r="AX144" s="520">
        <f>10*4325</f>
        <v>43250</v>
      </c>
      <c r="AY144" s="521"/>
      <c r="AZ144" s="367">
        <f>Z144+AB144+AD144+AE144+AG144+AI144+AK144+AM144+AO144+AP144+AQ144++AR144+AT144+AV144+AX144+AY144</f>
        <v>227086.43600000002</v>
      </c>
      <c r="BA144" s="373">
        <f t="shared" si="197"/>
        <v>442503.16850000003</v>
      </c>
      <c r="BB144" s="374">
        <f t="shared" si="198"/>
        <v>44250.316850000003</v>
      </c>
      <c r="BC144" s="374">
        <f t="shared" si="199"/>
        <v>8850.0633700000017</v>
      </c>
      <c r="BD144" s="374">
        <f t="shared" si="200"/>
        <v>32885.278828000002</v>
      </c>
      <c r="BE144" s="374">
        <f t="shared" si="201"/>
        <v>356517.50945200003</v>
      </c>
      <c r="BF144" s="374">
        <f t="shared" si="202"/>
        <v>5310038.0219999999</v>
      </c>
      <c r="BG144" s="374">
        <f t="shared" si="203"/>
        <v>430833.46500000003</v>
      </c>
      <c r="BH144" s="374">
        <f t="shared" si="204"/>
        <v>5740871.4869999997</v>
      </c>
      <c r="BI144" s="374">
        <f t="shared" si="205"/>
        <v>200930.502045</v>
      </c>
      <c r="BJ144" s="374">
        <f t="shared" si="206"/>
        <v>298324.97664959996</v>
      </c>
      <c r="BK144" s="374">
        <f t="shared" si="207"/>
        <v>258339.216915</v>
      </c>
      <c r="BL144" s="374">
        <f t="shared" si="208"/>
        <v>172226.14460999999</v>
      </c>
      <c r="BM144" s="373">
        <f>BH144+BJ144+BK144+BL144+BI144</f>
        <v>6670692.3272195999</v>
      </c>
      <c r="BN144" s="375"/>
      <c r="BO144" s="377"/>
      <c r="BP144" s="377"/>
      <c r="BQ144" s="377"/>
      <c r="BR144" s="377"/>
      <c r="BS144" s="377"/>
      <c r="BT144" s="377"/>
      <c r="BU144" s="377"/>
      <c r="BV144" s="377"/>
      <c r="BW144" s="377"/>
      <c r="BX144" s="377"/>
      <c r="BY144" s="377"/>
      <c r="BZ144" s="377"/>
      <c r="CA144" s="377"/>
      <c r="CB144" s="377"/>
      <c r="CC144" s="377"/>
      <c r="CD144" s="377"/>
      <c r="CE144" s="377"/>
      <c r="CF144" s="377"/>
      <c r="CG144" s="377"/>
      <c r="CH144" s="377"/>
      <c r="CI144" s="377"/>
    </row>
    <row r="145" spans="1:87" ht="94.5">
      <c r="A145" s="369">
        <f t="shared" si="209"/>
        <v>122</v>
      </c>
      <c r="B145" s="416">
        <f t="shared" si="209"/>
        <v>3</v>
      </c>
      <c r="C145" s="702" t="s">
        <v>1327</v>
      </c>
      <c r="D145" s="522" t="s">
        <v>1328</v>
      </c>
      <c r="E145" s="392" t="s">
        <v>998</v>
      </c>
      <c r="F145" s="1314" t="s">
        <v>254</v>
      </c>
      <c r="G145" s="366" t="s">
        <v>1325</v>
      </c>
      <c r="H145" s="371" t="s">
        <v>1449</v>
      </c>
      <c r="I145" s="366">
        <v>17697</v>
      </c>
      <c r="J145" s="367">
        <v>9.66</v>
      </c>
      <c r="K145" s="367">
        <f>I145*J145</f>
        <v>170953.02</v>
      </c>
      <c r="L145" s="380"/>
      <c r="M145" s="380">
        <v>8</v>
      </c>
      <c r="N145" s="380"/>
      <c r="O145" s="380"/>
      <c r="P145" s="380"/>
      <c r="Q145" s="368">
        <f>SUM(L145:P145)</f>
        <v>8</v>
      </c>
      <c r="R145" s="380"/>
      <c r="S145" s="380">
        <v>1</v>
      </c>
      <c r="T145" s="380"/>
      <c r="U145" s="380"/>
      <c r="V145" s="380">
        <v>15</v>
      </c>
      <c r="W145" s="381">
        <f>SUM(R145:V145)</f>
        <v>16</v>
      </c>
      <c r="X145" s="370">
        <f>Q145+W145</f>
        <v>24</v>
      </c>
      <c r="Y145" s="367">
        <f>K145/16*X145</f>
        <v>256429.52999999997</v>
      </c>
      <c r="Z145" s="367">
        <f>Y145*10%</f>
        <v>25642.952999999998</v>
      </c>
      <c r="AA145" s="366">
        <v>24</v>
      </c>
      <c r="AB145" s="367">
        <f>I145/16*AA145*40%</f>
        <v>10618.2</v>
      </c>
      <c r="AC145" s="366"/>
      <c r="AD145" s="367">
        <f>I145/16*AC145*40%*50%</f>
        <v>0</v>
      </c>
      <c r="AE145" s="366"/>
      <c r="AF145" s="366"/>
      <c r="AG145" s="367"/>
      <c r="AH145" s="366"/>
      <c r="AI145" s="367"/>
      <c r="AJ145" s="372"/>
      <c r="AK145" s="367"/>
      <c r="AL145" s="366">
        <f>X145</f>
        <v>24</v>
      </c>
      <c r="AM145" s="367">
        <f>K145/16*AL145*30%</f>
        <v>76928.858999999982</v>
      </c>
      <c r="AN145" s="366" t="str">
        <f>F145</f>
        <v>Педагог-модератор</v>
      </c>
      <c r="AO145" s="367" t="str">
        <f>IF(AN145="Педагог-зерттеуші", "0", IF(AN145="Педагог-шебер",K145/16*X145*50%, IF(AN145="Педагог-сарапшы", "0", IF(AN145="Педагог-модератор", "0", "0"))))</f>
        <v>0</v>
      </c>
      <c r="AP145" s="367" t="str">
        <f>IF(AN145="Педагог-шебер", "0", IF(AN145="Педагог-зерттеуші",K145/16*X145*40%, IF(AN145="Педагог-сарапшы", "0", IF(AN145="Педагог-модератор", "0", "0"))))</f>
        <v>0</v>
      </c>
      <c r="AQ145" s="367" t="str">
        <f>IF(AN145="Педагог-шебер", "0", IF(AN145="Педагог-сарапшы",K145/16*X145*35%, IF(AN145="Педагог-зерттеуші", "0", IF(AN145="Педагог-модератор", "0", "0"))))</f>
        <v>0</v>
      </c>
      <c r="AR145" s="367">
        <f>IF(AN145="Педагог-шебер", "0", IF(AN145="Педагог-модератор",K145/16*X145*30%, IF(AN145="Педагог-зерттеуші", "0", IF(AN145="Педагог-сарапшы", "0", "0"))))</f>
        <v>76928.858999999982</v>
      </c>
      <c r="AS145" s="366"/>
      <c r="AT145" s="367"/>
      <c r="AU145" s="366"/>
      <c r="AV145" s="367"/>
      <c r="AW145" s="366" t="str">
        <f>G145</f>
        <v>Магистр-химия</v>
      </c>
      <c r="AX145" s="520">
        <f>10*4325</f>
        <v>43250</v>
      </c>
      <c r="AY145" s="521"/>
      <c r="AZ145" s="367">
        <f>Z145+AB145+AD145+AE145+AG145+AI145+AK145+AM145+AO145+AP145+AQ145++AR145+AT145+AV145+AX145+AY145</f>
        <v>233368.87099999998</v>
      </c>
      <c r="BA145" s="373">
        <f t="shared" si="197"/>
        <v>489798.40099999995</v>
      </c>
      <c r="BB145" s="374">
        <f t="shared" si="198"/>
        <v>48979.840100000001</v>
      </c>
      <c r="BC145" s="374">
        <f t="shared" si="199"/>
        <v>9795.9680199999984</v>
      </c>
      <c r="BD145" s="374">
        <f t="shared" si="200"/>
        <v>37047.259287999994</v>
      </c>
      <c r="BE145" s="374">
        <f t="shared" si="201"/>
        <v>393975.33359199995</v>
      </c>
      <c r="BF145" s="374">
        <f t="shared" si="202"/>
        <v>5877580.811999999</v>
      </c>
      <c r="BG145" s="374">
        <f t="shared" si="203"/>
        <v>512859.05999999994</v>
      </c>
      <c r="BH145" s="374">
        <f t="shared" si="204"/>
        <v>6390439.8719999986</v>
      </c>
      <c r="BI145" s="374">
        <f t="shared" si="205"/>
        <v>223665.39551999996</v>
      </c>
      <c r="BJ145" s="374">
        <f t="shared" si="206"/>
        <v>332153.07530159992</v>
      </c>
      <c r="BK145" s="374">
        <f t="shared" si="207"/>
        <v>287569.79423999996</v>
      </c>
      <c r="BL145" s="374">
        <f t="shared" si="208"/>
        <v>191713.19615999996</v>
      </c>
      <c r="BM145" s="373">
        <f>BH145+BJ145+BK145+BL145+BI145</f>
        <v>7425541.3332215976</v>
      </c>
      <c r="BN145" s="375"/>
      <c r="BO145" s="377"/>
      <c r="BP145" s="377"/>
      <c r="BQ145" s="377"/>
      <c r="BR145" s="377"/>
      <c r="BS145" s="377"/>
      <c r="BT145" s="377"/>
      <c r="BU145" s="377"/>
      <c r="BV145" s="377"/>
      <c r="BW145" s="377"/>
      <c r="BX145" s="377"/>
      <c r="BY145" s="377"/>
      <c r="BZ145" s="377"/>
      <c r="CA145" s="377"/>
      <c r="CB145" s="377"/>
      <c r="CC145" s="377"/>
      <c r="CD145" s="377"/>
      <c r="CE145" s="377"/>
      <c r="CF145" s="377"/>
      <c r="CG145" s="377"/>
      <c r="CH145" s="377"/>
      <c r="CI145" s="377"/>
    </row>
    <row r="146" spans="1:87" ht="47.25">
      <c r="A146" s="457">
        <f t="shared" si="209"/>
        <v>123</v>
      </c>
      <c r="B146" s="1321">
        <f t="shared" si="209"/>
        <v>4</v>
      </c>
      <c r="C146" s="701" t="s">
        <v>113</v>
      </c>
      <c r="D146" s="515" t="s">
        <v>1329</v>
      </c>
      <c r="E146" s="458" t="s">
        <v>998</v>
      </c>
      <c r="F146" s="698" t="s">
        <v>999</v>
      </c>
      <c r="G146" s="698" t="s">
        <v>1158</v>
      </c>
      <c r="H146" s="699" t="s">
        <v>273</v>
      </c>
      <c r="I146" s="698">
        <v>17697</v>
      </c>
      <c r="J146" s="700">
        <v>11.4</v>
      </c>
      <c r="K146" s="460">
        <f>I146*J146</f>
        <v>201745.80000000002</v>
      </c>
      <c r="L146" s="456">
        <v>10</v>
      </c>
      <c r="M146" s="456">
        <v>4</v>
      </c>
      <c r="N146" s="456">
        <v>2</v>
      </c>
      <c r="O146" s="456"/>
      <c r="P146" s="456"/>
      <c r="Q146" s="486">
        <f>SUM(L146:P146)</f>
        <v>16</v>
      </c>
      <c r="R146" s="456"/>
      <c r="S146" s="456"/>
      <c r="T146" s="456"/>
      <c r="U146" s="456"/>
      <c r="V146" s="456"/>
      <c r="W146" s="487">
        <f>SUM(R146:V146)</f>
        <v>0</v>
      </c>
      <c r="X146" s="370">
        <f>Q146+W146</f>
        <v>16</v>
      </c>
      <c r="Y146" s="460">
        <f>K146/16*X146</f>
        <v>201745.80000000002</v>
      </c>
      <c r="Z146" s="460">
        <f>Y146*10%</f>
        <v>20174.580000000002</v>
      </c>
      <c r="AA146" s="458">
        <v>16</v>
      </c>
      <c r="AB146" s="460">
        <f>I146/16*AA146*40%</f>
        <v>7078.8</v>
      </c>
      <c r="AC146" s="458"/>
      <c r="AD146" s="460">
        <f>I146/16*AC146*40%*50%</f>
        <v>0</v>
      </c>
      <c r="AE146" s="458"/>
      <c r="AF146" s="458"/>
      <c r="AG146" s="460"/>
      <c r="AH146" s="458"/>
      <c r="AI146" s="460"/>
      <c r="AJ146" s="462"/>
      <c r="AK146" s="460"/>
      <c r="AL146" s="458">
        <f>X146</f>
        <v>16</v>
      </c>
      <c r="AM146" s="460">
        <f>K146/16*AL146*30%</f>
        <v>60523.740000000005</v>
      </c>
      <c r="AN146" s="458" t="str">
        <f>F146</f>
        <v>Педагог-шебер</v>
      </c>
      <c r="AO146" s="460"/>
      <c r="AP146" s="460" t="str">
        <f>IF(AN146="Педагог-шебер", "0", IF(AN146="Педагог-зерттеуші",K146/16*X146*40%, IF(AN146="Педагог-сарапшы", "0", IF(AN146="Педагог-модератор", "0", "0"))))</f>
        <v>0</v>
      </c>
      <c r="AQ146" s="460" t="str">
        <f>IF(AN146="Педагог-шебер", "0", IF(AN146="Педагог-сарапшы",K146/16*X146*35%, IF(AN146="Педагог-зерттеуші", "0", IF(AN146="Педагог-модератор", "0", "0"))))</f>
        <v>0</v>
      </c>
      <c r="AR146" s="460" t="str">
        <f>IF(AN146="Педагог-шебер", "0", IF(AN146="Педагог-модератор",K146/16*X146*30%, IF(AN146="Педагог-зерттеуші", "0", IF(AN146="Педагог-сарапшы", "0", "0"))))</f>
        <v>0</v>
      </c>
      <c r="AS146" s="458"/>
      <c r="AT146" s="460"/>
      <c r="AU146" s="458"/>
      <c r="AV146" s="460"/>
      <c r="AW146" s="458" t="str">
        <f>G146</f>
        <v>Магистр</v>
      </c>
      <c r="AX146" s="523"/>
      <c r="AY146" s="460"/>
      <c r="AZ146" s="460">
        <f>Z146+AB146+AD146+AE146+AG146+AI146+AK146+AM146+AO146+AP146+AQ146++AR146+AT146+AV146+AX146+AY146</f>
        <v>87777.12000000001</v>
      </c>
      <c r="BA146" s="373">
        <f t="shared" si="197"/>
        <v>289522.92000000004</v>
      </c>
      <c r="BB146" s="374">
        <f t="shared" si="198"/>
        <v>28952.292000000005</v>
      </c>
      <c r="BC146" s="374">
        <f t="shared" si="199"/>
        <v>5790.4584000000013</v>
      </c>
      <c r="BD146" s="374">
        <f t="shared" si="200"/>
        <v>19423.016960000004</v>
      </c>
      <c r="BE146" s="374">
        <f t="shared" si="201"/>
        <v>235357.15264000001</v>
      </c>
      <c r="BF146" s="374">
        <f t="shared" si="202"/>
        <v>3474275.0400000005</v>
      </c>
      <c r="BG146" s="374">
        <f t="shared" si="203"/>
        <v>403491.60000000003</v>
      </c>
      <c r="BH146" s="374">
        <f t="shared" si="204"/>
        <v>3877766.6400000006</v>
      </c>
      <c r="BI146" s="374">
        <f t="shared" si="205"/>
        <v>135721.83240000004</v>
      </c>
      <c r="BJ146" s="374">
        <f t="shared" si="206"/>
        <v>201755.993472</v>
      </c>
      <c r="BK146" s="374">
        <f t="shared" si="207"/>
        <v>174499.49880000006</v>
      </c>
      <c r="BL146" s="374">
        <f t="shared" si="208"/>
        <v>116332.99920000002</v>
      </c>
      <c r="BM146" s="463">
        <f>BH146+BJ146+BK146+BL146+BI146</f>
        <v>4506076.9638720006</v>
      </c>
      <c r="BN146" s="465"/>
      <c r="BO146" s="377"/>
      <c r="BP146" s="377"/>
      <c r="BQ146" s="377"/>
      <c r="BR146" s="377"/>
      <c r="BS146" s="377"/>
      <c r="BT146" s="377"/>
      <c r="BU146" s="377"/>
      <c r="BV146" s="377"/>
      <c r="BW146" s="377"/>
      <c r="BX146" s="377"/>
      <c r="BY146" s="377"/>
      <c r="BZ146" s="377"/>
      <c r="CA146" s="377"/>
      <c r="CB146" s="377"/>
      <c r="CC146" s="377"/>
      <c r="CD146" s="377"/>
      <c r="CE146" s="377"/>
      <c r="CF146" s="377"/>
      <c r="CG146" s="377"/>
      <c r="CH146" s="377"/>
      <c r="CI146" s="377"/>
    </row>
    <row r="147" spans="1:87" ht="14.25">
      <c r="A147" s="489"/>
      <c r="B147" s="489"/>
      <c r="C147" s="490" t="s">
        <v>1162</v>
      </c>
      <c r="D147" s="524"/>
      <c r="E147" s="490"/>
      <c r="F147" s="490"/>
      <c r="G147" s="490"/>
      <c r="H147" s="491"/>
      <c r="I147" s="490"/>
      <c r="J147" s="490"/>
      <c r="K147" s="422">
        <f>SUM(K143:K146)</f>
        <v>748229.16</v>
      </c>
      <c r="L147" s="422">
        <f t="shared" ref="L147:BN147" si="210">SUM(L143:L146)</f>
        <v>10</v>
      </c>
      <c r="M147" s="422">
        <f t="shared" si="210"/>
        <v>20</v>
      </c>
      <c r="N147" s="422">
        <f t="shared" si="210"/>
        <v>18</v>
      </c>
      <c r="O147" s="422">
        <f t="shared" si="210"/>
        <v>9</v>
      </c>
      <c r="P147" s="422">
        <f t="shared" si="210"/>
        <v>9</v>
      </c>
      <c r="Q147" s="422">
        <f t="shared" si="210"/>
        <v>66</v>
      </c>
      <c r="R147" s="422">
        <f t="shared" si="210"/>
        <v>0</v>
      </c>
      <c r="S147" s="422">
        <f t="shared" si="210"/>
        <v>1</v>
      </c>
      <c r="T147" s="422">
        <f t="shared" si="210"/>
        <v>0</v>
      </c>
      <c r="U147" s="422">
        <f t="shared" si="210"/>
        <v>0</v>
      </c>
      <c r="V147" s="422">
        <f t="shared" si="210"/>
        <v>15</v>
      </c>
      <c r="W147" s="422">
        <f t="shared" si="210"/>
        <v>16</v>
      </c>
      <c r="X147" s="422">
        <f t="shared" si="210"/>
        <v>82</v>
      </c>
      <c r="Y147" s="422">
        <f t="shared" si="210"/>
        <v>949665.26249999995</v>
      </c>
      <c r="Z147" s="422">
        <f t="shared" si="210"/>
        <v>94966.52625000001</v>
      </c>
      <c r="AA147" s="422">
        <f t="shared" si="210"/>
        <v>82</v>
      </c>
      <c r="AB147" s="422">
        <f t="shared" si="210"/>
        <v>36278.850000000006</v>
      </c>
      <c r="AC147" s="422">
        <f t="shared" si="210"/>
        <v>0</v>
      </c>
      <c r="AD147" s="422">
        <f t="shared" si="210"/>
        <v>0</v>
      </c>
      <c r="AE147" s="422">
        <f t="shared" si="210"/>
        <v>0</v>
      </c>
      <c r="AF147" s="422">
        <v>2</v>
      </c>
      <c r="AG147" s="422">
        <f t="shared" si="210"/>
        <v>7078.8</v>
      </c>
      <c r="AH147" s="422">
        <f t="shared" si="210"/>
        <v>0</v>
      </c>
      <c r="AI147" s="422">
        <f t="shared" si="210"/>
        <v>0</v>
      </c>
      <c r="AJ147" s="422">
        <f t="shared" si="210"/>
        <v>0</v>
      </c>
      <c r="AK147" s="422">
        <f t="shared" si="210"/>
        <v>0</v>
      </c>
      <c r="AL147" s="422">
        <f t="shared" si="210"/>
        <v>82</v>
      </c>
      <c r="AM147" s="422">
        <f t="shared" si="210"/>
        <v>284899.57874999999</v>
      </c>
      <c r="AN147" s="422">
        <f t="shared" si="210"/>
        <v>0</v>
      </c>
      <c r="AO147" s="422">
        <f t="shared" si="210"/>
        <v>0</v>
      </c>
      <c r="AP147" s="422">
        <f t="shared" si="210"/>
        <v>196595.97300000003</v>
      </c>
      <c r="AQ147" s="422">
        <f t="shared" si="210"/>
        <v>0</v>
      </c>
      <c r="AR147" s="422">
        <f t="shared" si="210"/>
        <v>76928.858999999982</v>
      </c>
      <c r="AS147" s="422">
        <f t="shared" si="210"/>
        <v>0</v>
      </c>
      <c r="AT147" s="422">
        <f t="shared" si="210"/>
        <v>0</v>
      </c>
      <c r="AU147" s="422">
        <f t="shared" si="210"/>
        <v>0</v>
      </c>
      <c r="AV147" s="422">
        <f t="shared" si="210"/>
        <v>0</v>
      </c>
      <c r="AW147" s="422">
        <v>4</v>
      </c>
      <c r="AX147" s="422">
        <f t="shared" si="210"/>
        <v>203275</v>
      </c>
      <c r="AY147" s="422">
        <f t="shared" si="210"/>
        <v>0</v>
      </c>
      <c r="AZ147" s="422">
        <f t="shared" si="210"/>
        <v>900023.58699999994</v>
      </c>
      <c r="BA147" s="1318">
        <f>SUM(BA143:BA146)</f>
        <v>1849688.8495</v>
      </c>
      <c r="BB147" s="1318">
        <f t="shared" ref="BB147:BM147" si="211">SUM(BB143:BB146)</f>
        <v>184968.88495000004</v>
      </c>
      <c r="BC147" s="1318">
        <f t="shared" si="211"/>
        <v>36993.776990000006</v>
      </c>
      <c r="BD147" s="1318">
        <f t="shared" si="211"/>
        <v>138552.61875600001</v>
      </c>
      <c r="BE147" s="1318">
        <f t="shared" si="211"/>
        <v>1489173.568804</v>
      </c>
      <c r="BF147" s="1318">
        <f t="shared" si="211"/>
        <v>22196266.193999998</v>
      </c>
      <c r="BG147" s="1318">
        <f t="shared" si="211"/>
        <v>1899330.5249999999</v>
      </c>
      <c r="BH147" s="1318">
        <f t="shared" si="211"/>
        <v>24095596.719000001</v>
      </c>
      <c r="BI147" s="1318">
        <f t="shared" si="211"/>
        <v>843345.88516500022</v>
      </c>
      <c r="BJ147" s="1318">
        <f t="shared" si="211"/>
        <v>1252330.4371992</v>
      </c>
      <c r="BK147" s="1318">
        <f t="shared" si="211"/>
        <v>1084301.8523550001</v>
      </c>
      <c r="BL147" s="1318">
        <f t="shared" si="211"/>
        <v>722867.90156999999</v>
      </c>
      <c r="BM147" s="1318">
        <f t="shared" si="211"/>
        <v>27998442.7952892</v>
      </c>
      <c r="BN147" s="422">
        <f t="shared" si="210"/>
        <v>0</v>
      </c>
      <c r="BO147" s="355"/>
      <c r="BP147" s="355"/>
      <c r="BQ147" s="355"/>
      <c r="BR147" s="355"/>
      <c r="BS147" s="355"/>
      <c r="BT147" s="355"/>
      <c r="BU147" s="355"/>
      <c r="BV147" s="355"/>
      <c r="BW147" s="355"/>
      <c r="BX147" s="355"/>
      <c r="BY147" s="355"/>
      <c r="BZ147" s="355"/>
      <c r="CA147" s="355"/>
      <c r="CB147" s="355"/>
      <c r="CC147" s="355"/>
      <c r="CD147" s="355"/>
      <c r="CE147" s="355"/>
      <c r="CF147" s="355"/>
      <c r="CG147" s="355"/>
      <c r="CH147" s="355"/>
      <c r="CI147" s="356"/>
    </row>
    <row r="148" spans="1:87" ht="60">
      <c r="A148" s="369">
        <f>A146+1</f>
        <v>124</v>
      </c>
      <c r="B148" s="416">
        <v>1</v>
      </c>
      <c r="C148" s="409" t="s">
        <v>1330</v>
      </c>
      <c r="D148" s="412" t="s">
        <v>1331</v>
      </c>
      <c r="E148" s="366" t="s">
        <v>998</v>
      </c>
      <c r="F148" s="508" t="s">
        <v>1005</v>
      </c>
      <c r="G148" s="366" t="s">
        <v>1332</v>
      </c>
      <c r="H148" s="371" t="s">
        <v>1450</v>
      </c>
      <c r="I148" s="366">
        <v>17697</v>
      </c>
      <c r="J148" s="367">
        <v>10.82</v>
      </c>
      <c r="K148" s="367">
        <f t="shared" ref="K148:K154" si="212">I148*J148</f>
        <v>191481.54</v>
      </c>
      <c r="L148" s="380"/>
      <c r="M148" s="380"/>
      <c r="N148" s="380">
        <v>4</v>
      </c>
      <c r="O148" s="380"/>
      <c r="P148" s="380">
        <v>18</v>
      </c>
      <c r="Q148" s="368">
        <f t="shared" ref="Q148:Q162" si="213">SUM(L148:P148)</f>
        <v>22</v>
      </c>
      <c r="R148" s="380">
        <v>10</v>
      </c>
      <c r="S148" s="380"/>
      <c r="T148" s="380"/>
      <c r="U148" s="380"/>
      <c r="V148" s="380"/>
      <c r="W148" s="381">
        <f t="shared" ref="W148:W163" si="214">SUM(R148:V148)</f>
        <v>10</v>
      </c>
      <c r="X148" s="370">
        <f t="shared" ref="X148:X154" si="215">Q148+W148</f>
        <v>32</v>
      </c>
      <c r="Y148" s="367">
        <f t="shared" ref="Y148:Y154" si="216">K148/16*X148</f>
        <v>382963.08</v>
      </c>
      <c r="Z148" s="367">
        <f t="shared" ref="Z148:Z154" si="217">Y148*10%</f>
        <v>38296.308000000005</v>
      </c>
      <c r="AA148" s="372"/>
      <c r="AB148" s="367">
        <f t="shared" ref="AB148:AB154" si="218">I148/16*AA148*40%</f>
        <v>0</v>
      </c>
      <c r="AC148" s="372"/>
      <c r="AD148" s="367">
        <f t="shared" ref="AD148:AD154" si="219">I148/16*AC148*40%*50%</f>
        <v>0</v>
      </c>
      <c r="AE148" s="366">
        <v>196600</v>
      </c>
      <c r="AF148" s="366"/>
      <c r="AG148" s="367"/>
      <c r="AH148" s="366"/>
      <c r="AI148" s="367"/>
      <c r="AJ148" s="372"/>
      <c r="AK148" s="367"/>
      <c r="AL148" s="366">
        <f t="shared" ref="AL148:AL154" si="220">X148</f>
        <v>32</v>
      </c>
      <c r="AM148" s="367">
        <f t="shared" ref="AM148:AM154" si="221">K148/16*AL148*30%</f>
        <v>114888.924</v>
      </c>
      <c r="AN148" s="366" t="str">
        <f t="shared" ref="AN148:AN154" si="222">F148</f>
        <v>Педагог-зерттеуші</v>
      </c>
      <c r="AO148" s="367" t="str">
        <f t="shared" ref="AO148:AO154" si="223">IF(AN148="Педагог-зерттеуші", "0", IF(AN148="Педагог-шебер",K148/16*X148*50%, IF(AN148="Педагог-сарапшы", "0", IF(AN148="Педагог-модератор", "0", "0"))))</f>
        <v>0</v>
      </c>
      <c r="AP148" s="367">
        <f t="shared" ref="AP148:AP154" si="224">IF(AN148="Педагог-шебер", "0", IF(AN148="Педагог-зерттеуші",K148/16*X148*40%, IF(AN148="Педагог-сарапшы", "0", IF(AN148="Педагог-модератор", "0", "0"))))</f>
        <v>153185.23200000002</v>
      </c>
      <c r="AQ148" s="367" t="str">
        <f t="shared" ref="AQ148:AQ154" si="225">IF(AN148="Педагог-шебер", "0", IF(AN148="Педагог-сарапшы",K148/16*X148*35%, IF(AN148="Педагог-зерттеуші", "0", IF(AN148="Педагог-модератор", "0", "0"))))</f>
        <v>0</v>
      </c>
      <c r="AR148" s="367" t="str">
        <f t="shared" ref="AR148:AR154" si="226">IF(AN148="Педагог-шебер", "0", IF(AN148="Педагог-модератор",K148/16*X148*30%, IF(AN148="Педагог-зерттеуші", "0", IF(AN148="Педагог-сарапшы", "0", "0"))))</f>
        <v>0</v>
      </c>
      <c r="AS148" s="366"/>
      <c r="AT148" s="367"/>
      <c r="AU148" s="371"/>
      <c r="AV148" s="367"/>
      <c r="AW148" s="371" t="str">
        <f>G148</f>
        <v>Магистр-физическая культура и спорт</v>
      </c>
      <c r="AX148" s="372">
        <f>10*4325</f>
        <v>43250</v>
      </c>
      <c r="AY148" s="367"/>
      <c r="AZ148" s="367">
        <f t="shared" ref="AZ148:AZ154" si="227">Z148+AB148+AD148+AE148+AG148+AI148+AK148+AM148+AO148+AP148+AQ148++AR148+AT148+AV148+AX148+AY148</f>
        <v>546220.46400000004</v>
      </c>
      <c r="BA148" s="373">
        <f t="shared" si="197"/>
        <v>929183.54399999999</v>
      </c>
      <c r="BB148" s="374">
        <f t="shared" si="198"/>
        <v>92918.354400000011</v>
      </c>
      <c r="BC148" s="374">
        <f t="shared" si="199"/>
        <v>18583.670880000001</v>
      </c>
      <c r="BD148" s="374">
        <f t="shared" si="200"/>
        <v>75713.151872000002</v>
      </c>
      <c r="BE148" s="374">
        <f t="shared" si="201"/>
        <v>741968.36684799998</v>
      </c>
      <c r="BF148" s="374">
        <f t="shared" si="202"/>
        <v>11150202.528000001</v>
      </c>
      <c r="BG148" s="374">
        <f t="shared" si="203"/>
        <v>765926.16</v>
      </c>
      <c r="BH148" s="374">
        <f t="shared" si="204"/>
        <v>11916128.688000001</v>
      </c>
      <c r="BI148" s="374">
        <f t="shared" si="205"/>
        <v>417064.5040800001</v>
      </c>
      <c r="BJ148" s="374">
        <f t="shared" si="206"/>
        <v>618940.5035904001</v>
      </c>
      <c r="BK148" s="374">
        <f t="shared" si="207"/>
        <v>536225.79096000013</v>
      </c>
      <c r="BL148" s="374">
        <f t="shared" si="208"/>
        <v>357483.86064000003</v>
      </c>
      <c r="BM148" s="373">
        <f t="shared" ref="BM148:BM154" si="228">BH148+BJ148+BK148+BL148+BI148</f>
        <v>13845843.347270401</v>
      </c>
      <c r="BN148" s="375"/>
      <c r="BO148" s="376"/>
      <c r="BP148" s="377"/>
      <c r="BQ148" s="377"/>
      <c r="BR148" s="377"/>
      <c r="BS148" s="377"/>
      <c r="BT148" s="377"/>
      <c r="BU148" s="377"/>
      <c r="BV148" s="377"/>
      <c r="BW148" s="377"/>
      <c r="BX148" s="377"/>
      <c r="BY148" s="377"/>
      <c r="BZ148" s="377"/>
      <c r="CA148" s="377"/>
      <c r="CB148" s="377"/>
      <c r="CC148" s="377"/>
      <c r="CD148" s="377"/>
      <c r="CE148" s="377"/>
      <c r="CF148" s="377"/>
      <c r="CG148" s="377"/>
      <c r="CH148" s="377"/>
      <c r="CI148" s="377"/>
    </row>
    <row r="149" spans="1:87" ht="75">
      <c r="A149" s="369">
        <f>A148+1</f>
        <v>125</v>
      </c>
      <c r="B149" s="416">
        <f>B148+1</f>
        <v>2</v>
      </c>
      <c r="C149" s="409" t="s">
        <v>923</v>
      </c>
      <c r="D149" s="412" t="s">
        <v>1333</v>
      </c>
      <c r="E149" s="366" t="s">
        <v>998</v>
      </c>
      <c r="F149" s="366"/>
      <c r="G149" s="366" t="s">
        <v>1334</v>
      </c>
      <c r="H149" s="371" t="s">
        <v>1166</v>
      </c>
      <c r="I149" s="366">
        <v>17697</v>
      </c>
      <c r="J149" s="367">
        <v>11.18</v>
      </c>
      <c r="K149" s="367">
        <f t="shared" si="212"/>
        <v>197852.46</v>
      </c>
      <c r="L149" s="380"/>
      <c r="M149" s="380"/>
      <c r="N149" s="380"/>
      <c r="O149" s="380">
        <v>9</v>
      </c>
      <c r="P149" s="380">
        <v>9</v>
      </c>
      <c r="Q149" s="368">
        <f t="shared" si="213"/>
        <v>18</v>
      </c>
      <c r="R149" s="380"/>
      <c r="S149" s="380"/>
      <c r="T149" s="380"/>
      <c r="U149" s="380"/>
      <c r="V149" s="380"/>
      <c r="W149" s="381">
        <f t="shared" si="214"/>
        <v>0</v>
      </c>
      <c r="X149" s="370">
        <f t="shared" si="215"/>
        <v>18</v>
      </c>
      <c r="Y149" s="367">
        <f t="shared" si="216"/>
        <v>222584.01749999999</v>
      </c>
      <c r="Z149" s="367">
        <f t="shared" si="217"/>
        <v>22258.401750000001</v>
      </c>
      <c r="AA149" s="372"/>
      <c r="AB149" s="367">
        <f t="shared" si="218"/>
        <v>0</v>
      </c>
      <c r="AC149" s="372"/>
      <c r="AD149" s="367">
        <f t="shared" si="219"/>
        <v>0</v>
      </c>
      <c r="AE149" s="367"/>
      <c r="AF149" s="366" t="s">
        <v>1335</v>
      </c>
      <c r="AG149" s="367">
        <f>17697*20%</f>
        <v>3539.4</v>
      </c>
      <c r="AH149" s="366"/>
      <c r="AI149" s="367"/>
      <c r="AJ149" s="372"/>
      <c r="AK149" s="367"/>
      <c r="AL149" s="366">
        <f t="shared" si="220"/>
        <v>18</v>
      </c>
      <c r="AM149" s="367">
        <f t="shared" si="221"/>
        <v>66775.205249999999</v>
      </c>
      <c r="AN149" s="366">
        <f t="shared" si="222"/>
        <v>0</v>
      </c>
      <c r="AO149" s="367" t="str">
        <f t="shared" si="223"/>
        <v>0</v>
      </c>
      <c r="AP149" s="367" t="str">
        <f t="shared" si="224"/>
        <v>0</v>
      </c>
      <c r="AQ149" s="367" t="str">
        <f t="shared" si="225"/>
        <v>0</v>
      </c>
      <c r="AR149" s="367" t="str">
        <f t="shared" si="226"/>
        <v>0</v>
      </c>
      <c r="AS149" s="366"/>
      <c r="AT149" s="367"/>
      <c r="AU149" s="371"/>
      <c r="AV149" s="367"/>
      <c r="AW149" s="371" t="str">
        <f>G149</f>
        <v>Магистр военного дела и безопасности</v>
      </c>
      <c r="AX149" s="372">
        <f>10*4325</f>
        <v>43250</v>
      </c>
      <c r="AY149" s="367"/>
      <c r="AZ149" s="367">
        <f t="shared" si="227"/>
        <v>135823.00699999998</v>
      </c>
      <c r="BA149" s="373">
        <f t="shared" si="197"/>
        <v>358407.02449999994</v>
      </c>
      <c r="BB149" s="374">
        <f t="shared" si="198"/>
        <v>35840.702449999997</v>
      </c>
      <c r="BC149" s="374">
        <f t="shared" si="199"/>
        <v>7168.1404899999989</v>
      </c>
      <c r="BD149" s="374">
        <f t="shared" si="200"/>
        <v>25484.818155999994</v>
      </c>
      <c r="BE149" s="374">
        <f t="shared" si="201"/>
        <v>289913.36340399995</v>
      </c>
      <c r="BF149" s="374">
        <f t="shared" si="202"/>
        <v>4300884.2939999998</v>
      </c>
      <c r="BG149" s="374">
        <f t="shared" si="203"/>
        <v>445168.03499999997</v>
      </c>
      <c r="BH149" s="374">
        <f t="shared" si="204"/>
        <v>4746052.3289999999</v>
      </c>
      <c r="BI149" s="374">
        <f t="shared" si="205"/>
        <v>166111.83151500003</v>
      </c>
      <c r="BJ149" s="374">
        <f t="shared" si="206"/>
        <v>246824.88031919999</v>
      </c>
      <c r="BK149" s="374">
        <f t="shared" si="207"/>
        <v>213572.35480500001</v>
      </c>
      <c r="BL149" s="374">
        <f t="shared" si="208"/>
        <v>142381.56986999998</v>
      </c>
      <c r="BM149" s="373">
        <f t="shared" si="228"/>
        <v>5514942.9655092005</v>
      </c>
      <c r="BN149" s="375">
        <v>0.5</v>
      </c>
      <c r="BO149" s="376"/>
      <c r="BP149" s="377"/>
      <c r="BQ149" s="377"/>
      <c r="BR149" s="377"/>
      <c r="BS149" s="377"/>
      <c r="BT149" s="377"/>
      <c r="BU149" s="377"/>
      <c r="BV149" s="377"/>
      <c r="BW149" s="377"/>
      <c r="BX149" s="377"/>
      <c r="BY149" s="377"/>
      <c r="BZ149" s="377"/>
      <c r="CA149" s="377"/>
      <c r="CB149" s="377"/>
      <c r="CC149" s="377"/>
      <c r="CD149" s="377"/>
      <c r="CE149" s="377"/>
      <c r="CF149" s="377"/>
      <c r="CG149" s="377"/>
      <c r="CH149" s="377"/>
      <c r="CI149" s="377"/>
    </row>
    <row r="150" spans="1:87" ht="31.5">
      <c r="A150" s="369">
        <f t="shared" ref="A150:B154" si="229">A149+1</f>
        <v>126</v>
      </c>
      <c r="B150" s="416">
        <f t="shared" si="229"/>
        <v>3</v>
      </c>
      <c r="C150" s="525" t="s">
        <v>1336</v>
      </c>
      <c r="D150" s="412" t="s">
        <v>1337</v>
      </c>
      <c r="E150" s="366" t="s">
        <v>998</v>
      </c>
      <c r="F150" s="366"/>
      <c r="G150" s="366"/>
      <c r="H150" s="371" t="s">
        <v>1451</v>
      </c>
      <c r="I150" s="366">
        <v>17697</v>
      </c>
      <c r="J150" s="367">
        <v>10.6</v>
      </c>
      <c r="K150" s="367">
        <f t="shared" si="212"/>
        <v>187588.19999999998</v>
      </c>
      <c r="L150" s="380"/>
      <c r="M150" s="380"/>
      <c r="N150" s="380"/>
      <c r="O150" s="380"/>
      <c r="P150" s="380"/>
      <c r="Q150" s="368">
        <f t="shared" si="213"/>
        <v>0</v>
      </c>
      <c r="R150" s="380"/>
      <c r="S150" s="380"/>
      <c r="T150" s="380"/>
      <c r="U150" s="380"/>
      <c r="V150" s="380">
        <v>8</v>
      </c>
      <c r="W150" s="381">
        <f t="shared" si="214"/>
        <v>8</v>
      </c>
      <c r="X150" s="370">
        <f t="shared" si="215"/>
        <v>8</v>
      </c>
      <c r="Y150" s="367">
        <f t="shared" si="216"/>
        <v>93794.099999999991</v>
      </c>
      <c r="Z150" s="367">
        <f t="shared" si="217"/>
        <v>9379.41</v>
      </c>
      <c r="AA150" s="372"/>
      <c r="AB150" s="367">
        <f t="shared" si="218"/>
        <v>0</v>
      </c>
      <c r="AC150" s="372"/>
      <c r="AD150" s="367">
        <f t="shared" si="219"/>
        <v>0</v>
      </c>
      <c r="AE150" s="366"/>
      <c r="AF150" s="366"/>
      <c r="AG150" s="367"/>
      <c r="AH150" s="366"/>
      <c r="AI150" s="367"/>
      <c r="AJ150" s="372"/>
      <c r="AK150" s="367"/>
      <c r="AL150" s="366">
        <f t="shared" si="220"/>
        <v>8</v>
      </c>
      <c r="AM150" s="367">
        <f t="shared" si="221"/>
        <v>28138.229999999996</v>
      </c>
      <c r="AN150" s="366">
        <f t="shared" si="222"/>
        <v>0</v>
      </c>
      <c r="AO150" s="367" t="str">
        <f t="shared" si="223"/>
        <v>0</v>
      </c>
      <c r="AP150" s="367" t="str">
        <f t="shared" si="224"/>
        <v>0</v>
      </c>
      <c r="AQ150" s="367" t="str">
        <f t="shared" si="225"/>
        <v>0</v>
      </c>
      <c r="AR150" s="367" t="str">
        <f t="shared" si="226"/>
        <v>0</v>
      </c>
      <c r="AS150" s="366"/>
      <c r="AT150" s="367"/>
      <c r="AU150" s="371"/>
      <c r="AV150" s="367"/>
      <c r="AW150" s="371"/>
      <c r="AX150" s="372"/>
      <c r="AY150" s="367"/>
      <c r="AZ150" s="367">
        <f t="shared" si="227"/>
        <v>37517.64</v>
      </c>
      <c r="BA150" s="373">
        <f t="shared" si="197"/>
        <v>131311.74</v>
      </c>
      <c r="BB150" s="374">
        <f t="shared" si="198"/>
        <v>13131.173999999999</v>
      </c>
      <c r="BC150" s="374">
        <f t="shared" si="199"/>
        <v>2626.2347999999997</v>
      </c>
      <c r="BD150" s="374">
        <f t="shared" si="200"/>
        <v>5500.4331199999988</v>
      </c>
      <c r="BE150" s="374">
        <f t="shared" si="201"/>
        <v>110053.89807999998</v>
      </c>
      <c r="BF150" s="374">
        <f t="shared" si="202"/>
        <v>1575740.88</v>
      </c>
      <c r="BG150" s="374">
        <f t="shared" si="203"/>
        <v>187588.19999999998</v>
      </c>
      <c r="BH150" s="374">
        <f t="shared" si="204"/>
        <v>1763329.0799999998</v>
      </c>
      <c r="BI150" s="374">
        <f t="shared" si="205"/>
        <v>61716.517800000001</v>
      </c>
      <c r="BJ150" s="374">
        <f t="shared" si="206"/>
        <v>91753.140383999998</v>
      </c>
      <c r="BK150" s="374">
        <f t="shared" si="207"/>
        <v>79349.808599999989</v>
      </c>
      <c r="BL150" s="374">
        <f t="shared" si="208"/>
        <v>52899.872399999993</v>
      </c>
      <c r="BM150" s="373">
        <f t="shared" si="228"/>
        <v>2049048.419184</v>
      </c>
      <c r="BN150" s="375"/>
      <c r="BO150" s="377"/>
      <c r="BP150" s="377"/>
      <c r="BQ150" s="377"/>
      <c r="BR150" s="377"/>
      <c r="BS150" s="377"/>
      <c r="BT150" s="377"/>
      <c r="BU150" s="377"/>
      <c r="BV150" s="377"/>
      <c r="BW150" s="377"/>
      <c r="BX150" s="377"/>
      <c r="BY150" s="377"/>
      <c r="BZ150" s="377"/>
      <c r="CA150" s="377"/>
      <c r="CB150" s="377"/>
      <c r="CC150" s="377"/>
      <c r="CD150" s="377"/>
      <c r="CE150" s="377"/>
      <c r="CF150" s="377"/>
      <c r="CG150" s="377"/>
      <c r="CH150" s="377"/>
      <c r="CI150" s="377"/>
    </row>
    <row r="151" spans="1:87" ht="47.25">
      <c r="A151" s="369">
        <f t="shared" si="229"/>
        <v>127</v>
      </c>
      <c r="B151" s="416">
        <f t="shared" si="229"/>
        <v>4</v>
      </c>
      <c r="C151" s="409" t="s">
        <v>1339</v>
      </c>
      <c r="D151" s="412" t="s">
        <v>1340</v>
      </c>
      <c r="E151" s="366" t="s">
        <v>998</v>
      </c>
      <c r="F151" s="508" t="s">
        <v>1005</v>
      </c>
      <c r="G151" s="366"/>
      <c r="H151" s="371" t="s">
        <v>1341</v>
      </c>
      <c r="I151" s="366">
        <v>17697</v>
      </c>
      <c r="J151" s="367">
        <v>11.4</v>
      </c>
      <c r="K151" s="367">
        <f t="shared" si="212"/>
        <v>201745.80000000002</v>
      </c>
      <c r="L151" s="380"/>
      <c r="M151" s="380"/>
      <c r="N151" s="380">
        <v>8</v>
      </c>
      <c r="O151" s="380"/>
      <c r="P151" s="380"/>
      <c r="Q151" s="368">
        <f t="shared" si="213"/>
        <v>8</v>
      </c>
      <c r="R151" s="380"/>
      <c r="S151" s="380"/>
      <c r="T151" s="380">
        <v>8</v>
      </c>
      <c r="U151" s="380"/>
      <c r="V151" s="380"/>
      <c r="W151" s="381">
        <f t="shared" si="214"/>
        <v>8</v>
      </c>
      <c r="X151" s="370">
        <f t="shared" si="215"/>
        <v>16</v>
      </c>
      <c r="Y151" s="367">
        <f t="shared" si="216"/>
        <v>201745.80000000002</v>
      </c>
      <c r="Z151" s="367">
        <f t="shared" si="217"/>
        <v>20174.580000000002</v>
      </c>
      <c r="AA151" s="372"/>
      <c r="AB151" s="367">
        <f t="shared" si="218"/>
        <v>0</v>
      </c>
      <c r="AC151" s="372"/>
      <c r="AD151" s="367">
        <f t="shared" si="219"/>
        <v>0</v>
      </c>
      <c r="AE151" s="366"/>
      <c r="AF151" s="366"/>
      <c r="AG151" s="367"/>
      <c r="AH151" s="366"/>
      <c r="AI151" s="367"/>
      <c r="AJ151" s="372"/>
      <c r="AK151" s="367"/>
      <c r="AL151" s="366">
        <f t="shared" si="220"/>
        <v>16</v>
      </c>
      <c r="AM151" s="367">
        <f t="shared" si="221"/>
        <v>60523.740000000005</v>
      </c>
      <c r="AN151" s="366" t="str">
        <f t="shared" si="222"/>
        <v>Педагог-зерттеуші</v>
      </c>
      <c r="AO151" s="367" t="str">
        <f t="shared" si="223"/>
        <v>0</v>
      </c>
      <c r="AP151" s="367">
        <f t="shared" si="224"/>
        <v>80698.320000000007</v>
      </c>
      <c r="AQ151" s="367" t="str">
        <f t="shared" si="225"/>
        <v>0</v>
      </c>
      <c r="AR151" s="367" t="str">
        <f t="shared" si="226"/>
        <v>0</v>
      </c>
      <c r="AS151" s="366"/>
      <c r="AT151" s="367"/>
      <c r="AU151" s="371"/>
      <c r="AV151" s="367"/>
      <c r="AW151" s="371"/>
      <c r="AX151" s="372"/>
      <c r="AY151" s="367"/>
      <c r="AZ151" s="367">
        <f t="shared" si="227"/>
        <v>161396.64000000001</v>
      </c>
      <c r="BA151" s="373">
        <f t="shared" si="197"/>
        <v>363142.44000000006</v>
      </c>
      <c r="BB151" s="374">
        <f t="shared" si="198"/>
        <v>36314.244000000006</v>
      </c>
      <c r="BC151" s="374">
        <f t="shared" si="199"/>
        <v>7262.8488000000016</v>
      </c>
      <c r="BD151" s="374">
        <f t="shared" si="200"/>
        <v>25901.534720000011</v>
      </c>
      <c r="BE151" s="374">
        <f t="shared" si="201"/>
        <v>293663.81248000008</v>
      </c>
      <c r="BF151" s="374">
        <f t="shared" si="202"/>
        <v>4357709.2800000012</v>
      </c>
      <c r="BG151" s="374">
        <f t="shared" si="203"/>
        <v>403491.60000000003</v>
      </c>
      <c r="BH151" s="374">
        <f t="shared" si="204"/>
        <v>4761200.8800000008</v>
      </c>
      <c r="BI151" s="374">
        <f t="shared" si="205"/>
        <v>166642.03080000004</v>
      </c>
      <c r="BJ151" s="374">
        <f t="shared" si="206"/>
        <v>247517.88710400002</v>
      </c>
      <c r="BK151" s="374">
        <f t="shared" si="207"/>
        <v>214254.03960000008</v>
      </c>
      <c r="BL151" s="374">
        <f t="shared" si="208"/>
        <v>142836.02640000003</v>
      </c>
      <c r="BM151" s="373">
        <f t="shared" si="228"/>
        <v>5532450.8639040003</v>
      </c>
      <c r="BN151" s="375"/>
      <c r="BO151" s="377"/>
      <c r="BP151" s="377"/>
      <c r="BQ151" s="377"/>
      <c r="BR151" s="377"/>
      <c r="BS151" s="377"/>
      <c r="BT151" s="377"/>
      <c r="BU151" s="377"/>
      <c r="BV151" s="377"/>
      <c r="BW151" s="377"/>
      <c r="BX151" s="377"/>
      <c r="BY151" s="377"/>
      <c r="BZ151" s="377"/>
      <c r="CA151" s="377"/>
      <c r="CB151" s="377"/>
      <c r="CC151" s="377"/>
      <c r="CD151" s="377"/>
      <c r="CE151" s="377"/>
      <c r="CF151" s="377"/>
      <c r="CG151" s="377"/>
      <c r="CH151" s="377"/>
      <c r="CI151" s="377"/>
    </row>
    <row r="152" spans="1:87" ht="63">
      <c r="A152" s="369">
        <f t="shared" si="229"/>
        <v>128</v>
      </c>
      <c r="B152" s="416">
        <f t="shared" si="229"/>
        <v>5</v>
      </c>
      <c r="C152" s="409" t="s">
        <v>1342</v>
      </c>
      <c r="D152" s="412" t="s">
        <v>1343</v>
      </c>
      <c r="E152" s="366" t="s">
        <v>998</v>
      </c>
      <c r="F152" s="1314" t="s">
        <v>254</v>
      </c>
      <c r="G152" s="366"/>
      <c r="H152" s="371" t="s">
        <v>1452</v>
      </c>
      <c r="I152" s="366">
        <v>17697</v>
      </c>
      <c r="J152" s="509">
        <v>10.6</v>
      </c>
      <c r="K152" s="367">
        <f t="shared" si="212"/>
        <v>187588.19999999998</v>
      </c>
      <c r="L152" s="380">
        <v>20</v>
      </c>
      <c r="M152" s="380">
        <v>4</v>
      </c>
      <c r="N152" s="380"/>
      <c r="O152" s="380"/>
      <c r="P152" s="380"/>
      <c r="Q152" s="368">
        <f t="shared" si="213"/>
        <v>24</v>
      </c>
      <c r="R152" s="380"/>
      <c r="S152" s="380"/>
      <c r="T152" s="380"/>
      <c r="U152" s="380">
        <v>8</v>
      </c>
      <c r="V152" s="380"/>
      <c r="W152" s="381">
        <f t="shared" si="214"/>
        <v>8</v>
      </c>
      <c r="X152" s="370">
        <f t="shared" si="215"/>
        <v>32</v>
      </c>
      <c r="Y152" s="367">
        <f t="shared" si="216"/>
        <v>375176.39999999997</v>
      </c>
      <c r="Z152" s="367">
        <f t="shared" si="217"/>
        <v>37517.64</v>
      </c>
      <c r="AA152" s="372"/>
      <c r="AB152" s="367">
        <f t="shared" si="218"/>
        <v>0</v>
      </c>
      <c r="AC152" s="372"/>
      <c r="AD152" s="367">
        <f t="shared" si="219"/>
        <v>0</v>
      </c>
      <c r="AE152" s="366"/>
      <c r="AF152" s="366"/>
      <c r="AG152" s="367"/>
      <c r="AH152" s="366"/>
      <c r="AI152" s="367"/>
      <c r="AJ152" s="372"/>
      <c r="AK152" s="367"/>
      <c r="AL152" s="366">
        <f t="shared" si="220"/>
        <v>32</v>
      </c>
      <c r="AM152" s="367">
        <f t="shared" si="221"/>
        <v>112552.91999999998</v>
      </c>
      <c r="AN152" s="366" t="str">
        <f t="shared" si="222"/>
        <v>Педагог-модератор</v>
      </c>
      <c r="AO152" s="367" t="str">
        <f t="shared" si="223"/>
        <v>0</v>
      </c>
      <c r="AP152" s="367" t="str">
        <f t="shared" si="224"/>
        <v>0</v>
      </c>
      <c r="AQ152" s="367" t="str">
        <f t="shared" si="225"/>
        <v>0</v>
      </c>
      <c r="AR152" s="367">
        <f t="shared" si="226"/>
        <v>112552.91999999998</v>
      </c>
      <c r="AS152" s="366"/>
      <c r="AT152" s="367"/>
      <c r="AU152" s="371"/>
      <c r="AV152" s="367"/>
      <c r="AW152" s="371"/>
      <c r="AX152" s="372"/>
      <c r="AY152" s="367"/>
      <c r="AZ152" s="367">
        <f t="shared" si="227"/>
        <v>262623.48</v>
      </c>
      <c r="BA152" s="373">
        <f t="shared" si="197"/>
        <v>637799.87999999989</v>
      </c>
      <c r="BB152" s="374">
        <f t="shared" si="198"/>
        <v>63779.98799999999</v>
      </c>
      <c r="BC152" s="374">
        <f t="shared" si="199"/>
        <v>12755.997599999999</v>
      </c>
      <c r="BD152" s="374">
        <f t="shared" si="200"/>
        <v>50071.389439999992</v>
      </c>
      <c r="BE152" s="374">
        <f t="shared" si="201"/>
        <v>511192.50495999987</v>
      </c>
      <c r="BF152" s="374">
        <f t="shared" si="202"/>
        <v>7653598.5599999987</v>
      </c>
      <c r="BG152" s="374">
        <f t="shared" si="203"/>
        <v>750352.79999999993</v>
      </c>
      <c r="BH152" s="374">
        <f t="shared" si="204"/>
        <v>8403951.3599999994</v>
      </c>
      <c r="BI152" s="374">
        <f t="shared" si="205"/>
        <v>294138.29759999999</v>
      </c>
      <c r="BJ152" s="374">
        <f t="shared" si="206"/>
        <v>436975.45660799998</v>
      </c>
      <c r="BK152" s="374">
        <f t="shared" si="207"/>
        <v>378177.8112</v>
      </c>
      <c r="BL152" s="374">
        <f t="shared" si="208"/>
        <v>252118.54079999996</v>
      </c>
      <c r="BM152" s="373">
        <f t="shared" si="228"/>
        <v>9765361.4662079979</v>
      </c>
      <c r="BN152" s="375"/>
      <c r="BO152" s="377"/>
      <c r="BP152" s="377"/>
      <c r="BQ152" s="377"/>
      <c r="BR152" s="377"/>
      <c r="BS152" s="377"/>
      <c r="BT152" s="377"/>
      <c r="BU152" s="377"/>
      <c r="BV152" s="377"/>
      <c r="BW152" s="377"/>
      <c r="BX152" s="377"/>
      <c r="BY152" s="377"/>
      <c r="BZ152" s="377"/>
      <c r="CA152" s="377"/>
      <c r="CB152" s="377"/>
      <c r="CC152" s="377"/>
      <c r="CD152" s="377"/>
      <c r="CE152" s="377"/>
      <c r="CF152" s="377"/>
      <c r="CG152" s="377"/>
      <c r="CH152" s="377"/>
      <c r="CI152" s="377"/>
    </row>
    <row r="153" spans="1:87" ht="47.25">
      <c r="A153" s="369">
        <f t="shared" si="229"/>
        <v>129</v>
      </c>
      <c r="B153" s="416">
        <f t="shared" si="229"/>
        <v>6</v>
      </c>
      <c r="C153" s="409" t="s">
        <v>1345</v>
      </c>
      <c r="D153" s="412" t="s">
        <v>1346</v>
      </c>
      <c r="E153" s="366" t="s">
        <v>998</v>
      </c>
      <c r="F153" s="366"/>
      <c r="G153" s="366"/>
      <c r="H153" s="371" t="s">
        <v>1403</v>
      </c>
      <c r="I153" s="366">
        <v>17697</v>
      </c>
      <c r="J153" s="435">
        <v>9.5</v>
      </c>
      <c r="K153" s="367">
        <f t="shared" si="212"/>
        <v>168121.5</v>
      </c>
      <c r="L153" s="380"/>
      <c r="M153" s="380">
        <v>16</v>
      </c>
      <c r="N153" s="380"/>
      <c r="O153" s="380"/>
      <c r="P153" s="380"/>
      <c r="Q153" s="368">
        <f t="shared" si="213"/>
        <v>16</v>
      </c>
      <c r="R153" s="380"/>
      <c r="S153" s="380">
        <v>2</v>
      </c>
      <c r="T153" s="380">
        <v>1</v>
      </c>
      <c r="U153" s="380">
        <v>1</v>
      </c>
      <c r="V153" s="380">
        <v>1</v>
      </c>
      <c r="W153" s="381">
        <f t="shared" si="214"/>
        <v>5</v>
      </c>
      <c r="X153" s="370">
        <f t="shared" si="215"/>
        <v>21</v>
      </c>
      <c r="Y153" s="367">
        <f t="shared" si="216"/>
        <v>220659.46875</v>
      </c>
      <c r="Z153" s="367">
        <f t="shared" si="217"/>
        <v>22065.946875000001</v>
      </c>
      <c r="AA153" s="372"/>
      <c r="AB153" s="367">
        <f t="shared" si="218"/>
        <v>0</v>
      </c>
      <c r="AC153" s="372"/>
      <c r="AD153" s="367">
        <f t="shared" si="219"/>
        <v>0</v>
      </c>
      <c r="AE153" s="366"/>
      <c r="AF153" s="366"/>
      <c r="AG153" s="367"/>
      <c r="AH153" s="366" t="s">
        <v>1347</v>
      </c>
      <c r="AI153" s="367">
        <f>I153*200%</f>
        <v>35394</v>
      </c>
      <c r="AJ153" s="372"/>
      <c r="AK153" s="367"/>
      <c r="AL153" s="366">
        <f t="shared" si="220"/>
        <v>21</v>
      </c>
      <c r="AM153" s="367">
        <f t="shared" si="221"/>
        <v>66197.840624999997</v>
      </c>
      <c r="AN153" s="366">
        <f t="shared" si="222"/>
        <v>0</v>
      </c>
      <c r="AO153" s="367" t="str">
        <f t="shared" si="223"/>
        <v>0</v>
      </c>
      <c r="AP153" s="367" t="str">
        <f t="shared" si="224"/>
        <v>0</v>
      </c>
      <c r="AQ153" s="367" t="str">
        <f t="shared" si="225"/>
        <v>0</v>
      </c>
      <c r="AR153" s="367" t="str">
        <f t="shared" si="226"/>
        <v>0</v>
      </c>
      <c r="AS153" s="366"/>
      <c r="AT153" s="367"/>
      <c r="AU153" s="366"/>
      <c r="AV153" s="367"/>
      <c r="AW153" s="371"/>
      <c r="AX153" s="372"/>
      <c r="AY153" s="367"/>
      <c r="AZ153" s="367">
        <f t="shared" si="227"/>
        <v>123657.78750000001</v>
      </c>
      <c r="BA153" s="373">
        <f t="shared" si="197"/>
        <v>344317.25624999998</v>
      </c>
      <c r="BB153" s="374">
        <f t="shared" si="198"/>
        <v>34431.725624999999</v>
      </c>
      <c r="BC153" s="374">
        <f t="shared" si="199"/>
        <v>6886.3451249999998</v>
      </c>
      <c r="BD153" s="374">
        <f t="shared" si="200"/>
        <v>24244.918549999999</v>
      </c>
      <c r="BE153" s="374">
        <f t="shared" si="201"/>
        <v>278754.26694999996</v>
      </c>
      <c r="BF153" s="374">
        <f t="shared" si="202"/>
        <v>4131807.0749999997</v>
      </c>
      <c r="BG153" s="374">
        <f t="shared" si="203"/>
        <v>441318.9375</v>
      </c>
      <c r="BH153" s="374">
        <f t="shared" si="204"/>
        <v>4573126.0124999993</v>
      </c>
      <c r="BI153" s="374">
        <f t="shared" si="205"/>
        <v>160059.41043749999</v>
      </c>
      <c r="BJ153" s="374">
        <f t="shared" si="206"/>
        <v>237858.82910999996</v>
      </c>
      <c r="BK153" s="374">
        <f t="shared" si="207"/>
        <v>205790.67056249999</v>
      </c>
      <c r="BL153" s="374">
        <f t="shared" si="208"/>
        <v>137193.78037499997</v>
      </c>
      <c r="BM153" s="373">
        <f t="shared" si="228"/>
        <v>5314028.7029849999</v>
      </c>
      <c r="BN153" s="375"/>
      <c r="BO153" s="377"/>
      <c r="BP153" s="377"/>
      <c r="BQ153" s="377"/>
      <c r="BR153" s="377"/>
      <c r="BS153" s="377"/>
      <c r="BT153" s="377"/>
      <c r="BU153" s="377"/>
      <c r="BV153" s="377"/>
      <c r="BW153" s="377"/>
      <c r="BX153" s="377"/>
      <c r="BY153" s="377"/>
      <c r="BZ153" s="377"/>
      <c r="CA153" s="377"/>
      <c r="CB153" s="377"/>
      <c r="CC153" s="377"/>
      <c r="CD153" s="377"/>
      <c r="CE153" s="377"/>
      <c r="CF153" s="377"/>
      <c r="CG153" s="377"/>
      <c r="CH153" s="377"/>
      <c r="CI153" s="377"/>
    </row>
    <row r="154" spans="1:87" ht="47.25">
      <c r="A154" s="369">
        <f t="shared" si="229"/>
        <v>130</v>
      </c>
      <c r="B154" s="416">
        <f t="shared" si="229"/>
        <v>7</v>
      </c>
      <c r="C154" s="409" t="s">
        <v>1348</v>
      </c>
      <c r="D154" s="412" t="s">
        <v>1349</v>
      </c>
      <c r="E154" s="366" t="s">
        <v>998</v>
      </c>
      <c r="F154" s="1314" t="s">
        <v>254</v>
      </c>
      <c r="G154" s="366" t="s">
        <v>1350</v>
      </c>
      <c r="H154" s="371" t="s">
        <v>1453</v>
      </c>
      <c r="I154" s="366">
        <v>17697</v>
      </c>
      <c r="J154" s="509">
        <v>10.82</v>
      </c>
      <c r="K154" s="367">
        <f t="shared" si="212"/>
        <v>191481.54</v>
      </c>
      <c r="L154" s="380"/>
      <c r="M154" s="380"/>
      <c r="N154" s="380">
        <v>6</v>
      </c>
      <c r="O154" s="380">
        <v>18</v>
      </c>
      <c r="P154" s="380"/>
      <c r="Q154" s="368">
        <f t="shared" si="213"/>
        <v>24</v>
      </c>
      <c r="R154" s="380"/>
      <c r="S154" s="380">
        <v>8</v>
      </c>
      <c r="T154" s="380"/>
      <c r="U154" s="380"/>
      <c r="V154" s="380"/>
      <c r="W154" s="381">
        <f t="shared" si="214"/>
        <v>8</v>
      </c>
      <c r="X154" s="370">
        <f t="shared" si="215"/>
        <v>32</v>
      </c>
      <c r="Y154" s="367">
        <f t="shared" si="216"/>
        <v>382963.08</v>
      </c>
      <c r="Z154" s="367">
        <f t="shared" si="217"/>
        <v>38296.308000000005</v>
      </c>
      <c r="AA154" s="372"/>
      <c r="AB154" s="367">
        <f t="shared" si="218"/>
        <v>0</v>
      </c>
      <c r="AC154" s="372"/>
      <c r="AD154" s="367">
        <f t="shared" si="219"/>
        <v>0</v>
      </c>
      <c r="AE154" s="366"/>
      <c r="AF154" s="366"/>
      <c r="AG154" s="367"/>
      <c r="AH154" s="366"/>
      <c r="AI154" s="367"/>
      <c r="AJ154" s="372"/>
      <c r="AK154" s="367"/>
      <c r="AL154" s="366">
        <f t="shared" si="220"/>
        <v>32</v>
      </c>
      <c r="AM154" s="367">
        <f t="shared" si="221"/>
        <v>114888.924</v>
      </c>
      <c r="AN154" s="366" t="str">
        <f t="shared" si="222"/>
        <v>Педагог-модератор</v>
      </c>
      <c r="AO154" s="367" t="str">
        <f t="shared" si="223"/>
        <v>0</v>
      </c>
      <c r="AP154" s="367" t="str">
        <f t="shared" si="224"/>
        <v>0</v>
      </c>
      <c r="AQ154" s="367" t="str">
        <f t="shared" si="225"/>
        <v>0</v>
      </c>
      <c r="AR154" s="367">
        <f t="shared" si="226"/>
        <v>114888.924</v>
      </c>
      <c r="AS154" s="366"/>
      <c r="AT154" s="367"/>
      <c r="AU154" s="371"/>
      <c r="AV154" s="367"/>
      <c r="AW154" s="371" t="str">
        <f>G154</f>
        <v>Магистр физической культуры</v>
      </c>
      <c r="AX154" s="372">
        <f>10*4325</f>
        <v>43250</v>
      </c>
      <c r="AY154" s="367"/>
      <c r="AZ154" s="367">
        <f t="shared" si="227"/>
        <v>311324.15600000002</v>
      </c>
      <c r="BA154" s="373">
        <f t="shared" si="197"/>
        <v>694287.23600000003</v>
      </c>
      <c r="BB154" s="374">
        <f t="shared" si="198"/>
        <v>69428.723600000012</v>
      </c>
      <c r="BC154" s="374">
        <f t="shared" si="199"/>
        <v>13885.744720000001</v>
      </c>
      <c r="BD154" s="374">
        <f t="shared" si="200"/>
        <v>55042.276768000011</v>
      </c>
      <c r="BE154" s="374">
        <f t="shared" si="201"/>
        <v>555930.49091200007</v>
      </c>
      <c r="BF154" s="374">
        <f t="shared" si="202"/>
        <v>8331446.8320000004</v>
      </c>
      <c r="BG154" s="374">
        <f t="shared" si="203"/>
        <v>765926.16</v>
      </c>
      <c r="BH154" s="374">
        <f t="shared" si="204"/>
        <v>9097372.9920000006</v>
      </c>
      <c r="BI154" s="374">
        <f t="shared" si="205"/>
        <v>318408.05472000007</v>
      </c>
      <c r="BJ154" s="374">
        <f t="shared" si="206"/>
        <v>472928.95853760006</v>
      </c>
      <c r="BK154" s="374">
        <f t="shared" si="207"/>
        <v>409381.78464000003</v>
      </c>
      <c r="BL154" s="374">
        <f t="shared" si="208"/>
        <v>272921.18975999998</v>
      </c>
      <c r="BM154" s="373">
        <f t="shared" si="228"/>
        <v>10571012.9796576</v>
      </c>
      <c r="BN154" s="375"/>
      <c r="BO154" s="377"/>
      <c r="BP154" s="377"/>
      <c r="BQ154" s="377"/>
      <c r="BR154" s="377"/>
      <c r="BS154" s="377"/>
      <c r="BT154" s="377"/>
      <c r="BU154" s="377"/>
      <c r="BV154" s="377"/>
      <c r="BW154" s="377"/>
      <c r="BX154" s="377"/>
      <c r="BY154" s="377"/>
      <c r="BZ154" s="377"/>
      <c r="CA154" s="377"/>
      <c r="CB154" s="377"/>
      <c r="CC154" s="377"/>
      <c r="CD154" s="377"/>
      <c r="CE154" s="377"/>
      <c r="CF154" s="377"/>
      <c r="CG154" s="377"/>
      <c r="CH154" s="377"/>
      <c r="CI154" s="377"/>
    </row>
    <row r="155" spans="1:87" ht="14.25">
      <c r="A155" s="489"/>
      <c r="B155" s="489"/>
      <c r="C155" s="516" t="s">
        <v>1162</v>
      </c>
      <c r="D155" s="516"/>
      <c r="E155" s="516"/>
      <c r="F155" s="490"/>
      <c r="G155" s="490"/>
      <c r="H155" s="491"/>
      <c r="I155" s="490"/>
      <c r="J155" s="490"/>
      <c r="K155" s="422">
        <f t="shared" ref="K155:AE155" si="230">SUM(K148:K154)</f>
        <v>1325859.24</v>
      </c>
      <c r="L155" s="422">
        <f t="shared" si="230"/>
        <v>20</v>
      </c>
      <c r="M155" s="422">
        <f t="shared" si="230"/>
        <v>20</v>
      </c>
      <c r="N155" s="422">
        <f t="shared" si="230"/>
        <v>18</v>
      </c>
      <c r="O155" s="422">
        <f t="shared" si="230"/>
        <v>27</v>
      </c>
      <c r="P155" s="422">
        <f t="shared" si="230"/>
        <v>27</v>
      </c>
      <c r="Q155" s="422">
        <f t="shared" si="230"/>
        <v>112</v>
      </c>
      <c r="R155" s="422">
        <f t="shared" si="230"/>
        <v>10</v>
      </c>
      <c r="S155" s="422">
        <f t="shared" si="230"/>
        <v>10</v>
      </c>
      <c r="T155" s="422">
        <f t="shared" si="230"/>
        <v>9</v>
      </c>
      <c r="U155" s="422">
        <f t="shared" si="230"/>
        <v>9</v>
      </c>
      <c r="V155" s="422">
        <f t="shared" si="230"/>
        <v>9</v>
      </c>
      <c r="W155" s="422">
        <f t="shared" si="230"/>
        <v>47</v>
      </c>
      <c r="X155" s="422">
        <f t="shared" si="230"/>
        <v>159</v>
      </c>
      <c r="Y155" s="422">
        <f t="shared" si="230"/>
        <v>1879885.94625</v>
      </c>
      <c r="Z155" s="422">
        <f t="shared" si="230"/>
        <v>187988.59462500003</v>
      </c>
      <c r="AA155" s="422">
        <f t="shared" si="230"/>
        <v>0</v>
      </c>
      <c r="AB155" s="422">
        <f t="shared" si="230"/>
        <v>0</v>
      </c>
      <c r="AC155" s="422">
        <f t="shared" si="230"/>
        <v>0</v>
      </c>
      <c r="AD155" s="422">
        <f t="shared" si="230"/>
        <v>0</v>
      </c>
      <c r="AE155" s="422">
        <f t="shared" si="230"/>
        <v>196600</v>
      </c>
      <c r="AF155" s="422">
        <v>1</v>
      </c>
      <c r="AG155" s="422">
        <f t="shared" ref="AG155:BN155" si="231">SUM(AG148:AG154)</f>
        <v>3539.4</v>
      </c>
      <c r="AH155" s="422">
        <v>1</v>
      </c>
      <c r="AI155" s="422">
        <f t="shared" si="231"/>
        <v>35394</v>
      </c>
      <c r="AJ155" s="422">
        <f t="shared" si="231"/>
        <v>0</v>
      </c>
      <c r="AK155" s="422">
        <f t="shared" si="231"/>
        <v>0</v>
      </c>
      <c r="AL155" s="422">
        <f t="shared" si="231"/>
        <v>159</v>
      </c>
      <c r="AM155" s="422">
        <f t="shared" si="231"/>
        <v>563965.78387499996</v>
      </c>
      <c r="AN155" s="422">
        <f t="shared" si="231"/>
        <v>0</v>
      </c>
      <c r="AO155" s="422">
        <f t="shared" si="231"/>
        <v>0</v>
      </c>
      <c r="AP155" s="422">
        <f t="shared" si="231"/>
        <v>233883.55200000003</v>
      </c>
      <c r="AQ155" s="422">
        <f t="shared" si="231"/>
        <v>0</v>
      </c>
      <c r="AR155" s="422">
        <f t="shared" si="231"/>
        <v>227441.84399999998</v>
      </c>
      <c r="AS155" s="422">
        <f t="shared" si="231"/>
        <v>0</v>
      </c>
      <c r="AT155" s="422">
        <f t="shared" si="231"/>
        <v>0</v>
      </c>
      <c r="AU155" s="422">
        <f t="shared" si="231"/>
        <v>0</v>
      </c>
      <c r="AV155" s="422">
        <f t="shared" si="231"/>
        <v>0</v>
      </c>
      <c r="AW155" s="422">
        <v>3</v>
      </c>
      <c r="AX155" s="422">
        <f t="shared" si="231"/>
        <v>129750</v>
      </c>
      <c r="AY155" s="422">
        <f t="shared" si="231"/>
        <v>0</v>
      </c>
      <c r="AZ155" s="422">
        <f t="shared" si="231"/>
        <v>1578563.1745000002</v>
      </c>
      <c r="BA155" s="1318">
        <f>SUM(BA148:BA154)</f>
        <v>3458449.1207500002</v>
      </c>
      <c r="BB155" s="1318">
        <f t="shared" ref="BB155:BM155" si="232">SUM(BB148:BB154)</f>
        <v>345844.912075</v>
      </c>
      <c r="BC155" s="1318">
        <f t="shared" si="232"/>
        <v>69168.982414999991</v>
      </c>
      <c r="BD155" s="1318">
        <f t="shared" si="232"/>
        <v>261958.52262600002</v>
      </c>
      <c r="BE155" s="1318">
        <f t="shared" si="232"/>
        <v>2781476.7036339999</v>
      </c>
      <c r="BF155" s="1318">
        <f t="shared" si="232"/>
        <v>41501389.449000001</v>
      </c>
      <c r="BG155" s="1318">
        <f t="shared" si="232"/>
        <v>3759771.8925000001</v>
      </c>
      <c r="BH155" s="1318">
        <f t="shared" si="232"/>
        <v>45261161.341499999</v>
      </c>
      <c r="BI155" s="1318">
        <f t="shared" si="232"/>
        <v>1584140.6469525003</v>
      </c>
      <c r="BJ155" s="1318">
        <f t="shared" si="232"/>
        <v>2352799.6556532001</v>
      </c>
      <c r="BK155" s="1318">
        <f t="shared" si="232"/>
        <v>2036752.2603675001</v>
      </c>
      <c r="BL155" s="1318">
        <f t="shared" si="232"/>
        <v>1357834.8402449999</v>
      </c>
      <c r="BM155" s="1318">
        <f t="shared" si="232"/>
        <v>52592688.744718201</v>
      </c>
      <c r="BN155" s="422">
        <f t="shared" si="231"/>
        <v>0.5</v>
      </c>
      <c r="BO155" s="355"/>
      <c r="BP155" s="355"/>
      <c r="BQ155" s="355"/>
      <c r="BR155" s="355"/>
      <c r="BS155" s="355"/>
      <c r="BT155" s="355"/>
      <c r="BU155" s="355"/>
      <c r="BV155" s="355"/>
      <c r="BW155" s="355"/>
      <c r="BX155" s="355"/>
      <c r="BY155" s="355"/>
      <c r="BZ155" s="355"/>
      <c r="CA155" s="355"/>
      <c r="CB155" s="355"/>
      <c r="CC155" s="355"/>
      <c r="CD155" s="355"/>
      <c r="CE155" s="355"/>
      <c r="CF155" s="355"/>
      <c r="CG155" s="355"/>
      <c r="CH155" s="355"/>
      <c r="CI155" s="356"/>
    </row>
    <row r="156" spans="1:87" ht="32.25" customHeight="1">
      <c r="A156" s="526">
        <f>A154+1</f>
        <v>131</v>
      </c>
      <c r="B156" s="527">
        <v>1</v>
      </c>
      <c r="C156" s="387" t="s">
        <v>1118</v>
      </c>
      <c r="D156" s="514" t="s">
        <v>1351</v>
      </c>
      <c r="E156" s="703" t="s">
        <v>1022</v>
      </c>
      <c r="F156" s="528"/>
      <c r="G156" s="529"/>
      <c r="H156" s="530" t="s">
        <v>1120</v>
      </c>
      <c r="I156" s="366">
        <v>17697</v>
      </c>
      <c r="J156" s="531">
        <v>9.56</v>
      </c>
      <c r="K156" s="367">
        <f t="shared" ref="K156:K163" si="233">I156*J156</f>
        <v>169183.32</v>
      </c>
      <c r="L156" s="380"/>
      <c r="M156" s="380">
        <v>3</v>
      </c>
      <c r="N156" s="380"/>
      <c r="O156" s="380"/>
      <c r="P156" s="380"/>
      <c r="Q156" s="368">
        <f t="shared" si="213"/>
        <v>3</v>
      </c>
      <c r="R156" s="380"/>
      <c r="S156" s="380"/>
      <c r="T156" s="380"/>
      <c r="U156" s="380"/>
      <c r="V156" s="380"/>
      <c r="W156" s="381">
        <f t="shared" si="214"/>
        <v>0</v>
      </c>
      <c r="X156" s="458">
        <f t="shared" ref="X156:X163" si="234">Q156+W156</f>
        <v>3</v>
      </c>
      <c r="Y156" s="367">
        <f t="shared" ref="Y156:Y163" si="235">K156/16*X156</f>
        <v>31721.872500000001</v>
      </c>
      <c r="Z156" s="367">
        <f t="shared" ref="Z156:Z163" si="236">Y156*10%</f>
        <v>3172.1872500000004</v>
      </c>
      <c r="AA156" s="372"/>
      <c r="AB156" s="367">
        <f t="shared" ref="AB156:AB163" si="237">I156/16*AA156*40%</f>
        <v>0</v>
      </c>
      <c r="AC156" s="372"/>
      <c r="AD156" s="367">
        <f t="shared" ref="AD156:AD163" si="238">I156/16*AC156*40%*50%</f>
        <v>0</v>
      </c>
      <c r="AE156" s="366"/>
      <c r="AF156" s="366"/>
      <c r="AG156" s="367"/>
      <c r="AH156" s="366"/>
      <c r="AI156" s="367"/>
      <c r="AJ156" s="372"/>
      <c r="AK156" s="367"/>
      <c r="AL156" s="366">
        <f t="shared" ref="AL156:AL163" si="239">X156</f>
        <v>3</v>
      </c>
      <c r="AM156" s="367">
        <f t="shared" ref="AM156:AM163" si="240">K156/16*AL156*30%</f>
        <v>9516.5617500000008</v>
      </c>
      <c r="AN156" s="366">
        <f t="shared" ref="AN156:AN163" si="241">F156</f>
        <v>0</v>
      </c>
      <c r="AO156" s="367" t="str">
        <f t="shared" ref="AO156:AO162" si="242">IF(AN156="Педагог-зерттеуші", "0", IF(AN156="Педагог-шебер",K156/16*X156*50%, IF(AN156="Педагог-сарапшы", "0", IF(AN156="Педагог-модератор", "0", "0"))))</f>
        <v>0</v>
      </c>
      <c r="AP156" s="367" t="str">
        <f t="shared" ref="AP156:AP163" si="243">IF(AN156="Педагог-шебер", "0", IF(AN156="Педагог-зерттеуші",K156/16*X156*40%, IF(AN156="Педагог-сарапшы", "0", IF(AN156="Педагог-модератор", "0", "0"))))</f>
        <v>0</v>
      </c>
      <c r="AQ156" s="367" t="str">
        <f t="shared" ref="AQ156:AQ163" si="244">IF(AN156="Педагог-шебер", "0", IF(AN156="Педагог-сарапшы",K156/16*X156*35%, IF(AN156="Педагог-зерттеуші", "0", IF(AN156="Педагог-модератор", "0", "0"))))</f>
        <v>0</v>
      </c>
      <c r="AR156" s="367" t="str">
        <f t="shared" ref="AR156:AR163" si="245">IF(AN156="Педагог-шебер", "0", IF(AN156="Педагог-модератор",K156/16*X156*30%, IF(AN156="Педагог-зерттеуші", "0", IF(AN156="Педагог-сарапшы", "0", "0"))))</f>
        <v>0</v>
      </c>
      <c r="AS156" s="366"/>
      <c r="AT156" s="367"/>
      <c r="AU156" s="371"/>
      <c r="AV156" s="367"/>
      <c r="AW156" s="371"/>
      <c r="AX156" s="372"/>
      <c r="AY156" s="367"/>
      <c r="AZ156" s="367">
        <f t="shared" ref="AZ156:AZ163" si="246">Z156+AB156+AD156+AE156+AG156+AI156+AK156+AM156+AO156+AP156+AQ156++AR156+AT156+AV156+AX156+AY156</f>
        <v>12688.749000000002</v>
      </c>
      <c r="BA156" s="373">
        <f t="shared" si="197"/>
        <v>44410.621500000001</v>
      </c>
      <c r="BB156" s="374">
        <f t="shared" si="198"/>
        <v>4441.0621500000007</v>
      </c>
      <c r="BC156" s="374">
        <f t="shared" si="199"/>
        <v>888.21243000000004</v>
      </c>
      <c r="BD156" s="374">
        <f t="shared" si="200"/>
        <v>-2146.8653079999999</v>
      </c>
      <c r="BE156" s="374">
        <f t="shared" si="201"/>
        <v>41228.212228000004</v>
      </c>
      <c r="BF156" s="374">
        <f t="shared" si="202"/>
        <v>532927.45799999998</v>
      </c>
      <c r="BG156" s="374">
        <f t="shared" si="203"/>
        <v>63443.745000000003</v>
      </c>
      <c r="BH156" s="374">
        <f t="shared" si="204"/>
        <v>596371.20299999998</v>
      </c>
      <c r="BI156" s="374">
        <f t="shared" si="205"/>
        <v>20872.992105000001</v>
      </c>
      <c r="BJ156" s="374">
        <f t="shared" si="206"/>
        <v>31031.604554399997</v>
      </c>
      <c r="BK156" s="374">
        <f t="shared" si="207"/>
        <v>26836.704135000004</v>
      </c>
      <c r="BL156" s="374">
        <f t="shared" si="208"/>
        <v>17891.13609</v>
      </c>
      <c r="BM156" s="373">
        <f t="shared" ref="BM156:BM163" si="247">BH156+BJ156+BK156+BL156+BI156</f>
        <v>693003.63988439995</v>
      </c>
      <c r="BN156" s="532"/>
      <c r="BO156" s="356"/>
      <c r="BP156" s="356"/>
      <c r="BQ156" s="356"/>
      <c r="BR156" s="356"/>
      <c r="BS156" s="356"/>
      <c r="BT156" s="356"/>
      <c r="BU156" s="356"/>
      <c r="BV156" s="356"/>
      <c r="BW156" s="356"/>
      <c r="BX156" s="356"/>
      <c r="BY156" s="356"/>
      <c r="BZ156" s="356"/>
      <c r="CA156" s="356"/>
      <c r="CB156" s="356"/>
      <c r="CC156" s="356"/>
      <c r="CD156" s="356"/>
      <c r="CE156" s="356"/>
      <c r="CF156" s="356"/>
      <c r="CG156" s="356"/>
      <c r="CH156" s="356"/>
      <c r="CI156" s="356"/>
    </row>
    <row r="157" spans="1:87" ht="47.25">
      <c r="A157" s="526">
        <f>A156+1</f>
        <v>132</v>
      </c>
      <c r="B157" s="527">
        <f>B156+1</f>
        <v>2</v>
      </c>
      <c r="C157" s="533" t="s">
        <v>1128</v>
      </c>
      <c r="D157" s="704" t="s">
        <v>1352</v>
      </c>
      <c r="E157" s="703" t="s">
        <v>1022</v>
      </c>
      <c r="F157" s="531"/>
      <c r="G157" s="531"/>
      <c r="H157" s="530" t="s">
        <v>1130</v>
      </c>
      <c r="I157" s="366">
        <v>17697</v>
      </c>
      <c r="J157" s="367">
        <v>9.56</v>
      </c>
      <c r="K157" s="367">
        <f t="shared" si="233"/>
        <v>169183.32</v>
      </c>
      <c r="L157" s="380"/>
      <c r="M157" s="380">
        <v>3</v>
      </c>
      <c r="N157" s="380">
        <v>4</v>
      </c>
      <c r="O157" s="380"/>
      <c r="P157" s="380"/>
      <c r="Q157" s="368">
        <f t="shared" si="213"/>
        <v>7</v>
      </c>
      <c r="R157" s="380"/>
      <c r="S157" s="380"/>
      <c r="T157" s="380"/>
      <c r="U157" s="380"/>
      <c r="V157" s="380"/>
      <c r="W157" s="381">
        <f t="shared" si="214"/>
        <v>0</v>
      </c>
      <c r="X157" s="458">
        <f t="shared" si="234"/>
        <v>7</v>
      </c>
      <c r="Y157" s="367">
        <f t="shared" si="235"/>
        <v>74017.702499999999</v>
      </c>
      <c r="Z157" s="367">
        <f t="shared" si="236"/>
        <v>7401.7702500000005</v>
      </c>
      <c r="AA157" s="372"/>
      <c r="AB157" s="367">
        <f t="shared" si="237"/>
        <v>0</v>
      </c>
      <c r="AC157" s="372"/>
      <c r="AD157" s="367">
        <f t="shared" si="238"/>
        <v>0</v>
      </c>
      <c r="AE157" s="366"/>
      <c r="AF157" s="366"/>
      <c r="AG157" s="367"/>
      <c r="AH157" s="366"/>
      <c r="AI157" s="367"/>
      <c r="AJ157" s="372"/>
      <c r="AK157" s="367"/>
      <c r="AL157" s="366">
        <f t="shared" si="239"/>
        <v>7</v>
      </c>
      <c r="AM157" s="367">
        <f t="shared" si="240"/>
        <v>22205.310750000001</v>
      </c>
      <c r="AN157" s="366">
        <f t="shared" si="241"/>
        <v>0</v>
      </c>
      <c r="AO157" s="367" t="str">
        <f t="shared" si="242"/>
        <v>0</v>
      </c>
      <c r="AP157" s="367" t="str">
        <f t="shared" si="243"/>
        <v>0</v>
      </c>
      <c r="AQ157" s="367" t="str">
        <f t="shared" si="244"/>
        <v>0</v>
      </c>
      <c r="AR157" s="367" t="str">
        <f t="shared" si="245"/>
        <v>0</v>
      </c>
      <c r="AS157" s="366"/>
      <c r="AT157" s="367"/>
      <c r="AU157" s="371"/>
      <c r="AV157" s="367"/>
      <c r="AW157" s="371">
        <f t="shared" ref="AW157:AW163" si="248">G157</f>
        <v>0</v>
      </c>
      <c r="AX157" s="372"/>
      <c r="AY157" s="367"/>
      <c r="AZ157" s="367">
        <f t="shared" si="246"/>
        <v>29607.081000000002</v>
      </c>
      <c r="BA157" s="373">
        <f t="shared" si="197"/>
        <v>103624.78350000001</v>
      </c>
      <c r="BB157" s="374">
        <f t="shared" si="198"/>
        <v>10362.478350000001</v>
      </c>
      <c r="BC157" s="374">
        <f t="shared" si="199"/>
        <v>2072.4956700000002</v>
      </c>
      <c r="BD157" s="374">
        <f t="shared" si="200"/>
        <v>3063.9809479999999</v>
      </c>
      <c r="BE157" s="374">
        <f t="shared" si="201"/>
        <v>88125.828532</v>
      </c>
      <c r="BF157" s="374">
        <f t="shared" si="202"/>
        <v>1243497.402</v>
      </c>
      <c r="BG157" s="374">
        <f t="shared" si="203"/>
        <v>148035.405</v>
      </c>
      <c r="BH157" s="374">
        <f t="shared" si="204"/>
        <v>1391532.807</v>
      </c>
      <c r="BI157" s="374">
        <f t="shared" si="205"/>
        <v>48703.648245000004</v>
      </c>
      <c r="BJ157" s="374">
        <f t="shared" si="206"/>
        <v>72407.077293600014</v>
      </c>
      <c r="BK157" s="374">
        <f t="shared" si="207"/>
        <v>62618.976315000007</v>
      </c>
      <c r="BL157" s="374">
        <f t="shared" si="208"/>
        <v>41745.984210000002</v>
      </c>
      <c r="BM157" s="373">
        <f t="shared" si="247"/>
        <v>1617008.4930636</v>
      </c>
      <c r="BN157" s="534"/>
      <c r="BO157" s="356"/>
      <c r="BP157" s="356"/>
      <c r="BQ157" s="356"/>
      <c r="BR157" s="356"/>
      <c r="BS157" s="356"/>
      <c r="BT157" s="356"/>
      <c r="BU157" s="356"/>
      <c r="BV157" s="356"/>
      <c r="BW157" s="356"/>
      <c r="BX157" s="356"/>
      <c r="BY157" s="356"/>
      <c r="BZ157" s="356"/>
      <c r="CA157" s="356"/>
      <c r="CB157" s="356"/>
      <c r="CC157" s="356"/>
      <c r="CD157" s="356"/>
      <c r="CE157" s="356"/>
      <c r="CF157" s="356"/>
      <c r="CG157" s="356"/>
      <c r="CH157" s="356"/>
      <c r="CI157" s="356"/>
    </row>
    <row r="158" spans="1:87" ht="45">
      <c r="A158" s="526">
        <f>A157+1</f>
        <v>133</v>
      </c>
      <c r="B158" s="527">
        <f>B157+1</f>
        <v>3</v>
      </c>
      <c r="C158" s="533" t="s">
        <v>1132</v>
      </c>
      <c r="D158" s="429" t="s">
        <v>1353</v>
      </c>
      <c r="E158" s="703" t="s">
        <v>1022</v>
      </c>
      <c r="F158" s="531"/>
      <c r="G158" s="531"/>
      <c r="H158" s="530" t="s">
        <v>1134</v>
      </c>
      <c r="I158" s="366">
        <v>17697</v>
      </c>
      <c r="J158" s="367">
        <v>8.14</v>
      </c>
      <c r="K158" s="367">
        <f t="shared" si="233"/>
        <v>144053.58000000002</v>
      </c>
      <c r="L158" s="380">
        <v>5</v>
      </c>
      <c r="M158" s="380">
        <v>2</v>
      </c>
      <c r="N158" s="380"/>
      <c r="O158" s="380"/>
      <c r="P158" s="380"/>
      <c r="Q158" s="368">
        <f t="shared" si="213"/>
        <v>7</v>
      </c>
      <c r="R158" s="380"/>
      <c r="S158" s="380"/>
      <c r="T158" s="380"/>
      <c r="U158" s="380"/>
      <c r="V158" s="380"/>
      <c r="W158" s="381">
        <f t="shared" si="214"/>
        <v>0</v>
      </c>
      <c r="X158" s="458">
        <f t="shared" si="234"/>
        <v>7</v>
      </c>
      <c r="Y158" s="367">
        <f t="shared" si="235"/>
        <v>63023.441250000003</v>
      </c>
      <c r="Z158" s="367">
        <f t="shared" si="236"/>
        <v>6302.3441250000005</v>
      </c>
      <c r="AA158" s="372"/>
      <c r="AB158" s="367">
        <f t="shared" si="237"/>
        <v>0</v>
      </c>
      <c r="AC158" s="372"/>
      <c r="AD158" s="367">
        <f t="shared" si="238"/>
        <v>0</v>
      </c>
      <c r="AE158" s="366"/>
      <c r="AF158" s="366"/>
      <c r="AG158" s="367"/>
      <c r="AH158" s="366"/>
      <c r="AI158" s="367"/>
      <c r="AJ158" s="372"/>
      <c r="AK158" s="367"/>
      <c r="AL158" s="366">
        <f t="shared" si="239"/>
        <v>7</v>
      </c>
      <c r="AM158" s="367">
        <f t="shared" si="240"/>
        <v>18907.032374999999</v>
      </c>
      <c r="AN158" s="366">
        <f t="shared" si="241"/>
        <v>0</v>
      </c>
      <c r="AO158" s="367" t="str">
        <f t="shared" si="242"/>
        <v>0</v>
      </c>
      <c r="AP158" s="367" t="str">
        <f t="shared" si="243"/>
        <v>0</v>
      </c>
      <c r="AQ158" s="367" t="str">
        <f t="shared" si="244"/>
        <v>0</v>
      </c>
      <c r="AR158" s="367" t="str">
        <f t="shared" si="245"/>
        <v>0</v>
      </c>
      <c r="AS158" s="366"/>
      <c r="AT158" s="367"/>
      <c r="AU158" s="371"/>
      <c r="AV158" s="367"/>
      <c r="AW158" s="371">
        <f t="shared" si="248"/>
        <v>0</v>
      </c>
      <c r="AX158" s="372"/>
      <c r="AY158" s="367"/>
      <c r="AZ158" s="367">
        <f t="shared" si="246"/>
        <v>25209.376499999998</v>
      </c>
      <c r="BA158" s="373">
        <f t="shared" si="197"/>
        <v>88232.817750000002</v>
      </c>
      <c r="BB158" s="374">
        <f t="shared" si="198"/>
        <v>8823.2817750000013</v>
      </c>
      <c r="BC158" s="374">
        <f t="shared" si="199"/>
        <v>1764.6563550000001</v>
      </c>
      <c r="BD158" s="374">
        <f t="shared" si="200"/>
        <v>1709.4879620000008</v>
      </c>
      <c r="BE158" s="374">
        <f t="shared" si="201"/>
        <v>75935.391658000008</v>
      </c>
      <c r="BF158" s="374">
        <f t="shared" si="202"/>
        <v>1058793.8130000001</v>
      </c>
      <c r="BG158" s="374">
        <f t="shared" si="203"/>
        <v>126046.88250000001</v>
      </c>
      <c r="BH158" s="374">
        <f t="shared" si="204"/>
        <v>1184840.6955000001</v>
      </c>
      <c r="BI158" s="374">
        <f t="shared" si="205"/>
        <v>41469.42434250001</v>
      </c>
      <c r="BJ158" s="374">
        <f t="shared" si="206"/>
        <v>61652.051168400008</v>
      </c>
      <c r="BK158" s="374">
        <f t="shared" si="207"/>
        <v>53317.831297500015</v>
      </c>
      <c r="BL158" s="374">
        <f t="shared" si="208"/>
        <v>35545.220865000003</v>
      </c>
      <c r="BM158" s="373">
        <f t="shared" si="247"/>
        <v>1376825.2231734004</v>
      </c>
      <c r="BN158" s="534"/>
      <c r="BO158" s="356"/>
      <c r="BP158" s="356"/>
      <c r="BQ158" s="356"/>
      <c r="BR158" s="356"/>
      <c r="BS158" s="356"/>
      <c r="BT158" s="356"/>
      <c r="BU158" s="356"/>
      <c r="BV158" s="356"/>
      <c r="BW158" s="356"/>
      <c r="BX158" s="356"/>
      <c r="BY158" s="356"/>
      <c r="BZ158" s="356"/>
      <c r="CA158" s="356"/>
      <c r="CB158" s="356"/>
      <c r="CC158" s="356"/>
      <c r="CD158" s="356"/>
      <c r="CE158" s="356"/>
      <c r="CF158" s="356"/>
      <c r="CG158" s="356"/>
      <c r="CH158" s="356"/>
      <c r="CI158" s="356"/>
    </row>
    <row r="159" spans="1:87" ht="45">
      <c r="A159" s="526">
        <f t="shared" ref="A159:B163" si="249">A158+1</f>
        <v>134</v>
      </c>
      <c r="B159" s="527">
        <f t="shared" si="249"/>
        <v>4</v>
      </c>
      <c r="C159" s="533" t="s">
        <v>1135</v>
      </c>
      <c r="D159" s="429" t="s">
        <v>1354</v>
      </c>
      <c r="E159" s="703" t="s">
        <v>1022</v>
      </c>
      <c r="F159" s="531"/>
      <c r="G159" s="531"/>
      <c r="H159" s="530" t="s">
        <v>1137</v>
      </c>
      <c r="I159" s="366">
        <v>17697</v>
      </c>
      <c r="J159" s="367">
        <v>9.0399999999999991</v>
      </c>
      <c r="K159" s="367">
        <f t="shared" si="233"/>
        <v>159980.87999999998</v>
      </c>
      <c r="L159" s="380"/>
      <c r="M159" s="380">
        <v>5</v>
      </c>
      <c r="N159" s="380">
        <v>5</v>
      </c>
      <c r="O159" s="380"/>
      <c r="P159" s="380"/>
      <c r="Q159" s="368">
        <f t="shared" si="213"/>
        <v>10</v>
      </c>
      <c r="R159" s="380"/>
      <c r="S159" s="380"/>
      <c r="T159" s="380"/>
      <c r="U159" s="380"/>
      <c r="V159" s="380"/>
      <c r="W159" s="381">
        <f t="shared" si="214"/>
        <v>0</v>
      </c>
      <c r="X159" s="458">
        <f t="shared" si="234"/>
        <v>10</v>
      </c>
      <c r="Y159" s="367">
        <f t="shared" si="235"/>
        <v>99988.049999999988</v>
      </c>
      <c r="Z159" s="367">
        <f t="shared" si="236"/>
        <v>9998.8050000000003</v>
      </c>
      <c r="AA159" s="372"/>
      <c r="AB159" s="367">
        <f t="shared" si="237"/>
        <v>0</v>
      </c>
      <c r="AC159" s="372"/>
      <c r="AD159" s="367">
        <f t="shared" si="238"/>
        <v>0</v>
      </c>
      <c r="AE159" s="366"/>
      <c r="AF159" s="366"/>
      <c r="AG159" s="367"/>
      <c r="AH159" s="366"/>
      <c r="AI159" s="367"/>
      <c r="AJ159" s="372"/>
      <c r="AK159" s="367"/>
      <c r="AL159" s="366">
        <f t="shared" si="239"/>
        <v>10</v>
      </c>
      <c r="AM159" s="367">
        <f t="shared" si="240"/>
        <v>29996.414999999994</v>
      </c>
      <c r="AN159" s="366">
        <f t="shared" si="241"/>
        <v>0</v>
      </c>
      <c r="AO159" s="367" t="str">
        <f t="shared" si="242"/>
        <v>0</v>
      </c>
      <c r="AP159" s="367" t="str">
        <f t="shared" si="243"/>
        <v>0</v>
      </c>
      <c r="AQ159" s="367" t="str">
        <f t="shared" si="244"/>
        <v>0</v>
      </c>
      <c r="AR159" s="367" t="str">
        <f t="shared" si="245"/>
        <v>0</v>
      </c>
      <c r="AS159" s="366"/>
      <c r="AT159" s="367"/>
      <c r="AU159" s="371"/>
      <c r="AV159" s="367"/>
      <c r="AW159" s="371">
        <f t="shared" si="248"/>
        <v>0</v>
      </c>
      <c r="AX159" s="372"/>
      <c r="AY159" s="367"/>
      <c r="AZ159" s="367">
        <f t="shared" si="246"/>
        <v>39995.219999999994</v>
      </c>
      <c r="BA159" s="373">
        <f t="shared" si="197"/>
        <v>139983.26999999999</v>
      </c>
      <c r="BB159" s="374">
        <f t="shared" si="198"/>
        <v>13998.326999999999</v>
      </c>
      <c r="BC159" s="374">
        <f t="shared" si="199"/>
        <v>2799.6653999999999</v>
      </c>
      <c r="BD159" s="374">
        <f t="shared" si="200"/>
        <v>6263.527759999999</v>
      </c>
      <c r="BE159" s="374">
        <f t="shared" si="201"/>
        <v>116921.74983999999</v>
      </c>
      <c r="BF159" s="374">
        <f t="shared" si="202"/>
        <v>1679799.2399999998</v>
      </c>
      <c r="BG159" s="374">
        <f t="shared" si="203"/>
        <v>199976.09999999998</v>
      </c>
      <c r="BH159" s="374">
        <f t="shared" si="204"/>
        <v>1879775.3399999999</v>
      </c>
      <c r="BI159" s="374">
        <f t="shared" si="205"/>
        <v>65792.136899999998</v>
      </c>
      <c r="BJ159" s="374">
        <f t="shared" si="206"/>
        <v>97812.310031999979</v>
      </c>
      <c r="BK159" s="374">
        <f t="shared" si="207"/>
        <v>84589.890299999999</v>
      </c>
      <c r="BL159" s="374">
        <f t="shared" si="208"/>
        <v>56393.260199999997</v>
      </c>
      <c r="BM159" s="373">
        <f t="shared" si="247"/>
        <v>2184362.9374319999</v>
      </c>
      <c r="BN159" s="534"/>
      <c r="BO159" s="356"/>
      <c r="BP159" s="356"/>
      <c r="BQ159" s="356"/>
      <c r="BR159" s="356"/>
      <c r="BS159" s="356"/>
      <c r="BT159" s="356"/>
      <c r="BU159" s="356"/>
      <c r="BV159" s="356"/>
      <c r="BW159" s="356"/>
      <c r="BX159" s="356"/>
      <c r="BY159" s="356"/>
      <c r="BZ159" s="356"/>
      <c r="CA159" s="356"/>
      <c r="CB159" s="356"/>
      <c r="CC159" s="356"/>
      <c r="CD159" s="356"/>
      <c r="CE159" s="356"/>
      <c r="CF159" s="356"/>
      <c r="CG159" s="356"/>
      <c r="CH159" s="356"/>
      <c r="CI159" s="356"/>
    </row>
    <row r="160" spans="1:87" ht="45">
      <c r="A160" s="526">
        <f t="shared" si="249"/>
        <v>135</v>
      </c>
      <c r="B160" s="527">
        <f t="shared" si="249"/>
        <v>5</v>
      </c>
      <c r="C160" s="533" t="s">
        <v>1140</v>
      </c>
      <c r="D160" s="429" t="s">
        <v>1355</v>
      </c>
      <c r="E160" s="703" t="s">
        <v>1022</v>
      </c>
      <c r="F160" s="531"/>
      <c r="G160" s="531"/>
      <c r="H160" s="530" t="s">
        <v>397</v>
      </c>
      <c r="I160" s="366">
        <v>17697</v>
      </c>
      <c r="J160" s="367">
        <v>9.56</v>
      </c>
      <c r="K160" s="367">
        <f t="shared" si="233"/>
        <v>169183.32</v>
      </c>
      <c r="L160" s="380"/>
      <c r="M160" s="380"/>
      <c r="N160" s="380">
        <v>5</v>
      </c>
      <c r="O160" s="380"/>
      <c r="P160" s="380"/>
      <c r="Q160" s="368">
        <f t="shared" si="213"/>
        <v>5</v>
      </c>
      <c r="R160" s="380"/>
      <c r="S160" s="380"/>
      <c r="T160" s="380"/>
      <c r="U160" s="380"/>
      <c r="V160" s="380"/>
      <c r="W160" s="381">
        <f t="shared" si="214"/>
        <v>0</v>
      </c>
      <c r="X160" s="458">
        <f t="shared" si="234"/>
        <v>5</v>
      </c>
      <c r="Y160" s="367">
        <f t="shared" si="235"/>
        <v>52869.787500000006</v>
      </c>
      <c r="Z160" s="367">
        <f t="shared" si="236"/>
        <v>5286.9787500000011</v>
      </c>
      <c r="AA160" s="372"/>
      <c r="AB160" s="367">
        <f t="shared" si="237"/>
        <v>0</v>
      </c>
      <c r="AC160" s="372"/>
      <c r="AD160" s="367">
        <f t="shared" si="238"/>
        <v>0</v>
      </c>
      <c r="AE160" s="366"/>
      <c r="AF160" s="366"/>
      <c r="AG160" s="367"/>
      <c r="AH160" s="366"/>
      <c r="AI160" s="367"/>
      <c r="AJ160" s="372"/>
      <c r="AK160" s="367"/>
      <c r="AL160" s="366">
        <f t="shared" si="239"/>
        <v>5</v>
      </c>
      <c r="AM160" s="367">
        <f t="shared" si="240"/>
        <v>15860.936250000001</v>
      </c>
      <c r="AN160" s="366">
        <f t="shared" si="241"/>
        <v>0</v>
      </c>
      <c r="AO160" s="367" t="str">
        <f t="shared" si="242"/>
        <v>0</v>
      </c>
      <c r="AP160" s="367" t="str">
        <f t="shared" si="243"/>
        <v>0</v>
      </c>
      <c r="AQ160" s="367" t="str">
        <f t="shared" si="244"/>
        <v>0</v>
      </c>
      <c r="AR160" s="367" t="str">
        <f t="shared" si="245"/>
        <v>0</v>
      </c>
      <c r="AS160" s="366"/>
      <c r="AT160" s="367"/>
      <c r="AU160" s="371"/>
      <c r="AV160" s="367"/>
      <c r="AW160" s="371">
        <f t="shared" si="248"/>
        <v>0</v>
      </c>
      <c r="AX160" s="372"/>
      <c r="AY160" s="367"/>
      <c r="AZ160" s="367">
        <f t="shared" si="246"/>
        <v>21147.915000000001</v>
      </c>
      <c r="BA160" s="373">
        <f t="shared" si="197"/>
        <v>74017.702500000014</v>
      </c>
      <c r="BB160" s="374">
        <f t="shared" si="198"/>
        <v>7401.7702500000014</v>
      </c>
      <c r="BC160" s="374">
        <f t="shared" si="199"/>
        <v>1480.3540500000004</v>
      </c>
      <c r="BD160" s="374">
        <f t="shared" si="200"/>
        <v>458.55782000000113</v>
      </c>
      <c r="BE160" s="374">
        <f t="shared" si="201"/>
        <v>64677.020380000009</v>
      </c>
      <c r="BF160" s="374">
        <f t="shared" si="202"/>
        <v>888212.43000000017</v>
      </c>
      <c r="BG160" s="374">
        <f t="shared" si="203"/>
        <v>105739.57500000001</v>
      </c>
      <c r="BH160" s="374">
        <f t="shared" si="204"/>
        <v>993952.00500000012</v>
      </c>
      <c r="BI160" s="374">
        <f t="shared" si="205"/>
        <v>34788.320175000008</v>
      </c>
      <c r="BJ160" s="374">
        <f t="shared" si="206"/>
        <v>51719.340924000004</v>
      </c>
      <c r="BK160" s="374">
        <f t="shared" si="207"/>
        <v>44727.840225000007</v>
      </c>
      <c r="BL160" s="374">
        <f t="shared" si="208"/>
        <v>29818.560150000001</v>
      </c>
      <c r="BM160" s="373">
        <f t="shared" si="247"/>
        <v>1155006.0664740002</v>
      </c>
      <c r="BN160" s="534"/>
      <c r="BO160" s="356"/>
      <c r="BP160" s="356"/>
      <c r="BQ160" s="356"/>
      <c r="BR160" s="356"/>
      <c r="BS160" s="356"/>
      <c r="BT160" s="356"/>
      <c r="BU160" s="356"/>
      <c r="BV160" s="356"/>
      <c r="BW160" s="356"/>
      <c r="BX160" s="356"/>
      <c r="BY160" s="356"/>
      <c r="BZ160" s="356"/>
      <c r="CA160" s="356"/>
      <c r="CB160" s="356"/>
      <c r="CC160" s="356"/>
      <c r="CD160" s="356"/>
      <c r="CE160" s="356"/>
      <c r="CF160" s="356"/>
      <c r="CG160" s="356"/>
      <c r="CH160" s="356"/>
      <c r="CI160" s="356"/>
    </row>
    <row r="161" spans="1:87" ht="45">
      <c r="A161" s="526">
        <f t="shared" si="249"/>
        <v>136</v>
      </c>
      <c r="B161" s="527">
        <f t="shared" si="249"/>
        <v>6</v>
      </c>
      <c r="C161" s="533" t="s">
        <v>1143</v>
      </c>
      <c r="D161" s="429" t="s">
        <v>1356</v>
      </c>
      <c r="E161" s="703" t="s">
        <v>1022</v>
      </c>
      <c r="F161" s="531"/>
      <c r="G161" s="531"/>
      <c r="H161" s="530" t="s">
        <v>1145</v>
      </c>
      <c r="I161" s="366">
        <v>17697</v>
      </c>
      <c r="J161" s="367">
        <v>8.9</v>
      </c>
      <c r="K161" s="367">
        <f t="shared" si="233"/>
        <v>157503.30000000002</v>
      </c>
      <c r="L161" s="380"/>
      <c r="M161" s="380"/>
      <c r="N161" s="380">
        <v>4</v>
      </c>
      <c r="O161" s="380"/>
      <c r="P161" s="380"/>
      <c r="Q161" s="368">
        <f t="shared" si="213"/>
        <v>4</v>
      </c>
      <c r="R161" s="380"/>
      <c r="S161" s="380"/>
      <c r="T161" s="380"/>
      <c r="U161" s="380"/>
      <c r="V161" s="380"/>
      <c r="W161" s="381">
        <f t="shared" si="214"/>
        <v>0</v>
      </c>
      <c r="X161" s="458">
        <f t="shared" si="234"/>
        <v>4</v>
      </c>
      <c r="Y161" s="367">
        <f t="shared" si="235"/>
        <v>39375.825000000004</v>
      </c>
      <c r="Z161" s="367">
        <f t="shared" si="236"/>
        <v>3937.5825000000004</v>
      </c>
      <c r="AA161" s="372"/>
      <c r="AB161" s="367">
        <f t="shared" si="237"/>
        <v>0</v>
      </c>
      <c r="AC161" s="372"/>
      <c r="AD161" s="367">
        <f t="shared" si="238"/>
        <v>0</v>
      </c>
      <c r="AE161" s="366"/>
      <c r="AF161" s="366"/>
      <c r="AG161" s="367"/>
      <c r="AH161" s="366"/>
      <c r="AI161" s="367"/>
      <c r="AJ161" s="372"/>
      <c r="AK161" s="367"/>
      <c r="AL161" s="366">
        <f t="shared" si="239"/>
        <v>4</v>
      </c>
      <c r="AM161" s="367">
        <f t="shared" si="240"/>
        <v>11812.747500000001</v>
      </c>
      <c r="AN161" s="366">
        <f t="shared" si="241"/>
        <v>0</v>
      </c>
      <c r="AO161" s="367" t="str">
        <f t="shared" si="242"/>
        <v>0</v>
      </c>
      <c r="AP161" s="367" t="str">
        <f t="shared" si="243"/>
        <v>0</v>
      </c>
      <c r="AQ161" s="367" t="str">
        <f t="shared" si="244"/>
        <v>0</v>
      </c>
      <c r="AR161" s="367" t="str">
        <f t="shared" si="245"/>
        <v>0</v>
      </c>
      <c r="AS161" s="366"/>
      <c r="AT161" s="367"/>
      <c r="AU161" s="371"/>
      <c r="AV161" s="367"/>
      <c r="AW161" s="371">
        <f t="shared" si="248"/>
        <v>0</v>
      </c>
      <c r="AX161" s="372"/>
      <c r="AY161" s="367"/>
      <c r="AZ161" s="367">
        <f t="shared" si="246"/>
        <v>15750.330000000002</v>
      </c>
      <c r="BA161" s="373">
        <f t="shared" si="197"/>
        <v>55126.155000000006</v>
      </c>
      <c r="BB161" s="374">
        <f t="shared" si="198"/>
        <v>5512.6155000000008</v>
      </c>
      <c r="BC161" s="374">
        <f t="shared" si="199"/>
        <v>1102.5231000000001</v>
      </c>
      <c r="BD161" s="374">
        <f t="shared" si="200"/>
        <v>-1203.8983599999992</v>
      </c>
      <c r="BE161" s="374">
        <f t="shared" si="201"/>
        <v>49714.914760000007</v>
      </c>
      <c r="BF161" s="374">
        <f t="shared" si="202"/>
        <v>661513.8600000001</v>
      </c>
      <c r="BG161" s="374">
        <f t="shared" si="203"/>
        <v>78751.650000000009</v>
      </c>
      <c r="BH161" s="374">
        <f t="shared" si="204"/>
        <v>740265.51000000013</v>
      </c>
      <c r="BI161" s="374">
        <f t="shared" si="205"/>
        <v>25909.292850000005</v>
      </c>
      <c r="BJ161" s="374">
        <f t="shared" si="206"/>
        <v>38519.007048000007</v>
      </c>
      <c r="BK161" s="374">
        <f t="shared" si="207"/>
        <v>33311.947950000009</v>
      </c>
      <c r="BL161" s="374">
        <f t="shared" si="208"/>
        <v>22207.965300000003</v>
      </c>
      <c r="BM161" s="373">
        <f t="shared" si="247"/>
        <v>860213.72314800019</v>
      </c>
      <c r="BN161" s="534"/>
      <c r="BO161" s="356"/>
      <c r="BP161" s="356"/>
      <c r="BQ161" s="356"/>
      <c r="BR161" s="356"/>
      <c r="BS161" s="356"/>
      <c r="BT161" s="356"/>
      <c r="BU161" s="356"/>
      <c r="BV161" s="356"/>
      <c r="BW161" s="356"/>
      <c r="BX161" s="356"/>
      <c r="BY161" s="356"/>
      <c r="BZ161" s="356"/>
      <c r="CA161" s="356"/>
      <c r="CB161" s="356"/>
      <c r="CC161" s="356"/>
      <c r="CD161" s="356"/>
      <c r="CE161" s="356"/>
      <c r="CF161" s="356"/>
      <c r="CG161" s="356"/>
      <c r="CH161" s="356"/>
      <c r="CI161" s="356"/>
    </row>
    <row r="162" spans="1:87" ht="45">
      <c r="A162" s="526">
        <f t="shared" si="249"/>
        <v>137</v>
      </c>
      <c r="B162" s="527">
        <f t="shared" si="249"/>
        <v>7</v>
      </c>
      <c r="C162" s="533" t="s">
        <v>1147</v>
      </c>
      <c r="D162" s="429" t="s">
        <v>1357</v>
      </c>
      <c r="E162" s="703" t="s">
        <v>1022</v>
      </c>
      <c r="F162" s="531"/>
      <c r="G162" s="531"/>
      <c r="H162" s="530" t="s">
        <v>114</v>
      </c>
      <c r="I162" s="366">
        <v>17697</v>
      </c>
      <c r="J162" s="367">
        <v>7.98</v>
      </c>
      <c r="K162" s="367">
        <f t="shared" si="233"/>
        <v>141222.06</v>
      </c>
      <c r="L162" s="380">
        <v>5</v>
      </c>
      <c r="M162" s="380"/>
      <c r="N162" s="380"/>
      <c r="O162" s="380"/>
      <c r="P162" s="380"/>
      <c r="Q162" s="368">
        <f t="shared" si="213"/>
        <v>5</v>
      </c>
      <c r="R162" s="380"/>
      <c r="S162" s="380"/>
      <c r="T162" s="380"/>
      <c r="U162" s="380"/>
      <c r="V162" s="380"/>
      <c r="W162" s="381">
        <f t="shared" si="214"/>
        <v>0</v>
      </c>
      <c r="X162" s="458">
        <f t="shared" si="234"/>
        <v>5</v>
      </c>
      <c r="Y162" s="367">
        <f t="shared" si="235"/>
        <v>44131.893750000003</v>
      </c>
      <c r="Z162" s="367">
        <f t="shared" si="236"/>
        <v>4413.1893750000008</v>
      </c>
      <c r="AA162" s="372"/>
      <c r="AB162" s="367">
        <f t="shared" si="237"/>
        <v>0</v>
      </c>
      <c r="AC162" s="372"/>
      <c r="AD162" s="367">
        <f t="shared" si="238"/>
        <v>0</v>
      </c>
      <c r="AE162" s="366"/>
      <c r="AF162" s="366"/>
      <c r="AG162" s="367"/>
      <c r="AH162" s="366"/>
      <c r="AI162" s="367"/>
      <c r="AJ162" s="372"/>
      <c r="AK162" s="367"/>
      <c r="AL162" s="366">
        <f t="shared" si="239"/>
        <v>5</v>
      </c>
      <c r="AM162" s="367">
        <f t="shared" si="240"/>
        <v>13239.568125</v>
      </c>
      <c r="AN162" s="366">
        <f t="shared" si="241"/>
        <v>0</v>
      </c>
      <c r="AO162" s="367" t="str">
        <f t="shared" si="242"/>
        <v>0</v>
      </c>
      <c r="AP162" s="367" t="str">
        <f t="shared" si="243"/>
        <v>0</v>
      </c>
      <c r="AQ162" s="367" t="str">
        <f t="shared" si="244"/>
        <v>0</v>
      </c>
      <c r="AR162" s="367" t="str">
        <f t="shared" si="245"/>
        <v>0</v>
      </c>
      <c r="AS162" s="366"/>
      <c r="AT162" s="367"/>
      <c r="AU162" s="371"/>
      <c r="AV162" s="367"/>
      <c r="AW162" s="371">
        <f t="shared" si="248"/>
        <v>0</v>
      </c>
      <c r="AX162" s="372"/>
      <c r="AY162" s="367"/>
      <c r="AZ162" s="367">
        <f t="shared" si="246"/>
        <v>17652.7575</v>
      </c>
      <c r="BA162" s="373">
        <f t="shared" si="197"/>
        <v>61784.651250000003</v>
      </c>
      <c r="BB162" s="374">
        <f t="shared" si="198"/>
        <v>6178.4651250000006</v>
      </c>
      <c r="BC162" s="374">
        <f t="shared" si="199"/>
        <v>1235.693025</v>
      </c>
      <c r="BD162" s="374">
        <f t="shared" si="200"/>
        <v>-617.95069000000012</v>
      </c>
      <c r="BE162" s="374">
        <f t="shared" si="201"/>
        <v>54988.443789999998</v>
      </c>
      <c r="BF162" s="374">
        <f t="shared" si="202"/>
        <v>741415.81500000006</v>
      </c>
      <c r="BG162" s="374">
        <f t="shared" si="203"/>
        <v>88263.787500000006</v>
      </c>
      <c r="BH162" s="374">
        <f t="shared" si="204"/>
        <v>829679.60250000004</v>
      </c>
      <c r="BI162" s="374">
        <f t="shared" si="205"/>
        <v>29038.786087500004</v>
      </c>
      <c r="BJ162" s="374">
        <f t="shared" si="206"/>
        <v>43171.58374200001</v>
      </c>
      <c r="BK162" s="374">
        <f t="shared" si="207"/>
        <v>37335.5821125</v>
      </c>
      <c r="BL162" s="374">
        <f t="shared" si="208"/>
        <v>24890.388074999999</v>
      </c>
      <c r="BM162" s="373">
        <f t="shared" si="247"/>
        <v>964115.94251700013</v>
      </c>
      <c r="BN162" s="534"/>
      <c r="BO162" s="356"/>
      <c r="BP162" s="356"/>
      <c r="BQ162" s="356"/>
      <c r="BR162" s="356"/>
      <c r="BS162" s="356"/>
      <c r="BT162" s="356"/>
      <c r="BU162" s="356"/>
      <c r="BV162" s="356"/>
      <c r="BW162" s="356"/>
      <c r="BX162" s="356"/>
      <c r="BY162" s="356"/>
      <c r="BZ162" s="356"/>
      <c r="CA162" s="356"/>
      <c r="CB162" s="356"/>
      <c r="CC162" s="356"/>
      <c r="CD162" s="356"/>
      <c r="CE162" s="356"/>
      <c r="CF162" s="356"/>
      <c r="CG162" s="356"/>
      <c r="CH162" s="356"/>
      <c r="CI162" s="356"/>
    </row>
    <row r="163" spans="1:87" ht="45">
      <c r="A163" s="535">
        <f t="shared" si="249"/>
        <v>138</v>
      </c>
      <c r="B163" s="536">
        <f t="shared" si="249"/>
        <v>8</v>
      </c>
      <c r="C163" s="537" t="s">
        <v>113</v>
      </c>
      <c r="D163" s="538" t="s">
        <v>1358</v>
      </c>
      <c r="E163" s="458" t="s">
        <v>998</v>
      </c>
      <c r="F163" s="539" t="s">
        <v>999</v>
      </c>
      <c r="G163" s="539" t="s">
        <v>1158</v>
      </c>
      <c r="H163" s="540" t="s">
        <v>273</v>
      </c>
      <c r="I163" s="458">
        <v>17697</v>
      </c>
      <c r="J163" s="541">
        <v>11.4</v>
      </c>
      <c r="K163" s="460">
        <f t="shared" si="233"/>
        <v>201745.80000000002</v>
      </c>
      <c r="L163" s="456">
        <v>10</v>
      </c>
      <c r="M163" s="456">
        <v>7</v>
      </c>
      <c r="N163" s="456"/>
      <c r="O163" s="456"/>
      <c r="P163" s="456"/>
      <c r="Q163" s="486">
        <f t="shared" ref="Q163" si="250">SUM(L163:P163)</f>
        <v>17</v>
      </c>
      <c r="R163" s="456"/>
      <c r="S163" s="456"/>
      <c r="T163" s="456"/>
      <c r="U163" s="456"/>
      <c r="V163" s="456"/>
      <c r="W163" s="487">
        <f t="shared" si="214"/>
        <v>0</v>
      </c>
      <c r="X163" s="370">
        <f t="shared" si="234"/>
        <v>17</v>
      </c>
      <c r="Y163" s="460">
        <f t="shared" si="235"/>
        <v>214354.91250000001</v>
      </c>
      <c r="Z163" s="460">
        <f t="shared" si="236"/>
        <v>21435.491250000003</v>
      </c>
      <c r="AA163" s="462"/>
      <c r="AB163" s="460">
        <f t="shared" si="237"/>
        <v>0</v>
      </c>
      <c r="AC163" s="462"/>
      <c r="AD163" s="460">
        <f t="shared" si="238"/>
        <v>0</v>
      </c>
      <c r="AE163" s="458"/>
      <c r="AF163" s="458"/>
      <c r="AG163" s="460"/>
      <c r="AH163" s="458"/>
      <c r="AI163" s="460"/>
      <c r="AJ163" s="462"/>
      <c r="AK163" s="460"/>
      <c r="AL163" s="458">
        <f t="shared" si="239"/>
        <v>17</v>
      </c>
      <c r="AM163" s="460">
        <f t="shared" si="240"/>
        <v>64306.473749999997</v>
      </c>
      <c r="AN163" s="458" t="str">
        <f t="shared" si="241"/>
        <v>Педагог-шебер</v>
      </c>
      <c r="AO163" s="460"/>
      <c r="AP163" s="460" t="str">
        <f t="shared" si="243"/>
        <v>0</v>
      </c>
      <c r="AQ163" s="460" t="str">
        <f t="shared" si="244"/>
        <v>0</v>
      </c>
      <c r="AR163" s="460" t="str">
        <f t="shared" si="245"/>
        <v>0</v>
      </c>
      <c r="AS163" s="458"/>
      <c r="AT163" s="460"/>
      <c r="AU163" s="461"/>
      <c r="AV163" s="460"/>
      <c r="AW163" s="461" t="str">
        <f t="shared" si="248"/>
        <v>Магистр</v>
      </c>
      <c r="AX163" s="462"/>
      <c r="AY163" s="460"/>
      <c r="AZ163" s="460">
        <f t="shared" si="246"/>
        <v>85741.964999999997</v>
      </c>
      <c r="BA163" s="373">
        <f t="shared" si="197"/>
        <v>300096.8775</v>
      </c>
      <c r="BB163" s="374">
        <f t="shared" si="198"/>
        <v>30009.687750000001</v>
      </c>
      <c r="BC163" s="374">
        <f t="shared" si="199"/>
        <v>6001.9375500000006</v>
      </c>
      <c r="BD163" s="374">
        <f t="shared" si="200"/>
        <v>20353.525220000007</v>
      </c>
      <c r="BE163" s="374">
        <f t="shared" si="201"/>
        <v>243731.72698000004</v>
      </c>
      <c r="BF163" s="374">
        <f t="shared" si="202"/>
        <v>3601162.5300000003</v>
      </c>
      <c r="BG163" s="374">
        <f t="shared" si="203"/>
        <v>428709.82500000001</v>
      </c>
      <c r="BH163" s="374">
        <f t="shared" si="204"/>
        <v>4029872.3550000004</v>
      </c>
      <c r="BI163" s="374">
        <f t="shared" si="205"/>
        <v>141045.53242500004</v>
      </c>
      <c r="BJ163" s="374">
        <f t="shared" si="206"/>
        <v>209690.54960400006</v>
      </c>
      <c r="BK163" s="374">
        <f t="shared" si="207"/>
        <v>181344.25597500004</v>
      </c>
      <c r="BL163" s="374">
        <f t="shared" si="208"/>
        <v>120896.17065000001</v>
      </c>
      <c r="BM163" s="463">
        <f t="shared" si="247"/>
        <v>4682848.8636540007</v>
      </c>
      <c r="BN163" s="542"/>
      <c r="BO163" s="355"/>
      <c r="BP163" s="355"/>
      <c r="BQ163" s="355"/>
      <c r="BR163" s="355"/>
      <c r="BS163" s="355"/>
      <c r="BT163" s="355"/>
      <c r="BU163" s="355"/>
      <c r="BV163" s="355"/>
      <c r="BW163" s="355"/>
      <c r="BX163" s="355"/>
      <c r="BY163" s="355"/>
      <c r="BZ163" s="355"/>
      <c r="CA163" s="355"/>
      <c r="CB163" s="355"/>
      <c r="CC163" s="355"/>
      <c r="CD163" s="355"/>
      <c r="CE163" s="355"/>
      <c r="CF163" s="355"/>
      <c r="CG163" s="355"/>
      <c r="CH163" s="355"/>
      <c r="CI163" s="356"/>
    </row>
    <row r="164" spans="1:87" ht="15">
      <c r="A164" s="543"/>
      <c r="B164" s="544"/>
      <c r="C164" s="537"/>
      <c r="D164" s="538"/>
      <c r="E164" s="705"/>
      <c r="F164" s="490"/>
      <c r="G164" s="490"/>
      <c r="H164" s="491"/>
      <c r="I164" s="490"/>
      <c r="J164" s="490"/>
      <c r="K164" s="422">
        <f>SUM(K156:K163)</f>
        <v>1312055.58</v>
      </c>
      <c r="L164" s="422">
        <f t="shared" ref="L164:BN164" si="251">SUM(L156:L163)</f>
        <v>20</v>
      </c>
      <c r="M164" s="422">
        <f t="shared" si="251"/>
        <v>20</v>
      </c>
      <c r="N164" s="422">
        <f t="shared" si="251"/>
        <v>18</v>
      </c>
      <c r="O164" s="422">
        <f t="shared" si="251"/>
        <v>0</v>
      </c>
      <c r="P164" s="422">
        <f t="shared" si="251"/>
        <v>0</v>
      </c>
      <c r="Q164" s="422">
        <f t="shared" si="251"/>
        <v>58</v>
      </c>
      <c r="R164" s="422">
        <f t="shared" si="251"/>
        <v>0</v>
      </c>
      <c r="S164" s="422">
        <f t="shared" si="251"/>
        <v>0</v>
      </c>
      <c r="T164" s="422">
        <f t="shared" si="251"/>
        <v>0</v>
      </c>
      <c r="U164" s="422">
        <f t="shared" si="251"/>
        <v>0</v>
      </c>
      <c r="V164" s="422">
        <f t="shared" si="251"/>
        <v>0</v>
      </c>
      <c r="W164" s="422">
        <f t="shared" si="251"/>
        <v>0</v>
      </c>
      <c r="X164" s="422">
        <f t="shared" si="251"/>
        <v>58</v>
      </c>
      <c r="Y164" s="422">
        <f t="shared" si="251"/>
        <v>619483.48499999999</v>
      </c>
      <c r="Z164" s="422">
        <f t="shared" si="251"/>
        <v>61948.348500000007</v>
      </c>
      <c r="AA164" s="422">
        <f t="shared" si="251"/>
        <v>0</v>
      </c>
      <c r="AB164" s="422">
        <f t="shared" si="251"/>
        <v>0</v>
      </c>
      <c r="AC164" s="422">
        <f t="shared" si="251"/>
        <v>0</v>
      </c>
      <c r="AD164" s="422">
        <f t="shared" si="251"/>
        <v>0</v>
      </c>
      <c r="AE164" s="422">
        <f t="shared" si="251"/>
        <v>0</v>
      </c>
      <c r="AF164" s="422">
        <f t="shared" si="251"/>
        <v>0</v>
      </c>
      <c r="AG164" s="422">
        <f t="shared" si="251"/>
        <v>0</v>
      </c>
      <c r="AH164" s="422">
        <f t="shared" si="251"/>
        <v>0</v>
      </c>
      <c r="AI164" s="422">
        <f t="shared" si="251"/>
        <v>0</v>
      </c>
      <c r="AJ164" s="422">
        <f t="shared" si="251"/>
        <v>0</v>
      </c>
      <c r="AK164" s="422">
        <f t="shared" si="251"/>
        <v>0</v>
      </c>
      <c r="AL164" s="422">
        <f t="shared" si="251"/>
        <v>58</v>
      </c>
      <c r="AM164" s="422">
        <f t="shared" si="251"/>
        <v>185845.04549999998</v>
      </c>
      <c r="AN164" s="422">
        <f t="shared" si="251"/>
        <v>0</v>
      </c>
      <c r="AO164" s="422">
        <f t="shared" si="251"/>
        <v>0</v>
      </c>
      <c r="AP164" s="422">
        <f t="shared" si="251"/>
        <v>0</v>
      </c>
      <c r="AQ164" s="422">
        <f t="shared" si="251"/>
        <v>0</v>
      </c>
      <c r="AR164" s="422">
        <f t="shared" si="251"/>
        <v>0</v>
      </c>
      <c r="AS164" s="422">
        <f t="shared" si="251"/>
        <v>0</v>
      </c>
      <c r="AT164" s="422">
        <f t="shared" si="251"/>
        <v>0</v>
      </c>
      <c r="AU164" s="422">
        <f t="shared" si="251"/>
        <v>0</v>
      </c>
      <c r="AV164" s="422">
        <f t="shared" si="251"/>
        <v>0</v>
      </c>
      <c r="AW164" s="422">
        <v>1</v>
      </c>
      <c r="AX164" s="422">
        <f t="shared" si="251"/>
        <v>0</v>
      </c>
      <c r="AY164" s="422">
        <f t="shared" si="251"/>
        <v>0</v>
      </c>
      <c r="AZ164" s="422">
        <f t="shared" si="251"/>
        <v>247793.394</v>
      </c>
      <c r="BA164" s="1318">
        <f>SUM(BA156:BA163)</f>
        <v>867276.87899999996</v>
      </c>
      <c r="BB164" s="1318">
        <f t="shared" ref="BB164:BM164" si="252">SUM(BB156:BB163)</f>
        <v>86727.687900000004</v>
      </c>
      <c r="BC164" s="1318">
        <f t="shared" si="252"/>
        <v>17345.537580000004</v>
      </c>
      <c r="BD164" s="1318">
        <f t="shared" si="252"/>
        <v>27880.365352000008</v>
      </c>
      <c r="BE164" s="1318">
        <f t="shared" si="252"/>
        <v>735323.28816800006</v>
      </c>
      <c r="BF164" s="1318">
        <f t="shared" si="252"/>
        <v>10407322.548</v>
      </c>
      <c r="BG164" s="1318">
        <f t="shared" si="252"/>
        <v>1238966.97</v>
      </c>
      <c r="BH164" s="1318">
        <f t="shared" si="252"/>
        <v>11646289.517999999</v>
      </c>
      <c r="BI164" s="1318">
        <f t="shared" si="252"/>
        <v>407620.13313000009</v>
      </c>
      <c r="BJ164" s="1318">
        <f t="shared" si="252"/>
        <v>606003.52436639997</v>
      </c>
      <c r="BK164" s="1318">
        <f t="shared" si="252"/>
        <v>524083.02831000008</v>
      </c>
      <c r="BL164" s="1318">
        <f t="shared" si="252"/>
        <v>349388.68554000003</v>
      </c>
      <c r="BM164" s="1318">
        <f t="shared" si="252"/>
        <v>13533384.889346402</v>
      </c>
      <c r="BN164" s="422">
        <f t="shared" si="251"/>
        <v>0</v>
      </c>
      <c r="BO164" s="355"/>
      <c r="BP164" s="355"/>
      <c r="BQ164" s="355"/>
      <c r="BR164" s="355"/>
      <c r="BS164" s="355"/>
      <c r="BT164" s="355"/>
      <c r="BU164" s="355"/>
      <c r="BV164" s="355"/>
      <c r="BW164" s="355"/>
      <c r="BX164" s="355"/>
      <c r="BY164" s="355"/>
      <c r="BZ164" s="355"/>
      <c r="CA164" s="355"/>
      <c r="CB164" s="355"/>
      <c r="CC164" s="355"/>
      <c r="CD164" s="355"/>
      <c r="CE164" s="355"/>
      <c r="CF164" s="355"/>
      <c r="CG164" s="355"/>
      <c r="CH164" s="355"/>
      <c r="CI164" s="356"/>
    </row>
    <row r="165" spans="1:87" ht="33" customHeight="1">
      <c r="A165" s="545">
        <f>A163+1</f>
        <v>139</v>
      </c>
      <c r="B165" s="546">
        <f>1</f>
        <v>1</v>
      </c>
      <c r="C165" s="518" t="s">
        <v>1359</v>
      </c>
      <c r="D165" s="414" t="s">
        <v>1360</v>
      </c>
      <c r="E165" s="394" t="s">
        <v>57</v>
      </c>
      <c r="F165" s="1315" t="s">
        <v>1005</v>
      </c>
      <c r="G165" s="394"/>
      <c r="H165" s="371" t="s">
        <v>1454</v>
      </c>
      <c r="I165" s="366">
        <v>17697</v>
      </c>
      <c r="J165" s="367">
        <v>11.18</v>
      </c>
      <c r="K165" s="367">
        <f t="shared" ref="K165:K180" si="253">I165*J165</f>
        <v>197852.46</v>
      </c>
      <c r="L165" s="380"/>
      <c r="M165" s="380"/>
      <c r="N165" s="380"/>
      <c r="O165" s="380"/>
      <c r="P165" s="380"/>
      <c r="Q165" s="368">
        <f t="shared" ref="Q165:Q180" si="254">SUM(L165:P165)</f>
        <v>0</v>
      </c>
      <c r="R165" s="380"/>
      <c r="S165" s="380"/>
      <c r="T165" s="380"/>
      <c r="U165" s="380">
        <v>4</v>
      </c>
      <c r="V165" s="380"/>
      <c r="W165" s="381">
        <f t="shared" ref="W165:W180" si="255">SUM(R165:V165)</f>
        <v>4</v>
      </c>
      <c r="X165" s="370">
        <f t="shared" ref="X165:X180" si="256">Q165+W165</f>
        <v>4</v>
      </c>
      <c r="Y165" s="367">
        <f t="shared" ref="Y165:Y180" si="257">K165/16*X165</f>
        <v>49463.114999999998</v>
      </c>
      <c r="Z165" s="367">
        <f t="shared" ref="Z165:Z179" si="258">Y165*10%</f>
        <v>4946.3114999999998</v>
      </c>
      <c r="AA165" s="497"/>
      <c r="AB165" s="367">
        <f t="shared" ref="AB165:AB179" si="259">I165/16*AA165*40%</f>
        <v>0</v>
      </c>
      <c r="AC165" s="497"/>
      <c r="AD165" s="367">
        <f t="shared" ref="AD165:AD179" si="260">I165/16*AC165*40%*50%</f>
        <v>0</v>
      </c>
      <c r="AE165" s="374"/>
      <c r="AF165" s="497"/>
      <c r="AG165" s="367"/>
      <c r="AH165" s="497"/>
      <c r="AI165" s="367"/>
      <c r="AJ165" s="372"/>
      <c r="AK165" s="367"/>
      <c r="AL165" s="366">
        <f t="shared" ref="AL165:AL180" si="261">X165</f>
        <v>4</v>
      </c>
      <c r="AM165" s="367">
        <f t="shared" ref="AM165:AM180" si="262">K165/16*AL165*30%</f>
        <v>14838.934499999999</v>
      </c>
      <c r="AN165" s="366" t="str">
        <f>F165</f>
        <v>Педагог-зерттеуші</v>
      </c>
      <c r="AO165" s="367" t="str">
        <f t="shared" ref="AO165:AO180" si="263">IF(AN165="Педагог-зерттеуші", "0", IF(AN165="Педагог-шебер",K165/16*X165*50%, IF(AN165="Педагог-сарапшы", "0", IF(AN165="Педагог-модератор", "0", "0"))))</f>
        <v>0</v>
      </c>
      <c r="AP165" s="367">
        <f t="shared" ref="AP165:AP180" si="264">IF(AN165="Педагог-шебер", "0", IF(AN165="Педагог-зерттеуші",K165/16*X165*40%, IF(AN165="Педагог-сарапшы", "0", IF(AN165="Педагог-модератор", "0", "0"))))</f>
        <v>19785.245999999999</v>
      </c>
      <c r="AQ165" s="367" t="str">
        <f t="shared" ref="AQ165:AQ180" si="265">IF(AN165="Педагог-шебер", "0", IF(AN165="Педагог-сарапшы",K165/16*X165*35%, IF(AN165="Педагог-зерттеуші", "0", IF(AN165="Педагог-модератор", "0", "0"))))</f>
        <v>0</v>
      </c>
      <c r="AR165" s="367" t="str">
        <f t="shared" ref="AR165:AR180" si="266">IF(AN165="Педагог-шебер", "0", IF(AN165="Педагог-модератор",K165/16*X165*30%, IF(AN165="Педагог-зерттеуші", "0", IF(AN165="Педагог-сарапшы", "0", "0"))))</f>
        <v>0</v>
      </c>
      <c r="AS165" s="497"/>
      <c r="AT165" s="374"/>
      <c r="AU165" s="499"/>
      <c r="AV165" s="374"/>
      <c r="AW165" s="371"/>
      <c r="AX165" s="367"/>
      <c r="AY165" s="367"/>
      <c r="AZ165" s="367">
        <f t="shared" ref="AZ165:AZ180" si="267">Z165+AB165+AD165+AE165+AG165+AI165+AK165+AM165+AO165+AP165+AQ165++AR165+AT165+AV165+AX165+AY165</f>
        <v>39570.491999999998</v>
      </c>
      <c r="BA165" s="373">
        <f t="shared" si="197"/>
        <v>89033.606999999989</v>
      </c>
      <c r="BB165" s="374">
        <f t="shared" si="198"/>
        <v>8903.3606999999993</v>
      </c>
      <c r="BC165" s="374">
        <f t="shared" si="199"/>
        <v>1780.6721399999999</v>
      </c>
      <c r="BD165" s="374">
        <f t="shared" si="200"/>
        <v>1779.9574159999991</v>
      </c>
      <c r="BE165" s="374">
        <f t="shared" si="201"/>
        <v>76569.616743999984</v>
      </c>
      <c r="BF165" s="374">
        <f t="shared" si="202"/>
        <v>1068403.284</v>
      </c>
      <c r="BG165" s="374">
        <f t="shared" si="203"/>
        <v>98926.23</v>
      </c>
      <c r="BH165" s="374">
        <f t="shared" si="204"/>
        <v>1167329.514</v>
      </c>
      <c r="BI165" s="374">
        <f t="shared" si="205"/>
        <v>40856.53299</v>
      </c>
      <c r="BJ165" s="374">
        <f t="shared" si="206"/>
        <v>60685.306531199996</v>
      </c>
      <c r="BK165" s="374">
        <f t="shared" si="207"/>
        <v>52529.828130000009</v>
      </c>
      <c r="BL165" s="374">
        <f t="shared" si="208"/>
        <v>35019.885419999999</v>
      </c>
      <c r="BM165" s="373">
        <f t="shared" ref="BM165:BM180" si="268">BH165+BJ165+BK165+BL165+BI165</f>
        <v>1356421.0670711999</v>
      </c>
      <c r="BN165" s="375"/>
      <c r="BO165" s="377"/>
      <c r="BP165" s="377"/>
      <c r="BQ165" s="377"/>
      <c r="BR165" s="377"/>
      <c r="BS165" s="377"/>
      <c r="BT165" s="377"/>
      <c r="BU165" s="377"/>
      <c r="BV165" s="377"/>
      <c r="BW165" s="377"/>
      <c r="BX165" s="377"/>
      <c r="BY165" s="377"/>
      <c r="BZ165" s="377"/>
      <c r="CA165" s="377"/>
      <c r="CB165" s="377"/>
      <c r="CC165" s="377"/>
      <c r="CD165" s="377"/>
      <c r="CE165" s="377"/>
      <c r="CF165" s="377"/>
      <c r="CG165" s="377"/>
      <c r="CH165" s="377"/>
      <c r="CI165" s="377"/>
    </row>
    <row r="166" spans="1:87" ht="47.25">
      <c r="A166" s="547">
        <f>A165+1</f>
        <v>140</v>
      </c>
      <c r="B166" s="383">
        <f>B165+1</f>
        <v>2</v>
      </c>
      <c r="C166" s="548" t="s">
        <v>550</v>
      </c>
      <c r="D166" s="379" t="s">
        <v>1361</v>
      </c>
      <c r="E166" s="549" t="s">
        <v>57</v>
      </c>
      <c r="F166" s="549"/>
      <c r="G166" s="549"/>
      <c r="H166" s="550" t="s">
        <v>1362</v>
      </c>
      <c r="I166" s="393">
        <v>17697</v>
      </c>
      <c r="J166" s="479">
        <v>11.4</v>
      </c>
      <c r="K166" s="479">
        <f t="shared" si="253"/>
        <v>201745.80000000002</v>
      </c>
      <c r="L166" s="430"/>
      <c r="M166" s="430"/>
      <c r="N166" s="551"/>
      <c r="O166" s="430"/>
      <c r="P166" s="430"/>
      <c r="Q166" s="368">
        <f t="shared" si="254"/>
        <v>0</v>
      </c>
      <c r="R166" s="430"/>
      <c r="S166" s="430"/>
      <c r="T166" s="430">
        <v>10</v>
      </c>
      <c r="U166" s="430"/>
      <c r="V166" s="430"/>
      <c r="W166" s="381">
        <f t="shared" si="255"/>
        <v>10</v>
      </c>
      <c r="X166" s="370">
        <f t="shared" si="256"/>
        <v>10</v>
      </c>
      <c r="Y166" s="479">
        <f t="shared" si="257"/>
        <v>126091.12500000001</v>
      </c>
      <c r="Z166" s="367">
        <f t="shared" si="258"/>
        <v>12609.112500000003</v>
      </c>
      <c r="AA166" s="501"/>
      <c r="AB166" s="479">
        <f t="shared" si="259"/>
        <v>0</v>
      </c>
      <c r="AC166" s="501"/>
      <c r="AD166" s="479">
        <f t="shared" si="260"/>
        <v>0</v>
      </c>
      <c r="AE166" s="501"/>
      <c r="AF166" s="501"/>
      <c r="AG166" s="479"/>
      <c r="AH166" s="501"/>
      <c r="AI166" s="479"/>
      <c r="AJ166" s="552"/>
      <c r="AK166" s="479"/>
      <c r="AL166" s="393">
        <f t="shared" si="261"/>
        <v>10</v>
      </c>
      <c r="AM166" s="479">
        <f t="shared" si="262"/>
        <v>37827.337500000001</v>
      </c>
      <c r="AN166" s="393">
        <f>F166</f>
        <v>0</v>
      </c>
      <c r="AO166" s="479" t="str">
        <f t="shared" si="263"/>
        <v>0</v>
      </c>
      <c r="AP166" s="479" t="str">
        <f t="shared" si="264"/>
        <v>0</v>
      </c>
      <c r="AQ166" s="479" t="str">
        <f t="shared" si="265"/>
        <v>0</v>
      </c>
      <c r="AR166" s="479" t="str">
        <f t="shared" si="266"/>
        <v>0</v>
      </c>
      <c r="AS166" s="501"/>
      <c r="AT166" s="553"/>
      <c r="AU166" s="554"/>
      <c r="AV166" s="553"/>
      <c r="AW166" s="478"/>
      <c r="AX166" s="367"/>
      <c r="AY166" s="479"/>
      <c r="AZ166" s="367">
        <f t="shared" si="267"/>
        <v>50436.450000000004</v>
      </c>
      <c r="BA166" s="373">
        <f t="shared" si="197"/>
        <v>176527.57500000001</v>
      </c>
      <c r="BB166" s="374">
        <f t="shared" si="198"/>
        <v>17652.757500000003</v>
      </c>
      <c r="BC166" s="374">
        <f t="shared" si="199"/>
        <v>3530.5515000000005</v>
      </c>
      <c r="BD166" s="374">
        <f t="shared" si="200"/>
        <v>9479.4266000000007</v>
      </c>
      <c r="BE166" s="374">
        <f t="shared" si="201"/>
        <v>145864.8394</v>
      </c>
      <c r="BF166" s="374">
        <f t="shared" si="202"/>
        <v>2118330.9000000004</v>
      </c>
      <c r="BG166" s="374">
        <f t="shared" si="203"/>
        <v>252182.25000000003</v>
      </c>
      <c r="BH166" s="374">
        <f t="shared" si="204"/>
        <v>2370513.1500000004</v>
      </c>
      <c r="BI166" s="374">
        <f t="shared" si="205"/>
        <v>82967.960250000018</v>
      </c>
      <c r="BJ166" s="374">
        <f t="shared" si="206"/>
        <v>123347.38212000002</v>
      </c>
      <c r="BK166" s="374">
        <f t="shared" si="207"/>
        <v>106673.09175000002</v>
      </c>
      <c r="BL166" s="374">
        <f t="shared" si="208"/>
        <v>71115.394500000009</v>
      </c>
      <c r="BM166" s="373">
        <f t="shared" si="268"/>
        <v>2754616.9786200006</v>
      </c>
      <c r="BN166" s="555"/>
      <c r="BO166" s="377"/>
      <c r="BP166" s="377"/>
      <c r="BQ166" s="377"/>
      <c r="BR166" s="377"/>
      <c r="BS166" s="377"/>
      <c r="BT166" s="377"/>
      <c r="BU166" s="377"/>
      <c r="BV166" s="377"/>
      <c r="BW166" s="377"/>
      <c r="BX166" s="377"/>
      <c r="BY166" s="377"/>
      <c r="BZ166" s="377"/>
      <c r="CA166" s="377"/>
      <c r="CB166" s="377"/>
      <c r="CC166" s="377"/>
      <c r="CD166" s="377"/>
      <c r="CE166" s="377"/>
      <c r="CF166" s="377"/>
      <c r="CG166" s="377"/>
      <c r="CH166" s="377"/>
      <c r="CI166" s="377"/>
    </row>
    <row r="167" spans="1:87" ht="47.25">
      <c r="A167" s="547">
        <f t="shared" ref="A167:B180" si="269">A166+1</f>
        <v>141</v>
      </c>
      <c r="B167" s="383">
        <f t="shared" si="269"/>
        <v>3</v>
      </c>
      <c r="C167" s="417" t="s">
        <v>429</v>
      </c>
      <c r="D167" s="379" t="s">
        <v>1363</v>
      </c>
      <c r="E167" s="549" t="s">
        <v>57</v>
      </c>
      <c r="F167" s="549"/>
      <c r="G167" s="549"/>
      <c r="H167" s="550" t="s">
        <v>1364</v>
      </c>
      <c r="I167" s="393">
        <v>17697</v>
      </c>
      <c r="J167" s="367">
        <v>11.4</v>
      </c>
      <c r="K167" s="479">
        <f t="shared" si="253"/>
        <v>201745.80000000002</v>
      </c>
      <c r="L167" s="430"/>
      <c r="M167" s="430"/>
      <c r="N167" s="551"/>
      <c r="O167" s="430"/>
      <c r="P167" s="430"/>
      <c r="Q167" s="368">
        <f t="shared" si="254"/>
        <v>0</v>
      </c>
      <c r="R167" s="430"/>
      <c r="S167" s="430"/>
      <c r="T167" s="430">
        <v>1</v>
      </c>
      <c r="U167" s="430">
        <v>4</v>
      </c>
      <c r="V167" s="430"/>
      <c r="W167" s="381">
        <f>SUM(R167:V167)</f>
        <v>5</v>
      </c>
      <c r="X167" s="370">
        <f t="shared" si="256"/>
        <v>5</v>
      </c>
      <c r="Y167" s="479">
        <f t="shared" si="257"/>
        <v>63045.562500000007</v>
      </c>
      <c r="Z167" s="367"/>
      <c r="AA167" s="501"/>
      <c r="AB167" s="479">
        <f t="shared" si="259"/>
        <v>0</v>
      </c>
      <c r="AC167" s="501"/>
      <c r="AD167" s="479">
        <f t="shared" si="260"/>
        <v>0</v>
      </c>
      <c r="AE167" s="501"/>
      <c r="AF167" s="501"/>
      <c r="AG167" s="479"/>
      <c r="AH167" s="501"/>
      <c r="AI167" s="479"/>
      <c r="AJ167" s="552"/>
      <c r="AK167" s="479"/>
      <c r="AL167" s="393">
        <f t="shared" si="261"/>
        <v>5</v>
      </c>
      <c r="AM167" s="479">
        <f t="shared" si="262"/>
        <v>18913.668750000001</v>
      </c>
      <c r="AN167" s="393">
        <f>F167</f>
        <v>0</v>
      </c>
      <c r="AO167" s="479" t="str">
        <f t="shared" si="263"/>
        <v>0</v>
      </c>
      <c r="AP167" s="479" t="str">
        <f t="shared" si="264"/>
        <v>0</v>
      </c>
      <c r="AQ167" s="479" t="str">
        <f t="shared" si="265"/>
        <v>0</v>
      </c>
      <c r="AR167" s="479" t="str">
        <f t="shared" si="266"/>
        <v>0</v>
      </c>
      <c r="AS167" s="501"/>
      <c r="AT167" s="553"/>
      <c r="AU167" s="554"/>
      <c r="AV167" s="553"/>
      <c r="AW167" s="478"/>
      <c r="AX167" s="367"/>
      <c r="AY167" s="479"/>
      <c r="AZ167" s="367">
        <f t="shared" si="267"/>
        <v>18913.668750000001</v>
      </c>
      <c r="BA167" s="373">
        <f t="shared" si="197"/>
        <v>81959.231250000012</v>
      </c>
      <c r="BB167" s="374">
        <f t="shared" si="198"/>
        <v>8195.9231250000012</v>
      </c>
      <c r="BC167" s="374">
        <f t="shared" si="199"/>
        <v>1639.1846250000003</v>
      </c>
      <c r="BD167" s="374">
        <f t="shared" si="200"/>
        <v>1157.4123500000017</v>
      </c>
      <c r="BE167" s="374">
        <f t="shared" si="201"/>
        <v>70966.711150000017</v>
      </c>
      <c r="BF167" s="374">
        <f t="shared" si="202"/>
        <v>983510.77500000014</v>
      </c>
      <c r="BG167" s="374">
        <f t="shared" si="203"/>
        <v>126091.12500000001</v>
      </c>
      <c r="BH167" s="374">
        <f t="shared" si="204"/>
        <v>1109601.9000000001</v>
      </c>
      <c r="BI167" s="374">
        <f t="shared" si="205"/>
        <v>38836.066500000008</v>
      </c>
      <c r="BJ167" s="374">
        <f t="shared" si="206"/>
        <v>57754.778894999996</v>
      </c>
      <c r="BK167" s="374">
        <f t="shared" si="207"/>
        <v>49932.085500000016</v>
      </c>
      <c r="BL167" s="374">
        <f t="shared" si="208"/>
        <v>33288.057000000001</v>
      </c>
      <c r="BM167" s="373">
        <f t="shared" si="268"/>
        <v>1289412.8878950002</v>
      </c>
      <c r="BN167" s="555">
        <v>1</v>
      </c>
      <c r="BO167" s="377"/>
      <c r="BP167" s="377"/>
      <c r="BQ167" s="377"/>
      <c r="BR167" s="377"/>
      <c r="BS167" s="377"/>
      <c r="BT167" s="377"/>
      <c r="BU167" s="377"/>
      <c r="BV167" s="377"/>
      <c r="BW167" s="377"/>
      <c r="BX167" s="377"/>
      <c r="BY167" s="377"/>
      <c r="BZ167" s="377"/>
      <c r="CA167" s="377"/>
      <c r="CB167" s="377"/>
      <c r="CC167" s="377"/>
      <c r="CD167" s="377"/>
      <c r="CE167" s="377"/>
      <c r="CF167" s="377"/>
      <c r="CG167" s="377"/>
      <c r="CH167" s="377"/>
      <c r="CI167" s="377"/>
    </row>
    <row r="168" spans="1:87" ht="45">
      <c r="A168" s="547">
        <f t="shared" si="269"/>
        <v>142</v>
      </c>
      <c r="B168" s="383">
        <f t="shared" si="269"/>
        <v>4</v>
      </c>
      <c r="C168" s="378" t="s">
        <v>1365</v>
      </c>
      <c r="D168" s="379" t="s">
        <v>1366</v>
      </c>
      <c r="E168" s="556" t="s">
        <v>57</v>
      </c>
      <c r="F168" s="549"/>
      <c r="G168" s="557" t="s">
        <v>1174</v>
      </c>
      <c r="H168" s="550" t="s">
        <v>1455</v>
      </c>
      <c r="I168" s="393">
        <v>17697</v>
      </c>
      <c r="J168" s="479">
        <v>11.02</v>
      </c>
      <c r="K168" s="479">
        <f t="shared" si="253"/>
        <v>195020.94</v>
      </c>
      <c r="L168" s="430"/>
      <c r="M168" s="430"/>
      <c r="N168" s="551"/>
      <c r="O168" s="430"/>
      <c r="P168" s="430"/>
      <c r="Q168" s="368">
        <f t="shared" si="254"/>
        <v>0</v>
      </c>
      <c r="R168" s="430"/>
      <c r="S168" s="430"/>
      <c r="T168" s="430"/>
      <c r="U168" s="430">
        <v>4</v>
      </c>
      <c r="V168" s="430"/>
      <c r="W168" s="381">
        <f>SUM(R168:V168)</f>
        <v>4</v>
      </c>
      <c r="X168" s="370">
        <f t="shared" si="256"/>
        <v>4</v>
      </c>
      <c r="Y168" s="479">
        <f t="shared" si="257"/>
        <v>48755.235000000001</v>
      </c>
      <c r="Z168" s="367"/>
      <c r="AA168" s="501"/>
      <c r="AB168" s="479">
        <f t="shared" si="259"/>
        <v>0</v>
      </c>
      <c r="AC168" s="501"/>
      <c r="AD168" s="479">
        <f t="shared" si="260"/>
        <v>0</v>
      </c>
      <c r="AE168" s="501"/>
      <c r="AF168" s="501"/>
      <c r="AG168" s="479"/>
      <c r="AH168" s="501"/>
      <c r="AI168" s="479"/>
      <c r="AJ168" s="552"/>
      <c r="AK168" s="479"/>
      <c r="AL168" s="393">
        <f t="shared" si="261"/>
        <v>4</v>
      </c>
      <c r="AM168" s="479">
        <f t="shared" si="262"/>
        <v>14626.5705</v>
      </c>
      <c r="AN168" s="393">
        <f>F168</f>
        <v>0</v>
      </c>
      <c r="AO168" s="479" t="str">
        <f t="shared" si="263"/>
        <v>0</v>
      </c>
      <c r="AP168" s="479" t="str">
        <f t="shared" si="264"/>
        <v>0</v>
      </c>
      <c r="AQ168" s="479" t="str">
        <f t="shared" si="265"/>
        <v>0</v>
      </c>
      <c r="AR168" s="479" t="str">
        <f t="shared" si="266"/>
        <v>0</v>
      </c>
      <c r="AS168" s="501"/>
      <c r="AT168" s="553"/>
      <c r="AU168" s="554"/>
      <c r="AV168" s="553"/>
      <c r="AW168" s="371" t="str">
        <f>G168</f>
        <v>Магистр образования (ин.язык)</v>
      </c>
      <c r="AX168" s="372">
        <f>10*4325</f>
        <v>43250</v>
      </c>
      <c r="AY168" s="479"/>
      <c r="AZ168" s="367">
        <f t="shared" si="267"/>
        <v>57876.570500000002</v>
      </c>
      <c r="BA168" s="373">
        <f t="shared" si="197"/>
        <v>106631.8055</v>
      </c>
      <c r="BB168" s="374">
        <f t="shared" si="198"/>
        <v>10663.180550000001</v>
      </c>
      <c r="BC168" s="374">
        <f t="shared" si="199"/>
        <v>2132.6361099999999</v>
      </c>
      <c r="BD168" s="374">
        <f t="shared" si="200"/>
        <v>3328.5988839999991</v>
      </c>
      <c r="BE168" s="374">
        <f t="shared" si="201"/>
        <v>90507.389955999999</v>
      </c>
      <c r="BF168" s="374">
        <f t="shared" si="202"/>
        <v>1279581.666</v>
      </c>
      <c r="BG168" s="374">
        <f t="shared" si="203"/>
        <v>97510.47</v>
      </c>
      <c r="BH168" s="374">
        <f t="shared" si="204"/>
        <v>1377092.1359999999</v>
      </c>
      <c r="BI168" s="374">
        <f t="shared" si="205"/>
        <v>48198.224760000005</v>
      </c>
      <c r="BJ168" s="374">
        <f t="shared" si="206"/>
        <v>71547.895678799992</v>
      </c>
      <c r="BK168" s="374">
        <f t="shared" si="207"/>
        <v>61969.146120000005</v>
      </c>
      <c r="BL168" s="374">
        <f t="shared" si="208"/>
        <v>41312.764079999994</v>
      </c>
      <c r="BM168" s="373">
        <f t="shared" si="268"/>
        <v>1600120.1666387997</v>
      </c>
      <c r="BN168" s="555">
        <v>1</v>
      </c>
      <c r="BO168" s="377"/>
      <c r="BP168" s="377"/>
      <c r="BQ168" s="377"/>
      <c r="BR168" s="377"/>
      <c r="BS168" s="377"/>
      <c r="BT168" s="377"/>
      <c r="BU168" s="377"/>
      <c r="BV168" s="377"/>
      <c r="BW168" s="377"/>
      <c r="BX168" s="377"/>
      <c r="BY168" s="377"/>
      <c r="BZ168" s="377"/>
      <c r="CA168" s="377"/>
      <c r="CB168" s="377"/>
      <c r="CC168" s="377"/>
      <c r="CD168" s="377"/>
      <c r="CE168" s="377"/>
      <c r="CF168" s="377"/>
      <c r="CG168" s="377"/>
      <c r="CH168" s="377"/>
      <c r="CI168" s="377"/>
    </row>
    <row r="169" spans="1:87" ht="33" customHeight="1">
      <c r="A169" s="547">
        <f t="shared" si="269"/>
        <v>143</v>
      </c>
      <c r="B169" s="383">
        <f t="shared" si="269"/>
        <v>5</v>
      </c>
      <c r="C169" s="548" t="s">
        <v>906</v>
      </c>
      <c r="D169" s="558" t="s">
        <v>1367</v>
      </c>
      <c r="E169" s="549" t="s">
        <v>57</v>
      </c>
      <c r="F169" s="549"/>
      <c r="G169" s="549"/>
      <c r="H169" s="550" t="s">
        <v>1016</v>
      </c>
      <c r="I169" s="366">
        <v>17697</v>
      </c>
      <c r="J169" s="367">
        <v>9.66</v>
      </c>
      <c r="K169" s="479">
        <f t="shared" si="253"/>
        <v>170953.02</v>
      </c>
      <c r="L169" s="430"/>
      <c r="M169" s="430"/>
      <c r="N169" s="551"/>
      <c r="O169" s="430"/>
      <c r="P169" s="430"/>
      <c r="Q169" s="368">
        <f t="shared" si="254"/>
        <v>0</v>
      </c>
      <c r="R169" s="430"/>
      <c r="S169" s="430"/>
      <c r="T169" s="430"/>
      <c r="U169" s="430"/>
      <c r="V169" s="430"/>
      <c r="W169" s="381">
        <f t="shared" si="255"/>
        <v>0</v>
      </c>
      <c r="X169" s="370">
        <f t="shared" si="256"/>
        <v>0</v>
      </c>
      <c r="Y169" s="479">
        <f t="shared" si="257"/>
        <v>0</v>
      </c>
      <c r="Z169" s="367">
        <f t="shared" si="258"/>
        <v>0</v>
      </c>
      <c r="AA169" s="501"/>
      <c r="AB169" s="479">
        <f t="shared" si="259"/>
        <v>0</v>
      </c>
      <c r="AC169" s="501"/>
      <c r="AD169" s="479">
        <f t="shared" si="260"/>
        <v>0</v>
      </c>
      <c r="AE169" s="501"/>
      <c r="AF169" s="501"/>
      <c r="AG169" s="479"/>
      <c r="AH169" s="501" t="s">
        <v>1368</v>
      </c>
      <c r="AI169" s="479">
        <f>I169*200%*2</f>
        <v>70788</v>
      </c>
      <c r="AJ169" s="552"/>
      <c r="AK169" s="479"/>
      <c r="AL169" s="393">
        <f t="shared" si="261"/>
        <v>0</v>
      </c>
      <c r="AM169" s="479">
        <f t="shared" si="262"/>
        <v>0</v>
      </c>
      <c r="AN169" s="393">
        <f>F169</f>
        <v>0</v>
      </c>
      <c r="AO169" s="479" t="str">
        <f t="shared" si="263"/>
        <v>0</v>
      </c>
      <c r="AP169" s="479" t="str">
        <f t="shared" si="264"/>
        <v>0</v>
      </c>
      <c r="AQ169" s="479" t="str">
        <f t="shared" si="265"/>
        <v>0</v>
      </c>
      <c r="AR169" s="479" t="str">
        <f t="shared" si="266"/>
        <v>0</v>
      </c>
      <c r="AS169" s="501"/>
      <c r="AT169" s="553"/>
      <c r="AU169" s="554"/>
      <c r="AV169" s="553"/>
      <c r="AW169" s="371"/>
      <c r="AX169" s="367"/>
      <c r="AY169" s="479"/>
      <c r="AZ169" s="367">
        <f t="shared" si="267"/>
        <v>70788</v>
      </c>
      <c r="BA169" s="373">
        <f t="shared" si="197"/>
        <v>70788</v>
      </c>
      <c r="BB169" s="374">
        <f t="shared" si="198"/>
        <v>7078.8</v>
      </c>
      <c r="BC169" s="374">
        <f t="shared" si="199"/>
        <v>1415.76</v>
      </c>
      <c r="BD169" s="374">
        <f t="shared" si="200"/>
        <v>174.34399999999951</v>
      </c>
      <c r="BE169" s="374">
        <f t="shared" si="201"/>
        <v>62119.095999999998</v>
      </c>
      <c r="BF169" s="374">
        <f t="shared" si="202"/>
        <v>849456</v>
      </c>
      <c r="BG169" s="374">
        <f t="shared" si="203"/>
        <v>0</v>
      </c>
      <c r="BH169" s="374">
        <f t="shared" si="204"/>
        <v>849456</v>
      </c>
      <c r="BI169" s="374">
        <f t="shared" si="205"/>
        <v>29730.960000000003</v>
      </c>
      <c r="BJ169" s="374">
        <f t="shared" si="206"/>
        <v>44001.820800000001</v>
      </c>
      <c r="BK169" s="374">
        <f t="shared" si="207"/>
        <v>38225.520000000004</v>
      </c>
      <c r="BL169" s="374">
        <f t="shared" si="208"/>
        <v>25483.68</v>
      </c>
      <c r="BM169" s="373">
        <f t="shared" si="268"/>
        <v>986897.98080000002</v>
      </c>
      <c r="BN169" s="555">
        <v>1</v>
      </c>
      <c r="BO169" s="377"/>
      <c r="BP169" s="377"/>
      <c r="BQ169" s="377"/>
      <c r="BR169" s="377"/>
      <c r="BS169" s="377"/>
      <c r="BT169" s="377"/>
      <c r="BU169" s="377"/>
      <c r="BV169" s="377"/>
      <c r="BW169" s="377"/>
      <c r="BX169" s="377"/>
      <c r="BY169" s="377"/>
      <c r="BZ169" s="377"/>
      <c r="CA169" s="377"/>
      <c r="CB169" s="377"/>
      <c r="CC169" s="377"/>
      <c r="CD169" s="377"/>
      <c r="CE169" s="377"/>
      <c r="CF169" s="377"/>
      <c r="CG169" s="377"/>
      <c r="CH169" s="377"/>
      <c r="CI169" s="377"/>
    </row>
    <row r="170" spans="1:87" ht="30">
      <c r="A170" s="547">
        <f t="shared" si="269"/>
        <v>144</v>
      </c>
      <c r="B170" s="383">
        <f t="shared" si="269"/>
        <v>6</v>
      </c>
      <c r="C170" s="378" t="s">
        <v>1369</v>
      </c>
      <c r="D170" s="556" t="s">
        <v>1370</v>
      </c>
      <c r="E170" s="549" t="s">
        <v>57</v>
      </c>
      <c r="F170" s="362"/>
      <c r="G170" s="549"/>
      <c r="H170" s="550" t="s">
        <v>1371</v>
      </c>
      <c r="I170" s="393">
        <v>17697</v>
      </c>
      <c r="J170" s="367">
        <v>11.4</v>
      </c>
      <c r="K170" s="479">
        <f t="shared" si="253"/>
        <v>201745.80000000002</v>
      </c>
      <c r="L170" s="430"/>
      <c r="M170" s="430"/>
      <c r="N170" s="551"/>
      <c r="O170" s="430"/>
      <c r="P170" s="430"/>
      <c r="Q170" s="368">
        <f t="shared" si="254"/>
        <v>0</v>
      </c>
      <c r="R170" s="430"/>
      <c r="S170" s="430"/>
      <c r="T170" s="430"/>
      <c r="U170" s="430"/>
      <c r="V170" s="430"/>
      <c r="W170" s="381">
        <f t="shared" si="255"/>
        <v>0</v>
      </c>
      <c r="X170" s="370">
        <f t="shared" si="256"/>
        <v>0</v>
      </c>
      <c r="Y170" s="479">
        <f t="shared" si="257"/>
        <v>0</v>
      </c>
      <c r="Z170" s="367">
        <f t="shared" si="258"/>
        <v>0</v>
      </c>
      <c r="AA170" s="501"/>
      <c r="AB170" s="479">
        <f t="shared" si="259"/>
        <v>0</v>
      </c>
      <c r="AC170" s="501"/>
      <c r="AD170" s="479">
        <f t="shared" si="260"/>
        <v>0</v>
      </c>
      <c r="AE170" s="501"/>
      <c r="AF170" s="501"/>
      <c r="AG170" s="479"/>
      <c r="AH170" s="501" t="s">
        <v>1372</v>
      </c>
      <c r="AI170" s="479">
        <f>I170*200%</f>
        <v>35394</v>
      </c>
      <c r="AJ170" s="552"/>
      <c r="AK170" s="479"/>
      <c r="AL170" s="393">
        <f t="shared" si="261"/>
        <v>0</v>
      </c>
      <c r="AM170" s="479">
        <f t="shared" si="262"/>
        <v>0</v>
      </c>
      <c r="AN170" s="393">
        <f t="shared" ref="AN170:AN180" si="270">F170</f>
        <v>0</v>
      </c>
      <c r="AO170" s="367" t="str">
        <f t="shared" si="263"/>
        <v>0</v>
      </c>
      <c r="AP170" s="367" t="str">
        <f t="shared" si="264"/>
        <v>0</v>
      </c>
      <c r="AQ170" s="367" t="str">
        <f t="shared" si="265"/>
        <v>0</v>
      </c>
      <c r="AR170" s="367" t="str">
        <f t="shared" si="266"/>
        <v>0</v>
      </c>
      <c r="AS170" s="501"/>
      <c r="AT170" s="553"/>
      <c r="AU170" s="554"/>
      <c r="AV170" s="553"/>
      <c r="AW170" s="371"/>
      <c r="AX170" s="367"/>
      <c r="AY170" s="479"/>
      <c r="AZ170" s="367">
        <f t="shared" si="267"/>
        <v>35394</v>
      </c>
      <c r="BA170" s="373">
        <f t="shared" si="197"/>
        <v>35394</v>
      </c>
      <c r="BB170" s="374">
        <f t="shared" si="198"/>
        <v>3539.4</v>
      </c>
      <c r="BC170" s="374">
        <f t="shared" si="199"/>
        <v>707.88</v>
      </c>
      <c r="BD170" s="374">
        <f t="shared" si="200"/>
        <v>-2940.3280000000004</v>
      </c>
      <c r="BE170" s="374">
        <f t="shared" si="201"/>
        <v>34087.047999999995</v>
      </c>
      <c r="BF170" s="374">
        <f t="shared" si="202"/>
        <v>424728</v>
      </c>
      <c r="BG170" s="374">
        <f t="shared" si="203"/>
        <v>0</v>
      </c>
      <c r="BH170" s="374">
        <f t="shared" si="204"/>
        <v>424728</v>
      </c>
      <c r="BI170" s="374">
        <f t="shared" si="205"/>
        <v>14865.480000000001</v>
      </c>
      <c r="BJ170" s="374">
        <f t="shared" si="206"/>
        <v>22000.910400000001</v>
      </c>
      <c r="BK170" s="374">
        <f t="shared" si="207"/>
        <v>19112.760000000002</v>
      </c>
      <c r="BL170" s="374">
        <f t="shared" si="208"/>
        <v>12741.84</v>
      </c>
      <c r="BM170" s="373">
        <f t="shared" si="268"/>
        <v>493448.99040000001</v>
      </c>
      <c r="BN170" s="555">
        <v>1</v>
      </c>
      <c r="BO170" s="377"/>
      <c r="BP170" s="377"/>
      <c r="BQ170" s="377"/>
      <c r="BR170" s="377"/>
      <c r="BS170" s="377"/>
      <c r="BT170" s="377"/>
      <c r="BU170" s="377"/>
      <c r="BV170" s="377"/>
      <c r="BW170" s="377"/>
      <c r="BX170" s="377"/>
      <c r="BY170" s="377"/>
      <c r="BZ170" s="377"/>
      <c r="CA170" s="377"/>
      <c r="CB170" s="377"/>
      <c r="CC170" s="377"/>
      <c r="CD170" s="377"/>
      <c r="CE170" s="377"/>
      <c r="CF170" s="377"/>
      <c r="CG170" s="377"/>
      <c r="CH170" s="377"/>
      <c r="CI170" s="377"/>
    </row>
    <row r="171" spans="1:87" ht="30.75" customHeight="1">
      <c r="A171" s="547">
        <f t="shared" si="269"/>
        <v>145</v>
      </c>
      <c r="B171" s="383">
        <f t="shared" si="269"/>
        <v>7</v>
      </c>
      <c r="C171" s="378" t="s">
        <v>1373</v>
      </c>
      <c r="D171" s="556" t="s">
        <v>1374</v>
      </c>
      <c r="E171" s="549" t="s">
        <v>57</v>
      </c>
      <c r="F171" s="549"/>
      <c r="G171" s="549"/>
      <c r="H171" s="550" t="s">
        <v>1375</v>
      </c>
      <c r="I171" s="393">
        <v>17697</v>
      </c>
      <c r="J171" s="367">
        <v>10.4</v>
      </c>
      <c r="K171" s="479">
        <f t="shared" si="253"/>
        <v>184048.80000000002</v>
      </c>
      <c r="L171" s="430"/>
      <c r="M171" s="430"/>
      <c r="N171" s="430"/>
      <c r="O171" s="430"/>
      <c r="P171" s="430"/>
      <c r="Q171" s="368">
        <f t="shared" si="254"/>
        <v>0</v>
      </c>
      <c r="R171" s="430"/>
      <c r="S171" s="430"/>
      <c r="T171" s="430"/>
      <c r="U171" s="430"/>
      <c r="V171" s="430"/>
      <c r="W171" s="381">
        <f t="shared" si="255"/>
        <v>0</v>
      </c>
      <c r="X171" s="370">
        <f t="shared" si="256"/>
        <v>0</v>
      </c>
      <c r="Y171" s="479">
        <f t="shared" si="257"/>
        <v>0</v>
      </c>
      <c r="Z171" s="367">
        <f t="shared" si="258"/>
        <v>0</v>
      </c>
      <c r="AA171" s="501"/>
      <c r="AB171" s="479">
        <f t="shared" si="259"/>
        <v>0</v>
      </c>
      <c r="AC171" s="501"/>
      <c r="AD171" s="479">
        <f t="shared" si="260"/>
        <v>0</v>
      </c>
      <c r="AE171" s="501"/>
      <c r="AF171" s="501"/>
      <c r="AG171" s="479"/>
      <c r="AH171" s="501" t="s">
        <v>1376</v>
      </c>
      <c r="AI171" s="479">
        <f>I171*200%*2</f>
        <v>70788</v>
      </c>
      <c r="AJ171" s="552"/>
      <c r="AK171" s="479"/>
      <c r="AL171" s="393">
        <f t="shared" si="261"/>
        <v>0</v>
      </c>
      <c r="AM171" s="479">
        <f t="shared" si="262"/>
        <v>0</v>
      </c>
      <c r="AN171" s="393">
        <f t="shared" si="270"/>
        <v>0</v>
      </c>
      <c r="AO171" s="479" t="str">
        <f t="shared" si="263"/>
        <v>0</v>
      </c>
      <c r="AP171" s="479" t="str">
        <f t="shared" si="264"/>
        <v>0</v>
      </c>
      <c r="AQ171" s="479" t="str">
        <f t="shared" si="265"/>
        <v>0</v>
      </c>
      <c r="AR171" s="479" t="str">
        <f t="shared" si="266"/>
        <v>0</v>
      </c>
      <c r="AS171" s="501"/>
      <c r="AT171" s="553"/>
      <c r="AU171" s="554"/>
      <c r="AV171" s="553"/>
      <c r="AW171" s="371"/>
      <c r="AX171" s="367"/>
      <c r="AY171" s="479"/>
      <c r="AZ171" s="367">
        <f t="shared" si="267"/>
        <v>70788</v>
      </c>
      <c r="BA171" s="373">
        <f t="shared" si="197"/>
        <v>70788</v>
      </c>
      <c r="BB171" s="374">
        <f t="shared" si="198"/>
        <v>7078.8</v>
      </c>
      <c r="BC171" s="374">
        <f t="shared" si="199"/>
        <v>1415.76</v>
      </c>
      <c r="BD171" s="374">
        <f t="shared" si="200"/>
        <v>174.34399999999951</v>
      </c>
      <c r="BE171" s="374">
        <f t="shared" si="201"/>
        <v>62119.095999999998</v>
      </c>
      <c r="BF171" s="374">
        <f t="shared" si="202"/>
        <v>849456</v>
      </c>
      <c r="BG171" s="374">
        <f t="shared" si="203"/>
        <v>0</v>
      </c>
      <c r="BH171" s="374">
        <f t="shared" si="204"/>
        <v>849456</v>
      </c>
      <c r="BI171" s="374">
        <f t="shared" si="205"/>
        <v>29730.960000000003</v>
      </c>
      <c r="BJ171" s="374">
        <f t="shared" si="206"/>
        <v>44001.820800000001</v>
      </c>
      <c r="BK171" s="374">
        <f t="shared" si="207"/>
        <v>38225.520000000004</v>
      </c>
      <c r="BL171" s="374">
        <f t="shared" si="208"/>
        <v>25483.68</v>
      </c>
      <c r="BM171" s="373">
        <f t="shared" si="268"/>
        <v>986897.98080000002</v>
      </c>
      <c r="BN171" s="555">
        <v>1</v>
      </c>
      <c r="BO171" s="377"/>
      <c r="BP171" s="377"/>
      <c r="BQ171" s="377"/>
      <c r="BR171" s="377"/>
      <c r="BS171" s="377"/>
      <c r="BT171" s="377"/>
      <c r="BU171" s="377"/>
      <c r="BV171" s="377"/>
      <c r="BW171" s="377"/>
      <c r="BX171" s="377"/>
      <c r="BY171" s="377"/>
      <c r="BZ171" s="377"/>
      <c r="CA171" s="377"/>
      <c r="CB171" s="377"/>
      <c r="CC171" s="377"/>
      <c r="CD171" s="377"/>
      <c r="CE171" s="377"/>
      <c r="CF171" s="377"/>
      <c r="CG171" s="377"/>
      <c r="CH171" s="377"/>
      <c r="CI171" s="377"/>
    </row>
    <row r="172" spans="1:87" ht="33.75" customHeight="1">
      <c r="A172" s="547">
        <f t="shared" si="269"/>
        <v>146</v>
      </c>
      <c r="B172" s="383">
        <f t="shared" si="269"/>
        <v>8</v>
      </c>
      <c r="C172" s="559" t="s">
        <v>450</v>
      </c>
      <c r="D172" s="558" t="s">
        <v>1367</v>
      </c>
      <c r="E172" s="549" t="s">
        <v>57</v>
      </c>
      <c r="F172" s="549"/>
      <c r="G172" s="549"/>
      <c r="H172" s="550" t="s">
        <v>1042</v>
      </c>
      <c r="I172" s="393">
        <v>17697</v>
      </c>
      <c r="J172" s="367">
        <v>9.84</v>
      </c>
      <c r="K172" s="479">
        <f t="shared" si="253"/>
        <v>174138.48</v>
      </c>
      <c r="L172" s="430"/>
      <c r="M172" s="430"/>
      <c r="N172" s="430"/>
      <c r="O172" s="430"/>
      <c r="P172" s="430"/>
      <c r="Q172" s="368">
        <f t="shared" si="254"/>
        <v>0</v>
      </c>
      <c r="R172" s="430"/>
      <c r="S172" s="430"/>
      <c r="T172" s="430"/>
      <c r="U172" s="430"/>
      <c r="V172" s="430"/>
      <c r="W172" s="381">
        <f t="shared" si="255"/>
        <v>0</v>
      </c>
      <c r="X172" s="370">
        <f t="shared" si="256"/>
        <v>0</v>
      </c>
      <c r="Y172" s="479">
        <f t="shared" si="257"/>
        <v>0</v>
      </c>
      <c r="Z172" s="367">
        <f t="shared" si="258"/>
        <v>0</v>
      </c>
      <c r="AA172" s="501"/>
      <c r="AB172" s="479">
        <f t="shared" si="259"/>
        <v>0</v>
      </c>
      <c r="AC172" s="501"/>
      <c r="AD172" s="479">
        <f t="shared" si="260"/>
        <v>0</v>
      </c>
      <c r="AE172" s="501"/>
      <c r="AF172" s="501"/>
      <c r="AG172" s="479"/>
      <c r="AH172" s="501" t="s">
        <v>1377</v>
      </c>
      <c r="AI172" s="479">
        <f>I172*200%*2</f>
        <v>70788</v>
      </c>
      <c r="AJ172" s="552"/>
      <c r="AK172" s="479"/>
      <c r="AL172" s="393">
        <f t="shared" si="261"/>
        <v>0</v>
      </c>
      <c r="AM172" s="479">
        <f t="shared" si="262"/>
        <v>0</v>
      </c>
      <c r="AN172" s="393">
        <f t="shared" si="270"/>
        <v>0</v>
      </c>
      <c r="AO172" s="479" t="str">
        <f t="shared" si="263"/>
        <v>0</v>
      </c>
      <c r="AP172" s="479" t="str">
        <f t="shared" si="264"/>
        <v>0</v>
      </c>
      <c r="AQ172" s="479" t="str">
        <f t="shared" si="265"/>
        <v>0</v>
      </c>
      <c r="AR172" s="479" t="str">
        <f t="shared" si="266"/>
        <v>0</v>
      </c>
      <c r="AS172" s="501"/>
      <c r="AT172" s="553"/>
      <c r="AU172" s="554"/>
      <c r="AV172" s="553"/>
      <c r="AW172" s="371"/>
      <c r="AX172" s="367"/>
      <c r="AY172" s="479"/>
      <c r="AZ172" s="367">
        <f t="shared" si="267"/>
        <v>70788</v>
      </c>
      <c r="BA172" s="373">
        <f t="shared" si="197"/>
        <v>70788</v>
      </c>
      <c r="BB172" s="374">
        <f t="shared" si="198"/>
        <v>7078.8</v>
      </c>
      <c r="BC172" s="374">
        <f t="shared" si="199"/>
        <v>1415.76</v>
      </c>
      <c r="BD172" s="374">
        <f t="shared" si="200"/>
        <v>174.34399999999951</v>
      </c>
      <c r="BE172" s="374">
        <f t="shared" si="201"/>
        <v>62119.095999999998</v>
      </c>
      <c r="BF172" s="374">
        <f t="shared" si="202"/>
        <v>849456</v>
      </c>
      <c r="BG172" s="374">
        <f t="shared" si="203"/>
        <v>0</v>
      </c>
      <c r="BH172" s="374">
        <f t="shared" si="204"/>
        <v>849456</v>
      </c>
      <c r="BI172" s="374">
        <f t="shared" si="205"/>
        <v>29730.960000000003</v>
      </c>
      <c r="BJ172" s="374">
        <f t="shared" si="206"/>
        <v>44001.820800000001</v>
      </c>
      <c r="BK172" s="374">
        <f t="shared" si="207"/>
        <v>38225.520000000004</v>
      </c>
      <c r="BL172" s="374">
        <f t="shared" si="208"/>
        <v>25483.68</v>
      </c>
      <c r="BM172" s="373">
        <f t="shared" si="268"/>
        <v>986897.98080000002</v>
      </c>
      <c r="BN172" s="555">
        <v>1</v>
      </c>
      <c r="BO172" s="377"/>
      <c r="BP172" s="377"/>
      <c r="BQ172" s="377"/>
      <c r="BR172" s="377"/>
      <c r="BS172" s="377"/>
      <c r="BT172" s="377"/>
      <c r="BU172" s="377"/>
      <c r="BV172" s="377"/>
      <c r="BW172" s="377"/>
      <c r="BX172" s="377"/>
      <c r="BY172" s="377"/>
      <c r="BZ172" s="377"/>
      <c r="CA172" s="377"/>
      <c r="CB172" s="377"/>
      <c r="CC172" s="377"/>
      <c r="CD172" s="377"/>
      <c r="CE172" s="377"/>
      <c r="CF172" s="377"/>
      <c r="CG172" s="377"/>
      <c r="CH172" s="377"/>
      <c r="CI172" s="377"/>
    </row>
    <row r="173" spans="1:87" ht="30">
      <c r="A173" s="547">
        <f t="shared" si="269"/>
        <v>147</v>
      </c>
      <c r="B173" s="383">
        <f t="shared" si="269"/>
        <v>9</v>
      </c>
      <c r="C173" s="378" t="s">
        <v>1378</v>
      </c>
      <c r="D173" s="556" t="s">
        <v>1379</v>
      </c>
      <c r="E173" s="549" t="s">
        <v>57</v>
      </c>
      <c r="F173" s="549"/>
      <c r="G173" s="549"/>
      <c r="H173" s="550" t="s">
        <v>1338</v>
      </c>
      <c r="I173" s="393">
        <v>17697</v>
      </c>
      <c r="J173" s="367">
        <v>10.6</v>
      </c>
      <c r="K173" s="479">
        <f t="shared" si="253"/>
        <v>187588.19999999998</v>
      </c>
      <c r="L173" s="430"/>
      <c r="M173" s="430"/>
      <c r="N173" s="551"/>
      <c r="O173" s="430"/>
      <c r="P173" s="430"/>
      <c r="Q173" s="368">
        <f t="shared" si="254"/>
        <v>0</v>
      </c>
      <c r="R173" s="430"/>
      <c r="S173" s="430"/>
      <c r="T173" s="430"/>
      <c r="U173" s="430"/>
      <c r="V173" s="430"/>
      <c r="W173" s="381">
        <f t="shared" si="255"/>
        <v>0</v>
      </c>
      <c r="X173" s="370">
        <f t="shared" si="256"/>
        <v>0</v>
      </c>
      <c r="Y173" s="479">
        <f t="shared" si="257"/>
        <v>0</v>
      </c>
      <c r="Z173" s="367">
        <f t="shared" si="258"/>
        <v>0</v>
      </c>
      <c r="AA173" s="501"/>
      <c r="AB173" s="479">
        <f t="shared" si="259"/>
        <v>0</v>
      </c>
      <c r="AC173" s="501"/>
      <c r="AD173" s="479">
        <f t="shared" si="260"/>
        <v>0</v>
      </c>
      <c r="AE173" s="501"/>
      <c r="AF173" s="501"/>
      <c r="AG173" s="479"/>
      <c r="AH173" s="501" t="s">
        <v>118</v>
      </c>
      <c r="AI173" s="479">
        <f>I173*200%</f>
        <v>35394</v>
      </c>
      <c r="AJ173" s="552"/>
      <c r="AK173" s="479"/>
      <c r="AL173" s="393">
        <f t="shared" si="261"/>
        <v>0</v>
      </c>
      <c r="AM173" s="479">
        <f t="shared" si="262"/>
        <v>0</v>
      </c>
      <c r="AN173" s="393">
        <f t="shared" si="270"/>
        <v>0</v>
      </c>
      <c r="AO173" s="479" t="str">
        <f t="shared" si="263"/>
        <v>0</v>
      </c>
      <c r="AP173" s="393" t="str">
        <f t="shared" si="264"/>
        <v>0</v>
      </c>
      <c r="AQ173" s="479" t="str">
        <f t="shared" si="265"/>
        <v>0</v>
      </c>
      <c r="AR173" s="479" t="str">
        <f t="shared" si="266"/>
        <v>0</v>
      </c>
      <c r="AS173" s="501"/>
      <c r="AT173" s="553"/>
      <c r="AU173" s="554"/>
      <c r="AV173" s="553"/>
      <c r="AW173" s="371"/>
      <c r="AX173" s="367"/>
      <c r="AY173" s="479"/>
      <c r="AZ173" s="367">
        <f t="shared" si="267"/>
        <v>35394</v>
      </c>
      <c r="BA173" s="373">
        <f t="shared" si="197"/>
        <v>35394</v>
      </c>
      <c r="BB173" s="374">
        <f t="shared" si="198"/>
        <v>3539.4</v>
      </c>
      <c r="BC173" s="374">
        <f t="shared" si="199"/>
        <v>707.88</v>
      </c>
      <c r="BD173" s="374">
        <f t="shared" si="200"/>
        <v>-2940.3280000000004</v>
      </c>
      <c r="BE173" s="374">
        <f t="shared" si="201"/>
        <v>34087.047999999995</v>
      </c>
      <c r="BF173" s="374">
        <f t="shared" si="202"/>
        <v>424728</v>
      </c>
      <c r="BG173" s="374">
        <f t="shared" si="203"/>
        <v>0</v>
      </c>
      <c r="BH173" s="374">
        <f t="shared" si="204"/>
        <v>424728</v>
      </c>
      <c r="BI173" s="374">
        <f t="shared" si="205"/>
        <v>14865.480000000001</v>
      </c>
      <c r="BJ173" s="374">
        <f t="shared" si="206"/>
        <v>22000.910400000001</v>
      </c>
      <c r="BK173" s="374">
        <f t="shared" si="207"/>
        <v>19112.760000000002</v>
      </c>
      <c r="BL173" s="374">
        <f t="shared" si="208"/>
        <v>12741.84</v>
      </c>
      <c r="BM173" s="373">
        <f t="shared" si="268"/>
        <v>493448.99040000001</v>
      </c>
      <c r="BN173" s="555">
        <v>1</v>
      </c>
      <c r="BO173" s="377"/>
      <c r="BP173" s="377"/>
      <c r="BQ173" s="377"/>
      <c r="BR173" s="377"/>
      <c r="BS173" s="377"/>
      <c r="BT173" s="377"/>
      <c r="BU173" s="377"/>
      <c r="BV173" s="377"/>
      <c r="BW173" s="377"/>
      <c r="BX173" s="377"/>
      <c r="BY173" s="377"/>
      <c r="BZ173" s="377"/>
      <c r="CA173" s="377"/>
      <c r="CB173" s="377"/>
      <c r="CC173" s="377"/>
      <c r="CD173" s="377"/>
      <c r="CE173" s="377"/>
      <c r="CF173" s="377"/>
      <c r="CG173" s="377"/>
      <c r="CH173" s="377"/>
      <c r="CI173" s="377"/>
    </row>
    <row r="174" spans="1:87" ht="30">
      <c r="A174" s="547">
        <f t="shared" si="269"/>
        <v>148</v>
      </c>
      <c r="B174" s="383">
        <f t="shared" si="269"/>
        <v>10</v>
      </c>
      <c r="C174" s="560" t="s">
        <v>829</v>
      </c>
      <c r="D174" s="558" t="s">
        <v>1367</v>
      </c>
      <c r="E174" s="549" t="s">
        <v>57</v>
      </c>
      <c r="F174" s="549"/>
      <c r="G174" s="549" t="s">
        <v>1380</v>
      </c>
      <c r="H174" s="550" t="s">
        <v>1381</v>
      </c>
      <c r="I174" s="393">
        <v>17697</v>
      </c>
      <c r="J174" s="367">
        <v>9.66</v>
      </c>
      <c r="K174" s="479">
        <f t="shared" si="253"/>
        <v>170953.02</v>
      </c>
      <c r="L174" s="430"/>
      <c r="M174" s="430"/>
      <c r="N174" s="551"/>
      <c r="O174" s="430"/>
      <c r="P174" s="430"/>
      <c r="Q174" s="368">
        <f t="shared" si="254"/>
        <v>0</v>
      </c>
      <c r="R174" s="430"/>
      <c r="S174" s="430"/>
      <c r="T174" s="430"/>
      <c r="U174" s="430"/>
      <c r="V174" s="430"/>
      <c r="W174" s="381">
        <f t="shared" si="255"/>
        <v>0</v>
      </c>
      <c r="X174" s="370">
        <f t="shared" si="256"/>
        <v>0</v>
      </c>
      <c r="Y174" s="479">
        <f t="shared" si="257"/>
        <v>0</v>
      </c>
      <c r="Z174" s="367">
        <f t="shared" si="258"/>
        <v>0</v>
      </c>
      <c r="AA174" s="501"/>
      <c r="AB174" s="479">
        <f t="shared" si="259"/>
        <v>0</v>
      </c>
      <c r="AC174" s="501"/>
      <c r="AD174" s="479">
        <f t="shared" si="260"/>
        <v>0</v>
      </c>
      <c r="AE174" s="501"/>
      <c r="AF174" s="501"/>
      <c r="AG174" s="479"/>
      <c r="AH174" s="393" t="s">
        <v>1382</v>
      </c>
      <c r="AI174" s="479">
        <f>I174*200%*3</f>
        <v>106182</v>
      </c>
      <c r="AJ174" s="552"/>
      <c r="AK174" s="479"/>
      <c r="AL174" s="393">
        <f t="shared" si="261"/>
        <v>0</v>
      </c>
      <c r="AM174" s="479">
        <f t="shared" si="262"/>
        <v>0</v>
      </c>
      <c r="AN174" s="393">
        <f t="shared" si="270"/>
        <v>0</v>
      </c>
      <c r="AO174" s="479" t="str">
        <f t="shared" si="263"/>
        <v>0</v>
      </c>
      <c r="AP174" s="393" t="str">
        <f t="shared" si="264"/>
        <v>0</v>
      </c>
      <c r="AQ174" s="479" t="str">
        <f t="shared" si="265"/>
        <v>0</v>
      </c>
      <c r="AR174" s="479" t="str">
        <f t="shared" si="266"/>
        <v>0</v>
      </c>
      <c r="AS174" s="501"/>
      <c r="AT174" s="553"/>
      <c r="AU174" s="554"/>
      <c r="AV174" s="553"/>
      <c r="AW174" s="371" t="str">
        <f>G174</f>
        <v>Магистр филологии</v>
      </c>
      <c r="AX174" s="372">
        <f>10*4325</f>
        <v>43250</v>
      </c>
      <c r="AY174" s="479"/>
      <c r="AZ174" s="367">
        <f t="shared" si="267"/>
        <v>149432</v>
      </c>
      <c r="BA174" s="373">
        <f t="shared" si="197"/>
        <v>149432</v>
      </c>
      <c r="BB174" s="374">
        <f t="shared" si="198"/>
        <v>14943.2</v>
      </c>
      <c r="BC174" s="374">
        <f t="shared" si="199"/>
        <v>2988.64</v>
      </c>
      <c r="BD174" s="374">
        <f t="shared" si="200"/>
        <v>7095.0159999999978</v>
      </c>
      <c r="BE174" s="374">
        <f t="shared" si="201"/>
        <v>124405.14399999997</v>
      </c>
      <c r="BF174" s="374">
        <f t="shared" si="202"/>
        <v>1793184</v>
      </c>
      <c r="BG174" s="374">
        <f t="shared" si="203"/>
        <v>0</v>
      </c>
      <c r="BH174" s="374">
        <f t="shared" si="204"/>
        <v>1793184</v>
      </c>
      <c r="BI174" s="374">
        <f t="shared" si="205"/>
        <v>62761.44000000001</v>
      </c>
      <c r="BJ174" s="374">
        <f t="shared" si="206"/>
        <v>92886.931200000006</v>
      </c>
      <c r="BK174" s="374">
        <f t="shared" si="207"/>
        <v>80693.280000000013</v>
      </c>
      <c r="BL174" s="374">
        <f t="shared" si="208"/>
        <v>53795.519999999997</v>
      </c>
      <c r="BM174" s="373">
        <f t="shared" si="268"/>
        <v>2083321.1712</v>
      </c>
      <c r="BN174" s="555">
        <v>1</v>
      </c>
      <c r="BO174" s="377"/>
      <c r="BP174" s="377"/>
      <c r="BQ174" s="377"/>
      <c r="BR174" s="377"/>
      <c r="BS174" s="377"/>
      <c r="BT174" s="377"/>
      <c r="BU174" s="377"/>
      <c r="BV174" s="377"/>
      <c r="BW174" s="377"/>
      <c r="BX174" s="377"/>
      <c r="BY174" s="377"/>
      <c r="BZ174" s="377"/>
      <c r="CA174" s="377"/>
      <c r="CB174" s="377"/>
      <c r="CC174" s="377"/>
      <c r="CD174" s="377"/>
      <c r="CE174" s="377"/>
      <c r="CF174" s="377"/>
      <c r="CG174" s="377"/>
      <c r="CH174" s="377"/>
      <c r="CI174" s="377"/>
    </row>
    <row r="175" spans="1:87" ht="30">
      <c r="A175" s="547">
        <f t="shared" si="269"/>
        <v>149</v>
      </c>
      <c r="B175" s="383">
        <f t="shared" si="269"/>
        <v>11</v>
      </c>
      <c r="C175" s="559" t="s">
        <v>1383</v>
      </c>
      <c r="D175" s="558" t="s">
        <v>1367</v>
      </c>
      <c r="E175" s="549" t="s">
        <v>57</v>
      </c>
      <c r="F175" s="549"/>
      <c r="G175" s="549"/>
      <c r="H175" s="550" t="s">
        <v>1384</v>
      </c>
      <c r="I175" s="393">
        <v>17697</v>
      </c>
      <c r="J175" s="367">
        <v>11.4</v>
      </c>
      <c r="K175" s="479">
        <f t="shared" si="253"/>
        <v>201745.80000000002</v>
      </c>
      <c r="L175" s="430"/>
      <c r="M175" s="430"/>
      <c r="N175" s="430"/>
      <c r="O175" s="430"/>
      <c r="P175" s="430"/>
      <c r="Q175" s="368">
        <f t="shared" si="254"/>
        <v>0</v>
      </c>
      <c r="R175" s="430"/>
      <c r="S175" s="430"/>
      <c r="T175" s="430"/>
      <c r="U175" s="430"/>
      <c r="V175" s="430"/>
      <c r="W175" s="381">
        <f t="shared" si="255"/>
        <v>0</v>
      </c>
      <c r="X175" s="370">
        <f t="shared" si="256"/>
        <v>0</v>
      </c>
      <c r="Y175" s="479">
        <f t="shared" si="257"/>
        <v>0</v>
      </c>
      <c r="Z175" s="367">
        <f t="shared" si="258"/>
        <v>0</v>
      </c>
      <c r="AA175" s="501"/>
      <c r="AB175" s="479">
        <f t="shared" si="259"/>
        <v>0</v>
      </c>
      <c r="AC175" s="501"/>
      <c r="AD175" s="479">
        <f t="shared" si="260"/>
        <v>0</v>
      </c>
      <c r="AE175" s="501"/>
      <c r="AF175" s="501"/>
      <c r="AG175" s="479"/>
      <c r="AH175" s="393" t="s">
        <v>1385</v>
      </c>
      <c r="AI175" s="479">
        <f>I175*200%*3</f>
        <v>106182</v>
      </c>
      <c r="AJ175" s="552"/>
      <c r="AK175" s="479"/>
      <c r="AL175" s="393">
        <f t="shared" si="261"/>
        <v>0</v>
      </c>
      <c r="AM175" s="479">
        <f t="shared" si="262"/>
        <v>0</v>
      </c>
      <c r="AN175" s="393">
        <f t="shared" si="270"/>
        <v>0</v>
      </c>
      <c r="AO175" s="479" t="str">
        <f t="shared" si="263"/>
        <v>0</v>
      </c>
      <c r="AP175" s="393" t="str">
        <f t="shared" si="264"/>
        <v>0</v>
      </c>
      <c r="AQ175" s="479" t="str">
        <f t="shared" si="265"/>
        <v>0</v>
      </c>
      <c r="AR175" s="479" t="str">
        <f t="shared" si="266"/>
        <v>0</v>
      </c>
      <c r="AS175" s="501"/>
      <c r="AT175" s="553"/>
      <c r="AU175" s="554"/>
      <c r="AV175" s="553"/>
      <c r="AW175" s="371"/>
      <c r="AX175" s="372"/>
      <c r="AY175" s="479"/>
      <c r="AZ175" s="367">
        <f t="shared" si="267"/>
        <v>106182</v>
      </c>
      <c r="BA175" s="373">
        <f t="shared" si="197"/>
        <v>106182</v>
      </c>
      <c r="BB175" s="374">
        <f t="shared" si="198"/>
        <v>10618.2</v>
      </c>
      <c r="BC175" s="374">
        <f t="shared" si="199"/>
        <v>2123.64</v>
      </c>
      <c r="BD175" s="374">
        <f t="shared" si="200"/>
        <v>3289.0160000000005</v>
      </c>
      <c r="BE175" s="374">
        <f t="shared" si="201"/>
        <v>90151.144</v>
      </c>
      <c r="BF175" s="374">
        <f t="shared" si="202"/>
        <v>1274184</v>
      </c>
      <c r="BG175" s="374">
        <f t="shared" si="203"/>
        <v>0</v>
      </c>
      <c r="BH175" s="374">
        <f t="shared" si="204"/>
        <v>1274184</v>
      </c>
      <c r="BI175" s="374">
        <f t="shared" si="205"/>
        <v>44596.44</v>
      </c>
      <c r="BJ175" s="374">
        <f t="shared" si="206"/>
        <v>66002.731200000009</v>
      </c>
      <c r="BK175" s="374">
        <f t="shared" si="207"/>
        <v>57338.280000000006</v>
      </c>
      <c r="BL175" s="374">
        <f t="shared" si="208"/>
        <v>38225.519999999997</v>
      </c>
      <c r="BM175" s="373">
        <f t="shared" si="268"/>
        <v>1480346.9712</v>
      </c>
      <c r="BN175" s="555">
        <v>1</v>
      </c>
      <c r="BO175" s="377"/>
      <c r="BP175" s="377"/>
      <c r="BQ175" s="377"/>
      <c r="BR175" s="377"/>
      <c r="BS175" s="377"/>
      <c r="BT175" s="377"/>
      <c r="BU175" s="377"/>
      <c r="BV175" s="377"/>
      <c r="BW175" s="377"/>
      <c r="BX175" s="377"/>
      <c r="BY175" s="377"/>
      <c r="BZ175" s="377"/>
      <c r="CA175" s="377"/>
      <c r="CB175" s="377"/>
      <c r="CC175" s="377"/>
      <c r="CD175" s="377"/>
      <c r="CE175" s="377"/>
      <c r="CF175" s="377"/>
      <c r="CG175" s="377"/>
      <c r="CH175" s="377"/>
      <c r="CI175" s="377"/>
    </row>
    <row r="176" spans="1:87" ht="30">
      <c r="A176" s="547">
        <f t="shared" si="269"/>
        <v>150</v>
      </c>
      <c r="B176" s="383">
        <f t="shared" si="269"/>
        <v>12</v>
      </c>
      <c r="C176" s="561" t="s">
        <v>907</v>
      </c>
      <c r="D176" s="558" t="s">
        <v>1367</v>
      </c>
      <c r="E176" s="549" t="s">
        <v>57</v>
      </c>
      <c r="F176" s="549"/>
      <c r="G176" s="549"/>
      <c r="H176" s="550" t="s">
        <v>1386</v>
      </c>
      <c r="I176" s="393">
        <v>17697</v>
      </c>
      <c r="J176" s="367">
        <v>9.66</v>
      </c>
      <c r="K176" s="479">
        <f t="shared" si="253"/>
        <v>170953.02</v>
      </c>
      <c r="L176" s="430"/>
      <c r="M176" s="430"/>
      <c r="N176" s="430"/>
      <c r="O176" s="430"/>
      <c r="P176" s="430"/>
      <c r="Q176" s="368">
        <f t="shared" si="254"/>
        <v>0</v>
      </c>
      <c r="R176" s="430"/>
      <c r="S176" s="430"/>
      <c r="T176" s="430"/>
      <c r="U176" s="430"/>
      <c r="V176" s="430"/>
      <c r="W176" s="381">
        <f t="shared" si="255"/>
        <v>0</v>
      </c>
      <c r="X176" s="370">
        <f t="shared" si="256"/>
        <v>0</v>
      </c>
      <c r="Y176" s="479">
        <f t="shared" si="257"/>
        <v>0</v>
      </c>
      <c r="Z176" s="367">
        <f t="shared" si="258"/>
        <v>0</v>
      </c>
      <c r="AA176" s="501"/>
      <c r="AB176" s="479">
        <f t="shared" si="259"/>
        <v>0</v>
      </c>
      <c r="AC176" s="501"/>
      <c r="AD176" s="479">
        <f t="shared" si="260"/>
        <v>0</v>
      </c>
      <c r="AE176" s="501"/>
      <c r="AF176" s="501"/>
      <c r="AG176" s="479"/>
      <c r="AH176" s="501" t="s">
        <v>1387</v>
      </c>
      <c r="AI176" s="479">
        <f>I176*200%*3</f>
        <v>106182</v>
      </c>
      <c r="AJ176" s="552"/>
      <c r="AK176" s="479"/>
      <c r="AL176" s="393">
        <f t="shared" si="261"/>
        <v>0</v>
      </c>
      <c r="AM176" s="479">
        <f t="shared" si="262"/>
        <v>0</v>
      </c>
      <c r="AN176" s="393">
        <f t="shared" si="270"/>
        <v>0</v>
      </c>
      <c r="AO176" s="479" t="str">
        <f t="shared" si="263"/>
        <v>0</v>
      </c>
      <c r="AP176" s="393" t="str">
        <f t="shared" si="264"/>
        <v>0</v>
      </c>
      <c r="AQ176" s="479" t="str">
        <f t="shared" si="265"/>
        <v>0</v>
      </c>
      <c r="AR176" s="479" t="str">
        <f t="shared" si="266"/>
        <v>0</v>
      </c>
      <c r="AS176" s="501"/>
      <c r="AT176" s="553"/>
      <c r="AU176" s="554"/>
      <c r="AV176" s="553"/>
      <c r="AW176" s="371"/>
      <c r="AX176" s="372"/>
      <c r="AY176" s="479"/>
      <c r="AZ176" s="367">
        <f t="shared" si="267"/>
        <v>106182</v>
      </c>
      <c r="BA176" s="373">
        <f t="shared" si="197"/>
        <v>106182</v>
      </c>
      <c r="BB176" s="374">
        <f t="shared" si="198"/>
        <v>10618.2</v>
      </c>
      <c r="BC176" s="374">
        <f t="shared" si="199"/>
        <v>2123.64</v>
      </c>
      <c r="BD176" s="374">
        <f t="shared" si="200"/>
        <v>3289.0160000000005</v>
      </c>
      <c r="BE176" s="374">
        <f t="shared" si="201"/>
        <v>90151.144</v>
      </c>
      <c r="BF176" s="374">
        <f t="shared" si="202"/>
        <v>1274184</v>
      </c>
      <c r="BG176" s="374">
        <f t="shared" si="203"/>
        <v>0</v>
      </c>
      <c r="BH176" s="374">
        <f t="shared" si="204"/>
        <v>1274184</v>
      </c>
      <c r="BI176" s="374">
        <f t="shared" si="205"/>
        <v>44596.44</v>
      </c>
      <c r="BJ176" s="374">
        <f t="shared" si="206"/>
        <v>66002.731200000009</v>
      </c>
      <c r="BK176" s="374">
        <f t="shared" si="207"/>
        <v>57338.280000000006</v>
      </c>
      <c r="BL176" s="374">
        <f t="shared" si="208"/>
        <v>38225.519999999997</v>
      </c>
      <c r="BM176" s="373">
        <f t="shared" si="268"/>
        <v>1480346.9712</v>
      </c>
      <c r="BN176" s="555">
        <v>1</v>
      </c>
      <c r="BO176" s="377"/>
      <c r="BP176" s="377"/>
      <c r="BQ176" s="377"/>
      <c r="BR176" s="377"/>
      <c r="BS176" s="377"/>
      <c r="BT176" s="377"/>
      <c r="BU176" s="377"/>
      <c r="BV176" s="377"/>
      <c r="BW176" s="377"/>
      <c r="BX176" s="377"/>
      <c r="BY176" s="377"/>
      <c r="BZ176" s="377"/>
      <c r="CA176" s="377"/>
      <c r="CB176" s="377"/>
      <c r="CC176" s="377"/>
      <c r="CD176" s="377"/>
      <c r="CE176" s="377"/>
      <c r="CF176" s="377"/>
      <c r="CG176" s="377"/>
      <c r="CH176" s="377"/>
      <c r="CI176" s="377"/>
    </row>
    <row r="177" spans="1:90" ht="30">
      <c r="A177" s="547">
        <f t="shared" si="269"/>
        <v>151</v>
      </c>
      <c r="B177" s="383">
        <f t="shared" si="269"/>
        <v>13</v>
      </c>
      <c r="C177" s="559" t="s">
        <v>908</v>
      </c>
      <c r="D177" s="558" t="s">
        <v>1367</v>
      </c>
      <c r="E177" s="549" t="s">
        <v>57</v>
      </c>
      <c r="F177" s="549"/>
      <c r="G177" s="549"/>
      <c r="H177" s="550" t="s">
        <v>1388</v>
      </c>
      <c r="I177" s="393">
        <v>17697</v>
      </c>
      <c r="J177" s="367">
        <v>10</v>
      </c>
      <c r="K177" s="479">
        <f t="shared" si="253"/>
        <v>176970</v>
      </c>
      <c r="L177" s="430"/>
      <c r="M177" s="430"/>
      <c r="N177" s="430"/>
      <c r="O177" s="430"/>
      <c r="P177" s="430"/>
      <c r="Q177" s="368">
        <f t="shared" si="254"/>
        <v>0</v>
      </c>
      <c r="R177" s="430"/>
      <c r="S177" s="430"/>
      <c r="T177" s="430"/>
      <c r="U177" s="430"/>
      <c r="V177" s="430"/>
      <c r="W177" s="381">
        <f t="shared" si="255"/>
        <v>0</v>
      </c>
      <c r="X177" s="370">
        <f t="shared" si="256"/>
        <v>0</v>
      </c>
      <c r="Y177" s="479">
        <f t="shared" si="257"/>
        <v>0</v>
      </c>
      <c r="Z177" s="367">
        <f t="shared" si="258"/>
        <v>0</v>
      </c>
      <c r="AA177" s="501"/>
      <c r="AB177" s="479">
        <f t="shared" si="259"/>
        <v>0</v>
      </c>
      <c r="AC177" s="501"/>
      <c r="AD177" s="479">
        <f t="shared" si="260"/>
        <v>0</v>
      </c>
      <c r="AE177" s="501"/>
      <c r="AF177" s="501"/>
      <c r="AG177" s="479"/>
      <c r="AH177" s="501" t="s">
        <v>1389</v>
      </c>
      <c r="AI177" s="479">
        <f>I177*200%*3</f>
        <v>106182</v>
      </c>
      <c r="AJ177" s="552"/>
      <c r="AK177" s="479"/>
      <c r="AL177" s="393">
        <f t="shared" si="261"/>
        <v>0</v>
      </c>
      <c r="AM177" s="479">
        <f t="shared" si="262"/>
        <v>0</v>
      </c>
      <c r="AN177" s="393">
        <f t="shared" si="270"/>
        <v>0</v>
      </c>
      <c r="AO177" s="479" t="str">
        <f t="shared" si="263"/>
        <v>0</v>
      </c>
      <c r="AP177" s="393" t="str">
        <f t="shared" si="264"/>
        <v>0</v>
      </c>
      <c r="AQ177" s="479" t="str">
        <f t="shared" si="265"/>
        <v>0</v>
      </c>
      <c r="AR177" s="479" t="str">
        <f t="shared" si="266"/>
        <v>0</v>
      </c>
      <c r="AS177" s="501"/>
      <c r="AT177" s="553"/>
      <c r="AU177" s="554"/>
      <c r="AV177" s="553"/>
      <c r="AW177" s="371"/>
      <c r="AX177" s="372"/>
      <c r="AY177" s="479"/>
      <c r="AZ177" s="367">
        <f t="shared" si="267"/>
        <v>106182</v>
      </c>
      <c r="BA177" s="373">
        <f t="shared" si="197"/>
        <v>106182</v>
      </c>
      <c r="BB177" s="374">
        <f t="shared" si="198"/>
        <v>10618.2</v>
      </c>
      <c r="BC177" s="374">
        <f t="shared" si="199"/>
        <v>2123.64</v>
      </c>
      <c r="BD177" s="374">
        <f t="shared" si="200"/>
        <v>3289.0160000000005</v>
      </c>
      <c r="BE177" s="374">
        <f t="shared" si="201"/>
        <v>90151.144</v>
      </c>
      <c r="BF177" s="374">
        <f t="shared" si="202"/>
        <v>1274184</v>
      </c>
      <c r="BG177" s="374">
        <f t="shared" si="203"/>
        <v>0</v>
      </c>
      <c r="BH177" s="374">
        <f t="shared" si="204"/>
        <v>1274184</v>
      </c>
      <c r="BI177" s="374">
        <f t="shared" si="205"/>
        <v>44596.44</v>
      </c>
      <c r="BJ177" s="374">
        <f t="shared" si="206"/>
        <v>66002.731200000009</v>
      </c>
      <c r="BK177" s="374">
        <f t="shared" si="207"/>
        <v>57338.280000000006</v>
      </c>
      <c r="BL177" s="374">
        <f t="shared" si="208"/>
        <v>38225.519999999997</v>
      </c>
      <c r="BM177" s="373">
        <f t="shared" si="268"/>
        <v>1480346.9712</v>
      </c>
      <c r="BN177" s="555">
        <v>1</v>
      </c>
      <c r="BO177" s="377"/>
      <c r="BP177" s="377"/>
      <c r="BQ177" s="377"/>
      <c r="BR177" s="377"/>
      <c r="BS177" s="377"/>
      <c r="BT177" s="377"/>
      <c r="BU177" s="377"/>
      <c r="BV177" s="377"/>
      <c r="BW177" s="377"/>
      <c r="BX177" s="377"/>
      <c r="BY177" s="377"/>
      <c r="BZ177" s="377"/>
      <c r="CA177" s="377"/>
      <c r="CB177" s="377"/>
      <c r="CC177" s="377"/>
      <c r="CD177" s="377"/>
      <c r="CE177" s="377"/>
      <c r="CF177" s="377"/>
      <c r="CG177" s="377"/>
      <c r="CH177" s="377"/>
      <c r="CI177" s="377"/>
    </row>
    <row r="178" spans="1:90" ht="30">
      <c r="A178" s="547">
        <f t="shared" si="269"/>
        <v>152</v>
      </c>
      <c r="B178" s="383">
        <f t="shared" si="269"/>
        <v>14</v>
      </c>
      <c r="C178" s="562" t="s">
        <v>452</v>
      </c>
      <c r="D178" s="558" t="s">
        <v>1367</v>
      </c>
      <c r="E178" s="549" t="s">
        <v>57</v>
      </c>
      <c r="F178" s="549"/>
      <c r="G178" s="549"/>
      <c r="H178" s="550" t="s">
        <v>1390</v>
      </c>
      <c r="I178" s="393">
        <v>17697</v>
      </c>
      <c r="J178" s="367">
        <v>10.82</v>
      </c>
      <c r="K178" s="479">
        <f t="shared" si="253"/>
        <v>191481.54</v>
      </c>
      <c r="L178" s="430"/>
      <c r="M178" s="430"/>
      <c r="N178" s="430"/>
      <c r="O178" s="430"/>
      <c r="P178" s="430"/>
      <c r="Q178" s="368">
        <f t="shared" si="254"/>
        <v>0</v>
      </c>
      <c r="R178" s="430"/>
      <c r="S178" s="430"/>
      <c r="T178" s="430"/>
      <c r="U178" s="430"/>
      <c r="V178" s="430"/>
      <c r="W178" s="381">
        <f t="shared" si="255"/>
        <v>0</v>
      </c>
      <c r="X178" s="370">
        <f t="shared" si="256"/>
        <v>0</v>
      </c>
      <c r="Y178" s="479">
        <f t="shared" si="257"/>
        <v>0</v>
      </c>
      <c r="Z178" s="367">
        <f t="shared" si="258"/>
        <v>0</v>
      </c>
      <c r="AA178" s="501"/>
      <c r="AB178" s="479">
        <f t="shared" si="259"/>
        <v>0</v>
      </c>
      <c r="AC178" s="501"/>
      <c r="AD178" s="479">
        <f t="shared" si="260"/>
        <v>0</v>
      </c>
      <c r="AE178" s="501"/>
      <c r="AF178" s="501"/>
      <c r="AG178" s="479"/>
      <c r="AH178" s="393" t="s">
        <v>1391</v>
      </c>
      <c r="AI178" s="479">
        <f>I178*200%</f>
        <v>35394</v>
      </c>
      <c r="AJ178" s="552"/>
      <c r="AK178" s="479"/>
      <c r="AL178" s="393">
        <f t="shared" si="261"/>
        <v>0</v>
      </c>
      <c r="AM178" s="479">
        <f t="shared" si="262"/>
        <v>0</v>
      </c>
      <c r="AN178" s="393">
        <f t="shared" si="270"/>
        <v>0</v>
      </c>
      <c r="AO178" s="479" t="str">
        <f t="shared" si="263"/>
        <v>0</v>
      </c>
      <c r="AP178" s="393" t="str">
        <f t="shared" si="264"/>
        <v>0</v>
      </c>
      <c r="AQ178" s="479" t="str">
        <f t="shared" si="265"/>
        <v>0</v>
      </c>
      <c r="AR178" s="479" t="str">
        <f t="shared" si="266"/>
        <v>0</v>
      </c>
      <c r="AS178" s="501"/>
      <c r="AT178" s="553"/>
      <c r="AU178" s="554"/>
      <c r="AV178" s="553"/>
      <c r="AW178" s="371"/>
      <c r="AX178" s="372"/>
      <c r="AY178" s="479"/>
      <c r="AZ178" s="367">
        <f t="shared" si="267"/>
        <v>35394</v>
      </c>
      <c r="BA178" s="373">
        <f t="shared" si="197"/>
        <v>35394</v>
      </c>
      <c r="BB178" s="374">
        <f t="shared" si="198"/>
        <v>3539.4</v>
      </c>
      <c r="BC178" s="374">
        <f t="shared" si="199"/>
        <v>707.88</v>
      </c>
      <c r="BD178" s="374">
        <f t="shared" si="200"/>
        <v>-2940.3280000000004</v>
      </c>
      <c r="BE178" s="374">
        <f t="shared" si="201"/>
        <v>34087.047999999995</v>
      </c>
      <c r="BF178" s="374">
        <f t="shared" si="202"/>
        <v>424728</v>
      </c>
      <c r="BG178" s="374">
        <f t="shared" si="203"/>
        <v>0</v>
      </c>
      <c r="BH178" s="374">
        <f t="shared" si="204"/>
        <v>424728</v>
      </c>
      <c r="BI178" s="374">
        <f t="shared" si="205"/>
        <v>14865.480000000001</v>
      </c>
      <c r="BJ178" s="374">
        <f t="shared" si="206"/>
        <v>22000.910400000001</v>
      </c>
      <c r="BK178" s="374">
        <f t="shared" si="207"/>
        <v>19112.760000000002</v>
      </c>
      <c r="BL178" s="374">
        <f t="shared" si="208"/>
        <v>12741.84</v>
      </c>
      <c r="BM178" s="373">
        <f t="shared" si="268"/>
        <v>493448.99040000001</v>
      </c>
      <c r="BN178" s="555">
        <v>1</v>
      </c>
      <c r="BO178" s="377"/>
      <c r="BP178" s="377"/>
      <c r="BQ178" s="377"/>
      <c r="BR178" s="377"/>
      <c r="BS178" s="377"/>
      <c r="BT178" s="377"/>
      <c r="BU178" s="377"/>
      <c r="BV178" s="377"/>
      <c r="BW178" s="377"/>
      <c r="BX178" s="377"/>
      <c r="BY178" s="377"/>
      <c r="BZ178" s="377"/>
      <c r="CA178" s="377"/>
      <c r="CB178" s="377"/>
      <c r="CC178" s="377"/>
      <c r="CD178" s="377"/>
      <c r="CE178" s="377"/>
      <c r="CF178" s="377"/>
      <c r="CG178" s="377"/>
      <c r="CH178" s="377"/>
      <c r="CI178" s="377"/>
    </row>
    <row r="179" spans="1:90" ht="28.5" customHeight="1">
      <c r="A179" s="547">
        <f t="shared" si="269"/>
        <v>153</v>
      </c>
      <c r="B179" s="383">
        <f t="shared" si="269"/>
        <v>15</v>
      </c>
      <c r="C179" s="562" t="s">
        <v>458</v>
      </c>
      <c r="D179" s="556" t="s">
        <v>1370</v>
      </c>
      <c r="E179" s="549" t="s">
        <v>57</v>
      </c>
      <c r="F179" s="549"/>
      <c r="G179" s="549"/>
      <c r="H179" s="550" t="s">
        <v>1392</v>
      </c>
      <c r="I179" s="393">
        <v>17697</v>
      </c>
      <c r="J179" s="367">
        <v>9.84</v>
      </c>
      <c r="K179" s="479">
        <f t="shared" si="253"/>
        <v>174138.48</v>
      </c>
      <c r="L179" s="430"/>
      <c r="M179" s="430"/>
      <c r="N179" s="430"/>
      <c r="O179" s="430"/>
      <c r="P179" s="430"/>
      <c r="Q179" s="368">
        <f t="shared" si="254"/>
        <v>0</v>
      </c>
      <c r="R179" s="430"/>
      <c r="S179" s="430"/>
      <c r="T179" s="430"/>
      <c r="U179" s="430"/>
      <c r="V179" s="430"/>
      <c r="W179" s="381">
        <f t="shared" si="255"/>
        <v>0</v>
      </c>
      <c r="X179" s="370">
        <f t="shared" si="256"/>
        <v>0</v>
      </c>
      <c r="Y179" s="479">
        <f t="shared" si="257"/>
        <v>0</v>
      </c>
      <c r="Z179" s="367">
        <f t="shared" si="258"/>
        <v>0</v>
      </c>
      <c r="AA179" s="501"/>
      <c r="AB179" s="479">
        <f t="shared" si="259"/>
        <v>0</v>
      </c>
      <c r="AC179" s="501"/>
      <c r="AD179" s="479">
        <f t="shared" si="260"/>
        <v>0</v>
      </c>
      <c r="AE179" s="501"/>
      <c r="AF179" s="501"/>
      <c r="AG179" s="479"/>
      <c r="AH179" s="393" t="s">
        <v>1393</v>
      </c>
      <c r="AI179" s="479">
        <f>I179*200%</f>
        <v>35394</v>
      </c>
      <c r="AJ179" s="552"/>
      <c r="AK179" s="479"/>
      <c r="AL179" s="393">
        <f t="shared" si="261"/>
        <v>0</v>
      </c>
      <c r="AM179" s="479">
        <f t="shared" si="262"/>
        <v>0</v>
      </c>
      <c r="AN179" s="393">
        <f t="shared" si="270"/>
        <v>0</v>
      </c>
      <c r="AO179" s="479" t="str">
        <f t="shared" si="263"/>
        <v>0</v>
      </c>
      <c r="AP179" s="393" t="str">
        <f t="shared" si="264"/>
        <v>0</v>
      </c>
      <c r="AQ179" s="479" t="str">
        <f t="shared" si="265"/>
        <v>0</v>
      </c>
      <c r="AR179" s="479" t="str">
        <f t="shared" si="266"/>
        <v>0</v>
      </c>
      <c r="AS179" s="501"/>
      <c r="AT179" s="553"/>
      <c r="AU179" s="554"/>
      <c r="AV179" s="553"/>
      <c r="AW179" s="371"/>
      <c r="AX179" s="372"/>
      <c r="AY179" s="479"/>
      <c r="AZ179" s="367">
        <f t="shared" si="267"/>
        <v>35394</v>
      </c>
      <c r="BA179" s="373">
        <f t="shared" si="197"/>
        <v>35394</v>
      </c>
      <c r="BB179" s="374">
        <f t="shared" si="198"/>
        <v>3539.4</v>
      </c>
      <c r="BC179" s="374">
        <f t="shared" si="199"/>
        <v>707.88</v>
      </c>
      <c r="BD179" s="374">
        <f t="shared" si="200"/>
        <v>-2940.3280000000004</v>
      </c>
      <c r="BE179" s="374">
        <f t="shared" si="201"/>
        <v>34087.047999999995</v>
      </c>
      <c r="BF179" s="374">
        <f t="shared" si="202"/>
        <v>424728</v>
      </c>
      <c r="BG179" s="374">
        <f t="shared" si="203"/>
        <v>0</v>
      </c>
      <c r="BH179" s="374">
        <f t="shared" si="204"/>
        <v>424728</v>
      </c>
      <c r="BI179" s="374">
        <f t="shared" si="205"/>
        <v>14865.480000000001</v>
      </c>
      <c r="BJ179" s="374">
        <f t="shared" si="206"/>
        <v>22000.910400000001</v>
      </c>
      <c r="BK179" s="374">
        <f t="shared" si="207"/>
        <v>19112.760000000002</v>
      </c>
      <c r="BL179" s="374">
        <f t="shared" si="208"/>
        <v>12741.84</v>
      </c>
      <c r="BM179" s="373">
        <f t="shared" si="268"/>
        <v>493448.99040000001</v>
      </c>
      <c r="BN179" s="555">
        <v>1</v>
      </c>
      <c r="BO179" s="377"/>
      <c r="BP179" s="377"/>
      <c r="BQ179" s="377"/>
      <c r="BR179" s="377"/>
      <c r="BS179" s="377"/>
      <c r="BT179" s="377"/>
      <c r="BU179" s="377"/>
      <c r="BV179" s="377"/>
      <c r="BW179" s="377"/>
      <c r="BX179" s="377"/>
      <c r="BY179" s="377"/>
      <c r="BZ179" s="377"/>
      <c r="CA179" s="377"/>
      <c r="CB179" s="377"/>
      <c r="CC179" s="377"/>
      <c r="CD179" s="377"/>
      <c r="CE179" s="377"/>
      <c r="CF179" s="377"/>
      <c r="CG179" s="377"/>
      <c r="CH179" s="377"/>
      <c r="CI179" s="377"/>
    </row>
    <row r="180" spans="1:90" ht="33" customHeight="1">
      <c r="A180" s="547">
        <f t="shared" si="269"/>
        <v>154</v>
      </c>
      <c r="B180" s="383">
        <f t="shared" si="269"/>
        <v>16</v>
      </c>
      <c r="C180" s="563" t="s">
        <v>522</v>
      </c>
      <c r="D180" s="379" t="s">
        <v>1394</v>
      </c>
      <c r="E180" s="556" t="s">
        <v>57</v>
      </c>
      <c r="F180" s="549"/>
      <c r="G180" s="557"/>
      <c r="H180" s="550"/>
      <c r="I180" s="393"/>
      <c r="J180" s="479"/>
      <c r="K180" s="479">
        <f t="shared" si="253"/>
        <v>0</v>
      </c>
      <c r="L180" s="430"/>
      <c r="M180" s="430"/>
      <c r="N180" s="430"/>
      <c r="O180" s="430"/>
      <c r="P180" s="430"/>
      <c r="Q180" s="564">
        <f t="shared" si="254"/>
        <v>0</v>
      </c>
      <c r="R180" s="430"/>
      <c r="S180" s="430"/>
      <c r="T180" s="430"/>
      <c r="U180" s="430"/>
      <c r="V180" s="430"/>
      <c r="W180" s="381">
        <f t="shared" si="255"/>
        <v>0</v>
      </c>
      <c r="X180" s="370">
        <f t="shared" si="256"/>
        <v>0</v>
      </c>
      <c r="Y180" s="479">
        <f t="shared" si="257"/>
        <v>0</v>
      </c>
      <c r="Z180" s="367">
        <v>0</v>
      </c>
      <c r="AA180" s="565"/>
      <c r="AB180" s="479"/>
      <c r="AC180" s="565"/>
      <c r="AD180" s="479"/>
      <c r="AE180" s="366">
        <v>196600</v>
      </c>
      <c r="AF180" s="565"/>
      <c r="AG180" s="479"/>
      <c r="AH180" s="565"/>
      <c r="AI180" s="479"/>
      <c r="AJ180" s="552"/>
      <c r="AK180" s="479"/>
      <c r="AL180" s="393">
        <f t="shared" si="261"/>
        <v>0</v>
      </c>
      <c r="AM180" s="479">
        <f t="shared" si="262"/>
        <v>0</v>
      </c>
      <c r="AN180" s="393">
        <f t="shared" si="270"/>
        <v>0</v>
      </c>
      <c r="AO180" s="479" t="str">
        <f t="shared" si="263"/>
        <v>0</v>
      </c>
      <c r="AP180" s="393" t="str">
        <f t="shared" si="264"/>
        <v>0</v>
      </c>
      <c r="AQ180" s="479" t="str">
        <f t="shared" si="265"/>
        <v>0</v>
      </c>
      <c r="AR180" s="479" t="str">
        <f t="shared" si="266"/>
        <v>0</v>
      </c>
      <c r="AS180" s="393"/>
      <c r="AT180" s="479"/>
      <c r="AU180" s="565"/>
      <c r="AV180" s="479"/>
      <c r="AW180" s="371"/>
      <c r="AX180" s="372"/>
      <c r="AY180" s="479"/>
      <c r="AZ180" s="367">
        <f t="shared" si="267"/>
        <v>196600</v>
      </c>
      <c r="BA180" s="373">
        <f t="shared" si="197"/>
        <v>196600</v>
      </c>
      <c r="BB180" s="374">
        <f t="shared" si="198"/>
        <v>19660</v>
      </c>
      <c r="BC180" s="374">
        <f t="shared" si="199"/>
        <v>3932</v>
      </c>
      <c r="BD180" s="374">
        <f t="shared" si="200"/>
        <v>11245.800000000001</v>
      </c>
      <c r="BE180" s="374">
        <f t="shared" si="201"/>
        <v>161762.20000000001</v>
      </c>
      <c r="BF180" s="374">
        <f t="shared" si="202"/>
        <v>2359200</v>
      </c>
      <c r="BG180" s="374">
        <f t="shared" si="203"/>
        <v>0</v>
      </c>
      <c r="BH180" s="374">
        <f t="shared" si="204"/>
        <v>2359200</v>
      </c>
      <c r="BI180" s="374">
        <f t="shared" si="205"/>
        <v>82572.000000000015</v>
      </c>
      <c r="BJ180" s="374">
        <f t="shared" si="206"/>
        <v>122206.56</v>
      </c>
      <c r="BK180" s="374">
        <f t="shared" si="207"/>
        <v>106164</v>
      </c>
      <c r="BL180" s="374">
        <f t="shared" si="208"/>
        <v>70776</v>
      </c>
      <c r="BM180" s="373">
        <f t="shared" si="268"/>
        <v>2740918.56</v>
      </c>
      <c r="BN180" s="555">
        <v>1</v>
      </c>
      <c r="BO180" s="377"/>
      <c r="BP180" s="377"/>
      <c r="BQ180" s="377"/>
      <c r="BR180" s="377"/>
      <c r="BS180" s="377"/>
      <c r="BT180" s="377"/>
      <c r="BU180" s="377"/>
      <c r="BV180" s="377"/>
      <c r="BW180" s="377"/>
      <c r="BX180" s="377"/>
      <c r="BY180" s="377"/>
      <c r="BZ180" s="377"/>
      <c r="CA180" s="377"/>
      <c r="CB180" s="377"/>
      <c r="CC180" s="377"/>
      <c r="CD180" s="377"/>
      <c r="CE180" s="377"/>
      <c r="CF180" s="377"/>
      <c r="CG180" s="377"/>
      <c r="CH180" s="377"/>
      <c r="CI180" s="377"/>
    </row>
    <row r="181" spans="1:90" ht="14.25">
      <c r="A181" s="566"/>
      <c r="B181" s="567"/>
      <c r="C181" s="568" t="s">
        <v>1162</v>
      </c>
      <c r="D181" s="569"/>
      <c r="E181" s="524"/>
      <c r="F181" s="524"/>
      <c r="G181" s="524"/>
      <c r="H181" s="491"/>
      <c r="I181" s="490"/>
      <c r="J181" s="490"/>
      <c r="K181" s="422">
        <f>SUM(K165:K180)</f>
        <v>2801081.16</v>
      </c>
      <c r="L181" s="422">
        <f t="shared" ref="L181:BN181" si="271">SUM(L165:L180)</f>
        <v>0</v>
      </c>
      <c r="M181" s="422">
        <f t="shared" si="271"/>
        <v>0</v>
      </c>
      <c r="N181" s="422">
        <f t="shared" si="271"/>
        <v>0</v>
      </c>
      <c r="O181" s="422">
        <f t="shared" si="271"/>
        <v>0</v>
      </c>
      <c r="P181" s="422">
        <f t="shared" si="271"/>
        <v>0</v>
      </c>
      <c r="Q181" s="422">
        <f t="shared" si="271"/>
        <v>0</v>
      </c>
      <c r="R181" s="422">
        <f t="shared" si="271"/>
        <v>0</v>
      </c>
      <c r="S181" s="422">
        <f t="shared" si="271"/>
        <v>0</v>
      </c>
      <c r="T181" s="422">
        <f t="shared" si="271"/>
        <v>11</v>
      </c>
      <c r="U181" s="422">
        <f t="shared" si="271"/>
        <v>12</v>
      </c>
      <c r="V181" s="422">
        <f t="shared" si="271"/>
        <v>0</v>
      </c>
      <c r="W181" s="422">
        <f t="shared" si="271"/>
        <v>23</v>
      </c>
      <c r="X181" s="422">
        <f t="shared" si="271"/>
        <v>23</v>
      </c>
      <c r="Y181" s="422">
        <f t="shared" si="271"/>
        <v>287355.03750000003</v>
      </c>
      <c r="Z181" s="422">
        <f t="shared" si="271"/>
        <v>17555.424000000003</v>
      </c>
      <c r="AA181" s="422">
        <f t="shared" si="271"/>
        <v>0</v>
      </c>
      <c r="AB181" s="422">
        <f t="shared" si="271"/>
        <v>0</v>
      </c>
      <c r="AC181" s="422">
        <f t="shared" si="271"/>
        <v>0</v>
      </c>
      <c r="AD181" s="422">
        <f t="shared" si="271"/>
        <v>0</v>
      </c>
      <c r="AE181" s="422">
        <f t="shared" si="271"/>
        <v>196600</v>
      </c>
      <c r="AF181" s="422">
        <f t="shared" si="271"/>
        <v>0</v>
      </c>
      <c r="AG181" s="422">
        <f t="shared" si="271"/>
        <v>0</v>
      </c>
      <c r="AH181" s="422">
        <v>22</v>
      </c>
      <c r="AI181" s="422">
        <f t="shared" si="271"/>
        <v>778668</v>
      </c>
      <c r="AJ181" s="422">
        <f t="shared" si="271"/>
        <v>0</v>
      </c>
      <c r="AK181" s="422">
        <f t="shared" si="271"/>
        <v>0</v>
      </c>
      <c r="AL181" s="422">
        <f t="shared" si="271"/>
        <v>23</v>
      </c>
      <c r="AM181" s="422">
        <f t="shared" si="271"/>
        <v>86206.511249999996</v>
      </c>
      <c r="AN181" s="422">
        <f t="shared" si="271"/>
        <v>0</v>
      </c>
      <c r="AO181" s="422">
        <f t="shared" si="271"/>
        <v>0</v>
      </c>
      <c r="AP181" s="422">
        <f t="shared" si="271"/>
        <v>19785.245999999999</v>
      </c>
      <c r="AQ181" s="422">
        <f t="shared" si="271"/>
        <v>0</v>
      </c>
      <c r="AR181" s="422">
        <f t="shared" si="271"/>
        <v>0</v>
      </c>
      <c r="AS181" s="422">
        <f t="shared" si="271"/>
        <v>0</v>
      </c>
      <c r="AT181" s="422">
        <f t="shared" si="271"/>
        <v>0</v>
      </c>
      <c r="AU181" s="422">
        <f t="shared" si="271"/>
        <v>0</v>
      </c>
      <c r="AV181" s="422">
        <f t="shared" si="271"/>
        <v>0</v>
      </c>
      <c r="AW181" s="422">
        <v>2</v>
      </c>
      <c r="AX181" s="422">
        <f t="shared" si="271"/>
        <v>86500</v>
      </c>
      <c r="AY181" s="422">
        <f t="shared" si="271"/>
        <v>0</v>
      </c>
      <c r="AZ181" s="422">
        <f t="shared" si="271"/>
        <v>1185315.1812499999</v>
      </c>
      <c r="BA181" s="1318">
        <f>SUM(BA165:BA180)</f>
        <v>1472670.21875</v>
      </c>
      <c r="BB181" s="1318">
        <f t="shared" ref="BB181:BM181" si="272">SUM(BB165:BB180)</f>
        <v>147267.02187499998</v>
      </c>
      <c r="BC181" s="1318">
        <f t="shared" si="272"/>
        <v>29453.404374999998</v>
      </c>
      <c r="BD181" s="1318">
        <f t="shared" si="272"/>
        <v>32714.979249999989</v>
      </c>
      <c r="BE181" s="1318">
        <f t="shared" si="272"/>
        <v>1263234.8132499999</v>
      </c>
      <c r="BF181" s="1318">
        <f t="shared" si="272"/>
        <v>17672042.625</v>
      </c>
      <c r="BG181" s="1318">
        <f t="shared" si="272"/>
        <v>574710.07500000007</v>
      </c>
      <c r="BH181" s="1318">
        <f t="shared" si="272"/>
        <v>18246752.699999999</v>
      </c>
      <c r="BI181" s="1318">
        <f t="shared" si="272"/>
        <v>638636.34450000001</v>
      </c>
      <c r="BJ181" s="1318">
        <f t="shared" si="272"/>
        <v>946446.15202500019</v>
      </c>
      <c r="BK181" s="1318">
        <f t="shared" si="272"/>
        <v>821103.87150000024</v>
      </c>
      <c r="BL181" s="1318">
        <f t="shared" si="272"/>
        <v>547402.58100000012</v>
      </c>
      <c r="BM181" s="1318">
        <f t="shared" si="272"/>
        <v>21200341.649025001</v>
      </c>
      <c r="BN181" s="422">
        <f t="shared" si="271"/>
        <v>14</v>
      </c>
      <c r="BO181" s="355"/>
      <c r="BP181" s="355"/>
      <c r="BQ181" s="355"/>
      <c r="BR181" s="355"/>
      <c r="BS181" s="355"/>
      <c r="BT181" s="355"/>
      <c r="BU181" s="355"/>
      <c r="BV181" s="355"/>
      <c r="BW181" s="355"/>
      <c r="BX181" s="355"/>
      <c r="BY181" s="355"/>
      <c r="BZ181" s="355"/>
      <c r="CA181" s="355"/>
      <c r="CB181" s="355"/>
      <c r="CC181" s="355"/>
      <c r="CD181" s="355"/>
      <c r="CE181" s="355"/>
      <c r="CF181" s="355"/>
      <c r="CG181" s="355"/>
      <c r="CH181" s="355"/>
      <c r="CI181" s="355"/>
    </row>
    <row r="182" spans="1:90" ht="28.5">
      <c r="A182" s="1536"/>
      <c r="B182" s="1537"/>
      <c r="C182" s="570" t="s">
        <v>230</v>
      </c>
      <c r="D182" s="570"/>
      <c r="E182" s="570"/>
      <c r="F182" s="570"/>
      <c r="G182" s="570"/>
      <c r="H182" s="494"/>
      <c r="I182" s="570"/>
      <c r="J182" s="570"/>
      <c r="K182" s="571">
        <f t="shared" ref="K182:BN182" si="273">K105+K116+K124+K133+K137+K142+K147+K155+K181+K164</f>
        <v>28852834.859999992</v>
      </c>
      <c r="L182" s="571">
        <f t="shared" si="273"/>
        <v>545</v>
      </c>
      <c r="M182" s="571">
        <f t="shared" si="273"/>
        <v>555</v>
      </c>
      <c r="N182" s="571">
        <f t="shared" si="273"/>
        <v>498</v>
      </c>
      <c r="O182" s="571">
        <f t="shared" si="273"/>
        <v>477</v>
      </c>
      <c r="P182" s="571">
        <f t="shared" si="273"/>
        <v>480</v>
      </c>
      <c r="Q182" s="571">
        <f t="shared" si="273"/>
        <v>2555</v>
      </c>
      <c r="R182" s="571">
        <f t="shared" si="273"/>
        <v>135</v>
      </c>
      <c r="S182" s="571">
        <f t="shared" si="273"/>
        <v>140</v>
      </c>
      <c r="T182" s="571">
        <f t="shared" si="273"/>
        <v>135</v>
      </c>
      <c r="U182" s="571">
        <f t="shared" si="273"/>
        <v>153</v>
      </c>
      <c r="V182" s="571">
        <f t="shared" si="273"/>
        <v>153</v>
      </c>
      <c r="W182" s="571">
        <f t="shared" si="273"/>
        <v>716</v>
      </c>
      <c r="X182" s="571">
        <f t="shared" si="273"/>
        <v>3271</v>
      </c>
      <c r="Y182" s="571">
        <f t="shared" si="273"/>
        <v>38683075.935000002</v>
      </c>
      <c r="Z182" s="571">
        <f t="shared" si="273"/>
        <v>3789168.8216250003</v>
      </c>
      <c r="AA182" s="571">
        <f t="shared" si="273"/>
        <v>1355</v>
      </c>
      <c r="AB182" s="571">
        <f t="shared" si="273"/>
        <v>661425.375</v>
      </c>
      <c r="AC182" s="571">
        <f t="shared" si="273"/>
        <v>854</v>
      </c>
      <c r="AD182" s="571">
        <f t="shared" si="273"/>
        <v>202188.22500000003</v>
      </c>
      <c r="AE182" s="571">
        <f t="shared" si="273"/>
        <v>1376200</v>
      </c>
      <c r="AF182" s="571">
        <f t="shared" si="273"/>
        <v>51</v>
      </c>
      <c r="AG182" s="571">
        <f t="shared" si="273"/>
        <v>180509.4</v>
      </c>
      <c r="AH182" s="571">
        <f t="shared" si="273"/>
        <v>47</v>
      </c>
      <c r="AI182" s="571">
        <f t="shared" si="273"/>
        <v>1663518</v>
      </c>
      <c r="AJ182" s="571">
        <f t="shared" si="273"/>
        <v>2253</v>
      </c>
      <c r="AK182" s="571">
        <f t="shared" si="273"/>
        <v>996783.52499999991</v>
      </c>
      <c r="AL182" s="571">
        <f t="shared" si="273"/>
        <v>3271</v>
      </c>
      <c r="AM182" s="571">
        <f t="shared" si="273"/>
        <v>11604922.780499998</v>
      </c>
      <c r="AN182" s="571">
        <f t="shared" si="273"/>
        <v>0</v>
      </c>
      <c r="AO182" s="571">
        <f t="shared" si="273"/>
        <v>3133375.5406249999</v>
      </c>
      <c r="AP182" s="571">
        <f t="shared" si="273"/>
        <v>5340839.5695000021</v>
      </c>
      <c r="AQ182" s="571">
        <f t="shared" si="273"/>
        <v>1156449.1771874998</v>
      </c>
      <c r="AR182" s="571">
        <f t="shared" si="273"/>
        <v>2318238.4241250004</v>
      </c>
      <c r="AS182" s="571">
        <f t="shared" si="273"/>
        <v>400</v>
      </c>
      <c r="AT182" s="571">
        <f t="shared" si="273"/>
        <v>1730000</v>
      </c>
      <c r="AU182" s="571">
        <f t="shared" si="273"/>
        <v>0</v>
      </c>
      <c r="AV182" s="571">
        <f t="shared" si="273"/>
        <v>0</v>
      </c>
      <c r="AW182" s="571">
        <f t="shared" si="273"/>
        <v>67</v>
      </c>
      <c r="AX182" s="571">
        <f t="shared" si="273"/>
        <v>2655550</v>
      </c>
      <c r="AY182" s="571">
        <f t="shared" si="273"/>
        <v>70788</v>
      </c>
      <c r="AZ182" s="571">
        <f t="shared" si="273"/>
        <v>36879956.838562503</v>
      </c>
      <c r="BA182" s="571">
        <f t="shared" si="273"/>
        <v>75563032.773562491</v>
      </c>
      <c r="BB182" s="571">
        <f t="shared" si="273"/>
        <v>7556303.2773562502</v>
      </c>
      <c r="BC182" s="571">
        <f t="shared" si="273"/>
        <v>1511260.6554712499</v>
      </c>
      <c r="BD182" s="571">
        <f t="shared" si="273"/>
        <v>5717076.8840735005</v>
      </c>
      <c r="BE182" s="571">
        <f t="shared" si="273"/>
        <v>60778391.956661507</v>
      </c>
      <c r="BF182" s="571">
        <f t="shared" si="273"/>
        <v>906756393.28274989</v>
      </c>
      <c r="BG182" s="571">
        <f t="shared" si="273"/>
        <v>77366151.870000005</v>
      </c>
      <c r="BH182" s="571">
        <f t="shared" si="273"/>
        <v>984122545.15275002</v>
      </c>
      <c r="BI182" s="571">
        <f t="shared" si="273"/>
        <v>34444289.080346249</v>
      </c>
      <c r="BJ182" s="571">
        <f t="shared" si="273"/>
        <v>51147753.373026446</v>
      </c>
      <c r="BK182" s="571">
        <f t="shared" si="273"/>
        <v>44285514.531873763</v>
      </c>
      <c r="BL182" s="571">
        <f t="shared" si="273"/>
        <v>29523676.354582503</v>
      </c>
      <c r="BM182" s="571">
        <f t="shared" si="273"/>
        <v>1143523778.492579</v>
      </c>
      <c r="BN182" s="571">
        <f t="shared" si="273"/>
        <v>25.5</v>
      </c>
      <c r="BO182" s="511"/>
      <c r="BP182" s="355"/>
      <c r="BQ182" s="355"/>
      <c r="BR182" s="355"/>
      <c r="BS182" s="355"/>
      <c r="BT182" s="355"/>
      <c r="BU182" s="355"/>
      <c r="BV182" s="355"/>
      <c r="BW182" s="355"/>
      <c r="BX182" s="355"/>
      <c r="BY182" s="355"/>
      <c r="BZ182" s="355"/>
      <c r="CA182" s="355"/>
      <c r="CB182" s="355"/>
      <c r="CC182" s="355"/>
      <c r="CD182" s="355"/>
      <c r="CE182" s="355"/>
      <c r="CF182" s="355"/>
      <c r="CG182" s="355"/>
      <c r="CH182" s="355"/>
      <c r="CI182" s="355"/>
    </row>
    <row r="183" spans="1:90" ht="15">
      <c r="A183" s="377"/>
      <c r="B183" s="377"/>
      <c r="C183" s="572"/>
      <c r="D183" s="377"/>
      <c r="E183" s="377"/>
      <c r="F183" s="377"/>
      <c r="G183" s="377"/>
      <c r="H183" s="573"/>
      <c r="I183" s="377"/>
      <c r="J183" s="377"/>
      <c r="K183" s="377"/>
      <c r="L183" s="377"/>
      <c r="M183" s="377"/>
      <c r="N183" s="377"/>
      <c r="O183" s="377"/>
      <c r="P183" s="377"/>
      <c r="Q183" s="377"/>
      <c r="R183" s="377"/>
      <c r="S183" s="377"/>
      <c r="T183" s="377"/>
      <c r="U183" s="377"/>
      <c r="V183" s="377"/>
      <c r="W183" s="377"/>
      <c r="X183" s="574"/>
      <c r="Y183" s="377"/>
      <c r="Z183" s="377"/>
      <c r="AA183" s="377"/>
      <c r="AB183" s="377"/>
      <c r="AC183" s="377"/>
      <c r="AD183" s="377"/>
      <c r="AE183" s="377"/>
      <c r="AF183" s="377"/>
      <c r="AG183" s="377"/>
      <c r="AH183" s="377"/>
      <c r="AI183" s="377"/>
      <c r="AJ183" s="377"/>
      <c r="AK183" s="377"/>
      <c r="AL183" s="574"/>
      <c r="AM183" s="377"/>
      <c r="AN183" s="377"/>
      <c r="AO183" s="377"/>
      <c r="AP183" s="377"/>
      <c r="AQ183" s="377"/>
      <c r="AR183" s="377"/>
      <c r="AS183" s="377"/>
      <c r="AT183" s="377"/>
      <c r="AU183" s="377"/>
      <c r="AV183" s="377"/>
      <c r="AW183" s="575"/>
      <c r="AX183" s="377"/>
      <c r="AY183" s="377"/>
      <c r="AZ183" s="377"/>
      <c r="BA183" s="377"/>
      <c r="BB183" s="377"/>
      <c r="BC183" s="377"/>
      <c r="BD183" s="377"/>
      <c r="BE183" s="377"/>
      <c r="BF183" s="377"/>
      <c r="BG183" s="377"/>
      <c r="BH183" s="377"/>
      <c r="BI183" s="377"/>
      <c r="BJ183" s="377"/>
      <c r="BK183" s="377"/>
      <c r="BL183" s="377"/>
      <c r="BM183" s="377"/>
      <c r="BN183" s="576"/>
      <c r="BO183" s="376"/>
      <c r="BP183" s="377"/>
      <c r="BQ183" s="377"/>
      <c r="BR183" s="377"/>
      <c r="BS183" s="376"/>
      <c r="BT183" s="377"/>
      <c r="BU183" s="376"/>
      <c r="BV183" s="377"/>
      <c r="BW183" s="377"/>
      <c r="BX183" s="377"/>
      <c r="BY183" s="377"/>
      <c r="BZ183" s="377"/>
      <c r="CA183" s="377"/>
      <c r="CB183" s="377"/>
      <c r="CC183" s="377"/>
      <c r="CD183" s="377"/>
      <c r="CE183" s="377"/>
      <c r="CF183" s="377"/>
      <c r="CG183" s="377"/>
      <c r="CH183" s="377"/>
      <c r="CI183" s="377"/>
      <c r="CJ183" s="377"/>
      <c r="CK183" s="377"/>
      <c r="CL183" s="377"/>
    </row>
    <row r="184" spans="1:90" ht="15">
      <c r="A184" s="377"/>
      <c r="B184" s="377"/>
      <c r="C184" s="572"/>
      <c r="D184" s="377"/>
      <c r="E184" s="377"/>
      <c r="F184" s="377"/>
      <c r="G184" s="377"/>
      <c r="H184" s="573"/>
      <c r="I184" s="377"/>
      <c r="J184" s="377"/>
      <c r="K184" s="377"/>
      <c r="L184" s="377"/>
      <c r="M184" s="377"/>
      <c r="N184" s="377"/>
      <c r="O184" s="377"/>
      <c r="P184" s="377"/>
      <c r="Q184" s="377"/>
      <c r="R184" s="377"/>
      <c r="S184" s="377"/>
      <c r="T184" s="377"/>
      <c r="U184" s="377"/>
      <c r="V184" s="377"/>
      <c r="W184" s="377"/>
      <c r="X184" s="574"/>
      <c r="Y184" s="377"/>
      <c r="Z184" s="377"/>
      <c r="AA184" s="377"/>
      <c r="AB184" s="377"/>
      <c r="AC184" s="377"/>
      <c r="AD184" s="377"/>
      <c r="AE184" s="377"/>
      <c r="AF184" s="377"/>
      <c r="AG184" s="377"/>
      <c r="AH184" s="377"/>
      <c r="AI184" s="377"/>
      <c r="AJ184" s="377"/>
      <c r="AK184" s="377"/>
      <c r="AL184" s="574"/>
      <c r="AM184" s="377"/>
      <c r="AN184" s="377"/>
      <c r="AO184" s="376"/>
      <c r="AP184" s="377"/>
      <c r="AQ184" s="377"/>
      <c r="AR184" s="377"/>
      <c r="AS184" s="377"/>
      <c r="AT184" s="377"/>
      <c r="AU184" s="377"/>
      <c r="AV184" s="377"/>
      <c r="AW184" s="575"/>
      <c r="AX184" s="377"/>
      <c r="AY184" s="377"/>
      <c r="AZ184" s="377"/>
      <c r="BA184" s="377"/>
      <c r="BB184" s="377"/>
      <c r="BC184" s="377"/>
      <c r="BD184" s="377"/>
      <c r="BE184" s="377"/>
      <c r="BF184" s="377"/>
      <c r="BG184" s="377"/>
      <c r="BH184" s="377"/>
      <c r="BI184" s="377"/>
      <c r="BJ184" s="377"/>
      <c r="BK184" s="377"/>
      <c r="BL184" s="377"/>
      <c r="BM184" s="577"/>
      <c r="BP184" s="377"/>
      <c r="BQ184" s="377"/>
      <c r="BR184" s="377"/>
      <c r="BS184" s="376"/>
      <c r="BT184" s="376"/>
      <c r="BU184" s="376"/>
      <c r="BV184" s="377"/>
      <c r="BW184" s="377"/>
      <c r="BX184" s="377"/>
      <c r="BY184" s="377"/>
      <c r="BZ184" s="377"/>
      <c r="CA184" s="377"/>
      <c r="CB184" s="377"/>
      <c r="CC184" s="377"/>
      <c r="CD184" s="377"/>
      <c r="CE184" s="377"/>
      <c r="CF184" s="377"/>
      <c r="CG184" s="377"/>
      <c r="CH184" s="377"/>
      <c r="CI184" s="377"/>
      <c r="CJ184" s="377"/>
      <c r="CK184" s="377"/>
      <c r="CL184" s="377"/>
    </row>
    <row r="185" spans="1:90" ht="15">
      <c r="A185" s="377"/>
      <c r="B185" s="377"/>
      <c r="C185" s="572"/>
      <c r="D185" s="377"/>
      <c r="E185" s="377"/>
      <c r="F185" s="377"/>
      <c r="G185" s="377"/>
      <c r="H185" s="573"/>
      <c r="I185" s="377"/>
      <c r="J185" s="377"/>
      <c r="K185" s="377"/>
      <c r="L185" s="377"/>
      <c r="M185" s="377"/>
      <c r="N185" s="377"/>
      <c r="O185" s="377"/>
      <c r="P185" s="377"/>
      <c r="Q185" s="377"/>
      <c r="R185" s="377"/>
      <c r="S185" s="377"/>
      <c r="T185" s="377"/>
      <c r="U185" s="377"/>
      <c r="V185" s="377"/>
      <c r="W185" s="377"/>
      <c r="X185" s="574"/>
      <c r="Y185" s="377"/>
      <c r="Z185" s="377"/>
      <c r="AA185" s="377"/>
      <c r="AB185" s="377"/>
      <c r="AC185" s="377"/>
      <c r="AD185" s="377"/>
      <c r="AE185" s="377"/>
      <c r="AF185" s="377"/>
      <c r="AG185" s="377"/>
      <c r="AH185" s="377"/>
      <c r="AI185" s="377"/>
      <c r="AJ185" s="377"/>
      <c r="AK185" s="377"/>
      <c r="AL185" s="574"/>
      <c r="AM185" s="377"/>
      <c r="AN185" s="377"/>
      <c r="AO185" s="377"/>
      <c r="AP185" s="377"/>
      <c r="AQ185" s="377"/>
      <c r="AR185" s="377"/>
      <c r="AS185" s="377"/>
      <c r="AT185" s="377"/>
      <c r="AU185" s="377"/>
      <c r="AV185" s="377"/>
      <c r="AW185" s="575"/>
      <c r="AX185" s="377"/>
      <c r="AY185" s="377"/>
      <c r="AZ185" s="377"/>
      <c r="BA185" s="377"/>
      <c r="BB185" s="377"/>
      <c r="BC185" s="377"/>
      <c r="BD185" s="377"/>
      <c r="BE185" s="377"/>
      <c r="BF185" s="377"/>
      <c r="BG185" s="377"/>
      <c r="BH185" s="377"/>
      <c r="BI185" s="377"/>
      <c r="BJ185" s="377"/>
      <c r="BK185" s="377"/>
      <c r="BL185" s="377"/>
      <c r="BM185" s="577">
        <f>'[2]Тариф ПУ Алматы'!BM36+'Тариф РБ Алматы'!BM161</f>
        <v>1143523778.492579</v>
      </c>
      <c r="BO185" s="579"/>
      <c r="BP185" s="377"/>
      <c r="BQ185" s="377"/>
      <c r="BR185" s="377"/>
      <c r="BS185" s="580"/>
      <c r="BT185" s="581"/>
      <c r="BU185" s="376"/>
      <c r="BV185" s="377"/>
      <c r="BW185" s="377"/>
      <c r="BX185" s="377"/>
      <c r="BY185" s="377"/>
      <c r="BZ185" s="377"/>
      <c r="CA185" s="377"/>
      <c r="CB185" s="377"/>
      <c r="CC185" s="377"/>
      <c r="CD185" s="377"/>
      <c r="CE185" s="377"/>
      <c r="CF185" s="377"/>
      <c r="CG185" s="377"/>
      <c r="CH185" s="377"/>
      <c r="CI185" s="377"/>
      <c r="CJ185" s="377"/>
      <c r="CK185" s="377"/>
      <c r="CL185" s="377"/>
    </row>
    <row r="186" spans="1:90" ht="15">
      <c r="A186" s="377"/>
      <c r="B186" s="377"/>
      <c r="C186" s="1533" t="s">
        <v>276</v>
      </c>
      <c r="D186" s="1534"/>
      <c r="E186" s="1534"/>
      <c r="F186" s="582"/>
      <c r="G186" s="1533" t="s">
        <v>225</v>
      </c>
      <c r="H186" s="1534"/>
      <c r="I186" s="1534"/>
      <c r="J186" s="1534"/>
      <c r="K186" s="377"/>
      <c r="L186" s="377"/>
      <c r="M186" s="377"/>
      <c r="N186" s="377"/>
      <c r="O186" s="377"/>
      <c r="P186" s="377"/>
      <c r="Q186" s="377"/>
      <c r="R186" s="377"/>
      <c r="S186" s="377"/>
      <c r="T186" s="377"/>
      <c r="U186" s="377"/>
      <c r="V186" s="377"/>
      <c r="W186" s="377"/>
      <c r="X186" s="574"/>
      <c r="Y186" s="377"/>
      <c r="Z186" s="377"/>
      <c r="AA186" s="377"/>
      <c r="AB186" s="377"/>
      <c r="AC186" s="377"/>
      <c r="AD186" s="377"/>
      <c r="AE186" s="377"/>
      <c r="AF186" s="377"/>
      <c r="AG186" s="377"/>
      <c r="AH186" s="377"/>
      <c r="AI186" s="377"/>
      <c r="AJ186" s="377"/>
      <c r="AK186" s="377"/>
      <c r="AL186" s="574"/>
      <c r="AM186" s="377"/>
      <c r="AN186" s="377"/>
      <c r="AO186" s="377"/>
      <c r="AP186" s="377"/>
      <c r="AQ186" s="377"/>
      <c r="AR186" s="377"/>
      <c r="AS186" s="377"/>
      <c r="AT186" s="377"/>
      <c r="AU186" s="377"/>
      <c r="AV186" s="377"/>
      <c r="AW186" s="575"/>
      <c r="AX186" s="377"/>
      <c r="AY186" s="377"/>
      <c r="AZ186" s="377"/>
      <c r="BA186" s="377"/>
      <c r="BB186" s="377"/>
      <c r="BC186" s="377"/>
      <c r="BD186" s="377"/>
      <c r="BE186" s="377"/>
      <c r="BF186" s="377"/>
      <c r="BG186" s="377"/>
      <c r="BH186" s="377"/>
      <c r="BI186" s="377"/>
      <c r="BJ186" s="377"/>
      <c r="BK186" s="377"/>
      <c r="BL186" s="377"/>
      <c r="BM186" s="577"/>
      <c r="BO186" s="579"/>
      <c r="BP186" s="377"/>
      <c r="BQ186" s="376"/>
      <c r="BR186" s="377"/>
      <c r="BS186" s="583"/>
      <c r="BT186" s="377"/>
      <c r="BU186" s="376"/>
      <c r="BV186" s="377"/>
      <c r="BW186" s="377"/>
      <c r="BX186" s="377"/>
      <c r="BY186" s="377"/>
      <c r="BZ186" s="377"/>
      <c r="CA186" s="377"/>
      <c r="CB186" s="377"/>
      <c r="CC186" s="377"/>
      <c r="CD186" s="377"/>
      <c r="CE186" s="377"/>
      <c r="CF186" s="377"/>
      <c r="CG186" s="377"/>
      <c r="CH186" s="377"/>
      <c r="CI186" s="377"/>
      <c r="CJ186" s="377"/>
      <c r="CK186" s="377"/>
      <c r="CL186" s="377"/>
    </row>
    <row r="187" spans="1:90" ht="15">
      <c r="A187" s="377"/>
      <c r="B187" s="377"/>
      <c r="C187" s="1106"/>
      <c r="D187" s="1106"/>
      <c r="E187" s="584"/>
      <c r="F187" s="582"/>
      <c r="G187" s="1106"/>
      <c r="H187" s="585"/>
      <c r="I187" s="1106"/>
      <c r="J187" s="1106"/>
      <c r="K187" s="377"/>
      <c r="L187" s="377"/>
      <c r="M187" s="377"/>
      <c r="N187" s="377"/>
      <c r="O187" s="377"/>
      <c r="P187" s="377"/>
      <c r="Q187" s="377"/>
      <c r="R187" s="377"/>
      <c r="S187" s="1323"/>
      <c r="T187" s="1323"/>
      <c r="U187" s="1323" t="s">
        <v>2464</v>
      </c>
      <c r="V187" s="1323"/>
      <c r="W187" s="1324" t="s">
        <v>2465</v>
      </c>
      <c r="X187" s="1325" t="s">
        <v>2466</v>
      </c>
      <c r="Y187" s="377"/>
      <c r="Z187" s="377"/>
      <c r="AA187" s="377"/>
      <c r="AB187" s="377"/>
      <c r="AC187" s="377"/>
      <c r="AD187" s="377"/>
      <c r="AE187" s="377"/>
      <c r="AF187" s="377"/>
      <c r="AG187" s="377"/>
      <c r="AH187" s="377"/>
      <c r="AI187" s="377"/>
      <c r="AJ187" s="377"/>
      <c r="AK187" s="377"/>
      <c r="AL187" s="574"/>
      <c r="AM187" s="377"/>
      <c r="AN187" s="377"/>
      <c r="AO187" s="377"/>
      <c r="AP187" s="377"/>
      <c r="AQ187" s="377"/>
      <c r="AR187" s="377"/>
      <c r="AS187" s="377"/>
      <c r="AT187" s="377"/>
      <c r="AU187" s="377"/>
      <c r="AV187" s="377"/>
      <c r="AW187" s="575"/>
      <c r="AX187" s="377"/>
      <c r="AY187" s="377"/>
      <c r="AZ187" s="377"/>
      <c r="BA187" s="376"/>
      <c r="BB187" s="377"/>
      <c r="BC187" s="377"/>
      <c r="BD187" s="377"/>
      <c r="BE187" s="377"/>
      <c r="BF187" s="377"/>
      <c r="BG187" s="376"/>
      <c r="BH187" s="586"/>
      <c r="BI187" s="586"/>
      <c r="BJ187" s="586"/>
      <c r="BK187" s="376"/>
      <c r="BL187" s="377"/>
      <c r="BM187" s="577"/>
      <c r="BO187" s="577"/>
      <c r="BP187" s="377"/>
      <c r="BQ187" s="377"/>
      <c r="BR187" s="377"/>
      <c r="BS187" s="583"/>
      <c r="BT187" s="466"/>
      <c r="BU187" s="587"/>
      <c r="BV187" s="377"/>
      <c r="BW187" s="377"/>
      <c r="BX187" s="377"/>
      <c r="BY187" s="377"/>
      <c r="BZ187" s="377"/>
      <c r="CA187" s="377"/>
      <c r="CB187" s="377"/>
      <c r="CC187" s="377"/>
      <c r="CD187" s="377"/>
      <c r="CE187" s="377"/>
      <c r="CF187" s="377"/>
      <c r="CG187" s="377"/>
      <c r="CH187" s="377"/>
      <c r="CI187" s="377"/>
      <c r="CJ187" s="377"/>
      <c r="CK187" s="377"/>
      <c r="CL187" s="377"/>
    </row>
    <row r="188" spans="1:90" ht="15">
      <c r="A188" s="377"/>
      <c r="B188" s="377"/>
      <c r="C188" s="1533" t="s">
        <v>276</v>
      </c>
      <c r="D188" s="1534"/>
      <c r="E188" s="1534"/>
      <c r="F188" s="582"/>
      <c r="G188" s="1533" t="s">
        <v>188</v>
      </c>
      <c r="H188" s="1534"/>
      <c r="I188" s="1534"/>
      <c r="J188" s="1534"/>
      <c r="K188" s="377"/>
      <c r="L188" s="377"/>
      <c r="M188" s="377"/>
      <c r="N188" s="377"/>
      <c r="O188" s="377"/>
      <c r="P188" s="377"/>
      <c r="Q188" s="377"/>
      <c r="R188" s="377"/>
      <c r="S188" s="1323"/>
      <c r="T188" s="1323"/>
      <c r="U188" s="1323" t="s">
        <v>2464</v>
      </c>
      <c r="V188" s="1323"/>
      <c r="W188" s="1326">
        <f>18</f>
        <v>18</v>
      </c>
      <c r="X188" s="1325">
        <f>X14+X22+X24+X27+X31+X41+X42+X43+X47+X50+X56+X58+X61+X68+X69+X72+X109+X126</f>
        <v>468</v>
      </c>
      <c r="Y188" s="377"/>
      <c r="Z188" s="377"/>
      <c r="AA188" s="377"/>
      <c r="AB188" s="377"/>
      <c r="AC188" s="377"/>
      <c r="AD188" s="377"/>
      <c r="AE188" s="377"/>
      <c r="AF188" s="377"/>
      <c r="AG188" s="377"/>
      <c r="AH188" s="377"/>
      <c r="AI188" s="377"/>
      <c r="AJ188" s="377"/>
      <c r="AK188" s="377"/>
      <c r="AL188" s="574"/>
      <c r="AM188" s="377"/>
      <c r="AN188" s="377"/>
      <c r="AO188" s="377"/>
      <c r="AP188" s="377"/>
      <c r="AQ188" s="377"/>
      <c r="AR188" s="377"/>
      <c r="AS188" s="377"/>
      <c r="AT188" s="377"/>
      <c r="AU188" s="377"/>
      <c r="AV188" s="377"/>
      <c r="AW188" s="575"/>
      <c r="AX188" s="377"/>
      <c r="AY188" s="377"/>
      <c r="AZ188" s="577"/>
      <c r="BA188" s="577"/>
      <c r="BB188" s="577"/>
      <c r="BC188" s="577"/>
      <c r="BD188" s="577"/>
      <c r="BE188" s="577"/>
      <c r="BF188" s="577"/>
      <c r="BG188" s="577"/>
      <c r="BH188" s="577"/>
      <c r="BI188" s="577"/>
      <c r="BJ188" s="577"/>
      <c r="BK188" s="577"/>
      <c r="BL188" s="577"/>
      <c r="BM188" s="577"/>
      <c r="BO188" s="588"/>
      <c r="BP188" s="587"/>
      <c r="BQ188" s="466"/>
      <c r="BR188" s="377"/>
      <c r="BS188" s="587"/>
      <c r="BT188" s="587"/>
      <c r="BU188" s="589"/>
      <c r="BV188" s="377"/>
      <c r="BW188" s="377"/>
      <c r="BX188" s="377"/>
      <c r="BY188" s="377"/>
      <c r="BZ188" s="377"/>
      <c r="CA188" s="377"/>
      <c r="CB188" s="377"/>
      <c r="CC188" s="377"/>
      <c r="CD188" s="377"/>
      <c r="CE188" s="377"/>
      <c r="CF188" s="377"/>
      <c r="CG188" s="377"/>
      <c r="CH188" s="377"/>
      <c r="CI188" s="377"/>
      <c r="CJ188" s="377"/>
      <c r="CK188" s="377"/>
      <c r="CL188" s="377"/>
    </row>
    <row r="189" spans="1:90" ht="15">
      <c r="A189" s="377"/>
      <c r="B189" s="377"/>
      <c r="C189" s="1106"/>
      <c r="D189" s="1106"/>
      <c r="E189" s="584"/>
      <c r="F189" s="582"/>
      <c r="G189" s="1106"/>
      <c r="H189" s="585"/>
      <c r="I189" s="1106"/>
      <c r="J189" s="1106"/>
      <c r="K189" s="377"/>
      <c r="L189" s="377"/>
      <c r="M189" s="377"/>
      <c r="N189" s="377"/>
      <c r="O189" s="377"/>
      <c r="P189" s="377"/>
      <c r="Q189" s="377"/>
      <c r="R189" s="377"/>
      <c r="S189" s="1323" t="s">
        <v>2467</v>
      </c>
      <c r="T189" s="1323"/>
      <c r="U189" s="1323" t="s">
        <v>2464</v>
      </c>
      <c r="V189" s="1323"/>
      <c r="W189" s="1325">
        <v>9</v>
      </c>
      <c r="X189" s="1325">
        <f>X79+X80+X81+X82+X103+X136+X141+X163</f>
        <v>158</v>
      </c>
      <c r="Y189" s="377"/>
      <c r="Z189" s="377"/>
      <c r="AA189" s="377"/>
      <c r="AB189" s="377"/>
      <c r="AC189" s="377"/>
      <c r="AD189" s="377"/>
      <c r="AE189" s="377"/>
      <c r="AF189" s="377"/>
      <c r="AG189" s="377"/>
      <c r="AH189" s="377"/>
      <c r="AI189" s="377"/>
      <c r="AJ189" s="377"/>
      <c r="AK189" s="377"/>
      <c r="AL189" s="574"/>
      <c r="AM189" s="377"/>
      <c r="AN189" s="377"/>
      <c r="AO189" s="377"/>
      <c r="AP189" s="377"/>
      <c r="AQ189" s="377"/>
      <c r="AR189" s="377"/>
      <c r="AS189" s="377"/>
      <c r="AT189" s="377"/>
      <c r="AU189" s="377"/>
      <c r="AV189" s="377"/>
      <c r="AW189" s="575"/>
      <c r="AX189" s="377"/>
      <c r="AY189" s="377"/>
      <c r="AZ189" s="377"/>
      <c r="BA189" s="377"/>
      <c r="BB189" s="377"/>
      <c r="BC189" s="377"/>
      <c r="BD189" s="377"/>
      <c r="BE189" s="377"/>
      <c r="BF189" s="377"/>
      <c r="BG189" s="376"/>
      <c r="BH189" s="377"/>
      <c r="BI189" s="377"/>
      <c r="BJ189" s="377"/>
      <c r="BK189" s="376"/>
      <c r="BL189" s="377"/>
      <c r="BM189" s="577"/>
      <c r="BO189" s="588"/>
      <c r="BP189" s="587"/>
      <c r="BQ189" s="466"/>
      <c r="BR189" s="377"/>
      <c r="BS189" s="587"/>
      <c r="BT189" s="466"/>
      <c r="BU189" s="587"/>
      <c r="BV189" s="377"/>
      <c r="BW189" s="377"/>
      <c r="BX189" s="377"/>
      <c r="BY189" s="377"/>
      <c r="BZ189" s="377"/>
      <c r="CA189" s="377"/>
      <c r="CB189" s="377"/>
      <c r="CC189" s="377"/>
      <c r="CD189" s="377"/>
      <c r="CE189" s="377"/>
      <c r="CF189" s="377"/>
      <c r="CG189" s="377"/>
      <c r="CH189" s="377"/>
      <c r="CI189" s="377"/>
      <c r="CJ189" s="377"/>
      <c r="CK189" s="377"/>
      <c r="CL189" s="377"/>
    </row>
    <row r="190" spans="1:90" ht="15">
      <c r="A190" s="377"/>
      <c r="B190" s="377"/>
      <c r="C190" s="1533" t="s">
        <v>843</v>
      </c>
      <c r="D190" s="1534"/>
      <c r="E190" s="1534"/>
      <c r="F190" s="582"/>
      <c r="G190" s="1533" t="s">
        <v>190</v>
      </c>
      <c r="H190" s="1534"/>
      <c r="I190" s="1534"/>
      <c r="J190" s="1534"/>
      <c r="K190" s="377"/>
      <c r="L190" s="377"/>
      <c r="M190" s="377"/>
      <c r="N190" s="377"/>
      <c r="O190" s="377"/>
      <c r="P190" s="377"/>
      <c r="Q190" s="377"/>
      <c r="R190" s="377"/>
      <c r="S190" s="1323"/>
      <c r="T190" s="1323"/>
      <c r="U190" s="1323" t="s">
        <v>44</v>
      </c>
      <c r="V190" s="1323"/>
      <c r="W190" s="1327">
        <f>W188+W189</f>
        <v>27</v>
      </c>
      <c r="X190" s="1327">
        <f>X188+X189</f>
        <v>626</v>
      </c>
      <c r="Y190" s="377"/>
      <c r="Z190" s="377"/>
      <c r="AA190" s="377"/>
      <c r="AB190" s="377"/>
      <c r="AC190" s="377"/>
      <c r="AD190" s="377"/>
      <c r="AE190" s="377"/>
      <c r="AF190" s="377"/>
      <c r="AG190" s="377"/>
      <c r="AH190" s="377"/>
      <c r="AI190" s="377"/>
      <c r="AJ190" s="377"/>
      <c r="AK190" s="377"/>
      <c r="AL190" s="574"/>
      <c r="AM190" s="377"/>
      <c r="AN190" s="377"/>
      <c r="AO190" s="377"/>
      <c r="AP190" s="377"/>
      <c r="AQ190" s="377"/>
      <c r="AR190" s="377"/>
      <c r="AS190" s="377"/>
      <c r="AT190" s="377"/>
      <c r="AU190" s="377"/>
      <c r="AV190" s="377"/>
      <c r="AW190" s="575"/>
      <c r="AX190" s="377"/>
      <c r="AY190" s="377"/>
      <c r="AZ190" s="377"/>
      <c r="BA190" s="376"/>
      <c r="BB190" s="376"/>
      <c r="BC190" s="376"/>
      <c r="BD190" s="376"/>
      <c r="BE190" s="376"/>
      <c r="BF190" s="376"/>
      <c r="BG190" s="376"/>
      <c r="BH190" s="376"/>
      <c r="BI190" s="376"/>
      <c r="BJ190" s="376"/>
      <c r="BK190" s="376"/>
      <c r="BL190" s="376"/>
      <c r="BM190" s="577"/>
      <c r="BP190" s="587"/>
      <c r="BQ190" s="466"/>
      <c r="BR190" s="377"/>
      <c r="BS190" s="590"/>
      <c r="BT190" s="466"/>
      <c r="BU190" s="466"/>
      <c r="BV190" s="377"/>
      <c r="BW190" s="377"/>
      <c r="BX190" s="377"/>
      <c r="BY190" s="377"/>
      <c r="BZ190" s="377"/>
      <c r="CA190" s="377"/>
      <c r="CB190" s="377"/>
      <c r="CC190" s="377"/>
      <c r="CD190" s="377"/>
      <c r="CE190" s="377"/>
      <c r="CF190" s="377"/>
      <c r="CG190" s="377"/>
      <c r="CH190" s="377"/>
      <c r="CI190" s="377"/>
      <c r="CJ190" s="377"/>
      <c r="CK190" s="377"/>
      <c r="CL190" s="377"/>
    </row>
    <row r="191" spans="1:90" ht="15">
      <c r="A191" s="377"/>
      <c r="B191" s="377"/>
      <c r="C191" s="1106"/>
      <c r="D191" s="582"/>
      <c r="E191" s="355"/>
      <c r="F191" s="582"/>
      <c r="G191" s="1106"/>
      <c r="H191" s="585"/>
      <c r="I191" s="1106"/>
      <c r="J191" s="1106"/>
      <c r="K191" s="377"/>
      <c r="L191" s="377"/>
      <c r="M191" s="377"/>
      <c r="N191" s="377"/>
      <c r="O191" s="377"/>
      <c r="P191" s="377"/>
      <c r="Q191" s="377"/>
      <c r="R191" s="377"/>
      <c r="S191" s="1328"/>
      <c r="T191" s="1328"/>
      <c r="U191" s="1328"/>
      <c r="V191" s="1328"/>
      <c r="W191" s="1328"/>
      <c r="X191" s="1328"/>
      <c r="Y191" s="377"/>
      <c r="Z191" s="377"/>
      <c r="AA191" s="377"/>
      <c r="AB191" s="377"/>
      <c r="AC191" s="377"/>
      <c r="AD191" s="377"/>
      <c r="AE191" s="377"/>
      <c r="AF191" s="377"/>
      <c r="AG191" s="377"/>
      <c r="AH191" s="377"/>
      <c r="AI191" s="377"/>
      <c r="AJ191" s="377"/>
      <c r="AK191" s="377"/>
      <c r="AL191" s="574"/>
      <c r="AM191" s="377"/>
      <c r="AN191" s="377"/>
      <c r="AO191" s="377"/>
      <c r="AP191" s="377"/>
      <c r="AQ191" s="377"/>
      <c r="AR191" s="377"/>
      <c r="AS191" s="377"/>
      <c r="AT191" s="377"/>
      <c r="AU191" s="377"/>
      <c r="AV191" s="377"/>
      <c r="AW191" s="575"/>
      <c r="AX191" s="377"/>
      <c r="AY191" s="377"/>
      <c r="AZ191" s="377"/>
      <c r="BA191" s="377"/>
      <c r="BB191" s="377"/>
      <c r="BC191" s="377"/>
      <c r="BD191" s="377"/>
      <c r="BE191" s="377"/>
      <c r="BF191" s="377"/>
      <c r="BG191" s="377"/>
      <c r="BH191" s="377"/>
      <c r="BI191" s="377"/>
      <c r="BJ191" s="377"/>
      <c r="BK191" s="377"/>
      <c r="BL191" s="377"/>
      <c r="BO191" s="577"/>
      <c r="BP191" s="587"/>
      <c r="BQ191" s="466"/>
      <c r="BR191" s="377"/>
      <c r="BS191" s="466"/>
      <c r="BT191" s="466"/>
      <c r="BU191" s="466"/>
      <c r="BV191" s="377"/>
      <c r="BW191" s="377"/>
      <c r="BX191" s="377"/>
      <c r="BY191" s="377"/>
      <c r="BZ191" s="377"/>
      <c r="CA191" s="377"/>
      <c r="CB191" s="377"/>
      <c r="CC191" s="377"/>
      <c r="CD191" s="377"/>
      <c r="CE191" s="377"/>
      <c r="CF191" s="377"/>
      <c r="CG191" s="377"/>
      <c r="CH191" s="377"/>
      <c r="CI191" s="377"/>
      <c r="CJ191" s="377"/>
      <c r="CK191" s="377"/>
      <c r="CL191" s="377"/>
    </row>
    <row r="192" spans="1:90" ht="15">
      <c r="A192" s="377"/>
      <c r="B192" s="377"/>
      <c r="C192" s="1533" t="s">
        <v>52</v>
      </c>
      <c r="D192" s="1534"/>
      <c r="E192" s="1534"/>
      <c r="F192" s="582"/>
      <c r="G192" s="1533" t="s">
        <v>281</v>
      </c>
      <c r="H192" s="1534"/>
      <c r="I192" s="1534"/>
      <c r="J192" s="1534"/>
      <c r="K192" s="377"/>
      <c r="L192" s="377"/>
      <c r="M192" s="377"/>
      <c r="N192" s="377"/>
      <c r="O192" s="377"/>
      <c r="P192" s="377"/>
      <c r="Q192" s="377"/>
      <c r="R192" s="377"/>
      <c r="S192" s="1323"/>
      <c r="T192" s="1323"/>
      <c r="U192" s="1323" t="s">
        <v>2468</v>
      </c>
      <c r="V192" s="1323"/>
      <c r="W192" s="1323">
        <v>36</v>
      </c>
      <c r="X192" s="1327">
        <f>X17+X26+X35+X37+X38+X49+X53+X54+X55+X57+X63+X67+X71+X73+X77+X78+X84+X93+X97+X98+X106+X107+X110+X112+X118+X122+X127+X128+X135+X139+X140+X143+X144+X148+X151+X165</f>
        <v>873</v>
      </c>
      <c r="Y192" s="377"/>
      <c r="Z192" s="377"/>
      <c r="AA192" s="377"/>
      <c r="AB192" s="377"/>
      <c r="AC192" s="377"/>
      <c r="AD192" s="377"/>
      <c r="AE192" s="377"/>
      <c r="AF192" s="377"/>
      <c r="AG192" s="377"/>
      <c r="AH192" s="377"/>
      <c r="AI192" s="377"/>
      <c r="AJ192" s="377"/>
      <c r="AK192" s="377"/>
      <c r="AL192" s="574"/>
      <c r="AM192" s="377"/>
      <c r="AN192" s="377"/>
      <c r="AO192" s="377"/>
      <c r="AP192" s="377"/>
      <c r="AQ192" s="377"/>
      <c r="AR192" s="377"/>
      <c r="AS192" s="377"/>
      <c r="AT192" s="377"/>
      <c r="AU192" s="377"/>
      <c r="AV192" s="377"/>
      <c r="AW192" s="575"/>
      <c r="AX192" s="377"/>
      <c r="AY192" s="377"/>
      <c r="AZ192" s="377"/>
      <c r="BA192" s="377"/>
      <c r="BB192" s="377"/>
      <c r="BC192" s="377"/>
      <c r="BD192" s="377"/>
      <c r="BE192" s="377"/>
      <c r="BF192" s="377"/>
      <c r="BG192" s="376"/>
      <c r="BH192" s="377"/>
      <c r="BI192" s="377"/>
      <c r="BJ192" s="377"/>
      <c r="BK192" s="377"/>
      <c r="BL192" s="377"/>
      <c r="BP192" s="466"/>
      <c r="BQ192" s="466"/>
      <c r="BR192" s="377"/>
      <c r="BS192" s="377"/>
      <c r="BT192" s="377"/>
      <c r="BU192" s="377"/>
      <c r="BV192" s="377"/>
      <c r="BW192" s="377"/>
      <c r="BX192" s="377"/>
      <c r="BY192" s="377"/>
      <c r="BZ192" s="377"/>
      <c r="CA192" s="377"/>
      <c r="CB192" s="377"/>
      <c r="CC192" s="377"/>
      <c r="CD192" s="377"/>
      <c r="CE192" s="377"/>
      <c r="CF192" s="377"/>
      <c r="CG192" s="377"/>
      <c r="CH192" s="377"/>
      <c r="CI192" s="377"/>
    </row>
    <row r="193" spans="1:87" ht="15">
      <c r="A193" s="377"/>
      <c r="B193" s="377"/>
      <c r="C193" s="584"/>
      <c r="D193" s="355"/>
      <c r="E193" s="355"/>
      <c r="F193" s="355"/>
      <c r="G193" s="355"/>
      <c r="H193" s="591"/>
      <c r="I193" s="355"/>
      <c r="J193" s="355"/>
      <c r="K193" s="377"/>
      <c r="L193" s="377"/>
      <c r="M193" s="377"/>
      <c r="N193" s="377"/>
      <c r="O193" s="377"/>
      <c r="P193" s="377"/>
      <c r="Q193" s="377"/>
      <c r="R193" s="377"/>
      <c r="S193" s="1323"/>
      <c r="T193" s="1323"/>
      <c r="U193" s="1323" t="s">
        <v>2469</v>
      </c>
      <c r="V193" s="1323"/>
      <c r="W193" s="1323">
        <v>10</v>
      </c>
      <c r="X193" s="1327">
        <f>X19+X31+X40+X44+X76+X85+X94+X123+X130+X134</f>
        <v>215</v>
      </c>
      <c r="Y193" s="377"/>
      <c r="Z193" s="377"/>
      <c r="AA193" s="377"/>
      <c r="AB193" s="377"/>
      <c r="AC193" s="377"/>
      <c r="AD193" s="377"/>
      <c r="AE193" s="377"/>
      <c r="AF193" s="377"/>
      <c r="AG193" s="377"/>
      <c r="AH193" s="377"/>
      <c r="AI193" s="377"/>
      <c r="AJ193" s="377"/>
      <c r="AK193" s="377"/>
      <c r="AL193" s="574"/>
      <c r="AM193" s="377"/>
      <c r="AN193" s="377"/>
      <c r="AO193" s="377"/>
      <c r="AP193" s="377"/>
      <c r="AQ193" s="377"/>
      <c r="AR193" s="377"/>
      <c r="AS193" s="377"/>
      <c r="AT193" s="377"/>
      <c r="AU193" s="377"/>
      <c r="AV193" s="377"/>
      <c r="AW193" s="575"/>
      <c r="AX193" s="377"/>
      <c r="AY193" s="377"/>
      <c r="AZ193" s="377"/>
      <c r="BA193" s="377"/>
      <c r="BB193" s="377"/>
      <c r="BC193" s="377"/>
      <c r="BD193" s="377"/>
      <c r="BE193" s="377"/>
      <c r="BF193" s="377"/>
      <c r="BG193" s="377"/>
      <c r="BH193" s="377"/>
      <c r="BI193" s="377"/>
      <c r="BJ193" s="377"/>
      <c r="BK193" s="377"/>
      <c r="BL193" s="377"/>
      <c r="BM193" s="590"/>
      <c r="BN193" s="592"/>
      <c r="BO193" s="587"/>
      <c r="BP193" s="466"/>
      <c r="BQ193" s="466"/>
      <c r="BR193" s="377"/>
      <c r="BS193" s="377"/>
      <c r="BT193" s="377"/>
      <c r="BU193" s="377"/>
      <c r="BV193" s="377"/>
      <c r="BW193" s="377"/>
      <c r="BX193" s="377"/>
      <c r="BY193" s="377"/>
      <c r="BZ193" s="377"/>
      <c r="CA193" s="377"/>
      <c r="CB193" s="377"/>
      <c r="CC193" s="377"/>
      <c r="CD193" s="377"/>
      <c r="CE193" s="377"/>
      <c r="CF193" s="377"/>
      <c r="CG193" s="377"/>
      <c r="CH193" s="377"/>
      <c r="CI193" s="377"/>
    </row>
    <row r="194" spans="1:87" ht="15">
      <c r="A194" s="377"/>
      <c r="B194" s="377"/>
      <c r="C194" s="572"/>
      <c r="D194" s="377"/>
      <c r="E194" s="377"/>
      <c r="F194" s="377"/>
      <c r="G194" s="377"/>
      <c r="H194" s="573"/>
      <c r="I194" s="377"/>
      <c r="J194" s="377"/>
      <c r="K194" s="377"/>
      <c r="L194" s="377"/>
      <c r="M194" s="377"/>
      <c r="N194" s="377"/>
      <c r="O194" s="377"/>
      <c r="P194" s="377"/>
      <c r="Q194" s="377"/>
      <c r="R194" s="377"/>
      <c r="S194" s="1323"/>
      <c r="T194" s="1323"/>
      <c r="U194" s="1323" t="s">
        <v>2470</v>
      </c>
      <c r="V194" s="1323"/>
      <c r="W194" s="1323">
        <v>24</v>
      </c>
      <c r="X194" s="1327">
        <f>X15+X16+X23+X25+X29+X33+X36+X46+X48+X51+X88+X89+X91+X95+X96+X102+X113+X121+X125+X129+X132+X145+X152+X154</f>
        <v>695</v>
      </c>
      <c r="Y194" s="377"/>
      <c r="Z194" s="377"/>
      <c r="AA194" s="377"/>
      <c r="AB194" s="377"/>
      <c r="AC194" s="377"/>
      <c r="AD194" s="377"/>
      <c r="AE194" s="377"/>
      <c r="AF194" s="377"/>
      <c r="AG194" s="377"/>
      <c r="AH194" s="377"/>
      <c r="AI194" s="377"/>
      <c r="AJ194" s="377"/>
      <c r="AK194" s="377"/>
      <c r="AL194" s="574"/>
      <c r="AM194" s="377"/>
      <c r="AN194" s="377"/>
      <c r="AO194" s="377"/>
      <c r="AP194" s="377"/>
      <c r="AQ194" s="377"/>
      <c r="AR194" s="377"/>
      <c r="AS194" s="377"/>
      <c r="AT194" s="377"/>
      <c r="AU194" s="377"/>
      <c r="AV194" s="377"/>
      <c r="AW194" s="575"/>
      <c r="AX194" s="377"/>
      <c r="AY194" s="377"/>
      <c r="AZ194" s="377"/>
      <c r="BA194" s="377"/>
      <c r="BB194" s="377"/>
      <c r="BC194" s="377"/>
      <c r="BD194" s="377"/>
      <c r="BE194" s="377"/>
      <c r="BF194" s="377"/>
      <c r="BG194" s="377"/>
      <c r="BH194" s="377"/>
      <c r="BI194" s="377"/>
      <c r="BJ194" s="377"/>
      <c r="BK194" s="377"/>
      <c r="BL194" s="377"/>
      <c r="BM194" s="466"/>
      <c r="BN194" s="592"/>
      <c r="BO194" s="466"/>
      <c r="BP194" s="466"/>
      <c r="BQ194" s="466"/>
      <c r="BR194" s="377"/>
      <c r="BS194" s="377"/>
      <c r="BT194" s="377"/>
      <c r="BU194" s="377"/>
      <c r="BV194" s="377"/>
      <c r="BW194" s="377"/>
      <c r="BX194" s="377"/>
      <c r="BY194" s="377"/>
      <c r="BZ194" s="377"/>
      <c r="CA194" s="377"/>
      <c r="CB194" s="377"/>
      <c r="CC194" s="377"/>
      <c r="CD194" s="377"/>
      <c r="CE194" s="377"/>
      <c r="CF194" s="377"/>
      <c r="CG194" s="377"/>
      <c r="CH194" s="377"/>
      <c r="CI194" s="377"/>
    </row>
    <row r="195" spans="1:87" ht="15">
      <c r="A195" s="377"/>
      <c r="B195" s="377"/>
      <c r="C195" s="572"/>
      <c r="D195" s="377"/>
      <c r="E195" s="377"/>
      <c r="F195" s="377"/>
      <c r="G195" s="377"/>
      <c r="H195" s="573"/>
      <c r="I195" s="377"/>
      <c r="J195" s="377"/>
      <c r="K195" s="377"/>
      <c r="L195" s="377"/>
      <c r="M195" s="377"/>
      <c r="N195" s="377"/>
      <c r="O195" s="377"/>
      <c r="P195" s="377"/>
      <c r="Q195" s="377"/>
      <c r="R195" s="377"/>
      <c r="S195" s="1323"/>
      <c r="T195" s="1323"/>
      <c r="U195" s="1323"/>
      <c r="V195" s="1323"/>
      <c r="W195" s="1327">
        <f>W190+W192+W193+W194</f>
        <v>97</v>
      </c>
      <c r="X195" s="1327">
        <f>X190+X192+X193+X194</f>
        <v>2409</v>
      </c>
      <c r="Y195" s="377"/>
      <c r="Z195" s="377"/>
      <c r="AA195" s="377"/>
      <c r="AB195" s="377"/>
      <c r="AC195" s="377"/>
      <c r="AD195" s="377"/>
      <c r="AE195" s="377"/>
      <c r="AF195" s="377"/>
      <c r="AG195" s="377"/>
      <c r="AH195" s="377"/>
      <c r="AI195" s="377"/>
      <c r="AJ195" s="377"/>
      <c r="AK195" s="377"/>
      <c r="AL195" s="574"/>
      <c r="AM195" s="377"/>
      <c r="AN195" s="377"/>
      <c r="AO195" s="377"/>
      <c r="AP195" s="377"/>
      <c r="AQ195" s="377"/>
      <c r="AR195" s="377"/>
      <c r="AS195" s="377"/>
      <c r="AT195" s="377"/>
      <c r="AU195" s="377"/>
      <c r="AV195" s="377"/>
      <c r="AW195" s="575"/>
      <c r="AX195" s="377"/>
      <c r="AY195" s="377"/>
      <c r="AZ195" s="377"/>
      <c r="BA195" s="377"/>
      <c r="BB195" s="377"/>
      <c r="BC195" s="377"/>
      <c r="BD195" s="377"/>
      <c r="BE195" s="377"/>
      <c r="BF195" s="377"/>
      <c r="BG195" s="377"/>
      <c r="BH195" s="377"/>
      <c r="BI195" s="377"/>
      <c r="BJ195" s="377"/>
      <c r="BK195" s="377"/>
      <c r="BL195" s="377"/>
      <c r="BM195" s="466"/>
      <c r="BN195" s="592"/>
      <c r="BO195" s="466"/>
      <c r="BP195" s="466"/>
      <c r="BQ195" s="466"/>
      <c r="BR195" s="377"/>
      <c r="BS195" s="377"/>
      <c r="BT195" s="377"/>
      <c r="BU195" s="377"/>
      <c r="BV195" s="377"/>
      <c r="BW195" s="377"/>
      <c r="BX195" s="377"/>
      <c r="BY195" s="377"/>
      <c r="BZ195" s="377"/>
      <c r="CA195" s="377"/>
      <c r="CB195" s="377"/>
      <c r="CC195" s="377"/>
      <c r="CD195" s="377"/>
      <c r="CE195" s="377"/>
      <c r="CF195" s="377"/>
      <c r="CG195" s="377"/>
      <c r="CH195" s="377"/>
      <c r="CI195" s="377"/>
    </row>
    <row r="196" spans="1:87" ht="15">
      <c r="A196" s="377"/>
      <c r="B196" s="377"/>
      <c r="C196" s="572"/>
      <c r="D196" s="377"/>
      <c r="E196" s="377"/>
      <c r="F196" s="377"/>
      <c r="G196" s="377"/>
      <c r="H196" s="573"/>
      <c r="I196" s="377"/>
      <c r="J196" s="377"/>
      <c r="K196" s="377"/>
      <c r="L196" s="377"/>
      <c r="M196" s="377"/>
      <c r="N196" s="377"/>
      <c r="O196" s="377"/>
      <c r="P196" s="377"/>
      <c r="Q196" s="377"/>
      <c r="R196" s="377"/>
      <c r="S196" s="1535" t="s">
        <v>2471</v>
      </c>
      <c r="T196" s="1535"/>
      <c r="U196" s="1535"/>
      <c r="V196" s="1535"/>
      <c r="W196" s="1329">
        <v>57</v>
      </c>
      <c r="X196" s="1330">
        <f>X182-X195</f>
        <v>862</v>
      </c>
      <c r="Y196" s="377"/>
      <c r="Z196" s="377"/>
      <c r="AA196" s="377"/>
      <c r="AB196" s="377"/>
      <c r="AC196" s="377"/>
      <c r="AD196" s="377"/>
      <c r="AE196" s="377"/>
      <c r="AF196" s="377"/>
      <c r="AG196" s="377"/>
      <c r="AH196" s="377"/>
      <c r="AI196" s="377"/>
      <c r="AJ196" s="377"/>
      <c r="AK196" s="377"/>
      <c r="AL196" s="574"/>
      <c r="AM196" s="377"/>
      <c r="AN196" s="377"/>
      <c r="AO196" s="377"/>
      <c r="AP196" s="377"/>
      <c r="AQ196" s="377"/>
      <c r="AR196" s="377"/>
      <c r="AS196" s="377"/>
      <c r="AT196" s="377"/>
      <c r="AU196" s="377"/>
      <c r="AV196" s="377"/>
      <c r="AW196" s="575"/>
      <c r="AX196" s="377"/>
      <c r="AY196" s="377"/>
      <c r="AZ196" s="377"/>
      <c r="BA196" s="377"/>
      <c r="BB196" s="377"/>
      <c r="BC196" s="377"/>
      <c r="BD196" s="377"/>
      <c r="BE196" s="377"/>
      <c r="BF196" s="377"/>
      <c r="BG196" s="377"/>
      <c r="BH196" s="377"/>
      <c r="BI196" s="377"/>
      <c r="BJ196" s="377"/>
      <c r="BK196" s="377"/>
      <c r="BL196" s="377"/>
      <c r="BM196" s="466"/>
      <c r="BN196" s="592"/>
      <c r="BO196" s="466"/>
      <c r="BP196" s="466"/>
      <c r="BQ196" s="466"/>
      <c r="BR196" s="377"/>
      <c r="BS196" s="377"/>
      <c r="BT196" s="377"/>
      <c r="BU196" s="377"/>
      <c r="BV196" s="377"/>
      <c r="BW196" s="377"/>
      <c r="BX196" s="377"/>
      <c r="BY196" s="377"/>
      <c r="BZ196" s="377"/>
      <c r="CA196" s="377"/>
      <c r="CB196" s="377"/>
      <c r="CC196" s="377"/>
      <c r="CD196" s="377"/>
      <c r="CE196" s="377"/>
      <c r="CF196" s="377"/>
      <c r="CG196" s="377"/>
      <c r="CH196" s="377"/>
      <c r="CI196" s="377"/>
    </row>
    <row r="197" spans="1:87" ht="15">
      <c r="A197" s="377"/>
      <c r="B197" s="377"/>
      <c r="C197" s="572"/>
      <c r="D197" s="377"/>
      <c r="E197" s="377"/>
      <c r="F197" s="377"/>
      <c r="G197" s="377"/>
      <c r="H197" s="573"/>
      <c r="I197" s="377"/>
      <c r="J197" s="377"/>
      <c r="K197" s="377"/>
      <c r="L197" s="377"/>
      <c r="M197" s="377"/>
      <c r="N197" s="377"/>
      <c r="O197" s="377"/>
      <c r="P197" s="377"/>
      <c r="Q197" s="377"/>
      <c r="R197" s="377"/>
      <c r="T197" s="1331"/>
      <c r="U197" s="1331" t="s">
        <v>2472</v>
      </c>
      <c r="V197" s="1331"/>
      <c r="W197" s="1332">
        <f>W195+W196</f>
        <v>154</v>
      </c>
      <c r="X197" s="1332">
        <f>X195+X196</f>
        <v>3271</v>
      </c>
      <c r="Y197" s="377"/>
      <c r="Z197" s="377"/>
      <c r="AA197" s="377"/>
      <c r="AB197" s="377"/>
      <c r="AC197" s="377"/>
      <c r="AD197" s="377"/>
      <c r="AE197" s="377"/>
      <c r="AF197" s="377"/>
      <c r="AG197" s="377"/>
      <c r="AH197" s="377"/>
      <c r="AI197" s="377"/>
      <c r="AJ197" s="377"/>
      <c r="AK197" s="377"/>
      <c r="AL197" s="574"/>
      <c r="AM197" s="377"/>
      <c r="AN197" s="377"/>
      <c r="AO197" s="377"/>
      <c r="AP197" s="377"/>
      <c r="AQ197" s="377"/>
      <c r="AR197" s="377"/>
      <c r="AS197" s="377"/>
      <c r="AT197" s="377"/>
      <c r="AU197" s="377"/>
      <c r="AV197" s="377"/>
      <c r="AW197" s="575"/>
      <c r="AX197" s="377"/>
      <c r="AY197" s="377"/>
      <c r="AZ197" s="377"/>
      <c r="BA197" s="377"/>
      <c r="BB197" s="377"/>
      <c r="BC197" s="377"/>
      <c r="BD197" s="377"/>
      <c r="BE197" s="377"/>
      <c r="BF197" s="377"/>
      <c r="BG197" s="377"/>
      <c r="BH197" s="377"/>
      <c r="BI197" s="377"/>
      <c r="BJ197" s="377"/>
      <c r="BK197" s="377"/>
      <c r="BL197" s="377"/>
      <c r="BM197" s="587"/>
      <c r="BN197" s="592"/>
      <c r="BO197" s="466"/>
      <c r="BP197" s="466"/>
      <c r="BQ197" s="466"/>
      <c r="BR197" s="377"/>
      <c r="BS197" s="377"/>
      <c r="BT197" s="377"/>
      <c r="BU197" s="377"/>
      <c r="BV197" s="377"/>
      <c r="BW197" s="377"/>
      <c r="BX197" s="377"/>
      <c r="BY197" s="377"/>
      <c r="BZ197" s="377"/>
      <c r="CA197" s="377"/>
      <c r="CB197" s="377"/>
      <c r="CC197" s="377"/>
      <c r="CD197" s="377"/>
      <c r="CE197" s="377"/>
      <c r="CF197" s="377"/>
      <c r="CG197" s="377"/>
      <c r="CH197" s="377"/>
      <c r="CI197" s="377"/>
    </row>
    <row r="198" spans="1:87" ht="15">
      <c r="A198" s="377"/>
      <c r="B198" s="377"/>
      <c r="C198" s="572"/>
      <c r="D198" s="377"/>
      <c r="E198" s="377"/>
      <c r="F198" s="377"/>
      <c r="G198" s="377"/>
      <c r="H198" s="573"/>
      <c r="I198" s="377"/>
      <c r="J198" s="377"/>
      <c r="K198" s="377"/>
      <c r="L198" s="377"/>
      <c r="M198" s="377"/>
      <c r="N198" s="377"/>
      <c r="O198" s="377"/>
      <c r="P198" s="377"/>
      <c r="Q198" s="377"/>
      <c r="R198" s="377"/>
      <c r="S198" s="377"/>
      <c r="T198" s="377"/>
      <c r="U198" s="377"/>
      <c r="V198" s="377"/>
      <c r="W198" s="377"/>
      <c r="X198" s="574"/>
      <c r="Y198" s="377"/>
      <c r="Z198" s="377"/>
      <c r="AA198" s="377"/>
      <c r="AB198" s="377"/>
      <c r="AC198" s="377"/>
      <c r="AD198" s="377"/>
      <c r="AE198" s="377"/>
      <c r="AF198" s="377"/>
      <c r="AG198" s="377"/>
      <c r="AH198" s="377"/>
      <c r="AI198" s="377"/>
      <c r="AJ198" s="377"/>
      <c r="AK198" s="377"/>
      <c r="AL198" s="574"/>
      <c r="AM198" s="377"/>
      <c r="AN198" s="377"/>
      <c r="AO198" s="377"/>
      <c r="AP198" s="377"/>
      <c r="AQ198" s="377"/>
      <c r="AR198" s="377"/>
      <c r="AS198" s="377"/>
      <c r="AT198" s="377"/>
      <c r="AU198" s="377"/>
      <c r="AV198" s="377"/>
      <c r="AW198" s="575"/>
      <c r="AX198" s="377"/>
      <c r="AY198" s="377"/>
      <c r="AZ198" s="377"/>
      <c r="BA198" s="377"/>
      <c r="BB198" s="377"/>
      <c r="BC198" s="377"/>
      <c r="BD198" s="377"/>
      <c r="BE198" s="377"/>
      <c r="BF198" s="377"/>
      <c r="BG198" s="377"/>
      <c r="BH198" s="377"/>
      <c r="BI198" s="377"/>
      <c r="BJ198" s="377"/>
      <c r="BK198" s="377"/>
      <c r="BL198" s="377"/>
      <c r="BM198" s="466"/>
      <c r="BN198" s="592"/>
      <c r="BO198" s="587"/>
      <c r="BP198" s="466"/>
      <c r="BQ198" s="466"/>
      <c r="BR198" s="377"/>
      <c r="BS198" s="377"/>
      <c r="BT198" s="377"/>
      <c r="BU198" s="377"/>
      <c r="BV198" s="377"/>
      <c r="BW198" s="377"/>
      <c r="BX198" s="377"/>
      <c r="BY198" s="377"/>
      <c r="BZ198" s="377"/>
      <c r="CA198" s="377"/>
      <c r="CB198" s="377"/>
      <c r="CC198" s="377"/>
      <c r="CD198" s="377"/>
      <c r="CE198" s="377"/>
      <c r="CF198" s="377"/>
      <c r="CG198" s="377"/>
      <c r="CH198" s="377"/>
      <c r="CI198" s="377"/>
    </row>
    <row r="199" spans="1:87" ht="15">
      <c r="A199" s="377"/>
      <c r="B199" s="377"/>
      <c r="C199" s="572"/>
      <c r="D199" s="377"/>
      <c r="E199" s="377"/>
      <c r="F199" s="377"/>
      <c r="G199" s="377"/>
      <c r="H199" s="573"/>
      <c r="I199" s="377"/>
      <c r="J199" s="377"/>
      <c r="K199" s="377"/>
      <c r="L199" s="377"/>
      <c r="M199" s="377"/>
      <c r="N199" s="377"/>
      <c r="O199" s="377"/>
      <c r="P199" s="377"/>
      <c r="Q199" s="377"/>
      <c r="R199" s="377"/>
      <c r="S199" s="377"/>
      <c r="T199" s="377"/>
      <c r="U199" s="377"/>
      <c r="V199" s="377"/>
      <c r="W199" s="377"/>
      <c r="X199" s="574"/>
      <c r="Y199" s="377"/>
      <c r="Z199" s="377"/>
      <c r="AA199" s="377"/>
      <c r="AB199" s="377"/>
      <c r="AC199" s="377"/>
      <c r="AD199" s="377"/>
      <c r="AE199" s="377"/>
      <c r="AF199" s="377"/>
      <c r="AG199" s="377"/>
      <c r="AH199" s="377"/>
      <c r="AI199" s="377"/>
      <c r="AJ199" s="377"/>
      <c r="AK199" s="377"/>
      <c r="AL199" s="574"/>
      <c r="AM199" s="377"/>
      <c r="AN199" s="377"/>
      <c r="AO199" s="377"/>
      <c r="AP199" s="377"/>
      <c r="AQ199" s="377"/>
      <c r="AR199" s="377"/>
      <c r="AS199" s="377"/>
      <c r="AT199" s="377"/>
      <c r="AU199" s="377"/>
      <c r="AV199" s="377"/>
      <c r="AW199" s="575"/>
      <c r="AX199" s="377"/>
      <c r="AY199" s="377"/>
      <c r="AZ199" s="377"/>
      <c r="BA199" s="377"/>
      <c r="BB199" s="377"/>
      <c r="BC199" s="377"/>
      <c r="BD199" s="377"/>
      <c r="BE199" s="377"/>
      <c r="BF199" s="377"/>
      <c r="BG199" s="377"/>
      <c r="BH199" s="377"/>
      <c r="BI199" s="377"/>
      <c r="BJ199" s="377"/>
      <c r="BK199" s="377"/>
      <c r="BL199" s="377"/>
      <c r="BM199" s="587"/>
      <c r="BN199" s="592"/>
      <c r="BO199" s="587"/>
      <c r="BP199" s="466"/>
      <c r="BQ199" s="466"/>
      <c r="BR199" s="377"/>
      <c r="BS199" s="377"/>
      <c r="BT199" s="377"/>
      <c r="BU199" s="377"/>
      <c r="BV199" s="377"/>
      <c r="BW199" s="377"/>
      <c r="BX199" s="377"/>
      <c r="BY199" s="377"/>
      <c r="BZ199" s="377"/>
      <c r="CA199" s="377"/>
      <c r="CB199" s="377"/>
      <c r="CC199" s="377"/>
      <c r="CD199" s="377"/>
      <c r="CE199" s="377"/>
      <c r="CF199" s="377"/>
      <c r="CG199" s="377"/>
      <c r="CH199" s="377"/>
      <c r="CI199" s="377"/>
    </row>
    <row r="200" spans="1:87" ht="15">
      <c r="A200" s="377"/>
      <c r="B200" s="377"/>
      <c r="C200" s="572"/>
      <c r="D200" s="377"/>
      <c r="E200" s="377"/>
      <c r="F200" s="377"/>
      <c r="G200" s="377"/>
      <c r="H200" s="573"/>
      <c r="I200" s="377"/>
      <c r="J200" s="377"/>
      <c r="K200" s="377"/>
      <c r="L200" s="377"/>
      <c r="M200" s="377"/>
      <c r="N200" s="377"/>
      <c r="O200" s="377"/>
      <c r="P200" s="377"/>
      <c r="Q200" s="377"/>
      <c r="R200" s="377"/>
      <c r="S200" s="377"/>
      <c r="T200" s="377"/>
      <c r="U200" s="377"/>
      <c r="V200" s="377"/>
      <c r="W200" s="377"/>
      <c r="X200" s="574"/>
      <c r="Y200" s="377"/>
      <c r="Z200" s="377"/>
      <c r="AA200" s="377"/>
      <c r="AB200" s="377"/>
      <c r="AC200" s="377"/>
      <c r="AD200" s="377"/>
      <c r="AE200" s="377"/>
      <c r="AF200" s="377"/>
      <c r="AG200" s="377"/>
      <c r="AH200" s="377"/>
      <c r="AI200" s="377"/>
      <c r="AJ200" s="377"/>
      <c r="AK200" s="377"/>
      <c r="AL200" s="574"/>
      <c r="AM200" s="377"/>
      <c r="AN200" s="377"/>
      <c r="AO200" s="377"/>
      <c r="AP200" s="377"/>
      <c r="AQ200" s="377"/>
      <c r="AR200" s="377"/>
      <c r="AS200" s="377"/>
      <c r="AT200" s="377"/>
      <c r="AU200" s="377"/>
      <c r="AV200" s="377"/>
      <c r="AW200" s="575"/>
      <c r="AX200" s="377"/>
      <c r="AY200" s="377"/>
      <c r="AZ200" s="377"/>
      <c r="BA200" s="377"/>
      <c r="BB200" s="377"/>
      <c r="BC200" s="377"/>
      <c r="BD200" s="377"/>
      <c r="BE200" s="377"/>
      <c r="BF200" s="377"/>
      <c r="BG200" s="377"/>
      <c r="BH200" s="377"/>
      <c r="BI200" s="377"/>
      <c r="BJ200" s="377"/>
      <c r="BK200" s="377"/>
      <c r="BL200" s="377"/>
      <c r="BM200" s="587"/>
      <c r="BN200" s="592"/>
      <c r="BO200" s="587"/>
      <c r="BP200" s="466"/>
      <c r="BQ200" s="466"/>
      <c r="BR200" s="377"/>
      <c r="BS200" s="377"/>
      <c r="BT200" s="377"/>
      <c r="BU200" s="377"/>
      <c r="BV200" s="377"/>
      <c r="BW200" s="377"/>
      <c r="BX200" s="377"/>
      <c r="BY200" s="377"/>
      <c r="BZ200" s="377"/>
      <c r="CA200" s="377"/>
      <c r="CB200" s="377"/>
      <c r="CC200" s="377"/>
      <c r="CD200" s="377"/>
      <c r="CE200" s="377"/>
      <c r="CF200" s="377"/>
      <c r="CG200" s="377"/>
      <c r="CH200" s="377"/>
      <c r="CI200" s="377"/>
    </row>
    <row r="201" spans="1:87" ht="15">
      <c r="A201" s="377"/>
      <c r="B201" s="377"/>
      <c r="C201" s="572"/>
      <c r="D201" s="377"/>
      <c r="E201" s="377"/>
      <c r="F201" s="377"/>
      <c r="G201" s="377"/>
      <c r="H201" s="573"/>
      <c r="I201" s="377"/>
      <c r="J201" s="377"/>
      <c r="K201" s="377"/>
      <c r="L201" s="377"/>
      <c r="M201" s="377"/>
      <c r="N201" s="377"/>
      <c r="O201" s="377"/>
      <c r="P201" s="377"/>
      <c r="Q201" s="377"/>
      <c r="R201" s="377"/>
      <c r="S201" s="377"/>
      <c r="T201" s="377"/>
      <c r="U201" s="377"/>
      <c r="V201" s="377"/>
      <c r="W201" s="377"/>
      <c r="X201" s="574"/>
      <c r="Y201" s="377"/>
      <c r="Z201" s="377"/>
      <c r="AA201" s="377"/>
      <c r="AB201" s="377"/>
      <c r="AC201" s="377"/>
      <c r="AD201" s="377"/>
      <c r="AE201" s="377"/>
      <c r="AF201" s="377"/>
      <c r="AG201" s="377"/>
      <c r="AH201" s="377"/>
      <c r="AI201" s="377"/>
      <c r="AJ201" s="377"/>
      <c r="AK201" s="377"/>
      <c r="AL201" s="574"/>
      <c r="AM201" s="377"/>
      <c r="AN201" s="377"/>
      <c r="AO201" s="377"/>
      <c r="AP201" s="377"/>
      <c r="AQ201" s="377"/>
      <c r="AR201" s="377"/>
      <c r="AS201" s="377"/>
      <c r="AT201" s="377"/>
      <c r="AU201" s="377"/>
      <c r="AV201" s="377"/>
      <c r="AW201" s="575"/>
      <c r="AX201" s="377"/>
      <c r="AY201" s="377"/>
      <c r="AZ201" s="377"/>
      <c r="BA201" s="377"/>
      <c r="BB201" s="377"/>
      <c r="BC201" s="377"/>
      <c r="BD201" s="377"/>
      <c r="BE201" s="377"/>
      <c r="BF201" s="377"/>
      <c r="BG201" s="377"/>
      <c r="BH201" s="377"/>
      <c r="BI201" s="377"/>
      <c r="BJ201" s="377"/>
      <c r="BK201" s="377"/>
      <c r="BL201" s="377"/>
      <c r="BM201" s="593"/>
      <c r="BN201" s="592"/>
      <c r="BO201" s="587"/>
      <c r="BP201" s="466"/>
      <c r="BQ201" s="466"/>
      <c r="BR201" s="377"/>
      <c r="BS201" s="377"/>
      <c r="BT201" s="377"/>
      <c r="BU201" s="377"/>
      <c r="BV201" s="377"/>
      <c r="BW201" s="377"/>
      <c r="BX201" s="377"/>
      <c r="BY201" s="377"/>
      <c r="BZ201" s="377"/>
      <c r="CA201" s="377"/>
      <c r="CB201" s="377"/>
      <c r="CC201" s="377"/>
      <c r="CD201" s="377"/>
      <c r="CE201" s="377"/>
      <c r="CF201" s="377"/>
      <c r="CG201" s="377"/>
      <c r="CH201" s="377"/>
      <c r="CI201" s="377"/>
    </row>
    <row r="202" spans="1:87" ht="15">
      <c r="A202" s="377"/>
      <c r="B202" s="377"/>
      <c r="C202" s="572"/>
      <c r="D202" s="377"/>
      <c r="E202" s="377"/>
      <c r="F202" s="377"/>
      <c r="G202" s="377"/>
      <c r="H202" s="573"/>
      <c r="I202" s="377"/>
      <c r="J202" s="377"/>
      <c r="K202" s="377"/>
      <c r="L202" s="377"/>
      <c r="M202" s="377"/>
      <c r="N202" s="377"/>
      <c r="O202" s="377"/>
      <c r="P202" s="377"/>
      <c r="Q202" s="377"/>
      <c r="R202" s="377"/>
      <c r="S202" s="377"/>
      <c r="T202" s="377"/>
      <c r="U202" s="377"/>
      <c r="V202" s="377"/>
      <c r="W202" s="377"/>
      <c r="X202" s="574"/>
      <c r="Y202" s="377"/>
      <c r="Z202" s="377"/>
      <c r="AA202" s="377"/>
      <c r="AB202" s="377"/>
      <c r="AC202" s="377"/>
      <c r="AD202" s="377"/>
      <c r="AE202" s="377"/>
      <c r="AF202" s="377"/>
      <c r="AG202" s="377"/>
      <c r="AH202" s="377"/>
      <c r="AI202" s="377"/>
      <c r="AJ202" s="377"/>
      <c r="AK202" s="377"/>
      <c r="AL202" s="574"/>
      <c r="AM202" s="377"/>
      <c r="AN202" s="377"/>
      <c r="AO202" s="377"/>
      <c r="AP202" s="377"/>
      <c r="AQ202" s="377"/>
      <c r="AR202" s="377"/>
      <c r="AS202" s="377"/>
      <c r="AT202" s="377"/>
      <c r="AU202" s="377"/>
      <c r="AV202" s="377"/>
      <c r="AW202" s="575"/>
      <c r="AX202" s="377"/>
      <c r="AY202" s="377"/>
      <c r="AZ202" s="377"/>
      <c r="BA202" s="377"/>
      <c r="BB202" s="377"/>
      <c r="BC202" s="377"/>
      <c r="BD202" s="377"/>
      <c r="BE202" s="377"/>
      <c r="BF202" s="377"/>
      <c r="BG202" s="377"/>
      <c r="BH202" s="377"/>
      <c r="BI202" s="377"/>
      <c r="BJ202" s="377"/>
      <c r="BK202" s="377"/>
      <c r="BL202" s="377"/>
      <c r="BM202" s="583"/>
      <c r="BN202" s="592"/>
      <c r="BO202" s="587"/>
      <c r="BP202" s="466"/>
      <c r="BQ202" s="466"/>
      <c r="BR202" s="377"/>
      <c r="BS202" s="377"/>
      <c r="BT202" s="377"/>
      <c r="BU202" s="377"/>
      <c r="BV202" s="377"/>
      <c r="BW202" s="377"/>
      <c r="BX202" s="377"/>
      <c r="BY202" s="377"/>
      <c r="BZ202" s="377"/>
      <c r="CA202" s="377"/>
      <c r="CB202" s="377"/>
      <c r="CC202" s="377"/>
      <c r="CD202" s="377"/>
      <c r="CE202" s="377"/>
      <c r="CF202" s="377"/>
      <c r="CG202" s="377"/>
      <c r="CH202" s="377"/>
      <c r="CI202" s="377"/>
    </row>
    <row r="203" spans="1:87" ht="15">
      <c r="A203" s="377"/>
      <c r="B203" s="377"/>
      <c r="C203" s="572"/>
      <c r="D203" s="377"/>
      <c r="E203" s="377"/>
      <c r="F203" s="377"/>
      <c r="G203" s="377"/>
      <c r="H203" s="573"/>
      <c r="I203" s="377"/>
      <c r="J203" s="377"/>
      <c r="K203" s="377"/>
      <c r="L203" s="377"/>
      <c r="M203" s="377"/>
      <c r="N203" s="377"/>
      <c r="O203" s="377"/>
      <c r="P203" s="377"/>
      <c r="Q203" s="377"/>
      <c r="R203" s="377"/>
      <c r="S203" s="377"/>
      <c r="T203" s="377"/>
      <c r="U203" s="377"/>
      <c r="V203" s="377"/>
      <c r="W203" s="377"/>
      <c r="X203" s="574"/>
      <c r="Y203" s="377"/>
      <c r="Z203" s="377"/>
      <c r="AA203" s="377"/>
      <c r="AB203" s="377"/>
      <c r="AC203" s="377"/>
      <c r="AD203" s="377"/>
      <c r="AE203" s="377"/>
      <c r="AF203" s="377"/>
      <c r="AG203" s="377"/>
      <c r="AH203" s="377"/>
      <c r="AI203" s="377"/>
      <c r="AJ203" s="377"/>
      <c r="AK203" s="377"/>
      <c r="AL203" s="574"/>
      <c r="AM203" s="377"/>
      <c r="AN203" s="377"/>
      <c r="AO203" s="377"/>
      <c r="AP203" s="377"/>
      <c r="AQ203" s="377"/>
      <c r="AR203" s="377"/>
      <c r="AS203" s="377"/>
      <c r="AT203" s="377"/>
      <c r="AU203" s="377"/>
      <c r="AV203" s="377"/>
      <c r="AW203" s="575"/>
      <c r="AX203" s="377"/>
      <c r="AY203" s="377"/>
      <c r="AZ203" s="377"/>
      <c r="BA203" s="377"/>
      <c r="BB203" s="377"/>
      <c r="BC203" s="377"/>
      <c r="BD203" s="377"/>
      <c r="BE203" s="377"/>
      <c r="BF203" s="377"/>
      <c r="BG203" s="377"/>
      <c r="BH203" s="377"/>
      <c r="BI203" s="377"/>
      <c r="BJ203" s="377"/>
      <c r="BK203" s="377"/>
      <c r="BL203" s="377"/>
      <c r="BM203" s="583"/>
      <c r="BN203" s="592"/>
      <c r="BO203" s="587"/>
      <c r="BP203" s="466"/>
      <c r="BQ203" s="466"/>
      <c r="BR203" s="377"/>
      <c r="BS203" s="377"/>
      <c r="BT203" s="377"/>
      <c r="BU203" s="377"/>
      <c r="BV203" s="377"/>
      <c r="BW203" s="377"/>
      <c r="BX203" s="377"/>
      <c r="BY203" s="377"/>
      <c r="BZ203" s="377"/>
      <c r="CA203" s="377"/>
      <c r="CB203" s="377"/>
      <c r="CC203" s="377"/>
      <c r="CD203" s="377"/>
      <c r="CE203" s="377"/>
      <c r="CF203" s="377"/>
      <c r="CG203" s="377"/>
      <c r="CH203" s="377"/>
      <c r="CI203" s="377"/>
    </row>
    <row r="204" spans="1:87" ht="15">
      <c r="A204" s="377"/>
      <c r="B204" s="377"/>
      <c r="C204" s="572"/>
      <c r="D204" s="377"/>
      <c r="E204" s="377"/>
      <c r="F204" s="377"/>
      <c r="G204" s="377"/>
      <c r="H204" s="573"/>
      <c r="I204" s="377"/>
      <c r="J204" s="377"/>
      <c r="K204" s="377"/>
      <c r="L204" s="377"/>
      <c r="M204" s="377"/>
      <c r="N204" s="377"/>
      <c r="O204" s="377"/>
      <c r="P204" s="377"/>
      <c r="Q204" s="377"/>
      <c r="R204" s="377"/>
      <c r="S204" s="377"/>
      <c r="T204" s="377"/>
      <c r="U204" s="377"/>
      <c r="V204" s="377"/>
      <c r="W204" s="377"/>
      <c r="X204" s="574"/>
      <c r="Y204" s="377"/>
      <c r="Z204" s="377"/>
      <c r="AA204" s="377"/>
      <c r="AB204" s="377"/>
      <c r="AC204" s="377"/>
      <c r="AD204" s="377"/>
      <c r="AE204" s="377"/>
      <c r="AF204" s="377"/>
      <c r="AG204" s="377"/>
      <c r="AH204" s="377"/>
      <c r="AI204" s="377"/>
      <c r="AJ204" s="377"/>
      <c r="AK204" s="377"/>
      <c r="AL204" s="574"/>
      <c r="AM204" s="377"/>
      <c r="AN204" s="377"/>
      <c r="AO204" s="377"/>
      <c r="AP204" s="377"/>
      <c r="AQ204" s="377"/>
      <c r="AR204" s="377"/>
      <c r="AS204" s="377"/>
      <c r="AT204" s="377"/>
      <c r="AU204" s="377"/>
      <c r="AV204" s="377"/>
      <c r="AW204" s="575"/>
      <c r="AX204" s="377"/>
      <c r="AY204" s="377"/>
      <c r="AZ204" s="377"/>
      <c r="BA204" s="377"/>
      <c r="BB204" s="377"/>
      <c r="BC204" s="377"/>
      <c r="BD204" s="377"/>
      <c r="BE204" s="377"/>
      <c r="BF204" s="377"/>
      <c r="BG204" s="377"/>
      <c r="BH204" s="377"/>
      <c r="BI204" s="377"/>
      <c r="BJ204" s="377"/>
      <c r="BK204" s="377"/>
      <c r="BL204" s="377"/>
      <c r="BM204" s="376"/>
      <c r="BN204" s="576"/>
      <c r="BO204" s="376"/>
      <c r="BP204" s="377"/>
      <c r="BQ204" s="377"/>
      <c r="BR204" s="377"/>
      <c r="BS204" s="377"/>
      <c r="BT204" s="377"/>
      <c r="BU204" s="377"/>
      <c r="BV204" s="377"/>
      <c r="BW204" s="377"/>
      <c r="BX204" s="377"/>
      <c r="BY204" s="377"/>
      <c r="BZ204" s="377"/>
      <c r="CA204" s="377"/>
      <c r="CB204" s="377"/>
      <c r="CC204" s="377"/>
      <c r="CD204" s="377"/>
      <c r="CE204" s="377"/>
      <c r="CF204" s="377"/>
      <c r="CG204" s="377"/>
      <c r="CH204" s="377"/>
      <c r="CI204" s="377"/>
    </row>
    <row r="205" spans="1:87" ht="15">
      <c r="A205" s="377"/>
      <c r="B205" s="377"/>
      <c r="C205" s="572"/>
      <c r="D205" s="377"/>
      <c r="E205" s="377"/>
      <c r="F205" s="377"/>
      <c r="G205" s="377"/>
      <c r="H205" s="573"/>
      <c r="I205" s="377"/>
      <c r="J205" s="377"/>
      <c r="K205" s="377"/>
      <c r="L205" s="377"/>
      <c r="M205" s="377"/>
      <c r="N205" s="377"/>
      <c r="O205" s="377"/>
      <c r="P205" s="377"/>
      <c r="Q205" s="377"/>
      <c r="R205" s="377"/>
      <c r="S205" s="377"/>
      <c r="T205" s="377"/>
      <c r="U205" s="377"/>
      <c r="V205" s="377"/>
      <c r="W205" s="377"/>
      <c r="X205" s="574"/>
      <c r="Y205" s="377"/>
      <c r="Z205" s="377"/>
      <c r="AA205" s="377"/>
      <c r="AB205" s="377"/>
      <c r="AC205" s="377"/>
      <c r="AD205" s="377"/>
      <c r="AE205" s="377"/>
      <c r="AF205" s="377"/>
      <c r="AG205" s="377"/>
      <c r="AH205" s="377"/>
      <c r="AI205" s="377"/>
      <c r="AJ205" s="377"/>
      <c r="AK205" s="377"/>
      <c r="AL205" s="574"/>
      <c r="AM205" s="377"/>
      <c r="AN205" s="377"/>
      <c r="AO205" s="377"/>
      <c r="AP205" s="377"/>
      <c r="AQ205" s="377"/>
      <c r="AR205" s="377"/>
      <c r="AS205" s="377"/>
      <c r="AT205" s="377"/>
      <c r="AU205" s="377"/>
      <c r="AV205" s="377"/>
      <c r="AW205" s="575"/>
      <c r="AX205" s="377"/>
      <c r="AY205" s="377"/>
      <c r="AZ205" s="377"/>
      <c r="BA205" s="377"/>
      <c r="BB205" s="377"/>
      <c r="BC205" s="377"/>
      <c r="BD205" s="377"/>
      <c r="BE205" s="377"/>
      <c r="BF205" s="377"/>
      <c r="BG205" s="377"/>
      <c r="BH205" s="377"/>
      <c r="BI205" s="377"/>
      <c r="BJ205" s="377"/>
      <c r="BK205" s="377"/>
      <c r="BL205" s="377"/>
      <c r="BM205" s="377"/>
      <c r="BN205" s="576"/>
      <c r="BO205" s="377"/>
      <c r="BP205" s="377"/>
      <c r="BQ205" s="377"/>
      <c r="BR205" s="377"/>
      <c r="BS205" s="377"/>
      <c r="BT205" s="377"/>
      <c r="BU205" s="377"/>
      <c r="BV205" s="377"/>
      <c r="BW205" s="377"/>
      <c r="BX205" s="377"/>
      <c r="BY205" s="377"/>
      <c r="BZ205" s="377"/>
      <c r="CA205" s="377"/>
      <c r="CB205" s="377"/>
      <c r="CC205" s="377"/>
      <c r="CD205" s="377"/>
      <c r="CE205" s="377"/>
      <c r="CF205" s="377"/>
      <c r="CG205" s="377"/>
      <c r="CH205" s="377"/>
      <c r="CI205" s="377"/>
    </row>
    <row r="206" spans="1:87" ht="15">
      <c r="A206" s="377"/>
      <c r="B206" s="377"/>
      <c r="C206" s="572"/>
      <c r="D206" s="377"/>
      <c r="E206" s="377"/>
      <c r="F206" s="377"/>
      <c r="G206" s="377"/>
      <c r="H206" s="573"/>
      <c r="I206" s="377"/>
      <c r="J206" s="377"/>
      <c r="K206" s="377"/>
      <c r="L206" s="377"/>
      <c r="M206" s="377"/>
      <c r="N206" s="377"/>
      <c r="O206" s="377"/>
      <c r="P206" s="377"/>
      <c r="Q206" s="377"/>
      <c r="R206" s="377"/>
      <c r="S206" s="377"/>
      <c r="T206" s="377"/>
      <c r="U206" s="377"/>
      <c r="V206" s="377"/>
      <c r="W206" s="377"/>
      <c r="X206" s="574"/>
      <c r="Y206" s="377"/>
      <c r="Z206" s="377"/>
      <c r="AA206" s="377"/>
      <c r="AB206" s="377"/>
      <c r="AC206" s="377"/>
      <c r="AD206" s="377"/>
      <c r="AE206" s="377"/>
      <c r="AF206" s="377"/>
      <c r="AG206" s="377"/>
      <c r="AH206" s="377"/>
      <c r="AI206" s="377"/>
      <c r="AJ206" s="377"/>
      <c r="AK206" s="377"/>
      <c r="AL206" s="574"/>
      <c r="AM206" s="377"/>
      <c r="AN206" s="377"/>
      <c r="AO206" s="377"/>
      <c r="AP206" s="377"/>
      <c r="AQ206" s="377"/>
      <c r="AR206" s="377"/>
      <c r="AS206" s="377"/>
      <c r="AT206" s="377"/>
      <c r="AU206" s="377"/>
      <c r="AV206" s="377"/>
      <c r="AW206" s="575"/>
      <c r="AX206" s="377"/>
      <c r="AY206" s="377"/>
      <c r="AZ206" s="377"/>
      <c r="BA206" s="377"/>
      <c r="BB206" s="377"/>
      <c r="BC206" s="377"/>
      <c r="BD206" s="377"/>
      <c r="BE206" s="377"/>
      <c r="BF206" s="377"/>
      <c r="BG206" s="377"/>
      <c r="BH206" s="377"/>
      <c r="BI206" s="377"/>
      <c r="BJ206" s="377"/>
      <c r="BK206" s="377"/>
      <c r="BL206" s="377"/>
      <c r="BM206" s="377"/>
      <c r="BN206" s="576"/>
      <c r="BO206" s="377"/>
      <c r="BP206" s="377"/>
      <c r="BQ206" s="377"/>
      <c r="BR206" s="377"/>
      <c r="BS206" s="377"/>
      <c r="BT206" s="377"/>
      <c r="BU206" s="377"/>
      <c r="BV206" s="377"/>
      <c r="BW206" s="377"/>
      <c r="BX206" s="377"/>
      <c r="BY206" s="377"/>
      <c r="BZ206" s="377"/>
      <c r="CA206" s="377"/>
      <c r="CB206" s="377"/>
      <c r="CC206" s="377"/>
      <c r="CD206" s="377"/>
      <c r="CE206" s="377"/>
      <c r="CF206" s="377"/>
      <c r="CG206" s="377"/>
      <c r="CH206" s="377"/>
      <c r="CI206" s="377"/>
    </row>
    <row r="207" spans="1:87" ht="15">
      <c r="A207" s="377"/>
      <c r="B207" s="377"/>
      <c r="C207" s="572"/>
      <c r="D207" s="377"/>
      <c r="E207" s="377"/>
      <c r="F207" s="377"/>
      <c r="G207" s="377"/>
      <c r="H207" s="573"/>
      <c r="I207" s="377"/>
      <c r="J207" s="377"/>
      <c r="K207" s="377"/>
      <c r="L207" s="377"/>
      <c r="M207" s="377"/>
      <c r="N207" s="377"/>
      <c r="O207" s="377"/>
      <c r="P207" s="377"/>
      <c r="Q207" s="377"/>
      <c r="R207" s="377"/>
      <c r="S207" s="377"/>
      <c r="T207" s="377"/>
      <c r="U207" s="377"/>
      <c r="V207" s="377"/>
      <c r="W207" s="377"/>
      <c r="X207" s="574"/>
      <c r="Y207" s="377"/>
      <c r="Z207" s="377"/>
      <c r="AA207" s="377"/>
      <c r="AB207" s="377"/>
      <c r="AC207" s="377"/>
      <c r="AD207" s="377"/>
      <c r="AE207" s="377"/>
      <c r="AF207" s="377"/>
      <c r="AG207" s="377"/>
      <c r="AH207" s="377"/>
      <c r="AI207" s="377"/>
      <c r="AJ207" s="377"/>
      <c r="AK207" s="377"/>
      <c r="AL207" s="574"/>
      <c r="AM207" s="377"/>
      <c r="AN207" s="377"/>
      <c r="AO207" s="377"/>
      <c r="AP207" s="377"/>
      <c r="AQ207" s="377"/>
      <c r="AR207" s="377"/>
      <c r="AS207" s="377"/>
      <c r="AT207" s="377"/>
      <c r="AU207" s="377"/>
      <c r="AV207" s="377"/>
      <c r="AW207" s="575"/>
      <c r="AX207" s="377"/>
      <c r="AY207" s="377"/>
      <c r="AZ207" s="377"/>
      <c r="BA207" s="377"/>
      <c r="BB207" s="377"/>
      <c r="BC207" s="377"/>
      <c r="BD207" s="377"/>
      <c r="BE207" s="377"/>
      <c r="BF207" s="377"/>
      <c r="BG207" s="377"/>
      <c r="BH207" s="377"/>
      <c r="BI207" s="377"/>
      <c r="BJ207" s="377"/>
      <c r="BK207" s="377"/>
      <c r="BL207" s="377"/>
      <c r="BM207" s="377"/>
      <c r="BN207" s="576"/>
      <c r="BO207" s="377"/>
      <c r="BP207" s="377"/>
      <c r="BQ207" s="377"/>
      <c r="BR207" s="377"/>
      <c r="BS207" s="377"/>
      <c r="BT207" s="377"/>
      <c r="BU207" s="377"/>
      <c r="BV207" s="377"/>
      <c r="BW207" s="377"/>
      <c r="BX207" s="377"/>
      <c r="BY207" s="377"/>
      <c r="BZ207" s="377"/>
      <c r="CA207" s="377"/>
      <c r="CB207" s="377"/>
      <c r="CC207" s="377"/>
      <c r="CD207" s="377"/>
      <c r="CE207" s="377"/>
      <c r="CF207" s="377"/>
      <c r="CG207" s="377"/>
      <c r="CH207" s="377"/>
      <c r="CI207" s="377"/>
    </row>
    <row r="208" spans="1:87" ht="15">
      <c r="A208" s="377"/>
      <c r="B208" s="377"/>
      <c r="C208" s="572"/>
      <c r="D208" s="377"/>
      <c r="E208" s="377"/>
      <c r="F208" s="377"/>
      <c r="G208" s="377"/>
      <c r="H208" s="573"/>
      <c r="I208" s="377"/>
      <c r="J208" s="377"/>
      <c r="K208" s="377"/>
      <c r="L208" s="377"/>
      <c r="M208" s="377"/>
      <c r="N208" s="377"/>
      <c r="O208" s="377"/>
      <c r="P208" s="377"/>
      <c r="Q208" s="377"/>
      <c r="R208" s="377"/>
      <c r="S208" s="377"/>
      <c r="T208" s="377"/>
      <c r="U208" s="377"/>
      <c r="V208" s="377"/>
      <c r="W208" s="377"/>
      <c r="X208" s="574"/>
      <c r="Y208" s="377"/>
      <c r="Z208" s="377"/>
      <c r="AA208" s="377"/>
      <c r="AB208" s="377"/>
      <c r="AC208" s="377"/>
      <c r="AD208" s="377"/>
      <c r="AE208" s="377"/>
      <c r="AF208" s="377"/>
      <c r="AG208" s="377"/>
      <c r="AH208" s="377"/>
      <c r="AI208" s="377"/>
      <c r="AJ208" s="377"/>
      <c r="AK208" s="377"/>
      <c r="AL208" s="574"/>
      <c r="AM208" s="377"/>
      <c r="AN208" s="377"/>
      <c r="AO208" s="377"/>
      <c r="AP208" s="377"/>
      <c r="AQ208" s="377"/>
      <c r="AR208" s="377"/>
      <c r="AS208" s="377"/>
      <c r="AT208" s="377"/>
      <c r="AU208" s="377"/>
      <c r="AV208" s="377"/>
      <c r="AW208" s="575"/>
      <c r="AX208" s="377"/>
      <c r="AY208" s="377"/>
      <c r="AZ208" s="377"/>
      <c r="BA208" s="377"/>
      <c r="BB208" s="377"/>
      <c r="BC208" s="377"/>
      <c r="BD208" s="377"/>
      <c r="BE208" s="377"/>
      <c r="BF208" s="377"/>
      <c r="BG208" s="377"/>
      <c r="BH208" s="377"/>
      <c r="BI208" s="377"/>
      <c r="BJ208" s="377"/>
      <c r="BK208" s="377"/>
      <c r="BL208" s="377"/>
      <c r="BM208" s="377"/>
      <c r="BN208" s="576"/>
      <c r="BO208" s="377"/>
      <c r="BP208" s="377"/>
      <c r="BQ208" s="377"/>
      <c r="BR208" s="377"/>
      <c r="BS208" s="377"/>
      <c r="BT208" s="377"/>
      <c r="BU208" s="377"/>
      <c r="BV208" s="377"/>
      <c r="BW208" s="377"/>
      <c r="BX208" s="377"/>
      <c r="BY208" s="377"/>
      <c r="BZ208" s="377"/>
      <c r="CA208" s="377"/>
      <c r="CB208" s="377"/>
      <c r="CC208" s="377"/>
      <c r="CD208" s="377"/>
      <c r="CE208" s="377"/>
      <c r="CF208" s="377"/>
      <c r="CG208" s="377"/>
      <c r="CH208" s="377"/>
      <c r="CI208" s="377"/>
    </row>
    <row r="209" spans="1:87" ht="15">
      <c r="A209" s="377"/>
      <c r="B209" s="377"/>
      <c r="C209" s="572"/>
      <c r="D209" s="377"/>
      <c r="E209" s="377"/>
      <c r="F209" s="377"/>
      <c r="G209" s="377"/>
      <c r="H209" s="573"/>
      <c r="I209" s="377"/>
      <c r="J209" s="377"/>
      <c r="K209" s="377"/>
      <c r="L209" s="377"/>
      <c r="M209" s="377"/>
      <c r="N209" s="377"/>
      <c r="O209" s="377"/>
      <c r="P209" s="377"/>
      <c r="Q209" s="377"/>
      <c r="R209" s="377"/>
      <c r="S209" s="377"/>
      <c r="T209" s="377"/>
      <c r="U209" s="377"/>
      <c r="V209" s="377"/>
      <c r="W209" s="377"/>
      <c r="X209" s="574"/>
      <c r="Y209" s="377"/>
      <c r="Z209" s="377"/>
      <c r="AA209" s="377"/>
      <c r="AB209" s="377"/>
      <c r="AC209" s="377"/>
      <c r="AD209" s="377"/>
      <c r="AE209" s="377"/>
      <c r="AF209" s="377"/>
      <c r="AG209" s="377"/>
      <c r="AH209" s="377"/>
      <c r="AI209" s="377"/>
      <c r="AJ209" s="377"/>
      <c r="AK209" s="377"/>
      <c r="AL209" s="574"/>
      <c r="AM209" s="377"/>
      <c r="AN209" s="377"/>
      <c r="AO209" s="377"/>
      <c r="AP209" s="377"/>
      <c r="AQ209" s="377"/>
      <c r="AR209" s="377"/>
      <c r="AS209" s="377"/>
      <c r="AT209" s="377"/>
      <c r="AU209" s="377"/>
      <c r="AV209" s="377"/>
      <c r="AW209" s="575"/>
      <c r="AX209" s="377"/>
      <c r="AY209" s="377"/>
      <c r="AZ209" s="377"/>
      <c r="BA209" s="377"/>
      <c r="BB209" s="377"/>
      <c r="BC209" s="377"/>
      <c r="BD209" s="377"/>
      <c r="BE209" s="377"/>
      <c r="BF209" s="377"/>
      <c r="BG209" s="377"/>
      <c r="BH209" s="377"/>
      <c r="BI209" s="377"/>
      <c r="BJ209" s="377"/>
      <c r="BK209" s="377"/>
      <c r="BL209" s="377"/>
      <c r="BM209" s="377"/>
      <c r="BN209" s="576"/>
      <c r="BO209" s="377"/>
      <c r="BP209" s="377"/>
      <c r="BQ209" s="377"/>
      <c r="BR209" s="377"/>
      <c r="BS209" s="377"/>
      <c r="BT209" s="377"/>
      <c r="BU209" s="377"/>
      <c r="BV209" s="377"/>
      <c r="BW209" s="377"/>
      <c r="BX209" s="377"/>
      <c r="BY209" s="377"/>
      <c r="BZ209" s="377"/>
      <c r="CA209" s="377"/>
      <c r="CB209" s="377"/>
      <c r="CC209" s="377"/>
      <c r="CD209" s="377"/>
      <c r="CE209" s="377"/>
      <c r="CF209" s="377"/>
      <c r="CG209" s="377"/>
      <c r="CH209" s="377"/>
      <c r="CI209" s="377"/>
    </row>
    <row r="210" spans="1:87" ht="15">
      <c r="A210" s="377"/>
      <c r="B210" s="377"/>
      <c r="C210" s="572"/>
      <c r="D210" s="377"/>
      <c r="E210" s="377"/>
      <c r="F210" s="377"/>
      <c r="G210" s="377"/>
      <c r="H210" s="573"/>
      <c r="I210" s="377"/>
      <c r="J210" s="377"/>
      <c r="K210" s="377"/>
      <c r="L210" s="377"/>
      <c r="M210" s="377"/>
      <c r="N210" s="377"/>
      <c r="O210" s="377"/>
      <c r="P210" s="377"/>
      <c r="Q210" s="377"/>
      <c r="R210" s="377"/>
      <c r="S210" s="377"/>
      <c r="T210" s="377"/>
      <c r="U210" s="377"/>
      <c r="V210" s="377"/>
      <c r="W210" s="377"/>
      <c r="X210" s="574"/>
      <c r="Y210" s="377"/>
      <c r="Z210" s="377"/>
      <c r="AA210" s="377"/>
      <c r="AB210" s="377"/>
      <c r="AC210" s="377"/>
      <c r="AD210" s="377"/>
      <c r="AE210" s="377"/>
      <c r="AF210" s="377"/>
      <c r="AG210" s="377"/>
      <c r="AH210" s="377"/>
      <c r="AI210" s="377"/>
      <c r="AJ210" s="377"/>
      <c r="AK210" s="377"/>
      <c r="AL210" s="574"/>
      <c r="AM210" s="377"/>
      <c r="AN210" s="377"/>
      <c r="AO210" s="377"/>
      <c r="AP210" s="377"/>
      <c r="AQ210" s="377"/>
      <c r="AR210" s="377"/>
      <c r="AS210" s="377"/>
      <c r="AT210" s="377"/>
      <c r="AU210" s="377"/>
      <c r="AV210" s="377"/>
      <c r="AW210" s="575"/>
      <c r="AX210" s="377"/>
      <c r="AY210" s="377"/>
      <c r="AZ210" s="377"/>
      <c r="BA210" s="377"/>
      <c r="BB210" s="377"/>
      <c r="BC210" s="377"/>
      <c r="BD210" s="377"/>
      <c r="BE210" s="377"/>
      <c r="BF210" s="377"/>
      <c r="BG210" s="377"/>
      <c r="BH210" s="377"/>
      <c r="BI210" s="377"/>
      <c r="BJ210" s="377"/>
      <c r="BK210" s="377"/>
      <c r="BL210" s="377"/>
      <c r="BM210" s="377"/>
      <c r="BN210" s="576"/>
      <c r="BO210" s="377"/>
      <c r="BP210" s="377"/>
      <c r="BQ210" s="377"/>
      <c r="BR210" s="377"/>
      <c r="BS210" s="377"/>
      <c r="BT210" s="377"/>
      <c r="BU210" s="377"/>
      <c r="BV210" s="377"/>
      <c r="BW210" s="377"/>
      <c r="BX210" s="377"/>
      <c r="BY210" s="377"/>
      <c r="BZ210" s="377"/>
      <c r="CA210" s="377"/>
      <c r="CB210" s="377"/>
      <c r="CC210" s="377"/>
      <c r="CD210" s="377"/>
      <c r="CE210" s="377"/>
      <c r="CF210" s="377"/>
      <c r="CG210" s="377"/>
      <c r="CH210" s="377"/>
      <c r="CI210" s="377"/>
    </row>
    <row r="211" spans="1:87" ht="15">
      <c r="A211" s="377"/>
      <c r="B211" s="377"/>
      <c r="C211" s="572"/>
      <c r="D211" s="377"/>
      <c r="E211" s="377"/>
      <c r="F211" s="377"/>
      <c r="G211" s="377"/>
      <c r="H211" s="573"/>
      <c r="I211" s="377"/>
      <c r="J211" s="377"/>
      <c r="K211" s="377"/>
      <c r="L211" s="377"/>
      <c r="M211" s="377"/>
      <c r="N211" s="377"/>
      <c r="O211" s="377"/>
      <c r="P211" s="377"/>
      <c r="Q211" s="377"/>
      <c r="R211" s="377"/>
      <c r="S211" s="377"/>
      <c r="T211" s="377"/>
      <c r="U211" s="377"/>
      <c r="V211" s="377"/>
      <c r="W211" s="377"/>
      <c r="X211" s="574"/>
      <c r="Y211" s="377"/>
      <c r="Z211" s="377"/>
      <c r="AA211" s="377"/>
      <c r="AB211" s="377"/>
      <c r="AC211" s="377"/>
      <c r="AD211" s="377"/>
      <c r="AE211" s="377"/>
      <c r="AF211" s="377"/>
      <c r="AG211" s="377"/>
      <c r="AH211" s="377"/>
      <c r="AI211" s="377"/>
      <c r="AJ211" s="377"/>
      <c r="AK211" s="377"/>
      <c r="AL211" s="574"/>
      <c r="AM211" s="377"/>
      <c r="AN211" s="377"/>
      <c r="AO211" s="377"/>
      <c r="AP211" s="377"/>
      <c r="AQ211" s="377"/>
      <c r="AR211" s="377"/>
      <c r="AS211" s="377"/>
      <c r="AT211" s="377"/>
      <c r="AU211" s="377"/>
      <c r="AV211" s="377"/>
      <c r="AW211" s="575"/>
      <c r="AX211" s="377"/>
      <c r="AY211" s="377"/>
      <c r="AZ211" s="377"/>
      <c r="BA211" s="377"/>
      <c r="BB211" s="377"/>
      <c r="BC211" s="377"/>
      <c r="BD211" s="377"/>
      <c r="BE211" s="377"/>
      <c r="BF211" s="377"/>
      <c r="BG211" s="377"/>
      <c r="BH211" s="377"/>
      <c r="BI211" s="377"/>
      <c r="BJ211" s="377"/>
      <c r="BK211" s="377"/>
      <c r="BL211" s="377"/>
      <c r="BM211" s="377"/>
      <c r="BN211" s="576"/>
      <c r="BO211" s="377"/>
      <c r="BP211" s="377"/>
      <c r="BQ211" s="377"/>
      <c r="BR211" s="377"/>
      <c r="BS211" s="377"/>
      <c r="BT211" s="377"/>
      <c r="BU211" s="377"/>
      <c r="BV211" s="377"/>
      <c r="BW211" s="377"/>
      <c r="BX211" s="377"/>
      <c r="BY211" s="377"/>
      <c r="BZ211" s="377"/>
      <c r="CA211" s="377"/>
      <c r="CB211" s="377"/>
      <c r="CC211" s="377"/>
      <c r="CD211" s="377"/>
      <c r="CE211" s="377"/>
      <c r="CF211" s="377"/>
      <c r="CG211" s="377"/>
      <c r="CH211" s="377"/>
      <c r="CI211" s="377"/>
    </row>
    <row r="212" spans="1:87" ht="15">
      <c r="A212" s="377"/>
      <c r="B212" s="377"/>
      <c r="C212" s="572"/>
      <c r="D212" s="377"/>
      <c r="E212" s="377"/>
      <c r="F212" s="377"/>
      <c r="G212" s="377"/>
      <c r="H212" s="573"/>
      <c r="I212" s="377"/>
      <c r="J212" s="377"/>
      <c r="K212" s="377"/>
      <c r="L212" s="377"/>
      <c r="M212" s="377"/>
      <c r="N212" s="377"/>
      <c r="O212" s="377"/>
      <c r="P212" s="377"/>
      <c r="Q212" s="377"/>
      <c r="R212" s="377"/>
      <c r="S212" s="377"/>
      <c r="T212" s="377"/>
      <c r="U212" s="377"/>
      <c r="V212" s="377"/>
      <c r="W212" s="377"/>
      <c r="X212" s="574"/>
      <c r="Y212" s="377"/>
      <c r="Z212" s="377"/>
      <c r="AA212" s="377"/>
      <c r="AB212" s="377"/>
      <c r="AC212" s="377"/>
      <c r="AD212" s="377"/>
      <c r="AE212" s="377"/>
      <c r="AF212" s="377"/>
      <c r="AG212" s="377"/>
      <c r="AH212" s="377"/>
      <c r="AI212" s="377"/>
      <c r="AJ212" s="377"/>
      <c r="AK212" s="377"/>
      <c r="AL212" s="574"/>
      <c r="AM212" s="377"/>
      <c r="AN212" s="377"/>
      <c r="AO212" s="377"/>
      <c r="AP212" s="377"/>
      <c r="AQ212" s="377"/>
      <c r="AR212" s="377"/>
      <c r="AS212" s="377"/>
      <c r="AT212" s="377"/>
      <c r="AU212" s="377"/>
      <c r="AV212" s="377"/>
      <c r="AW212" s="575"/>
      <c r="AX212" s="377"/>
      <c r="AY212" s="377"/>
      <c r="AZ212" s="377"/>
      <c r="BA212" s="377"/>
      <c r="BB212" s="377"/>
      <c r="BC212" s="377"/>
      <c r="BD212" s="377"/>
      <c r="BE212" s="377"/>
      <c r="BF212" s="377"/>
      <c r="BG212" s="377"/>
      <c r="BH212" s="377"/>
      <c r="BI212" s="377"/>
      <c r="BJ212" s="377"/>
      <c r="BK212" s="377"/>
      <c r="BL212" s="377"/>
      <c r="BM212" s="377"/>
      <c r="BN212" s="576"/>
      <c r="BO212" s="377"/>
      <c r="BP212" s="377"/>
      <c r="BQ212" s="377"/>
      <c r="BR212" s="377"/>
      <c r="BS212" s="377"/>
      <c r="BT212" s="377"/>
      <c r="BU212" s="377"/>
      <c r="BV212" s="377"/>
      <c r="BW212" s="377"/>
      <c r="BX212" s="377"/>
      <c r="BY212" s="377"/>
      <c r="BZ212" s="377"/>
      <c r="CA212" s="377"/>
      <c r="CB212" s="377"/>
      <c r="CC212" s="377"/>
      <c r="CD212" s="377"/>
      <c r="CE212" s="377"/>
      <c r="CF212" s="377"/>
      <c r="CG212" s="377"/>
      <c r="CH212" s="377"/>
      <c r="CI212" s="377"/>
    </row>
    <row r="213" spans="1:87" ht="15">
      <c r="A213" s="377"/>
      <c r="B213" s="377"/>
      <c r="C213" s="572"/>
      <c r="D213" s="377"/>
      <c r="E213" s="377"/>
      <c r="F213" s="377"/>
      <c r="G213" s="377"/>
      <c r="H213" s="573"/>
      <c r="I213" s="377"/>
      <c r="J213" s="377"/>
      <c r="K213" s="377"/>
      <c r="L213" s="377"/>
      <c r="M213" s="377"/>
      <c r="N213" s="377"/>
      <c r="O213" s="377"/>
      <c r="P213" s="377"/>
      <c r="Q213" s="377"/>
      <c r="R213" s="377"/>
      <c r="S213" s="377"/>
      <c r="T213" s="377"/>
      <c r="U213" s="377"/>
      <c r="V213" s="377"/>
      <c r="W213" s="377"/>
      <c r="X213" s="574"/>
      <c r="Y213" s="377"/>
      <c r="Z213" s="377"/>
      <c r="AA213" s="377"/>
      <c r="AB213" s="377"/>
      <c r="AC213" s="377"/>
      <c r="AD213" s="377"/>
      <c r="AE213" s="377"/>
      <c r="AF213" s="377"/>
      <c r="AG213" s="377"/>
      <c r="AH213" s="377"/>
      <c r="AI213" s="377"/>
      <c r="AJ213" s="377"/>
      <c r="AK213" s="377"/>
      <c r="AL213" s="574"/>
      <c r="AM213" s="377"/>
      <c r="AN213" s="377"/>
      <c r="AO213" s="377"/>
      <c r="AP213" s="377"/>
      <c r="AQ213" s="377"/>
      <c r="AR213" s="377"/>
      <c r="AS213" s="377"/>
      <c r="AT213" s="377"/>
      <c r="AU213" s="377"/>
      <c r="AV213" s="377"/>
      <c r="AW213" s="575"/>
      <c r="AX213" s="377"/>
      <c r="AY213" s="377"/>
      <c r="AZ213" s="377"/>
      <c r="BA213" s="377"/>
      <c r="BB213" s="377"/>
      <c r="BC213" s="377"/>
      <c r="BD213" s="377"/>
      <c r="BE213" s="377"/>
      <c r="BF213" s="377"/>
      <c r="BG213" s="377"/>
      <c r="BH213" s="377"/>
      <c r="BI213" s="377"/>
      <c r="BJ213" s="377"/>
      <c r="BK213" s="377"/>
      <c r="BL213" s="377"/>
      <c r="BM213" s="377"/>
      <c r="BN213" s="576"/>
      <c r="BO213" s="377"/>
      <c r="BP213" s="377"/>
      <c r="BQ213" s="377"/>
      <c r="BR213" s="377"/>
      <c r="BS213" s="377"/>
      <c r="BT213" s="377"/>
      <c r="BU213" s="377"/>
      <c r="BV213" s="377"/>
      <c r="BW213" s="377"/>
      <c r="BX213" s="377"/>
      <c r="BY213" s="377"/>
      <c r="BZ213" s="377"/>
      <c r="CA213" s="377"/>
      <c r="CB213" s="377"/>
      <c r="CC213" s="377"/>
      <c r="CD213" s="377"/>
      <c r="CE213" s="377"/>
      <c r="CF213" s="377"/>
      <c r="CG213" s="377"/>
      <c r="CH213" s="377"/>
      <c r="CI213" s="377"/>
    </row>
    <row r="214" spans="1:87" ht="15">
      <c r="A214" s="377"/>
      <c r="B214" s="377"/>
      <c r="C214" s="572"/>
      <c r="D214" s="377"/>
      <c r="E214" s="377"/>
      <c r="F214" s="377"/>
      <c r="G214" s="377"/>
      <c r="H214" s="573"/>
      <c r="I214" s="377"/>
      <c r="J214" s="377"/>
      <c r="K214" s="377"/>
      <c r="L214" s="377"/>
      <c r="M214" s="377"/>
      <c r="N214" s="377"/>
      <c r="O214" s="377"/>
      <c r="P214" s="377"/>
      <c r="Q214" s="377"/>
      <c r="R214" s="377"/>
      <c r="S214" s="377"/>
      <c r="T214" s="377"/>
      <c r="U214" s="377"/>
      <c r="V214" s="377"/>
      <c r="W214" s="377"/>
      <c r="X214" s="574"/>
      <c r="Y214" s="377"/>
      <c r="Z214" s="377"/>
      <c r="AA214" s="377"/>
      <c r="AB214" s="377"/>
      <c r="AC214" s="377"/>
      <c r="AD214" s="377"/>
      <c r="AE214" s="377"/>
      <c r="AF214" s="377"/>
      <c r="AG214" s="377"/>
      <c r="AH214" s="377"/>
      <c r="AI214" s="377"/>
      <c r="AJ214" s="377"/>
      <c r="AK214" s="377"/>
      <c r="AL214" s="574"/>
      <c r="AM214" s="377"/>
      <c r="AN214" s="377"/>
      <c r="AO214" s="377"/>
      <c r="AP214" s="377"/>
      <c r="AQ214" s="377"/>
      <c r="AR214" s="377"/>
      <c r="AS214" s="377"/>
      <c r="AT214" s="377"/>
      <c r="AU214" s="377"/>
      <c r="AV214" s="377"/>
      <c r="AW214" s="575"/>
      <c r="AX214" s="377"/>
      <c r="AY214" s="377"/>
      <c r="AZ214" s="377"/>
      <c r="BA214" s="377"/>
      <c r="BB214" s="377"/>
      <c r="BC214" s="377"/>
      <c r="BD214" s="377"/>
      <c r="BE214" s="377"/>
      <c r="BF214" s="377"/>
      <c r="BG214" s="377"/>
      <c r="BH214" s="377"/>
      <c r="BI214" s="377"/>
      <c r="BJ214" s="377"/>
      <c r="BK214" s="377"/>
      <c r="BL214" s="377"/>
      <c r="BM214" s="377"/>
      <c r="BN214" s="576"/>
      <c r="BO214" s="377"/>
      <c r="BP214" s="377"/>
      <c r="BQ214" s="377"/>
      <c r="BR214" s="377"/>
      <c r="BS214" s="377"/>
      <c r="BT214" s="377"/>
      <c r="BU214" s="377"/>
      <c r="BV214" s="377"/>
      <c r="BW214" s="377"/>
      <c r="BX214" s="377"/>
      <c r="BY214" s="377"/>
      <c r="BZ214" s="377"/>
      <c r="CA214" s="377"/>
      <c r="CB214" s="377"/>
      <c r="CC214" s="377"/>
      <c r="CD214" s="377"/>
      <c r="CE214" s="377"/>
      <c r="CF214" s="377"/>
      <c r="CG214" s="377"/>
      <c r="CH214" s="377"/>
      <c r="CI214" s="377"/>
    </row>
    <row r="215" spans="1:87" ht="15">
      <c r="A215" s="377"/>
      <c r="B215" s="377"/>
      <c r="C215" s="572"/>
      <c r="D215" s="377"/>
      <c r="E215" s="377"/>
      <c r="F215" s="377"/>
      <c r="G215" s="377"/>
      <c r="H215" s="573"/>
      <c r="I215" s="377"/>
      <c r="J215" s="377"/>
      <c r="K215" s="377"/>
      <c r="L215" s="377"/>
      <c r="M215" s="377"/>
      <c r="N215" s="377"/>
      <c r="O215" s="377"/>
      <c r="P215" s="377"/>
      <c r="Q215" s="377"/>
      <c r="R215" s="377"/>
      <c r="S215" s="377"/>
      <c r="T215" s="377"/>
      <c r="U215" s="377"/>
      <c r="V215" s="377"/>
      <c r="W215" s="377"/>
      <c r="X215" s="574"/>
      <c r="Y215" s="377"/>
      <c r="Z215" s="377"/>
      <c r="AA215" s="377"/>
      <c r="AB215" s="377"/>
      <c r="AC215" s="377"/>
      <c r="AD215" s="377"/>
      <c r="AE215" s="377"/>
      <c r="AF215" s="377"/>
      <c r="AG215" s="377"/>
      <c r="AH215" s="377"/>
      <c r="AI215" s="377"/>
      <c r="AJ215" s="377"/>
      <c r="AK215" s="377"/>
      <c r="AL215" s="574"/>
      <c r="AM215" s="377"/>
      <c r="AN215" s="377"/>
      <c r="AO215" s="377"/>
      <c r="AP215" s="377"/>
      <c r="AQ215" s="377"/>
      <c r="AR215" s="377"/>
      <c r="AS215" s="377"/>
      <c r="AT215" s="377"/>
      <c r="AU215" s="377"/>
      <c r="AV215" s="377"/>
      <c r="AW215" s="575"/>
      <c r="AX215" s="377"/>
      <c r="AY215" s="377"/>
      <c r="AZ215" s="377"/>
      <c r="BA215" s="377"/>
      <c r="BB215" s="377"/>
      <c r="BC215" s="377"/>
      <c r="BD215" s="377"/>
      <c r="BE215" s="377"/>
      <c r="BF215" s="377"/>
      <c r="BG215" s="377"/>
      <c r="BH215" s="377"/>
      <c r="BI215" s="377"/>
      <c r="BJ215" s="377"/>
      <c r="BK215" s="377"/>
      <c r="BL215" s="377"/>
      <c r="BM215" s="377"/>
      <c r="BN215" s="576"/>
      <c r="BO215" s="377"/>
      <c r="BP215" s="377"/>
      <c r="BQ215" s="377"/>
      <c r="BR215" s="377"/>
      <c r="BS215" s="377"/>
      <c r="BT215" s="377"/>
      <c r="BU215" s="377"/>
      <c r="BV215" s="377"/>
      <c r="BW215" s="377"/>
      <c r="BX215" s="377"/>
      <c r="BY215" s="377"/>
      <c r="BZ215" s="377"/>
      <c r="CA215" s="377"/>
      <c r="CB215" s="377"/>
      <c r="CC215" s="377"/>
      <c r="CD215" s="377"/>
      <c r="CE215" s="377"/>
      <c r="CF215" s="377"/>
      <c r="CG215" s="377"/>
      <c r="CH215" s="377"/>
      <c r="CI215" s="377"/>
    </row>
    <row r="216" spans="1:87" ht="15">
      <c r="A216" s="377"/>
      <c r="B216" s="377"/>
      <c r="C216" s="572"/>
      <c r="D216" s="377"/>
      <c r="E216" s="377"/>
      <c r="F216" s="377"/>
      <c r="G216" s="377"/>
      <c r="H216" s="573"/>
      <c r="I216" s="377"/>
      <c r="J216" s="377"/>
      <c r="K216" s="377"/>
      <c r="L216" s="377"/>
      <c r="M216" s="377"/>
      <c r="N216" s="377"/>
      <c r="O216" s="377"/>
      <c r="P216" s="377"/>
      <c r="Q216" s="377"/>
      <c r="R216" s="377"/>
      <c r="S216" s="377"/>
      <c r="T216" s="377"/>
      <c r="U216" s="377"/>
      <c r="V216" s="377"/>
      <c r="W216" s="377"/>
      <c r="X216" s="574"/>
      <c r="Y216" s="377"/>
      <c r="Z216" s="377"/>
      <c r="AA216" s="377"/>
      <c r="AB216" s="377"/>
      <c r="AC216" s="377"/>
      <c r="AD216" s="377"/>
      <c r="AE216" s="377"/>
      <c r="AF216" s="377"/>
      <c r="AG216" s="377"/>
      <c r="AH216" s="377"/>
      <c r="AI216" s="377"/>
      <c r="AJ216" s="377"/>
      <c r="AK216" s="377"/>
      <c r="AL216" s="574"/>
      <c r="AM216" s="377"/>
      <c r="AN216" s="377"/>
      <c r="AO216" s="377"/>
      <c r="AP216" s="377"/>
      <c r="AQ216" s="377"/>
      <c r="AR216" s="377"/>
      <c r="AS216" s="377"/>
      <c r="AT216" s="377"/>
      <c r="AU216" s="377"/>
      <c r="AV216" s="377"/>
      <c r="AW216" s="575"/>
      <c r="AX216" s="377"/>
      <c r="AY216" s="377"/>
      <c r="AZ216" s="377"/>
      <c r="BA216" s="377"/>
      <c r="BB216" s="377"/>
      <c r="BC216" s="377"/>
      <c r="BD216" s="377"/>
      <c r="BE216" s="377"/>
      <c r="BF216" s="377"/>
      <c r="BG216" s="377"/>
      <c r="BH216" s="377"/>
      <c r="BI216" s="377"/>
      <c r="BJ216" s="377"/>
      <c r="BK216" s="377"/>
      <c r="BL216" s="377"/>
      <c r="BM216" s="377"/>
      <c r="BN216" s="576"/>
      <c r="BO216" s="377"/>
      <c r="BP216" s="377"/>
      <c r="BQ216" s="377"/>
      <c r="BR216" s="377"/>
      <c r="BS216" s="377"/>
      <c r="BT216" s="377"/>
      <c r="BU216" s="377"/>
      <c r="BV216" s="377"/>
      <c r="BW216" s="377"/>
      <c r="BX216" s="377"/>
      <c r="BY216" s="377"/>
      <c r="BZ216" s="377"/>
      <c r="CA216" s="377"/>
      <c r="CB216" s="377"/>
      <c r="CC216" s="377"/>
      <c r="CD216" s="377"/>
      <c r="CE216" s="377"/>
      <c r="CF216" s="377"/>
      <c r="CG216" s="377"/>
      <c r="CH216" s="377"/>
      <c r="CI216" s="377"/>
    </row>
    <row r="217" spans="1:87" ht="15">
      <c r="A217" s="377"/>
      <c r="B217" s="377"/>
      <c r="C217" s="572"/>
      <c r="D217" s="377"/>
      <c r="E217" s="377"/>
      <c r="F217" s="377"/>
      <c r="G217" s="377"/>
      <c r="H217" s="573"/>
      <c r="I217" s="377"/>
      <c r="J217" s="377"/>
      <c r="K217" s="377"/>
      <c r="L217" s="377"/>
      <c r="M217" s="377"/>
      <c r="N217" s="377"/>
      <c r="O217" s="377"/>
      <c r="P217" s="377"/>
      <c r="Q217" s="377"/>
      <c r="R217" s="377"/>
      <c r="S217" s="377"/>
      <c r="T217" s="377"/>
      <c r="U217" s="377"/>
      <c r="V217" s="377"/>
      <c r="W217" s="377"/>
      <c r="X217" s="574"/>
      <c r="Y217" s="377"/>
      <c r="Z217" s="377"/>
      <c r="AA217" s="377"/>
      <c r="AB217" s="377"/>
      <c r="AC217" s="377"/>
      <c r="AD217" s="377"/>
      <c r="AE217" s="377"/>
      <c r="AF217" s="377"/>
      <c r="AG217" s="377"/>
      <c r="AH217" s="377"/>
      <c r="AI217" s="377"/>
      <c r="AJ217" s="377"/>
      <c r="AK217" s="377"/>
      <c r="AL217" s="574"/>
      <c r="AM217" s="377"/>
      <c r="AN217" s="377"/>
      <c r="AO217" s="377"/>
      <c r="AP217" s="377"/>
      <c r="AQ217" s="377"/>
      <c r="AR217" s="377"/>
      <c r="AS217" s="377"/>
      <c r="AT217" s="377"/>
      <c r="AU217" s="377"/>
      <c r="AV217" s="377"/>
      <c r="AW217" s="575"/>
      <c r="AX217" s="377"/>
      <c r="AY217" s="377"/>
      <c r="AZ217" s="377"/>
      <c r="BA217" s="377"/>
      <c r="BB217" s="377"/>
      <c r="BC217" s="377"/>
      <c r="BD217" s="377"/>
      <c r="BE217" s="377"/>
      <c r="BF217" s="377"/>
      <c r="BG217" s="377"/>
      <c r="BH217" s="377"/>
      <c r="BI217" s="377"/>
      <c r="BJ217" s="377"/>
      <c r="BK217" s="377"/>
      <c r="BL217" s="377"/>
      <c r="BM217" s="377"/>
      <c r="BN217" s="576"/>
      <c r="BO217" s="377"/>
      <c r="BP217" s="377"/>
      <c r="BQ217" s="377"/>
      <c r="BR217" s="377"/>
      <c r="BS217" s="377"/>
      <c r="BT217" s="377"/>
      <c r="BU217" s="377"/>
      <c r="BV217" s="377"/>
      <c r="BW217" s="377"/>
      <c r="BX217" s="377"/>
      <c r="BY217" s="377"/>
      <c r="BZ217" s="377"/>
      <c r="CA217" s="377"/>
      <c r="CB217" s="377"/>
      <c r="CC217" s="377"/>
      <c r="CD217" s="377"/>
      <c r="CE217" s="377"/>
      <c r="CF217" s="377"/>
      <c r="CG217" s="377"/>
      <c r="CH217" s="377"/>
      <c r="CI217" s="377"/>
    </row>
    <row r="218" spans="1:87" ht="15">
      <c r="A218" s="377"/>
      <c r="B218" s="377"/>
      <c r="C218" s="572"/>
      <c r="D218" s="377"/>
      <c r="E218" s="377"/>
      <c r="F218" s="377"/>
      <c r="G218" s="377"/>
      <c r="H218" s="573"/>
      <c r="I218" s="377"/>
      <c r="J218" s="377"/>
      <c r="K218" s="377"/>
      <c r="L218" s="377"/>
      <c r="M218" s="377"/>
      <c r="N218" s="377"/>
      <c r="O218" s="377"/>
      <c r="P218" s="377"/>
      <c r="Q218" s="377"/>
      <c r="R218" s="377"/>
      <c r="S218" s="377"/>
      <c r="T218" s="377"/>
      <c r="U218" s="377"/>
      <c r="V218" s="377"/>
      <c r="W218" s="377"/>
      <c r="X218" s="574"/>
      <c r="Y218" s="377"/>
      <c r="Z218" s="377"/>
      <c r="AA218" s="377"/>
      <c r="AB218" s="377"/>
      <c r="AC218" s="377"/>
      <c r="AD218" s="377"/>
      <c r="AE218" s="377"/>
      <c r="AF218" s="377"/>
      <c r="AG218" s="377"/>
      <c r="AH218" s="377"/>
      <c r="AI218" s="377"/>
      <c r="AJ218" s="377"/>
      <c r="AK218" s="377"/>
      <c r="AL218" s="574"/>
      <c r="AM218" s="377"/>
      <c r="AN218" s="377"/>
      <c r="AO218" s="377"/>
      <c r="AP218" s="377"/>
      <c r="AQ218" s="377"/>
      <c r="AR218" s="377"/>
      <c r="AS218" s="377"/>
      <c r="AT218" s="377"/>
      <c r="AU218" s="377"/>
      <c r="AV218" s="377"/>
      <c r="AW218" s="575"/>
      <c r="AX218" s="377"/>
      <c r="AY218" s="377"/>
      <c r="AZ218" s="377"/>
      <c r="BA218" s="377"/>
      <c r="BB218" s="377"/>
      <c r="BC218" s="377"/>
      <c r="BD218" s="377"/>
      <c r="BE218" s="377"/>
      <c r="BF218" s="377"/>
      <c r="BG218" s="377"/>
      <c r="BH218" s="377"/>
      <c r="BI218" s="377"/>
      <c r="BJ218" s="377"/>
      <c r="BK218" s="377"/>
      <c r="BL218" s="377"/>
      <c r="BM218" s="377"/>
      <c r="BN218" s="576"/>
      <c r="BO218" s="377"/>
      <c r="BP218" s="377"/>
      <c r="BQ218" s="377"/>
      <c r="BR218" s="377"/>
      <c r="BS218" s="377"/>
      <c r="BT218" s="377"/>
      <c r="BU218" s="377"/>
      <c r="BV218" s="377"/>
      <c r="BW218" s="377"/>
      <c r="BX218" s="377"/>
      <c r="BY218" s="377"/>
      <c r="BZ218" s="377"/>
      <c r="CA218" s="377"/>
      <c r="CB218" s="377"/>
      <c r="CC218" s="377"/>
      <c r="CD218" s="377"/>
      <c r="CE218" s="377"/>
      <c r="CF218" s="377"/>
      <c r="CG218" s="377"/>
      <c r="CH218" s="377"/>
      <c r="CI218" s="377"/>
    </row>
    <row r="219" spans="1:87" ht="15">
      <c r="A219" s="377"/>
      <c r="B219" s="377"/>
      <c r="C219" s="572"/>
      <c r="D219" s="377"/>
      <c r="E219" s="377"/>
      <c r="F219" s="377"/>
      <c r="G219" s="377"/>
      <c r="H219" s="573"/>
      <c r="I219" s="377"/>
      <c r="J219" s="377"/>
      <c r="K219" s="377"/>
      <c r="L219" s="377"/>
      <c r="M219" s="377"/>
      <c r="N219" s="377"/>
      <c r="O219" s="377"/>
      <c r="P219" s="377"/>
      <c r="Q219" s="377"/>
      <c r="R219" s="377"/>
      <c r="S219" s="377"/>
      <c r="T219" s="377"/>
      <c r="U219" s="377"/>
      <c r="V219" s="377"/>
      <c r="W219" s="377"/>
      <c r="X219" s="574"/>
      <c r="Y219" s="377"/>
      <c r="Z219" s="377"/>
      <c r="AA219" s="377"/>
      <c r="AB219" s="377"/>
      <c r="AC219" s="377"/>
      <c r="AD219" s="377"/>
      <c r="AE219" s="377"/>
      <c r="AF219" s="377"/>
      <c r="AG219" s="377"/>
      <c r="AH219" s="377"/>
      <c r="AI219" s="377"/>
      <c r="AJ219" s="377"/>
      <c r="AK219" s="377"/>
      <c r="AL219" s="574"/>
      <c r="AM219" s="377"/>
      <c r="AN219" s="377"/>
      <c r="AO219" s="377"/>
      <c r="AP219" s="377"/>
      <c r="AQ219" s="377"/>
      <c r="AR219" s="377"/>
      <c r="AS219" s="377"/>
      <c r="AT219" s="377"/>
      <c r="AU219" s="377"/>
      <c r="AV219" s="377"/>
      <c r="AW219" s="575"/>
      <c r="AX219" s="377"/>
      <c r="AY219" s="377"/>
      <c r="AZ219" s="377"/>
      <c r="BA219" s="377"/>
      <c r="BB219" s="377"/>
      <c r="BC219" s="377"/>
      <c r="BD219" s="377"/>
      <c r="BE219" s="377"/>
      <c r="BF219" s="377"/>
      <c r="BG219" s="377"/>
      <c r="BH219" s="377"/>
      <c r="BI219" s="377"/>
      <c r="BJ219" s="377"/>
      <c r="BK219" s="377"/>
      <c r="BL219" s="377"/>
      <c r="BM219" s="377"/>
      <c r="BN219" s="576"/>
      <c r="BO219" s="377"/>
      <c r="BP219" s="377"/>
      <c r="BQ219" s="377"/>
      <c r="BR219" s="377"/>
      <c r="BS219" s="377"/>
      <c r="BT219" s="377"/>
      <c r="BU219" s="377"/>
      <c r="BV219" s="377"/>
      <c r="BW219" s="377"/>
      <c r="BX219" s="377"/>
      <c r="BY219" s="377"/>
      <c r="BZ219" s="377"/>
      <c r="CA219" s="377"/>
      <c r="CB219" s="377"/>
      <c r="CC219" s="377"/>
      <c r="CD219" s="377"/>
      <c r="CE219" s="377"/>
      <c r="CF219" s="377"/>
      <c r="CG219" s="377"/>
      <c r="CH219" s="377"/>
      <c r="CI219" s="377"/>
    </row>
    <row r="220" spans="1:87" ht="15">
      <c r="A220" s="377"/>
      <c r="B220" s="377"/>
      <c r="C220" s="572"/>
      <c r="D220" s="377"/>
      <c r="E220" s="377"/>
      <c r="F220" s="377"/>
      <c r="G220" s="377"/>
      <c r="H220" s="573"/>
      <c r="I220" s="377"/>
      <c r="J220" s="377"/>
      <c r="K220" s="377"/>
      <c r="L220" s="377"/>
      <c r="M220" s="377"/>
      <c r="N220" s="377"/>
      <c r="O220" s="377"/>
      <c r="P220" s="377"/>
      <c r="Q220" s="377"/>
      <c r="R220" s="377"/>
      <c r="S220" s="377"/>
      <c r="T220" s="377"/>
      <c r="U220" s="377"/>
      <c r="V220" s="377"/>
      <c r="W220" s="377"/>
      <c r="X220" s="574"/>
      <c r="Y220" s="377"/>
      <c r="Z220" s="377"/>
      <c r="AA220" s="377"/>
      <c r="AB220" s="377"/>
      <c r="AC220" s="377"/>
      <c r="AD220" s="377"/>
      <c r="AE220" s="377"/>
      <c r="AF220" s="377"/>
      <c r="AG220" s="377"/>
      <c r="AH220" s="377"/>
      <c r="AI220" s="377"/>
      <c r="AJ220" s="377"/>
      <c r="AK220" s="377"/>
      <c r="AL220" s="574"/>
      <c r="AM220" s="377"/>
      <c r="AN220" s="377"/>
      <c r="AO220" s="377"/>
      <c r="AP220" s="377"/>
      <c r="AQ220" s="377"/>
      <c r="AR220" s="377"/>
      <c r="AS220" s="377"/>
      <c r="AT220" s="377"/>
      <c r="AU220" s="377"/>
      <c r="AV220" s="377"/>
      <c r="AW220" s="575"/>
      <c r="AX220" s="377"/>
      <c r="AY220" s="377"/>
      <c r="AZ220" s="377"/>
      <c r="BA220" s="377"/>
      <c r="BB220" s="377"/>
      <c r="BC220" s="377"/>
      <c r="BD220" s="377"/>
      <c r="BE220" s="377"/>
      <c r="BF220" s="377"/>
      <c r="BG220" s="377"/>
      <c r="BH220" s="377"/>
      <c r="BI220" s="377"/>
      <c r="BJ220" s="377"/>
      <c r="BK220" s="377"/>
      <c r="BL220" s="377"/>
      <c r="BM220" s="377"/>
      <c r="BN220" s="576"/>
      <c r="BO220" s="377"/>
      <c r="BP220" s="377"/>
      <c r="BQ220" s="377"/>
      <c r="BR220" s="377"/>
      <c r="BS220" s="377"/>
      <c r="BT220" s="377"/>
      <c r="BU220" s="377"/>
      <c r="BV220" s="377"/>
      <c r="BW220" s="377"/>
      <c r="BX220" s="377"/>
      <c r="BY220" s="377"/>
      <c r="BZ220" s="377"/>
      <c r="CA220" s="377"/>
      <c r="CB220" s="377"/>
      <c r="CC220" s="377"/>
      <c r="CD220" s="377"/>
      <c r="CE220" s="377"/>
      <c r="CF220" s="377"/>
      <c r="CG220" s="377"/>
      <c r="CH220" s="377"/>
      <c r="CI220" s="377"/>
    </row>
    <row r="221" spans="1:87" ht="15">
      <c r="A221" s="377"/>
      <c r="B221" s="377"/>
      <c r="C221" s="572"/>
      <c r="D221" s="377"/>
      <c r="E221" s="377"/>
      <c r="F221" s="377"/>
      <c r="G221" s="377"/>
      <c r="H221" s="573"/>
      <c r="I221" s="377"/>
      <c r="J221" s="377"/>
      <c r="K221" s="377"/>
      <c r="L221" s="377"/>
      <c r="M221" s="377"/>
      <c r="N221" s="377"/>
      <c r="O221" s="377"/>
      <c r="P221" s="377"/>
      <c r="Q221" s="377"/>
      <c r="R221" s="377"/>
      <c r="S221" s="377"/>
      <c r="T221" s="377"/>
      <c r="U221" s="377"/>
      <c r="V221" s="377"/>
      <c r="W221" s="377"/>
      <c r="X221" s="574"/>
      <c r="Y221" s="377"/>
      <c r="Z221" s="377"/>
      <c r="AA221" s="377"/>
      <c r="AB221" s="377"/>
      <c r="AC221" s="377"/>
      <c r="AD221" s="377"/>
      <c r="AE221" s="377"/>
      <c r="AF221" s="377"/>
      <c r="AG221" s="377"/>
      <c r="AH221" s="377"/>
      <c r="AI221" s="377"/>
      <c r="AJ221" s="377"/>
      <c r="AK221" s="377"/>
      <c r="AL221" s="574"/>
      <c r="AM221" s="377"/>
      <c r="AN221" s="377"/>
      <c r="AO221" s="377"/>
      <c r="AP221" s="377"/>
      <c r="AQ221" s="377"/>
      <c r="AR221" s="377"/>
      <c r="AS221" s="377"/>
      <c r="AT221" s="377"/>
      <c r="AU221" s="377"/>
      <c r="AV221" s="377"/>
      <c r="AW221" s="575"/>
      <c r="AX221" s="377"/>
      <c r="AY221" s="377"/>
      <c r="AZ221" s="377"/>
      <c r="BA221" s="377"/>
      <c r="BB221" s="377"/>
      <c r="BC221" s="377"/>
      <c r="BD221" s="377"/>
      <c r="BE221" s="377"/>
      <c r="BF221" s="377"/>
      <c r="BG221" s="377"/>
      <c r="BH221" s="377"/>
      <c r="BI221" s="377"/>
      <c r="BJ221" s="377"/>
      <c r="BK221" s="377"/>
      <c r="BL221" s="377"/>
      <c r="BM221" s="377"/>
      <c r="BN221" s="576"/>
      <c r="BO221" s="377"/>
      <c r="BP221" s="377"/>
      <c r="BQ221" s="377"/>
      <c r="BR221" s="377"/>
      <c r="BS221" s="377"/>
      <c r="BT221" s="377"/>
      <c r="BU221" s="377"/>
      <c r="BV221" s="377"/>
      <c r="BW221" s="377"/>
      <c r="BX221" s="377"/>
      <c r="BY221" s="377"/>
      <c r="BZ221" s="377"/>
      <c r="CA221" s="377"/>
      <c r="CB221" s="377"/>
      <c r="CC221" s="377"/>
      <c r="CD221" s="377"/>
      <c r="CE221" s="377"/>
      <c r="CF221" s="377"/>
      <c r="CG221" s="377"/>
      <c r="CH221" s="377"/>
      <c r="CI221" s="377"/>
    </row>
    <row r="222" spans="1:87" ht="15">
      <c r="A222" s="377"/>
      <c r="B222" s="377"/>
      <c r="C222" s="572"/>
      <c r="D222" s="377"/>
      <c r="E222" s="377"/>
      <c r="F222" s="377"/>
      <c r="G222" s="377"/>
      <c r="H222" s="573"/>
      <c r="I222" s="377"/>
      <c r="J222" s="377"/>
      <c r="K222" s="377"/>
      <c r="L222" s="377"/>
      <c r="M222" s="377"/>
      <c r="N222" s="377"/>
      <c r="O222" s="377"/>
      <c r="P222" s="377"/>
      <c r="Q222" s="377"/>
      <c r="R222" s="377"/>
      <c r="S222" s="377"/>
      <c r="T222" s="377"/>
      <c r="U222" s="377"/>
      <c r="V222" s="377"/>
      <c r="W222" s="377"/>
      <c r="X222" s="574"/>
      <c r="Y222" s="377"/>
      <c r="Z222" s="377"/>
      <c r="AA222" s="377"/>
      <c r="AB222" s="377"/>
      <c r="AC222" s="377"/>
      <c r="AD222" s="377"/>
      <c r="AE222" s="377"/>
      <c r="AF222" s="377"/>
      <c r="AG222" s="377"/>
      <c r="AH222" s="377"/>
      <c r="AI222" s="377"/>
      <c r="AJ222" s="377"/>
      <c r="AK222" s="377"/>
      <c r="AL222" s="574"/>
      <c r="AM222" s="377"/>
      <c r="AN222" s="377"/>
      <c r="AO222" s="377"/>
      <c r="AP222" s="377"/>
      <c r="AQ222" s="377"/>
      <c r="AR222" s="377"/>
      <c r="AS222" s="377"/>
      <c r="AT222" s="377"/>
      <c r="AU222" s="377"/>
      <c r="AV222" s="377"/>
      <c r="AW222" s="575"/>
      <c r="AX222" s="377"/>
      <c r="AY222" s="377"/>
      <c r="AZ222" s="377"/>
      <c r="BA222" s="377"/>
      <c r="BB222" s="377"/>
      <c r="BC222" s="377"/>
      <c r="BD222" s="377"/>
      <c r="BE222" s="377"/>
      <c r="BF222" s="377"/>
      <c r="BG222" s="377"/>
      <c r="BH222" s="377"/>
      <c r="BI222" s="377"/>
      <c r="BJ222" s="377"/>
      <c r="BK222" s="377"/>
      <c r="BL222" s="377"/>
      <c r="BM222" s="377"/>
      <c r="BN222" s="576"/>
      <c r="BO222" s="377"/>
      <c r="BP222" s="377"/>
      <c r="BQ222" s="377"/>
      <c r="BR222" s="377"/>
      <c r="BS222" s="377"/>
      <c r="BT222" s="377"/>
      <c r="BU222" s="377"/>
      <c r="BV222" s="377"/>
      <c r="BW222" s="377"/>
      <c r="BX222" s="377"/>
      <c r="BY222" s="377"/>
      <c r="BZ222" s="377"/>
      <c r="CA222" s="377"/>
      <c r="CB222" s="377"/>
      <c r="CC222" s="377"/>
      <c r="CD222" s="377"/>
      <c r="CE222" s="377"/>
      <c r="CF222" s="377"/>
      <c r="CG222" s="377"/>
      <c r="CH222" s="377"/>
      <c r="CI222" s="377"/>
    </row>
    <row r="223" spans="1:87" ht="15">
      <c r="A223" s="377"/>
      <c r="B223" s="377"/>
      <c r="C223" s="572"/>
      <c r="D223" s="377"/>
      <c r="E223" s="377"/>
      <c r="F223" s="377"/>
      <c r="G223" s="377"/>
      <c r="H223" s="573"/>
      <c r="I223" s="377"/>
      <c r="J223" s="377"/>
      <c r="K223" s="377"/>
      <c r="L223" s="377"/>
      <c r="M223" s="377"/>
      <c r="N223" s="377"/>
      <c r="O223" s="377"/>
      <c r="P223" s="377"/>
      <c r="Q223" s="377"/>
      <c r="R223" s="377"/>
      <c r="S223" s="377"/>
      <c r="T223" s="377"/>
      <c r="U223" s="377"/>
      <c r="V223" s="377"/>
      <c r="W223" s="377"/>
      <c r="X223" s="574"/>
      <c r="Y223" s="377"/>
      <c r="Z223" s="377"/>
      <c r="AA223" s="377"/>
      <c r="AB223" s="377"/>
      <c r="AC223" s="377"/>
      <c r="AD223" s="377"/>
      <c r="AE223" s="377"/>
      <c r="AF223" s="377"/>
      <c r="AG223" s="377"/>
      <c r="AH223" s="377"/>
      <c r="AI223" s="377"/>
      <c r="AJ223" s="377"/>
      <c r="AK223" s="377"/>
      <c r="AL223" s="574"/>
      <c r="AM223" s="377"/>
      <c r="AN223" s="377"/>
      <c r="AO223" s="377"/>
      <c r="AP223" s="377"/>
      <c r="AQ223" s="377"/>
      <c r="AR223" s="377"/>
      <c r="AS223" s="377"/>
      <c r="AT223" s="377"/>
      <c r="AU223" s="377"/>
      <c r="AV223" s="377"/>
      <c r="AW223" s="575"/>
      <c r="AX223" s="377"/>
      <c r="AY223" s="377"/>
      <c r="AZ223" s="377"/>
      <c r="BA223" s="377"/>
      <c r="BB223" s="377"/>
      <c r="BC223" s="377"/>
      <c r="BD223" s="377"/>
      <c r="BE223" s="377"/>
      <c r="BF223" s="377"/>
      <c r="BG223" s="377"/>
      <c r="BH223" s="377"/>
      <c r="BI223" s="377"/>
      <c r="BJ223" s="377"/>
      <c r="BK223" s="377"/>
      <c r="BL223" s="377"/>
      <c r="BM223" s="377"/>
      <c r="BN223" s="576"/>
      <c r="BO223" s="377"/>
      <c r="BP223" s="377"/>
      <c r="BQ223" s="377"/>
      <c r="BR223" s="377"/>
      <c r="BS223" s="377"/>
      <c r="BT223" s="377"/>
      <c r="BU223" s="377"/>
      <c r="BV223" s="377"/>
      <c r="BW223" s="377"/>
      <c r="BX223" s="377"/>
      <c r="BY223" s="377"/>
      <c r="BZ223" s="377"/>
      <c r="CA223" s="377"/>
      <c r="CB223" s="377"/>
      <c r="CC223" s="377"/>
      <c r="CD223" s="377"/>
      <c r="CE223" s="377"/>
      <c r="CF223" s="377"/>
      <c r="CG223" s="377"/>
      <c r="CH223" s="377"/>
      <c r="CI223" s="377"/>
    </row>
    <row r="224" spans="1:87" ht="15">
      <c r="A224" s="377"/>
      <c r="B224" s="377"/>
      <c r="C224" s="572"/>
      <c r="D224" s="377"/>
      <c r="E224" s="377"/>
      <c r="F224" s="377"/>
      <c r="G224" s="377"/>
      <c r="H224" s="573"/>
      <c r="I224" s="377"/>
      <c r="J224" s="377"/>
      <c r="K224" s="377"/>
      <c r="L224" s="377"/>
      <c r="M224" s="377"/>
      <c r="N224" s="377"/>
      <c r="O224" s="377"/>
      <c r="P224" s="377"/>
      <c r="Q224" s="377"/>
      <c r="R224" s="377"/>
      <c r="S224" s="377"/>
      <c r="T224" s="377"/>
      <c r="U224" s="377"/>
      <c r="V224" s="377"/>
      <c r="W224" s="377"/>
      <c r="X224" s="574"/>
      <c r="Y224" s="377"/>
      <c r="Z224" s="377"/>
      <c r="AA224" s="377"/>
      <c r="AB224" s="377"/>
      <c r="AC224" s="377"/>
      <c r="AD224" s="377"/>
      <c r="AE224" s="377"/>
      <c r="AF224" s="377"/>
      <c r="AG224" s="377"/>
      <c r="AH224" s="377"/>
      <c r="AI224" s="377"/>
      <c r="AJ224" s="377"/>
      <c r="AK224" s="377"/>
      <c r="AL224" s="574"/>
      <c r="AM224" s="377"/>
      <c r="AN224" s="377"/>
      <c r="AO224" s="377"/>
      <c r="AP224" s="377"/>
      <c r="AQ224" s="377"/>
      <c r="AR224" s="377"/>
      <c r="AS224" s="377"/>
      <c r="AT224" s="377"/>
      <c r="AU224" s="377"/>
      <c r="AV224" s="377"/>
      <c r="AW224" s="575"/>
      <c r="AX224" s="377"/>
      <c r="AY224" s="377"/>
      <c r="AZ224" s="377"/>
      <c r="BA224" s="377"/>
      <c r="BB224" s="377"/>
      <c r="BC224" s="377"/>
      <c r="BD224" s="377"/>
      <c r="BE224" s="377"/>
      <c r="BF224" s="377"/>
      <c r="BG224" s="377"/>
      <c r="BH224" s="377"/>
      <c r="BI224" s="377"/>
      <c r="BJ224" s="377"/>
      <c r="BK224" s="377"/>
      <c r="BL224" s="377"/>
      <c r="BM224" s="377"/>
      <c r="BN224" s="576"/>
      <c r="BO224" s="377"/>
      <c r="BP224" s="377"/>
      <c r="BQ224" s="377"/>
      <c r="BR224" s="377"/>
      <c r="BS224" s="377"/>
      <c r="BT224" s="377"/>
      <c r="BU224" s="377"/>
      <c r="BV224" s="377"/>
      <c r="BW224" s="377"/>
      <c r="BX224" s="377"/>
      <c r="BY224" s="377"/>
      <c r="BZ224" s="377"/>
      <c r="CA224" s="377"/>
      <c r="CB224" s="377"/>
      <c r="CC224" s="377"/>
      <c r="CD224" s="377"/>
      <c r="CE224" s="377"/>
      <c r="CF224" s="377"/>
      <c r="CG224" s="377"/>
      <c r="CH224" s="377"/>
      <c r="CI224" s="377"/>
    </row>
    <row r="225" spans="1:87" ht="15">
      <c r="A225" s="377"/>
      <c r="B225" s="377"/>
      <c r="C225" s="572"/>
      <c r="D225" s="377"/>
      <c r="E225" s="377"/>
      <c r="F225" s="377"/>
      <c r="G225" s="377"/>
      <c r="H225" s="573"/>
      <c r="I225" s="377"/>
      <c r="J225" s="377"/>
      <c r="K225" s="377"/>
      <c r="L225" s="377"/>
      <c r="M225" s="377"/>
      <c r="N225" s="377"/>
      <c r="O225" s="377"/>
      <c r="P225" s="377"/>
      <c r="Q225" s="377"/>
      <c r="R225" s="377"/>
      <c r="S225" s="377"/>
      <c r="T225" s="377"/>
      <c r="U225" s="377"/>
      <c r="V225" s="377"/>
      <c r="W225" s="377"/>
      <c r="X225" s="574"/>
      <c r="Y225" s="377"/>
      <c r="Z225" s="377"/>
      <c r="AA225" s="377"/>
      <c r="AB225" s="377"/>
      <c r="AC225" s="377"/>
      <c r="AD225" s="377"/>
      <c r="AE225" s="377"/>
      <c r="AF225" s="377"/>
      <c r="AG225" s="377"/>
      <c r="AH225" s="377"/>
      <c r="AI225" s="377"/>
      <c r="AJ225" s="377"/>
      <c r="AK225" s="377"/>
      <c r="AL225" s="574"/>
      <c r="AM225" s="377"/>
      <c r="AN225" s="377"/>
      <c r="AO225" s="377"/>
      <c r="AP225" s="377"/>
      <c r="AQ225" s="377"/>
      <c r="AR225" s="377"/>
      <c r="AS225" s="377"/>
      <c r="AT225" s="377"/>
      <c r="AU225" s="377"/>
      <c r="AV225" s="377"/>
      <c r="AW225" s="575"/>
      <c r="AX225" s="377"/>
      <c r="AY225" s="377"/>
      <c r="AZ225" s="377"/>
      <c r="BA225" s="377"/>
      <c r="BB225" s="377"/>
      <c r="BC225" s="377"/>
      <c r="BD225" s="377"/>
      <c r="BE225" s="377"/>
      <c r="BF225" s="377"/>
      <c r="BG225" s="377"/>
      <c r="BH225" s="377"/>
      <c r="BI225" s="377"/>
      <c r="BJ225" s="377"/>
      <c r="BK225" s="377"/>
      <c r="BL225" s="377"/>
      <c r="BM225" s="377"/>
      <c r="BN225" s="576"/>
      <c r="BO225" s="377"/>
      <c r="BP225" s="377"/>
      <c r="BQ225" s="377"/>
      <c r="BR225" s="377"/>
      <c r="BS225" s="377"/>
      <c r="BT225" s="377"/>
      <c r="BU225" s="377"/>
      <c r="BV225" s="377"/>
      <c r="BW225" s="377"/>
      <c r="BX225" s="377"/>
      <c r="BY225" s="377"/>
      <c r="BZ225" s="377"/>
      <c r="CA225" s="377"/>
      <c r="CB225" s="377"/>
      <c r="CC225" s="377"/>
      <c r="CD225" s="377"/>
      <c r="CE225" s="377"/>
      <c r="CF225" s="377"/>
      <c r="CG225" s="377"/>
      <c r="CH225" s="377"/>
      <c r="CI225" s="377"/>
    </row>
    <row r="226" spans="1:87" ht="15">
      <c r="A226" s="377"/>
      <c r="B226" s="377"/>
      <c r="C226" s="572"/>
      <c r="D226" s="377"/>
      <c r="E226" s="377"/>
      <c r="F226" s="377"/>
      <c r="G226" s="377"/>
      <c r="H226" s="573"/>
      <c r="I226" s="377"/>
      <c r="J226" s="377"/>
      <c r="K226" s="377"/>
      <c r="L226" s="377"/>
      <c r="M226" s="377"/>
      <c r="N226" s="377"/>
      <c r="O226" s="377"/>
      <c r="P226" s="377"/>
      <c r="Q226" s="377"/>
      <c r="R226" s="377"/>
      <c r="S226" s="377"/>
      <c r="T226" s="377"/>
      <c r="U226" s="377"/>
      <c r="V226" s="377"/>
      <c r="W226" s="377"/>
      <c r="X226" s="574"/>
      <c r="Y226" s="377"/>
      <c r="Z226" s="377"/>
      <c r="AA226" s="377"/>
      <c r="AB226" s="377"/>
      <c r="AC226" s="377"/>
      <c r="AD226" s="377"/>
      <c r="AE226" s="377"/>
      <c r="AF226" s="377"/>
      <c r="AG226" s="377"/>
      <c r="AH226" s="377"/>
      <c r="AI226" s="377"/>
      <c r="AJ226" s="377"/>
      <c r="AK226" s="377"/>
      <c r="AL226" s="574"/>
      <c r="AM226" s="377"/>
      <c r="AN226" s="377"/>
      <c r="AO226" s="377"/>
      <c r="AP226" s="377"/>
      <c r="AQ226" s="377"/>
      <c r="AR226" s="377"/>
      <c r="AS226" s="377"/>
      <c r="AT226" s="377"/>
      <c r="AU226" s="377"/>
      <c r="AV226" s="377"/>
      <c r="AW226" s="575"/>
      <c r="AX226" s="377"/>
      <c r="AY226" s="377"/>
      <c r="AZ226" s="377"/>
      <c r="BA226" s="377"/>
      <c r="BB226" s="377"/>
      <c r="BC226" s="377"/>
      <c r="BD226" s="377"/>
      <c r="BE226" s="377"/>
      <c r="BF226" s="377"/>
      <c r="BG226" s="377"/>
      <c r="BH226" s="377"/>
      <c r="BI226" s="377"/>
      <c r="BJ226" s="377"/>
      <c r="BK226" s="377"/>
      <c r="BL226" s="377"/>
      <c r="BM226" s="377"/>
      <c r="BN226" s="576"/>
      <c r="BO226" s="377"/>
      <c r="BP226" s="377"/>
      <c r="BQ226" s="377"/>
      <c r="BR226" s="377"/>
      <c r="BS226" s="377"/>
      <c r="BT226" s="377"/>
      <c r="BU226" s="377"/>
      <c r="BV226" s="377"/>
      <c r="BW226" s="377"/>
      <c r="BX226" s="377"/>
      <c r="BY226" s="377"/>
      <c r="BZ226" s="377"/>
      <c r="CA226" s="377"/>
      <c r="CB226" s="377"/>
      <c r="CC226" s="377"/>
      <c r="CD226" s="377"/>
      <c r="CE226" s="377"/>
      <c r="CF226" s="377"/>
      <c r="CG226" s="377"/>
      <c r="CH226" s="377"/>
      <c r="CI226" s="377"/>
    </row>
    <row r="227" spans="1:87" ht="15">
      <c r="A227" s="377"/>
      <c r="B227" s="377"/>
      <c r="C227" s="572"/>
      <c r="D227" s="377"/>
      <c r="E227" s="377"/>
      <c r="F227" s="377"/>
      <c r="G227" s="377"/>
      <c r="H227" s="573"/>
      <c r="I227" s="377"/>
      <c r="J227" s="377"/>
      <c r="K227" s="377"/>
      <c r="L227" s="377"/>
      <c r="M227" s="377"/>
      <c r="N227" s="377"/>
      <c r="O227" s="377"/>
      <c r="P227" s="377"/>
      <c r="Q227" s="377"/>
      <c r="R227" s="377"/>
      <c r="S227" s="377"/>
      <c r="T227" s="377"/>
      <c r="U227" s="377"/>
      <c r="V227" s="377"/>
      <c r="W227" s="377"/>
      <c r="X227" s="574"/>
      <c r="Y227" s="377"/>
      <c r="Z227" s="377"/>
      <c r="AA227" s="377"/>
      <c r="AB227" s="377"/>
      <c r="AC227" s="377"/>
      <c r="AD227" s="377"/>
      <c r="AE227" s="377"/>
      <c r="AF227" s="377"/>
      <c r="AG227" s="377"/>
      <c r="AH227" s="377"/>
      <c r="AI227" s="377"/>
      <c r="AJ227" s="377"/>
      <c r="AK227" s="377"/>
      <c r="AL227" s="574"/>
      <c r="AM227" s="377"/>
      <c r="AN227" s="377"/>
      <c r="AO227" s="377"/>
      <c r="AP227" s="377"/>
      <c r="AQ227" s="377"/>
      <c r="AR227" s="377"/>
      <c r="AS227" s="377"/>
      <c r="AT227" s="377"/>
      <c r="AU227" s="377"/>
      <c r="AV227" s="377"/>
      <c r="AW227" s="575"/>
      <c r="AX227" s="377"/>
      <c r="AY227" s="377"/>
      <c r="AZ227" s="377"/>
      <c r="BA227" s="377"/>
      <c r="BB227" s="377"/>
      <c r="BC227" s="377"/>
      <c r="BD227" s="377"/>
      <c r="BE227" s="377"/>
      <c r="BF227" s="377"/>
      <c r="BG227" s="377"/>
      <c r="BH227" s="377"/>
      <c r="BI227" s="377"/>
      <c r="BJ227" s="377"/>
      <c r="BK227" s="377"/>
      <c r="BL227" s="377"/>
      <c r="BM227" s="377"/>
      <c r="BN227" s="576"/>
      <c r="BO227" s="377"/>
      <c r="BP227" s="377"/>
      <c r="BQ227" s="377"/>
      <c r="BR227" s="377"/>
      <c r="BS227" s="377"/>
      <c r="BT227" s="377"/>
      <c r="BU227" s="377"/>
      <c r="BV227" s="377"/>
      <c r="BW227" s="377"/>
      <c r="BX227" s="377"/>
      <c r="BY227" s="377"/>
      <c r="BZ227" s="377"/>
      <c r="CA227" s="377"/>
      <c r="CB227" s="377"/>
      <c r="CC227" s="377"/>
      <c r="CD227" s="377"/>
      <c r="CE227" s="377"/>
      <c r="CF227" s="377"/>
      <c r="CG227" s="377"/>
      <c r="CH227" s="377"/>
      <c r="CI227" s="377"/>
    </row>
    <row r="228" spans="1:87" ht="15">
      <c r="A228" s="377"/>
      <c r="B228" s="377"/>
      <c r="C228" s="572"/>
      <c r="D228" s="377"/>
      <c r="E228" s="377"/>
      <c r="F228" s="377"/>
      <c r="G228" s="377"/>
      <c r="H228" s="573"/>
      <c r="I228" s="377"/>
      <c r="J228" s="377"/>
      <c r="K228" s="377"/>
      <c r="L228" s="377"/>
      <c r="M228" s="377"/>
      <c r="N228" s="377"/>
      <c r="O228" s="377"/>
      <c r="P228" s="377"/>
      <c r="Q228" s="377"/>
      <c r="R228" s="377"/>
      <c r="S228" s="377"/>
      <c r="T228" s="377"/>
      <c r="U228" s="377"/>
      <c r="V228" s="377"/>
      <c r="W228" s="377"/>
      <c r="X228" s="574"/>
      <c r="Y228" s="377"/>
      <c r="Z228" s="377"/>
      <c r="AA228" s="377"/>
      <c r="AB228" s="377"/>
      <c r="AC228" s="377"/>
      <c r="AD228" s="377"/>
      <c r="AE228" s="377"/>
      <c r="AF228" s="377"/>
      <c r="AG228" s="377"/>
      <c r="AH228" s="377"/>
      <c r="AI228" s="377"/>
      <c r="AJ228" s="377"/>
      <c r="AK228" s="377"/>
      <c r="AL228" s="574"/>
      <c r="AM228" s="377"/>
      <c r="AN228" s="377"/>
      <c r="AO228" s="377"/>
      <c r="AP228" s="377"/>
      <c r="AQ228" s="377"/>
      <c r="AR228" s="377"/>
      <c r="AS228" s="377"/>
      <c r="AT228" s="377"/>
      <c r="AU228" s="377"/>
      <c r="AV228" s="377"/>
      <c r="AW228" s="575"/>
      <c r="AX228" s="377"/>
      <c r="AY228" s="377"/>
      <c r="AZ228" s="377"/>
      <c r="BA228" s="377"/>
      <c r="BB228" s="377"/>
      <c r="BC228" s="377"/>
      <c r="BD228" s="377"/>
      <c r="BE228" s="377"/>
      <c r="BF228" s="377"/>
      <c r="BG228" s="377"/>
      <c r="BH228" s="377"/>
      <c r="BI228" s="377"/>
      <c r="BJ228" s="377"/>
      <c r="BK228" s="377"/>
      <c r="BL228" s="377"/>
      <c r="BM228" s="377"/>
      <c r="BN228" s="576"/>
      <c r="BO228" s="377"/>
      <c r="BP228" s="377"/>
      <c r="BQ228" s="377"/>
      <c r="BR228" s="377"/>
      <c r="BS228" s="377"/>
      <c r="BT228" s="377"/>
      <c r="BU228" s="377"/>
      <c r="BV228" s="377"/>
      <c r="BW228" s="377"/>
      <c r="BX228" s="377"/>
      <c r="BY228" s="377"/>
      <c r="BZ228" s="377"/>
      <c r="CA228" s="377"/>
      <c r="CB228" s="377"/>
      <c r="CC228" s="377"/>
      <c r="CD228" s="377"/>
      <c r="CE228" s="377"/>
      <c r="CF228" s="377"/>
      <c r="CG228" s="377"/>
      <c r="CH228" s="377"/>
      <c r="CI228" s="377"/>
    </row>
    <row r="229" spans="1:87" ht="15">
      <c r="A229" s="377"/>
      <c r="B229" s="377"/>
      <c r="C229" s="572"/>
      <c r="D229" s="377"/>
      <c r="E229" s="377"/>
      <c r="F229" s="377"/>
      <c r="G229" s="377"/>
      <c r="H229" s="573"/>
      <c r="I229" s="377"/>
      <c r="J229" s="377"/>
      <c r="K229" s="377"/>
      <c r="L229" s="377"/>
      <c r="M229" s="377"/>
      <c r="N229" s="377"/>
      <c r="O229" s="377"/>
      <c r="P229" s="377"/>
      <c r="Q229" s="377"/>
      <c r="R229" s="377"/>
      <c r="S229" s="377"/>
      <c r="T229" s="377"/>
      <c r="U229" s="377"/>
      <c r="V229" s="377"/>
      <c r="W229" s="377"/>
      <c r="X229" s="574"/>
      <c r="Y229" s="377"/>
      <c r="Z229" s="377"/>
      <c r="AA229" s="377"/>
      <c r="AB229" s="377"/>
      <c r="AC229" s="377"/>
      <c r="AD229" s="377"/>
      <c r="AE229" s="377"/>
      <c r="AF229" s="377"/>
      <c r="AG229" s="377"/>
      <c r="AH229" s="377"/>
      <c r="AI229" s="377"/>
      <c r="AJ229" s="377"/>
      <c r="AK229" s="377"/>
      <c r="AL229" s="574"/>
      <c r="AM229" s="377"/>
      <c r="AN229" s="377"/>
      <c r="AO229" s="377"/>
      <c r="AP229" s="377"/>
      <c r="AQ229" s="377"/>
      <c r="AR229" s="377"/>
      <c r="AS229" s="377"/>
      <c r="AT229" s="377"/>
      <c r="AU229" s="377"/>
      <c r="AV229" s="377"/>
      <c r="AW229" s="575"/>
      <c r="AX229" s="377"/>
      <c r="AY229" s="377"/>
      <c r="AZ229" s="377"/>
      <c r="BA229" s="377"/>
      <c r="BB229" s="377"/>
      <c r="BC229" s="377"/>
      <c r="BD229" s="377"/>
      <c r="BE229" s="377"/>
      <c r="BF229" s="377"/>
      <c r="BG229" s="377"/>
      <c r="BH229" s="377"/>
      <c r="BI229" s="377"/>
      <c r="BJ229" s="377"/>
      <c r="BK229" s="377"/>
      <c r="BL229" s="377"/>
      <c r="BM229" s="377"/>
      <c r="BN229" s="576"/>
      <c r="BO229" s="377"/>
      <c r="BP229" s="377"/>
      <c r="BQ229" s="377"/>
      <c r="BR229" s="377"/>
      <c r="BS229" s="377"/>
      <c r="BT229" s="377"/>
      <c r="BU229" s="377"/>
      <c r="BV229" s="377"/>
      <c r="BW229" s="377"/>
      <c r="BX229" s="377"/>
      <c r="BY229" s="377"/>
      <c r="BZ229" s="377"/>
      <c r="CA229" s="377"/>
      <c r="CB229" s="377"/>
      <c r="CC229" s="377"/>
      <c r="CD229" s="377"/>
      <c r="CE229" s="377"/>
      <c r="CF229" s="377"/>
      <c r="CG229" s="377"/>
      <c r="CH229" s="377"/>
      <c r="CI229" s="377"/>
    </row>
    <row r="230" spans="1:87" ht="15">
      <c r="A230" s="377"/>
      <c r="B230" s="377"/>
      <c r="C230" s="572"/>
      <c r="D230" s="377"/>
      <c r="E230" s="377"/>
      <c r="F230" s="377"/>
      <c r="G230" s="377"/>
      <c r="H230" s="573"/>
      <c r="I230" s="377"/>
      <c r="J230" s="377"/>
      <c r="K230" s="377"/>
      <c r="L230" s="377"/>
      <c r="M230" s="377"/>
      <c r="N230" s="377"/>
      <c r="O230" s="377"/>
      <c r="P230" s="377"/>
      <c r="Q230" s="377"/>
      <c r="R230" s="377"/>
      <c r="S230" s="377"/>
      <c r="T230" s="377"/>
      <c r="U230" s="377"/>
      <c r="V230" s="377"/>
      <c r="W230" s="377"/>
      <c r="X230" s="574"/>
      <c r="Y230" s="377"/>
      <c r="Z230" s="377"/>
      <c r="AA230" s="377"/>
      <c r="AB230" s="377"/>
      <c r="AC230" s="377"/>
      <c r="AD230" s="377"/>
      <c r="AE230" s="377"/>
      <c r="AF230" s="377"/>
      <c r="AG230" s="377"/>
      <c r="AH230" s="377"/>
      <c r="AI230" s="377"/>
      <c r="AJ230" s="377"/>
      <c r="AK230" s="377"/>
      <c r="AL230" s="574"/>
      <c r="AM230" s="377"/>
      <c r="AN230" s="377"/>
      <c r="AO230" s="377"/>
      <c r="AP230" s="377"/>
      <c r="AQ230" s="377"/>
      <c r="AR230" s="377"/>
      <c r="AS230" s="377"/>
      <c r="AT230" s="377"/>
      <c r="AU230" s="377"/>
      <c r="AV230" s="377"/>
      <c r="AW230" s="575"/>
      <c r="AX230" s="377"/>
      <c r="AY230" s="377"/>
      <c r="AZ230" s="377"/>
      <c r="BA230" s="377"/>
      <c r="BB230" s="377"/>
      <c r="BC230" s="377"/>
      <c r="BD230" s="377"/>
      <c r="BE230" s="377"/>
      <c r="BF230" s="377"/>
      <c r="BG230" s="377"/>
      <c r="BH230" s="377"/>
      <c r="BI230" s="377"/>
      <c r="BJ230" s="377"/>
      <c r="BK230" s="377"/>
      <c r="BL230" s="377"/>
      <c r="BM230" s="377"/>
      <c r="BN230" s="576"/>
      <c r="BO230" s="377"/>
      <c r="BP230" s="377"/>
      <c r="BQ230" s="377"/>
      <c r="BR230" s="377"/>
      <c r="BS230" s="377"/>
      <c r="BT230" s="377"/>
      <c r="BU230" s="377"/>
      <c r="BV230" s="377"/>
      <c r="BW230" s="377"/>
      <c r="BX230" s="377"/>
      <c r="BY230" s="377"/>
      <c r="BZ230" s="377"/>
      <c r="CA230" s="377"/>
      <c r="CB230" s="377"/>
      <c r="CC230" s="377"/>
      <c r="CD230" s="377"/>
      <c r="CE230" s="377"/>
      <c r="CF230" s="377"/>
      <c r="CG230" s="377"/>
      <c r="CH230" s="377"/>
      <c r="CI230" s="377"/>
    </row>
    <row r="231" spans="1:87" ht="15">
      <c r="A231" s="377"/>
      <c r="B231" s="377"/>
      <c r="C231" s="572"/>
      <c r="D231" s="377"/>
      <c r="E231" s="377"/>
      <c r="F231" s="377"/>
      <c r="G231" s="377"/>
      <c r="H231" s="573"/>
      <c r="I231" s="377"/>
      <c r="J231" s="377"/>
      <c r="K231" s="377"/>
      <c r="L231" s="377"/>
      <c r="M231" s="377"/>
      <c r="N231" s="377"/>
      <c r="O231" s="377"/>
      <c r="P231" s="377"/>
      <c r="Q231" s="377"/>
      <c r="R231" s="377"/>
      <c r="S231" s="377"/>
      <c r="T231" s="377"/>
      <c r="U231" s="377"/>
      <c r="V231" s="377"/>
      <c r="W231" s="377"/>
      <c r="X231" s="574"/>
      <c r="Y231" s="377"/>
      <c r="Z231" s="377"/>
      <c r="AA231" s="377"/>
      <c r="AB231" s="377"/>
      <c r="AC231" s="377"/>
      <c r="AD231" s="377"/>
      <c r="AE231" s="377"/>
      <c r="AF231" s="377"/>
      <c r="AG231" s="377"/>
      <c r="AH231" s="377"/>
      <c r="AI231" s="377"/>
      <c r="AJ231" s="377"/>
      <c r="AK231" s="377"/>
      <c r="AL231" s="574"/>
      <c r="AM231" s="377"/>
      <c r="AN231" s="377"/>
      <c r="AO231" s="377"/>
      <c r="AP231" s="377"/>
      <c r="AQ231" s="377"/>
      <c r="AR231" s="377"/>
      <c r="AS231" s="377"/>
      <c r="AT231" s="377"/>
      <c r="AU231" s="377"/>
      <c r="AV231" s="377"/>
      <c r="AW231" s="575"/>
      <c r="AX231" s="377"/>
      <c r="AY231" s="377"/>
      <c r="AZ231" s="377"/>
      <c r="BA231" s="377"/>
      <c r="BB231" s="377"/>
      <c r="BC231" s="377"/>
      <c r="BD231" s="377"/>
      <c r="BE231" s="377"/>
      <c r="BF231" s="377"/>
      <c r="BG231" s="377"/>
      <c r="BH231" s="377"/>
      <c r="BI231" s="377"/>
      <c r="BJ231" s="377"/>
      <c r="BK231" s="377"/>
      <c r="BL231" s="377"/>
      <c r="BM231" s="377"/>
      <c r="BN231" s="576"/>
      <c r="BO231" s="377"/>
      <c r="BP231" s="377"/>
      <c r="BQ231" s="377"/>
      <c r="BR231" s="377"/>
      <c r="BS231" s="377"/>
      <c r="BT231" s="377"/>
      <c r="BU231" s="377"/>
      <c r="BV231" s="377"/>
      <c r="BW231" s="377"/>
      <c r="BX231" s="377"/>
      <c r="BY231" s="377"/>
      <c r="BZ231" s="377"/>
      <c r="CA231" s="377"/>
      <c r="CB231" s="377"/>
      <c r="CC231" s="377"/>
      <c r="CD231" s="377"/>
      <c r="CE231" s="377"/>
      <c r="CF231" s="377"/>
      <c r="CG231" s="377"/>
      <c r="CH231" s="377"/>
      <c r="CI231" s="377"/>
    </row>
    <row r="232" spans="1:87" ht="15">
      <c r="A232" s="377"/>
      <c r="B232" s="377"/>
      <c r="C232" s="572"/>
      <c r="D232" s="377"/>
      <c r="E232" s="377"/>
      <c r="F232" s="377"/>
      <c r="G232" s="377"/>
      <c r="H232" s="573"/>
      <c r="I232" s="377"/>
      <c r="J232" s="377"/>
      <c r="K232" s="377"/>
      <c r="L232" s="377"/>
      <c r="M232" s="377"/>
      <c r="N232" s="377"/>
      <c r="O232" s="377"/>
      <c r="P232" s="377"/>
      <c r="Q232" s="377"/>
      <c r="R232" s="377"/>
      <c r="S232" s="377"/>
      <c r="T232" s="377"/>
      <c r="U232" s="377"/>
      <c r="V232" s="377"/>
      <c r="W232" s="377"/>
      <c r="X232" s="574"/>
      <c r="Y232" s="377"/>
      <c r="Z232" s="377"/>
      <c r="AA232" s="377"/>
      <c r="AB232" s="377"/>
      <c r="AC232" s="377"/>
      <c r="AD232" s="377"/>
      <c r="AE232" s="377"/>
      <c r="AF232" s="377"/>
      <c r="AG232" s="377"/>
      <c r="AH232" s="377"/>
      <c r="AI232" s="377"/>
      <c r="AJ232" s="377"/>
      <c r="AK232" s="377"/>
      <c r="AL232" s="574"/>
      <c r="AM232" s="377"/>
      <c r="AN232" s="377"/>
      <c r="AO232" s="377"/>
      <c r="AP232" s="377"/>
      <c r="AQ232" s="377"/>
      <c r="AR232" s="377"/>
      <c r="AS232" s="377"/>
      <c r="AT232" s="377"/>
      <c r="AU232" s="377"/>
      <c r="AV232" s="377"/>
      <c r="AW232" s="575"/>
      <c r="AX232" s="377"/>
      <c r="AY232" s="377"/>
      <c r="AZ232" s="377"/>
      <c r="BA232" s="377"/>
      <c r="BB232" s="377"/>
      <c r="BC232" s="377"/>
      <c r="BD232" s="377"/>
      <c r="BE232" s="377"/>
      <c r="BF232" s="377"/>
      <c r="BG232" s="377"/>
      <c r="BH232" s="377"/>
      <c r="BI232" s="377"/>
      <c r="BJ232" s="377"/>
      <c r="BK232" s="377"/>
      <c r="BL232" s="377"/>
      <c r="BM232" s="377"/>
      <c r="BN232" s="576"/>
      <c r="BO232" s="377"/>
      <c r="BP232" s="377"/>
      <c r="BQ232" s="377"/>
      <c r="BR232" s="377"/>
      <c r="BS232" s="377"/>
      <c r="BT232" s="377"/>
      <c r="BU232" s="377"/>
      <c r="BV232" s="377"/>
      <c r="BW232" s="377"/>
      <c r="BX232" s="377"/>
      <c r="BY232" s="377"/>
      <c r="BZ232" s="377"/>
      <c r="CA232" s="377"/>
      <c r="CB232" s="377"/>
      <c r="CC232" s="377"/>
      <c r="CD232" s="377"/>
      <c r="CE232" s="377"/>
      <c r="CF232" s="377"/>
      <c r="CG232" s="377"/>
      <c r="CH232" s="377"/>
      <c r="CI232" s="377"/>
    </row>
    <row r="233" spans="1:87" ht="15">
      <c r="A233" s="377"/>
      <c r="B233" s="377"/>
      <c r="C233" s="572"/>
      <c r="D233" s="377"/>
      <c r="E233" s="377"/>
      <c r="F233" s="377"/>
      <c r="G233" s="377"/>
      <c r="H233" s="573"/>
      <c r="I233" s="377"/>
      <c r="J233" s="377"/>
      <c r="K233" s="377"/>
      <c r="L233" s="377"/>
      <c r="M233" s="377"/>
      <c r="N233" s="377"/>
      <c r="O233" s="377"/>
      <c r="P233" s="377"/>
      <c r="Q233" s="377"/>
      <c r="R233" s="377"/>
      <c r="S233" s="377"/>
      <c r="T233" s="377"/>
      <c r="U233" s="377"/>
      <c r="V233" s="377"/>
      <c r="W233" s="377"/>
      <c r="X233" s="574"/>
      <c r="Y233" s="377"/>
      <c r="Z233" s="377"/>
      <c r="AA233" s="377"/>
      <c r="AB233" s="377"/>
      <c r="AC233" s="377"/>
      <c r="AD233" s="377"/>
      <c r="AE233" s="377"/>
      <c r="AF233" s="377"/>
      <c r="AG233" s="377"/>
      <c r="AH233" s="377"/>
      <c r="AI233" s="377"/>
      <c r="AJ233" s="377"/>
      <c r="AK233" s="377"/>
      <c r="AL233" s="574"/>
      <c r="AM233" s="377"/>
      <c r="AN233" s="377"/>
      <c r="AO233" s="377"/>
      <c r="AP233" s="377"/>
      <c r="AQ233" s="377"/>
      <c r="AR233" s="377"/>
      <c r="AS233" s="377"/>
      <c r="AT233" s="377"/>
      <c r="AU233" s="377"/>
      <c r="AV233" s="377"/>
      <c r="AW233" s="575"/>
      <c r="AX233" s="377"/>
      <c r="AY233" s="377"/>
      <c r="AZ233" s="377"/>
      <c r="BA233" s="377"/>
      <c r="BB233" s="377"/>
      <c r="BC233" s="377"/>
      <c r="BD233" s="377"/>
      <c r="BE233" s="377"/>
      <c r="BF233" s="377"/>
      <c r="BG233" s="377"/>
      <c r="BH233" s="377"/>
      <c r="BI233" s="377"/>
      <c r="BJ233" s="377"/>
      <c r="BK233" s="377"/>
      <c r="BL233" s="377"/>
      <c r="BM233" s="377"/>
      <c r="BN233" s="576"/>
      <c r="BO233" s="377"/>
      <c r="BP233" s="377"/>
      <c r="BQ233" s="377"/>
      <c r="BR233" s="377"/>
      <c r="BS233" s="377"/>
      <c r="BT233" s="377"/>
      <c r="BU233" s="377"/>
      <c r="BV233" s="377"/>
      <c r="BW233" s="377"/>
      <c r="BX233" s="377"/>
      <c r="BY233" s="377"/>
      <c r="BZ233" s="377"/>
      <c r="CA233" s="377"/>
      <c r="CB233" s="377"/>
      <c r="CC233" s="377"/>
      <c r="CD233" s="377"/>
      <c r="CE233" s="377"/>
      <c r="CF233" s="377"/>
      <c r="CG233" s="377"/>
      <c r="CH233" s="377"/>
      <c r="CI233" s="377"/>
    </row>
    <row r="234" spans="1:87" ht="15">
      <c r="A234" s="377"/>
      <c r="B234" s="377"/>
      <c r="C234" s="572"/>
      <c r="D234" s="377"/>
      <c r="E234" s="377"/>
      <c r="F234" s="377"/>
      <c r="G234" s="377"/>
      <c r="H234" s="573"/>
      <c r="I234" s="377"/>
      <c r="J234" s="377"/>
      <c r="K234" s="377"/>
      <c r="L234" s="377"/>
      <c r="M234" s="377"/>
      <c r="N234" s="377"/>
      <c r="O234" s="377"/>
      <c r="P234" s="377"/>
      <c r="Q234" s="377"/>
      <c r="R234" s="377"/>
      <c r="S234" s="377"/>
      <c r="T234" s="377"/>
      <c r="U234" s="377"/>
      <c r="V234" s="377"/>
      <c r="W234" s="377"/>
      <c r="X234" s="574"/>
      <c r="Y234" s="377"/>
      <c r="Z234" s="377"/>
      <c r="AA234" s="377"/>
      <c r="AB234" s="377"/>
      <c r="AC234" s="377"/>
      <c r="AD234" s="377"/>
      <c r="AE234" s="377"/>
      <c r="AF234" s="377"/>
      <c r="AG234" s="377"/>
      <c r="AH234" s="377"/>
      <c r="AI234" s="377"/>
      <c r="AJ234" s="377"/>
      <c r="AK234" s="377"/>
      <c r="AL234" s="574"/>
      <c r="AM234" s="377"/>
      <c r="AN234" s="377"/>
      <c r="AO234" s="377"/>
      <c r="AP234" s="377"/>
      <c r="AQ234" s="377"/>
      <c r="AR234" s="377"/>
      <c r="AS234" s="377"/>
      <c r="AT234" s="377"/>
      <c r="AU234" s="377"/>
      <c r="AV234" s="377"/>
      <c r="AW234" s="575"/>
      <c r="AX234" s="377"/>
      <c r="AY234" s="377"/>
      <c r="AZ234" s="377"/>
      <c r="BA234" s="377"/>
      <c r="BB234" s="377"/>
      <c r="BC234" s="377"/>
      <c r="BD234" s="377"/>
      <c r="BE234" s="377"/>
      <c r="BF234" s="377"/>
      <c r="BG234" s="377"/>
      <c r="BH234" s="377"/>
      <c r="BI234" s="377"/>
      <c r="BJ234" s="377"/>
      <c r="BK234" s="377"/>
      <c r="BL234" s="377"/>
      <c r="BM234" s="377"/>
      <c r="BN234" s="576"/>
      <c r="BO234" s="377"/>
      <c r="BP234" s="377"/>
      <c r="BQ234" s="377"/>
      <c r="BR234" s="377"/>
      <c r="BS234" s="377"/>
      <c r="BT234" s="377"/>
      <c r="BU234" s="377"/>
      <c r="BV234" s="377"/>
      <c r="BW234" s="377"/>
      <c r="BX234" s="377"/>
      <c r="BY234" s="377"/>
      <c r="BZ234" s="377"/>
      <c r="CA234" s="377"/>
      <c r="CB234" s="377"/>
      <c r="CC234" s="377"/>
      <c r="CD234" s="377"/>
      <c r="CE234" s="377"/>
      <c r="CF234" s="377"/>
      <c r="CG234" s="377"/>
      <c r="CH234" s="377"/>
      <c r="CI234" s="377"/>
    </row>
    <row r="235" spans="1:87" ht="15">
      <c r="A235" s="377"/>
      <c r="B235" s="377"/>
      <c r="C235" s="572"/>
      <c r="D235" s="377"/>
      <c r="E235" s="377"/>
      <c r="F235" s="377"/>
      <c r="G235" s="377"/>
      <c r="H235" s="573"/>
      <c r="I235" s="377"/>
      <c r="J235" s="377"/>
      <c r="K235" s="377"/>
      <c r="L235" s="377"/>
      <c r="M235" s="377"/>
      <c r="N235" s="377"/>
      <c r="O235" s="377"/>
      <c r="P235" s="377"/>
      <c r="Q235" s="377"/>
      <c r="R235" s="377"/>
      <c r="S235" s="377"/>
      <c r="T235" s="377"/>
      <c r="U235" s="377"/>
      <c r="V235" s="377"/>
      <c r="W235" s="377"/>
      <c r="X235" s="574"/>
      <c r="Y235" s="377"/>
      <c r="Z235" s="377"/>
      <c r="AA235" s="377"/>
      <c r="AB235" s="377"/>
      <c r="AC235" s="377"/>
      <c r="AD235" s="377"/>
      <c r="AE235" s="377"/>
      <c r="AF235" s="377"/>
      <c r="AG235" s="377"/>
      <c r="AH235" s="377"/>
      <c r="AI235" s="377"/>
      <c r="AJ235" s="377"/>
      <c r="AK235" s="377"/>
      <c r="AL235" s="574"/>
      <c r="AM235" s="377"/>
      <c r="AN235" s="377"/>
      <c r="AO235" s="377"/>
      <c r="AP235" s="377"/>
      <c r="AQ235" s="377"/>
      <c r="AR235" s="377"/>
      <c r="AS235" s="377"/>
      <c r="AT235" s="377"/>
      <c r="AU235" s="377"/>
      <c r="AV235" s="377"/>
      <c r="AW235" s="575"/>
      <c r="AX235" s="377"/>
      <c r="AY235" s="377"/>
      <c r="AZ235" s="377"/>
      <c r="BA235" s="377"/>
      <c r="BB235" s="377"/>
      <c r="BC235" s="377"/>
      <c r="BD235" s="377"/>
      <c r="BE235" s="377"/>
      <c r="BF235" s="377"/>
      <c r="BG235" s="377"/>
      <c r="BH235" s="377"/>
      <c r="BI235" s="377"/>
      <c r="BJ235" s="377"/>
      <c r="BK235" s="377"/>
      <c r="BL235" s="377"/>
      <c r="BM235" s="377"/>
      <c r="BN235" s="576"/>
      <c r="BO235" s="377"/>
      <c r="BP235" s="377"/>
      <c r="BQ235" s="377"/>
      <c r="BR235" s="377"/>
      <c r="BS235" s="377"/>
      <c r="BT235" s="377"/>
      <c r="BU235" s="377"/>
      <c r="BV235" s="377"/>
      <c r="BW235" s="377"/>
      <c r="BX235" s="377"/>
      <c r="BY235" s="377"/>
      <c r="BZ235" s="377"/>
      <c r="CA235" s="377"/>
      <c r="CB235" s="377"/>
      <c r="CC235" s="377"/>
      <c r="CD235" s="377"/>
      <c r="CE235" s="377"/>
      <c r="CF235" s="377"/>
      <c r="CG235" s="377"/>
      <c r="CH235" s="377"/>
      <c r="CI235" s="377"/>
    </row>
    <row r="236" spans="1:87" ht="15">
      <c r="A236" s="377"/>
      <c r="B236" s="377"/>
      <c r="C236" s="572"/>
      <c r="D236" s="377"/>
      <c r="E236" s="377"/>
      <c r="F236" s="377"/>
      <c r="G236" s="377"/>
      <c r="H236" s="573"/>
      <c r="I236" s="377"/>
      <c r="J236" s="377"/>
      <c r="K236" s="377"/>
      <c r="L236" s="377"/>
      <c r="M236" s="377"/>
      <c r="N236" s="377"/>
      <c r="O236" s="377"/>
      <c r="P236" s="377"/>
      <c r="Q236" s="377"/>
      <c r="R236" s="377"/>
      <c r="S236" s="377"/>
      <c r="T236" s="377"/>
      <c r="U236" s="377"/>
      <c r="V236" s="377"/>
      <c r="W236" s="377"/>
      <c r="X236" s="574"/>
      <c r="Y236" s="377"/>
      <c r="Z236" s="377"/>
      <c r="AA236" s="377"/>
      <c r="AB236" s="377"/>
      <c r="AC236" s="377"/>
      <c r="AD236" s="377"/>
      <c r="AE236" s="377"/>
      <c r="AF236" s="377"/>
      <c r="AG236" s="377"/>
      <c r="AH236" s="377"/>
      <c r="AI236" s="377"/>
      <c r="AJ236" s="377"/>
      <c r="AK236" s="377"/>
      <c r="AL236" s="574"/>
      <c r="AM236" s="377"/>
      <c r="AN236" s="377"/>
      <c r="AO236" s="377"/>
      <c r="AP236" s="377"/>
      <c r="AQ236" s="377"/>
      <c r="AR236" s="377"/>
      <c r="AS236" s="377"/>
      <c r="AT236" s="377"/>
      <c r="AU236" s="377"/>
      <c r="AV236" s="377"/>
      <c r="AW236" s="575"/>
      <c r="AX236" s="377"/>
      <c r="AY236" s="377"/>
      <c r="AZ236" s="377"/>
      <c r="BA236" s="377"/>
      <c r="BB236" s="377"/>
      <c r="BC236" s="377"/>
      <c r="BD236" s="377"/>
      <c r="BE236" s="377"/>
      <c r="BF236" s="377"/>
      <c r="BG236" s="377"/>
      <c r="BH236" s="377"/>
      <c r="BI236" s="377"/>
      <c r="BJ236" s="377"/>
      <c r="BK236" s="377"/>
      <c r="BL236" s="377"/>
      <c r="BM236" s="377"/>
      <c r="BN236" s="576"/>
      <c r="BO236" s="377"/>
      <c r="BP236" s="377"/>
      <c r="BQ236" s="377"/>
      <c r="BR236" s="377"/>
      <c r="BS236" s="377"/>
      <c r="BT236" s="377"/>
      <c r="BU236" s="377"/>
      <c r="BV236" s="377"/>
      <c r="BW236" s="377"/>
      <c r="BX236" s="377"/>
      <c r="BY236" s="377"/>
      <c r="BZ236" s="377"/>
      <c r="CA236" s="377"/>
      <c r="CB236" s="377"/>
      <c r="CC236" s="377"/>
      <c r="CD236" s="377"/>
      <c r="CE236" s="377"/>
      <c r="CF236" s="377"/>
      <c r="CG236" s="377"/>
      <c r="CH236" s="377"/>
      <c r="CI236" s="377"/>
    </row>
    <row r="237" spans="1:87" ht="15">
      <c r="A237" s="377"/>
      <c r="B237" s="377"/>
      <c r="C237" s="572"/>
      <c r="D237" s="377"/>
      <c r="E237" s="377"/>
      <c r="F237" s="377"/>
      <c r="G237" s="377"/>
      <c r="H237" s="573"/>
      <c r="I237" s="377"/>
      <c r="J237" s="377"/>
      <c r="K237" s="377"/>
      <c r="L237" s="377"/>
      <c r="M237" s="377"/>
      <c r="N237" s="377"/>
      <c r="O237" s="377"/>
      <c r="P237" s="377"/>
      <c r="Q237" s="377"/>
      <c r="R237" s="377"/>
      <c r="S237" s="377"/>
      <c r="T237" s="377"/>
      <c r="U237" s="377"/>
      <c r="V237" s="377"/>
      <c r="W237" s="377"/>
      <c r="X237" s="574"/>
      <c r="Y237" s="377"/>
      <c r="Z237" s="377"/>
      <c r="AA237" s="377"/>
      <c r="AB237" s="377"/>
      <c r="AC237" s="377"/>
      <c r="AD237" s="377"/>
      <c r="AE237" s="377"/>
      <c r="AF237" s="377"/>
      <c r="AG237" s="377"/>
      <c r="AH237" s="377"/>
      <c r="AI237" s="377"/>
      <c r="AJ237" s="377"/>
      <c r="AK237" s="377"/>
      <c r="AL237" s="574"/>
      <c r="AM237" s="377"/>
      <c r="AN237" s="377"/>
      <c r="AO237" s="377"/>
      <c r="AP237" s="377"/>
      <c r="AQ237" s="377"/>
      <c r="AR237" s="377"/>
      <c r="AS237" s="377"/>
      <c r="AT237" s="377"/>
      <c r="AU237" s="377"/>
      <c r="AV237" s="377"/>
      <c r="AW237" s="575"/>
      <c r="AX237" s="377"/>
      <c r="AY237" s="377"/>
      <c r="AZ237" s="377"/>
      <c r="BA237" s="377"/>
      <c r="BB237" s="377"/>
      <c r="BC237" s="377"/>
      <c r="BD237" s="377"/>
      <c r="BE237" s="377"/>
      <c r="BF237" s="377"/>
      <c r="BG237" s="377"/>
      <c r="BH237" s="377"/>
      <c r="BI237" s="377"/>
      <c r="BJ237" s="377"/>
      <c r="BK237" s="377"/>
      <c r="BL237" s="377"/>
      <c r="BM237" s="377"/>
      <c r="BN237" s="576"/>
      <c r="BO237" s="377"/>
      <c r="BP237" s="377"/>
      <c r="BQ237" s="377"/>
      <c r="BR237" s="377"/>
      <c r="BS237" s="377"/>
      <c r="BT237" s="377"/>
      <c r="BU237" s="377"/>
      <c r="BV237" s="377"/>
      <c r="BW237" s="377"/>
      <c r="BX237" s="377"/>
      <c r="BY237" s="377"/>
      <c r="BZ237" s="377"/>
      <c r="CA237" s="377"/>
      <c r="CB237" s="377"/>
      <c r="CC237" s="377"/>
      <c r="CD237" s="377"/>
      <c r="CE237" s="377"/>
      <c r="CF237" s="377"/>
      <c r="CG237" s="377"/>
      <c r="CH237" s="377"/>
      <c r="CI237" s="377"/>
    </row>
    <row r="238" spans="1:87" ht="15">
      <c r="A238" s="377"/>
      <c r="B238" s="377"/>
      <c r="C238" s="572"/>
      <c r="D238" s="377"/>
      <c r="E238" s="377"/>
      <c r="F238" s="377"/>
      <c r="G238" s="377"/>
      <c r="H238" s="573"/>
      <c r="I238" s="377"/>
      <c r="J238" s="377"/>
      <c r="K238" s="377"/>
      <c r="L238" s="377"/>
      <c r="M238" s="377"/>
      <c r="N238" s="377"/>
      <c r="O238" s="377"/>
      <c r="P238" s="377"/>
      <c r="Q238" s="377"/>
      <c r="R238" s="377"/>
      <c r="S238" s="377"/>
      <c r="T238" s="377"/>
      <c r="U238" s="377"/>
      <c r="V238" s="377"/>
      <c r="W238" s="377"/>
      <c r="X238" s="574"/>
      <c r="Y238" s="377"/>
      <c r="Z238" s="377"/>
      <c r="AA238" s="377"/>
      <c r="AB238" s="377"/>
      <c r="AC238" s="377"/>
      <c r="AD238" s="377"/>
      <c r="AE238" s="377"/>
      <c r="AF238" s="377"/>
      <c r="AG238" s="377"/>
      <c r="AH238" s="377"/>
      <c r="AI238" s="377"/>
      <c r="AJ238" s="377"/>
      <c r="AK238" s="377"/>
      <c r="AL238" s="574"/>
      <c r="AM238" s="377"/>
      <c r="AN238" s="377"/>
      <c r="AO238" s="377"/>
      <c r="AP238" s="377"/>
      <c r="AQ238" s="377"/>
      <c r="AR238" s="377"/>
      <c r="AS238" s="377"/>
      <c r="AT238" s="377"/>
      <c r="AU238" s="377"/>
      <c r="AV238" s="377"/>
      <c r="AW238" s="575"/>
      <c r="AX238" s="377"/>
      <c r="AY238" s="377"/>
      <c r="AZ238" s="377"/>
      <c r="BA238" s="377"/>
      <c r="BB238" s="377"/>
      <c r="BC238" s="377"/>
      <c r="BD238" s="377"/>
      <c r="BE238" s="377"/>
      <c r="BF238" s="377"/>
      <c r="BG238" s="377"/>
      <c r="BH238" s="377"/>
      <c r="BI238" s="377"/>
      <c r="BJ238" s="377"/>
      <c r="BK238" s="377"/>
      <c r="BL238" s="377"/>
      <c r="BM238" s="377"/>
      <c r="BN238" s="576"/>
      <c r="BO238" s="377"/>
      <c r="BP238" s="377"/>
      <c r="BQ238" s="377"/>
      <c r="BR238" s="377"/>
      <c r="BS238" s="377"/>
      <c r="BT238" s="377"/>
      <c r="BU238" s="377"/>
      <c r="BV238" s="377"/>
      <c r="BW238" s="377"/>
      <c r="BX238" s="377"/>
      <c r="BY238" s="377"/>
      <c r="BZ238" s="377"/>
      <c r="CA238" s="377"/>
      <c r="CB238" s="377"/>
      <c r="CC238" s="377"/>
      <c r="CD238" s="377"/>
      <c r="CE238" s="377"/>
      <c r="CF238" s="377"/>
      <c r="CG238" s="377"/>
      <c r="CH238" s="377"/>
      <c r="CI238" s="377"/>
    </row>
    <row r="239" spans="1:87" ht="15">
      <c r="A239" s="377"/>
      <c r="B239" s="377"/>
      <c r="C239" s="572"/>
      <c r="D239" s="377"/>
      <c r="E239" s="377"/>
      <c r="F239" s="377"/>
      <c r="G239" s="377"/>
      <c r="H239" s="573"/>
      <c r="I239" s="377"/>
      <c r="J239" s="377"/>
      <c r="K239" s="377"/>
      <c r="L239" s="377"/>
      <c r="M239" s="377"/>
      <c r="N239" s="377"/>
      <c r="O239" s="377"/>
      <c r="P239" s="377"/>
      <c r="Q239" s="377"/>
      <c r="R239" s="377"/>
      <c r="S239" s="377"/>
      <c r="T239" s="377"/>
      <c r="U239" s="377"/>
      <c r="V239" s="377"/>
      <c r="W239" s="377"/>
      <c r="X239" s="574"/>
      <c r="Y239" s="377"/>
      <c r="Z239" s="377"/>
      <c r="AA239" s="377"/>
      <c r="AB239" s="377"/>
      <c r="AC239" s="377"/>
      <c r="AD239" s="377"/>
      <c r="AE239" s="377"/>
      <c r="AF239" s="377"/>
      <c r="AG239" s="377"/>
      <c r="AH239" s="377"/>
      <c r="AI239" s="377"/>
      <c r="AJ239" s="377"/>
      <c r="AK239" s="377"/>
      <c r="AL239" s="574"/>
      <c r="AM239" s="377"/>
      <c r="AN239" s="377"/>
      <c r="AO239" s="377"/>
      <c r="AP239" s="377"/>
      <c r="AQ239" s="377"/>
      <c r="AR239" s="377"/>
      <c r="AS239" s="377"/>
      <c r="AT239" s="377"/>
      <c r="AU239" s="377"/>
      <c r="AV239" s="377"/>
      <c r="AW239" s="575"/>
      <c r="AX239" s="377"/>
      <c r="AY239" s="377"/>
      <c r="AZ239" s="377"/>
      <c r="BA239" s="377"/>
      <c r="BB239" s="377"/>
      <c r="BC239" s="377"/>
      <c r="BD239" s="377"/>
      <c r="BE239" s="377"/>
      <c r="BF239" s="377"/>
      <c r="BG239" s="377"/>
      <c r="BH239" s="377"/>
      <c r="BI239" s="377"/>
      <c r="BJ239" s="377"/>
      <c r="BK239" s="377"/>
      <c r="BL239" s="377"/>
      <c r="BM239" s="377"/>
      <c r="BN239" s="576"/>
      <c r="BO239" s="377"/>
      <c r="BP239" s="377"/>
      <c r="BQ239" s="377"/>
      <c r="BR239" s="377"/>
      <c r="BS239" s="377"/>
      <c r="BT239" s="377"/>
      <c r="BU239" s="377"/>
      <c r="BV239" s="377"/>
      <c r="BW239" s="377"/>
      <c r="BX239" s="377"/>
      <c r="BY239" s="377"/>
      <c r="BZ239" s="377"/>
      <c r="CA239" s="377"/>
      <c r="CB239" s="377"/>
      <c r="CC239" s="377"/>
      <c r="CD239" s="377"/>
      <c r="CE239" s="377"/>
      <c r="CF239" s="377"/>
      <c r="CG239" s="377"/>
      <c r="CH239" s="377"/>
      <c r="CI239" s="377"/>
    </row>
    <row r="240" spans="1:87" ht="15">
      <c r="A240" s="377"/>
      <c r="B240" s="377"/>
      <c r="C240" s="572"/>
      <c r="D240" s="377"/>
      <c r="E240" s="377"/>
      <c r="F240" s="377"/>
      <c r="G240" s="377"/>
      <c r="H240" s="573"/>
      <c r="I240" s="377"/>
      <c r="J240" s="377"/>
      <c r="K240" s="377"/>
      <c r="L240" s="377"/>
      <c r="M240" s="377"/>
      <c r="N240" s="377"/>
      <c r="O240" s="377"/>
      <c r="P240" s="377"/>
      <c r="Q240" s="377"/>
      <c r="R240" s="377"/>
      <c r="S240" s="377"/>
      <c r="T240" s="377"/>
      <c r="U240" s="377"/>
      <c r="V240" s="377"/>
      <c r="W240" s="377"/>
      <c r="X240" s="574"/>
      <c r="Y240" s="377"/>
      <c r="Z240" s="377"/>
      <c r="AA240" s="377"/>
      <c r="AB240" s="377"/>
      <c r="AC240" s="377"/>
      <c r="AD240" s="377"/>
      <c r="AE240" s="377"/>
      <c r="AF240" s="377"/>
      <c r="AG240" s="377"/>
      <c r="AH240" s="377"/>
      <c r="AI240" s="377"/>
      <c r="AJ240" s="377"/>
      <c r="AK240" s="377"/>
      <c r="AL240" s="574"/>
      <c r="AM240" s="377"/>
      <c r="AN240" s="377"/>
      <c r="AO240" s="377"/>
      <c r="AP240" s="377"/>
      <c r="AQ240" s="377"/>
      <c r="AR240" s="377"/>
      <c r="AS240" s="377"/>
      <c r="AT240" s="377"/>
      <c r="AU240" s="377"/>
      <c r="AV240" s="377"/>
      <c r="AW240" s="575"/>
      <c r="AX240" s="377"/>
      <c r="AY240" s="377"/>
      <c r="AZ240" s="377"/>
      <c r="BA240" s="377"/>
      <c r="BB240" s="377"/>
      <c r="BC240" s="377"/>
      <c r="BD240" s="377"/>
      <c r="BE240" s="377"/>
      <c r="BF240" s="377"/>
      <c r="BG240" s="377"/>
      <c r="BH240" s="377"/>
      <c r="BI240" s="377"/>
      <c r="BJ240" s="377"/>
      <c r="BK240" s="377"/>
      <c r="BL240" s="377"/>
      <c r="BM240" s="377"/>
      <c r="BN240" s="576"/>
      <c r="BO240" s="377"/>
      <c r="BP240" s="377"/>
      <c r="BQ240" s="377"/>
      <c r="BR240" s="377"/>
      <c r="BS240" s="377"/>
      <c r="BT240" s="377"/>
      <c r="BU240" s="377"/>
      <c r="BV240" s="377"/>
      <c r="BW240" s="377"/>
      <c r="BX240" s="377"/>
      <c r="BY240" s="377"/>
      <c r="BZ240" s="377"/>
      <c r="CA240" s="377"/>
      <c r="CB240" s="377"/>
      <c r="CC240" s="377"/>
      <c r="CD240" s="377"/>
      <c r="CE240" s="377"/>
      <c r="CF240" s="377"/>
      <c r="CG240" s="377"/>
      <c r="CH240" s="377"/>
      <c r="CI240" s="377"/>
    </row>
    <row r="241" spans="1:87" ht="15">
      <c r="A241" s="377"/>
      <c r="B241" s="377"/>
      <c r="C241" s="572"/>
      <c r="D241" s="377"/>
      <c r="E241" s="377"/>
      <c r="F241" s="377"/>
      <c r="G241" s="377"/>
      <c r="H241" s="573"/>
      <c r="I241" s="377"/>
      <c r="J241" s="377"/>
      <c r="K241" s="377"/>
      <c r="L241" s="377"/>
      <c r="M241" s="377"/>
      <c r="N241" s="377"/>
      <c r="O241" s="377"/>
      <c r="P241" s="377"/>
      <c r="Q241" s="377"/>
      <c r="R241" s="377"/>
      <c r="S241" s="377"/>
      <c r="T241" s="377"/>
      <c r="U241" s="377"/>
      <c r="V241" s="377"/>
      <c r="W241" s="377"/>
      <c r="X241" s="574"/>
      <c r="Y241" s="377"/>
      <c r="Z241" s="377"/>
      <c r="AA241" s="377"/>
      <c r="AB241" s="377"/>
      <c r="AC241" s="377"/>
      <c r="AD241" s="377"/>
      <c r="AE241" s="377"/>
      <c r="AF241" s="377"/>
      <c r="AG241" s="377"/>
      <c r="AH241" s="377"/>
      <c r="AI241" s="377"/>
      <c r="AJ241" s="377"/>
      <c r="AK241" s="377"/>
      <c r="AL241" s="574"/>
      <c r="AM241" s="377"/>
      <c r="AN241" s="377"/>
      <c r="AO241" s="377"/>
      <c r="AP241" s="377"/>
      <c r="AQ241" s="377"/>
      <c r="AR241" s="377"/>
      <c r="AS241" s="377"/>
      <c r="AT241" s="377"/>
      <c r="AU241" s="377"/>
      <c r="AV241" s="377"/>
      <c r="AW241" s="575"/>
      <c r="AX241" s="377"/>
      <c r="AY241" s="377"/>
      <c r="AZ241" s="377"/>
      <c r="BA241" s="377"/>
      <c r="BB241" s="377"/>
      <c r="BC241" s="377"/>
      <c r="BD241" s="377"/>
      <c r="BE241" s="377"/>
      <c r="BF241" s="377"/>
      <c r="BG241" s="377"/>
      <c r="BH241" s="377"/>
      <c r="BI241" s="377"/>
      <c r="BJ241" s="377"/>
      <c r="BK241" s="377"/>
      <c r="BL241" s="377"/>
      <c r="BM241" s="377"/>
      <c r="BN241" s="576"/>
      <c r="BO241" s="377"/>
      <c r="BP241" s="377"/>
      <c r="BQ241" s="377"/>
      <c r="BR241" s="377"/>
      <c r="BS241" s="377"/>
      <c r="BT241" s="377"/>
      <c r="BU241" s="377"/>
      <c r="BV241" s="377"/>
      <c r="BW241" s="377"/>
      <c r="BX241" s="377"/>
      <c r="BY241" s="377"/>
      <c r="BZ241" s="377"/>
      <c r="CA241" s="377"/>
      <c r="CB241" s="377"/>
      <c r="CC241" s="377"/>
      <c r="CD241" s="377"/>
      <c r="CE241" s="377"/>
      <c r="CF241" s="377"/>
      <c r="CG241" s="377"/>
      <c r="CH241" s="377"/>
      <c r="CI241" s="377"/>
    </row>
    <row r="242" spans="1:87" ht="15">
      <c r="A242" s="377"/>
      <c r="B242" s="377"/>
      <c r="C242" s="572"/>
      <c r="D242" s="377"/>
      <c r="E242" s="377"/>
      <c r="F242" s="377"/>
      <c r="G242" s="377"/>
      <c r="H242" s="573"/>
      <c r="I242" s="377"/>
      <c r="J242" s="377"/>
      <c r="K242" s="377"/>
      <c r="L242" s="377"/>
      <c r="M242" s="377"/>
      <c r="N242" s="377"/>
      <c r="O242" s="377"/>
      <c r="P242" s="377"/>
      <c r="Q242" s="377"/>
      <c r="R242" s="377"/>
      <c r="S242" s="377"/>
      <c r="T242" s="377"/>
      <c r="U242" s="377"/>
      <c r="V242" s="377"/>
      <c r="W242" s="377"/>
      <c r="X242" s="574"/>
      <c r="Y242" s="377"/>
      <c r="Z242" s="377"/>
      <c r="AA242" s="377"/>
      <c r="AB242" s="377"/>
      <c r="AC242" s="377"/>
      <c r="AD242" s="377"/>
      <c r="AE242" s="377"/>
      <c r="AF242" s="377"/>
      <c r="AG242" s="377"/>
      <c r="AH242" s="377"/>
      <c r="AI242" s="377"/>
      <c r="AJ242" s="377"/>
      <c r="AK242" s="377"/>
      <c r="AL242" s="574"/>
      <c r="AM242" s="377"/>
      <c r="AN242" s="377"/>
      <c r="AO242" s="377"/>
      <c r="AP242" s="377"/>
      <c r="AQ242" s="377"/>
      <c r="AR242" s="377"/>
      <c r="AS242" s="377"/>
      <c r="AT242" s="377"/>
      <c r="AU242" s="377"/>
      <c r="AV242" s="377"/>
      <c r="AW242" s="575"/>
      <c r="AX242" s="377"/>
      <c r="AY242" s="377"/>
      <c r="AZ242" s="377"/>
      <c r="BA242" s="377"/>
      <c r="BB242" s="377"/>
      <c r="BC242" s="377"/>
      <c r="BD242" s="377"/>
      <c r="BE242" s="377"/>
      <c r="BF242" s="377"/>
      <c r="BG242" s="377"/>
      <c r="BH242" s="377"/>
      <c r="BI242" s="377"/>
      <c r="BJ242" s="377"/>
      <c r="BK242" s="377"/>
      <c r="BL242" s="377"/>
      <c r="BM242" s="377"/>
      <c r="BN242" s="576"/>
      <c r="BO242" s="377"/>
      <c r="BP242" s="377"/>
      <c r="BQ242" s="377"/>
      <c r="BR242" s="377"/>
      <c r="BS242" s="377"/>
      <c r="BT242" s="377"/>
      <c r="BU242" s="377"/>
      <c r="BV242" s="377"/>
      <c r="BW242" s="377"/>
      <c r="BX242" s="377"/>
      <c r="BY242" s="377"/>
      <c r="BZ242" s="377"/>
      <c r="CA242" s="377"/>
      <c r="CB242" s="377"/>
      <c r="CC242" s="377"/>
      <c r="CD242" s="377"/>
      <c r="CE242" s="377"/>
      <c r="CF242" s="377"/>
      <c r="CG242" s="377"/>
      <c r="CH242" s="377"/>
      <c r="CI242" s="377"/>
    </row>
    <row r="243" spans="1:87" ht="15">
      <c r="A243" s="377"/>
      <c r="B243" s="377"/>
      <c r="C243" s="572"/>
      <c r="D243" s="377"/>
      <c r="E243" s="377"/>
      <c r="F243" s="377"/>
      <c r="G243" s="377"/>
      <c r="H243" s="573"/>
      <c r="I243" s="377"/>
      <c r="J243" s="377"/>
      <c r="K243" s="377"/>
      <c r="L243" s="377"/>
      <c r="M243" s="377"/>
      <c r="N243" s="377"/>
      <c r="O243" s="377"/>
      <c r="P243" s="377"/>
      <c r="Q243" s="377"/>
      <c r="R243" s="377"/>
      <c r="S243" s="377"/>
      <c r="T243" s="377"/>
      <c r="U243" s="377"/>
      <c r="V243" s="377"/>
      <c r="W243" s="377"/>
      <c r="X243" s="574"/>
      <c r="Y243" s="377"/>
      <c r="Z243" s="377"/>
      <c r="AA243" s="377"/>
      <c r="AB243" s="377"/>
      <c r="AC243" s="377"/>
      <c r="AD243" s="377"/>
      <c r="AE243" s="377"/>
      <c r="AF243" s="377"/>
      <c r="AG243" s="377"/>
      <c r="AH243" s="377"/>
      <c r="AI243" s="377"/>
      <c r="AJ243" s="377"/>
      <c r="AK243" s="377"/>
      <c r="AL243" s="574"/>
      <c r="AM243" s="377"/>
      <c r="AN243" s="377"/>
      <c r="AO243" s="377"/>
      <c r="AP243" s="377"/>
      <c r="AQ243" s="377"/>
      <c r="AR243" s="377"/>
      <c r="AS243" s="377"/>
      <c r="AT243" s="377"/>
      <c r="AU243" s="377"/>
      <c r="AV243" s="377"/>
      <c r="AW243" s="575"/>
      <c r="AX243" s="377"/>
      <c r="AY243" s="377"/>
      <c r="AZ243" s="377"/>
      <c r="BA243" s="377"/>
      <c r="BB243" s="377"/>
      <c r="BC243" s="377"/>
      <c r="BD243" s="377"/>
      <c r="BE243" s="377"/>
      <c r="BF243" s="377"/>
      <c r="BG243" s="377"/>
      <c r="BH243" s="377"/>
      <c r="BI243" s="377"/>
      <c r="BJ243" s="377"/>
      <c r="BK243" s="377"/>
      <c r="BL243" s="377"/>
      <c r="BM243" s="377"/>
      <c r="BN243" s="576"/>
      <c r="BO243" s="377"/>
      <c r="BP243" s="377"/>
      <c r="BQ243" s="377"/>
      <c r="BR243" s="377"/>
      <c r="BS243" s="377"/>
      <c r="BT243" s="377"/>
      <c r="BU243" s="377"/>
      <c r="BV243" s="377"/>
      <c r="BW243" s="377"/>
      <c r="BX243" s="377"/>
      <c r="BY243" s="377"/>
      <c r="BZ243" s="377"/>
      <c r="CA243" s="377"/>
      <c r="CB243" s="377"/>
      <c r="CC243" s="377"/>
      <c r="CD243" s="377"/>
      <c r="CE243" s="377"/>
      <c r="CF243" s="377"/>
      <c r="CG243" s="377"/>
      <c r="CH243" s="377"/>
      <c r="CI243" s="377"/>
    </row>
    <row r="244" spans="1:87" ht="15">
      <c r="A244" s="377"/>
      <c r="B244" s="377"/>
      <c r="C244" s="572"/>
      <c r="D244" s="377"/>
      <c r="E244" s="377"/>
      <c r="F244" s="377"/>
      <c r="G244" s="377"/>
      <c r="H244" s="573"/>
      <c r="I244" s="377"/>
      <c r="J244" s="377"/>
      <c r="K244" s="377"/>
      <c r="L244" s="377"/>
      <c r="M244" s="377"/>
      <c r="N244" s="377"/>
      <c r="O244" s="377"/>
      <c r="P244" s="377"/>
      <c r="Q244" s="377"/>
      <c r="R244" s="377"/>
      <c r="S244" s="377"/>
      <c r="T244" s="377"/>
      <c r="U244" s="377"/>
      <c r="V244" s="377"/>
      <c r="W244" s="377"/>
      <c r="X244" s="574"/>
      <c r="Y244" s="377"/>
      <c r="Z244" s="377"/>
      <c r="AA244" s="377"/>
      <c r="AB244" s="377"/>
      <c r="AC244" s="377"/>
      <c r="AD244" s="377"/>
      <c r="AE244" s="377"/>
      <c r="AF244" s="377"/>
      <c r="AG244" s="377"/>
      <c r="AH244" s="377"/>
      <c r="AI244" s="377"/>
      <c r="AJ244" s="377"/>
      <c r="AK244" s="377"/>
      <c r="AL244" s="574"/>
      <c r="AM244" s="377"/>
      <c r="AN244" s="377"/>
      <c r="AO244" s="377"/>
      <c r="AP244" s="377"/>
      <c r="AQ244" s="377"/>
      <c r="AR244" s="377"/>
      <c r="AS244" s="377"/>
      <c r="AT244" s="377"/>
      <c r="AU244" s="377"/>
      <c r="AV244" s="377"/>
      <c r="AW244" s="575"/>
      <c r="AX244" s="377"/>
      <c r="AY244" s="377"/>
      <c r="AZ244" s="377"/>
      <c r="BA244" s="377"/>
      <c r="BB244" s="377"/>
      <c r="BC244" s="377"/>
      <c r="BD244" s="377"/>
      <c r="BE244" s="377"/>
      <c r="BF244" s="377"/>
      <c r="BG244" s="377"/>
      <c r="BH244" s="377"/>
      <c r="BI244" s="377"/>
      <c r="BJ244" s="377"/>
      <c r="BK244" s="377"/>
      <c r="BL244" s="377"/>
      <c r="BM244" s="377"/>
      <c r="BN244" s="576"/>
      <c r="BO244" s="377"/>
      <c r="BP244" s="377"/>
      <c r="BQ244" s="377"/>
      <c r="BR244" s="377"/>
      <c r="BS244" s="377"/>
      <c r="BT244" s="377"/>
      <c r="BU244" s="377"/>
      <c r="BV244" s="377"/>
      <c r="BW244" s="377"/>
      <c r="BX244" s="377"/>
      <c r="BY244" s="377"/>
      <c r="BZ244" s="377"/>
      <c r="CA244" s="377"/>
      <c r="CB244" s="377"/>
      <c r="CC244" s="377"/>
      <c r="CD244" s="377"/>
      <c r="CE244" s="377"/>
      <c r="CF244" s="377"/>
      <c r="CG244" s="377"/>
      <c r="CH244" s="377"/>
      <c r="CI244" s="377"/>
    </row>
    <row r="245" spans="1:87" ht="15">
      <c r="A245" s="377"/>
      <c r="B245" s="377"/>
      <c r="C245" s="572"/>
      <c r="D245" s="377"/>
      <c r="E245" s="377"/>
      <c r="F245" s="377"/>
      <c r="G245" s="377"/>
      <c r="H245" s="573"/>
      <c r="I245" s="377"/>
      <c r="J245" s="377"/>
      <c r="K245" s="377"/>
      <c r="L245" s="377"/>
      <c r="M245" s="377"/>
      <c r="N245" s="377"/>
      <c r="O245" s="377"/>
      <c r="P245" s="377"/>
      <c r="Q245" s="377"/>
      <c r="R245" s="377"/>
      <c r="S245" s="377"/>
      <c r="T245" s="377"/>
      <c r="U245" s="377"/>
      <c r="V245" s="377"/>
      <c r="W245" s="377"/>
      <c r="X245" s="574"/>
      <c r="Y245" s="377"/>
      <c r="Z245" s="377"/>
      <c r="AA245" s="377"/>
      <c r="AB245" s="377"/>
      <c r="AC245" s="377"/>
      <c r="AD245" s="377"/>
      <c r="AE245" s="377"/>
      <c r="AF245" s="377"/>
      <c r="AG245" s="377"/>
      <c r="AH245" s="377"/>
      <c r="AI245" s="377"/>
      <c r="AJ245" s="377"/>
      <c r="AK245" s="377"/>
      <c r="AL245" s="574"/>
      <c r="AM245" s="377"/>
      <c r="AN245" s="377"/>
      <c r="AO245" s="377"/>
      <c r="AP245" s="377"/>
      <c r="AQ245" s="377"/>
      <c r="AR245" s="377"/>
      <c r="AS245" s="377"/>
      <c r="AT245" s="377"/>
      <c r="AU245" s="377"/>
      <c r="AV245" s="377"/>
      <c r="AW245" s="575"/>
      <c r="AX245" s="377"/>
      <c r="AY245" s="377"/>
      <c r="AZ245" s="377"/>
      <c r="BA245" s="377"/>
      <c r="BB245" s="377"/>
      <c r="BC245" s="377"/>
      <c r="BD245" s="377"/>
      <c r="BE245" s="377"/>
      <c r="BF245" s="377"/>
      <c r="BG245" s="377"/>
      <c r="BH245" s="377"/>
      <c r="BI245" s="377"/>
      <c r="BJ245" s="377"/>
      <c r="BK245" s="377"/>
      <c r="BL245" s="377"/>
      <c r="BM245" s="377"/>
      <c r="BN245" s="576"/>
      <c r="BO245" s="377"/>
      <c r="BP245" s="377"/>
      <c r="BQ245" s="377"/>
      <c r="BR245" s="377"/>
      <c r="BS245" s="377"/>
      <c r="BT245" s="377"/>
      <c r="BU245" s="377"/>
      <c r="BV245" s="377"/>
      <c r="BW245" s="377"/>
      <c r="BX245" s="377"/>
      <c r="BY245" s="377"/>
      <c r="BZ245" s="377"/>
      <c r="CA245" s="377"/>
      <c r="CB245" s="377"/>
      <c r="CC245" s="377"/>
      <c r="CD245" s="377"/>
      <c r="CE245" s="377"/>
      <c r="CF245" s="377"/>
      <c r="CG245" s="377"/>
      <c r="CH245" s="377"/>
      <c r="CI245" s="377"/>
    </row>
    <row r="246" spans="1:87" ht="15">
      <c r="A246" s="377"/>
      <c r="B246" s="377"/>
      <c r="C246" s="572"/>
      <c r="D246" s="377"/>
      <c r="E246" s="377"/>
      <c r="F246" s="377"/>
      <c r="G246" s="377"/>
      <c r="H246" s="573"/>
      <c r="I246" s="377"/>
      <c r="J246" s="377"/>
      <c r="K246" s="377"/>
      <c r="L246" s="377"/>
      <c r="M246" s="377"/>
      <c r="N246" s="377"/>
      <c r="O246" s="377"/>
      <c r="P246" s="377"/>
      <c r="Q246" s="377"/>
      <c r="R246" s="377"/>
      <c r="S246" s="377"/>
      <c r="T246" s="377"/>
      <c r="U246" s="377"/>
      <c r="V246" s="377"/>
      <c r="W246" s="377"/>
      <c r="X246" s="574"/>
      <c r="Y246" s="377"/>
      <c r="Z246" s="377"/>
      <c r="AA246" s="377"/>
      <c r="AB246" s="377"/>
      <c r="AC246" s="377"/>
      <c r="AD246" s="377"/>
      <c r="AE246" s="377"/>
      <c r="AF246" s="377"/>
      <c r="AG246" s="377"/>
      <c r="AH246" s="377"/>
      <c r="AI246" s="377"/>
      <c r="AJ246" s="377"/>
      <c r="AK246" s="377"/>
      <c r="AL246" s="574"/>
      <c r="AM246" s="377"/>
      <c r="AN246" s="377"/>
      <c r="AO246" s="377"/>
      <c r="AP246" s="377"/>
      <c r="AQ246" s="377"/>
      <c r="AR246" s="377"/>
      <c r="AS246" s="377"/>
      <c r="AT246" s="377"/>
      <c r="AU246" s="377"/>
      <c r="AV246" s="377"/>
      <c r="AW246" s="575"/>
      <c r="AX246" s="377"/>
      <c r="AY246" s="377"/>
      <c r="AZ246" s="377"/>
      <c r="BA246" s="377"/>
      <c r="BB246" s="377"/>
      <c r="BC246" s="377"/>
      <c r="BD246" s="377"/>
      <c r="BE246" s="377"/>
      <c r="BF246" s="377"/>
      <c r="BG246" s="377"/>
      <c r="BH246" s="377"/>
      <c r="BI246" s="377"/>
      <c r="BJ246" s="377"/>
      <c r="BK246" s="377"/>
      <c r="BL246" s="377"/>
      <c r="BM246" s="377"/>
      <c r="BN246" s="576"/>
      <c r="BO246" s="377"/>
      <c r="BP246" s="377"/>
      <c r="BQ246" s="377"/>
      <c r="BR246" s="377"/>
      <c r="BS246" s="377"/>
      <c r="BT246" s="377"/>
      <c r="BU246" s="377"/>
      <c r="BV246" s="377"/>
      <c r="BW246" s="377"/>
      <c r="BX246" s="377"/>
      <c r="BY246" s="377"/>
      <c r="BZ246" s="377"/>
      <c r="CA246" s="377"/>
      <c r="CB246" s="377"/>
      <c r="CC246" s="377"/>
      <c r="CD246" s="377"/>
      <c r="CE246" s="377"/>
      <c r="CF246" s="377"/>
      <c r="CG246" s="377"/>
      <c r="CH246" s="377"/>
      <c r="CI246" s="377"/>
    </row>
    <row r="247" spans="1:87" ht="15">
      <c r="A247" s="377"/>
      <c r="B247" s="377"/>
      <c r="C247" s="572"/>
      <c r="D247" s="377"/>
      <c r="E247" s="377"/>
      <c r="F247" s="377"/>
      <c r="G247" s="377"/>
      <c r="H247" s="573"/>
      <c r="I247" s="377"/>
      <c r="J247" s="377"/>
      <c r="K247" s="377"/>
      <c r="L247" s="377"/>
      <c r="M247" s="377"/>
      <c r="N247" s="377"/>
      <c r="O247" s="377"/>
      <c r="P247" s="377"/>
      <c r="Q247" s="377"/>
      <c r="R247" s="377"/>
      <c r="S247" s="377"/>
      <c r="T247" s="377"/>
      <c r="U247" s="377"/>
      <c r="V247" s="377"/>
      <c r="W247" s="377"/>
      <c r="X247" s="574"/>
      <c r="Y247" s="377"/>
      <c r="Z247" s="377"/>
      <c r="AA247" s="377"/>
      <c r="AB247" s="377"/>
      <c r="AC247" s="377"/>
      <c r="AD247" s="377"/>
      <c r="AE247" s="377"/>
      <c r="AF247" s="377"/>
      <c r="AG247" s="377"/>
      <c r="AH247" s="377"/>
      <c r="AI247" s="377"/>
      <c r="AJ247" s="377"/>
      <c r="AK247" s="377"/>
      <c r="AL247" s="574"/>
      <c r="AM247" s="377"/>
      <c r="AN247" s="377"/>
      <c r="AO247" s="377"/>
      <c r="AP247" s="377"/>
      <c r="AQ247" s="377"/>
      <c r="AR247" s="377"/>
      <c r="AS247" s="377"/>
      <c r="AT247" s="377"/>
      <c r="AU247" s="377"/>
      <c r="AV247" s="377"/>
      <c r="AW247" s="575"/>
      <c r="AX247" s="377"/>
      <c r="AY247" s="377"/>
      <c r="AZ247" s="377"/>
      <c r="BA247" s="377"/>
      <c r="BB247" s="377"/>
      <c r="BC247" s="377"/>
      <c r="BD247" s="377"/>
      <c r="BE247" s="377"/>
      <c r="BF247" s="377"/>
      <c r="BG247" s="377"/>
      <c r="BH247" s="377"/>
      <c r="BI247" s="377"/>
      <c r="BJ247" s="377"/>
      <c r="BK247" s="377"/>
      <c r="BL247" s="377"/>
      <c r="BM247" s="377"/>
      <c r="BN247" s="576"/>
      <c r="BO247" s="377"/>
      <c r="BP247" s="377"/>
      <c r="BQ247" s="377"/>
      <c r="BR247" s="377"/>
      <c r="BS247" s="377"/>
      <c r="BT247" s="377"/>
      <c r="BU247" s="377"/>
      <c r="BV247" s="377"/>
      <c r="BW247" s="377"/>
      <c r="BX247" s="377"/>
      <c r="BY247" s="377"/>
      <c r="BZ247" s="377"/>
      <c r="CA247" s="377"/>
      <c r="CB247" s="377"/>
      <c r="CC247" s="377"/>
      <c r="CD247" s="377"/>
      <c r="CE247" s="377"/>
      <c r="CF247" s="377"/>
      <c r="CG247" s="377"/>
      <c r="CH247" s="377"/>
      <c r="CI247" s="377"/>
    </row>
    <row r="248" spans="1:87" ht="15">
      <c r="A248" s="377"/>
      <c r="B248" s="377"/>
      <c r="C248" s="572"/>
      <c r="D248" s="377"/>
      <c r="E248" s="377"/>
      <c r="F248" s="377"/>
      <c r="G248" s="377"/>
      <c r="H248" s="573"/>
      <c r="I248" s="377"/>
      <c r="J248" s="377"/>
      <c r="K248" s="377"/>
      <c r="L248" s="377"/>
      <c r="M248" s="377"/>
      <c r="N248" s="377"/>
      <c r="O248" s="377"/>
      <c r="P248" s="377"/>
      <c r="Q248" s="377"/>
      <c r="R248" s="377"/>
      <c r="S248" s="377"/>
      <c r="T248" s="377"/>
      <c r="U248" s="377"/>
      <c r="V248" s="377"/>
      <c r="W248" s="377"/>
      <c r="X248" s="574"/>
      <c r="Y248" s="377"/>
      <c r="Z248" s="377"/>
      <c r="AA248" s="377"/>
      <c r="AB248" s="377"/>
      <c r="AC248" s="377"/>
      <c r="AD248" s="377"/>
      <c r="AE248" s="377"/>
      <c r="AF248" s="377"/>
      <c r="AG248" s="377"/>
      <c r="AH248" s="377"/>
      <c r="AI248" s="377"/>
      <c r="AJ248" s="377"/>
      <c r="AK248" s="377"/>
      <c r="AL248" s="574"/>
      <c r="AM248" s="377"/>
      <c r="AN248" s="377"/>
      <c r="AO248" s="377"/>
      <c r="AP248" s="377"/>
      <c r="AQ248" s="377"/>
      <c r="AR248" s="377"/>
      <c r="AS248" s="377"/>
      <c r="AT248" s="377"/>
      <c r="AU248" s="377"/>
      <c r="AV248" s="377"/>
      <c r="AW248" s="575"/>
      <c r="AX248" s="377"/>
      <c r="AY248" s="377"/>
      <c r="AZ248" s="377"/>
      <c r="BA248" s="377"/>
      <c r="BB248" s="377"/>
      <c r="BC248" s="377"/>
      <c r="BD248" s="377"/>
      <c r="BE248" s="377"/>
      <c r="BF248" s="377"/>
      <c r="BG248" s="377"/>
      <c r="BH248" s="377"/>
      <c r="BI248" s="377"/>
      <c r="BJ248" s="377"/>
      <c r="BK248" s="377"/>
      <c r="BL248" s="377"/>
      <c r="BM248" s="377"/>
      <c r="BN248" s="576"/>
      <c r="BO248" s="377"/>
      <c r="BP248" s="377"/>
      <c r="BQ248" s="377"/>
      <c r="BR248" s="377"/>
      <c r="BS248" s="377"/>
      <c r="BT248" s="377"/>
      <c r="BU248" s="377"/>
      <c r="BV248" s="377"/>
      <c r="BW248" s="377"/>
      <c r="BX248" s="377"/>
      <c r="BY248" s="377"/>
      <c r="BZ248" s="377"/>
      <c r="CA248" s="377"/>
      <c r="CB248" s="377"/>
      <c r="CC248" s="377"/>
      <c r="CD248" s="377"/>
      <c r="CE248" s="377"/>
      <c r="CF248" s="377"/>
      <c r="CG248" s="377"/>
      <c r="CH248" s="377"/>
      <c r="CI248" s="377"/>
    </row>
    <row r="249" spans="1:87" ht="15">
      <c r="A249" s="377"/>
      <c r="B249" s="377"/>
      <c r="C249" s="572"/>
      <c r="D249" s="377"/>
      <c r="E249" s="377"/>
      <c r="F249" s="377"/>
      <c r="G249" s="377"/>
      <c r="H249" s="573"/>
      <c r="I249" s="377"/>
      <c r="J249" s="377"/>
      <c r="K249" s="377"/>
      <c r="L249" s="377"/>
      <c r="M249" s="377"/>
      <c r="N249" s="377"/>
      <c r="O249" s="377"/>
      <c r="P249" s="377"/>
      <c r="Q249" s="377"/>
      <c r="R249" s="377"/>
      <c r="S249" s="377"/>
      <c r="T249" s="377"/>
      <c r="U249" s="377"/>
      <c r="V249" s="377"/>
      <c r="W249" s="377"/>
      <c r="X249" s="574"/>
      <c r="Y249" s="377"/>
      <c r="Z249" s="377"/>
      <c r="AA249" s="377"/>
      <c r="AB249" s="377"/>
      <c r="AC249" s="377"/>
      <c r="AD249" s="377"/>
      <c r="AE249" s="377"/>
      <c r="AF249" s="377"/>
      <c r="AG249" s="377"/>
      <c r="AH249" s="377"/>
      <c r="AI249" s="377"/>
      <c r="AJ249" s="377"/>
      <c r="AK249" s="377"/>
      <c r="AL249" s="574"/>
      <c r="AM249" s="377"/>
      <c r="AN249" s="377"/>
      <c r="AO249" s="377"/>
      <c r="AP249" s="377"/>
      <c r="AQ249" s="377"/>
      <c r="AR249" s="377"/>
      <c r="AS249" s="377"/>
      <c r="AT249" s="377"/>
      <c r="AU249" s="377"/>
      <c r="AV249" s="377"/>
      <c r="AW249" s="575"/>
      <c r="AX249" s="377"/>
      <c r="AY249" s="377"/>
      <c r="AZ249" s="377"/>
      <c r="BA249" s="377"/>
      <c r="BB249" s="377"/>
      <c r="BC249" s="377"/>
      <c r="BD249" s="377"/>
      <c r="BE249" s="377"/>
      <c r="BF249" s="377"/>
      <c r="BG249" s="377"/>
      <c r="BH249" s="377"/>
      <c r="BI249" s="377"/>
      <c r="BJ249" s="377"/>
      <c r="BK249" s="377"/>
      <c r="BL249" s="377"/>
      <c r="BM249" s="377"/>
      <c r="BN249" s="576"/>
      <c r="BO249" s="377"/>
      <c r="BP249" s="377"/>
      <c r="BQ249" s="377"/>
      <c r="BR249" s="377"/>
      <c r="BS249" s="377"/>
      <c r="BT249" s="377"/>
      <c r="BU249" s="377"/>
      <c r="BV249" s="377"/>
      <c r="BW249" s="377"/>
      <c r="BX249" s="377"/>
      <c r="BY249" s="377"/>
      <c r="BZ249" s="377"/>
      <c r="CA249" s="377"/>
      <c r="CB249" s="377"/>
      <c r="CC249" s="377"/>
      <c r="CD249" s="377"/>
      <c r="CE249" s="377"/>
      <c r="CF249" s="377"/>
      <c r="CG249" s="377"/>
      <c r="CH249" s="377"/>
      <c r="CI249" s="377"/>
    </row>
    <row r="250" spans="1:87" ht="15">
      <c r="A250" s="377"/>
      <c r="B250" s="377"/>
      <c r="C250" s="572"/>
      <c r="D250" s="377"/>
      <c r="E250" s="377"/>
      <c r="F250" s="377"/>
      <c r="G250" s="377"/>
      <c r="H250" s="573"/>
      <c r="I250" s="377"/>
      <c r="J250" s="377"/>
      <c r="K250" s="377"/>
      <c r="L250" s="377"/>
      <c r="M250" s="377"/>
      <c r="N250" s="377"/>
      <c r="O250" s="377"/>
      <c r="P250" s="377"/>
      <c r="Q250" s="377"/>
      <c r="R250" s="377"/>
      <c r="S250" s="377"/>
      <c r="T250" s="377"/>
      <c r="U250" s="377"/>
      <c r="V250" s="377"/>
      <c r="W250" s="377"/>
      <c r="X250" s="574"/>
      <c r="Y250" s="377"/>
      <c r="Z250" s="377"/>
      <c r="AA250" s="377"/>
      <c r="AB250" s="377"/>
      <c r="AC250" s="377"/>
      <c r="AD250" s="377"/>
      <c r="AE250" s="377"/>
      <c r="AF250" s="377"/>
      <c r="AG250" s="377"/>
      <c r="AH250" s="377"/>
      <c r="AI250" s="377"/>
      <c r="AJ250" s="377"/>
      <c r="AK250" s="377"/>
      <c r="AL250" s="574"/>
      <c r="AM250" s="377"/>
      <c r="AN250" s="377"/>
      <c r="AO250" s="377"/>
      <c r="AP250" s="377"/>
      <c r="AQ250" s="377"/>
      <c r="AR250" s="377"/>
      <c r="AS250" s="377"/>
      <c r="AT250" s="377"/>
      <c r="AU250" s="377"/>
      <c r="AV250" s="377"/>
      <c r="AW250" s="575"/>
      <c r="AX250" s="377"/>
      <c r="AY250" s="377"/>
      <c r="AZ250" s="377"/>
      <c r="BA250" s="377"/>
      <c r="BB250" s="377"/>
      <c r="BC250" s="377"/>
      <c r="BD250" s="377"/>
      <c r="BE250" s="377"/>
      <c r="BF250" s="377"/>
      <c r="BG250" s="377"/>
      <c r="BH250" s="377"/>
      <c r="BI250" s="377"/>
      <c r="BJ250" s="377"/>
      <c r="BK250" s="377"/>
      <c r="BL250" s="377"/>
      <c r="BM250" s="377"/>
      <c r="BN250" s="576"/>
      <c r="BO250" s="377"/>
      <c r="BP250" s="377"/>
      <c r="BQ250" s="377"/>
      <c r="BR250" s="377"/>
      <c r="BS250" s="377"/>
      <c r="BT250" s="377"/>
      <c r="BU250" s="377"/>
      <c r="BV250" s="377"/>
      <c r="BW250" s="377"/>
      <c r="BX250" s="377"/>
      <c r="BY250" s="377"/>
      <c r="BZ250" s="377"/>
      <c r="CA250" s="377"/>
      <c r="CB250" s="377"/>
      <c r="CC250" s="377"/>
      <c r="CD250" s="377"/>
      <c r="CE250" s="377"/>
      <c r="CF250" s="377"/>
      <c r="CG250" s="377"/>
      <c r="CH250" s="377"/>
      <c r="CI250" s="377"/>
    </row>
    <row r="251" spans="1:87" ht="15">
      <c r="A251" s="377"/>
      <c r="B251" s="377"/>
      <c r="C251" s="572"/>
      <c r="D251" s="377"/>
      <c r="E251" s="377"/>
      <c r="F251" s="377"/>
      <c r="G251" s="377"/>
      <c r="H251" s="573"/>
      <c r="I251" s="377"/>
      <c r="J251" s="377"/>
      <c r="K251" s="377"/>
      <c r="L251" s="377"/>
      <c r="M251" s="377"/>
      <c r="N251" s="377"/>
      <c r="O251" s="377"/>
      <c r="P251" s="377"/>
      <c r="Q251" s="377"/>
      <c r="R251" s="377"/>
      <c r="S251" s="377"/>
      <c r="T251" s="377"/>
      <c r="U251" s="377"/>
      <c r="V251" s="377"/>
      <c r="W251" s="377"/>
      <c r="X251" s="574"/>
      <c r="Y251" s="377"/>
      <c r="Z251" s="377"/>
      <c r="AA251" s="377"/>
      <c r="AB251" s="377"/>
      <c r="AC251" s="377"/>
      <c r="AD251" s="377"/>
      <c r="AE251" s="377"/>
      <c r="AF251" s="377"/>
      <c r="AG251" s="377"/>
      <c r="AH251" s="377"/>
      <c r="AI251" s="377"/>
      <c r="AJ251" s="377"/>
      <c r="AK251" s="377"/>
      <c r="AL251" s="574"/>
      <c r="AM251" s="377"/>
      <c r="AN251" s="377"/>
      <c r="AO251" s="377"/>
      <c r="AP251" s="377"/>
      <c r="AQ251" s="377"/>
      <c r="AR251" s="377"/>
      <c r="AS251" s="377"/>
      <c r="AT251" s="377"/>
      <c r="AU251" s="377"/>
      <c r="AV251" s="377"/>
      <c r="AW251" s="575"/>
      <c r="AX251" s="377"/>
      <c r="AY251" s="377"/>
      <c r="AZ251" s="377"/>
      <c r="BA251" s="377"/>
      <c r="BB251" s="377"/>
      <c r="BC251" s="377"/>
      <c r="BD251" s="377"/>
      <c r="BE251" s="377"/>
      <c r="BF251" s="377"/>
      <c r="BG251" s="377"/>
      <c r="BH251" s="377"/>
      <c r="BI251" s="377"/>
      <c r="BJ251" s="377"/>
      <c r="BK251" s="377"/>
      <c r="BL251" s="377"/>
      <c r="BM251" s="377"/>
      <c r="BN251" s="576"/>
      <c r="BO251" s="377"/>
      <c r="BP251" s="377"/>
      <c r="BQ251" s="377"/>
      <c r="BR251" s="377"/>
      <c r="BS251" s="377"/>
      <c r="BT251" s="377"/>
      <c r="BU251" s="377"/>
      <c r="BV251" s="377"/>
      <c r="BW251" s="377"/>
      <c r="BX251" s="377"/>
      <c r="BY251" s="377"/>
      <c r="BZ251" s="377"/>
      <c r="CA251" s="377"/>
      <c r="CB251" s="377"/>
      <c r="CC251" s="377"/>
      <c r="CD251" s="377"/>
      <c r="CE251" s="377"/>
      <c r="CF251" s="377"/>
      <c r="CG251" s="377"/>
      <c r="CH251" s="377"/>
      <c r="CI251" s="377"/>
    </row>
    <row r="252" spans="1:87" ht="15">
      <c r="A252" s="377"/>
      <c r="B252" s="377"/>
      <c r="C252" s="572"/>
      <c r="D252" s="377"/>
      <c r="E252" s="377"/>
      <c r="F252" s="377"/>
      <c r="G252" s="377"/>
      <c r="H252" s="573"/>
      <c r="I252" s="377"/>
      <c r="J252" s="377"/>
      <c r="K252" s="377"/>
      <c r="L252" s="377"/>
      <c r="M252" s="377"/>
      <c r="N252" s="377"/>
      <c r="O252" s="377"/>
      <c r="P252" s="377"/>
      <c r="Q252" s="377"/>
      <c r="R252" s="377"/>
      <c r="S252" s="377"/>
      <c r="T252" s="377"/>
      <c r="U252" s="377"/>
      <c r="V252" s="377"/>
      <c r="W252" s="377"/>
      <c r="X252" s="574"/>
      <c r="Y252" s="377"/>
      <c r="Z252" s="377"/>
      <c r="AA252" s="377"/>
      <c r="AB252" s="377"/>
      <c r="AC252" s="377"/>
      <c r="AD252" s="377"/>
      <c r="AE252" s="377"/>
      <c r="AF252" s="377"/>
      <c r="AG252" s="377"/>
      <c r="AH252" s="377"/>
      <c r="AI252" s="377"/>
      <c r="AJ252" s="377"/>
      <c r="AK252" s="377"/>
      <c r="AL252" s="574"/>
      <c r="AM252" s="377"/>
      <c r="AN252" s="377"/>
      <c r="AO252" s="377"/>
      <c r="AP252" s="377"/>
      <c r="AQ252" s="377"/>
      <c r="AR252" s="377"/>
      <c r="AS252" s="377"/>
      <c r="AT252" s="377"/>
      <c r="AU252" s="377"/>
      <c r="AV252" s="377"/>
      <c r="AW252" s="575"/>
      <c r="AX252" s="377"/>
      <c r="AY252" s="377"/>
      <c r="AZ252" s="377"/>
      <c r="BA252" s="377"/>
      <c r="BB252" s="377"/>
      <c r="BC252" s="377"/>
      <c r="BD252" s="377"/>
      <c r="BE252" s="377"/>
      <c r="BF252" s="377"/>
      <c r="BG252" s="377"/>
      <c r="BH252" s="377"/>
      <c r="BI252" s="377"/>
      <c r="BJ252" s="377"/>
      <c r="BK252" s="377"/>
      <c r="BL252" s="377"/>
      <c r="BM252" s="377"/>
      <c r="BN252" s="576"/>
      <c r="BO252" s="377"/>
      <c r="BP252" s="377"/>
      <c r="BQ252" s="377"/>
      <c r="BR252" s="377"/>
      <c r="BS252" s="377"/>
      <c r="BT252" s="377"/>
      <c r="BU252" s="377"/>
      <c r="BV252" s="377"/>
      <c r="BW252" s="377"/>
      <c r="BX252" s="377"/>
      <c r="BY252" s="377"/>
      <c r="BZ252" s="377"/>
      <c r="CA252" s="377"/>
      <c r="CB252" s="377"/>
      <c r="CC252" s="377"/>
      <c r="CD252" s="377"/>
      <c r="CE252" s="377"/>
      <c r="CF252" s="377"/>
      <c r="CG252" s="377"/>
      <c r="CH252" s="377"/>
      <c r="CI252" s="377"/>
    </row>
    <row r="253" spans="1:87" ht="15">
      <c r="A253" s="377"/>
      <c r="B253" s="377"/>
      <c r="C253" s="572"/>
      <c r="D253" s="377"/>
      <c r="E253" s="377"/>
      <c r="F253" s="377"/>
      <c r="G253" s="377"/>
      <c r="H253" s="573"/>
      <c r="I253" s="377"/>
      <c r="J253" s="377"/>
      <c r="K253" s="377"/>
      <c r="L253" s="377"/>
      <c r="M253" s="377"/>
      <c r="N253" s="377"/>
      <c r="O253" s="377"/>
      <c r="P253" s="377"/>
      <c r="Q253" s="377"/>
      <c r="R253" s="377"/>
      <c r="S253" s="377"/>
      <c r="T253" s="377"/>
      <c r="U253" s="377"/>
      <c r="V253" s="377"/>
      <c r="W253" s="377"/>
      <c r="X253" s="574"/>
      <c r="Y253" s="377"/>
      <c r="Z253" s="377"/>
      <c r="AA253" s="377"/>
      <c r="AB253" s="377"/>
      <c r="AC253" s="377"/>
      <c r="AD253" s="377"/>
      <c r="AE253" s="377"/>
      <c r="AF253" s="377"/>
      <c r="AG253" s="377"/>
      <c r="AH253" s="377"/>
      <c r="AI253" s="377"/>
      <c r="AJ253" s="377"/>
      <c r="AK253" s="377"/>
      <c r="AL253" s="574"/>
      <c r="AM253" s="377"/>
      <c r="AN253" s="377"/>
      <c r="AO253" s="377"/>
      <c r="AP253" s="377"/>
      <c r="AQ253" s="377"/>
      <c r="AR253" s="377"/>
      <c r="AS253" s="377"/>
      <c r="AT253" s="377"/>
      <c r="AU253" s="377"/>
      <c r="AV253" s="377"/>
      <c r="AW253" s="575"/>
      <c r="AX253" s="377"/>
      <c r="AY253" s="377"/>
      <c r="AZ253" s="377"/>
      <c r="BA253" s="377"/>
      <c r="BB253" s="377"/>
      <c r="BC253" s="377"/>
      <c r="BD253" s="377"/>
      <c r="BE253" s="377"/>
      <c r="BF253" s="377"/>
      <c r="BG253" s="377"/>
      <c r="BH253" s="377"/>
      <c r="BI253" s="377"/>
      <c r="BJ253" s="377"/>
      <c r="BK253" s="377"/>
      <c r="BL253" s="377"/>
      <c r="BM253" s="377"/>
      <c r="BN253" s="576"/>
      <c r="BO253" s="377"/>
      <c r="BP253" s="377"/>
      <c r="BQ253" s="377"/>
      <c r="BR253" s="377"/>
      <c r="BS253" s="377"/>
      <c r="BT253" s="377"/>
      <c r="BU253" s="377"/>
      <c r="BV253" s="377"/>
      <c r="BW253" s="377"/>
      <c r="BX253" s="377"/>
      <c r="BY253" s="377"/>
      <c r="BZ253" s="377"/>
      <c r="CA253" s="377"/>
      <c r="CB253" s="377"/>
      <c r="CC253" s="377"/>
      <c r="CD253" s="377"/>
      <c r="CE253" s="377"/>
      <c r="CF253" s="377"/>
      <c r="CG253" s="377"/>
      <c r="CH253" s="377"/>
      <c r="CI253" s="377"/>
    </row>
    <row r="254" spans="1:87" ht="15">
      <c r="A254" s="377"/>
      <c r="B254" s="377"/>
      <c r="C254" s="572"/>
      <c r="D254" s="377"/>
      <c r="E254" s="377"/>
      <c r="F254" s="377"/>
      <c r="G254" s="377"/>
      <c r="H254" s="573"/>
      <c r="I254" s="377"/>
      <c r="J254" s="377"/>
      <c r="K254" s="377"/>
      <c r="L254" s="377"/>
      <c r="M254" s="377"/>
      <c r="N254" s="377"/>
      <c r="O254" s="377"/>
      <c r="P254" s="377"/>
      <c r="Q254" s="377"/>
      <c r="R254" s="377"/>
      <c r="S254" s="377"/>
      <c r="T254" s="377"/>
      <c r="U254" s="377"/>
      <c r="V254" s="377"/>
      <c r="W254" s="377"/>
      <c r="X254" s="574"/>
      <c r="Y254" s="377"/>
      <c r="Z254" s="377"/>
      <c r="AA254" s="377"/>
      <c r="AB254" s="377"/>
      <c r="AC254" s="377"/>
      <c r="AD254" s="377"/>
      <c r="AE254" s="377"/>
      <c r="AF254" s="377"/>
      <c r="AG254" s="377"/>
      <c r="AH254" s="377"/>
      <c r="AI254" s="377"/>
      <c r="AJ254" s="377"/>
      <c r="AK254" s="377"/>
      <c r="AL254" s="574"/>
      <c r="AM254" s="377"/>
      <c r="AN254" s="377"/>
      <c r="AO254" s="377"/>
      <c r="AP254" s="377"/>
      <c r="AQ254" s="377"/>
      <c r="AR254" s="377"/>
      <c r="AS254" s="377"/>
      <c r="AT254" s="377"/>
      <c r="AU254" s="377"/>
      <c r="AV254" s="377"/>
      <c r="AW254" s="575"/>
      <c r="AX254" s="377"/>
      <c r="AY254" s="377"/>
      <c r="AZ254" s="377"/>
      <c r="BA254" s="377"/>
      <c r="BB254" s="377"/>
      <c r="BC254" s="377"/>
      <c r="BD254" s="377"/>
      <c r="BE254" s="377"/>
      <c r="BF254" s="377"/>
      <c r="BG254" s="377"/>
      <c r="BH254" s="377"/>
      <c r="BI254" s="377"/>
      <c r="BJ254" s="377"/>
      <c r="BK254" s="377"/>
      <c r="BL254" s="377"/>
      <c r="BM254" s="377"/>
      <c r="BN254" s="576"/>
      <c r="BO254" s="377"/>
      <c r="BP254" s="377"/>
      <c r="BQ254" s="377"/>
      <c r="BR254" s="377"/>
      <c r="BS254" s="377"/>
      <c r="BT254" s="377"/>
      <c r="BU254" s="377"/>
      <c r="BV254" s="377"/>
      <c r="BW254" s="377"/>
      <c r="BX254" s="377"/>
      <c r="BY254" s="377"/>
      <c r="BZ254" s="377"/>
      <c r="CA254" s="377"/>
      <c r="CB254" s="377"/>
      <c r="CC254" s="377"/>
      <c r="CD254" s="377"/>
      <c r="CE254" s="377"/>
      <c r="CF254" s="377"/>
      <c r="CG254" s="377"/>
      <c r="CH254" s="377"/>
      <c r="CI254" s="377"/>
    </row>
    <row r="255" spans="1:87" ht="15">
      <c r="A255" s="377"/>
      <c r="B255" s="377"/>
      <c r="C255" s="572"/>
      <c r="D255" s="377"/>
      <c r="E255" s="377"/>
      <c r="F255" s="377"/>
      <c r="G255" s="377"/>
      <c r="H255" s="573"/>
      <c r="I255" s="377"/>
      <c r="J255" s="377"/>
      <c r="K255" s="377"/>
      <c r="L255" s="377"/>
      <c r="M255" s="377"/>
      <c r="N255" s="377"/>
      <c r="O255" s="377"/>
      <c r="P255" s="377"/>
      <c r="Q255" s="377"/>
      <c r="R255" s="377"/>
      <c r="S255" s="377"/>
      <c r="T255" s="377"/>
      <c r="U255" s="377"/>
      <c r="V255" s="377"/>
      <c r="W255" s="377"/>
      <c r="X255" s="574"/>
      <c r="Y255" s="377"/>
      <c r="Z255" s="377"/>
      <c r="AA255" s="377"/>
      <c r="AB255" s="377"/>
      <c r="AC255" s="377"/>
      <c r="AD255" s="377"/>
      <c r="AE255" s="377"/>
      <c r="AF255" s="377"/>
      <c r="AG255" s="377"/>
      <c r="AH255" s="377"/>
      <c r="AI255" s="377"/>
      <c r="AJ255" s="377"/>
      <c r="AK255" s="377"/>
      <c r="AL255" s="574"/>
      <c r="AM255" s="377"/>
      <c r="AN255" s="377"/>
      <c r="AO255" s="377"/>
      <c r="AP255" s="377"/>
      <c r="AQ255" s="377"/>
      <c r="AR255" s="377"/>
      <c r="AS255" s="377"/>
      <c r="AT255" s="377"/>
      <c r="AU255" s="377"/>
      <c r="AV255" s="377"/>
      <c r="AW255" s="575"/>
      <c r="AX255" s="377"/>
      <c r="AY255" s="377"/>
      <c r="AZ255" s="377"/>
      <c r="BA255" s="377"/>
      <c r="BB255" s="377"/>
      <c r="BC255" s="377"/>
      <c r="BD255" s="377"/>
      <c r="BE255" s="377"/>
      <c r="BF255" s="377"/>
      <c r="BG255" s="377"/>
      <c r="BH255" s="377"/>
      <c r="BI255" s="377"/>
      <c r="BJ255" s="377"/>
      <c r="BK255" s="377"/>
      <c r="BL255" s="377"/>
      <c r="BM255" s="377"/>
      <c r="BN255" s="576"/>
      <c r="BO255" s="377"/>
      <c r="BP255" s="377"/>
      <c r="BQ255" s="377"/>
      <c r="BR255" s="377"/>
      <c r="BS255" s="377"/>
      <c r="BT255" s="377"/>
      <c r="BU255" s="377"/>
      <c r="BV255" s="377"/>
      <c r="BW255" s="377"/>
      <c r="BX255" s="377"/>
      <c r="BY255" s="377"/>
      <c r="BZ255" s="377"/>
      <c r="CA255" s="377"/>
      <c r="CB255" s="377"/>
      <c r="CC255" s="377"/>
      <c r="CD255" s="377"/>
      <c r="CE255" s="377"/>
      <c r="CF255" s="377"/>
      <c r="CG255" s="377"/>
      <c r="CH255" s="377"/>
      <c r="CI255" s="377"/>
    </row>
    <row r="256" spans="1:87" ht="15">
      <c r="A256" s="377"/>
      <c r="B256" s="377"/>
      <c r="C256" s="572"/>
      <c r="D256" s="377"/>
      <c r="E256" s="377"/>
      <c r="F256" s="377"/>
      <c r="G256" s="377"/>
      <c r="H256" s="573"/>
      <c r="I256" s="377"/>
      <c r="J256" s="377"/>
      <c r="K256" s="377"/>
      <c r="L256" s="377"/>
      <c r="M256" s="377"/>
      <c r="N256" s="377"/>
      <c r="O256" s="377"/>
      <c r="P256" s="377"/>
      <c r="Q256" s="377"/>
      <c r="R256" s="377"/>
      <c r="S256" s="377"/>
      <c r="T256" s="377"/>
      <c r="U256" s="377"/>
      <c r="V256" s="377"/>
      <c r="W256" s="377"/>
      <c r="X256" s="574"/>
      <c r="Y256" s="377"/>
      <c r="Z256" s="377"/>
      <c r="AA256" s="377"/>
      <c r="AB256" s="377"/>
      <c r="AC256" s="377"/>
      <c r="AD256" s="377"/>
      <c r="AE256" s="377"/>
      <c r="AF256" s="377"/>
      <c r="AG256" s="377"/>
      <c r="AH256" s="377"/>
      <c r="AI256" s="377"/>
      <c r="AJ256" s="377"/>
      <c r="AK256" s="377"/>
      <c r="AL256" s="574"/>
      <c r="AM256" s="377"/>
      <c r="AN256" s="377"/>
      <c r="AO256" s="377"/>
      <c r="AP256" s="377"/>
      <c r="AQ256" s="377"/>
      <c r="AR256" s="377"/>
      <c r="AS256" s="377"/>
      <c r="AT256" s="377"/>
      <c r="AU256" s="377"/>
      <c r="AV256" s="377"/>
      <c r="AW256" s="575"/>
      <c r="AX256" s="377"/>
      <c r="AY256" s="377"/>
      <c r="AZ256" s="377"/>
      <c r="BA256" s="377"/>
      <c r="BB256" s="377"/>
      <c r="BC256" s="377"/>
      <c r="BD256" s="377"/>
      <c r="BE256" s="377"/>
      <c r="BF256" s="377"/>
      <c r="BG256" s="377"/>
      <c r="BH256" s="377"/>
      <c r="BI256" s="377"/>
      <c r="BJ256" s="377"/>
      <c r="BK256" s="377"/>
      <c r="BL256" s="377"/>
      <c r="BM256" s="377"/>
      <c r="BN256" s="576"/>
      <c r="BO256" s="377"/>
      <c r="BP256" s="377"/>
      <c r="BQ256" s="377"/>
      <c r="BR256" s="377"/>
      <c r="BS256" s="377"/>
      <c r="BT256" s="377"/>
      <c r="BU256" s="377"/>
      <c r="BV256" s="377"/>
      <c r="BW256" s="377"/>
      <c r="BX256" s="377"/>
      <c r="BY256" s="377"/>
      <c r="BZ256" s="377"/>
      <c r="CA256" s="377"/>
      <c r="CB256" s="377"/>
      <c r="CC256" s="377"/>
      <c r="CD256" s="377"/>
      <c r="CE256" s="377"/>
      <c r="CF256" s="377"/>
      <c r="CG256" s="377"/>
      <c r="CH256" s="377"/>
      <c r="CI256" s="377"/>
    </row>
    <row r="257" spans="1:87" ht="15">
      <c r="A257" s="377"/>
      <c r="B257" s="377"/>
      <c r="C257" s="572"/>
      <c r="D257" s="377"/>
      <c r="E257" s="377"/>
      <c r="F257" s="377"/>
      <c r="G257" s="377"/>
      <c r="H257" s="573"/>
      <c r="I257" s="377"/>
      <c r="J257" s="377"/>
      <c r="K257" s="377"/>
      <c r="L257" s="377"/>
      <c r="M257" s="377"/>
      <c r="N257" s="377"/>
      <c r="O257" s="377"/>
      <c r="P257" s="377"/>
      <c r="Q257" s="377"/>
      <c r="R257" s="377"/>
      <c r="S257" s="377"/>
      <c r="T257" s="377"/>
      <c r="U257" s="377"/>
      <c r="V257" s="377"/>
      <c r="W257" s="377"/>
      <c r="X257" s="574"/>
      <c r="Y257" s="377"/>
      <c r="Z257" s="377"/>
      <c r="AA257" s="377"/>
      <c r="AB257" s="377"/>
      <c r="AC257" s="377"/>
      <c r="AD257" s="377"/>
      <c r="AE257" s="377"/>
      <c r="AF257" s="377"/>
      <c r="AG257" s="377"/>
      <c r="AH257" s="377"/>
      <c r="AI257" s="377"/>
      <c r="AJ257" s="377"/>
      <c r="AK257" s="377"/>
      <c r="AL257" s="574"/>
      <c r="AM257" s="377"/>
      <c r="AN257" s="377"/>
      <c r="AO257" s="377"/>
      <c r="AP257" s="377"/>
      <c r="AQ257" s="377"/>
      <c r="AR257" s="377"/>
      <c r="AS257" s="377"/>
      <c r="AT257" s="377"/>
      <c r="AU257" s="377"/>
      <c r="AV257" s="377"/>
      <c r="AW257" s="575"/>
      <c r="AX257" s="377"/>
      <c r="AY257" s="377"/>
      <c r="AZ257" s="377"/>
      <c r="BA257" s="377"/>
      <c r="BB257" s="377"/>
      <c r="BC257" s="377"/>
      <c r="BD257" s="377"/>
      <c r="BE257" s="377"/>
      <c r="BF257" s="377"/>
      <c r="BG257" s="377"/>
      <c r="BH257" s="377"/>
      <c r="BI257" s="377"/>
      <c r="BJ257" s="377"/>
      <c r="BK257" s="377"/>
      <c r="BL257" s="377"/>
      <c r="BM257" s="377"/>
      <c r="BN257" s="576"/>
      <c r="BO257" s="377"/>
      <c r="BP257" s="377"/>
      <c r="BQ257" s="377"/>
      <c r="BR257" s="377"/>
      <c r="BS257" s="377"/>
      <c r="BT257" s="377"/>
      <c r="BU257" s="377"/>
      <c r="BV257" s="377"/>
      <c r="BW257" s="377"/>
      <c r="BX257" s="377"/>
      <c r="BY257" s="377"/>
      <c r="BZ257" s="377"/>
      <c r="CA257" s="377"/>
      <c r="CB257" s="377"/>
      <c r="CC257" s="377"/>
      <c r="CD257" s="377"/>
      <c r="CE257" s="377"/>
      <c r="CF257" s="377"/>
      <c r="CG257" s="377"/>
      <c r="CH257" s="377"/>
      <c r="CI257" s="377"/>
    </row>
    <row r="258" spans="1:87" ht="15">
      <c r="A258" s="377"/>
      <c r="B258" s="377"/>
      <c r="C258" s="572"/>
      <c r="D258" s="377"/>
      <c r="E258" s="377"/>
      <c r="F258" s="377"/>
      <c r="G258" s="377"/>
      <c r="H258" s="573"/>
      <c r="I258" s="377"/>
      <c r="J258" s="377"/>
      <c r="K258" s="377"/>
      <c r="L258" s="377"/>
      <c r="M258" s="377"/>
      <c r="N258" s="377"/>
      <c r="O258" s="377"/>
      <c r="P258" s="377"/>
      <c r="Q258" s="377"/>
      <c r="R258" s="377"/>
      <c r="S258" s="377"/>
      <c r="T258" s="377"/>
      <c r="U258" s="377"/>
      <c r="V258" s="377"/>
      <c r="W258" s="377"/>
      <c r="X258" s="574"/>
      <c r="Y258" s="377"/>
      <c r="Z258" s="377"/>
      <c r="AA258" s="377"/>
      <c r="AB258" s="377"/>
      <c r="AC258" s="377"/>
      <c r="AD258" s="377"/>
      <c r="AE258" s="377"/>
      <c r="AF258" s="377"/>
      <c r="AG258" s="377"/>
      <c r="AH258" s="377"/>
      <c r="AI258" s="377"/>
      <c r="AJ258" s="377"/>
      <c r="AK258" s="377"/>
      <c r="AL258" s="574"/>
      <c r="AM258" s="377"/>
      <c r="AN258" s="377"/>
      <c r="AO258" s="377"/>
      <c r="AP258" s="377"/>
      <c r="AQ258" s="377"/>
      <c r="AR258" s="377"/>
      <c r="AS258" s="377"/>
      <c r="AT258" s="377"/>
      <c r="AU258" s="377"/>
      <c r="AV258" s="377"/>
      <c r="AW258" s="575"/>
      <c r="AX258" s="377"/>
      <c r="AY258" s="377"/>
      <c r="AZ258" s="377"/>
      <c r="BA258" s="377"/>
      <c r="BB258" s="377"/>
      <c r="BC258" s="377"/>
      <c r="BD258" s="377"/>
      <c r="BE258" s="377"/>
      <c r="BF258" s="377"/>
      <c r="BG258" s="377"/>
      <c r="BH258" s="377"/>
      <c r="BI258" s="377"/>
      <c r="BJ258" s="377"/>
      <c r="BK258" s="377"/>
      <c r="BL258" s="377"/>
      <c r="BM258" s="377"/>
      <c r="BN258" s="576"/>
      <c r="BO258" s="377"/>
      <c r="BP258" s="377"/>
      <c r="BQ258" s="377"/>
      <c r="BR258" s="377"/>
      <c r="BS258" s="377"/>
      <c r="BT258" s="377"/>
      <c r="BU258" s="377"/>
      <c r="BV258" s="377"/>
      <c r="BW258" s="377"/>
      <c r="BX258" s="377"/>
      <c r="BY258" s="377"/>
      <c r="BZ258" s="377"/>
      <c r="CA258" s="377"/>
      <c r="CB258" s="377"/>
      <c r="CC258" s="377"/>
      <c r="CD258" s="377"/>
      <c r="CE258" s="377"/>
      <c r="CF258" s="377"/>
      <c r="CG258" s="377"/>
      <c r="CH258" s="377"/>
      <c r="CI258" s="377"/>
    </row>
    <row r="259" spans="1:87" ht="15">
      <c r="A259" s="377"/>
      <c r="B259" s="377"/>
      <c r="C259" s="572"/>
      <c r="D259" s="377"/>
      <c r="E259" s="377"/>
      <c r="F259" s="377"/>
      <c r="G259" s="377"/>
      <c r="H259" s="573"/>
      <c r="I259" s="377"/>
      <c r="J259" s="377"/>
      <c r="K259" s="377"/>
      <c r="L259" s="377"/>
      <c r="M259" s="377"/>
      <c r="N259" s="377"/>
      <c r="O259" s="377"/>
      <c r="P259" s="377"/>
      <c r="Q259" s="377"/>
      <c r="R259" s="377"/>
      <c r="S259" s="377"/>
      <c r="T259" s="377"/>
      <c r="U259" s="377"/>
      <c r="V259" s="377"/>
      <c r="W259" s="377"/>
      <c r="X259" s="574"/>
      <c r="Y259" s="377"/>
      <c r="Z259" s="377"/>
      <c r="AA259" s="377"/>
      <c r="AB259" s="377"/>
      <c r="AC259" s="377"/>
      <c r="AD259" s="377"/>
      <c r="AE259" s="377"/>
      <c r="AF259" s="377"/>
      <c r="AG259" s="377"/>
      <c r="AH259" s="377"/>
      <c r="AI259" s="377"/>
      <c r="AJ259" s="377"/>
      <c r="AK259" s="377"/>
      <c r="AL259" s="574"/>
      <c r="AM259" s="377"/>
      <c r="AN259" s="377"/>
      <c r="AO259" s="377"/>
      <c r="AP259" s="377"/>
      <c r="AQ259" s="377"/>
      <c r="AR259" s="377"/>
      <c r="AS259" s="377"/>
      <c r="AT259" s="377"/>
      <c r="AU259" s="377"/>
      <c r="AV259" s="377"/>
      <c r="AW259" s="575"/>
      <c r="AX259" s="377"/>
      <c r="AY259" s="377"/>
      <c r="AZ259" s="377"/>
      <c r="BA259" s="377"/>
      <c r="BB259" s="377"/>
      <c r="BC259" s="377"/>
      <c r="BD259" s="377"/>
      <c r="BE259" s="377"/>
      <c r="BF259" s="377"/>
      <c r="BG259" s="377"/>
      <c r="BH259" s="377"/>
      <c r="BI259" s="377"/>
      <c r="BJ259" s="377"/>
      <c r="BK259" s="377"/>
      <c r="BL259" s="377"/>
      <c r="BM259" s="377"/>
      <c r="BN259" s="576"/>
      <c r="BO259" s="377"/>
      <c r="BP259" s="377"/>
      <c r="BQ259" s="377"/>
      <c r="BR259" s="377"/>
      <c r="BS259" s="377"/>
      <c r="BT259" s="377"/>
      <c r="BU259" s="377"/>
      <c r="BV259" s="377"/>
      <c r="BW259" s="377"/>
      <c r="BX259" s="377"/>
      <c r="BY259" s="377"/>
      <c r="BZ259" s="377"/>
      <c r="CA259" s="377"/>
      <c r="CB259" s="377"/>
      <c r="CC259" s="377"/>
      <c r="CD259" s="377"/>
      <c r="CE259" s="377"/>
      <c r="CF259" s="377"/>
      <c r="CG259" s="377"/>
      <c r="CH259" s="377"/>
      <c r="CI259" s="377"/>
    </row>
    <row r="260" spans="1:87" ht="15">
      <c r="A260" s="377"/>
      <c r="B260" s="377"/>
      <c r="C260" s="572"/>
      <c r="D260" s="377"/>
      <c r="E260" s="377"/>
      <c r="F260" s="377"/>
      <c r="G260" s="377"/>
      <c r="H260" s="573"/>
      <c r="I260" s="377"/>
      <c r="J260" s="377"/>
      <c r="K260" s="377"/>
      <c r="L260" s="377"/>
      <c r="M260" s="377"/>
      <c r="N260" s="377"/>
      <c r="O260" s="377"/>
      <c r="P260" s="377"/>
      <c r="Q260" s="377"/>
      <c r="R260" s="377"/>
      <c r="S260" s="377"/>
      <c r="T260" s="377"/>
      <c r="U260" s="377"/>
      <c r="V260" s="377"/>
      <c r="W260" s="377"/>
      <c r="X260" s="574"/>
      <c r="Y260" s="377"/>
      <c r="Z260" s="377"/>
      <c r="AA260" s="377"/>
      <c r="AB260" s="377"/>
      <c r="AC260" s="377"/>
      <c r="AD260" s="377"/>
      <c r="AE260" s="377"/>
      <c r="AF260" s="377"/>
      <c r="AG260" s="377"/>
      <c r="AH260" s="377"/>
      <c r="AI260" s="377"/>
      <c r="AJ260" s="377"/>
      <c r="AK260" s="377"/>
      <c r="AL260" s="574"/>
      <c r="AM260" s="377"/>
      <c r="AN260" s="377"/>
      <c r="AO260" s="377"/>
      <c r="AP260" s="377"/>
      <c r="AQ260" s="377"/>
      <c r="AR260" s="377"/>
      <c r="AS260" s="377"/>
      <c r="AT260" s="377"/>
      <c r="AU260" s="377"/>
      <c r="AV260" s="377"/>
      <c r="AW260" s="575"/>
      <c r="AX260" s="377"/>
      <c r="AY260" s="377"/>
      <c r="AZ260" s="377"/>
      <c r="BA260" s="377"/>
      <c r="BB260" s="377"/>
      <c r="BC260" s="377"/>
      <c r="BD260" s="377"/>
      <c r="BE260" s="377"/>
      <c r="BF260" s="377"/>
      <c r="BG260" s="377"/>
      <c r="BH260" s="377"/>
      <c r="BI260" s="377"/>
      <c r="BJ260" s="377"/>
      <c r="BK260" s="377"/>
      <c r="BL260" s="377"/>
      <c r="BM260" s="377"/>
      <c r="BN260" s="576"/>
      <c r="BO260" s="377"/>
      <c r="BP260" s="377"/>
      <c r="BQ260" s="377"/>
      <c r="BR260" s="377"/>
      <c r="BS260" s="377"/>
      <c r="BT260" s="377"/>
      <c r="BU260" s="377"/>
      <c r="BV260" s="377"/>
      <c r="BW260" s="377"/>
      <c r="BX260" s="377"/>
      <c r="BY260" s="377"/>
      <c r="BZ260" s="377"/>
      <c r="CA260" s="377"/>
      <c r="CB260" s="377"/>
      <c r="CC260" s="377"/>
      <c r="CD260" s="377"/>
      <c r="CE260" s="377"/>
      <c r="CF260" s="377"/>
      <c r="CG260" s="377"/>
      <c r="CH260" s="377"/>
      <c r="CI260" s="377"/>
    </row>
    <row r="261" spans="1:87" ht="15">
      <c r="A261" s="377"/>
      <c r="B261" s="377"/>
      <c r="C261" s="572"/>
      <c r="D261" s="377"/>
      <c r="E261" s="377"/>
      <c r="F261" s="377"/>
      <c r="G261" s="377"/>
      <c r="H261" s="573"/>
      <c r="I261" s="377"/>
      <c r="J261" s="377"/>
      <c r="K261" s="377"/>
      <c r="L261" s="377"/>
      <c r="M261" s="377"/>
      <c r="N261" s="377"/>
      <c r="O261" s="377"/>
      <c r="P261" s="377"/>
      <c r="Q261" s="377"/>
      <c r="R261" s="377"/>
      <c r="S261" s="377"/>
      <c r="T261" s="377"/>
      <c r="U261" s="377"/>
      <c r="V261" s="377"/>
      <c r="W261" s="377"/>
      <c r="X261" s="574"/>
      <c r="Y261" s="377"/>
      <c r="Z261" s="377"/>
      <c r="AA261" s="377"/>
      <c r="AB261" s="377"/>
      <c r="AC261" s="377"/>
      <c r="AD261" s="377"/>
      <c r="AE261" s="377"/>
      <c r="AF261" s="377"/>
      <c r="AG261" s="377"/>
      <c r="AH261" s="377"/>
      <c r="AI261" s="377"/>
      <c r="AJ261" s="377"/>
      <c r="AK261" s="377"/>
      <c r="AL261" s="574"/>
      <c r="AM261" s="377"/>
      <c r="AN261" s="377"/>
      <c r="AO261" s="377"/>
      <c r="AP261" s="377"/>
      <c r="AQ261" s="377"/>
      <c r="AR261" s="377"/>
      <c r="AS261" s="377"/>
      <c r="AT261" s="377"/>
      <c r="AU261" s="377"/>
      <c r="AV261" s="377"/>
      <c r="AW261" s="575"/>
      <c r="AX261" s="377"/>
      <c r="AY261" s="377"/>
      <c r="AZ261" s="377"/>
      <c r="BA261" s="377"/>
      <c r="BB261" s="377"/>
      <c r="BC261" s="377"/>
      <c r="BD261" s="377"/>
      <c r="BE261" s="377"/>
      <c r="BF261" s="377"/>
      <c r="BG261" s="377"/>
      <c r="BH261" s="377"/>
      <c r="BI261" s="377"/>
      <c r="BJ261" s="377"/>
      <c r="BK261" s="377"/>
      <c r="BL261" s="377"/>
      <c r="BM261" s="377"/>
      <c r="BN261" s="576"/>
      <c r="BO261" s="377"/>
      <c r="BP261" s="377"/>
      <c r="BQ261" s="377"/>
      <c r="BR261" s="377"/>
      <c r="BS261" s="377"/>
      <c r="BT261" s="377"/>
      <c r="BU261" s="377"/>
      <c r="BV261" s="377"/>
      <c r="BW261" s="377"/>
      <c r="BX261" s="377"/>
      <c r="BY261" s="377"/>
      <c r="BZ261" s="377"/>
      <c r="CA261" s="377"/>
      <c r="CB261" s="377"/>
      <c r="CC261" s="377"/>
      <c r="CD261" s="377"/>
      <c r="CE261" s="377"/>
      <c r="CF261" s="377"/>
      <c r="CG261" s="377"/>
      <c r="CH261" s="377"/>
      <c r="CI261" s="377"/>
    </row>
    <row r="262" spans="1:87" ht="15">
      <c r="A262" s="377"/>
      <c r="B262" s="377"/>
      <c r="C262" s="572"/>
      <c r="D262" s="377"/>
      <c r="E262" s="377"/>
      <c r="F262" s="377"/>
      <c r="G262" s="377"/>
      <c r="H262" s="573"/>
      <c r="I262" s="377"/>
      <c r="J262" s="377"/>
      <c r="K262" s="377"/>
      <c r="L262" s="377"/>
      <c r="M262" s="377"/>
      <c r="N262" s="377"/>
      <c r="O262" s="377"/>
      <c r="P262" s="377"/>
      <c r="Q262" s="377"/>
      <c r="R262" s="377"/>
      <c r="S262" s="377"/>
      <c r="T262" s="377"/>
      <c r="U262" s="377"/>
      <c r="V262" s="377"/>
      <c r="W262" s="377"/>
      <c r="X262" s="574"/>
      <c r="Y262" s="377"/>
      <c r="Z262" s="377"/>
      <c r="AA262" s="377"/>
      <c r="AB262" s="377"/>
      <c r="AC262" s="377"/>
      <c r="AD262" s="377"/>
      <c r="AE262" s="377"/>
      <c r="AF262" s="377"/>
      <c r="AG262" s="377"/>
      <c r="AH262" s="377"/>
      <c r="AI262" s="377"/>
      <c r="AJ262" s="377"/>
      <c r="AK262" s="377"/>
      <c r="AL262" s="574"/>
      <c r="AM262" s="377"/>
      <c r="AN262" s="377"/>
      <c r="AO262" s="377"/>
      <c r="AP262" s="377"/>
      <c r="AQ262" s="377"/>
      <c r="AR262" s="377"/>
      <c r="AS262" s="377"/>
      <c r="AT262" s="377"/>
      <c r="AU262" s="377"/>
      <c r="AV262" s="377"/>
      <c r="AW262" s="575"/>
      <c r="AX262" s="377"/>
      <c r="AY262" s="377"/>
      <c r="AZ262" s="377"/>
      <c r="BA262" s="377"/>
      <c r="BB262" s="377"/>
      <c r="BC262" s="377"/>
      <c r="BD262" s="377"/>
      <c r="BE262" s="377"/>
      <c r="BF262" s="377"/>
      <c r="BG262" s="377"/>
      <c r="BH262" s="377"/>
      <c r="BI262" s="377"/>
      <c r="BJ262" s="377"/>
      <c r="BK262" s="377"/>
      <c r="BL262" s="377"/>
      <c r="BM262" s="377"/>
      <c r="BN262" s="576"/>
      <c r="BO262" s="377"/>
      <c r="BP262" s="377"/>
      <c r="BQ262" s="377"/>
      <c r="BR262" s="377"/>
      <c r="BS262" s="377"/>
      <c r="BT262" s="377"/>
      <c r="BU262" s="377"/>
      <c r="BV262" s="377"/>
      <c r="BW262" s="377"/>
      <c r="BX262" s="377"/>
      <c r="BY262" s="377"/>
      <c r="BZ262" s="377"/>
      <c r="CA262" s="377"/>
      <c r="CB262" s="377"/>
      <c r="CC262" s="377"/>
      <c r="CD262" s="377"/>
      <c r="CE262" s="377"/>
      <c r="CF262" s="377"/>
      <c r="CG262" s="377"/>
      <c r="CH262" s="377"/>
      <c r="CI262" s="377"/>
    </row>
    <row r="263" spans="1:87" ht="15">
      <c r="A263" s="377"/>
      <c r="B263" s="377"/>
      <c r="C263" s="572"/>
      <c r="D263" s="377"/>
      <c r="E263" s="377"/>
      <c r="F263" s="377"/>
      <c r="G263" s="377"/>
      <c r="H263" s="573"/>
      <c r="I263" s="377"/>
      <c r="J263" s="377"/>
      <c r="K263" s="377"/>
      <c r="L263" s="377"/>
      <c r="M263" s="377"/>
      <c r="N263" s="377"/>
      <c r="O263" s="377"/>
      <c r="P263" s="377"/>
      <c r="Q263" s="377"/>
      <c r="R263" s="377"/>
      <c r="S263" s="377"/>
      <c r="T263" s="377"/>
      <c r="U263" s="377"/>
      <c r="V263" s="377"/>
      <c r="W263" s="377"/>
      <c r="X263" s="574"/>
      <c r="Y263" s="377"/>
      <c r="Z263" s="377"/>
      <c r="AA263" s="377"/>
      <c r="AB263" s="377"/>
      <c r="AC263" s="377"/>
      <c r="AD263" s="377"/>
      <c r="AE263" s="377"/>
      <c r="AF263" s="377"/>
      <c r="AG263" s="377"/>
      <c r="AH263" s="377"/>
      <c r="AI263" s="377"/>
      <c r="AJ263" s="377"/>
      <c r="AK263" s="377"/>
      <c r="AL263" s="574"/>
      <c r="AM263" s="377"/>
      <c r="AN263" s="377"/>
      <c r="AO263" s="377"/>
      <c r="AP263" s="377"/>
      <c r="AQ263" s="377"/>
      <c r="AR263" s="377"/>
      <c r="AS263" s="377"/>
      <c r="AT263" s="377"/>
      <c r="AU263" s="377"/>
      <c r="AV263" s="377"/>
      <c r="AW263" s="575"/>
      <c r="AX263" s="377"/>
      <c r="AY263" s="377"/>
      <c r="AZ263" s="377"/>
      <c r="BA263" s="377"/>
      <c r="BB263" s="377"/>
      <c r="BC263" s="377"/>
      <c r="BD263" s="377"/>
      <c r="BE263" s="377"/>
      <c r="BF263" s="377"/>
      <c r="BG263" s="377"/>
      <c r="BH263" s="377"/>
      <c r="BI263" s="377"/>
      <c r="BJ263" s="377"/>
      <c r="BK263" s="377"/>
      <c r="BL263" s="377"/>
      <c r="BM263" s="377"/>
      <c r="BN263" s="576"/>
      <c r="BO263" s="377"/>
      <c r="BP263" s="377"/>
      <c r="BQ263" s="377"/>
      <c r="BR263" s="377"/>
      <c r="BS263" s="377"/>
      <c r="BT263" s="377"/>
      <c r="BU263" s="377"/>
      <c r="BV263" s="377"/>
      <c r="BW263" s="377"/>
      <c r="BX263" s="377"/>
      <c r="BY263" s="377"/>
      <c r="BZ263" s="377"/>
      <c r="CA263" s="377"/>
      <c r="CB263" s="377"/>
      <c r="CC263" s="377"/>
      <c r="CD263" s="377"/>
      <c r="CE263" s="377"/>
      <c r="CF263" s="377"/>
      <c r="CG263" s="377"/>
      <c r="CH263" s="377"/>
      <c r="CI263" s="377"/>
    </row>
    <row r="264" spans="1:87" ht="15">
      <c r="A264" s="377"/>
      <c r="B264" s="377"/>
      <c r="C264" s="572"/>
      <c r="D264" s="377"/>
      <c r="E264" s="377"/>
      <c r="F264" s="377"/>
      <c r="G264" s="377"/>
      <c r="H264" s="573"/>
      <c r="I264" s="377"/>
      <c r="J264" s="377"/>
      <c r="K264" s="377"/>
      <c r="L264" s="377"/>
      <c r="M264" s="377"/>
      <c r="N264" s="377"/>
      <c r="O264" s="377"/>
      <c r="P264" s="377"/>
      <c r="Q264" s="377"/>
      <c r="R264" s="377"/>
      <c r="S264" s="377"/>
      <c r="T264" s="377"/>
      <c r="U264" s="377"/>
      <c r="V264" s="377"/>
      <c r="W264" s="377"/>
      <c r="X264" s="574"/>
      <c r="Y264" s="377"/>
      <c r="Z264" s="377"/>
      <c r="AA264" s="377"/>
      <c r="AB264" s="377"/>
      <c r="AC264" s="377"/>
      <c r="AD264" s="377"/>
      <c r="AE264" s="377"/>
      <c r="AF264" s="377"/>
      <c r="AG264" s="377"/>
      <c r="AH264" s="377"/>
      <c r="AI264" s="377"/>
      <c r="AJ264" s="377"/>
      <c r="AK264" s="377"/>
      <c r="AL264" s="574"/>
      <c r="AM264" s="377"/>
      <c r="AN264" s="377"/>
      <c r="AO264" s="377"/>
      <c r="AP264" s="377"/>
      <c r="AQ264" s="377"/>
      <c r="AR264" s="377"/>
      <c r="AS264" s="377"/>
      <c r="AT264" s="377"/>
      <c r="AU264" s="377"/>
      <c r="AV264" s="377"/>
      <c r="AW264" s="575"/>
      <c r="AX264" s="377"/>
      <c r="AY264" s="377"/>
      <c r="AZ264" s="377"/>
      <c r="BA264" s="377"/>
      <c r="BB264" s="377"/>
      <c r="BC264" s="377"/>
      <c r="BD264" s="377"/>
      <c r="BE264" s="377"/>
      <c r="BF264" s="377"/>
      <c r="BG264" s="377"/>
      <c r="BH264" s="377"/>
      <c r="BI264" s="377"/>
      <c r="BJ264" s="377"/>
      <c r="BK264" s="377"/>
      <c r="BL264" s="377"/>
      <c r="BM264" s="377"/>
      <c r="BN264" s="576"/>
      <c r="BO264" s="377"/>
      <c r="BP264" s="377"/>
      <c r="BQ264" s="377"/>
      <c r="BR264" s="377"/>
      <c r="BS264" s="377"/>
      <c r="BT264" s="377"/>
      <c r="BU264" s="377"/>
      <c r="BV264" s="377"/>
      <c r="BW264" s="377"/>
      <c r="BX264" s="377"/>
      <c r="BY264" s="377"/>
      <c r="BZ264" s="377"/>
      <c r="CA264" s="377"/>
      <c r="CB264" s="377"/>
      <c r="CC264" s="377"/>
      <c r="CD264" s="377"/>
      <c r="CE264" s="377"/>
      <c r="CF264" s="377"/>
      <c r="CG264" s="377"/>
      <c r="CH264" s="377"/>
      <c r="CI264" s="377"/>
    </row>
    <row r="265" spans="1:87" ht="15">
      <c r="A265" s="377"/>
      <c r="B265" s="377"/>
      <c r="C265" s="572"/>
      <c r="D265" s="377"/>
      <c r="E265" s="377"/>
      <c r="F265" s="377"/>
      <c r="G265" s="377"/>
      <c r="H265" s="573"/>
      <c r="I265" s="377"/>
      <c r="J265" s="377"/>
      <c r="K265" s="377"/>
      <c r="L265" s="377"/>
      <c r="M265" s="377"/>
      <c r="N265" s="377"/>
      <c r="O265" s="377"/>
      <c r="P265" s="377"/>
      <c r="Q265" s="377"/>
      <c r="R265" s="377"/>
      <c r="S265" s="377"/>
      <c r="T265" s="377"/>
      <c r="U265" s="377"/>
      <c r="V265" s="377"/>
      <c r="W265" s="377"/>
      <c r="X265" s="574"/>
      <c r="Y265" s="377"/>
      <c r="Z265" s="377"/>
      <c r="AA265" s="377"/>
      <c r="AB265" s="377"/>
      <c r="AC265" s="377"/>
      <c r="AD265" s="377"/>
      <c r="AE265" s="377"/>
      <c r="AF265" s="377"/>
      <c r="AG265" s="377"/>
      <c r="AH265" s="377"/>
      <c r="AI265" s="377"/>
      <c r="AJ265" s="377"/>
      <c r="AK265" s="377"/>
      <c r="AL265" s="574"/>
      <c r="AM265" s="377"/>
      <c r="AN265" s="377"/>
      <c r="AO265" s="377"/>
      <c r="AP265" s="377"/>
      <c r="AQ265" s="377"/>
      <c r="AR265" s="377"/>
      <c r="AS265" s="377"/>
      <c r="AT265" s="377"/>
      <c r="AU265" s="377"/>
      <c r="AV265" s="377"/>
      <c r="AW265" s="575"/>
      <c r="AX265" s="377"/>
      <c r="AY265" s="377"/>
      <c r="AZ265" s="377"/>
      <c r="BA265" s="377"/>
      <c r="BB265" s="377"/>
      <c r="BC265" s="377"/>
      <c r="BD265" s="377"/>
      <c r="BE265" s="377"/>
      <c r="BF265" s="377"/>
      <c r="BG265" s="377"/>
      <c r="BH265" s="377"/>
      <c r="BI265" s="377"/>
      <c r="BJ265" s="377"/>
      <c r="BK265" s="377"/>
      <c r="BL265" s="377"/>
      <c r="BM265" s="377"/>
      <c r="BN265" s="576"/>
      <c r="BO265" s="377"/>
      <c r="BP265" s="377"/>
      <c r="BQ265" s="377"/>
      <c r="BR265" s="377"/>
      <c r="BS265" s="377"/>
      <c r="BT265" s="377"/>
      <c r="BU265" s="377"/>
      <c r="BV265" s="377"/>
      <c r="BW265" s="377"/>
      <c r="BX265" s="377"/>
      <c r="BY265" s="377"/>
      <c r="BZ265" s="377"/>
      <c r="CA265" s="377"/>
      <c r="CB265" s="377"/>
      <c r="CC265" s="377"/>
      <c r="CD265" s="377"/>
      <c r="CE265" s="377"/>
      <c r="CF265" s="377"/>
      <c r="CG265" s="377"/>
      <c r="CH265" s="377"/>
      <c r="CI265" s="377"/>
    </row>
    <row r="266" spans="1:87" ht="15">
      <c r="A266" s="377"/>
      <c r="B266" s="377"/>
      <c r="C266" s="572"/>
      <c r="D266" s="377"/>
      <c r="E266" s="377"/>
      <c r="F266" s="377"/>
      <c r="G266" s="377"/>
      <c r="H266" s="573"/>
      <c r="I266" s="377"/>
      <c r="J266" s="377"/>
      <c r="K266" s="377"/>
      <c r="L266" s="377"/>
      <c r="M266" s="377"/>
      <c r="N266" s="377"/>
      <c r="O266" s="377"/>
      <c r="P266" s="377"/>
      <c r="Q266" s="377"/>
      <c r="R266" s="377"/>
      <c r="S266" s="377"/>
      <c r="T266" s="377"/>
      <c r="U266" s="377"/>
      <c r="V266" s="377"/>
      <c r="W266" s="377"/>
      <c r="X266" s="574"/>
      <c r="Y266" s="377"/>
      <c r="Z266" s="377"/>
      <c r="AA266" s="377"/>
      <c r="AB266" s="377"/>
      <c r="AC266" s="377"/>
      <c r="AD266" s="377"/>
      <c r="AE266" s="377"/>
      <c r="AF266" s="377"/>
      <c r="AG266" s="377"/>
      <c r="AH266" s="377"/>
      <c r="AI266" s="377"/>
      <c r="AJ266" s="377"/>
      <c r="AK266" s="377"/>
      <c r="AL266" s="574"/>
      <c r="AM266" s="377"/>
      <c r="AN266" s="377"/>
      <c r="AO266" s="377"/>
      <c r="AP266" s="377"/>
      <c r="AQ266" s="377"/>
      <c r="AR266" s="377"/>
      <c r="AS266" s="377"/>
      <c r="AT266" s="377"/>
      <c r="AU266" s="377"/>
      <c r="AV266" s="377"/>
      <c r="AW266" s="575"/>
      <c r="AX266" s="377"/>
      <c r="AY266" s="377"/>
      <c r="AZ266" s="377"/>
      <c r="BA266" s="377"/>
      <c r="BB266" s="377"/>
      <c r="BC266" s="377"/>
      <c r="BD266" s="377"/>
      <c r="BE266" s="377"/>
      <c r="BF266" s="377"/>
      <c r="BG266" s="377"/>
      <c r="BH266" s="377"/>
      <c r="BI266" s="377"/>
      <c r="BJ266" s="377"/>
      <c r="BK266" s="377"/>
      <c r="BL266" s="377"/>
      <c r="BM266" s="377"/>
      <c r="BN266" s="576"/>
      <c r="BO266" s="377"/>
      <c r="BP266" s="377"/>
      <c r="BQ266" s="377"/>
      <c r="BR266" s="377"/>
      <c r="BS266" s="377"/>
      <c r="BT266" s="377"/>
      <c r="BU266" s="377"/>
      <c r="BV266" s="377"/>
      <c r="BW266" s="377"/>
      <c r="BX266" s="377"/>
      <c r="BY266" s="377"/>
      <c r="BZ266" s="377"/>
      <c r="CA266" s="377"/>
      <c r="CB266" s="377"/>
      <c r="CC266" s="377"/>
      <c r="CD266" s="377"/>
      <c r="CE266" s="377"/>
      <c r="CF266" s="377"/>
      <c r="CG266" s="377"/>
      <c r="CH266" s="377"/>
      <c r="CI266" s="377"/>
    </row>
    <row r="267" spans="1:87" ht="15">
      <c r="A267" s="377"/>
      <c r="B267" s="377"/>
      <c r="C267" s="572"/>
      <c r="D267" s="377"/>
      <c r="E267" s="377"/>
      <c r="F267" s="377"/>
      <c r="G267" s="377"/>
      <c r="H267" s="573"/>
      <c r="I267" s="377"/>
      <c r="J267" s="377"/>
      <c r="K267" s="377"/>
      <c r="L267" s="377"/>
      <c r="M267" s="377"/>
      <c r="N267" s="377"/>
      <c r="O267" s="377"/>
      <c r="P267" s="377"/>
      <c r="Q267" s="377"/>
      <c r="R267" s="377"/>
      <c r="S267" s="377"/>
      <c r="T267" s="377"/>
      <c r="U267" s="377"/>
      <c r="V267" s="377"/>
      <c r="W267" s="377"/>
      <c r="X267" s="574"/>
      <c r="Y267" s="377"/>
      <c r="Z267" s="377"/>
      <c r="AA267" s="377"/>
      <c r="AB267" s="377"/>
      <c r="AC267" s="377"/>
      <c r="AD267" s="377"/>
      <c r="AE267" s="377"/>
      <c r="AF267" s="377"/>
      <c r="AG267" s="377"/>
      <c r="AH267" s="377"/>
      <c r="AI267" s="377"/>
      <c r="AJ267" s="377"/>
      <c r="AK267" s="377"/>
      <c r="AL267" s="574"/>
      <c r="AM267" s="377"/>
      <c r="AN267" s="377"/>
      <c r="AO267" s="377"/>
      <c r="AP267" s="377"/>
      <c r="AQ267" s="377"/>
      <c r="AR267" s="377"/>
      <c r="AS267" s="377"/>
      <c r="AT267" s="377"/>
      <c r="AU267" s="377"/>
      <c r="AV267" s="377"/>
      <c r="AW267" s="575"/>
      <c r="AX267" s="377"/>
      <c r="AY267" s="377"/>
      <c r="AZ267" s="377"/>
      <c r="BA267" s="377"/>
      <c r="BB267" s="377"/>
      <c r="BC267" s="377"/>
      <c r="BD267" s="377"/>
      <c r="BE267" s="377"/>
      <c r="BF267" s="377"/>
      <c r="BG267" s="377"/>
      <c r="BH267" s="377"/>
      <c r="BI267" s="377"/>
      <c r="BJ267" s="377"/>
      <c r="BK267" s="377"/>
      <c r="BL267" s="377"/>
      <c r="BM267" s="377"/>
      <c r="BN267" s="576"/>
      <c r="BO267" s="377"/>
      <c r="BP267" s="377"/>
      <c r="BQ267" s="377"/>
      <c r="BR267" s="377"/>
      <c r="BS267" s="377"/>
      <c r="BT267" s="377"/>
      <c r="BU267" s="377"/>
      <c r="BV267" s="377"/>
      <c r="BW267" s="377"/>
      <c r="BX267" s="377"/>
      <c r="BY267" s="377"/>
      <c r="BZ267" s="377"/>
      <c r="CA267" s="377"/>
      <c r="CB267" s="377"/>
      <c r="CC267" s="377"/>
      <c r="CD267" s="377"/>
      <c r="CE267" s="377"/>
      <c r="CF267" s="377"/>
      <c r="CG267" s="377"/>
      <c r="CH267" s="377"/>
      <c r="CI267" s="377"/>
    </row>
    <row r="268" spans="1:87" ht="15">
      <c r="A268" s="377"/>
      <c r="B268" s="377"/>
      <c r="C268" s="572"/>
      <c r="D268" s="377"/>
      <c r="E268" s="377"/>
      <c r="F268" s="377"/>
      <c r="G268" s="377"/>
      <c r="H268" s="573"/>
      <c r="I268" s="377"/>
      <c r="J268" s="377"/>
      <c r="K268" s="377"/>
      <c r="L268" s="377"/>
      <c r="M268" s="377"/>
      <c r="N268" s="377"/>
      <c r="O268" s="377"/>
      <c r="P268" s="377"/>
      <c r="Q268" s="377"/>
      <c r="R268" s="377"/>
      <c r="S268" s="377"/>
      <c r="T268" s="377"/>
      <c r="U268" s="377"/>
      <c r="V268" s="377"/>
      <c r="W268" s="377"/>
      <c r="X268" s="574"/>
      <c r="Y268" s="377"/>
      <c r="Z268" s="377"/>
      <c r="AA268" s="377"/>
      <c r="AB268" s="377"/>
      <c r="AC268" s="377"/>
      <c r="AD268" s="377"/>
      <c r="AE268" s="377"/>
      <c r="AF268" s="377"/>
      <c r="AG268" s="377"/>
      <c r="AH268" s="377"/>
      <c r="AI268" s="377"/>
      <c r="AJ268" s="377"/>
      <c r="AK268" s="377"/>
      <c r="AL268" s="574"/>
      <c r="AM268" s="377"/>
      <c r="AN268" s="377"/>
      <c r="AO268" s="377"/>
      <c r="AP268" s="377"/>
      <c r="AQ268" s="377"/>
      <c r="AR268" s="377"/>
      <c r="AS268" s="377"/>
      <c r="AT268" s="377"/>
      <c r="AU268" s="377"/>
      <c r="AV268" s="377"/>
      <c r="AW268" s="575"/>
      <c r="AX268" s="377"/>
      <c r="AY268" s="377"/>
      <c r="AZ268" s="377"/>
      <c r="BA268" s="377"/>
      <c r="BB268" s="377"/>
      <c r="BC268" s="377"/>
      <c r="BD268" s="377"/>
      <c r="BE268" s="377"/>
      <c r="BF268" s="377"/>
      <c r="BG268" s="377"/>
      <c r="BH268" s="377"/>
      <c r="BI268" s="377"/>
      <c r="BJ268" s="377"/>
      <c r="BK268" s="377"/>
      <c r="BL268" s="377"/>
      <c r="BM268" s="377"/>
      <c r="BN268" s="576"/>
      <c r="BO268" s="377"/>
      <c r="BP268" s="377"/>
      <c r="BQ268" s="377"/>
      <c r="BR268" s="377"/>
      <c r="BS268" s="377"/>
      <c r="BT268" s="377"/>
      <c r="BU268" s="377"/>
      <c r="BV268" s="377"/>
      <c r="BW268" s="377"/>
      <c r="BX268" s="377"/>
      <c r="BY268" s="377"/>
      <c r="BZ268" s="377"/>
      <c r="CA268" s="377"/>
      <c r="CB268" s="377"/>
      <c r="CC268" s="377"/>
      <c r="CD268" s="377"/>
      <c r="CE268" s="377"/>
      <c r="CF268" s="377"/>
      <c r="CG268" s="377"/>
      <c r="CH268" s="377"/>
      <c r="CI268" s="377"/>
    </row>
    <row r="269" spans="1:87" ht="15">
      <c r="A269" s="377"/>
      <c r="B269" s="377"/>
      <c r="C269" s="572"/>
      <c r="D269" s="377"/>
      <c r="E269" s="377"/>
      <c r="F269" s="377"/>
      <c r="G269" s="377"/>
      <c r="H269" s="573"/>
      <c r="I269" s="377"/>
      <c r="J269" s="377"/>
      <c r="K269" s="377"/>
      <c r="L269" s="377"/>
      <c r="M269" s="377"/>
      <c r="N269" s="377"/>
      <c r="O269" s="377"/>
      <c r="P269" s="377"/>
      <c r="Q269" s="377"/>
      <c r="R269" s="377"/>
      <c r="S269" s="377"/>
      <c r="T269" s="377"/>
      <c r="U269" s="377"/>
      <c r="V269" s="377"/>
      <c r="W269" s="377"/>
      <c r="X269" s="574"/>
      <c r="Y269" s="377"/>
      <c r="Z269" s="377"/>
      <c r="AA269" s="377"/>
      <c r="AB269" s="377"/>
      <c r="AC269" s="377"/>
      <c r="AD269" s="377"/>
      <c r="AE269" s="377"/>
      <c r="AF269" s="377"/>
      <c r="AG269" s="377"/>
      <c r="AH269" s="377"/>
      <c r="AI269" s="377"/>
      <c r="AJ269" s="377"/>
      <c r="AK269" s="377"/>
      <c r="AL269" s="574"/>
      <c r="AM269" s="377"/>
      <c r="AN269" s="377"/>
      <c r="AO269" s="377"/>
      <c r="AP269" s="377"/>
      <c r="AQ269" s="377"/>
      <c r="AR269" s="377"/>
      <c r="AS269" s="377"/>
      <c r="AT269" s="377"/>
      <c r="AU269" s="377"/>
      <c r="AV269" s="377"/>
      <c r="AW269" s="575"/>
      <c r="AX269" s="377"/>
      <c r="AY269" s="377"/>
      <c r="AZ269" s="377"/>
      <c r="BA269" s="377"/>
      <c r="BB269" s="377"/>
      <c r="BC269" s="377"/>
      <c r="BD269" s="377"/>
      <c r="BE269" s="377"/>
      <c r="BF269" s="377"/>
      <c r="BG269" s="377"/>
      <c r="BH269" s="377"/>
      <c r="BI269" s="377"/>
      <c r="BJ269" s="377"/>
      <c r="BK269" s="377"/>
      <c r="BL269" s="377"/>
      <c r="BM269" s="377"/>
      <c r="BN269" s="576"/>
      <c r="BO269" s="377"/>
      <c r="BP269" s="377"/>
      <c r="BQ269" s="377"/>
      <c r="BR269" s="377"/>
      <c r="BS269" s="377"/>
      <c r="BT269" s="377"/>
      <c r="BU269" s="377"/>
      <c r="BV269" s="377"/>
      <c r="BW269" s="377"/>
      <c r="BX269" s="377"/>
      <c r="BY269" s="377"/>
      <c r="BZ269" s="377"/>
      <c r="CA269" s="377"/>
      <c r="CB269" s="377"/>
      <c r="CC269" s="377"/>
      <c r="CD269" s="377"/>
      <c r="CE269" s="377"/>
      <c r="CF269" s="377"/>
      <c r="CG269" s="377"/>
      <c r="CH269" s="377"/>
      <c r="CI269" s="377"/>
    </row>
    <row r="270" spans="1:87" ht="15">
      <c r="A270" s="377"/>
      <c r="B270" s="377"/>
      <c r="C270" s="572"/>
      <c r="D270" s="377"/>
      <c r="E270" s="377"/>
      <c r="F270" s="377"/>
      <c r="G270" s="377"/>
      <c r="H270" s="573"/>
      <c r="I270" s="377"/>
      <c r="J270" s="377"/>
      <c r="K270" s="377"/>
      <c r="L270" s="377"/>
      <c r="M270" s="377"/>
      <c r="N270" s="377"/>
      <c r="O270" s="377"/>
      <c r="P270" s="377"/>
      <c r="Q270" s="377"/>
      <c r="R270" s="377"/>
      <c r="S270" s="377"/>
      <c r="T270" s="377"/>
      <c r="U270" s="377"/>
      <c r="V270" s="377"/>
      <c r="W270" s="377"/>
      <c r="X270" s="574"/>
      <c r="Y270" s="377"/>
      <c r="Z270" s="377"/>
      <c r="AA270" s="377"/>
      <c r="AB270" s="377"/>
      <c r="AC270" s="377"/>
      <c r="AD270" s="377"/>
      <c r="AE270" s="377"/>
      <c r="AF270" s="377"/>
      <c r="AG270" s="377"/>
      <c r="AH270" s="377"/>
      <c r="AI270" s="377"/>
      <c r="AJ270" s="377"/>
      <c r="AK270" s="377"/>
      <c r="AL270" s="574"/>
      <c r="AM270" s="377"/>
      <c r="AN270" s="377"/>
      <c r="AO270" s="377"/>
      <c r="AP270" s="377"/>
      <c r="AQ270" s="377"/>
      <c r="AR270" s="377"/>
      <c r="AS270" s="377"/>
      <c r="AT270" s="377"/>
      <c r="AU270" s="377"/>
      <c r="AV270" s="377"/>
      <c r="AW270" s="575"/>
      <c r="AX270" s="377"/>
      <c r="AY270" s="377"/>
      <c r="AZ270" s="377"/>
      <c r="BA270" s="377"/>
      <c r="BB270" s="377"/>
      <c r="BC270" s="377"/>
      <c r="BD270" s="377"/>
      <c r="BE270" s="377"/>
      <c r="BF270" s="377"/>
      <c r="BG270" s="377"/>
      <c r="BH270" s="377"/>
      <c r="BI270" s="377"/>
      <c r="BJ270" s="377"/>
      <c r="BK270" s="377"/>
      <c r="BL270" s="377"/>
      <c r="BM270" s="377"/>
      <c r="BN270" s="576"/>
      <c r="BO270" s="377"/>
      <c r="BP270" s="377"/>
      <c r="BQ270" s="377"/>
      <c r="BR270" s="377"/>
      <c r="BS270" s="377"/>
      <c r="BT270" s="377"/>
      <c r="BU270" s="377"/>
      <c r="BV270" s="377"/>
      <c r="BW270" s="377"/>
      <c r="BX270" s="377"/>
      <c r="BY270" s="377"/>
      <c r="BZ270" s="377"/>
      <c r="CA270" s="377"/>
      <c r="CB270" s="377"/>
      <c r="CC270" s="377"/>
      <c r="CD270" s="377"/>
      <c r="CE270" s="377"/>
      <c r="CF270" s="377"/>
      <c r="CG270" s="377"/>
      <c r="CH270" s="377"/>
      <c r="CI270" s="377"/>
    </row>
    <row r="271" spans="1:87" ht="15">
      <c r="A271" s="377"/>
      <c r="B271" s="377"/>
      <c r="C271" s="572"/>
      <c r="D271" s="377"/>
      <c r="E271" s="377"/>
      <c r="F271" s="377"/>
      <c r="G271" s="377"/>
      <c r="H271" s="573"/>
      <c r="I271" s="377"/>
      <c r="J271" s="377"/>
      <c r="K271" s="377"/>
      <c r="L271" s="377"/>
      <c r="M271" s="377"/>
      <c r="N271" s="377"/>
      <c r="O271" s="377"/>
      <c r="P271" s="377"/>
      <c r="Q271" s="377"/>
      <c r="R271" s="377"/>
      <c r="S271" s="377"/>
      <c r="T271" s="377"/>
      <c r="U271" s="377"/>
      <c r="V271" s="377"/>
      <c r="W271" s="377"/>
      <c r="X271" s="574"/>
      <c r="Y271" s="377"/>
      <c r="Z271" s="377"/>
      <c r="AA271" s="377"/>
      <c r="AB271" s="377"/>
      <c r="AC271" s="377"/>
      <c r="AD271" s="377"/>
      <c r="AE271" s="377"/>
      <c r="AF271" s="377"/>
      <c r="AG271" s="377"/>
      <c r="AH271" s="377"/>
      <c r="AI271" s="377"/>
      <c r="AJ271" s="377"/>
      <c r="AK271" s="377"/>
      <c r="AL271" s="574"/>
      <c r="AM271" s="377"/>
      <c r="AN271" s="377"/>
      <c r="AO271" s="377"/>
      <c r="AP271" s="377"/>
      <c r="AQ271" s="377"/>
      <c r="AR271" s="377"/>
      <c r="AS271" s="377"/>
      <c r="AT271" s="377"/>
      <c r="AU271" s="377"/>
      <c r="AV271" s="377"/>
      <c r="AW271" s="575"/>
      <c r="AX271" s="377"/>
      <c r="AY271" s="377"/>
      <c r="AZ271" s="377"/>
      <c r="BA271" s="377"/>
      <c r="BB271" s="377"/>
      <c r="BC271" s="377"/>
      <c r="BD271" s="377"/>
      <c r="BE271" s="377"/>
      <c r="BF271" s="377"/>
      <c r="BG271" s="377"/>
      <c r="BH271" s="377"/>
      <c r="BI271" s="377"/>
      <c r="BJ271" s="377"/>
      <c r="BK271" s="377"/>
      <c r="BL271" s="377"/>
      <c r="BM271" s="377"/>
      <c r="BN271" s="576"/>
      <c r="BO271" s="377"/>
      <c r="BP271" s="377"/>
      <c r="BQ271" s="377"/>
      <c r="BR271" s="377"/>
      <c r="BS271" s="377"/>
      <c r="BT271" s="377"/>
      <c r="BU271" s="377"/>
      <c r="BV271" s="377"/>
      <c r="BW271" s="377"/>
      <c r="BX271" s="377"/>
      <c r="BY271" s="377"/>
      <c r="BZ271" s="377"/>
      <c r="CA271" s="377"/>
      <c r="CB271" s="377"/>
      <c r="CC271" s="377"/>
      <c r="CD271" s="377"/>
      <c r="CE271" s="377"/>
      <c r="CF271" s="377"/>
      <c r="CG271" s="377"/>
      <c r="CH271" s="377"/>
      <c r="CI271" s="377"/>
    </row>
    <row r="272" spans="1:87" ht="15">
      <c r="A272" s="377"/>
      <c r="B272" s="377"/>
      <c r="C272" s="572"/>
      <c r="D272" s="377"/>
      <c r="E272" s="377"/>
      <c r="F272" s="377"/>
      <c r="G272" s="377"/>
      <c r="H272" s="573"/>
      <c r="I272" s="377"/>
      <c r="J272" s="377"/>
      <c r="K272" s="377"/>
      <c r="L272" s="377"/>
      <c r="M272" s="377"/>
      <c r="N272" s="377"/>
      <c r="O272" s="377"/>
      <c r="P272" s="377"/>
      <c r="Q272" s="377"/>
      <c r="R272" s="377"/>
      <c r="S272" s="377"/>
      <c r="T272" s="377"/>
      <c r="U272" s="377"/>
      <c r="V272" s="377"/>
      <c r="W272" s="377"/>
      <c r="X272" s="574"/>
      <c r="Y272" s="377"/>
      <c r="Z272" s="377"/>
      <c r="AA272" s="377"/>
      <c r="AB272" s="377"/>
      <c r="AC272" s="377"/>
      <c r="AD272" s="377"/>
      <c r="AE272" s="377"/>
      <c r="AF272" s="377"/>
      <c r="AG272" s="377"/>
      <c r="AH272" s="377"/>
      <c r="AI272" s="377"/>
      <c r="AJ272" s="377"/>
      <c r="AK272" s="377"/>
      <c r="AL272" s="574"/>
      <c r="AM272" s="377"/>
      <c r="AN272" s="377"/>
      <c r="AO272" s="377"/>
      <c r="AP272" s="377"/>
      <c r="AQ272" s="377"/>
      <c r="AR272" s="377"/>
      <c r="AS272" s="377"/>
      <c r="AT272" s="377"/>
      <c r="AU272" s="377"/>
      <c r="AV272" s="377"/>
      <c r="AW272" s="575"/>
      <c r="AX272" s="377"/>
      <c r="AY272" s="377"/>
      <c r="AZ272" s="377"/>
      <c r="BA272" s="377"/>
      <c r="BB272" s="377"/>
      <c r="BC272" s="377"/>
      <c r="BD272" s="377"/>
      <c r="BE272" s="377"/>
      <c r="BF272" s="377"/>
      <c r="BG272" s="377"/>
      <c r="BH272" s="377"/>
      <c r="BI272" s="377"/>
      <c r="BJ272" s="377"/>
      <c r="BK272" s="377"/>
      <c r="BL272" s="377"/>
      <c r="BM272" s="377"/>
      <c r="BN272" s="576"/>
      <c r="BO272" s="377"/>
      <c r="BP272" s="377"/>
      <c r="BQ272" s="377"/>
      <c r="BR272" s="377"/>
      <c r="BS272" s="377"/>
      <c r="BT272" s="377"/>
      <c r="BU272" s="377"/>
      <c r="BV272" s="377"/>
      <c r="BW272" s="377"/>
      <c r="BX272" s="377"/>
      <c r="BY272" s="377"/>
      <c r="BZ272" s="377"/>
      <c r="CA272" s="377"/>
      <c r="CB272" s="377"/>
      <c r="CC272" s="377"/>
      <c r="CD272" s="377"/>
      <c r="CE272" s="377"/>
      <c r="CF272" s="377"/>
      <c r="CG272" s="377"/>
      <c r="CH272" s="377"/>
      <c r="CI272" s="377"/>
    </row>
    <row r="273" spans="1:87" ht="15">
      <c r="A273" s="377"/>
      <c r="B273" s="377"/>
      <c r="C273" s="572"/>
      <c r="D273" s="377"/>
      <c r="E273" s="377"/>
      <c r="F273" s="377"/>
      <c r="G273" s="377"/>
      <c r="H273" s="573"/>
      <c r="I273" s="377"/>
      <c r="J273" s="377"/>
      <c r="K273" s="377"/>
      <c r="L273" s="377"/>
      <c r="M273" s="377"/>
      <c r="N273" s="377"/>
      <c r="O273" s="377"/>
      <c r="P273" s="377"/>
      <c r="Q273" s="377"/>
      <c r="R273" s="377"/>
      <c r="S273" s="377"/>
      <c r="T273" s="377"/>
      <c r="U273" s="377"/>
      <c r="V273" s="377"/>
      <c r="W273" s="377"/>
      <c r="X273" s="574"/>
      <c r="Y273" s="377"/>
      <c r="Z273" s="377"/>
      <c r="AA273" s="377"/>
      <c r="AB273" s="377"/>
      <c r="AC273" s="377"/>
      <c r="AD273" s="377"/>
      <c r="AE273" s="377"/>
      <c r="AF273" s="377"/>
      <c r="AG273" s="377"/>
      <c r="AH273" s="377"/>
      <c r="AI273" s="377"/>
      <c r="AJ273" s="377"/>
      <c r="AK273" s="377"/>
      <c r="AL273" s="574"/>
      <c r="AM273" s="377"/>
      <c r="AN273" s="377"/>
      <c r="AO273" s="377"/>
      <c r="AP273" s="377"/>
      <c r="AQ273" s="377"/>
      <c r="AR273" s="377"/>
      <c r="AS273" s="377"/>
      <c r="AT273" s="377"/>
      <c r="AU273" s="377"/>
      <c r="AV273" s="377"/>
      <c r="AW273" s="575"/>
      <c r="AX273" s="377"/>
      <c r="AY273" s="377"/>
      <c r="AZ273" s="377"/>
      <c r="BA273" s="377"/>
      <c r="BB273" s="377"/>
      <c r="BC273" s="377"/>
      <c r="BD273" s="377"/>
      <c r="BE273" s="377"/>
      <c r="BF273" s="377"/>
      <c r="BG273" s="377"/>
      <c r="BH273" s="377"/>
      <c r="BI273" s="377"/>
      <c r="BJ273" s="377"/>
      <c r="BK273" s="377"/>
      <c r="BL273" s="377"/>
      <c r="BM273" s="377"/>
      <c r="BN273" s="576"/>
      <c r="BO273" s="377"/>
      <c r="BP273" s="377"/>
      <c r="BQ273" s="377"/>
      <c r="BR273" s="377"/>
      <c r="BS273" s="377"/>
      <c r="BT273" s="377"/>
      <c r="BU273" s="377"/>
      <c r="BV273" s="377"/>
      <c r="BW273" s="377"/>
      <c r="BX273" s="377"/>
      <c r="BY273" s="377"/>
      <c r="BZ273" s="377"/>
      <c r="CA273" s="377"/>
      <c r="CB273" s="377"/>
      <c r="CC273" s="377"/>
      <c r="CD273" s="377"/>
      <c r="CE273" s="377"/>
      <c r="CF273" s="377"/>
      <c r="CG273" s="377"/>
      <c r="CH273" s="377"/>
      <c r="CI273" s="377"/>
    </row>
    <row r="274" spans="1:87" ht="15">
      <c r="A274" s="377"/>
      <c r="B274" s="377"/>
      <c r="C274" s="572"/>
      <c r="D274" s="377"/>
      <c r="E274" s="377"/>
      <c r="F274" s="377"/>
      <c r="G274" s="377"/>
      <c r="H274" s="573"/>
      <c r="I274" s="377"/>
      <c r="J274" s="377"/>
      <c r="K274" s="377"/>
      <c r="L274" s="377"/>
      <c r="M274" s="377"/>
      <c r="N274" s="377"/>
      <c r="O274" s="377"/>
      <c r="P274" s="377"/>
      <c r="Q274" s="377"/>
      <c r="R274" s="377"/>
      <c r="S274" s="377"/>
      <c r="T274" s="377"/>
      <c r="U274" s="377"/>
      <c r="V274" s="377"/>
      <c r="W274" s="377"/>
      <c r="X274" s="574"/>
      <c r="Y274" s="377"/>
      <c r="Z274" s="377"/>
      <c r="AA274" s="377"/>
      <c r="AB274" s="377"/>
      <c r="AC274" s="377"/>
      <c r="AD274" s="377"/>
      <c r="AE274" s="377"/>
      <c r="AF274" s="377"/>
      <c r="AG274" s="377"/>
      <c r="AH274" s="377"/>
      <c r="AI274" s="377"/>
      <c r="AJ274" s="377"/>
      <c r="AK274" s="377"/>
      <c r="AL274" s="574"/>
      <c r="AM274" s="377"/>
      <c r="AN274" s="377"/>
      <c r="AO274" s="377"/>
      <c r="AP274" s="377"/>
      <c r="AQ274" s="377"/>
      <c r="AR274" s="377"/>
      <c r="AS274" s="377"/>
      <c r="AT274" s="377"/>
      <c r="AU274" s="377"/>
      <c r="AV274" s="377"/>
      <c r="AW274" s="575"/>
      <c r="AX274" s="377"/>
      <c r="AY274" s="377"/>
      <c r="AZ274" s="377"/>
      <c r="BA274" s="377"/>
      <c r="BB274" s="377"/>
      <c r="BC274" s="377"/>
      <c r="BD274" s="377"/>
      <c r="BE274" s="377"/>
      <c r="BF274" s="377"/>
      <c r="BG274" s="377"/>
      <c r="BH274" s="377"/>
      <c r="BI274" s="377"/>
      <c r="BJ274" s="377"/>
      <c r="BK274" s="377"/>
      <c r="BL274" s="377"/>
      <c r="BM274" s="377"/>
      <c r="BN274" s="576"/>
      <c r="BO274" s="377"/>
      <c r="BP274" s="377"/>
      <c r="BQ274" s="377"/>
      <c r="BR274" s="377"/>
      <c r="BS274" s="377"/>
      <c r="BT274" s="377"/>
      <c r="BU274" s="377"/>
      <c r="BV274" s="377"/>
      <c r="BW274" s="377"/>
      <c r="BX274" s="377"/>
      <c r="BY274" s="377"/>
      <c r="BZ274" s="377"/>
      <c r="CA274" s="377"/>
      <c r="CB274" s="377"/>
      <c r="CC274" s="377"/>
      <c r="CD274" s="377"/>
      <c r="CE274" s="377"/>
      <c r="CF274" s="377"/>
      <c r="CG274" s="377"/>
      <c r="CH274" s="377"/>
      <c r="CI274" s="377"/>
    </row>
    <row r="275" spans="1:87" ht="15">
      <c r="A275" s="377"/>
      <c r="B275" s="377"/>
      <c r="C275" s="572"/>
      <c r="D275" s="377"/>
      <c r="E275" s="377"/>
      <c r="F275" s="377"/>
      <c r="G275" s="377"/>
      <c r="H275" s="573"/>
      <c r="I275" s="377"/>
      <c r="J275" s="377"/>
      <c r="K275" s="377"/>
      <c r="L275" s="377"/>
      <c r="M275" s="377"/>
      <c r="N275" s="377"/>
      <c r="O275" s="377"/>
      <c r="P275" s="377"/>
      <c r="Q275" s="377"/>
      <c r="R275" s="377"/>
      <c r="S275" s="377"/>
      <c r="T275" s="377"/>
      <c r="U275" s="377"/>
      <c r="V275" s="377"/>
      <c r="W275" s="377"/>
      <c r="X275" s="574"/>
      <c r="Y275" s="377"/>
      <c r="Z275" s="377"/>
      <c r="AA275" s="377"/>
      <c r="AB275" s="377"/>
      <c r="AC275" s="377"/>
      <c r="AD275" s="377"/>
      <c r="AE275" s="377"/>
      <c r="AF275" s="377"/>
      <c r="AG275" s="377"/>
      <c r="AH275" s="377"/>
      <c r="AI275" s="377"/>
      <c r="AJ275" s="377"/>
      <c r="AK275" s="377"/>
      <c r="AL275" s="574"/>
      <c r="AM275" s="377"/>
      <c r="AN275" s="377"/>
      <c r="AO275" s="377"/>
      <c r="AP275" s="377"/>
      <c r="AQ275" s="377"/>
      <c r="AR275" s="377"/>
      <c r="AS275" s="377"/>
      <c r="AT275" s="377"/>
      <c r="AU275" s="377"/>
      <c r="AV275" s="377"/>
      <c r="AW275" s="575"/>
      <c r="AX275" s="377"/>
      <c r="AY275" s="377"/>
      <c r="AZ275" s="377"/>
      <c r="BA275" s="377"/>
      <c r="BB275" s="377"/>
      <c r="BC275" s="377"/>
      <c r="BD275" s="377"/>
      <c r="BE275" s="377"/>
      <c r="BF275" s="377"/>
      <c r="BG275" s="377"/>
      <c r="BH275" s="377"/>
      <c r="BI275" s="377"/>
      <c r="BJ275" s="377"/>
      <c r="BK275" s="377"/>
      <c r="BL275" s="377"/>
      <c r="BM275" s="377"/>
      <c r="BN275" s="576"/>
      <c r="BO275" s="377"/>
      <c r="BP275" s="377"/>
      <c r="BQ275" s="377"/>
      <c r="BR275" s="377"/>
      <c r="BS275" s="377"/>
      <c r="BT275" s="377"/>
      <c r="BU275" s="377"/>
      <c r="BV275" s="377"/>
      <c r="BW275" s="377"/>
      <c r="BX275" s="377"/>
      <c r="BY275" s="377"/>
      <c r="BZ275" s="377"/>
      <c r="CA275" s="377"/>
      <c r="CB275" s="377"/>
      <c r="CC275" s="377"/>
      <c r="CD275" s="377"/>
      <c r="CE275" s="377"/>
      <c r="CF275" s="377"/>
      <c r="CG275" s="377"/>
      <c r="CH275" s="377"/>
      <c r="CI275" s="377"/>
    </row>
    <row r="276" spans="1:87" ht="15">
      <c r="A276" s="377"/>
      <c r="B276" s="377"/>
      <c r="C276" s="572"/>
      <c r="D276" s="377"/>
      <c r="E276" s="377"/>
      <c r="F276" s="377"/>
      <c r="G276" s="377"/>
      <c r="H276" s="573"/>
      <c r="I276" s="377"/>
      <c r="J276" s="377"/>
      <c r="K276" s="377"/>
      <c r="L276" s="377"/>
      <c r="M276" s="377"/>
      <c r="N276" s="377"/>
      <c r="O276" s="377"/>
      <c r="P276" s="377"/>
      <c r="Q276" s="377"/>
      <c r="R276" s="377"/>
      <c r="S276" s="377"/>
      <c r="T276" s="377"/>
      <c r="U276" s="377"/>
      <c r="V276" s="377"/>
      <c r="W276" s="377"/>
      <c r="X276" s="574"/>
      <c r="Y276" s="377"/>
      <c r="Z276" s="377"/>
      <c r="AA276" s="377"/>
      <c r="AB276" s="377"/>
      <c r="AC276" s="377"/>
      <c r="AD276" s="377"/>
      <c r="AE276" s="377"/>
      <c r="AF276" s="377"/>
      <c r="AG276" s="377"/>
      <c r="AH276" s="377"/>
      <c r="AI276" s="377"/>
      <c r="AJ276" s="377"/>
      <c r="AK276" s="377"/>
      <c r="AL276" s="574"/>
      <c r="AM276" s="377"/>
      <c r="AN276" s="377"/>
      <c r="AO276" s="377"/>
      <c r="AP276" s="377"/>
      <c r="AQ276" s="377"/>
      <c r="AR276" s="377"/>
      <c r="AS276" s="377"/>
      <c r="AT276" s="377"/>
      <c r="AU276" s="377"/>
      <c r="AV276" s="377"/>
      <c r="AW276" s="575"/>
      <c r="AX276" s="377"/>
      <c r="AY276" s="377"/>
      <c r="AZ276" s="377"/>
      <c r="BA276" s="377"/>
      <c r="BB276" s="377"/>
      <c r="BC276" s="377"/>
      <c r="BD276" s="377"/>
      <c r="BE276" s="377"/>
      <c r="BF276" s="377"/>
      <c r="BG276" s="377"/>
      <c r="BH276" s="377"/>
      <c r="BI276" s="377"/>
      <c r="BJ276" s="377"/>
      <c r="BK276" s="377"/>
      <c r="BL276" s="377"/>
      <c r="BM276" s="377"/>
      <c r="BN276" s="576"/>
      <c r="BO276" s="377"/>
      <c r="BP276" s="377"/>
      <c r="BQ276" s="377"/>
      <c r="BR276" s="377"/>
      <c r="BS276" s="377"/>
      <c r="BT276" s="377"/>
      <c r="BU276" s="377"/>
      <c r="BV276" s="377"/>
      <c r="BW276" s="377"/>
      <c r="BX276" s="377"/>
      <c r="BY276" s="377"/>
      <c r="BZ276" s="377"/>
      <c r="CA276" s="377"/>
      <c r="CB276" s="377"/>
      <c r="CC276" s="377"/>
      <c r="CD276" s="377"/>
      <c r="CE276" s="377"/>
      <c r="CF276" s="377"/>
      <c r="CG276" s="377"/>
      <c r="CH276" s="377"/>
      <c r="CI276" s="377"/>
    </row>
    <row r="277" spans="1:87" ht="15">
      <c r="A277" s="377"/>
      <c r="B277" s="377"/>
      <c r="C277" s="572"/>
      <c r="D277" s="377"/>
      <c r="E277" s="377"/>
      <c r="F277" s="377"/>
      <c r="G277" s="377"/>
      <c r="H277" s="573"/>
      <c r="I277" s="377"/>
      <c r="J277" s="377"/>
      <c r="K277" s="377"/>
      <c r="L277" s="377"/>
      <c r="M277" s="377"/>
      <c r="N277" s="377"/>
      <c r="O277" s="377"/>
      <c r="P277" s="377"/>
      <c r="Q277" s="377"/>
      <c r="R277" s="377"/>
      <c r="S277" s="377"/>
      <c r="T277" s="377"/>
      <c r="U277" s="377"/>
      <c r="V277" s="377"/>
      <c r="W277" s="377"/>
      <c r="X277" s="574"/>
      <c r="Y277" s="377"/>
      <c r="Z277" s="377"/>
      <c r="AA277" s="377"/>
      <c r="AB277" s="377"/>
      <c r="AC277" s="377"/>
      <c r="AD277" s="377"/>
      <c r="AE277" s="377"/>
      <c r="AF277" s="377"/>
      <c r="AG277" s="377"/>
      <c r="AH277" s="377"/>
      <c r="AI277" s="377"/>
      <c r="AJ277" s="377"/>
      <c r="AK277" s="377"/>
      <c r="AL277" s="574"/>
      <c r="AM277" s="377"/>
      <c r="AN277" s="377"/>
      <c r="AO277" s="377"/>
      <c r="AP277" s="377"/>
      <c r="AQ277" s="377"/>
      <c r="AR277" s="377"/>
      <c r="AS277" s="377"/>
      <c r="AT277" s="377"/>
      <c r="AU277" s="377"/>
      <c r="AV277" s="377"/>
      <c r="AW277" s="575"/>
      <c r="AX277" s="377"/>
      <c r="AY277" s="377"/>
      <c r="AZ277" s="377"/>
      <c r="BA277" s="377"/>
      <c r="BB277" s="377"/>
      <c r="BC277" s="377"/>
      <c r="BD277" s="377"/>
      <c r="BE277" s="377"/>
      <c r="BF277" s="377"/>
      <c r="BG277" s="377"/>
      <c r="BH277" s="377"/>
      <c r="BI277" s="377"/>
      <c r="BJ277" s="377"/>
      <c r="BK277" s="377"/>
      <c r="BL277" s="377"/>
      <c r="BM277" s="377"/>
      <c r="BN277" s="576"/>
      <c r="BO277" s="377"/>
      <c r="BP277" s="377"/>
      <c r="BQ277" s="377"/>
      <c r="BR277" s="377"/>
      <c r="BS277" s="377"/>
      <c r="BT277" s="377"/>
      <c r="BU277" s="377"/>
      <c r="BV277" s="377"/>
      <c r="BW277" s="377"/>
      <c r="BX277" s="377"/>
      <c r="BY277" s="377"/>
      <c r="BZ277" s="377"/>
      <c r="CA277" s="377"/>
      <c r="CB277" s="377"/>
      <c r="CC277" s="377"/>
      <c r="CD277" s="377"/>
      <c r="CE277" s="377"/>
      <c r="CF277" s="377"/>
      <c r="CG277" s="377"/>
      <c r="CH277" s="377"/>
      <c r="CI277" s="377"/>
    </row>
    <row r="278" spans="1:87" ht="15">
      <c r="A278" s="377"/>
      <c r="B278" s="377"/>
      <c r="C278" s="572"/>
      <c r="D278" s="377"/>
      <c r="E278" s="377"/>
      <c r="F278" s="377"/>
      <c r="G278" s="377"/>
      <c r="H278" s="573"/>
      <c r="I278" s="377"/>
      <c r="J278" s="377"/>
      <c r="K278" s="377"/>
      <c r="L278" s="377"/>
      <c r="M278" s="377"/>
      <c r="N278" s="377"/>
      <c r="O278" s="377"/>
      <c r="P278" s="377"/>
      <c r="Q278" s="377"/>
      <c r="R278" s="377"/>
      <c r="S278" s="377"/>
      <c r="T278" s="377"/>
      <c r="U278" s="377"/>
      <c r="V278" s="377"/>
      <c r="W278" s="377"/>
      <c r="X278" s="574"/>
      <c r="Y278" s="377"/>
      <c r="Z278" s="377"/>
      <c r="AA278" s="377"/>
      <c r="AB278" s="377"/>
      <c r="AC278" s="377"/>
      <c r="AD278" s="377"/>
      <c r="AE278" s="377"/>
      <c r="AF278" s="377"/>
      <c r="AG278" s="377"/>
      <c r="AH278" s="377"/>
      <c r="AI278" s="377"/>
      <c r="AJ278" s="377"/>
      <c r="AK278" s="377"/>
      <c r="AL278" s="574"/>
      <c r="AM278" s="377"/>
      <c r="AN278" s="377"/>
      <c r="AO278" s="377"/>
      <c r="AP278" s="377"/>
      <c r="AQ278" s="377"/>
      <c r="AR278" s="377"/>
      <c r="AS278" s="377"/>
      <c r="AT278" s="377"/>
      <c r="AU278" s="377"/>
      <c r="AV278" s="377"/>
      <c r="AW278" s="575"/>
      <c r="AX278" s="377"/>
      <c r="AY278" s="377"/>
      <c r="AZ278" s="377"/>
      <c r="BA278" s="377"/>
      <c r="BB278" s="377"/>
      <c r="BC278" s="377"/>
      <c r="BD278" s="377"/>
      <c r="BE278" s="377"/>
      <c r="BF278" s="377"/>
      <c r="BG278" s="377"/>
      <c r="BH278" s="377"/>
      <c r="BI278" s="377"/>
      <c r="BJ278" s="377"/>
      <c r="BK278" s="377"/>
      <c r="BL278" s="377"/>
      <c r="BM278" s="377"/>
      <c r="BN278" s="576"/>
      <c r="BO278" s="377"/>
      <c r="BP278" s="377"/>
      <c r="BQ278" s="377"/>
      <c r="BR278" s="377"/>
      <c r="BS278" s="377"/>
      <c r="BT278" s="377"/>
      <c r="BU278" s="377"/>
      <c r="BV278" s="377"/>
      <c r="BW278" s="377"/>
      <c r="BX278" s="377"/>
      <c r="BY278" s="377"/>
      <c r="BZ278" s="377"/>
      <c r="CA278" s="377"/>
      <c r="CB278" s="377"/>
      <c r="CC278" s="377"/>
      <c r="CD278" s="377"/>
      <c r="CE278" s="377"/>
      <c r="CF278" s="377"/>
      <c r="CG278" s="377"/>
      <c r="CH278" s="377"/>
      <c r="CI278" s="377"/>
    </row>
    <row r="279" spans="1:87" ht="15">
      <c r="A279" s="377"/>
      <c r="B279" s="377"/>
      <c r="C279" s="572"/>
      <c r="D279" s="377"/>
      <c r="E279" s="377"/>
      <c r="F279" s="377"/>
      <c r="G279" s="377"/>
      <c r="H279" s="573"/>
      <c r="I279" s="377"/>
      <c r="J279" s="377"/>
      <c r="K279" s="377"/>
      <c r="L279" s="377"/>
      <c r="M279" s="377"/>
      <c r="N279" s="377"/>
      <c r="O279" s="377"/>
      <c r="P279" s="377"/>
      <c r="Q279" s="377"/>
      <c r="R279" s="377"/>
      <c r="S279" s="377"/>
      <c r="T279" s="377"/>
      <c r="U279" s="377"/>
      <c r="V279" s="377"/>
      <c r="W279" s="377"/>
      <c r="X279" s="574"/>
      <c r="Y279" s="377"/>
      <c r="Z279" s="377"/>
      <c r="AA279" s="377"/>
      <c r="AB279" s="377"/>
      <c r="AC279" s="377"/>
      <c r="AD279" s="377"/>
      <c r="AE279" s="377"/>
      <c r="AF279" s="377"/>
      <c r="AG279" s="377"/>
      <c r="AH279" s="377"/>
      <c r="AI279" s="377"/>
      <c r="AJ279" s="377"/>
      <c r="AK279" s="377"/>
      <c r="AL279" s="574"/>
      <c r="AM279" s="377"/>
      <c r="AN279" s="377"/>
      <c r="AO279" s="377"/>
      <c r="AP279" s="377"/>
      <c r="AQ279" s="377"/>
      <c r="AR279" s="377"/>
      <c r="AS279" s="377"/>
      <c r="AT279" s="377"/>
      <c r="AU279" s="377"/>
      <c r="AV279" s="377"/>
      <c r="AW279" s="575"/>
      <c r="AX279" s="377"/>
      <c r="AY279" s="377"/>
      <c r="AZ279" s="377"/>
      <c r="BA279" s="377"/>
      <c r="BB279" s="377"/>
      <c r="BC279" s="377"/>
      <c r="BD279" s="377"/>
      <c r="BE279" s="377"/>
      <c r="BF279" s="377"/>
      <c r="BG279" s="377"/>
      <c r="BH279" s="377"/>
      <c r="BI279" s="377"/>
      <c r="BJ279" s="377"/>
      <c r="BK279" s="377"/>
      <c r="BL279" s="377"/>
      <c r="BM279" s="377"/>
      <c r="BN279" s="576"/>
      <c r="BO279" s="377"/>
      <c r="BP279" s="377"/>
      <c r="BQ279" s="377"/>
      <c r="BR279" s="377"/>
      <c r="BS279" s="377"/>
      <c r="BT279" s="377"/>
      <c r="BU279" s="377"/>
      <c r="BV279" s="377"/>
      <c r="BW279" s="377"/>
      <c r="BX279" s="377"/>
      <c r="BY279" s="377"/>
      <c r="BZ279" s="377"/>
      <c r="CA279" s="377"/>
      <c r="CB279" s="377"/>
      <c r="CC279" s="377"/>
      <c r="CD279" s="377"/>
      <c r="CE279" s="377"/>
      <c r="CF279" s="377"/>
      <c r="CG279" s="377"/>
      <c r="CH279" s="377"/>
      <c r="CI279" s="377"/>
    </row>
    <row r="280" spans="1:87" ht="15">
      <c r="A280" s="377"/>
      <c r="B280" s="377"/>
      <c r="C280" s="572"/>
      <c r="D280" s="377"/>
      <c r="E280" s="377"/>
      <c r="F280" s="377"/>
      <c r="G280" s="377"/>
      <c r="H280" s="573"/>
      <c r="I280" s="377"/>
      <c r="J280" s="377"/>
      <c r="K280" s="377"/>
      <c r="L280" s="377"/>
      <c r="M280" s="377"/>
      <c r="N280" s="377"/>
      <c r="O280" s="377"/>
      <c r="P280" s="377"/>
      <c r="Q280" s="377"/>
      <c r="R280" s="377"/>
      <c r="S280" s="377"/>
      <c r="T280" s="377"/>
      <c r="U280" s="377"/>
      <c r="V280" s="377"/>
      <c r="W280" s="377"/>
      <c r="X280" s="574"/>
      <c r="Y280" s="377"/>
      <c r="Z280" s="377"/>
      <c r="AA280" s="377"/>
      <c r="AB280" s="377"/>
      <c r="AC280" s="377"/>
      <c r="AD280" s="377"/>
      <c r="AE280" s="377"/>
      <c r="AF280" s="377"/>
      <c r="AG280" s="377"/>
      <c r="AH280" s="377"/>
      <c r="AI280" s="377"/>
      <c r="AJ280" s="377"/>
      <c r="AK280" s="377"/>
      <c r="AL280" s="574"/>
      <c r="AM280" s="377"/>
      <c r="AN280" s="377"/>
      <c r="AO280" s="377"/>
      <c r="AP280" s="377"/>
      <c r="AQ280" s="377"/>
      <c r="AR280" s="377"/>
      <c r="AS280" s="377"/>
      <c r="AT280" s="377"/>
      <c r="AU280" s="377"/>
      <c r="AV280" s="377"/>
      <c r="AW280" s="575"/>
      <c r="AX280" s="377"/>
      <c r="AY280" s="377"/>
      <c r="AZ280" s="377"/>
      <c r="BA280" s="377"/>
      <c r="BB280" s="377"/>
      <c r="BC280" s="377"/>
      <c r="BD280" s="377"/>
      <c r="BE280" s="377"/>
      <c r="BF280" s="377"/>
      <c r="BG280" s="377"/>
      <c r="BH280" s="377"/>
      <c r="BI280" s="377"/>
      <c r="BJ280" s="377"/>
      <c r="BK280" s="377"/>
      <c r="BL280" s="377"/>
      <c r="BM280" s="377"/>
      <c r="BN280" s="576"/>
      <c r="BO280" s="377"/>
      <c r="BP280" s="377"/>
      <c r="BQ280" s="377"/>
      <c r="BR280" s="377"/>
      <c r="BS280" s="377"/>
      <c r="BT280" s="377"/>
      <c r="BU280" s="377"/>
      <c r="BV280" s="377"/>
      <c r="BW280" s="377"/>
      <c r="BX280" s="377"/>
      <c r="BY280" s="377"/>
      <c r="BZ280" s="377"/>
      <c r="CA280" s="377"/>
      <c r="CB280" s="377"/>
      <c r="CC280" s="377"/>
      <c r="CD280" s="377"/>
      <c r="CE280" s="377"/>
      <c r="CF280" s="377"/>
      <c r="CG280" s="377"/>
      <c r="CH280" s="377"/>
      <c r="CI280" s="377"/>
    </row>
    <row r="281" spans="1:87" ht="15">
      <c r="A281" s="377"/>
      <c r="B281" s="377"/>
      <c r="C281" s="572"/>
      <c r="D281" s="377"/>
      <c r="E281" s="377"/>
      <c r="F281" s="377"/>
      <c r="G281" s="377"/>
      <c r="H281" s="573"/>
      <c r="I281" s="377"/>
      <c r="J281" s="377"/>
      <c r="K281" s="377"/>
      <c r="L281" s="377"/>
      <c r="M281" s="377"/>
      <c r="N281" s="377"/>
      <c r="O281" s="377"/>
      <c r="P281" s="377"/>
      <c r="Q281" s="377"/>
      <c r="R281" s="377"/>
      <c r="S281" s="377"/>
      <c r="T281" s="377"/>
      <c r="U281" s="377"/>
      <c r="V281" s="377"/>
      <c r="W281" s="377"/>
      <c r="X281" s="574"/>
      <c r="Y281" s="377"/>
      <c r="Z281" s="377"/>
      <c r="AA281" s="377"/>
      <c r="AB281" s="377"/>
      <c r="AC281" s="377"/>
      <c r="AD281" s="377"/>
      <c r="AE281" s="377"/>
      <c r="AF281" s="377"/>
      <c r="AG281" s="377"/>
      <c r="AH281" s="377"/>
      <c r="AI281" s="377"/>
      <c r="AJ281" s="377"/>
      <c r="AK281" s="377"/>
      <c r="AL281" s="574"/>
      <c r="AM281" s="377"/>
      <c r="AN281" s="377"/>
      <c r="AO281" s="377"/>
      <c r="AP281" s="377"/>
      <c r="AQ281" s="377"/>
      <c r="AR281" s="377"/>
      <c r="AS281" s="377"/>
      <c r="AT281" s="377"/>
      <c r="AU281" s="377"/>
      <c r="AV281" s="377"/>
      <c r="AW281" s="575"/>
      <c r="AX281" s="377"/>
      <c r="AY281" s="377"/>
      <c r="AZ281" s="377"/>
      <c r="BA281" s="377"/>
      <c r="BB281" s="377"/>
      <c r="BC281" s="377"/>
      <c r="BD281" s="377"/>
      <c r="BE281" s="377"/>
      <c r="BF281" s="377"/>
      <c r="BG281" s="377"/>
      <c r="BH281" s="377"/>
      <c r="BI281" s="377"/>
      <c r="BJ281" s="377"/>
      <c r="BK281" s="377"/>
      <c r="BL281" s="377"/>
      <c r="BM281" s="377"/>
      <c r="BN281" s="576"/>
      <c r="BO281" s="377"/>
      <c r="BP281" s="377"/>
      <c r="BQ281" s="377"/>
      <c r="BR281" s="377"/>
      <c r="BS281" s="377"/>
      <c r="BT281" s="377"/>
      <c r="BU281" s="377"/>
      <c r="BV281" s="377"/>
      <c r="BW281" s="377"/>
      <c r="BX281" s="377"/>
      <c r="BY281" s="377"/>
      <c r="BZ281" s="377"/>
      <c r="CA281" s="377"/>
      <c r="CB281" s="377"/>
      <c r="CC281" s="377"/>
      <c r="CD281" s="377"/>
      <c r="CE281" s="377"/>
      <c r="CF281" s="377"/>
      <c r="CG281" s="377"/>
      <c r="CH281" s="377"/>
      <c r="CI281" s="377"/>
    </row>
    <row r="282" spans="1:87" ht="15">
      <c r="A282" s="377"/>
      <c r="B282" s="377"/>
      <c r="C282" s="572"/>
      <c r="D282" s="377"/>
      <c r="E282" s="377"/>
      <c r="F282" s="377"/>
      <c r="G282" s="377"/>
      <c r="H282" s="573"/>
      <c r="I282" s="377"/>
      <c r="J282" s="377"/>
      <c r="K282" s="377"/>
      <c r="L282" s="377"/>
      <c r="M282" s="377"/>
      <c r="N282" s="377"/>
      <c r="O282" s="377"/>
      <c r="P282" s="377"/>
      <c r="Q282" s="377"/>
      <c r="R282" s="377"/>
      <c r="S282" s="377"/>
      <c r="T282" s="377"/>
      <c r="U282" s="377"/>
      <c r="V282" s="377"/>
      <c r="W282" s="377"/>
      <c r="X282" s="574"/>
      <c r="Y282" s="377"/>
      <c r="Z282" s="377"/>
      <c r="AA282" s="377"/>
      <c r="AB282" s="377"/>
      <c r="AC282" s="377"/>
      <c r="AD282" s="377"/>
      <c r="AE282" s="377"/>
      <c r="AF282" s="377"/>
      <c r="AG282" s="377"/>
      <c r="AH282" s="377"/>
      <c r="AI282" s="377"/>
      <c r="AJ282" s="377"/>
      <c r="AK282" s="377"/>
      <c r="AL282" s="574"/>
      <c r="AM282" s="377"/>
      <c r="AN282" s="377"/>
      <c r="AO282" s="377"/>
      <c r="AP282" s="377"/>
      <c r="AQ282" s="377"/>
      <c r="AR282" s="377"/>
      <c r="AS282" s="377"/>
      <c r="AT282" s="377"/>
      <c r="AU282" s="377"/>
      <c r="AV282" s="377"/>
      <c r="AW282" s="575"/>
      <c r="AX282" s="377"/>
      <c r="AY282" s="377"/>
      <c r="AZ282" s="377"/>
      <c r="BA282" s="377"/>
      <c r="BB282" s="377"/>
      <c r="BC282" s="377"/>
      <c r="BD282" s="377"/>
      <c r="BE282" s="377"/>
      <c r="BF282" s="377"/>
      <c r="BG282" s="377"/>
      <c r="BH282" s="377"/>
      <c r="BI282" s="377"/>
      <c r="BJ282" s="377"/>
      <c r="BK282" s="377"/>
      <c r="BL282" s="377"/>
      <c r="BM282" s="377"/>
      <c r="BN282" s="576"/>
      <c r="BO282" s="377"/>
      <c r="BP282" s="377"/>
      <c r="BQ282" s="377"/>
      <c r="BR282" s="377"/>
      <c r="BS282" s="377"/>
      <c r="BT282" s="377"/>
      <c r="BU282" s="377"/>
      <c r="BV282" s="377"/>
      <c r="BW282" s="377"/>
      <c r="BX282" s="377"/>
      <c r="BY282" s="377"/>
      <c r="BZ282" s="377"/>
      <c r="CA282" s="377"/>
      <c r="CB282" s="377"/>
      <c r="CC282" s="377"/>
      <c r="CD282" s="377"/>
      <c r="CE282" s="377"/>
      <c r="CF282" s="377"/>
      <c r="CG282" s="377"/>
      <c r="CH282" s="377"/>
      <c r="CI282" s="377"/>
    </row>
    <row r="283" spans="1:87" ht="15">
      <c r="A283" s="377"/>
      <c r="B283" s="377"/>
      <c r="C283" s="572"/>
      <c r="D283" s="377"/>
      <c r="E283" s="377"/>
      <c r="F283" s="377"/>
      <c r="G283" s="377"/>
      <c r="H283" s="573"/>
      <c r="I283" s="377"/>
      <c r="J283" s="377"/>
      <c r="K283" s="377"/>
      <c r="L283" s="377"/>
      <c r="M283" s="377"/>
      <c r="N283" s="377"/>
      <c r="O283" s="377"/>
      <c r="P283" s="377"/>
      <c r="Q283" s="377"/>
      <c r="R283" s="377"/>
      <c r="S283" s="377"/>
      <c r="T283" s="377"/>
      <c r="U283" s="377"/>
      <c r="V283" s="377"/>
      <c r="W283" s="377"/>
      <c r="X283" s="574"/>
      <c r="Y283" s="377"/>
      <c r="Z283" s="377"/>
      <c r="AA283" s="377"/>
      <c r="AB283" s="377"/>
      <c r="AC283" s="377"/>
      <c r="AD283" s="377"/>
      <c r="AE283" s="377"/>
      <c r="AF283" s="377"/>
      <c r="AG283" s="377"/>
      <c r="AH283" s="377"/>
      <c r="AI283" s="377"/>
      <c r="AJ283" s="377"/>
      <c r="AK283" s="377"/>
      <c r="AL283" s="574"/>
      <c r="AM283" s="377"/>
      <c r="AN283" s="377"/>
      <c r="AO283" s="377"/>
      <c r="AP283" s="377"/>
      <c r="AQ283" s="377"/>
      <c r="AR283" s="377"/>
      <c r="AS283" s="377"/>
      <c r="AT283" s="377"/>
      <c r="AU283" s="377"/>
      <c r="AV283" s="377"/>
      <c r="AW283" s="575"/>
      <c r="AX283" s="377"/>
      <c r="AY283" s="377"/>
      <c r="AZ283" s="377"/>
      <c r="BA283" s="377"/>
      <c r="BB283" s="377"/>
      <c r="BC283" s="377"/>
      <c r="BD283" s="377"/>
      <c r="BE283" s="377"/>
      <c r="BF283" s="377"/>
      <c r="BG283" s="377"/>
      <c r="BH283" s="377"/>
      <c r="BI283" s="377"/>
      <c r="BJ283" s="377"/>
      <c r="BK283" s="377"/>
      <c r="BL283" s="377"/>
      <c r="BM283" s="377"/>
      <c r="BN283" s="576"/>
      <c r="BO283" s="377"/>
      <c r="BP283" s="377"/>
      <c r="BQ283" s="377"/>
      <c r="BR283" s="377"/>
      <c r="BS283" s="377"/>
      <c r="BT283" s="377"/>
      <c r="BU283" s="377"/>
      <c r="BV283" s="377"/>
      <c r="BW283" s="377"/>
      <c r="BX283" s="377"/>
      <c r="BY283" s="377"/>
      <c r="BZ283" s="377"/>
      <c r="CA283" s="377"/>
      <c r="CB283" s="377"/>
      <c r="CC283" s="377"/>
      <c r="CD283" s="377"/>
      <c r="CE283" s="377"/>
      <c r="CF283" s="377"/>
      <c r="CG283" s="377"/>
      <c r="CH283" s="377"/>
      <c r="CI283" s="377"/>
    </row>
    <row r="284" spans="1:87" ht="15">
      <c r="A284" s="377"/>
      <c r="B284" s="377"/>
      <c r="C284" s="572"/>
      <c r="D284" s="377"/>
      <c r="E284" s="377"/>
      <c r="F284" s="377"/>
      <c r="G284" s="377"/>
      <c r="H284" s="573"/>
      <c r="I284" s="377"/>
      <c r="J284" s="377"/>
      <c r="K284" s="377"/>
      <c r="L284" s="377"/>
      <c r="M284" s="377"/>
      <c r="N284" s="377"/>
      <c r="O284" s="377"/>
      <c r="P284" s="377"/>
      <c r="Q284" s="377"/>
      <c r="R284" s="377"/>
      <c r="S284" s="377"/>
      <c r="T284" s="377"/>
      <c r="U284" s="377"/>
      <c r="V284" s="377"/>
      <c r="W284" s="377"/>
      <c r="X284" s="574"/>
      <c r="Y284" s="377"/>
      <c r="Z284" s="377"/>
      <c r="AA284" s="377"/>
      <c r="AB284" s="377"/>
      <c r="AC284" s="377"/>
      <c r="AD284" s="377"/>
      <c r="AE284" s="377"/>
      <c r="AF284" s="377"/>
      <c r="AG284" s="377"/>
      <c r="AH284" s="377"/>
      <c r="AI284" s="377"/>
      <c r="AJ284" s="377"/>
      <c r="AK284" s="377"/>
      <c r="AL284" s="574"/>
      <c r="AM284" s="377"/>
      <c r="AN284" s="377"/>
      <c r="AO284" s="377"/>
      <c r="AP284" s="377"/>
      <c r="AQ284" s="377"/>
      <c r="AR284" s="377"/>
      <c r="AS284" s="377"/>
      <c r="AT284" s="377"/>
      <c r="AU284" s="377"/>
      <c r="AV284" s="377"/>
      <c r="AW284" s="575"/>
      <c r="AX284" s="377"/>
      <c r="AY284" s="377"/>
      <c r="AZ284" s="377"/>
      <c r="BA284" s="377"/>
      <c r="BB284" s="377"/>
      <c r="BC284" s="377"/>
      <c r="BD284" s="377"/>
      <c r="BE284" s="377"/>
      <c r="BF284" s="377"/>
      <c r="BG284" s="377"/>
      <c r="BH284" s="377"/>
      <c r="BI284" s="377"/>
      <c r="BJ284" s="377"/>
      <c r="BK284" s="377"/>
      <c r="BL284" s="377"/>
      <c r="BM284" s="377"/>
      <c r="BN284" s="576"/>
      <c r="BO284" s="377"/>
      <c r="BP284" s="377"/>
      <c r="BQ284" s="377"/>
      <c r="BR284" s="377"/>
      <c r="BS284" s="377"/>
      <c r="BT284" s="377"/>
      <c r="BU284" s="377"/>
      <c r="BV284" s="377"/>
      <c r="BW284" s="377"/>
      <c r="BX284" s="377"/>
      <c r="BY284" s="377"/>
      <c r="BZ284" s="377"/>
      <c r="CA284" s="377"/>
      <c r="CB284" s="377"/>
      <c r="CC284" s="377"/>
      <c r="CD284" s="377"/>
      <c r="CE284" s="377"/>
      <c r="CF284" s="377"/>
      <c r="CG284" s="377"/>
      <c r="CH284" s="377"/>
      <c r="CI284" s="377"/>
    </row>
    <row r="285" spans="1:87" ht="15">
      <c r="A285" s="377"/>
      <c r="B285" s="377"/>
      <c r="C285" s="572"/>
      <c r="D285" s="377"/>
      <c r="E285" s="377"/>
      <c r="F285" s="377"/>
      <c r="G285" s="377"/>
      <c r="H285" s="573"/>
      <c r="I285" s="377"/>
      <c r="J285" s="377"/>
      <c r="K285" s="377"/>
      <c r="L285" s="377"/>
      <c r="M285" s="377"/>
      <c r="N285" s="377"/>
      <c r="O285" s="377"/>
      <c r="P285" s="377"/>
      <c r="Q285" s="377"/>
      <c r="R285" s="377"/>
      <c r="S285" s="377"/>
      <c r="T285" s="377"/>
      <c r="U285" s="377"/>
      <c r="V285" s="377"/>
      <c r="W285" s="377"/>
      <c r="X285" s="574"/>
      <c r="Y285" s="377"/>
      <c r="Z285" s="377"/>
      <c r="AA285" s="377"/>
      <c r="AB285" s="377"/>
      <c r="AC285" s="377"/>
      <c r="AD285" s="377"/>
      <c r="AE285" s="377"/>
      <c r="AF285" s="377"/>
      <c r="AG285" s="377"/>
      <c r="AH285" s="377"/>
      <c r="AI285" s="377"/>
      <c r="AJ285" s="377"/>
      <c r="AK285" s="377"/>
      <c r="AL285" s="574"/>
      <c r="AM285" s="377"/>
      <c r="AN285" s="377"/>
      <c r="AO285" s="377"/>
      <c r="AP285" s="377"/>
      <c r="AQ285" s="377"/>
      <c r="AR285" s="377"/>
      <c r="AS285" s="377"/>
      <c r="AT285" s="377"/>
      <c r="AU285" s="377"/>
      <c r="AV285" s="377"/>
      <c r="AW285" s="575"/>
      <c r="AX285" s="377"/>
      <c r="AY285" s="377"/>
      <c r="AZ285" s="377"/>
      <c r="BA285" s="377"/>
      <c r="BB285" s="377"/>
      <c r="BC285" s="377"/>
      <c r="BD285" s="377"/>
      <c r="BE285" s="377"/>
      <c r="BF285" s="377"/>
      <c r="BG285" s="377"/>
      <c r="BH285" s="377"/>
      <c r="BI285" s="377"/>
      <c r="BJ285" s="377"/>
      <c r="BK285" s="377"/>
      <c r="BL285" s="377"/>
      <c r="BM285" s="377"/>
      <c r="BN285" s="576"/>
      <c r="BO285" s="377"/>
      <c r="BP285" s="377"/>
      <c r="BQ285" s="377"/>
      <c r="BR285" s="377"/>
      <c r="BS285" s="377"/>
      <c r="BT285" s="377"/>
      <c r="BU285" s="377"/>
      <c r="BV285" s="377"/>
      <c r="BW285" s="377"/>
      <c r="BX285" s="377"/>
      <c r="BY285" s="377"/>
      <c r="BZ285" s="377"/>
      <c r="CA285" s="377"/>
      <c r="CB285" s="377"/>
      <c r="CC285" s="377"/>
      <c r="CD285" s="377"/>
      <c r="CE285" s="377"/>
      <c r="CF285" s="377"/>
      <c r="CG285" s="377"/>
      <c r="CH285" s="377"/>
      <c r="CI285" s="377"/>
    </row>
    <row r="286" spans="1:87" ht="15">
      <c r="A286" s="377"/>
      <c r="B286" s="377"/>
      <c r="C286" s="572"/>
      <c r="D286" s="377"/>
      <c r="E286" s="377"/>
      <c r="F286" s="377"/>
      <c r="G286" s="377"/>
      <c r="H286" s="573"/>
      <c r="I286" s="377"/>
      <c r="J286" s="377"/>
      <c r="K286" s="377"/>
      <c r="L286" s="377"/>
      <c r="M286" s="377"/>
      <c r="N286" s="377"/>
      <c r="O286" s="377"/>
      <c r="P286" s="377"/>
      <c r="Q286" s="377"/>
      <c r="R286" s="377"/>
      <c r="S286" s="377"/>
      <c r="T286" s="377"/>
      <c r="U286" s="377"/>
      <c r="V286" s="377"/>
      <c r="W286" s="377"/>
      <c r="X286" s="574"/>
      <c r="Y286" s="377"/>
      <c r="Z286" s="377"/>
      <c r="AA286" s="377"/>
      <c r="AB286" s="377"/>
      <c r="AC286" s="377"/>
      <c r="AD286" s="377"/>
      <c r="AE286" s="377"/>
      <c r="AF286" s="377"/>
      <c r="AG286" s="377"/>
      <c r="AH286" s="377"/>
      <c r="AI286" s="377"/>
      <c r="AJ286" s="377"/>
      <c r="AK286" s="377"/>
      <c r="AL286" s="574"/>
      <c r="AM286" s="377"/>
      <c r="AN286" s="377"/>
      <c r="AO286" s="377"/>
      <c r="AP286" s="377"/>
      <c r="AQ286" s="377"/>
      <c r="AR286" s="377"/>
      <c r="AS286" s="377"/>
      <c r="AT286" s="377"/>
      <c r="AU286" s="377"/>
      <c r="AV286" s="377"/>
      <c r="AW286" s="575"/>
      <c r="AX286" s="377"/>
      <c r="AY286" s="377"/>
      <c r="AZ286" s="377"/>
      <c r="BA286" s="377"/>
      <c r="BB286" s="377"/>
      <c r="BC286" s="377"/>
      <c r="BD286" s="377"/>
      <c r="BE286" s="377"/>
      <c r="BF286" s="377"/>
      <c r="BG286" s="377"/>
      <c r="BH286" s="377"/>
      <c r="BI286" s="377"/>
      <c r="BJ286" s="377"/>
      <c r="BK286" s="377"/>
      <c r="BL286" s="377"/>
      <c r="BM286" s="377"/>
      <c r="BN286" s="576"/>
      <c r="BO286" s="377"/>
      <c r="BP286" s="377"/>
      <c r="BQ286" s="377"/>
      <c r="BR286" s="377"/>
      <c r="BS286" s="377"/>
      <c r="BT286" s="377"/>
      <c r="BU286" s="377"/>
      <c r="BV286" s="377"/>
      <c r="BW286" s="377"/>
      <c r="BX286" s="377"/>
      <c r="BY286" s="377"/>
      <c r="BZ286" s="377"/>
      <c r="CA286" s="377"/>
      <c r="CB286" s="377"/>
      <c r="CC286" s="377"/>
      <c r="CD286" s="377"/>
      <c r="CE286" s="377"/>
      <c r="CF286" s="377"/>
      <c r="CG286" s="377"/>
      <c r="CH286" s="377"/>
      <c r="CI286" s="377"/>
    </row>
    <row r="287" spans="1:87" ht="15">
      <c r="A287" s="377"/>
      <c r="B287" s="377"/>
      <c r="C287" s="572"/>
      <c r="D287" s="377"/>
      <c r="E287" s="377"/>
      <c r="F287" s="377"/>
      <c r="G287" s="377"/>
      <c r="H287" s="573"/>
      <c r="I287" s="377"/>
      <c r="J287" s="377"/>
      <c r="K287" s="377"/>
      <c r="L287" s="377"/>
      <c r="M287" s="377"/>
      <c r="N287" s="377"/>
      <c r="O287" s="377"/>
      <c r="P287" s="377"/>
      <c r="Q287" s="377"/>
      <c r="R287" s="377"/>
      <c r="S287" s="377"/>
      <c r="T287" s="377"/>
      <c r="U287" s="377"/>
      <c r="V287" s="377"/>
      <c r="W287" s="377"/>
      <c r="X287" s="574"/>
      <c r="Y287" s="377"/>
      <c r="Z287" s="377"/>
      <c r="AA287" s="377"/>
      <c r="AB287" s="377"/>
      <c r="AC287" s="377"/>
      <c r="AD287" s="377"/>
      <c r="AE287" s="377"/>
      <c r="AF287" s="377"/>
      <c r="AG287" s="377"/>
      <c r="AH287" s="377"/>
      <c r="AI287" s="377"/>
      <c r="AJ287" s="377"/>
      <c r="AK287" s="377"/>
      <c r="AL287" s="574"/>
      <c r="AM287" s="377"/>
      <c r="AN287" s="377"/>
      <c r="AO287" s="377"/>
      <c r="AP287" s="377"/>
      <c r="AQ287" s="377"/>
      <c r="AR287" s="377"/>
      <c r="AS287" s="377"/>
      <c r="AT287" s="377"/>
      <c r="AU287" s="377"/>
      <c r="AV287" s="377"/>
      <c r="AW287" s="575"/>
      <c r="AX287" s="377"/>
      <c r="AY287" s="377"/>
      <c r="AZ287" s="377"/>
      <c r="BA287" s="377"/>
      <c r="BB287" s="377"/>
      <c r="BC287" s="377"/>
      <c r="BD287" s="377"/>
      <c r="BE287" s="377"/>
      <c r="BF287" s="377"/>
      <c r="BG287" s="377"/>
      <c r="BH287" s="377"/>
      <c r="BI287" s="377"/>
      <c r="BJ287" s="377"/>
      <c r="BK287" s="377"/>
      <c r="BL287" s="377"/>
      <c r="BM287" s="377"/>
      <c r="BN287" s="576"/>
      <c r="BO287" s="377"/>
      <c r="BP287" s="377"/>
      <c r="BQ287" s="377"/>
      <c r="BR287" s="377"/>
      <c r="BS287" s="377"/>
      <c r="BT287" s="377"/>
      <c r="BU287" s="377"/>
      <c r="BV287" s="377"/>
      <c r="BW287" s="377"/>
      <c r="BX287" s="377"/>
      <c r="BY287" s="377"/>
      <c r="BZ287" s="377"/>
      <c r="CA287" s="377"/>
      <c r="CB287" s="377"/>
      <c r="CC287" s="377"/>
      <c r="CD287" s="377"/>
      <c r="CE287" s="377"/>
      <c r="CF287" s="377"/>
      <c r="CG287" s="377"/>
      <c r="CH287" s="377"/>
      <c r="CI287" s="377"/>
    </row>
    <row r="288" spans="1:87" ht="15">
      <c r="A288" s="377"/>
      <c r="B288" s="377"/>
      <c r="C288" s="572"/>
      <c r="D288" s="377"/>
      <c r="E288" s="377"/>
      <c r="F288" s="377"/>
      <c r="G288" s="377"/>
      <c r="H288" s="573"/>
      <c r="I288" s="377"/>
      <c r="J288" s="377"/>
      <c r="K288" s="377"/>
      <c r="L288" s="377"/>
      <c r="M288" s="377"/>
      <c r="N288" s="377"/>
      <c r="O288" s="377"/>
      <c r="P288" s="377"/>
      <c r="Q288" s="377"/>
      <c r="R288" s="377"/>
      <c r="S288" s="377"/>
      <c r="T288" s="377"/>
      <c r="U288" s="377"/>
      <c r="V288" s="377"/>
      <c r="W288" s="377"/>
      <c r="X288" s="574"/>
      <c r="Y288" s="377"/>
      <c r="Z288" s="377"/>
      <c r="AA288" s="377"/>
      <c r="AB288" s="377"/>
      <c r="AC288" s="377"/>
      <c r="AD288" s="377"/>
      <c r="AE288" s="377"/>
      <c r="AF288" s="377"/>
      <c r="AG288" s="377"/>
      <c r="AH288" s="377"/>
      <c r="AI288" s="377"/>
      <c r="AJ288" s="377"/>
      <c r="AK288" s="377"/>
      <c r="AL288" s="574"/>
      <c r="AM288" s="377"/>
      <c r="AN288" s="377"/>
      <c r="AO288" s="377"/>
      <c r="AP288" s="377"/>
      <c r="AQ288" s="377"/>
      <c r="AR288" s="377"/>
      <c r="AS288" s="377"/>
      <c r="AT288" s="377"/>
      <c r="AU288" s="377"/>
      <c r="AV288" s="377"/>
      <c r="AW288" s="575"/>
      <c r="AX288" s="377"/>
      <c r="AY288" s="377"/>
      <c r="AZ288" s="377"/>
      <c r="BA288" s="377"/>
      <c r="BB288" s="377"/>
      <c r="BC288" s="377"/>
      <c r="BD288" s="377"/>
      <c r="BE288" s="377"/>
      <c r="BF288" s="377"/>
      <c r="BG288" s="377"/>
      <c r="BH288" s="377"/>
      <c r="BI288" s="377"/>
      <c r="BJ288" s="377"/>
      <c r="BK288" s="377"/>
      <c r="BL288" s="377"/>
      <c r="BM288" s="377"/>
      <c r="BN288" s="576"/>
      <c r="BO288" s="377"/>
      <c r="BP288" s="377"/>
      <c r="BQ288" s="377"/>
      <c r="BR288" s="377"/>
      <c r="BS288" s="377"/>
      <c r="BT288" s="377"/>
      <c r="BU288" s="377"/>
      <c r="BV288" s="377"/>
      <c r="BW288" s="377"/>
      <c r="BX288" s="377"/>
      <c r="BY288" s="377"/>
      <c r="BZ288" s="377"/>
      <c r="CA288" s="377"/>
      <c r="CB288" s="377"/>
      <c r="CC288" s="377"/>
      <c r="CD288" s="377"/>
      <c r="CE288" s="377"/>
      <c r="CF288" s="377"/>
      <c r="CG288" s="377"/>
      <c r="CH288" s="377"/>
      <c r="CI288" s="377"/>
    </row>
    <row r="289" spans="1:87" ht="15">
      <c r="A289" s="377"/>
      <c r="B289" s="377"/>
      <c r="C289" s="572"/>
      <c r="D289" s="377"/>
      <c r="E289" s="377"/>
      <c r="F289" s="377"/>
      <c r="G289" s="377"/>
      <c r="H289" s="573"/>
      <c r="I289" s="377"/>
      <c r="J289" s="377"/>
      <c r="K289" s="377"/>
      <c r="L289" s="377"/>
      <c r="M289" s="377"/>
      <c r="N289" s="377"/>
      <c r="O289" s="377"/>
      <c r="P289" s="377"/>
      <c r="Q289" s="377"/>
      <c r="R289" s="377"/>
      <c r="S289" s="377"/>
      <c r="T289" s="377"/>
      <c r="U289" s="377"/>
      <c r="V289" s="377"/>
      <c r="W289" s="377"/>
      <c r="X289" s="574"/>
      <c r="Y289" s="377"/>
      <c r="Z289" s="377"/>
      <c r="AA289" s="377"/>
      <c r="AB289" s="377"/>
      <c r="AC289" s="377"/>
      <c r="AD289" s="377"/>
      <c r="AE289" s="377"/>
      <c r="AF289" s="377"/>
      <c r="AG289" s="377"/>
      <c r="AH289" s="377"/>
      <c r="AI289" s="377"/>
      <c r="AJ289" s="377"/>
      <c r="AK289" s="377"/>
      <c r="AL289" s="574"/>
      <c r="AM289" s="377"/>
      <c r="AN289" s="377"/>
      <c r="AO289" s="377"/>
      <c r="AP289" s="377"/>
      <c r="AQ289" s="377"/>
      <c r="AR289" s="377"/>
      <c r="AS289" s="377"/>
      <c r="AT289" s="377"/>
      <c r="AU289" s="377"/>
      <c r="AV289" s="377"/>
      <c r="AW289" s="575"/>
      <c r="AX289" s="377"/>
      <c r="AY289" s="377"/>
      <c r="AZ289" s="377"/>
      <c r="BA289" s="377"/>
      <c r="BB289" s="377"/>
      <c r="BC289" s="377"/>
      <c r="BD289" s="377"/>
      <c r="BE289" s="377"/>
      <c r="BF289" s="377"/>
      <c r="BG289" s="377"/>
      <c r="BH289" s="377"/>
      <c r="BI289" s="377"/>
      <c r="BJ289" s="377"/>
      <c r="BK289" s="377"/>
      <c r="BL289" s="377"/>
      <c r="BM289" s="377"/>
      <c r="BN289" s="576"/>
      <c r="BO289" s="377"/>
      <c r="BP289" s="377"/>
      <c r="BQ289" s="377"/>
      <c r="BR289" s="377"/>
      <c r="BS289" s="377"/>
      <c r="BT289" s="377"/>
      <c r="BU289" s="377"/>
      <c r="BV289" s="377"/>
      <c r="BW289" s="377"/>
      <c r="BX289" s="377"/>
      <c r="BY289" s="377"/>
      <c r="BZ289" s="377"/>
      <c r="CA289" s="377"/>
      <c r="CB289" s="377"/>
      <c r="CC289" s="377"/>
      <c r="CD289" s="377"/>
      <c r="CE289" s="377"/>
      <c r="CF289" s="377"/>
      <c r="CG289" s="377"/>
      <c r="CH289" s="377"/>
      <c r="CI289" s="377"/>
    </row>
    <row r="290" spans="1:87" ht="15">
      <c r="A290" s="377"/>
      <c r="B290" s="377"/>
      <c r="C290" s="572"/>
      <c r="D290" s="377"/>
      <c r="E290" s="377"/>
      <c r="F290" s="377"/>
      <c r="G290" s="377"/>
      <c r="H290" s="573"/>
      <c r="I290" s="377"/>
      <c r="J290" s="377"/>
      <c r="K290" s="377"/>
      <c r="L290" s="377"/>
      <c r="M290" s="377"/>
      <c r="N290" s="377"/>
      <c r="O290" s="377"/>
      <c r="P290" s="377"/>
      <c r="Q290" s="377"/>
      <c r="R290" s="377"/>
      <c r="S290" s="377"/>
      <c r="T290" s="377"/>
      <c r="U290" s="377"/>
      <c r="V290" s="377"/>
      <c r="W290" s="377"/>
      <c r="X290" s="574"/>
      <c r="Y290" s="377"/>
      <c r="Z290" s="377"/>
      <c r="AA290" s="377"/>
      <c r="AB290" s="377"/>
      <c r="AC290" s="377"/>
      <c r="AD290" s="377"/>
      <c r="AE290" s="377"/>
      <c r="AF290" s="377"/>
      <c r="AG290" s="377"/>
      <c r="AH290" s="377"/>
      <c r="AI290" s="377"/>
      <c r="AJ290" s="377"/>
      <c r="AK290" s="377"/>
      <c r="AL290" s="574"/>
      <c r="AM290" s="377"/>
      <c r="AN290" s="377"/>
      <c r="AO290" s="377"/>
      <c r="AP290" s="377"/>
      <c r="AQ290" s="377"/>
      <c r="AR290" s="377"/>
      <c r="AS290" s="377"/>
      <c r="AT290" s="377"/>
      <c r="AU290" s="377"/>
      <c r="AV290" s="377"/>
      <c r="AW290" s="575"/>
      <c r="AX290" s="377"/>
      <c r="AY290" s="377"/>
      <c r="AZ290" s="377"/>
      <c r="BA290" s="377"/>
      <c r="BB290" s="377"/>
      <c r="BC290" s="377"/>
      <c r="BD290" s="377"/>
      <c r="BE290" s="377"/>
      <c r="BF290" s="377"/>
      <c r="BG290" s="377"/>
      <c r="BH290" s="377"/>
      <c r="BI290" s="377"/>
      <c r="BJ290" s="377"/>
      <c r="BK290" s="377"/>
      <c r="BL290" s="377"/>
      <c r="BM290" s="377"/>
      <c r="BN290" s="576"/>
      <c r="BO290" s="377"/>
      <c r="BP290" s="377"/>
      <c r="BQ290" s="377"/>
      <c r="BR290" s="377"/>
      <c r="BS290" s="377"/>
      <c r="BT290" s="377"/>
      <c r="BU290" s="377"/>
      <c r="BV290" s="377"/>
      <c r="BW290" s="377"/>
      <c r="BX290" s="377"/>
      <c r="BY290" s="377"/>
      <c r="BZ290" s="377"/>
      <c r="CA290" s="377"/>
      <c r="CB290" s="377"/>
      <c r="CC290" s="377"/>
      <c r="CD290" s="377"/>
      <c r="CE290" s="377"/>
      <c r="CF290" s="377"/>
      <c r="CG290" s="377"/>
      <c r="CH290" s="377"/>
      <c r="CI290" s="377"/>
    </row>
    <row r="291" spans="1:87" ht="15">
      <c r="A291" s="377"/>
      <c r="B291" s="377"/>
      <c r="C291" s="572"/>
      <c r="D291" s="377"/>
      <c r="E291" s="377"/>
      <c r="F291" s="377"/>
      <c r="G291" s="377"/>
      <c r="H291" s="573"/>
      <c r="I291" s="377"/>
      <c r="J291" s="377"/>
      <c r="K291" s="377"/>
      <c r="L291" s="377"/>
      <c r="M291" s="377"/>
      <c r="N291" s="377"/>
      <c r="O291" s="377"/>
      <c r="P291" s="377"/>
      <c r="Q291" s="377"/>
      <c r="R291" s="377"/>
      <c r="S291" s="377"/>
      <c r="T291" s="377"/>
      <c r="U291" s="377"/>
      <c r="V291" s="377"/>
      <c r="W291" s="377"/>
      <c r="X291" s="574"/>
      <c r="Y291" s="377"/>
      <c r="Z291" s="377"/>
      <c r="AA291" s="377"/>
      <c r="AB291" s="377"/>
      <c r="AC291" s="377"/>
      <c r="AD291" s="377"/>
      <c r="AE291" s="377"/>
      <c r="AF291" s="377"/>
      <c r="AG291" s="377"/>
      <c r="AH291" s="377"/>
      <c r="AI291" s="377"/>
      <c r="AJ291" s="377"/>
      <c r="AK291" s="377"/>
      <c r="AL291" s="574"/>
      <c r="AM291" s="377"/>
      <c r="AN291" s="377"/>
      <c r="AO291" s="377"/>
      <c r="AP291" s="377"/>
      <c r="AQ291" s="377"/>
      <c r="AR291" s="377"/>
      <c r="AS291" s="377"/>
      <c r="AT291" s="377"/>
      <c r="AU291" s="377"/>
      <c r="AV291" s="377"/>
      <c r="AW291" s="575"/>
      <c r="AX291" s="377"/>
      <c r="AY291" s="377"/>
      <c r="AZ291" s="377"/>
      <c r="BA291" s="377"/>
      <c r="BB291" s="377"/>
      <c r="BC291" s="377"/>
      <c r="BD291" s="377"/>
      <c r="BE291" s="377"/>
      <c r="BF291" s="377"/>
      <c r="BG291" s="377"/>
      <c r="BH291" s="377"/>
      <c r="BI291" s="377"/>
      <c r="BJ291" s="377"/>
      <c r="BK291" s="377"/>
      <c r="BL291" s="377"/>
      <c r="BM291" s="377"/>
      <c r="BN291" s="576"/>
      <c r="BO291" s="377"/>
      <c r="BP291" s="377"/>
      <c r="BQ291" s="377"/>
      <c r="BR291" s="377"/>
      <c r="BS291" s="377"/>
      <c r="BT291" s="377"/>
      <c r="BU291" s="377"/>
      <c r="BV291" s="377"/>
      <c r="BW291" s="377"/>
      <c r="BX291" s="377"/>
      <c r="BY291" s="377"/>
      <c r="BZ291" s="377"/>
      <c r="CA291" s="377"/>
      <c r="CB291" s="377"/>
      <c r="CC291" s="377"/>
      <c r="CD291" s="377"/>
      <c r="CE291" s="377"/>
      <c r="CF291" s="377"/>
      <c r="CG291" s="377"/>
      <c r="CH291" s="377"/>
      <c r="CI291" s="377"/>
    </row>
    <row r="292" spans="1:87" ht="15">
      <c r="A292" s="377"/>
      <c r="B292" s="377"/>
      <c r="C292" s="572"/>
      <c r="D292" s="377"/>
      <c r="E292" s="377"/>
      <c r="F292" s="377"/>
      <c r="G292" s="377"/>
      <c r="H292" s="573"/>
      <c r="I292" s="377"/>
      <c r="J292" s="377"/>
      <c r="K292" s="377"/>
      <c r="L292" s="377"/>
      <c r="M292" s="377"/>
      <c r="N292" s="377"/>
      <c r="O292" s="377"/>
      <c r="P292" s="377"/>
      <c r="Q292" s="377"/>
      <c r="R292" s="377"/>
      <c r="S292" s="377"/>
      <c r="T292" s="377"/>
      <c r="U292" s="377"/>
      <c r="V292" s="377"/>
      <c r="W292" s="377"/>
      <c r="X292" s="574"/>
      <c r="Y292" s="377"/>
      <c r="Z292" s="377"/>
      <c r="AA292" s="377"/>
      <c r="AB292" s="377"/>
      <c r="AC292" s="377"/>
      <c r="AD292" s="377"/>
      <c r="AE292" s="377"/>
      <c r="AF292" s="377"/>
      <c r="AG292" s="377"/>
      <c r="AH292" s="377"/>
      <c r="AI292" s="377"/>
      <c r="AJ292" s="377"/>
      <c r="AK292" s="377"/>
      <c r="AL292" s="574"/>
      <c r="AM292" s="377"/>
      <c r="AN292" s="377"/>
      <c r="AO292" s="377"/>
      <c r="AP292" s="377"/>
      <c r="AQ292" s="377"/>
      <c r="AR292" s="377"/>
      <c r="AS292" s="377"/>
      <c r="AT292" s="377"/>
      <c r="AU292" s="377"/>
      <c r="AV292" s="377"/>
      <c r="AW292" s="575"/>
      <c r="AX292" s="377"/>
      <c r="AY292" s="377"/>
      <c r="AZ292" s="377"/>
      <c r="BA292" s="377"/>
      <c r="BB292" s="377"/>
      <c r="BC292" s="377"/>
      <c r="BD292" s="377"/>
      <c r="BE292" s="377"/>
      <c r="BF292" s="377"/>
      <c r="BG292" s="377"/>
      <c r="BH292" s="377"/>
      <c r="BI292" s="377"/>
      <c r="BJ292" s="377"/>
      <c r="BK292" s="377"/>
      <c r="BL292" s="377"/>
      <c r="BM292" s="377"/>
      <c r="BN292" s="576"/>
      <c r="BO292" s="377"/>
      <c r="BP292" s="377"/>
      <c r="BQ292" s="377"/>
      <c r="BR292" s="377"/>
      <c r="BS292" s="377"/>
      <c r="BT292" s="377"/>
      <c r="BU292" s="377"/>
      <c r="BV292" s="377"/>
      <c r="BW292" s="377"/>
      <c r="BX292" s="377"/>
      <c r="BY292" s="377"/>
      <c r="BZ292" s="377"/>
      <c r="CA292" s="377"/>
      <c r="CB292" s="377"/>
      <c r="CC292" s="377"/>
      <c r="CD292" s="377"/>
      <c r="CE292" s="377"/>
      <c r="CF292" s="377"/>
      <c r="CG292" s="377"/>
      <c r="CH292" s="377"/>
      <c r="CI292" s="377"/>
    </row>
    <row r="293" spans="1:87" ht="15">
      <c r="A293" s="377"/>
      <c r="B293" s="377"/>
      <c r="C293" s="572"/>
      <c r="D293" s="377"/>
      <c r="E293" s="377"/>
      <c r="F293" s="377"/>
      <c r="G293" s="377"/>
      <c r="H293" s="573"/>
      <c r="I293" s="377"/>
      <c r="J293" s="377"/>
      <c r="K293" s="377"/>
      <c r="L293" s="377"/>
      <c r="M293" s="377"/>
      <c r="N293" s="377"/>
      <c r="O293" s="377"/>
      <c r="P293" s="377"/>
      <c r="Q293" s="377"/>
      <c r="R293" s="377"/>
      <c r="S293" s="377"/>
      <c r="T293" s="377"/>
      <c r="U293" s="377"/>
      <c r="V293" s="377"/>
      <c r="W293" s="377"/>
      <c r="X293" s="574"/>
      <c r="Y293" s="377"/>
      <c r="Z293" s="377"/>
      <c r="AA293" s="377"/>
      <c r="AB293" s="377"/>
      <c r="AC293" s="377"/>
      <c r="AD293" s="377"/>
      <c r="AE293" s="377"/>
      <c r="AF293" s="377"/>
      <c r="AG293" s="377"/>
      <c r="AH293" s="377"/>
      <c r="AI293" s="377"/>
      <c r="AJ293" s="377"/>
      <c r="AK293" s="377"/>
      <c r="AL293" s="574"/>
      <c r="AM293" s="377"/>
      <c r="AN293" s="377"/>
      <c r="AO293" s="377"/>
      <c r="AP293" s="377"/>
      <c r="AQ293" s="377"/>
      <c r="AR293" s="377"/>
      <c r="AS293" s="377"/>
      <c r="AT293" s="377"/>
      <c r="AU293" s="377"/>
      <c r="AV293" s="377"/>
      <c r="AW293" s="575"/>
      <c r="AX293" s="377"/>
      <c r="AY293" s="377"/>
      <c r="AZ293" s="377"/>
      <c r="BA293" s="377"/>
      <c r="BB293" s="377"/>
      <c r="BC293" s="377"/>
      <c r="BD293" s="377"/>
      <c r="BE293" s="377"/>
      <c r="BF293" s="377"/>
      <c r="BG293" s="377"/>
      <c r="BH293" s="377"/>
      <c r="BI293" s="377"/>
      <c r="BJ293" s="377"/>
      <c r="BK293" s="377"/>
      <c r="BL293" s="377"/>
      <c r="BM293" s="377"/>
      <c r="BN293" s="576"/>
      <c r="BO293" s="377"/>
      <c r="BP293" s="377"/>
      <c r="BQ293" s="377"/>
      <c r="BR293" s="377"/>
      <c r="BS293" s="377"/>
      <c r="BT293" s="377"/>
      <c r="BU293" s="377"/>
      <c r="BV293" s="377"/>
      <c r="BW293" s="377"/>
      <c r="BX293" s="377"/>
      <c r="BY293" s="377"/>
      <c r="BZ293" s="377"/>
      <c r="CA293" s="377"/>
      <c r="CB293" s="377"/>
      <c r="CC293" s="377"/>
      <c r="CD293" s="377"/>
      <c r="CE293" s="377"/>
      <c r="CF293" s="377"/>
      <c r="CG293" s="377"/>
      <c r="CH293" s="377"/>
      <c r="CI293" s="377"/>
    </row>
    <row r="294" spans="1:87" ht="15">
      <c r="A294" s="377"/>
      <c r="B294" s="377"/>
      <c r="C294" s="572"/>
      <c r="D294" s="377"/>
      <c r="E294" s="377"/>
      <c r="F294" s="377"/>
      <c r="G294" s="377"/>
      <c r="H294" s="573"/>
      <c r="I294" s="377"/>
      <c r="J294" s="377"/>
      <c r="K294" s="377"/>
      <c r="L294" s="377"/>
      <c r="M294" s="377"/>
      <c r="N294" s="377"/>
      <c r="O294" s="377"/>
      <c r="P294" s="377"/>
      <c r="Q294" s="377"/>
      <c r="R294" s="377"/>
      <c r="S294" s="377"/>
      <c r="T294" s="377"/>
      <c r="U294" s="377"/>
      <c r="V294" s="377"/>
      <c r="W294" s="377"/>
      <c r="X294" s="574"/>
      <c r="Y294" s="377"/>
      <c r="Z294" s="377"/>
      <c r="AA294" s="377"/>
      <c r="AB294" s="377"/>
      <c r="AC294" s="377"/>
      <c r="AD294" s="377"/>
      <c r="AE294" s="377"/>
      <c r="AF294" s="377"/>
      <c r="AG294" s="377"/>
      <c r="AH294" s="377"/>
      <c r="AI294" s="377"/>
      <c r="AJ294" s="377"/>
      <c r="AK294" s="377"/>
      <c r="AL294" s="574"/>
      <c r="AM294" s="377"/>
      <c r="AN294" s="377"/>
      <c r="AO294" s="377"/>
      <c r="AP294" s="377"/>
      <c r="AQ294" s="377"/>
      <c r="AR294" s="377"/>
      <c r="AS294" s="377"/>
      <c r="AT294" s="377"/>
      <c r="AU294" s="377"/>
      <c r="AV294" s="377"/>
      <c r="AW294" s="575"/>
      <c r="AX294" s="377"/>
      <c r="AY294" s="377"/>
      <c r="AZ294" s="377"/>
      <c r="BA294" s="377"/>
      <c r="BB294" s="377"/>
      <c r="BC294" s="377"/>
      <c r="BD294" s="377"/>
      <c r="BE294" s="377"/>
      <c r="BF294" s="377"/>
      <c r="BG294" s="377"/>
      <c r="BH294" s="377"/>
      <c r="BI294" s="377"/>
      <c r="BJ294" s="377"/>
      <c r="BK294" s="377"/>
      <c r="BL294" s="377"/>
      <c r="BM294" s="377"/>
      <c r="BN294" s="576"/>
      <c r="BO294" s="377"/>
      <c r="BP294" s="377"/>
      <c r="BQ294" s="377"/>
      <c r="BR294" s="377"/>
      <c r="BS294" s="377"/>
      <c r="BT294" s="377"/>
      <c r="BU294" s="377"/>
      <c r="BV294" s="377"/>
      <c r="BW294" s="377"/>
      <c r="BX294" s="377"/>
      <c r="BY294" s="377"/>
      <c r="BZ294" s="377"/>
      <c r="CA294" s="377"/>
      <c r="CB294" s="377"/>
      <c r="CC294" s="377"/>
      <c r="CD294" s="377"/>
      <c r="CE294" s="377"/>
      <c r="CF294" s="377"/>
      <c r="CG294" s="377"/>
      <c r="CH294" s="377"/>
      <c r="CI294" s="377"/>
    </row>
    <row r="295" spans="1:87" ht="15">
      <c r="A295" s="377"/>
      <c r="B295" s="377"/>
      <c r="C295" s="572"/>
      <c r="D295" s="377"/>
      <c r="E295" s="377"/>
      <c r="F295" s="377"/>
      <c r="G295" s="377"/>
      <c r="H295" s="573"/>
      <c r="I295" s="377"/>
      <c r="J295" s="377"/>
      <c r="K295" s="377"/>
      <c r="L295" s="377"/>
      <c r="M295" s="377"/>
      <c r="N295" s="377"/>
      <c r="O295" s="377"/>
      <c r="P295" s="377"/>
      <c r="Q295" s="377"/>
      <c r="R295" s="377"/>
      <c r="S295" s="377"/>
      <c r="T295" s="377"/>
      <c r="U295" s="377"/>
      <c r="V295" s="377"/>
      <c r="W295" s="377"/>
      <c r="X295" s="574"/>
      <c r="Y295" s="377"/>
      <c r="Z295" s="377"/>
      <c r="AA295" s="377"/>
      <c r="AB295" s="377"/>
      <c r="AC295" s="377"/>
      <c r="AD295" s="377"/>
      <c r="AE295" s="377"/>
      <c r="AF295" s="377"/>
      <c r="AG295" s="377"/>
      <c r="AH295" s="377"/>
      <c r="AI295" s="377"/>
      <c r="AJ295" s="377"/>
      <c r="AK295" s="377"/>
      <c r="AL295" s="574"/>
      <c r="AM295" s="377"/>
      <c r="AN295" s="377"/>
      <c r="AO295" s="377"/>
      <c r="AP295" s="377"/>
      <c r="AQ295" s="377"/>
      <c r="AR295" s="377"/>
      <c r="AS295" s="377"/>
      <c r="AT295" s="377"/>
      <c r="AU295" s="377"/>
      <c r="AV295" s="377"/>
      <c r="AW295" s="575"/>
      <c r="AX295" s="377"/>
      <c r="AY295" s="377"/>
      <c r="AZ295" s="377"/>
      <c r="BA295" s="377"/>
      <c r="BB295" s="377"/>
      <c r="BC295" s="377"/>
      <c r="BD295" s="377"/>
      <c r="BE295" s="377"/>
      <c r="BF295" s="377"/>
      <c r="BG295" s="377"/>
      <c r="BH295" s="377"/>
      <c r="BI295" s="377"/>
      <c r="BJ295" s="377"/>
      <c r="BK295" s="377"/>
      <c r="BL295" s="377"/>
      <c r="BM295" s="377"/>
      <c r="BN295" s="576"/>
      <c r="BO295" s="377"/>
      <c r="BP295" s="377"/>
      <c r="BQ295" s="377"/>
      <c r="BR295" s="377"/>
      <c r="BS295" s="377"/>
      <c r="BT295" s="377"/>
      <c r="BU295" s="377"/>
      <c r="BV295" s="377"/>
      <c r="BW295" s="377"/>
      <c r="BX295" s="377"/>
      <c r="BY295" s="377"/>
      <c r="BZ295" s="377"/>
      <c r="CA295" s="377"/>
      <c r="CB295" s="377"/>
      <c r="CC295" s="377"/>
      <c r="CD295" s="377"/>
      <c r="CE295" s="377"/>
      <c r="CF295" s="377"/>
      <c r="CG295" s="377"/>
      <c r="CH295" s="377"/>
      <c r="CI295" s="377"/>
    </row>
    <row r="296" spans="1:87" ht="15">
      <c r="A296" s="377"/>
      <c r="B296" s="377"/>
      <c r="C296" s="572"/>
      <c r="D296" s="377"/>
      <c r="E296" s="377"/>
      <c r="F296" s="377"/>
      <c r="G296" s="377"/>
      <c r="H296" s="573"/>
      <c r="I296" s="377"/>
      <c r="J296" s="377"/>
      <c r="K296" s="377"/>
      <c r="L296" s="377"/>
      <c r="M296" s="377"/>
      <c r="N296" s="377"/>
      <c r="O296" s="377"/>
      <c r="P296" s="377"/>
      <c r="Q296" s="377"/>
      <c r="R296" s="377"/>
      <c r="S296" s="377"/>
      <c r="T296" s="377"/>
      <c r="U296" s="377"/>
      <c r="V296" s="377"/>
      <c r="W296" s="377"/>
      <c r="X296" s="574"/>
      <c r="Y296" s="377"/>
      <c r="Z296" s="377"/>
      <c r="AA296" s="377"/>
      <c r="AB296" s="377"/>
      <c r="AC296" s="377"/>
      <c r="AD296" s="377"/>
      <c r="AE296" s="377"/>
      <c r="AF296" s="377"/>
      <c r="AG296" s="377"/>
      <c r="AH296" s="377"/>
      <c r="AI296" s="377"/>
      <c r="AJ296" s="377"/>
      <c r="AK296" s="377"/>
      <c r="AL296" s="574"/>
      <c r="AM296" s="377"/>
      <c r="AN296" s="377"/>
      <c r="AO296" s="377"/>
      <c r="AP296" s="377"/>
      <c r="AQ296" s="377"/>
      <c r="AR296" s="377"/>
      <c r="AS296" s="377"/>
      <c r="AT296" s="377"/>
      <c r="AU296" s="377"/>
      <c r="AV296" s="377"/>
      <c r="AW296" s="575"/>
      <c r="AX296" s="377"/>
      <c r="AY296" s="377"/>
      <c r="AZ296" s="377"/>
      <c r="BA296" s="377"/>
      <c r="BB296" s="377"/>
      <c r="BC296" s="377"/>
      <c r="BD296" s="377"/>
      <c r="BE296" s="377"/>
      <c r="BF296" s="377"/>
      <c r="BG296" s="377"/>
      <c r="BH296" s="377"/>
      <c r="BI296" s="377"/>
      <c r="BJ296" s="377"/>
      <c r="BK296" s="377"/>
      <c r="BL296" s="377"/>
      <c r="BM296" s="377"/>
      <c r="BN296" s="576"/>
      <c r="BO296" s="377"/>
      <c r="BP296" s="377"/>
      <c r="BQ296" s="377"/>
      <c r="BR296" s="377"/>
      <c r="BS296" s="377"/>
      <c r="BT296" s="377"/>
      <c r="BU296" s="377"/>
      <c r="BV296" s="377"/>
      <c r="BW296" s="377"/>
      <c r="BX296" s="377"/>
      <c r="BY296" s="377"/>
      <c r="BZ296" s="377"/>
      <c r="CA296" s="377"/>
      <c r="CB296" s="377"/>
      <c r="CC296" s="377"/>
      <c r="CD296" s="377"/>
      <c r="CE296" s="377"/>
      <c r="CF296" s="377"/>
      <c r="CG296" s="377"/>
      <c r="CH296" s="377"/>
      <c r="CI296" s="377"/>
    </row>
    <row r="297" spans="1:87" ht="15">
      <c r="A297" s="377"/>
      <c r="B297" s="377"/>
      <c r="C297" s="572"/>
      <c r="D297" s="377"/>
      <c r="E297" s="377"/>
      <c r="F297" s="377"/>
      <c r="G297" s="377"/>
      <c r="H297" s="573"/>
      <c r="I297" s="377"/>
      <c r="J297" s="377"/>
      <c r="K297" s="377"/>
      <c r="L297" s="377"/>
      <c r="M297" s="377"/>
      <c r="N297" s="377"/>
      <c r="O297" s="377"/>
      <c r="P297" s="377"/>
      <c r="Q297" s="377"/>
      <c r="R297" s="377"/>
      <c r="S297" s="377"/>
      <c r="T297" s="377"/>
      <c r="U297" s="377"/>
      <c r="V297" s="377"/>
      <c r="W297" s="377"/>
      <c r="X297" s="574"/>
      <c r="Y297" s="377"/>
      <c r="Z297" s="377"/>
      <c r="AA297" s="377"/>
      <c r="AB297" s="377"/>
      <c r="AC297" s="377"/>
      <c r="AD297" s="377"/>
      <c r="AE297" s="377"/>
      <c r="AF297" s="377"/>
      <c r="AG297" s="377"/>
      <c r="AH297" s="377"/>
      <c r="AI297" s="377"/>
      <c r="AJ297" s="377"/>
      <c r="AK297" s="377"/>
      <c r="AL297" s="574"/>
      <c r="AM297" s="377"/>
      <c r="AN297" s="377"/>
      <c r="AO297" s="377"/>
      <c r="AP297" s="377"/>
      <c r="AQ297" s="377"/>
      <c r="AR297" s="377"/>
      <c r="AS297" s="377"/>
      <c r="AT297" s="377"/>
      <c r="AU297" s="377"/>
      <c r="AV297" s="377"/>
      <c r="AW297" s="575"/>
      <c r="AX297" s="377"/>
      <c r="AY297" s="377"/>
      <c r="AZ297" s="377"/>
      <c r="BA297" s="377"/>
      <c r="BB297" s="377"/>
      <c r="BC297" s="377"/>
      <c r="BD297" s="377"/>
      <c r="BE297" s="377"/>
      <c r="BF297" s="377"/>
      <c r="BG297" s="377"/>
      <c r="BH297" s="377"/>
      <c r="BI297" s="377"/>
      <c r="BJ297" s="377"/>
      <c r="BK297" s="377"/>
      <c r="BL297" s="377"/>
      <c r="BM297" s="377"/>
      <c r="BN297" s="576"/>
      <c r="BO297" s="377"/>
      <c r="BP297" s="377"/>
      <c r="BQ297" s="377"/>
      <c r="BR297" s="377"/>
      <c r="BS297" s="377"/>
      <c r="BT297" s="377"/>
      <c r="BU297" s="377"/>
      <c r="BV297" s="377"/>
      <c r="BW297" s="377"/>
      <c r="BX297" s="377"/>
      <c r="BY297" s="377"/>
      <c r="BZ297" s="377"/>
      <c r="CA297" s="377"/>
      <c r="CB297" s="377"/>
      <c r="CC297" s="377"/>
      <c r="CD297" s="377"/>
      <c r="CE297" s="377"/>
      <c r="CF297" s="377"/>
      <c r="CG297" s="377"/>
      <c r="CH297" s="377"/>
      <c r="CI297" s="377"/>
    </row>
    <row r="298" spans="1:87" ht="15">
      <c r="A298" s="377"/>
      <c r="B298" s="377"/>
      <c r="C298" s="572"/>
      <c r="D298" s="377"/>
      <c r="E298" s="377"/>
      <c r="F298" s="377"/>
      <c r="G298" s="377"/>
      <c r="H298" s="573"/>
      <c r="I298" s="377"/>
      <c r="J298" s="377"/>
      <c r="K298" s="377"/>
      <c r="L298" s="377"/>
      <c r="M298" s="377"/>
      <c r="N298" s="377"/>
      <c r="O298" s="377"/>
      <c r="P298" s="377"/>
      <c r="Q298" s="377"/>
      <c r="R298" s="377"/>
      <c r="S298" s="377"/>
      <c r="T298" s="377"/>
      <c r="U298" s="377"/>
      <c r="V298" s="377"/>
      <c r="W298" s="377"/>
      <c r="X298" s="574"/>
      <c r="Y298" s="377"/>
      <c r="Z298" s="377"/>
      <c r="AA298" s="377"/>
      <c r="AB298" s="377"/>
      <c r="AC298" s="377"/>
      <c r="AD298" s="377"/>
      <c r="AE298" s="377"/>
      <c r="AF298" s="377"/>
      <c r="AG298" s="377"/>
      <c r="AH298" s="377"/>
      <c r="AI298" s="377"/>
      <c r="AJ298" s="377"/>
      <c r="AK298" s="377"/>
      <c r="AL298" s="574"/>
      <c r="AM298" s="377"/>
      <c r="AN298" s="377"/>
      <c r="AO298" s="377"/>
      <c r="AP298" s="377"/>
      <c r="AQ298" s="377"/>
      <c r="AR298" s="377"/>
      <c r="AS298" s="377"/>
      <c r="AT298" s="377"/>
      <c r="AU298" s="377"/>
      <c r="AV298" s="377"/>
      <c r="AW298" s="575"/>
      <c r="AX298" s="377"/>
      <c r="AY298" s="377"/>
      <c r="AZ298" s="377"/>
      <c r="BA298" s="377"/>
      <c r="BB298" s="377"/>
      <c r="BC298" s="377"/>
      <c r="BD298" s="377"/>
      <c r="BE298" s="377"/>
      <c r="BF298" s="377"/>
      <c r="BG298" s="377"/>
      <c r="BH298" s="377"/>
      <c r="BI298" s="377"/>
      <c r="BJ298" s="377"/>
      <c r="BK298" s="377"/>
      <c r="BL298" s="377"/>
      <c r="BM298" s="377"/>
      <c r="BN298" s="576"/>
      <c r="BO298" s="377"/>
      <c r="BP298" s="377"/>
      <c r="BQ298" s="377"/>
      <c r="BR298" s="377"/>
      <c r="BS298" s="377"/>
      <c r="BT298" s="377"/>
      <c r="BU298" s="377"/>
      <c r="BV298" s="377"/>
      <c r="BW298" s="377"/>
      <c r="BX298" s="377"/>
      <c r="BY298" s="377"/>
      <c r="BZ298" s="377"/>
      <c r="CA298" s="377"/>
      <c r="CB298" s="377"/>
      <c r="CC298" s="377"/>
      <c r="CD298" s="377"/>
      <c r="CE298" s="377"/>
      <c r="CF298" s="377"/>
      <c r="CG298" s="377"/>
      <c r="CH298" s="377"/>
      <c r="CI298" s="377"/>
    </row>
    <row r="299" spans="1:87" ht="15">
      <c r="A299" s="377"/>
      <c r="B299" s="377"/>
      <c r="C299" s="572"/>
      <c r="D299" s="377"/>
      <c r="E299" s="377"/>
      <c r="F299" s="377"/>
      <c r="G299" s="377"/>
      <c r="H299" s="573"/>
      <c r="I299" s="377"/>
      <c r="J299" s="377"/>
      <c r="K299" s="377"/>
      <c r="L299" s="377"/>
      <c r="M299" s="377"/>
      <c r="N299" s="377"/>
      <c r="O299" s="377"/>
      <c r="P299" s="377"/>
      <c r="Q299" s="377"/>
      <c r="R299" s="377"/>
      <c r="S299" s="377"/>
      <c r="T299" s="377"/>
      <c r="U299" s="377"/>
      <c r="V299" s="377"/>
      <c r="W299" s="377"/>
      <c r="X299" s="574"/>
      <c r="Y299" s="377"/>
      <c r="Z299" s="377"/>
      <c r="AA299" s="377"/>
      <c r="AB299" s="377"/>
      <c r="AC299" s="377"/>
      <c r="AD299" s="377"/>
      <c r="AE299" s="377"/>
      <c r="AF299" s="377"/>
      <c r="AG299" s="377"/>
      <c r="AH299" s="377"/>
      <c r="AI299" s="377"/>
      <c r="AJ299" s="377"/>
      <c r="AK299" s="377"/>
      <c r="AL299" s="574"/>
      <c r="AM299" s="377"/>
      <c r="AN299" s="377"/>
      <c r="AO299" s="377"/>
      <c r="AP299" s="377"/>
      <c r="AQ299" s="377"/>
      <c r="AR299" s="377"/>
      <c r="AS299" s="377"/>
      <c r="AT299" s="377"/>
      <c r="AU299" s="377"/>
      <c r="AV299" s="377"/>
      <c r="AW299" s="575"/>
      <c r="AX299" s="377"/>
      <c r="AY299" s="377"/>
      <c r="AZ299" s="377"/>
      <c r="BA299" s="377"/>
      <c r="BB299" s="377"/>
      <c r="BC299" s="377"/>
      <c r="BD299" s="377"/>
      <c r="BE299" s="377"/>
      <c r="BF299" s="377"/>
      <c r="BG299" s="377"/>
      <c r="BH299" s="377"/>
      <c r="BI299" s="377"/>
      <c r="BJ299" s="377"/>
      <c r="BK299" s="377"/>
      <c r="BL299" s="377"/>
      <c r="BM299" s="377"/>
      <c r="BN299" s="576"/>
      <c r="BO299" s="377"/>
      <c r="BP299" s="377"/>
      <c r="BQ299" s="377"/>
      <c r="BR299" s="377"/>
      <c r="BS299" s="377"/>
      <c r="BT299" s="377"/>
      <c r="BU299" s="377"/>
      <c r="BV299" s="377"/>
      <c r="BW299" s="377"/>
      <c r="BX299" s="377"/>
      <c r="BY299" s="377"/>
      <c r="BZ299" s="377"/>
      <c r="CA299" s="377"/>
      <c r="CB299" s="377"/>
      <c r="CC299" s="377"/>
      <c r="CD299" s="377"/>
      <c r="CE299" s="377"/>
      <c r="CF299" s="377"/>
      <c r="CG299" s="377"/>
      <c r="CH299" s="377"/>
      <c r="CI299" s="377"/>
    </row>
    <row r="300" spans="1:87" ht="15">
      <c r="A300" s="377"/>
      <c r="B300" s="377"/>
      <c r="C300" s="572"/>
      <c r="D300" s="377"/>
      <c r="E300" s="377"/>
      <c r="F300" s="377"/>
      <c r="G300" s="377"/>
      <c r="H300" s="573"/>
      <c r="I300" s="377"/>
      <c r="J300" s="377"/>
      <c r="K300" s="377"/>
      <c r="L300" s="377"/>
      <c r="M300" s="377"/>
      <c r="N300" s="377"/>
      <c r="O300" s="377"/>
      <c r="P300" s="377"/>
      <c r="Q300" s="377"/>
      <c r="R300" s="377"/>
      <c r="S300" s="377"/>
      <c r="T300" s="377"/>
      <c r="U300" s="377"/>
      <c r="V300" s="377"/>
      <c r="W300" s="377"/>
      <c r="X300" s="574"/>
      <c r="Y300" s="377"/>
      <c r="Z300" s="377"/>
      <c r="AA300" s="377"/>
      <c r="AB300" s="377"/>
      <c r="AC300" s="377"/>
      <c r="AD300" s="377"/>
      <c r="AE300" s="377"/>
      <c r="AF300" s="377"/>
      <c r="AG300" s="377"/>
      <c r="AH300" s="377"/>
      <c r="AI300" s="377"/>
      <c r="AJ300" s="377"/>
      <c r="AK300" s="377"/>
      <c r="AL300" s="574"/>
      <c r="AM300" s="377"/>
      <c r="AN300" s="377"/>
      <c r="AO300" s="377"/>
      <c r="AP300" s="377"/>
      <c r="AQ300" s="377"/>
      <c r="AR300" s="377"/>
      <c r="AS300" s="377"/>
      <c r="AT300" s="377"/>
      <c r="AU300" s="377"/>
      <c r="AV300" s="377"/>
      <c r="AW300" s="575"/>
      <c r="AX300" s="377"/>
      <c r="AY300" s="377"/>
      <c r="AZ300" s="377"/>
      <c r="BA300" s="377"/>
      <c r="BB300" s="377"/>
      <c r="BC300" s="377"/>
      <c r="BD300" s="377"/>
      <c r="BE300" s="377"/>
      <c r="BF300" s="377"/>
      <c r="BG300" s="377"/>
      <c r="BH300" s="377"/>
      <c r="BI300" s="377"/>
      <c r="BJ300" s="377"/>
      <c r="BK300" s="377"/>
      <c r="BL300" s="377"/>
      <c r="BM300" s="377"/>
      <c r="BN300" s="576"/>
      <c r="BO300" s="377"/>
      <c r="BP300" s="377"/>
      <c r="BQ300" s="377"/>
      <c r="BR300" s="377"/>
      <c r="BS300" s="377"/>
      <c r="BT300" s="377"/>
      <c r="BU300" s="377"/>
      <c r="BV300" s="377"/>
      <c r="BW300" s="377"/>
      <c r="BX300" s="377"/>
      <c r="BY300" s="377"/>
      <c r="BZ300" s="377"/>
      <c r="CA300" s="377"/>
      <c r="CB300" s="377"/>
      <c r="CC300" s="377"/>
      <c r="CD300" s="377"/>
      <c r="CE300" s="377"/>
      <c r="CF300" s="377"/>
      <c r="CG300" s="377"/>
      <c r="CH300" s="377"/>
      <c r="CI300" s="377"/>
    </row>
    <row r="301" spans="1:87" ht="15">
      <c r="A301" s="377"/>
      <c r="B301" s="377"/>
      <c r="C301" s="572"/>
      <c r="D301" s="377"/>
      <c r="E301" s="377"/>
      <c r="F301" s="377"/>
      <c r="G301" s="377"/>
      <c r="H301" s="573"/>
      <c r="I301" s="377"/>
      <c r="J301" s="377"/>
      <c r="K301" s="377"/>
      <c r="L301" s="377"/>
      <c r="M301" s="377"/>
      <c r="N301" s="377"/>
      <c r="O301" s="377"/>
      <c r="P301" s="377"/>
      <c r="Q301" s="377"/>
      <c r="R301" s="377"/>
      <c r="S301" s="377"/>
      <c r="T301" s="377"/>
      <c r="U301" s="377"/>
      <c r="V301" s="377"/>
      <c r="W301" s="377"/>
      <c r="X301" s="574"/>
      <c r="Y301" s="377"/>
      <c r="Z301" s="377"/>
      <c r="AA301" s="377"/>
      <c r="AB301" s="377"/>
      <c r="AC301" s="377"/>
      <c r="AD301" s="377"/>
      <c r="AE301" s="377"/>
      <c r="AF301" s="377"/>
      <c r="AG301" s="377"/>
      <c r="AH301" s="377"/>
      <c r="AI301" s="377"/>
      <c r="AJ301" s="377"/>
      <c r="AK301" s="377"/>
      <c r="AL301" s="574"/>
      <c r="AM301" s="377"/>
      <c r="AN301" s="377"/>
      <c r="AO301" s="377"/>
      <c r="AP301" s="377"/>
      <c r="AQ301" s="377"/>
      <c r="AR301" s="377"/>
      <c r="AS301" s="377"/>
      <c r="AT301" s="377"/>
      <c r="AU301" s="377"/>
      <c r="AV301" s="377"/>
      <c r="AW301" s="575"/>
      <c r="AX301" s="377"/>
      <c r="AY301" s="377"/>
      <c r="AZ301" s="377"/>
      <c r="BA301" s="377"/>
      <c r="BB301" s="377"/>
      <c r="BC301" s="377"/>
      <c r="BD301" s="377"/>
      <c r="BE301" s="377"/>
      <c r="BF301" s="377"/>
      <c r="BG301" s="377"/>
      <c r="BH301" s="377"/>
      <c r="BI301" s="377"/>
      <c r="BJ301" s="377"/>
      <c r="BK301" s="377"/>
      <c r="BL301" s="377"/>
      <c r="BM301" s="377"/>
      <c r="BN301" s="576"/>
      <c r="BO301" s="377"/>
      <c r="BP301" s="377"/>
      <c r="BQ301" s="377"/>
      <c r="BR301" s="377"/>
      <c r="BS301" s="377"/>
      <c r="BT301" s="377"/>
      <c r="BU301" s="377"/>
      <c r="BV301" s="377"/>
      <c r="BW301" s="377"/>
      <c r="BX301" s="377"/>
      <c r="BY301" s="377"/>
      <c r="BZ301" s="377"/>
      <c r="CA301" s="377"/>
      <c r="CB301" s="377"/>
      <c r="CC301" s="377"/>
      <c r="CD301" s="377"/>
      <c r="CE301" s="377"/>
      <c r="CF301" s="377"/>
      <c r="CG301" s="377"/>
      <c r="CH301" s="377"/>
      <c r="CI301" s="377"/>
    </row>
    <row r="302" spans="1:87" ht="15">
      <c r="A302" s="377"/>
      <c r="B302" s="377"/>
      <c r="C302" s="572"/>
      <c r="D302" s="377"/>
      <c r="E302" s="377"/>
      <c r="F302" s="377"/>
      <c r="G302" s="377"/>
      <c r="H302" s="573"/>
      <c r="I302" s="377"/>
      <c r="J302" s="377"/>
      <c r="K302" s="377"/>
      <c r="L302" s="377"/>
      <c r="M302" s="377"/>
      <c r="N302" s="377"/>
      <c r="O302" s="377"/>
      <c r="P302" s="377"/>
      <c r="Q302" s="377"/>
      <c r="R302" s="377"/>
      <c r="S302" s="377"/>
      <c r="T302" s="377"/>
      <c r="U302" s="377"/>
      <c r="V302" s="377"/>
      <c r="W302" s="377"/>
      <c r="X302" s="574"/>
      <c r="Y302" s="377"/>
      <c r="Z302" s="377"/>
      <c r="AA302" s="377"/>
      <c r="AB302" s="377"/>
      <c r="AC302" s="377"/>
      <c r="AD302" s="377"/>
      <c r="AE302" s="377"/>
      <c r="AF302" s="377"/>
      <c r="AG302" s="377"/>
      <c r="AH302" s="377"/>
      <c r="AI302" s="377"/>
      <c r="AJ302" s="377"/>
      <c r="AK302" s="377"/>
      <c r="AL302" s="574"/>
      <c r="AM302" s="377"/>
      <c r="AN302" s="377"/>
      <c r="AO302" s="377"/>
      <c r="AP302" s="377"/>
      <c r="AQ302" s="377"/>
      <c r="AR302" s="377"/>
      <c r="AS302" s="377"/>
      <c r="AT302" s="377"/>
      <c r="AU302" s="377"/>
      <c r="AV302" s="377"/>
      <c r="AW302" s="575"/>
      <c r="AX302" s="377"/>
      <c r="AY302" s="377"/>
      <c r="AZ302" s="377"/>
      <c r="BA302" s="377"/>
      <c r="BB302" s="377"/>
      <c r="BC302" s="377"/>
      <c r="BD302" s="377"/>
      <c r="BE302" s="377"/>
      <c r="BF302" s="377"/>
      <c r="BG302" s="377"/>
      <c r="BH302" s="377"/>
      <c r="BI302" s="377"/>
      <c r="BJ302" s="377"/>
      <c r="BK302" s="377"/>
      <c r="BL302" s="377"/>
      <c r="BM302" s="377"/>
      <c r="BN302" s="576"/>
      <c r="BO302" s="377"/>
      <c r="BP302" s="377"/>
      <c r="BQ302" s="377"/>
      <c r="BR302" s="377"/>
      <c r="BS302" s="377"/>
      <c r="BT302" s="377"/>
      <c r="BU302" s="377"/>
      <c r="BV302" s="377"/>
      <c r="BW302" s="377"/>
      <c r="BX302" s="377"/>
      <c r="BY302" s="377"/>
      <c r="BZ302" s="377"/>
      <c r="CA302" s="377"/>
      <c r="CB302" s="377"/>
      <c r="CC302" s="377"/>
      <c r="CD302" s="377"/>
      <c r="CE302" s="377"/>
      <c r="CF302" s="377"/>
      <c r="CG302" s="377"/>
      <c r="CH302" s="377"/>
      <c r="CI302" s="377"/>
    </row>
    <row r="303" spans="1:87" ht="15">
      <c r="A303" s="377"/>
      <c r="B303" s="377"/>
      <c r="C303" s="572"/>
      <c r="D303" s="377"/>
      <c r="E303" s="377"/>
      <c r="F303" s="377"/>
      <c r="G303" s="377"/>
      <c r="H303" s="573"/>
      <c r="I303" s="377"/>
      <c r="J303" s="377"/>
      <c r="K303" s="377"/>
      <c r="L303" s="377"/>
      <c r="M303" s="377"/>
      <c r="N303" s="377"/>
      <c r="O303" s="377"/>
      <c r="P303" s="377"/>
      <c r="Q303" s="377"/>
      <c r="R303" s="377"/>
      <c r="S303" s="377"/>
      <c r="T303" s="377"/>
      <c r="U303" s="377"/>
      <c r="V303" s="377"/>
      <c r="W303" s="377"/>
      <c r="X303" s="574"/>
      <c r="Y303" s="377"/>
      <c r="Z303" s="377"/>
      <c r="AA303" s="377"/>
      <c r="AB303" s="377"/>
      <c r="AC303" s="377"/>
      <c r="AD303" s="377"/>
      <c r="AE303" s="377"/>
      <c r="AF303" s="377"/>
      <c r="AG303" s="377"/>
      <c r="AH303" s="377"/>
      <c r="AI303" s="377"/>
      <c r="AJ303" s="377"/>
      <c r="AK303" s="377"/>
      <c r="AL303" s="574"/>
      <c r="AM303" s="377"/>
      <c r="AN303" s="377"/>
      <c r="AO303" s="377"/>
      <c r="AP303" s="377"/>
      <c r="AQ303" s="377"/>
      <c r="AR303" s="377"/>
      <c r="AS303" s="377"/>
      <c r="AT303" s="377"/>
      <c r="AU303" s="377"/>
      <c r="AV303" s="377"/>
      <c r="AW303" s="575"/>
      <c r="AX303" s="377"/>
      <c r="AY303" s="377"/>
      <c r="AZ303" s="377"/>
      <c r="BA303" s="377"/>
      <c r="BB303" s="377"/>
      <c r="BC303" s="377"/>
      <c r="BD303" s="377"/>
      <c r="BE303" s="377"/>
      <c r="BF303" s="377"/>
      <c r="BG303" s="377"/>
      <c r="BH303" s="377"/>
      <c r="BI303" s="377"/>
      <c r="BJ303" s="377"/>
      <c r="BK303" s="377"/>
      <c r="BL303" s="377"/>
      <c r="BM303" s="377"/>
      <c r="BN303" s="576"/>
      <c r="BO303" s="377"/>
      <c r="BP303" s="377"/>
      <c r="BQ303" s="377"/>
      <c r="BR303" s="377"/>
      <c r="BS303" s="377"/>
      <c r="BT303" s="377"/>
      <c r="BU303" s="377"/>
      <c r="BV303" s="377"/>
      <c r="BW303" s="377"/>
      <c r="BX303" s="377"/>
      <c r="BY303" s="377"/>
      <c r="BZ303" s="377"/>
      <c r="CA303" s="377"/>
      <c r="CB303" s="377"/>
      <c r="CC303" s="377"/>
      <c r="CD303" s="377"/>
      <c r="CE303" s="377"/>
      <c r="CF303" s="377"/>
      <c r="CG303" s="377"/>
      <c r="CH303" s="377"/>
      <c r="CI303" s="377"/>
    </row>
    <row r="304" spans="1:87" ht="15">
      <c r="A304" s="377"/>
      <c r="B304" s="377"/>
      <c r="C304" s="572"/>
      <c r="D304" s="377"/>
      <c r="E304" s="377"/>
      <c r="F304" s="377"/>
      <c r="G304" s="377"/>
      <c r="H304" s="573"/>
      <c r="I304" s="377"/>
      <c r="J304" s="377"/>
      <c r="K304" s="377"/>
      <c r="L304" s="377"/>
      <c r="M304" s="377"/>
      <c r="N304" s="377"/>
      <c r="O304" s="377"/>
      <c r="P304" s="377"/>
      <c r="Q304" s="377"/>
      <c r="R304" s="377"/>
      <c r="S304" s="377"/>
      <c r="T304" s="377"/>
      <c r="U304" s="377"/>
      <c r="V304" s="377"/>
      <c r="W304" s="377"/>
      <c r="X304" s="574"/>
      <c r="Y304" s="377"/>
      <c r="Z304" s="377"/>
      <c r="AA304" s="377"/>
      <c r="AB304" s="377"/>
      <c r="AC304" s="377"/>
      <c r="AD304" s="377"/>
      <c r="AE304" s="377"/>
      <c r="AF304" s="377"/>
      <c r="AG304" s="377"/>
      <c r="AH304" s="377"/>
      <c r="AI304" s="377"/>
      <c r="AJ304" s="377"/>
      <c r="AK304" s="377"/>
      <c r="AL304" s="574"/>
      <c r="AM304" s="377"/>
      <c r="AN304" s="377"/>
      <c r="AO304" s="377"/>
      <c r="AP304" s="377"/>
      <c r="AQ304" s="377"/>
      <c r="AR304" s="377"/>
      <c r="AS304" s="377"/>
      <c r="AT304" s="377"/>
      <c r="AU304" s="377"/>
      <c r="AV304" s="377"/>
      <c r="AW304" s="575"/>
      <c r="AX304" s="377"/>
      <c r="AY304" s="377"/>
      <c r="AZ304" s="377"/>
      <c r="BA304" s="377"/>
      <c r="BB304" s="377"/>
      <c r="BC304" s="377"/>
      <c r="BD304" s="377"/>
      <c r="BE304" s="377"/>
      <c r="BF304" s="377"/>
      <c r="BG304" s="377"/>
      <c r="BH304" s="377"/>
      <c r="BI304" s="377"/>
      <c r="BJ304" s="377"/>
      <c r="BK304" s="377"/>
      <c r="BL304" s="377"/>
      <c r="BM304" s="377"/>
      <c r="BN304" s="576"/>
      <c r="BO304" s="377"/>
      <c r="BP304" s="377"/>
      <c r="BQ304" s="377"/>
      <c r="BR304" s="377"/>
      <c r="BS304" s="377"/>
      <c r="BT304" s="377"/>
      <c r="BU304" s="377"/>
      <c r="BV304" s="377"/>
      <c r="BW304" s="377"/>
      <c r="BX304" s="377"/>
      <c r="BY304" s="377"/>
      <c r="BZ304" s="377"/>
      <c r="CA304" s="377"/>
      <c r="CB304" s="377"/>
      <c r="CC304" s="377"/>
      <c r="CD304" s="377"/>
      <c r="CE304" s="377"/>
      <c r="CF304" s="377"/>
      <c r="CG304" s="377"/>
      <c r="CH304" s="377"/>
      <c r="CI304" s="377"/>
    </row>
    <row r="305" spans="1:87" ht="15">
      <c r="A305" s="377"/>
      <c r="B305" s="377"/>
      <c r="C305" s="572"/>
      <c r="D305" s="377"/>
      <c r="E305" s="377"/>
      <c r="F305" s="377"/>
      <c r="G305" s="377"/>
      <c r="H305" s="573"/>
      <c r="I305" s="377"/>
      <c r="J305" s="377"/>
      <c r="K305" s="377"/>
      <c r="L305" s="377"/>
      <c r="M305" s="377"/>
      <c r="N305" s="377"/>
      <c r="O305" s="377"/>
      <c r="P305" s="377"/>
      <c r="Q305" s="377"/>
      <c r="R305" s="377"/>
      <c r="S305" s="377"/>
      <c r="T305" s="377"/>
      <c r="U305" s="377"/>
      <c r="V305" s="377"/>
      <c r="W305" s="377"/>
      <c r="X305" s="574"/>
      <c r="Y305" s="377"/>
      <c r="Z305" s="377"/>
      <c r="AA305" s="377"/>
      <c r="AB305" s="377"/>
      <c r="AC305" s="377"/>
      <c r="AD305" s="377"/>
      <c r="AE305" s="377"/>
      <c r="AF305" s="377"/>
      <c r="AG305" s="377"/>
      <c r="AH305" s="377"/>
      <c r="AI305" s="377"/>
      <c r="AJ305" s="377"/>
      <c r="AK305" s="377"/>
      <c r="AL305" s="574"/>
      <c r="AM305" s="377"/>
      <c r="AN305" s="377"/>
      <c r="AO305" s="377"/>
      <c r="AP305" s="377"/>
      <c r="AQ305" s="377"/>
      <c r="AR305" s="377"/>
      <c r="AS305" s="377"/>
      <c r="AT305" s="377"/>
      <c r="AU305" s="377"/>
      <c r="AV305" s="377"/>
      <c r="AW305" s="575"/>
      <c r="AX305" s="377"/>
      <c r="AY305" s="377"/>
      <c r="AZ305" s="377"/>
      <c r="BA305" s="377"/>
      <c r="BB305" s="377"/>
      <c r="BC305" s="377"/>
      <c r="BD305" s="377"/>
      <c r="BE305" s="377"/>
      <c r="BF305" s="377"/>
      <c r="BG305" s="377"/>
      <c r="BH305" s="377"/>
      <c r="BI305" s="377"/>
      <c r="BJ305" s="377"/>
      <c r="BK305" s="377"/>
      <c r="BL305" s="377"/>
      <c r="BM305" s="377"/>
      <c r="BN305" s="576"/>
      <c r="BO305" s="377"/>
      <c r="BP305" s="377"/>
      <c r="BQ305" s="377"/>
      <c r="BR305" s="377"/>
      <c r="BS305" s="377"/>
      <c r="BT305" s="377"/>
      <c r="BU305" s="377"/>
      <c r="BV305" s="377"/>
      <c r="BW305" s="377"/>
      <c r="BX305" s="377"/>
      <c r="BY305" s="377"/>
      <c r="BZ305" s="377"/>
      <c r="CA305" s="377"/>
      <c r="CB305" s="377"/>
      <c r="CC305" s="377"/>
      <c r="CD305" s="377"/>
      <c r="CE305" s="377"/>
      <c r="CF305" s="377"/>
      <c r="CG305" s="377"/>
      <c r="CH305" s="377"/>
      <c r="CI305" s="377"/>
    </row>
    <row r="306" spans="1:87" ht="15">
      <c r="A306" s="377"/>
      <c r="B306" s="377"/>
      <c r="C306" s="572"/>
      <c r="D306" s="377"/>
      <c r="E306" s="377"/>
      <c r="F306" s="377"/>
      <c r="G306" s="377"/>
      <c r="H306" s="573"/>
      <c r="I306" s="377"/>
      <c r="J306" s="377"/>
      <c r="K306" s="377"/>
      <c r="L306" s="377"/>
      <c r="M306" s="377"/>
      <c r="N306" s="377"/>
      <c r="O306" s="377"/>
      <c r="P306" s="377"/>
      <c r="Q306" s="377"/>
      <c r="R306" s="377"/>
      <c r="S306" s="377"/>
      <c r="T306" s="377"/>
      <c r="U306" s="377"/>
      <c r="V306" s="377"/>
      <c r="W306" s="377"/>
      <c r="X306" s="574"/>
      <c r="Y306" s="377"/>
      <c r="Z306" s="377"/>
      <c r="AA306" s="377"/>
      <c r="AB306" s="377"/>
      <c r="AC306" s="377"/>
      <c r="AD306" s="377"/>
      <c r="AE306" s="377"/>
      <c r="AF306" s="377"/>
      <c r="AG306" s="377"/>
      <c r="AH306" s="377"/>
      <c r="AI306" s="377"/>
      <c r="AJ306" s="377"/>
      <c r="AK306" s="377"/>
      <c r="AL306" s="574"/>
      <c r="AM306" s="377"/>
      <c r="AN306" s="377"/>
      <c r="AO306" s="377"/>
      <c r="AP306" s="377"/>
      <c r="AQ306" s="377"/>
      <c r="AR306" s="377"/>
      <c r="AS306" s="377"/>
      <c r="AT306" s="377"/>
      <c r="AU306" s="377"/>
      <c r="AV306" s="377"/>
      <c r="AW306" s="575"/>
      <c r="AX306" s="377"/>
      <c r="AY306" s="377"/>
      <c r="AZ306" s="377"/>
      <c r="BA306" s="377"/>
      <c r="BB306" s="377"/>
      <c r="BC306" s="377"/>
      <c r="BD306" s="377"/>
      <c r="BE306" s="377"/>
      <c r="BF306" s="377"/>
      <c r="BG306" s="377"/>
      <c r="BH306" s="377"/>
      <c r="BI306" s="377"/>
      <c r="BJ306" s="377"/>
      <c r="BK306" s="377"/>
      <c r="BL306" s="377"/>
      <c r="BM306" s="377"/>
      <c r="BN306" s="576"/>
      <c r="BO306" s="377"/>
      <c r="BP306" s="377"/>
      <c r="BQ306" s="377"/>
      <c r="BR306" s="377"/>
      <c r="BS306" s="377"/>
      <c r="BT306" s="377"/>
      <c r="BU306" s="377"/>
      <c r="BV306" s="377"/>
      <c r="BW306" s="377"/>
      <c r="BX306" s="377"/>
      <c r="BY306" s="377"/>
      <c r="BZ306" s="377"/>
      <c r="CA306" s="377"/>
      <c r="CB306" s="377"/>
      <c r="CC306" s="377"/>
      <c r="CD306" s="377"/>
      <c r="CE306" s="377"/>
      <c r="CF306" s="377"/>
      <c r="CG306" s="377"/>
      <c r="CH306" s="377"/>
      <c r="CI306" s="377"/>
    </row>
    <row r="307" spans="1:87" ht="15">
      <c r="A307" s="377"/>
      <c r="B307" s="377"/>
      <c r="C307" s="572"/>
      <c r="D307" s="377"/>
      <c r="E307" s="377"/>
      <c r="F307" s="377"/>
      <c r="G307" s="377"/>
      <c r="H307" s="573"/>
      <c r="I307" s="377"/>
      <c r="J307" s="377"/>
      <c r="K307" s="377"/>
      <c r="L307" s="377"/>
      <c r="M307" s="377"/>
      <c r="N307" s="377"/>
      <c r="O307" s="377"/>
      <c r="P307" s="377"/>
      <c r="Q307" s="377"/>
      <c r="R307" s="377"/>
      <c r="S307" s="377"/>
      <c r="T307" s="377"/>
      <c r="U307" s="377"/>
      <c r="V307" s="377"/>
      <c r="W307" s="377"/>
      <c r="X307" s="574"/>
      <c r="Y307" s="377"/>
      <c r="Z307" s="377"/>
      <c r="AA307" s="377"/>
      <c r="AB307" s="377"/>
      <c r="AC307" s="377"/>
      <c r="AD307" s="377"/>
      <c r="AE307" s="377"/>
      <c r="AF307" s="377"/>
      <c r="AG307" s="377"/>
      <c r="AH307" s="377"/>
      <c r="AI307" s="377"/>
      <c r="AJ307" s="377"/>
      <c r="AK307" s="377"/>
      <c r="AL307" s="574"/>
      <c r="AM307" s="377"/>
      <c r="AN307" s="377"/>
      <c r="AO307" s="377"/>
      <c r="AP307" s="377"/>
      <c r="AQ307" s="377"/>
      <c r="AR307" s="377"/>
      <c r="AS307" s="377"/>
      <c r="AT307" s="377"/>
      <c r="AU307" s="377"/>
      <c r="AV307" s="377"/>
      <c r="AW307" s="575"/>
      <c r="AX307" s="377"/>
      <c r="AY307" s="377"/>
      <c r="AZ307" s="377"/>
      <c r="BA307" s="377"/>
      <c r="BB307" s="377"/>
      <c r="BC307" s="377"/>
      <c r="BD307" s="377"/>
      <c r="BE307" s="377"/>
      <c r="BF307" s="377"/>
      <c r="BG307" s="377"/>
      <c r="BH307" s="377"/>
      <c r="BI307" s="377"/>
      <c r="BJ307" s="377"/>
      <c r="BK307" s="377"/>
      <c r="BL307" s="377"/>
      <c r="BM307" s="377"/>
      <c r="BN307" s="576"/>
      <c r="BO307" s="377"/>
      <c r="BP307" s="377"/>
      <c r="BQ307" s="377"/>
      <c r="BR307" s="377"/>
      <c r="BS307" s="377"/>
      <c r="BT307" s="377"/>
      <c r="BU307" s="377"/>
      <c r="BV307" s="377"/>
      <c r="BW307" s="377"/>
      <c r="BX307" s="377"/>
      <c r="BY307" s="377"/>
      <c r="BZ307" s="377"/>
      <c r="CA307" s="377"/>
      <c r="CB307" s="377"/>
      <c r="CC307" s="377"/>
      <c r="CD307" s="377"/>
      <c r="CE307" s="377"/>
      <c r="CF307" s="377"/>
      <c r="CG307" s="377"/>
      <c r="CH307" s="377"/>
      <c r="CI307" s="377"/>
    </row>
    <row r="308" spans="1:87" ht="15">
      <c r="A308" s="377"/>
      <c r="B308" s="377"/>
      <c r="C308" s="572"/>
      <c r="D308" s="377"/>
      <c r="E308" s="377"/>
      <c r="F308" s="377"/>
      <c r="G308" s="377"/>
      <c r="H308" s="573"/>
      <c r="I308" s="377"/>
      <c r="J308" s="377"/>
      <c r="K308" s="377"/>
      <c r="L308" s="377"/>
      <c r="M308" s="377"/>
      <c r="N308" s="377"/>
      <c r="O308" s="377"/>
      <c r="P308" s="377"/>
      <c r="Q308" s="377"/>
      <c r="R308" s="377"/>
      <c r="S308" s="377"/>
      <c r="T308" s="377"/>
      <c r="U308" s="377"/>
      <c r="V308" s="377"/>
      <c r="W308" s="377"/>
      <c r="X308" s="574"/>
      <c r="Y308" s="377"/>
      <c r="Z308" s="377"/>
      <c r="AA308" s="377"/>
      <c r="AB308" s="377"/>
      <c r="AC308" s="377"/>
      <c r="AD308" s="377"/>
      <c r="AE308" s="377"/>
      <c r="AF308" s="377"/>
      <c r="AG308" s="377"/>
      <c r="AH308" s="377"/>
      <c r="AI308" s="377"/>
      <c r="AJ308" s="377"/>
      <c r="AK308" s="377"/>
      <c r="AL308" s="574"/>
      <c r="AM308" s="377"/>
      <c r="AN308" s="377"/>
      <c r="AO308" s="377"/>
      <c r="AP308" s="377"/>
      <c r="AQ308" s="377"/>
      <c r="AR308" s="377"/>
      <c r="AS308" s="377"/>
      <c r="AT308" s="377"/>
      <c r="AU308" s="377"/>
      <c r="AV308" s="377"/>
      <c r="AW308" s="575"/>
      <c r="AX308" s="377"/>
      <c r="AY308" s="377"/>
      <c r="AZ308" s="377"/>
      <c r="BA308" s="377"/>
      <c r="BB308" s="377"/>
      <c r="BC308" s="377"/>
      <c r="BD308" s="377"/>
      <c r="BE308" s="377"/>
      <c r="BF308" s="377"/>
      <c r="BG308" s="377"/>
      <c r="BH308" s="377"/>
      <c r="BI308" s="377"/>
      <c r="BJ308" s="377"/>
      <c r="BK308" s="377"/>
      <c r="BL308" s="377"/>
      <c r="BM308" s="377"/>
      <c r="BN308" s="576"/>
      <c r="BO308" s="377"/>
      <c r="BP308" s="377"/>
      <c r="BQ308" s="377"/>
      <c r="BR308" s="377"/>
      <c r="BS308" s="377"/>
      <c r="BT308" s="377"/>
      <c r="BU308" s="377"/>
      <c r="BV308" s="377"/>
      <c r="BW308" s="377"/>
      <c r="BX308" s="377"/>
      <c r="BY308" s="377"/>
      <c r="BZ308" s="377"/>
      <c r="CA308" s="377"/>
      <c r="CB308" s="377"/>
      <c r="CC308" s="377"/>
      <c r="CD308" s="377"/>
      <c r="CE308" s="377"/>
      <c r="CF308" s="377"/>
      <c r="CG308" s="377"/>
      <c r="CH308" s="377"/>
      <c r="CI308" s="377"/>
    </row>
    <row r="309" spans="1:87" ht="15">
      <c r="A309" s="377"/>
      <c r="B309" s="377"/>
      <c r="C309" s="572"/>
      <c r="D309" s="377"/>
      <c r="E309" s="377"/>
      <c r="F309" s="377"/>
      <c r="G309" s="377"/>
      <c r="H309" s="573"/>
      <c r="I309" s="377"/>
      <c r="J309" s="377"/>
      <c r="K309" s="377"/>
      <c r="L309" s="377"/>
      <c r="M309" s="377"/>
      <c r="N309" s="377"/>
      <c r="O309" s="377"/>
      <c r="P309" s="377"/>
      <c r="Q309" s="377"/>
      <c r="R309" s="377"/>
      <c r="S309" s="377"/>
      <c r="T309" s="377"/>
      <c r="U309" s="377"/>
      <c r="V309" s="377"/>
      <c r="W309" s="377"/>
      <c r="X309" s="574"/>
      <c r="Y309" s="377"/>
      <c r="Z309" s="377"/>
      <c r="AA309" s="377"/>
      <c r="AB309" s="377"/>
      <c r="AC309" s="377"/>
      <c r="AD309" s="377"/>
      <c r="AE309" s="377"/>
      <c r="AF309" s="377"/>
      <c r="AG309" s="377"/>
      <c r="AH309" s="377"/>
      <c r="AI309" s="377"/>
      <c r="AJ309" s="377"/>
      <c r="AK309" s="377"/>
      <c r="AL309" s="574"/>
      <c r="AM309" s="377"/>
      <c r="AN309" s="377"/>
      <c r="AO309" s="377"/>
      <c r="AP309" s="377"/>
      <c r="AQ309" s="377"/>
      <c r="AR309" s="377"/>
      <c r="AS309" s="377"/>
      <c r="AT309" s="377"/>
      <c r="AU309" s="377"/>
      <c r="AV309" s="377"/>
      <c r="AW309" s="575"/>
      <c r="AX309" s="377"/>
      <c r="AY309" s="377"/>
      <c r="AZ309" s="377"/>
      <c r="BA309" s="377"/>
      <c r="BB309" s="377"/>
      <c r="BC309" s="377"/>
      <c r="BD309" s="377"/>
      <c r="BE309" s="377"/>
      <c r="BF309" s="377"/>
      <c r="BG309" s="377"/>
      <c r="BH309" s="377"/>
      <c r="BI309" s="377"/>
      <c r="BJ309" s="377"/>
      <c r="BK309" s="377"/>
      <c r="BL309" s="377"/>
      <c r="BM309" s="377"/>
      <c r="BN309" s="576"/>
      <c r="BO309" s="377"/>
      <c r="BP309" s="377"/>
      <c r="BQ309" s="377"/>
      <c r="BR309" s="377"/>
      <c r="BS309" s="377"/>
      <c r="BT309" s="377"/>
      <c r="BU309" s="377"/>
      <c r="BV309" s="377"/>
      <c r="BW309" s="377"/>
      <c r="BX309" s="377"/>
      <c r="BY309" s="377"/>
      <c r="BZ309" s="377"/>
      <c r="CA309" s="377"/>
      <c r="CB309" s="377"/>
      <c r="CC309" s="377"/>
      <c r="CD309" s="377"/>
      <c r="CE309" s="377"/>
      <c r="CF309" s="377"/>
      <c r="CG309" s="377"/>
      <c r="CH309" s="377"/>
      <c r="CI309" s="377"/>
    </row>
    <row r="310" spans="1:87" ht="15">
      <c r="A310" s="377"/>
      <c r="B310" s="377"/>
      <c r="C310" s="572"/>
      <c r="D310" s="377"/>
      <c r="E310" s="377"/>
      <c r="F310" s="377"/>
      <c r="G310" s="377"/>
      <c r="H310" s="573"/>
      <c r="I310" s="377"/>
      <c r="J310" s="377"/>
      <c r="K310" s="377"/>
      <c r="L310" s="377"/>
      <c r="M310" s="377"/>
      <c r="N310" s="377"/>
      <c r="O310" s="377"/>
      <c r="P310" s="377"/>
      <c r="Q310" s="377"/>
      <c r="R310" s="377"/>
      <c r="S310" s="377"/>
      <c r="T310" s="377"/>
      <c r="U310" s="377"/>
      <c r="V310" s="377"/>
      <c r="W310" s="377"/>
      <c r="X310" s="574"/>
      <c r="Y310" s="377"/>
      <c r="Z310" s="377"/>
      <c r="AA310" s="377"/>
      <c r="AB310" s="377"/>
      <c r="AC310" s="377"/>
      <c r="AD310" s="377"/>
      <c r="AE310" s="377"/>
      <c r="AF310" s="377"/>
      <c r="AG310" s="377"/>
      <c r="AH310" s="377"/>
      <c r="AI310" s="377"/>
      <c r="AJ310" s="377"/>
      <c r="AK310" s="377"/>
      <c r="AL310" s="574"/>
      <c r="AM310" s="377"/>
      <c r="AN310" s="377"/>
      <c r="AO310" s="377"/>
      <c r="AP310" s="377"/>
      <c r="AQ310" s="377"/>
      <c r="AR310" s="377"/>
      <c r="AS310" s="377"/>
      <c r="AT310" s="377"/>
      <c r="AU310" s="377"/>
      <c r="AV310" s="377"/>
      <c r="AW310" s="575"/>
      <c r="AX310" s="377"/>
      <c r="AY310" s="377"/>
      <c r="AZ310" s="377"/>
      <c r="BA310" s="377"/>
      <c r="BB310" s="377"/>
      <c r="BC310" s="377"/>
      <c r="BD310" s="377"/>
      <c r="BE310" s="377"/>
      <c r="BF310" s="377"/>
      <c r="BG310" s="377"/>
      <c r="BH310" s="377"/>
      <c r="BI310" s="377"/>
      <c r="BJ310" s="377"/>
      <c r="BK310" s="377"/>
      <c r="BL310" s="377"/>
      <c r="BM310" s="377"/>
      <c r="BN310" s="576"/>
      <c r="BO310" s="377"/>
      <c r="BP310" s="377"/>
      <c r="BQ310" s="377"/>
      <c r="BR310" s="377"/>
      <c r="BS310" s="377"/>
      <c r="BT310" s="377"/>
      <c r="BU310" s="377"/>
      <c r="BV310" s="377"/>
      <c r="BW310" s="377"/>
      <c r="BX310" s="377"/>
      <c r="BY310" s="377"/>
      <c r="BZ310" s="377"/>
      <c r="CA310" s="377"/>
      <c r="CB310" s="377"/>
      <c r="CC310" s="377"/>
      <c r="CD310" s="377"/>
      <c r="CE310" s="377"/>
      <c r="CF310" s="377"/>
      <c r="CG310" s="377"/>
      <c r="CH310" s="377"/>
      <c r="CI310" s="377"/>
    </row>
    <row r="311" spans="1:87" ht="15">
      <c r="A311" s="377"/>
      <c r="B311" s="377"/>
      <c r="C311" s="572"/>
      <c r="D311" s="377"/>
      <c r="E311" s="377"/>
      <c r="F311" s="377"/>
      <c r="G311" s="377"/>
      <c r="H311" s="573"/>
      <c r="I311" s="377"/>
      <c r="J311" s="377"/>
      <c r="K311" s="377"/>
      <c r="L311" s="377"/>
      <c r="M311" s="377"/>
      <c r="N311" s="377"/>
      <c r="O311" s="377"/>
      <c r="P311" s="377"/>
      <c r="Q311" s="377"/>
      <c r="R311" s="377"/>
      <c r="S311" s="377"/>
      <c r="T311" s="377"/>
      <c r="U311" s="377"/>
      <c r="V311" s="377"/>
      <c r="W311" s="377"/>
      <c r="X311" s="574"/>
      <c r="Y311" s="377"/>
      <c r="Z311" s="377"/>
      <c r="AA311" s="377"/>
      <c r="AB311" s="377"/>
      <c r="AC311" s="377"/>
      <c r="AD311" s="377"/>
      <c r="AE311" s="377"/>
      <c r="AF311" s="377"/>
      <c r="AG311" s="377"/>
      <c r="AH311" s="377"/>
      <c r="AI311" s="377"/>
      <c r="AJ311" s="377"/>
      <c r="AK311" s="377"/>
      <c r="AL311" s="574"/>
      <c r="AM311" s="377"/>
      <c r="AN311" s="377"/>
      <c r="AO311" s="377"/>
      <c r="AP311" s="377"/>
      <c r="AQ311" s="377"/>
      <c r="AR311" s="377"/>
      <c r="AS311" s="377"/>
      <c r="AT311" s="377"/>
      <c r="AU311" s="377"/>
      <c r="AV311" s="377"/>
      <c r="AW311" s="575"/>
      <c r="AX311" s="377"/>
      <c r="AY311" s="377"/>
      <c r="AZ311" s="377"/>
      <c r="BA311" s="377"/>
      <c r="BB311" s="377"/>
      <c r="BC311" s="377"/>
      <c r="BD311" s="377"/>
      <c r="BE311" s="377"/>
      <c r="BF311" s="377"/>
      <c r="BG311" s="377"/>
      <c r="BH311" s="377"/>
      <c r="BI311" s="377"/>
      <c r="BJ311" s="377"/>
      <c r="BK311" s="377"/>
      <c r="BL311" s="377"/>
      <c r="BM311" s="377"/>
      <c r="BN311" s="576"/>
      <c r="BO311" s="377"/>
      <c r="BP311" s="377"/>
      <c r="BQ311" s="377"/>
      <c r="BR311" s="377"/>
      <c r="BS311" s="377"/>
      <c r="BT311" s="377"/>
      <c r="BU311" s="377"/>
      <c r="BV311" s="377"/>
      <c r="BW311" s="377"/>
      <c r="BX311" s="377"/>
      <c r="BY311" s="377"/>
      <c r="BZ311" s="377"/>
      <c r="CA311" s="377"/>
      <c r="CB311" s="377"/>
      <c r="CC311" s="377"/>
      <c r="CD311" s="377"/>
      <c r="CE311" s="377"/>
      <c r="CF311" s="377"/>
      <c r="CG311" s="377"/>
      <c r="CH311" s="377"/>
      <c r="CI311" s="377"/>
    </row>
    <row r="312" spans="1:87" ht="15">
      <c r="A312" s="377"/>
      <c r="B312" s="377"/>
      <c r="C312" s="572"/>
      <c r="D312" s="377"/>
      <c r="E312" s="377"/>
      <c r="F312" s="377"/>
      <c r="G312" s="377"/>
      <c r="H312" s="573"/>
      <c r="I312" s="377"/>
      <c r="J312" s="377"/>
      <c r="K312" s="377"/>
      <c r="L312" s="377"/>
      <c r="M312" s="377"/>
      <c r="N312" s="377"/>
      <c r="O312" s="377"/>
      <c r="P312" s="377"/>
      <c r="Q312" s="377"/>
      <c r="R312" s="377"/>
      <c r="S312" s="377"/>
      <c r="T312" s="377"/>
      <c r="U312" s="377"/>
      <c r="V312" s="377"/>
      <c r="W312" s="377"/>
      <c r="X312" s="574"/>
      <c r="Y312" s="377"/>
      <c r="Z312" s="377"/>
      <c r="AA312" s="377"/>
      <c r="AB312" s="377"/>
      <c r="AC312" s="377"/>
      <c r="AD312" s="377"/>
      <c r="AE312" s="377"/>
      <c r="AF312" s="377"/>
      <c r="AG312" s="377"/>
      <c r="AH312" s="377"/>
      <c r="AI312" s="377"/>
      <c r="AJ312" s="377"/>
      <c r="AK312" s="377"/>
      <c r="AL312" s="574"/>
      <c r="AM312" s="377"/>
      <c r="AN312" s="377"/>
      <c r="AO312" s="377"/>
      <c r="AP312" s="377"/>
      <c r="AQ312" s="377"/>
      <c r="AR312" s="377"/>
      <c r="AS312" s="377"/>
      <c r="AT312" s="377"/>
      <c r="AU312" s="377"/>
      <c r="AV312" s="377"/>
      <c r="AW312" s="575"/>
      <c r="AX312" s="377"/>
      <c r="AY312" s="377"/>
      <c r="AZ312" s="377"/>
      <c r="BA312" s="377"/>
      <c r="BB312" s="377"/>
      <c r="BC312" s="377"/>
      <c r="BD312" s="377"/>
      <c r="BE312" s="377"/>
      <c r="BF312" s="377"/>
      <c r="BG312" s="377"/>
      <c r="BH312" s="377"/>
      <c r="BI312" s="377"/>
      <c r="BJ312" s="377"/>
      <c r="BK312" s="377"/>
      <c r="BL312" s="377"/>
      <c r="BM312" s="377"/>
      <c r="BN312" s="576"/>
      <c r="BO312" s="377"/>
      <c r="BP312" s="377"/>
      <c r="BQ312" s="377"/>
      <c r="BR312" s="377"/>
      <c r="BS312" s="377"/>
      <c r="BT312" s="377"/>
      <c r="BU312" s="377"/>
      <c r="BV312" s="377"/>
      <c r="BW312" s="377"/>
      <c r="BX312" s="377"/>
      <c r="BY312" s="377"/>
      <c r="BZ312" s="377"/>
      <c r="CA312" s="377"/>
      <c r="CB312" s="377"/>
      <c r="CC312" s="377"/>
      <c r="CD312" s="377"/>
      <c r="CE312" s="377"/>
      <c r="CF312" s="377"/>
      <c r="CG312" s="377"/>
      <c r="CH312" s="377"/>
      <c r="CI312" s="377"/>
    </row>
    <row r="313" spans="1:87" ht="15">
      <c r="A313" s="377"/>
      <c r="B313" s="377"/>
      <c r="C313" s="572"/>
      <c r="D313" s="377"/>
      <c r="E313" s="377"/>
      <c r="F313" s="377"/>
      <c r="G313" s="377"/>
      <c r="H313" s="573"/>
      <c r="I313" s="377"/>
      <c r="J313" s="377"/>
      <c r="K313" s="377"/>
      <c r="L313" s="377"/>
      <c r="M313" s="377"/>
      <c r="N313" s="377"/>
      <c r="O313" s="377"/>
      <c r="P313" s="377"/>
      <c r="Q313" s="377"/>
      <c r="R313" s="377"/>
      <c r="S313" s="377"/>
      <c r="T313" s="377"/>
      <c r="U313" s="377"/>
      <c r="V313" s="377"/>
      <c r="W313" s="377"/>
      <c r="X313" s="574"/>
      <c r="Y313" s="377"/>
      <c r="Z313" s="377"/>
      <c r="AA313" s="377"/>
      <c r="AB313" s="377"/>
      <c r="AC313" s="377"/>
      <c r="AD313" s="377"/>
      <c r="AE313" s="377"/>
      <c r="AF313" s="377"/>
      <c r="AG313" s="377"/>
      <c r="AH313" s="377"/>
      <c r="AI313" s="377"/>
      <c r="AJ313" s="377"/>
      <c r="AK313" s="377"/>
      <c r="AL313" s="574"/>
      <c r="AM313" s="377"/>
      <c r="AN313" s="377"/>
      <c r="AO313" s="377"/>
      <c r="AP313" s="377"/>
      <c r="AQ313" s="377"/>
      <c r="AR313" s="377"/>
      <c r="AS313" s="377"/>
      <c r="AT313" s="377"/>
      <c r="AU313" s="377"/>
      <c r="AV313" s="377"/>
      <c r="AW313" s="575"/>
      <c r="AX313" s="377"/>
      <c r="AY313" s="377"/>
      <c r="AZ313" s="377"/>
      <c r="BA313" s="377"/>
      <c r="BB313" s="377"/>
      <c r="BC313" s="377"/>
      <c r="BD313" s="377"/>
      <c r="BE313" s="377"/>
      <c r="BF313" s="377"/>
      <c r="BG313" s="377"/>
      <c r="BH313" s="377"/>
      <c r="BI313" s="377"/>
      <c r="BJ313" s="377"/>
      <c r="BK313" s="377"/>
      <c r="BL313" s="377"/>
      <c r="BM313" s="377"/>
      <c r="BN313" s="576"/>
      <c r="BO313" s="377"/>
      <c r="BP313" s="377"/>
      <c r="BQ313" s="377"/>
      <c r="BR313" s="377"/>
      <c r="BS313" s="377"/>
      <c r="BT313" s="377"/>
      <c r="BU313" s="377"/>
      <c r="BV313" s="377"/>
      <c r="BW313" s="377"/>
      <c r="BX313" s="377"/>
      <c r="BY313" s="377"/>
      <c r="BZ313" s="377"/>
      <c r="CA313" s="377"/>
      <c r="CB313" s="377"/>
      <c r="CC313" s="377"/>
      <c r="CD313" s="377"/>
      <c r="CE313" s="377"/>
      <c r="CF313" s="377"/>
      <c r="CG313" s="377"/>
      <c r="CH313" s="377"/>
      <c r="CI313" s="377"/>
    </row>
    <row r="314" spans="1:87" ht="15">
      <c r="A314" s="377"/>
      <c r="B314" s="377"/>
      <c r="C314" s="572"/>
      <c r="D314" s="377"/>
      <c r="E314" s="377"/>
      <c r="F314" s="377"/>
      <c r="G314" s="377"/>
      <c r="H314" s="573"/>
      <c r="I314" s="377"/>
      <c r="J314" s="377"/>
      <c r="K314" s="377"/>
      <c r="L314" s="377"/>
      <c r="M314" s="377"/>
      <c r="N314" s="377"/>
      <c r="O314" s="377"/>
      <c r="P314" s="377"/>
      <c r="Q314" s="377"/>
      <c r="R314" s="377"/>
      <c r="S314" s="377"/>
      <c r="T314" s="377"/>
      <c r="U314" s="377"/>
      <c r="V314" s="377"/>
      <c r="W314" s="377"/>
      <c r="X314" s="574"/>
      <c r="Y314" s="377"/>
      <c r="Z314" s="377"/>
      <c r="AA314" s="377"/>
      <c r="AB314" s="377"/>
      <c r="AC314" s="377"/>
      <c r="AD314" s="377"/>
      <c r="AE314" s="377"/>
      <c r="AF314" s="377"/>
      <c r="AG314" s="377"/>
      <c r="AH314" s="377"/>
      <c r="AI314" s="377"/>
      <c r="AJ314" s="377"/>
      <c r="AK314" s="377"/>
      <c r="AL314" s="574"/>
      <c r="AM314" s="377"/>
      <c r="AN314" s="377"/>
      <c r="AO314" s="377"/>
      <c r="AP314" s="377"/>
      <c r="AQ314" s="377"/>
      <c r="AR314" s="377"/>
      <c r="AS314" s="377"/>
      <c r="AT314" s="377"/>
      <c r="AU314" s="377"/>
      <c r="AV314" s="377"/>
      <c r="AW314" s="575"/>
      <c r="AX314" s="377"/>
      <c r="AY314" s="377"/>
      <c r="AZ314" s="377"/>
      <c r="BA314" s="377"/>
      <c r="BB314" s="377"/>
      <c r="BC314" s="377"/>
      <c r="BD314" s="377"/>
      <c r="BE314" s="377"/>
      <c r="BF314" s="377"/>
      <c r="BG314" s="377"/>
      <c r="BH314" s="377"/>
      <c r="BI314" s="377"/>
      <c r="BJ314" s="377"/>
      <c r="BK314" s="377"/>
      <c r="BL314" s="377"/>
      <c r="BM314" s="377"/>
      <c r="BN314" s="576"/>
      <c r="BO314" s="377"/>
      <c r="BP314" s="377"/>
      <c r="BQ314" s="377"/>
      <c r="BR314" s="377"/>
      <c r="BS314" s="377"/>
      <c r="BT314" s="377"/>
      <c r="BU314" s="377"/>
      <c r="BV314" s="377"/>
      <c r="BW314" s="377"/>
      <c r="BX314" s="377"/>
      <c r="BY314" s="377"/>
      <c r="BZ314" s="377"/>
      <c r="CA314" s="377"/>
      <c r="CB314" s="377"/>
      <c r="CC314" s="377"/>
      <c r="CD314" s="377"/>
      <c r="CE314" s="377"/>
      <c r="CF314" s="377"/>
      <c r="CG314" s="377"/>
      <c r="CH314" s="377"/>
      <c r="CI314" s="377"/>
    </row>
    <row r="315" spans="1:87" ht="15">
      <c r="A315" s="377"/>
      <c r="B315" s="377"/>
      <c r="C315" s="572"/>
      <c r="D315" s="377"/>
      <c r="E315" s="377"/>
      <c r="F315" s="377"/>
      <c r="G315" s="377"/>
      <c r="H315" s="573"/>
      <c r="I315" s="377"/>
      <c r="J315" s="377"/>
      <c r="K315" s="377"/>
      <c r="L315" s="377"/>
      <c r="M315" s="377"/>
      <c r="N315" s="377"/>
      <c r="O315" s="377"/>
      <c r="P315" s="377"/>
      <c r="Q315" s="377"/>
      <c r="R315" s="377"/>
      <c r="S315" s="377"/>
      <c r="T315" s="377"/>
      <c r="U315" s="377"/>
      <c r="V315" s="377"/>
      <c r="W315" s="377"/>
      <c r="X315" s="574"/>
      <c r="Y315" s="377"/>
      <c r="Z315" s="377"/>
      <c r="AA315" s="377"/>
      <c r="AB315" s="377"/>
      <c r="AC315" s="377"/>
      <c r="AD315" s="377"/>
      <c r="AE315" s="377"/>
      <c r="AF315" s="377"/>
      <c r="AG315" s="377"/>
      <c r="AH315" s="377"/>
      <c r="AI315" s="377"/>
      <c r="AJ315" s="377"/>
      <c r="AK315" s="377"/>
      <c r="AL315" s="574"/>
      <c r="AM315" s="377"/>
      <c r="AN315" s="377"/>
      <c r="AO315" s="377"/>
      <c r="AP315" s="377"/>
      <c r="AQ315" s="377"/>
      <c r="AR315" s="377"/>
      <c r="AS315" s="377"/>
      <c r="AT315" s="377"/>
      <c r="AU315" s="377"/>
      <c r="AV315" s="377"/>
      <c r="AW315" s="575"/>
      <c r="AX315" s="377"/>
      <c r="AY315" s="377"/>
      <c r="AZ315" s="377"/>
      <c r="BA315" s="377"/>
      <c r="BB315" s="377"/>
      <c r="BC315" s="377"/>
      <c r="BD315" s="377"/>
      <c r="BE315" s="377"/>
      <c r="BF315" s="377"/>
      <c r="BG315" s="377"/>
      <c r="BH315" s="377"/>
      <c r="BI315" s="377"/>
      <c r="BJ315" s="377"/>
      <c r="BK315" s="377"/>
      <c r="BL315" s="377"/>
      <c r="BM315" s="377"/>
      <c r="BN315" s="576"/>
      <c r="BO315" s="377"/>
      <c r="BP315" s="377"/>
      <c r="BQ315" s="377"/>
      <c r="BR315" s="377"/>
      <c r="BS315" s="377"/>
      <c r="BT315" s="377"/>
      <c r="BU315" s="377"/>
      <c r="BV315" s="377"/>
      <c r="BW315" s="377"/>
      <c r="BX315" s="377"/>
      <c r="BY315" s="377"/>
      <c r="BZ315" s="377"/>
      <c r="CA315" s="377"/>
      <c r="CB315" s="377"/>
      <c r="CC315" s="377"/>
      <c r="CD315" s="377"/>
      <c r="CE315" s="377"/>
      <c r="CF315" s="377"/>
      <c r="CG315" s="377"/>
      <c r="CH315" s="377"/>
      <c r="CI315" s="377"/>
    </row>
    <row r="316" spans="1:87" ht="15">
      <c r="A316" s="377"/>
      <c r="B316" s="377"/>
      <c r="C316" s="572"/>
      <c r="D316" s="377"/>
      <c r="E316" s="377"/>
      <c r="F316" s="377"/>
      <c r="G316" s="377"/>
      <c r="H316" s="573"/>
      <c r="I316" s="377"/>
      <c r="J316" s="377"/>
      <c r="K316" s="377"/>
      <c r="L316" s="377"/>
      <c r="M316" s="377"/>
      <c r="N316" s="377"/>
      <c r="O316" s="377"/>
      <c r="P316" s="377"/>
      <c r="Q316" s="377"/>
      <c r="R316" s="377"/>
      <c r="S316" s="377"/>
      <c r="T316" s="377"/>
      <c r="U316" s="377"/>
      <c r="V316" s="377"/>
      <c r="W316" s="377"/>
      <c r="X316" s="574"/>
      <c r="Y316" s="377"/>
      <c r="Z316" s="377"/>
      <c r="AA316" s="377"/>
      <c r="AB316" s="377"/>
      <c r="AC316" s="377"/>
      <c r="AD316" s="377"/>
      <c r="AE316" s="377"/>
      <c r="AF316" s="377"/>
      <c r="AG316" s="377"/>
      <c r="AH316" s="377"/>
      <c r="AI316" s="377"/>
      <c r="AJ316" s="377"/>
      <c r="AK316" s="377"/>
      <c r="AL316" s="574"/>
      <c r="AM316" s="377"/>
      <c r="AN316" s="377"/>
      <c r="AO316" s="377"/>
      <c r="AP316" s="377"/>
      <c r="AQ316" s="377"/>
      <c r="AR316" s="377"/>
      <c r="AS316" s="377"/>
      <c r="AT316" s="377"/>
      <c r="AU316" s="377"/>
      <c r="AV316" s="377"/>
      <c r="AW316" s="575"/>
      <c r="AX316" s="377"/>
      <c r="AY316" s="377"/>
      <c r="AZ316" s="377"/>
      <c r="BA316" s="377"/>
      <c r="BB316" s="377"/>
      <c r="BC316" s="377"/>
      <c r="BD316" s="377"/>
      <c r="BE316" s="377"/>
      <c r="BF316" s="377"/>
      <c r="BG316" s="377"/>
      <c r="BH316" s="377"/>
      <c r="BI316" s="377"/>
      <c r="BJ316" s="377"/>
      <c r="BK316" s="377"/>
      <c r="BL316" s="377"/>
      <c r="BM316" s="377"/>
      <c r="BN316" s="576"/>
      <c r="BO316" s="377"/>
      <c r="BP316" s="377"/>
      <c r="BQ316" s="377"/>
      <c r="BR316" s="377"/>
      <c r="BS316" s="377"/>
      <c r="BT316" s="377"/>
      <c r="BU316" s="377"/>
      <c r="BV316" s="377"/>
      <c r="BW316" s="377"/>
      <c r="BX316" s="377"/>
      <c r="BY316" s="377"/>
      <c r="BZ316" s="377"/>
      <c r="CA316" s="377"/>
      <c r="CB316" s="377"/>
      <c r="CC316" s="377"/>
      <c r="CD316" s="377"/>
      <c r="CE316" s="377"/>
      <c r="CF316" s="377"/>
      <c r="CG316" s="377"/>
      <c r="CH316" s="377"/>
      <c r="CI316" s="377"/>
    </row>
    <row r="317" spans="1:87" ht="15">
      <c r="A317" s="377"/>
      <c r="B317" s="377"/>
      <c r="C317" s="572"/>
      <c r="D317" s="377"/>
      <c r="E317" s="377"/>
      <c r="F317" s="377"/>
      <c r="G317" s="377"/>
      <c r="H317" s="573"/>
      <c r="I317" s="377"/>
      <c r="J317" s="377"/>
      <c r="K317" s="377"/>
      <c r="L317" s="377"/>
      <c r="M317" s="377"/>
      <c r="N317" s="377"/>
      <c r="O317" s="377"/>
      <c r="P317" s="377"/>
      <c r="Q317" s="377"/>
      <c r="R317" s="377"/>
      <c r="S317" s="377"/>
      <c r="T317" s="377"/>
      <c r="U317" s="377"/>
      <c r="V317" s="377"/>
      <c r="W317" s="377"/>
      <c r="X317" s="574"/>
      <c r="Y317" s="377"/>
      <c r="Z317" s="377"/>
      <c r="AA317" s="377"/>
      <c r="AB317" s="377"/>
      <c r="AC317" s="377"/>
      <c r="AD317" s="377"/>
      <c r="AE317" s="377"/>
      <c r="AF317" s="377"/>
      <c r="AG317" s="377"/>
      <c r="AH317" s="377"/>
      <c r="AI317" s="377"/>
      <c r="AJ317" s="377"/>
      <c r="AK317" s="377"/>
      <c r="AL317" s="574"/>
      <c r="AM317" s="377"/>
      <c r="AN317" s="377"/>
      <c r="AO317" s="377"/>
      <c r="AP317" s="377"/>
      <c r="AQ317" s="377"/>
      <c r="AR317" s="377"/>
      <c r="AS317" s="377"/>
      <c r="AT317" s="377"/>
      <c r="AU317" s="377"/>
      <c r="AV317" s="377"/>
      <c r="AW317" s="575"/>
      <c r="AX317" s="377"/>
      <c r="AY317" s="377"/>
      <c r="AZ317" s="377"/>
      <c r="BA317" s="377"/>
      <c r="BB317" s="377"/>
      <c r="BC317" s="377"/>
      <c r="BD317" s="377"/>
      <c r="BE317" s="377"/>
      <c r="BF317" s="377"/>
      <c r="BG317" s="377"/>
      <c r="BH317" s="377"/>
      <c r="BI317" s="377"/>
      <c r="BJ317" s="377"/>
      <c r="BK317" s="377"/>
      <c r="BL317" s="377"/>
      <c r="BM317" s="377"/>
      <c r="BN317" s="576"/>
      <c r="BO317" s="377"/>
      <c r="BP317" s="377"/>
      <c r="BQ317" s="377"/>
      <c r="BR317" s="377"/>
      <c r="BS317" s="377"/>
      <c r="BT317" s="377"/>
      <c r="BU317" s="377"/>
      <c r="BV317" s="377"/>
      <c r="BW317" s="377"/>
      <c r="BX317" s="377"/>
      <c r="BY317" s="377"/>
      <c r="BZ317" s="377"/>
      <c r="CA317" s="377"/>
      <c r="CB317" s="377"/>
      <c r="CC317" s="377"/>
      <c r="CD317" s="377"/>
      <c r="CE317" s="377"/>
      <c r="CF317" s="377"/>
      <c r="CG317" s="377"/>
      <c r="CH317" s="377"/>
      <c r="CI317" s="377"/>
    </row>
    <row r="318" spans="1:87" ht="15">
      <c r="A318" s="377"/>
      <c r="B318" s="377"/>
      <c r="C318" s="572"/>
      <c r="D318" s="377"/>
      <c r="E318" s="377"/>
      <c r="F318" s="377"/>
      <c r="G318" s="377"/>
      <c r="H318" s="573"/>
      <c r="I318" s="377"/>
      <c r="J318" s="377"/>
      <c r="K318" s="377"/>
      <c r="L318" s="377"/>
      <c r="M318" s="377"/>
      <c r="N318" s="377"/>
      <c r="O318" s="377"/>
      <c r="P318" s="377"/>
      <c r="Q318" s="377"/>
      <c r="R318" s="377"/>
      <c r="S318" s="377"/>
      <c r="T318" s="377"/>
      <c r="U318" s="377"/>
      <c r="V318" s="377"/>
      <c r="W318" s="377"/>
      <c r="X318" s="574"/>
      <c r="Y318" s="377"/>
      <c r="Z318" s="377"/>
      <c r="AA318" s="377"/>
      <c r="AB318" s="377"/>
      <c r="AC318" s="377"/>
      <c r="AD318" s="377"/>
      <c r="AE318" s="377"/>
      <c r="AF318" s="377"/>
      <c r="AG318" s="377"/>
      <c r="AH318" s="377"/>
      <c r="AI318" s="377"/>
      <c r="AJ318" s="377"/>
      <c r="AK318" s="377"/>
      <c r="AL318" s="574"/>
      <c r="AM318" s="377"/>
      <c r="AN318" s="377"/>
      <c r="AO318" s="377"/>
      <c r="AP318" s="377"/>
      <c r="AQ318" s="377"/>
      <c r="AR318" s="377"/>
      <c r="AS318" s="377"/>
      <c r="AT318" s="377"/>
      <c r="AU318" s="377"/>
      <c r="AV318" s="377"/>
      <c r="AW318" s="575"/>
      <c r="AX318" s="377"/>
      <c r="AY318" s="377"/>
      <c r="AZ318" s="377"/>
      <c r="BA318" s="377"/>
      <c r="BB318" s="377"/>
      <c r="BC318" s="377"/>
      <c r="BD318" s="377"/>
      <c r="BE318" s="377"/>
      <c r="BF318" s="377"/>
      <c r="BG318" s="377"/>
      <c r="BH318" s="377"/>
      <c r="BI318" s="377"/>
      <c r="BJ318" s="377"/>
      <c r="BK318" s="377"/>
      <c r="BL318" s="377"/>
      <c r="BM318" s="377"/>
      <c r="BN318" s="576"/>
      <c r="BO318" s="377"/>
      <c r="BP318" s="377"/>
      <c r="BQ318" s="377"/>
      <c r="BR318" s="377"/>
      <c r="BS318" s="377"/>
      <c r="BT318" s="377"/>
      <c r="BU318" s="377"/>
      <c r="BV318" s="377"/>
      <c r="BW318" s="377"/>
      <c r="BX318" s="377"/>
      <c r="BY318" s="377"/>
      <c r="BZ318" s="377"/>
      <c r="CA318" s="377"/>
      <c r="CB318" s="377"/>
      <c r="CC318" s="377"/>
      <c r="CD318" s="377"/>
      <c r="CE318" s="377"/>
      <c r="CF318" s="377"/>
      <c r="CG318" s="377"/>
      <c r="CH318" s="377"/>
      <c r="CI318" s="377"/>
    </row>
    <row r="319" spans="1:87" ht="15">
      <c r="A319" s="377"/>
      <c r="B319" s="377"/>
      <c r="C319" s="572"/>
      <c r="D319" s="377"/>
      <c r="E319" s="377"/>
      <c r="F319" s="377"/>
      <c r="G319" s="377"/>
      <c r="H319" s="573"/>
      <c r="I319" s="377"/>
      <c r="J319" s="377"/>
      <c r="K319" s="377"/>
      <c r="L319" s="377"/>
      <c r="M319" s="377"/>
      <c r="N319" s="377"/>
      <c r="O319" s="377"/>
      <c r="P319" s="377"/>
      <c r="Q319" s="377"/>
      <c r="R319" s="377"/>
      <c r="S319" s="377"/>
      <c r="T319" s="377"/>
      <c r="U319" s="377"/>
      <c r="V319" s="377"/>
      <c r="W319" s="377"/>
      <c r="X319" s="574"/>
      <c r="Y319" s="377"/>
      <c r="Z319" s="377"/>
      <c r="AA319" s="377"/>
      <c r="AB319" s="377"/>
      <c r="AC319" s="377"/>
      <c r="AD319" s="377"/>
      <c r="AE319" s="377"/>
      <c r="AF319" s="377"/>
      <c r="AG319" s="377"/>
      <c r="AH319" s="377"/>
      <c r="AI319" s="377"/>
      <c r="AJ319" s="377"/>
      <c r="AK319" s="377"/>
      <c r="AL319" s="574"/>
      <c r="AM319" s="377"/>
      <c r="AN319" s="377"/>
      <c r="AO319" s="377"/>
      <c r="AP319" s="377"/>
      <c r="AQ319" s="377"/>
      <c r="AR319" s="377"/>
      <c r="AS319" s="377"/>
      <c r="AT319" s="377"/>
      <c r="AU319" s="377"/>
      <c r="AV319" s="377"/>
      <c r="AW319" s="575"/>
      <c r="AX319" s="377"/>
      <c r="AY319" s="377"/>
      <c r="AZ319" s="377"/>
      <c r="BA319" s="377"/>
      <c r="BB319" s="377"/>
      <c r="BC319" s="377"/>
      <c r="BD319" s="377"/>
      <c r="BE319" s="377"/>
      <c r="BF319" s="377"/>
      <c r="BG319" s="377"/>
      <c r="BH319" s="377"/>
      <c r="BI319" s="377"/>
      <c r="BJ319" s="377"/>
      <c r="BK319" s="377"/>
      <c r="BL319" s="377"/>
      <c r="BM319" s="377"/>
      <c r="BN319" s="576"/>
      <c r="BO319" s="377"/>
      <c r="BP319" s="377"/>
      <c r="BQ319" s="377"/>
      <c r="BR319" s="377"/>
      <c r="BS319" s="377"/>
      <c r="BT319" s="377"/>
      <c r="BU319" s="377"/>
      <c r="BV319" s="377"/>
      <c r="BW319" s="377"/>
      <c r="BX319" s="377"/>
      <c r="BY319" s="377"/>
      <c r="BZ319" s="377"/>
      <c r="CA319" s="377"/>
      <c r="CB319" s="377"/>
      <c r="CC319" s="377"/>
      <c r="CD319" s="377"/>
      <c r="CE319" s="377"/>
      <c r="CF319" s="377"/>
      <c r="CG319" s="377"/>
      <c r="CH319" s="377"/>
      <c r="CI319" s="377"/>
    </row>
    <row r="320" spans="1:87" ht="15">
      <c r="A320" s="377"/>
      <c r="B320" s="377"/>
      <c r="C320" s="572"/>
      <c r="D320" s="377"/>
      <c r="E320" s="377"/>
      <c r="F320" s="377"/>
      <c r="G320" s="377"/>
      <c r="H320" s="573"/>
      <c r="I320" s="377"/>
      <c r="J320" s="377"/>
      <c r="K320" s="377"/>
      <c r="L320" s="377"/>
      <c r="M320" s="377"/>
      <c r="N320" s="377"/>
      <c r="O320" s="377"/>
      <c r="P320" s="377"/>
      <c r="Q320" s="377"/>
      <c r="R320" s="377"/>
      <c r="S320" s="377"/>
      <c r="T320" s="377"/>
      <c r="U320" s="377"/>
      <c r="V320" s="377"/>
      <c r="W320" s="377"/>
      <c r="X320" s="574"/>
      <c r="Y320" s="377"/>
      <c r="Z320" s="377"/>
      <c r="AA320" s="377"/>
      <c r="AB320" s="377"/>
      <c r="AC320" s="377"/>
      <c r="AD320" s="377"/>
      <c r="AE320" s="377"/>
      <c r="AF320" s="377"/>
      <c r="AG320" s="377"/>
      <c r="AH320" s="377"/>
      <c r="AI320" s="377"/>
      <c r="AJ320" s="377"/>
      <c r="AK320" s="377"/>
      <c r="AL320" s="574"/>
      <c r="AM320" s="377"/>
      <c r="AN320" s="377"/>
      <c r="AO320" s="377"/>
      <c r="AP320" s="377"/>
      <c r="AQ320" s="377"/>
      <c r="AR320" s="377"/>
      <c r="AS320" s="377"/>
      <c r="AT320" s="377"/>
      <c r="AU320" s="377"/>
      <c r="AV320" s="377"/>
      <c r="AW320" s="575"/>
      <c r="AX320" s="377"/>
      <c r="AY320" s="377"/>
      <c r="AZ320" s="377"/>
      <c r="BA320" s="377"/>
      <c r="BB320" s="377"/>
      <c r="BC320" s="377"/>
      <c r="BD320" s="377"/>
      <c r="BE320" s="377"/>
      <c r="BF320" s="377"/>
      <c r="BG320" s="377"/>
      <c r="BH320" s="377"/>
      <c r="BI320" s="377"/>
      <c r="BJ320" s="377"/>
      <c r="BK320" s="377"/>
      <c r="BL320" s="377"/>
      <c r="BM320" s="377"/>
      <c r="BN320" s="576"/>
      <c r="BO320" s="377"/>
      <c r="BP320" s="377"/>
      <c r="BQ320" s="377"/>
      <c r="BR320" s="377"/>
      <c r="BS320" s="377"/>
      <c r="BT320" s="377"/>
      <c r="BU320" s="377"/>
      <c r="BV320" s="377"/>
      <c r="BW320" s="377"/>
      <c r="BX320" s="377"/>
      <c r="BY320" s="377"/>
      <c r="BZ320" s="377"/>
      <c r="CA320" s="377"/>
      <c r="CB320" s="377"/>
      <c r="CC320" s="377"/>
      <c r="CD320" s="377"/>
      <c r="CE320" s="377"/>
      <c r="CF320" s="377"/>
      <c r="CG320" s="377"/>
      <c r="CH320" s="377"/>
      <c r="CI320" s="377"/>
    </row>
    <row r="321" spans="1:87" ht="15">
      <c r="A321" s="377"/>
      <c r="B321" s="377"/>
      <c r="C321" s="572"/>
      <c r="D321" s="377"/>
      <c r="E321" s="377"/>
      <c r="F321" s="377"/>
      <c r="G321" s="377"/>
      <c r="H321" s="573"/>
      <c r="I321" s="377"/>
      <c r="J321" s="377"/>
      <c r="K321" s="377"/>
      <c r="L321" s="377"/>
      <c r="M321" s="377"/>
      <c r="N321" s="377"/>
      <c r="O321" s="377"/>
      <c r="P321" s="377"/>
      <c r="Q321" s="377"/>
      <c r="R321" s="377"/>
      <c r="S321" s="377"/>
      <c r="T321" s="377"/>
      <c r="U321" s="377"/>
      <c r="V321" s="377"/>
      <c r="W321" s="377"/>
      <c r="X321" s="574"/>
      <c r="Y321" s="377"/>
      <c r="Z321" s="377"/>
      <c r="AA321" s="377"/>
      <c r="AB321" s="377"/>
      <c r="AC321" s="377"/>
      <c r="AD321" s="377"/>
      <c r="AE321" s="377"/>
      <c r="AF321" s="377"/>
      <c r="AG321" s="377"/>
      <c r="AH321" s="377"/>
      <c r="AI321" s="377"/>
      <c r="AJ321" s="377"/>
      <c r="AK321" s="377"/>
      <c r="AL321" s="574"/>
      <c r="AM321" s="377"/>
      <c r="AN321" s="377"/>
      <c r="AO321" s="377"/>
      <c r="AP321" s="377"/>
      <c r="AQ321" s="377"/>
      <c r="AR321" s="377"/>
      <c r="AS321" s="377"/>
      <c r="AT321" s="377"/>
      <c r="AU321" s="377"/>
      <c r="AV321" s="377"/>
      <c r="AW321" s="575"/>
      <c r="AX321" s="377"/>
      <c r="AY321" s="377"/>
      <c r="AZ321" s="377"/>
      <c r="BA321" s="377"/>
      <c r="BB321" s="377"/>
      <c r="BC321" s="377"/>
      <c r="BD321" s="377"/>
      <c r="BE321" s="377"/>
      <c r="BF321" s="377"/>
      <c r="BG321" s="377"/>
      <c r="BH321" s="377"/>
      <c r="BI321" s="377"/>
      <c r="BJ321" s="377"/>
      <c r="BK321" s="377"/>
      <c r="BL321" s="377"/>
      <c r="BM321" s="377"/>
      <c r="BN321" s="576"/>
      <c r="BO321" s="377"/>
      <c r="BP321" s="377"/>
      <c r="BQ321" s="377"/>
      <c r="BR321" s="377"/>
      <c r="BS321" s="377"/>
      <c r="BT321" s="377"/>
      <c r="BU321" s="377"/>
      <c r="BV321" s="377"/>
      <c r="BW321" s="377"/>
      <c r="BX321" s="377"/>
      <c r="BY321" s="377"/>
      <c r="BZ321" s="377"/>
      <c r="CA321" s="377"/>
      <c r="CB321" s="377"/>
      <c r="CC321" s="377"/>
      <c r="CD321" s="377"/>
      <c r="CE321" s="377"/>
      <c r="CF321" s="377"/>
      <c r="CG321" s="377"/>
      <c r="CH321" s="377"/>
      <c r="CI321" s="377"/>
    </row>
    <row r="322" spans="1:87" ht="15">
      <c r="A322" s="377"/>
      <c r="B322" s="377"/>
      <c r="C322" s="572"/>
      <c r="D322" s="377"/>
      <c r="E322" s="377"/>
      <c r="F322" s="377"/>
      <c r="G322" s="377"/>
      <c r="H322" s="573"/>
      <c r="I322" s="377"/>
      <c r="J322" s="377"/>
      <c r="K322" s="377"/>
      <c r="L322" s="377"/>
      <c r="M322" s="377"/>
      <c r="N322" s="377"/>
      <c r="O322" s="377"/>
      <c r="P322" s="377"/>
      <c r="Q322" s="377"/>
      <c r="R322" s="377"/>
      <c r="S322" s="377"/>
      <c r="T322" s="377"/>
      <c r="U322" s="377"/>
      <c r="V322" s="377"/>
      <c r="W322" s="377"/>
      <c r="X322" s="574"/>
      <c r="Y322" s="377"/>
      <c r="Z322" s="377"/>
      <c r="AA322" s="377"/>
      <c r="AB322" s="377"/>
      <c r="AC322" s="377"/>
      <c r="AD322" s="377"/>
      <c r="AE322" s="377"/>
      <c r="AF322" s="377"/>
      <c r="AG322" s="377"/>
      <c r="AH322" s="377"/>
      <c r="AI322" s="377"/>
      <c r="AJ322" s="377"/>
      <c r="AK322" s="377"/>
      <c r="AL322" s="574"/>
      <c r="AM322" s="377"/>
      <c r="AN322" s="377"/>
      <c r="AO322" s="377"/>
      <c r="AP322" s="377"/>
      <c r="AQ322" s="377"/>
      <c r="AR322" s="377"/>
      <c r="AS322" s="377"/>
      <c r="AT322" s="377"/>
      <c r="AU322" s="377"/>
      <c r="AV322" s="377"/>
      <c r="AW322" s="575"/>
      <c r="AX322" s="377"/>
      <c r="AY322" s="377"/>
      <c r="AZ322" s="377"/>
      <c r="BA322" s="377"/>
      <c r="BB322" s="377"/>
      <c r="BC322" s="377"/>
      <c r="BD322" s="377"/>
      <c r="BE322" s="377"/>
      <c r="BF322" s="377"/>
      <c r="BG322" s="377"/>
      <c r="BH322" s="377"/>
      <c r="BI322" s="377"/>
      <c r="BJ322" s="377"/>
      <c r="BK322" s="377"/>
      <c r="BL322" s="377"/>
      <c r="BM322" s="377"/>
      <c r="BN322" s="576"/>
      <c r="BO322" s="377"/>
      <c r="BP322" s="377"/>
      <c r="BQ322" s="377"/>
      <c r="BR322" s="377"/>
      <c r="BS322" s="377"/>
      <c r="BT322" s="377"/>
      <c r="BU322" s="377"/>
      <c r="BV322" s="377"/>
      <c r="BW322" s="377"/>
      <c r="BX322" s="377"/>
      <c r="BY322" s="377"/>
      <c r="BZ322" s="377"/>
      <c r="CA322" s="377"/>
      <c r="CB322" s="377"/>
      <c r="CC322" s="377"/>
      <c r="CD322" s="377"/>
      <c r="CE322" s="377"/>
      <c r="CF322" s="377"/>
      <c r="CG322" s="377"/>
      <c r="CH322" s="377"/>
      <c r="CI322" s="377"/>
    </row>
    <row r="323" spans="1:87" ht="15">
      <c r="A323" s="377"/>
      <c r="B323" s="377"/>
      <c r="C323" s="572"/>
      <c r="D323" s="377"/>
      <c r="E323" s="377"/>
      <c r="F323" s="377"/>
      <c r="G323" s="377"/>
      <c r="H323" s="573"/>
      <c r="I323" s="377"/>
      <c r="J323" s="377"/>
      <c r="K323" s="377"/>
      <c r="L323" s="377"/>
      <c r="M323" s="377"/>
      <c r="N323" s="377"/>
      <c r="O323" s="377"/>
      <c r="P323" s="377"/>
      <c r="Q323" s="377"/>
      <c r="R323" s="377"/>
      <c r="S323" s="377"/>
      <c r="T323" s="377"/>
      <c r="U323" s="377"/>
      <c r="V323" s="377"/>
      <c r="W323" s="377"/>
      <c r="X323" s="574"/>
      <c r="Y323" s="377"/>
      <c r="Z323" s="377"/>
      <c r="AA323" s="377"/>
      <c r="AB323" s="377"/>
      <c r="AC323" s="377"/>
      <c r="AD323" s="377"/>
      <c r="AE323" s="377"/>
      <c r="AF323" s="377"/>
      <c r="AG323" s="377"/>
      <c r="AH323" s="377"/>
      <c r="AI323" s="377"/>
      <c r="AJ323" s="377"/>
      <c r="AK323" s="377"/>
      <c r="AL323" s="574"/>
      <c r="AM323" s="377"/>
      <c r="AN323" s="377"/>
      <c r="AO323" s="377"/>
      <c r="AP323" s="377"/>
      <c r="AQ323" s="377"/>
      <c r="AR323" s="377"/>
      <c r="AS323" s="377"/>
      <c r="AT323" s="377"/>
      <c r="AU323" s="377"/>
      <c r="AV323" s="377"/>
      <c r="AW323" s="575"/>
      <c r="AX323" s="377"/>
      <c r="AY323" s="377"/>
      <c r="AZ323" s="377"/>
      <c r="BA323" s="377"/>
      <c r="BB323" s="377"/>
      <c r="BC323" s="377"/>
      <c r="BD323" s="377"/>
      <c r="BE323" s="377"/>
      <c r="BF323" s="377"/>
      <c r="BG323" s="377"/>
      <c r="BH323" s="377"/>
      <c r="BI323" s="377"/>
      <c r="BJ323" s="377"/>
      <c r="BK323" s="377"/>
      <c r="BL323" s="377"/>
      <c r="BM323" s="377"/>
      <c r="BN323" s="576"/>
      <c r="BO323" s="377"/>
      <c r="BP323" s="377"/>
      <c r="BQ323" s="377"/>
      <c r="BR323" s="377"/>
      <c r="BS323" s="377"/>
      <c r="BT323" s="377"/>
      <c r="BU323" s="377"/>
      <c r="BV323" s="377"/>
      <c r="BW323" s="377"/>
      <c r="BX323" s="377"/>
      <c r="BY323" s="377"/>
      <c r="BZ323" s="377"/>
      <c r="CA323" s="377"/>
      <c r="CB323" s="377"/>
      <c r="CC323" s="377"/>
      <c r="CD323" s="377"/>
      <c r="CE323" s="377"/>
      <c r="CF323" s="377"/>
      <c r="CG323" s="377"/>
      <c r="CH323" s="377"/>
      <c r="CI323" s="377"/>
    </row>
    <row r="324" spans="1:87" ht="15">
      <c r="A324" s="377"/>
      <c r="B324" s="377"/>
      <c r="C324" s="572"/>
      <c r="D324" s="377"/>
      <c r="E324" s="377"/>
      <c r="F324" s="377"/>
      <c r="G324" s="377"/>
      <c r="H324" s="573"/>
      <c r="I324" s="377"/>
      <c r="J324" s="377"/>
      <c r="K324" s="377"/>
      <c r="L324" s="377"/>
      <c r="M324" s="377"/>
      <c r="N324" s="377"/>
      <c r="O324" s="377"/>
      <c r="P324" s="377"/>
      <c r="Q324" s="377"/>
      <c r="R324" s="377"/>
      <c r="S324" s="377"/>
      <c r="T324" s="377"/>
      <c r="U324" s="377"/>
      <c r="V324" s="377"/>
      <c r="W324" s="377"/>
      <c r="X324" s="574"/>
      <c r="Y324" s="377"/>
      <c r="Z324" s="377"/>
      <c r="AA324" s="377"/>
      <c r="AB324" s="377"/>
      <c r="AC324" s="377"/>
      <c r="AD324" s="377"/>
      <c r="AE324" s="377"/>
      <c r="AF324" s="377"/>
      <c r="AG324" s="377"/>
      <c r="AH324" s="377"/>
      <c r="AI324" s="377"/>
      <c r="AJ324" s="377"/>
      <c r="AK324" s="377"/>
      <c r="AL324" s="574"/>
      <c r="AM324" s="377"/>
      <c r="AN324" s="377"/>
      <c r="AO324" s="377"/>
      <c r="AP324" s="377"/>
      <c r="AQ324" s="377"/>
      <c r="AR324" s="377"/>
      <c r="AS324" s="377"/>
      <c r="AT324" s="377"/>
      <c r="AU324" s="377"/>
      <c r="AV324" s="377"/>
      <c r="AW324" s="575"/>
      <c r="AX324" s="377"/>
      <c r="AY324" s="377"/>
      <c r="AZ324" s="377"/>
      <c r="BA324" s="377"/>
      <c r="BB324" s="377"/>
      <c r="BC324" s="377"/>
      <c r="BD324" s="377"/>
      <c r="BE324" s="377"/>
      <c r="BF324" s="377"/>
      <c r="BG324" s="377"/>
      <c r="BH324" s="377"/>
      <c r="BI324" s="377"/>
      <c r="BJ324" s="377"/>
      <c r="BK324" s="377"/>
      <c r="BL324" s="377"/>
      <c r="BM324" s="377"/>
      <c r="BN324" s="576"/>
      <c r="BO324" s="377"/>
      <c r="BP324" s="377"/>
      <c r="BQ324" s="377"/>
      <c r="BR324" s="377"/>
      <c r="BS324" s="377"/>
      <c r="BT324" s="377"/>
      <c r="BU324" s="377"/>
      <c r="BV324" s="377"/>
      <c r="BW324" s="377"/>
      <c r="BX324" s="377"/>
      <c r="BY324" s="377"/>
      <c r="BZ324" s="377"/>
      <c r="CA324" s="377"/>
      <c r="CB324" s="377"/>
      <c r="CC324" s="377"/>
      <c r="CD324" s="377"/>
      <c r="CE324" s="377"/>
      <c r="CF324" s="377"/>
      <c r="CG324" s="377"/>
      <c r="CH324" s="377"/>
      <c r="CI324" s="377"/>
    </row>
    <row r="325" spans="1:87" ht="15">
      <c r="A325" s="377"/>
      <c r="B325" s="377"/>
      <c r="C325" s="572"/>
      <c r="D325" s="377"/>
      <c r="E325" s="377"/>
      <c r="F325" s="377"/>
      <c r="G325" s="377"/>
      <c r="H325" s="573"/>
      <c r="I325" s="377"/>
      <c r="J325" s="377"/>
      <c r="K325" s="377"/>
      <c r="L325" s="377"/>
      <c r="M325" s="377"/>
      <c r="N325" s="377"/>
      <c r="O325" s="377"/>
      <c r="P325" s="377"/>
      <c r="Q325" s="377"/>
      <c r="R325" s="377"/>
      <c r="S325" s="377"/>
      <c r="T325" s="377"/>
      <c r="U325" s="377"/>
      <c r="V325" s="377"/>
      <c r="W325" s="377"/>
      <c r="X325" s="574"/>
      <c r="Y325" s="377"/>
      <c r="Z325" s="377"/>
      <c r="AA325" s="377"/>
      <c r="AB325" s="377"/>
      <c r="AC325" s="377"/>
      <c r="AD325" s="377"/>
      <c r="AE325" s="377"/>
      <c r="AF325" s="377"/>
      <c r="AG325" s="377"/>
      <c r="AH325" s="377"/>
      <c r="AI325" s="377"/>
      <c r="AJ325" s="377"/>
      <c r="AK325" s="377"/>
      <c r="AL325" s="574"/>
      <c r="AM325" s="377"/>
      <c r="AN325" s="377"/>
      <c r="AO325" s="377"/>
      <c r="AP325" s="377"/>
      <c r="AQ325" s="377"/>
      <c r="AR325" s="377"/>
      <c r="AS325" s="377"/>
      <c r="AT325" s="377"/>
      <c r="AU325" s="377"/>
      <c r="AV325" s="377"/>
      <c r="AW325" s="575"/>
      <c r="AX325" s="377"/>
      <c r="AY325" s="377"/>
      <c r="AZ325" s="377"/>
      <c r="BA325" s="377"/>
      <c r="BB325" s="377"/>
      <c r="BC325" s="377"/>
      <c r="BD325" s="377"/>
      <c r="BE325" s="377"/>
      <c r="BF325" s="377"/>
      <c r="BG325" s="377"/>
      <c r="BH325" s="377"/>
      <c r="BI325" s="377"/>
      <c r="BJ325" s="377"/>
      <c r="BK325" s="377"/>
      <c r="BL325" s="377"/>
      <c r="BM325" s="377"/>
      <c r="BN325" s="576"/>
      <c r="BO325" s="377"/>
      <c r="BP325" s="377"/>
      <c r="BQ325" s="377"/>
      <c r="BR325" s="377"/>
      <c r="BS325" s="377"/>
      <c r="BT325" s="377"/>
      <c r="BU325" s="377"/>
      <c r="BV325" s="377"/>
      <c r="BW325" s="377"/>
      <c r="BX325" s="377"/>
      <c r="BY325" s="377"/>
      <c r="BZ325" s="377"/>
      <c r="CA325" s="377"/>
      <c r="CB325" s="377"/>
      <c r="CC325" s="377"/>
      <c r="CD325" s="377"/>
      <c r="CE325" s="377"/>
      <c r="CF325" s="377"/>
      <c r="CG325" s="377"/>
      <c r="CH325" s="377"/>
      <c r="CI325" s="377"/>
    </row>
    <row r="326" spans="1:87" ht="15">
      <c r="A326" s="377"/>
      <c r="B326" s="377"/>
      <c r="C326" s="572"/>
      <c r="D326" s="377"/>
      <c r="E326" s="377"/>
      <c r="F326" s="377"/>
      <c r="G326" s="377"/>
      <c r="H326" s="573"/>
      <c r="I326" s="377"/>
      <c r="J326" s="377"/>
      <c r="K326" s="377"/>
      <c r="L326" s="377"/>
      <c r="M326" s="377"/>
      <c r="N326" s="377"/>
      <c r="O326" s="377"/>
      <c r="P326" s="377"/>
      <c r="Q326" s="377"/>
      <c r="R326" s="377"/>
      <c r="S326" s="377"/>
      <c r="T326" s="377"/>
      <c r="U326" s="377"/>
      <c r="V326" s="377"/>
      <c r="W326" s="377"/>
      <c r="X326" s="574"/>
      <c r="Y326" s="377"/>
      <c r="Z326" s="377"/>
      <c r="AA326" s="377"/>
      <c r="AB326" s="377"/>
      <c r="AC326" s="377"/>
      <c r="AD326" s="377"/>
      <c r="AE326" s="377"/>
      <c r="AF326" s="377"/>
      <c r="AG326" s="377"/>
      <c r="AH326" s="377"/>
      <c r="AI326" s="377"/>
      <c r="AJ326" s="377"/>
      <c r="AK326" s="377"/>
      <c r="AL326" s="574"/>
      <c r="AM326" s="377"/>
      <c r="AN326" s="377"/>
      <c r="AO326" s="377"/>
      <c r="AP326" s="377"/>
      <c r="AQ326" s="377"/>
      <c r="AR326" s="377"/>
      <c r="AS326" s="377"/>
      <c r="AT326" s="377"/>
      <c r="AU326" s="377"/>
      <c r="AV326" s="377"/>
      <c r="AW326" s="575"/>
      <c r="AX326" s="377"/>
      <c r="AY326" s="377"/>
      <c r="AZ326" s="377"/>
      <c r="BA326" s="377"/>
      <c r="BB326" s="377"/>
      <c r="BC326" s="377"/>
      <c r="BD326" s="377"/>
      <c r="BE326" s="377"/>
      <c r="BF326" s="377"/>
      <c r="BG326" s="377"/>
      <c r="BH326" s="377"/>
      <c r="BI326" s="377"/>
      <c r="BJ326" s="377"/>
      <c r="BK326" s="377"/>
      <c r="BL326" s="377"/>
      <c r="BM326" s="377"/>
      <c r="BN326" s="576"/>
      <c r="BO326" s="377"/>
      <c r="BP326" s="377"/>
      <c r="BQ326" s="377"/>
      <c r="BR326" s="377"/>
      <c r="BS326" s="377"/>
      <c r="BT326" s="377"/>
      <c r="BU326" s="377"/>
      <c r="BV326" s="377"/>
      <c r="BW326" s="377"/>
      <c r="BX326" s="377"/>
      <c r="BY326" s="377"/>
      <c r="BZ326" s="377"/>
      <c r="CA326" s="377"/>
      <c r="CB326" s="377"/>
      <c r="CC326" s="377"/>
      <c r="CD326" s="377"/>
      <c r="CE326" s="377"/>
      <c r="CF326" s="377"/>
      <c r="CG326" s="377"/>
      <c r="CH326" s="377"/>
      <c r="CI326" s="377"/>
    </row>
    <row r="327" spans="1:87" ht="15">
      <c r="A327" s="377"/>
      <c r="B327" s="377"/>
      <c r="C327" s="572"/>
      <c r="D327" s="377"/>
      <c r="E327" s="377"/>
      <c r="F327" s="377"/>
      <c r="G327" s="377"/>
      <c r="H327" s="573"/>
      <c r="I327" s="377"/>
      <c r="J327" s="377"/>
      <c r="K327" s="377"/>
      <c r="L327" s="377"/>
      <c r="M327" s="377"/>
      <c r="N327" s="377"/>
      <c r="O327" s="377"/>
      <c r="P327" s="377"/>
      <c r="Q327" s="377"/>
      <c r="R327" s="377"/>
      <c r="S327" s="377"/>
      <c r="T327" s="377"/>
      <c r="U327" s="377"/>
      <c r="V327" s="377"/>
      <c r="W327" s="377"/>
      <c r="X327" s="574"/>
      <c r="Y327" s="377"/>
      <c r="Z327" s="377"/>
      <c r="AA327" s="377"/>
      <c r="AB327" s="377"/>
      <c r="AC327" s="377"/>
      <c r="AD327" s="377"/>
      <c r="AE327" s="377"/>
      <c r="AF327" s="377"/>
      <c r="AG327" s="377"/>
      <c r="AH327" s="377"/>
      <c r="AI327" s="377"/>
      <c r="AJ327" s="377"/>
      <c r="AK327" s="377"/>
      <c r="AL327" s="574"/>
      <c r="AM327" s="377"/>
      <c r="AN327" s="377"/>
      <c r="AO327" s="377"/>
      <c r="AP327" s="377"/>
      <c r="AQ327" s="377"/>
      <c r="AR327" s="377"/>
      <c r="AS327" s="377"/>
      <c r="AT327" s="377"/>
      <c r="AU327" s="377"/>
      <c r="AV327" s="377"/>
      <c r="AW327" s="575"/>
      <c r="AX327" s="377"/>
      <c r="AY327" s="377"/>
      <c r="AZ327" s="377"/>
      <c r="BA327" s="377"/>
      <c r="BB327" s="377"/>
      <c r="BC327" s="377"/>
      <c r="BD327" s="377"/>
      <c r="BE327" s="377"/>
      <c r="BF327" s="377"/>
      <c r="BG327" s="377"/>
      <c r="BH327" s="377"/>
      <c r="BI327" s="377"/>
      <c r="BJ327" s="377"/>
      <c r="BK327" s="377"/>
      <c r="BL327" s="377"/>
      <c r="BM327" s="377"/>
      <c r="BN327" s="576"/>
      <c r="BO327" s="377"/>
      <c r="BP327" s="377"/>
      <c r="BQ327" s="377"/>
      <c r="BR327" s="377"/>
      <c r="BS327" s="377"/>
      <c r="BT327" s="377"/>
      <c r="BU327" s="377"/>
      <c r="BV327" s="377"/>
      <c r="BW327" s="377"/>
      <c r="BX327" s="377"/>
      <c r="BY327" s="377"/>
      <c r="BZ327" s="377"/>
      <c r="CA327" s="377"/>
      <c r="CB327" s="377"/>
      <c r="CC327" s="377"/>
      <c r="CD327" s="377"/>
      <c r="CE327" s="377"/>
      <c r="CF327" s="377"/>
      <c r="CG327" s="377"/>
      <c r="CH327" s="377"/>
      <c r="CI327" s="377"/>
    </row>
    <row r="328" spans="1:87" ht="15">
      <c r="A328" s="377"/>
      <c r="B328" s="377"/>
      <c r="C328" s="572"/>
      <c r="D328" s="377"/>
      <c r="E328" s="377"/>
      <c r="F328" s="377"/>
      <c r="G328" s="377"/>
      <c r="H328" s="573"/>
      <c r="I328" s="377"/>
      <c r="J328" s="377"/>
      <c r="K328" s="377"/>
      <c r="L328" s="377"/>
      <c r="M328" s="377"/>
      <c r="N328" s="377"/>
      <c r="O328" s="377"/>
      <c r="P328" s="377"/>
      <c r="Q328" s="377"/>
      <c r="R328" s="377"/>
      <c r="S328" s="377"/>
      <c r="T328" s="377"/>
      <c r="U328" s="377"/>
      <c r="V328" s="377"/>
      <c r="W328" s="377"/>
      <c r="X328" s="574"/>
      <c r="Y328" s="377"/>
      <c r="Z328" s="377"/>
      <c r="AA328" s="377"/>
      <c r="AB328" s="377"/>
      <c r="AC328" s="377"/>
      <c r="AD328" s="377"/>
      <c r="AE328" s="377"/>
      <c r="AF328" s="377"/>
      <c r="AG328" s="377"/>
      <c r="AH328" s="377"/>
      <c r="AI328" s="377"/>
      <c r="AJ328" s="377"/>
      <c r="AK328" s="377"/>
      <c r="AL328" s="574"/>
      <c r="AM328" s="377"/>
      <c r="AN328" s="377"/>
      <c r="AO328" s="377"/>
      <c r="AP328" s="377"/>
      <c r="AQ328" s="377"/>
      <c r="AR328" s="377"/>
      <c r="AS328" s="377"/>
      <c r="AT328" s="377"/>
      <c r="AU328" s="377"/>
      <c r="AV328" s="377"/>
      <c r="AW328" s="575"/>
      <c r="AX328" s="377"/>
      <c r="AY328" s="377"/>
      <c r="AZ328" s="377"/>
      <c r="BA328" s="377"/>
      <c r="BB328" s="377"/>
      <c r="BC328" s="377"/>
      <c r="BD328" s="377"/>
      <c r="BE328" s="377"/>
      <c r="BF328" s="377"/>
      <c r="BG328" s="377"/>
      <c r="BH328" s="377"/>
      <c r="BI328" s="377"/>
      <c r="BJ328" s="377"/>
      <c r="BK328" s="377"/>
      <c r="BL328" s="377"/>
      <c r="BM328" s="377"/>
      <c r="BN328" s="576"/>
      <c r="BO328" s="377"/>
      <c r="BP328" s="377"/>
      <c r="BQ328" s="377"/>
      <c r="BR328" s="377"/>
      <c r="BS328" s="377"/>
      <c r="BT328" s="377"/>
      <c r="BU328" s="377"/>
      <c r="BV328" s="377"/>
      <c r="BW328" s="377"/>
      <c r="BX328" s="377"/>
      <c r="BY328" s="377"/>
      <c r="BZ328" s="377"/>
      <c r="CA328" s="377"/>
      <c r="CB328" s="377"/>
      <c r="CC328" s="377"/>
      <c r="CD328" s="377"/>
      <c r="CE328" s="377"/>
      <c r="CF328" s="377"/>
      <c r="CG328" s="377"/>
      <c r="CH328" s="377"/>
      <c r="CI328" s="377"/>
    </row>
    <row r="329" spans="1:87" ht="15">
      <c r="A329" s="377"/>
      <c r="B329" s="377"/>
      <c r="C329" s="572"/>
      <c r="D329" s="377"/>
      <c r="E329" s="377"/>
      <c r="F329" s="377"/>
      <c r="G329" s="377"/>
      <c r="H329" s="573"/>
      <c r="I329" s="377"/>
      <c r="J329" s="377"/>
      <c r="K329" s="377"/>
      <c r="L329" s="377"/>
      <c r="M329" s="377"/>
      <c r="N329" s="377"/>
      <c r="O329" s="377"/>
      <c r="P329" s="377"/>
      <c r="Q329" s="377"/>
      <c r="R329" s="377"/>
      <c r="S329" s="377"/>
      <c r="T329" s="377"/>
      <c r="U329" s="377"/>
      <c r="V329" s="377"/>
      <c r="W329" s="377"/>
      <c r="X329" s="574"/>
      <c r="Y329" s="377"/>
      <c r="Z329" s="377"/>
      <c r="AA329" s="377"/>
      <c r="AB329" s="377"/>
      <c r="AC329" s="377"/>
      <c r="AD329" s="377"/>
      <c r="AE329" s="377"/>
      <c r="AF329" s="377"/>
      <c r="AG329" s="377"/>
      <c r="AH329" s="377"/>
      <c r="AI329" s="377"/>
      <c r="AJ329" s="377"/>
      <c r="AK329" s="377"/>
      <c r="AL329" s="574"/>
      <c r="AM329" s="377"/>
      <c r="AN329" s="377"/>
      <c r="AO329" s="377"/>
      <c r="AP329" s="377"/>
      <c r="AQ329" s="377"/>
      <c r="AR329" s="377"/>
      <c r="AS329" s="377"/>
      <c r="AT329" s="377"/>
      <c r="AU329" s="377"/>
      <c r="AV329" s="377"/>
      <c r="AW329" s="575"/>
      <c r="AX329" s="377"/>
      <c r="AY329" s="377"/>
      <c r="AZ329" s="377"/>
      <c r="BA329" s="377"/>
      <c r="BB329" s="377"/>
      <c r="BC329" s="377"/>
      <c r="BD329" s="377"/>
      <c r="BE329" s="377"/>
      <c r="BF329" s="377"/>
      <c r="BG329" s="377"/>
      <c r="BH329" s="377"/>
      <c r="BI329" s="377"/>
      <c r="BJ329" s="377"/>
      <c r="BK329" s="377"/>
      <c r="BL329" s="377"/>
      <c r="BM329" s="377"/>
      <c r="BN329" s="576"/>
      <c r="BO329" s="377"/>
      <c r="BP329" s="377"/>
      <c r="BQ329" s="377"/>
      <c r="BR329" s="377"/>
      <c r="BS329" s="377"/>
      <c r="BT329" s="377"/>
      <c r="BU329" s="377"/>
      <c r="BV329" s="377"/>
      <c r="BW329" s="377"/>
      <c r="BX329" s="377"/>
      <c r="BY329" s="377"/>
      <c r="BZ329" s="377"/>
      <c r="CA329" s="377"/>
      <c r="CB329" s="377"/>
      <c r="CC329" s="377"/>
      <c r="CD329" s="377"/>
      <c r="CE329" s="377"/>
      <c r="CF329" s="377"/>
      <c r="CG329" s="377"/>
      <c r="CH329" s="377"/>
      <c r="CI329" s="377"/>
    </row>
    <row r="330" spans="1:87" ht="15">
      <c r="A330" s="377"/>
      <c r="B330" s="377"/>
      <c r="C330" s="572"/>
      <c r="D330" s="377"/>
      <c r="E330" s="377"/>
      <c r="F330" s="377"/>
      <c r="G330" s="377"/>
      <c r="H330" s="573"/>
      <c r="I330" s="377"/>
      <c r="J330" s="377"/>
      <c r="K330" s="377"/>
      <c r="L330" s="377"/>
      <c r="M330" s="377"/>
      <c r="N330" s="377"/>
      <c r="O330" s="377"/>
      <c r="P330" s="377"/>
      <c r="Q330" s="377"/>
      <c r="R330" s="377"/>
      <c r="S330" s="377"/>
      <c r="T330" s="377"/>
      <c r="U330" s="377"/>
      <c r="V330" s="377"/>
      <c r="W330" s="377"/>
      <c r="X330" s="574"/>
      <c r="Y330" s="377"/>
      <c r="Z330" s="377"/>
      <c r="AA330" s="377"/>
      <c r="AB330" s="377"/>
      <c r="AC330" s="377"/>
      <c r="AD330" s="377"/>
      <c r="AE330" s="377"/>
      <c r="AF330" s="377"/>
      <c r="AG330" s="377"/>
      <c r="AH330" s="377"/>
      <c r="AI330" s="377"/>
      <c r="AJ330" s="377"/>
      <c r="AK330" s="377"/>
      <c r="AL330" s="574"/>
      <c r="AM330" s="377"/>
      <c r="AN330" s="377"/>
      <c r="AO330" s="377"/>
      <c r="AP330" s="377"/>
      <c r="AQ330" s="377"/>
      <c r="AR330" s="377"/>
      <c r="AS330" s="377"/>
      <c r="AT330" s="377"/>
      <c r="AU330" s="377"/>
      <c r="AV330" s="377"/>
      <c r="AW330" s="575"/>
      <c r="AX330" s="377"/>
      <c r="AY330" s="377"/>
      <c r="AZ330" s="377"/>
      <c r="BA330" s="377"/>
      <c r="BB330" s="377"/>
      <c r="BC330" s="377"/>
      <c r="BD330" s="377"/>
      <c r="BE330" s="377"/>
      <c r="BF330" s="377"/>
      <c r="BG330" s="377"/>
      <c r="BH330" s="377"/>
      <c r="BI330" s="377"/>
      <c r="BJ330" s="377"/>
      <c r="BK330" s="377"/>
      <c r="BL330" s="377"/>
      <c r="BM330" s="377"/>
      <c r="BN330" s="576"/>
      <c r="BO330" s="377"/>
      <c r="BP330" s="377"/>
      <c r="BQ330" s="377"/>
      <c r="BR330" s="377"/>
      <c r="BS330" s="377"/>
      <c r="BT330" s="377"/>
      <c r="BU330" s="377"/>
      <c r="BV330" s="377"/>
      <c r="BW330" s="377"/>
      <c r="BX330" s="377"/>
      <c r="BY330" s="377"/>
      <c r="BZ330" s="377"/>
      <c r="CA330" s="377"/>
      <c r="CB330" s="377"/>
      <c r="CC330" s="377"/>
      <c r="CD330" s="377"/>
      <c r="CE330" s="377"/>
      <c r="CF330" s="377"/>
      <c r="CG330" s="377"/>
      <c r="CH330" s="377"/>
      <c r="CI330" s="377"/>
    </row>
    <row r="331" spans="1:87" ht="15">
      <c r="A331" s="377"/>
      <c r="B331" s="377"/>
      <c r="C331" s="572"/>
      <c r="D331" s="377"/>
      <c r="E331" s="377"/>
      <c r="F331" s="377"/>
      <c r="G331" s="377"/>
      <c r="H331" s="573"/>
      <c r="I331" s="377"/>
      <c r="J331" s="377"/>
      <c r="K331" s="377"/>
      <c r="L331" s="377"/>
      <c r="M331" s="377"/>
      <c r="N331" s="377"/>
      <c r="O331" s="377"/>
      <c r="P331" s="377"/>
      <c r="Q331" s="377"/>
      <c r="R331" s="377"/>
      <c r="S331" s="377"/>
      <c r="T331" s="377"/>
      <c r="U331" s="377"/>
      <c r="V331" s="377"/>
      <c r="W331" s="377"/>
      <c r="X331" s="574"/>
      <c r="Y331" s="377"/>
      <c r="Z331" s="377"/>
      <c r="AA331" s="377"/>
      <c r="AB331" s="377"/>
      <c r="AC331" s="377"/>
      <c r="AD331" s="377"/>
      <c r="AE331" s="377"/>
      <c r="AF331" s="377"/>
      <c r="AG331" s="377"/>
      <c r="AH331" s="377"/>
      <c r="AI331" s="377"/>
      <c r="AJ331" s="377"/>
      <c r="AK331" s="377"/>
      <c r="AL331" s="574"/>
      <c r="AM331" s="377"/>
      <c r="AN331" s="377"/>
      <c r="AO331" s="377"/>
      <c r="AP331" s="377"/>
      <c r="AQ331" s="377"/>
      <c r="AR331" s="377"/>
      <c r="AS331" s="377"/>
      <c r="AT331" s="377"/>
      <c r="AU331" s="377"/>
      <c r="AV331" s="377"/>
      <c r="AW331" s="575"/>
      <c r="AX331" s="377"/>
      <c r="AY331" s="377"/>
      <c r="AZ331" s="377"/>
      <c r="BA331" s="377"/>
      <c r="BB331" s="377"/>
      <c r="BC331" s="377"/>
      <c r="BD331" s="377"/>
      <c r="BE331" s="377"/>
      <c r="BF331" s="377"/>
      <c r="BG331" s="377"/>
      <c r="BH331" s="377"/>
      <c r="BI331" s="377"/>
      <c r="BJ331" s="377"/>
      <c r="BK331" s="377"/>
      <c r="BL331" s="377"/>
      <c r="BM331" s="377"/>
      <c r="BN331" s="576"/>
      <c r="BO331" s="377"/>
      <c r="BP331" s="377"/>
      <c r="BQ331" s="377"/>
      <c r="BR331" s="377"/>
      <c r="BS331" s="377"/>
      <c r="BT331" s="377"/>
      <c r="BU331" s="377"/>
      <c r="BV331" s="377"/>
      <c r="BW331" s="377"/>
      <c r="BX331" s="377"/>
      <c r="BY331" s="377"/>
      <c r="BZ331" s="377"/>
      <c r="CA331" s="377"/>
      <c r="CB331" s="377"/>
      <c r="CC331" s="377"/>
      <c r="CD331" s="377"/>
      <c r="CE331" s="377"/>
      <c r="CF331" s="377"/>
      <c r="CG331" s="377"/>
      <c r="CH331" s="377"/>
      <c r="CI331" s="377"/>
    </row>
    <row r="332" spans="1:87" ht="15">
      <c r="A332" s="377"/>
      <c r="B332" s="377"/>
      <c r="C332" s="572"/>
      <c r="D332" s="377"/>
      <c r="E332" s="377"/>
      <c r="F332" s="377"/>
      <c r="G332" s="377"/>
      <c r="H332" s="573"/>
      <c r="I332" s="377"/>
      <c r="J332" s="377"/>
      <c r="K332" s="377"/>
      <c r="L332" s="377"/>
      <c r="M332" s="377"/>
      <c r="N332" s="377"/>
      <c r="O332" s="377"/>
      <c r="P332" s="377"/>
      <c r="Q332" s="377"/>
      <c r="R332" s="377"/>
      <c r="S332" s="377"/>
      <c r="T332" s="377"/>
      <c r="U332" s="377"/>
      <c r="V332" s="377"/>
      <c r="W332" s="377"/>
      <c r="X332" s="574"/>
      <c r="Y332" s="377"/>
      <c r="Z332" s="377"/>
      <c r="AA332" s="377"/>
      <c r="AB332" s="377"/>
      <c r="AC332" s="377"/>
      <c r="AD332" s="377"/>
      <c r="AE332" s="377"/>
      <c r="AF332" s="377"/>
      <c r="AG332" s="377"/>
      <c r="AH332" s="377"/>
      <c r="AI332" s="377"/>
      <c r="AJ332" s="377"/>
      <c r="AK332" s="377"/>
      <c r="AL332" s="574"/>
      <c r="AM332" s="377"/>
      <c r="AN332" s="377"/>
      <c r="AO332" s="377"/>
      <c r="AP332" s="377"/>
      <c r="AQ332" s="377"/>
      <c r="AR332" s="377"/>
      <c r="AS332" s="377"/>
      <c r="AT332" s="377"/>
      <c r="AU332" s="377"/>
      <c r="AV332" s="377"/>
      <c r="AW332" s="575"/>
      <c r="AX332" s="377"/>
      <c r="AY332" s="377"/>
      <c r="AZ332" s="377"/>
      <c r="BA332" s="377"/>
      <c r="BB332" s="377"/>
      <c r="BC332" s="377"/>
      <c r="BD332" s="377"/>
      <c r="BE332" s="377"/>
      <c r="BF332" s="377"/>
      <c r="BG332" s="377"/>
      <c r="BH332" s="377"/>
      <c r="BI332" s="377"/>
      <c r="BJ332" s="377"/>
      <c r="BK332" s="377"/>
      <c r="BL332" s="377"/>
      <c r="BM332" s="377"/>
      <c r="BN332" s="576"/>
      <c r="BO332" s="377"/>
      <c r="BP332" s="377"/>
      <c r="BQ332" s="377"/>
      <c r="BR332" s="377"/>
      <c r="BS332" s="377"/>
      <c r="BT332" s="377"/>
      <c r="BU332" s="377"/>
      <c r="BV332" s="377"/>
      <c r="BW332" s="377"/>
      <c r="BX332" s="377"/>
      <c r="BY332" s="377"/>
      <c r="BZ332" s="377"/>
      <c r="CA332" s="377"/>
      <c r="CB332" s="377"/>
      <c r="CC332" s="377"/>
      <c r="CD332" s="377"/>
      <c r="CE332" s="377"/>
      <c r="CF332" s="377"/>
      <c r="CG332" s="377"/>
      <c r="CH332" s="377"/>
      <c r="CI332" s="377"/>
    </row>
    <row r="333" spans="1:87" ht="15">
      <c r="A333" s="377"/>
      <c r="B333" s="377"/>
      <c r="C333" s="572"/>
      <c r="D333" s="377"/>
      <c r="E333" s="377"/>
      <c r="F333" s="377"/>
      <c r="G333" s="377"/>
      <c r="H333" s="573"/>
      <c r="I333" s="377"/>
      <c r="J333" s="377"/>
      <c r="K333" s="377"/>
      <c r="L333" s="377"/>
      <c r="M333" s="377"/>
      <c r="N333" s="377"/>
      <c r="O333" s="377"/>
      <c r="P333" s="377"/>
      <c r="Q333" s="377"/>
      <c r="R333" s="377"/>
      <c r="S333" s="377"/>
      <c r="T333" s="377"/>
      <c r="U333" s="377"/>
      <c r="V333" s="377"/>
      <c r="W333" s="377"/>
      <c r="X333" s="574"/>
      <c r="Y333" s="377"/>
      <c r="Z333" s="377"/>
      <c r="AA333" s="377"/>
      <c r="AB333" s="377"/>
      <c r="AC333" s="377"/>
      <c r="AD333" s="377"/>
      <c r="AE333" s="377"/>
      <c r="AF333" s="377"/>
      <c r="AG333" s="377"/>
      <c r="AH333" s="377"/>
      <c r="AI333" s="377"/>
      <c r="AJ333" s="377"/>
      <c r="AK333" s="377"/>
      <c r="AL333" s="574"/>
      <c r="AM333" s="377"/>
      <c r="AN333" s="377"/>
      <c r="AO333" s="377"/>
      <c r="AP333" s="377"/>
      <c r="AQ333" s="377"/>
      <c r="AR333" s="377"/>
      <c r="AS333" s="377"/>
      <c r="AT333" s="377"/>
      <c r="AU333" s="377"/>
      <c r="AV333" s="377"/>
      <c r="AW333" s="575"/>
      <c r="AX333" s="377"/>
      <c r="AY333" s="377"/>
      <c r="AZ333" s="377"/>
      <c r="BA333" s="377"/>
      <c r="BB333" s="377"/>
      <c r="BC333" s="377"/>
      <c r="BD333" s="377"/>
      <c r="BE333" s="377"/>
      <c r="BF333" s="377"/>
      <c r="BG333" s="377"/>
      <c r="BH333" s="377"/>
      <c r="BI333" s="377"/>
      <c r="BJ333" s="377"/>
      <c r="BK333" s="377"/>
      <c r="BL333" s="377"/>
      <c r="BM333" s="377"/>
      <c r="BN333" s="576"/>
      <c r="BO333" s="377"/>
      <c r="BP333" s="377"/>
      <c r="BQ333" s="377"/>
      <c r="BR333" s="377"/>
      <c r="BS333" s="377"/>
      <c r="BT333" s="377"/>
      <c r="BU333" s="377"/>
      <c r="BV333" s="377"/>
      <c r="BW333" s="377"/>
      <c r="BX333" s="377"/>
      <c r="BY333" s="377"/>
      <c r="BZ333" s="377"/>
      <c r="CA333" s="377"/>
      <c r="CB333" s="377"/>
      <c r="CC333" s="377"/>
      <c r="CD333" s="377"/>
      <c r="CE333" s="377"/>
      <c r="CF333" s="377"/>
      <c r="CG333" s="377"/>
      <c r="CH333" s="377"/>
      <c r="CI333" s="377"/>
    </row>
    <row r="334" spans="1:87" ht="15">
      <c r="A334" s="377"/>
      <c r="B334" s="377"/>
      <c r="C334" s="572"/>
      <c r="D334" s="377"/>
      <c r="E334" s="377"/>
      <c r="F334" s="377"/>
      <c r="G334" s="377"/>
      <c r="H334" s="573"/>
      <c r="I334" s="377"/>
      <c r="J334" s="377"/>
      <c r="K334" s="377"/>
      <c r="L334" s="377"/>
      <c r="M334" s="377"/>
      <c r="N334" s="377"/>
      <c r="O334" s="377"/>
      <c r="P334" s="377"/>
      <c r="Q334" s="377"/>
      <c r="R334" s="377"/>
      <c r="S334" s="377"/>
      <c r="T334" s="377"/>
      <c r="U334" s="377"/>
      <c r="V334" s="377"/>
      <c r="W334" s="377"/>
      <c r="X334" s="574"/>
      <c r="Y334" s="377"/>
      <c r="Z334" s="377"/>
      <c r="AA334" s="377"/>
      <c r="AB334" s="377"/>
      <c r="AC334" s="377"/>
      <c r="AD334" s="377"/>
      <c r="AE334" s="377"/>
      <c r="AF334" s="377"/>
      <c r="AG334" s="377"/>
      <c r="AH334" s="377"/>
      <c r="AI334" s="377"/>
      <c r="AJ334" s="377"/>
      <c r="AK334" s="377"/>
      <c r="AL334" s="574"/>
      <c r="AM334" s="377"/>
      <c r="AN334" s="377"/>
      <c r="AO334" s="377"/>
      <c r="AP334" s="377"/>
      <c r="AQ334" s="377"/>
      <c r="AR334" s="377"/>
      <c r="AS334" s="377"/>
      <c r="AT334" s="377"/>
      <c r="AU334" s="377"/>
      <c r="AV334" s="377"/>
      <c r="AW334" s="575"/>
      <c r="AX334" s="377"/>
      <c r="AY334" s="377"/>
      <c r="AZ334" s="377"/>
      <c r="BA334" s="377"/>
      <c r="BB334" s="377"/>
      <c r="BC334" s="377"/>
      <c r="BD334" s="377"/>
      <c r="BE334" s="377"/>
      <c r="BF334" s="377"/>
      <c r="BG334" s="377"/>
      <c r="BH334" s="377"/>
      <c r="BI334" s="377"/>
      <c r="BJ334" s="377"/>
      <c r="BK334" s="377"/>
      <c r="BL334" s="377"/>
      <c r="BM334" s="377"/>
      <c r="BN334" s="576"/>
      <c r="BO334" s="377"/>
      <c r="BP334" s="377"/>
      <c r="BQ334" s="377"/>
      <c r="BR334" s="377"/>
      <c r="BS334" s="377"/>
      <c r="BT334" s="377"/>
      <c r="BU334" s="377"/>
      <c r="BV334" s="377"/>
      <c r="BW334" s="377"/>
      <c r="BX334" s="377"/>
      <c r="BY334" s="377"/>
      <c r="BZ334" s="377"/>
      <c r="CA334" s="377"/>
      <c r="CB334" s="377"/>
      <c r="CC334" s="377"/>
      <c r="CD334" s="377"/>
      <c r="CE334" s="377"/>
      <c r="CF334" s="377"/>
      <c r="CG334" s="377"/>
      <c r="CH334" s="377"/>
      <c r="CI334" s="377"/>
    </row>
    <row r="335" spans="1:87" ht="15">
      <c r="A335" s="377"/>
      <c r="B335" s="377"/>
      <c r="C335" s="572"/>
      <c r="D335" s="377"/>
      <c r="E335" s="377"/>
      <c r="F335" s="377"/>
      <c r="G335" s="377"/>
      <c r="H335" s="573"/>
      <c r="I335" s="377"/>
      <c r="J335" s="377"/>
      <c r="K335" s="377"/>
      <c r="L335" s="377"/>
      <c r="M335" s="377"/>
      <c r="N335" s="377"/>
      <c r="O335" s="377"/>
      <c r="P335" s="377"/>
      <c r="Q335" s="377"/>
      <c r="R335" s="377"/>
      <c r="S335" s="377"/>
      <c r="T335" s="377"/>
      <c r="U335" s="377"/>
      <c r="V335" s="377"/>
      <c r="W335" s="377"/>
      <c r="X335" s="574"/>
      <c r="Y335" s="377"/>
      <c r="Z335" s="377"/>
      <c r="AA335" s="377"/>
      <c r="AB335" s="377"/>
      <c r="AC335" s="377"/>
      <c r="AD335" s="377"/>
      <c r="AE335" s="377"/>
      <c r="AF335" s="377"/>
      <c r="AG335" s="377"/>
      <c r="AH335" s="377"/>
      <c r="AI335" s="377"/>
      <c r="AJ335" s="377"/>
      <c r="AK335" s="377"/>
      <c r="AL335" s="574"/>
      <c r="AM335" s="377"/>
      <c r="AN335" s="377"/>
      <c r="AO335" s="377"/>
      <c r="AP335" s="377"/>
      <c r="AQ335" s="377"/>
      <c r="AR335" s="377"/>
      <c r="AS335" s="377"/>
      <c r="AT335" s="377"/>
      <c r="AU335" s="377"/>
      <c r="AV335" s="377"/>
      <c r="AW335" s="575"/>
      <c r="AX335" s="377"/>
      <c r="AY335" s="377"/>
      <c r="AZ335" s="377"/>
      <c r="BA335" s="377"/>
      <c r="BB335" s="377"/>
      <c r="BC335" s="377"/>
      <c r="BD335" s="377"/>
      <c r="BE335" s="377"/>
      <c r="BF335" s="377"/>
      <c r="BG335" s="377"/>
      <c r="BH335" s="377"/>
      <c r="BI335" s="377"/>
      <c r="BJ335" s="377"/>
      <c r="BK335" s="377"/>
      <c r="BL335" s="377"/>
      <c r="BM335" s="377"/>
      <c r="BN335" s="576"/>
      <c r="BO335" s="377"/>
      <c r="BP335" s="377"/>
      <c r="BQ335" s="377"/>
      <c r="BR335" s="377"/>
      <c r="BS335" s="377"/>
      <c r="BT335" s="377"/>
      <c r="BU335" s="377"/>
      <c r="BV335" s="377"/>
      <c r="BW335" s="377"/>
      <c r="BX335" s="377"/>
      <c r="BY335" s="377"/>
      <c r="BZ335" s="377"/>
      <c r="CA335" s="377"/>
      <c r="CB335" s="377"/>
      <c r="CC335" s="377"/>
      <c r="CD335" s="377"/>
      <c r="CE335" s="377"/>
      <c r="CF335" s="377"/>
      <c r="CG335" s="377"/>
      <c r="CH335" s="377"/>
      <c r="CI335" s="377"/>
    </row>
    <row r="336" spans="1:87" ht="15">
      <c r="A336" s="377"/>
      <c r="B336" s="377"/>
      <c r="C336" s="572"/>
      <c r="D336" s="377"/>
      <c r="E336" s="377"/>
      <c r="F336" s="377"/>
      <c r="G336" s="377"/>
      <c r="H336" s="573"/>
      <c r="I336" s="377"/>
      <c r="J336" s="377"/>
      <c r="K336" s="377"/>
      <c r="L336" s="377"/>
      <c r="M336" s="377"/>
      <c r="N336" s="377"/>
      <c r="O336" s="377"/>
      <c r="P336" s="377"/>
      <c r="Q336" s="377"/>
      <c r="R336" s="377"/>
      <c r="S336" s="377"/>
      <c r="T336" s="377"/>
      <c r="U336" s="377"/>
      <c r="V336" s="377"/>
      <c r="W336" s="377"/>
      <c r="X336" s="574"/>
      <c r="Y336" s="377"/>
      <c r="Z336" s="377"/>
      <c r="AA336" s="377"/>
      <c r="AB336" s="377"/>
      <c r="AC336" s="377"/>
      <c r="AD336" s="377"/>
      <c r="AE336" s="377"/>
      <c r="AF336" s="377"/>
      <c r="AG336" s="377"/>
      <c r="AH336" s="377"/>
      <c r="AI336" s="377"/>
      <c r="AJ336" s="377"/>
      <c r="AK336" s="377"/>
      <c r="AL336" s="574"/>
      <c r="AM336" s="377"/>
      <c r="AN336" s="377"/>
      <c r="AO336" s="377"/>
      <c r="AP336" s="377"/>
      <c r="AQ336" s="377"/>
      <c r="AR336" s="377"/>
      <c r="AS336" s="377"/>
      <c r="AT336" s="377"/>
      <c r="AU336" s="377"/>
      <c r="AV336" s="377"/>
      <c r="AW336" s="575"/>
      <c r="AX336" s="377"/>
      <c r="AY336" s="377"/>
      <c r="AZ336" s="377"/>
      <c r="BA336" s="377"/>
      <c r="BB336" s="377"/>
      <c r="BC336" s="377"/>
      <c r="BD336" s="377"/>
      <c r="BE336" s="377"/>
      <c r="BF336" s="377"/>
      <c r="BG336" s="377"/>
      <c r="BH336" s="377"/>
      <c r="BI336" s="377"/>
      <c r="BJ336" s="377"/>
      <c r="BK336" s="377"/>
      <c r="BL336" s="377"/>
      <c r="BM336" s="377"/>
      <c r="BN336" s="576"/>
      <c r="BO336" s="377"/>
      <c r="BP336" s="377"/>
      <c r="BQ336" s="377"/>
      <c r="BR336" s="377"/>
      <c r="BS336" s="377"/>
      <c r="BT336" s="377"/>
      <c r="BU336" s="377"/>
      <c r="BV336" s="377"/>
      <c r="BW336" s="377"/>
      <c r="BX336" s="377"/>
      <c r="BY336" s="377"/>
      <c r="BZ336" s="377"/>
      <c r="CA336" s="377"/>
      <c r="CB336" s="377"/>
      <c r="CC336" s="377"/>
      <c r="CD336" s="377"/>
      <c r="CE336" s="377"/>
      <c r="CF336" s="377"/>
      <c r="CG336" s="377"/>
      <c r="CH336" s="377"/>
      <c r="CI336" s="377"/>
    </row>
    <row r="337" spans="1:87" ht="15">
      <c r="A337" s="377"/>
      <c r="B337" s="377"/>
      <c r="C337" s="572"/>
      <c r="D337" s="377"/>
      <c r="E337" s="377"/>
      <c r="F337" s="377"/>
      <c r="G337" s="377"/>
      <c r="H337" s="573"/>
      <c r="I337" s="377"/>
      <c r="J337" s="377"/>
      <c r="K337" s="377"/>
      <c r="L337" s="377"/>
      <c r="M337" s="377"/>
      <c r="N337" s="377"/>
      <c r="O337" s="377"/>
      <c r="P337" s="377"/>
      <c r="Q337" s="377"/>
      <c r="R337" s="377"/>
      <c r="S337" s="377"/>
      <c r="T337" s="377"/>
      <c r="U337" s="377"/>
      <c r="V337" s="377"/>
      <c r="W337" s="377"/>
      <c r="X337" s="574"/>
      <c r="Y337" s="377"/>
      <c r="Z337" s="377"/>
      <c r="AA337" s="377"/>
      <c r="AB337" s="377"/>
      <c r="AC337" s="377"/>
      <c r="AD337" s="377"/>
      <c r="AE337" s="377"/>
      <c r="AF337" s="377"/>
      <c r="AG337" s="377"/>
      <c r="AH337" s="377"/>
      <c r="AI337" s="377"/>
      <c r="AJ337" s="377"/>
      <c r="AK337" s="377"/>
      <c r="AL337" s="574"/>
      <c r="AM337" s="377"/>
      <c r="AN337" s="377"/>
      <c r="AO337" s="377"/>
      <c r="AP337" s="377"/>
      <c r="AQ337" s="377"/>
      <c r="AR337" s="377"/>
      <c r="AS337" s="377"/>
      <c r="AT337" s="377"/>
      <c r="AU337" s="377"/>
      <c r="AV337" s="377"/>
      <c r="AW337" s="575"/>
      <c r="AX337" s="377"/>
      <c r="AY337" s="377"/>
      <c r="AZ337" s="377"/>
      <c r="BA337" s="377"/>
      <c r="BB337" s="377"/>
      <c r="BC337" s="377"/>
      <c r="BD337" s="377"/>
      <c r="BE337" s="377"/>
      <c r="BF337" s="377"/>
      <c r="BG337" s="377"/>
      <c r="BH337" s="377"/>
      <c r="BI337" s="377"/>
      <c r="BJ337" s="377"/>
      <c r="BK337" s="377"/>
      <c r="BL337" s="377"/>
      <c r="BM337" s="377"/>
      <c r="BN337" s="576"/>
      <c r="BO337" s="377"/>
      <c r="BP337" s="377"/>
      <c r="BQ337" s="377"/>
      <c r="BR337" s="377"/>
      <c r="BS337" s="377"/>
      <c r="BT337" s="377"/>
      <c r="BU337" s="377"/>
      <c r="BV337" s="377"/>
      <c r="BW337" s="377"/>
      <c r="BX337" s="377"/>
      <c r="BY337" s="377"/>
      <c r="BZ337" s="377"/>
      <c r="CA337" s="377"/>
      <c r="CB337" s="377"/>
      <c r="CC337" s="377"/>
      <c r="CD337" s="377"/>
      <c r="CE337" s="377"/>
      <c r="CF337" s="377"/>
      <c r="CG337" s="377"/>
      <c r="CH337" s="377"/>
      <c r="CI337" s="377"/>
    </row>
    <row r="338" spans="1:87" ht="15">
      <c r="A338" s="377"/>
      <c r="B338" s="377"/>
      <c r="C338" s="572"/>
      <c r="D338" s="377"/>
      <c r="E338" s="377"/>
      <c r="F338" s="377"/>
      <c r="G338" s="377"/>
      <c r="H338" s="573"/>
      <c r="I338" s="377"/>
      <c r="J338" s="377"/>
      <c r="K338" s="377"/>
      <c r="L338" s="377"/>
      <c r="M338" s="377"/>
      <c r="N338" s="377"/>
      <c r="O338" s="377"/>
      <c r="P338" s="377"/>
      <c r="Q338" s="377"/>
      <c r="R338" s="377"/>
      <c r="S338" s="377"/>
      <c r="T338" s="377"/>
      <c r="U338" s="377"/>
      <c r="V338" s="377"/>
      <c r="W338" s="377"/>
      <c r="X338" s="574"/>
      <c r="Y338" s="377"/>
      <c r="Z338" s="377"/>
      <c r="AA338" s="377"/>
      <c r="AB338" s="377"/>
      <c r="AC338" s="377"/>
      <c r="AD338" s="377"/>
      <c r="AE338" s="377"/>
      <c r="AF338" s="377"/>
      <c r="AG338" s="377"/>
      <c r="AH338" s="377"/>
      <c r="AI338" s="377"/>
      <c r="AJ338" s="377"/>
      <c r="AK338" s="377"/>
      <c r="AL338" s="574"/>
      <c r="AM338" s="377"/>
      <c r="AN338" s="377"/>
      <c r="AO338" s="377"/>
      <c r="AP338" s="377"/>
      <c r="AQ338" s="377"/>
      <c r="AR338" s="377"/>
      <c r="AS338" s="377"/>
      <c r="AT338" s="377"/>
      <c r="AU338" s="377"/>
      <c r="AV338" s="377"/>
      <c r="AW338" s="575"/>
      <c r="AX338" s="377"/>
      <c r="AY338" s="377"/>
      <c r="AZ338" s="377"/>
      <c r="BA338" s="377"/>
      <c r="BB338" s="377"/>
      <c r="BC338" s="377"/>
      <c r="BD338" s="377"/>
      <c r="BE338" s="377"/>
      <c r="BF338" s="377"/>
      <c r="BG338" s="377"/>
      <c r="BH338" s="377"/>
      <c r="BI338" s="377"/>
      <c r="BJ338" s="377"/>
      <c r="BK338" s="377"/>
      <c r="BL338" s="377"/>
      <c r="BM338" s="377"/>
      <c r="BN338" s="576"/>
      <c r="BO338" s="377"/>
      <c r="BP338" s="377"/>
      <c r="BQ338" s="377"/>
      <c r="BR338" s="377"/>
      <c r="BS338" s="377"/>
      <c r="BT338" s="377"/>
      <c r="BU338" s="377"/>
      <c r="BV338" s="377"/>
      <c r="BW338" s="377"/>
      <c r="BX338" s="377"/>
      <c r="BY338" s="377"/>
      <c r="BZ338" s="377"/>
      <c r="CA338" s="377"/>
      <c r="CB338" s="377"/>
      <c r="CC338" s="377"/>
      <c r="CD338" s="377"/>
      <c r="CE338" s="377"/>
      <c r="CF338" s="377"/>
      <c r="CG338" s="377"/>
      <c r="CH338" s="377"/>
      <c r="CI338" s="377"/>
    </row>
    <row r="339" spans="1:87" ht="15">
      <c r="A339" s="377"/>
      <c r="B339" s="377"/>
      <c r="C339" s="572"/>
      <c r="D339" s="377"/>
      <c r="E339" s="377"/>
      <c r="F339" s="377"/>
      <c r="G339" s="377"/>
      <c r="H339" s="573"/>
      <c r="I339" s="377"/>
      <c r="J339" s="377"/>
      <c r="K339" s="377"/>
      <c r="L339" s="377"/>
      <c r="M339" s="377"/>
      <c r="N339" s="377"/>
      <c r="O339" s="377"/>
      <c r="P339" s="377"/>
      <c r="Q339" s="377"/>
      <c r="R339" s="377"/>
      <c r="S339" s="377"/>
      <c r="T339" s="377"/>
      <c r="U339" s="377"/>
      <c r="V339" s="377"/>
      <c r="W339" s="377"/>
      <c r="X339" s="574"/>
      <c r="Y339" s="377"/>
      <c r="Z339" s="377"/>
      <c r="AA339" s="377"/>
      <c r="AB339" s="377"/>
      <c r="AC339" s="377"/>
      <c r="AD339" s="377"/>
      <c r="AE339" s="377"/>
      <c r="AF339" s="377"/>
      <c r="AG339" s="377"/>
      <c r="AH339" s="377"/>
      <c r="AI339" s="377"/>
      <c r="AJ339" s="377"/>
      <c r="AK339" s="377"/>
      <c r="AL339" s="574"/>
      <c r="AM339" s="377"/>
      <c r="AN339" s="377"/>
      <c r="AO339" s="377"/>
      <c r="AP339" s="377"/>
      <c r="AQ339" s="377"/>
      <c r="AR339" s="377"/>
      <c r="AS339" s="377"/>
      <c r="AT339" s="377"/>
      <c r="AU339" s="377"/>
      <c r="AV339" s="377"/>
      <c r="AW339" s="575"/>
      <c r="AX339" s="377"/>
      <c r="AY339" s="377"/>
      <c r="AZ339" s="377"/>
      <c r="BA339" s="377"/>
      <c r="BB339" s="377"/>
      <c r="BC339" s="377"/>
      <c r="BD339" s="377"/>
      <c r="BE339" s="377"/>
      <c r="BF339" s="377"/>
      <c r="BG339" s="377"/>
      <c r="BH339" s="377"/>
      <c r="BI339" s="377"/>
      <c r="BJ339" s="377"/>
      <c r="BK339" s="377"/>
      <c r="BL339" s="377"/>
      <c r="BM339" s="377"/>
      <c r="BN339" s="576"/>
      <c r="BO339" s="377"/>
      <c r="BP339" s="377"/>
      <c r="BQ339" s="377"/>
      <c r="BR339" s="377"/>
      <c r="BS339" s="377"/>
      <c r="BT339" s="377"/>
      <c r="BU339" s="377"/>
      <c r="BV339" s="377"/>
      <c r="BW339" s="377"/>
      <c r="BX339" s="377"/>
      <c r="BY339" s="377"/>
      <c r="BZ339" s="377"/>
      <c r="CA339" s="377"/>
      <c r="CB339" s="377"/>
      <c r="CC339" s="377"/>
      <c r="CD339" s="377"/>
      <c r="CE339" s="377"/>
      <c r="CF339" s="377"/>
      <c r="CG339" s="377"/>
      <c r="CH339" s="377"/>
      <c r="CI339" s="377"/>
    </row>
    <row r="340" spans="1:87" ht="15">
      <c r="A340" s="377"/>
      <c r="B340" s="377"/>
      <c r="C340" s="572"/>
      <c r="D340" s="377"/>
      <c r="E340" s="377"/>
      <c r="F340" s="377"/>
      <c r="G340" s="377"/>
      <c r="H340" s="573"/>
      <c r="I340" s="377"/>
      <c r="J340" s="377"/>
      <c r="K340" s="377"/>
      <c r="L340" s="377"/>
      <c r="M340" s="377"/>
      <c r="N340" s="377"/>
      <c r="O340" s="377"/>
      <c r="P340" s="377"/>
      <c r="Q340" s="377"/>
      <c r="R340" s="377"/>
      <c r="S340" s="377"/>
      <c r="T340" s="377"/>
      <c r="U340" s="377"/>
      <c r="V340" s="377"/>
      <c r="W340" s="377"/>
      <c r="X340" s="574"/>
      <c r="Y340" s="377"/>
      <c r="Z340" s="377"/>
      <c r="AA340" s="377"/>
      <c r="AB340" s="377"/>
      <c r="AC340" s="377"/>
      <c r="AD340" s="377"/>
      <c r="AE340" s="377"/>
      <c r="AF340" s="377"/>
      <c r="AG340" s="377"/>
      <c r="AH340" s="377"/>
      <c r="AI340" s="377"/>
      <c r="AJ340" s="377"/>
      <c r="AK340" s="377"/>
      <c r="AL340" s="574"/>
      <c r="AM340" s="377"/>
      <c r="AN340" s="377"/>
      <c r="AO340" s="377"/>
      <c r="AP340" s="377"/>
      <c r="AQ340" s="377"/>
      <c r="AR340" s="377"/>
      <c r="AS340" s="377"/>
      <c r="AT340" s="377"/>
      <c r="AU340" s="377"/>
      <c r="AV340" s="377"/>
      <c r="AW340" s="575"/>
      <c r="AX340" s="377"/>
      <c r="AY340" s="377"/>
      <c r="AZ340" s="377"/>
      <c r="BA340" s="377"/>
      <c r="BB340" s="377"/>
      <c r="BC340" s="377"/>
      <c r="BD340" s="377"/>
      <c r="BE340" s="377"/>
      <c r="BF340" s="377"/>
      <c r="BG340" s="377"/>
      <c r="BH340" s="377"/>
      <c r="BI340" s="377"/>
      <c r="BJ340" s="377"/>
      <c r="BK340" s="377"/>
      <c r="BL340" s="377"/>
      <c r="BM340" s="377"/>
      <c r="BN340" s="576"/>
      <c r="BO340" s="377"/>
      <c r="BP340" s="377"/>
      <c r="BQ340" s="377"/>
      <c r="BR340" s="377"/>
      <c r="BS340" s="377"/>
      <c r="BT340" s="377"/>
      <c r="BU340" s="377"/>
      <c r="BV340" s="377"/>
      <c r="BW340" s="377"/>
      <c r="BX340" s="377"/>
      <c r="BY340" s="377"/>
      <c r="BZ340" s="377"/>
      <c r="CA340" s="377"/>
      <c r="CB340" s="377"/>
      <c r="CC340" s="377"/>
      <c r="CD340" s="377"/>
      <c r="CE340" s="377"/>
      <c r="CF340" s="377"/>
      <c r="CG340" s="377"/>
      <c r="CH340" s="377"/>
      <c r="CI340" s="377"/>
    </row>
    <row r="341" spans="1:87" ht="15">
      <c r="A341" s="377"/>
      <c r="B341" s="377"/>
      <c r="C341" s="572"/>
      <c r="D341" s="377"/>
      <c r="E341" s="377"/>
      <c r="F341" s="377"/>
      <c r="G341" s="377"/>
      <c r="H341" s="573"/>
      <c r="I341" s="377"/>
      <c r="J341" s="377"/>
      <c r="K341" s="377"/>
      <c r="L341" s="377"/>
      <c r="M341" s="377"/>
      <c r="N341" s="377"/>
      <c r="O341" s="377"/>
      <c r="P341" s="377"/>
      <c r="Q341" s="377"/>
      <c r="R341" s="377"/>
      <c r="S341" s="377"/>
      <c r="T341" s="377"/>
      <c r="U341" s="377"/>
      <c r="V341" s="377"/>
      <c r="W341" s="377"/>
      <c r="X341" s="574"/>
      <c r="Y341" s="377"/>
      <c r="Z341" s="377"/>
      <c r="AA341" s="377"/>
      <c r="AB341" s="377"/>
      <c r="AC341" s="377"/>
      <c r="AD341" s="377"/>
      <c r="AE341" s="377"/>
      <c r="AF341" s="377"/>
      <c r="AG341" s="377"/>
      <c r="AH341" s="377"/>
      <c r="AI341" s="377"/>
      <c r="AJ341" s="377"/>
      <c r="AK341" s="377"/>
      <c r="AL341" s="574"/>
      <c r="AM341" s="377"/>
      <c r="AN341" s="377"/>
      <c r="AO341" s="377"/>
      <c r="AP341" s="377"/>
      <c r="AQ341" s="377"/>
      <c r="AR341" s="377"/>
      <c r="AS341" s="377"/>
      <c r="AT341" s="377"/>
      <c r="AU341" s="377"/>
      <c r="AV341" s="377"/>
      <c r="AW341" s="575"/>
      <c r="AX341" s="377"/>
      <c r="AY341" s="377"/>
      <c r="AZ341" s="377"/>
      <c r="BA341" s="377"/>
      <c r="BB341" s="377"/>
      <c r="BC341" s="377"/>
      <c r="BD341" s="377"/>
      <c r="BE341" s="377"/>
      <c r="BF341" s="377"/>
      <c r="BG341" s="377"/>
      <c r="BH341" s="377"/>
      <c r="BI341" s="377"/>
      <c r="BJ341" s="377"/>
      <c r="BK341" s="377"/>
      <c r="BL341" s="377"/>
      <c r="BM341" s="377"/>
      <c r="BN341" s="576"/>
      <c r="BO341" s="377"/>
      <c r="BP341" s="377"/>
      <c r="BQ341" s="377"/>
      <c r="BR341" s="377"/>
      <c r="BS341" s="377"/>
      <c r="BT341" s="377"/>
      <c r="BU341" s="377"/>
      <c r="BV341" s="377"/>
      <c r="BW341" s="377"/>
      <c r="BX341" s="377"/>
      <c r="BY341" s="377"/>
      <c r="BZ341" s="377"/>
      <c r="CA341" s="377"/>
      <c r="CB341" s="377"/>
      <c r="CC341" s="377"/>
      <c r="CD341" s="377"/>
      <c r="CE341" s="377"/>
      <c r="CF341" s="377"/>
      <c r="CG341" s="377"/>
      <c r="CH341" s="377"/>
      <c r="CI341" s="377"/>
    </row>
    <row r="342" spans="1:87" ht="15">
      <c r="A342" s="377"/>
      <c r="B342" s="377"/>
      <c r="C342" s="572"/>
      <c r="D342" s="377"/>
      <c r="E342" s="377"/>
      <c r="F342" s="377"/>
      <c r="G342" s="377"/>
      <c r="H342" s="573"/>
      <c r="I342" s="377"/>
      <c r="J342" s="377"/>
      <c r="K342" s="377"/>
      <c r="L342" s="377"/>
      <c r="M342" s="377"/>
      <c r="N342" s="377"/>
      <c r="O342" s="377"/>
      <c r="P342" s="377"/>
      <c r="Q342" s="377"/>
      <c r="R342" s="377"/>
      <c r="S342" s="377"/>
      <c r="T342" s="377"/>
      <c r="U342" s="377"/>
      <c r="V342" s="377"/>
      <c r="W342" s="377"/>
      <c r="X342" s="574"/>
      <c r="Y342" s="377"/>
      <c r="Z342" s="377"/>
      <c r="AA342" s="377"/>
      <c r="AB342" s="377"/>
      <c r="AC342" s="377"/>
      <c r="AD342" s="377"/>
      <c r="AE342" s="377"/>
      <c r="AF342" s="377"/>
      <c r="AG342" s="377"/>
      <c r="AH342" s="377"/>
      <c r="AI342" s="377"/>
      <c r="AJ342" s="377"/>
      <c r="AK342" s="377"/>
      <c r="AL342" s="574"/>
      <c r="AM342" s="377"/>
      <c r="AN342" s="377"/>
      <c r="AO342" s="377"/>
      <c r="AP342" s="377"/>
      <c r="AQ342" s="377"/>
      <c r="AR342" s="377"/>
      <c r="AS342" s="377"/>
      <c r="AT342" s="377"/>
      <c r="AU342" s="377"/>
      <c r="AV342" s="377"/>
      <c r="AW342" s="575"/>
      <c r="AX342" s="377"/>
      <c r="AY342" s="377"/>
      <c r="AZ342" s="377"/>
      <c r="BA342" s="377"/>
      <c r="BB342" s="377"/>
      <c r="BC342" s="377"/>
      <c r="BD342" s="377"/>
      <c r="BE342" s="377"/>
      <c r="BF342" s="377"/>
      <c r="BG342" s="377"/>
      <c r="BH342" s="377"/>
      <c r="BI342" s="377"/>
      <c r="BJ342" s="377"/>
      <c r="BK342" s="377"/>
      <c r="BL342" s="377"/>
      <c r="BM342" s="377"/>
      <c r="BN342" s="576"/>
      <c r="BO342" s="377"/>
      <c r="BP342" s="377"/>
      <c r="BQ342" s="377"/>
      <c r="BR342" s="377"/>
      <c r="BS342" s="377"/>
      <c r="BT342" s="377"/>
      <c r="BU342" s="377"/>
      <c r="BV342" s="377"/>
      <c r="BW342" s="377"/>
      <c r="BX342" s="377"/>
      <c r="BY342" s="377"/>
      <c r="BZ342" s="377"/>
      <c r="CA342" s="377"/>
      <c r="CB342" s="377"/>
      <c r="CC342" s="377"/>
      <c r="CD342" s="377"/>
      <c r="CE342" s="377"/>
      <c r="CF342" s="377"/>
      <c r="CG342" s="377"/>
      <c r="CH342" s="377"/>
      <c r="CI342" s="377"/>
    </row>
    <row r="343" spans="1:87" ht="15">
      <c r="A343" s="377"/>
      <c r="B343" s="377"/>
      <c r="C343" s="572"/>
      <c r="D343" s="377"/>
      <c r="E343" s="377"/>
      <c r="F343" s="377"/>
      <c r="G343" s="377"/>
      <c r="H343" s="573"/>
      <c r="I343" s="377"/>
      <c r="J343" s="377"/>
      <c r="K343" s="377"/>
      <c r="L343" s="377"/>
      <c r="M343" s="377"/>
      <c r="N343" s="377"/>
      <c r="O343" s="377"/>
      <c r="P343" s="377"/>
      <c r="Q343" s="377"/>
      <c r="R343" s="377"/>
      <c r="S343" s="377"/>
      <c r="T343" s="377"/>
      <c r="U343" s="377"/>
      <c r="V343" s="377"/>
      <c r="W343" s="377"/>
      <c r="X343" s="574"/>
      <c r="Y343" s="377"/>
      <c r="Z343" s="377"/>
      <c r="AA343" s="377"/>
      <c r="AB343" s="377"/>
      <c r="AC343" s="377"/>
      <c r="AD343" s="377"/>
      <c r="AE343" s="377"/>
      <c r="AF343" s="377"/>
      <c r="AG343" s="377"/>
      <c r="AH343" s="377"/>
      <c r="AI343" s="377"/>
      <c r="AJ343" s="377"/>
      <c r="AK343" s="377"/>
      <c r="AL343" s="574"/>
      <c r="AM343" s="377"/>
      <c r="AN343" s="377"/>
      <c r="AO343" s="377"/>
      <c r="AP343" s="377"/>
      <c r="AQ343" s="377"/>
      <c r="AR343" s="377"/>
      <c r="AS343" s="377"/>
      <c r="AT343" s="377"/>
      <c r="AU343" s="377"/>
      <c r="AV343" s="377"/>
      <c r="AW343" s="575"/>
      <c r="AX343" s="377"/>
      <c r="AY343" s="377"/>
      <c r="AZ343" s="377"/>
      <c r="BA343" s="377"/>
      <c r="BB343" s="377"/>
      <c r="BC343" s="377"/>
      <c r="BD343" s="377"/>
      <c r="BE343" s="377"/>
      <c r="BF343" s="377"/>
      <c r="BG343" s="377"/>
      <c r="BH343" s="377"/>
      <c r="BI343" s="377"/>
      <c r="BJ343" s="377"/>
      <c r="BK343" s="377"/>
      <c r="BL343" s="377"/>
      <c r="BM343" s="377"/>
      <c r="BN343" s="576"/>
      <c r="BO343" s="377"/>
      <c r="BP343" s="377"/>
      <c r="BQ343" s="377"/>
      <c r="BR343" s="377"/>
      <c r="BS343" s="377"/>
      <c r="BT343" s="377"/>
      <c r="BU343" s="377"/>
      <c r="BV343" s="377"/>
      <c r="BW343" s="377"/>
      <c r="BX343" s="377"/>
      <c r="BY343" s="377"/>
      <c r="BZ343" s="377"/>
      <c r="CA343" s="377"/>
      <c r="CB343" s="377"/>
      <c r="CC343" s="377"/>
      <c r="CD343" s="377"/>
      <c r="CE343" s="377"/>
      <c r="CF343" s="377"/>
      <c r="CG343" s="377"/>
      <c r="CH343" s="377"/>
      <c r="CI343" s="377"/>
    </row>
    <row r="344" spans="1:87" ht="15">
      <c r="A344" s="377"/>
      <c r="B344" s="377"/>
      <c r="C344" s="572"/>
      <c r="D344" s="377"/>
      <c r="E344" s="377"/>
      <c r="F344" s="377"/>
      <c r="G344" s="377"/>
      <c r="H344" s="573"/>
      <c r="I344" s="377"/>
      <c r="J344" s="377"/>
      <c r="K344" s="377"/>
      <c r="L344" s="377"/>
      <c r="M344" s="377"/>
      <c r="N344" s="377"/>
      <c r="O344" s="377"/>
      <c r="P344" s="377"/>
      <c r="Q344" s="377"/>
      <c r="R344" s="377"/>
      <c r="S344" s="377"/>
      <c r="T344" s="377"/>
      <c r="U344" s="377"/>
      <c r="V344" s="377"/>
      <c r="W344" s="377"/>
      <c r="X344" s="574"/>
      <c r="Y344" s="377"/>
      <c r="Z344" s="377"/>
      <c r="AA344" s="377"/>
      <c r="AB344" s="377"/>
      <c r="AC344" s="377"/>
      <c r="AD344" s="377"/>
      <c r="AE344" s="377"/>
      <c r="AF344" s="377"/>
      <c r="AG344" s="377"/>
      <c r="AH344" s="377"/>
      <c r="AI344" s="377"/>
      <c r="AJ344" s="377"/>
      <c r="AK344" s="377"/>
      <c r="AL344" s="574"/>
      <c r="AM344" s="377"/>
      <c r="AN344" s="377"/>
      <c r="AO344" s="377"/>
      <c r="AP344" s="377"/>
      <c r="AQ344" s="377"/>
      <c r="AR344" s="377"/>
      <c r="AS344" s="377"/>
      <c r="AT344" s="377"/>
      <c r="AU344" s="377"/>
      <c r="AV344" s="377"/>
      <c r="AW344" s="575"/>
      <c r="AX344" s="377"/>
      <c r="AY344" s="377"/>
      <c r="AZ344" s="377"/>
      <c r="BA344" s="377"/>
      <c r="BB344" s="377"/>
      <c r="BC344" s="377"/>
      <c r="BD344" s="377"/>
      <c r="BE344" s="377"/>
      <c r="BF344" s="377"/>
      <c r="BG344" s="377"/>
      <c r="BH344" s="377"/>
      <c r="BI344" s="377"/>
      <c r="BJ344" s="377"/>
      <c r="BK344" s="377"/>
      <c r="BL344" s="377"/>
      <c r="BM344" s="377"/>
      <c r="BN344" s="576"/>
      <c r="BO344" s="377"/>
      <c r="BP344" s="377"/>
      <c r="BQ344" s="377"/>
      <c r="BR344" s="377"/>
      <c r="BS344" s="377"/>
      <c r="BT344" s="377"/>
      <c r="BU344" s="377"/>
      <c r="BV344" s="377"/>
      <c r="BW344" s="377"/>
      <c r="BX344" s="377"/>
      <c r="BY344" s="377"/>
      <c r="BZ344" s="377"/>
      <c r="CA344" s="377"/>
      <c r="CB344" s="377"/>
      <c r="CC344" s="377"/>
      <c r="CD344" s="377"/>
      <c r="CE344" s="377"/>
      <c r="CF344" s="377"/>
      <c r="CG344" s="377"/>
      <c r="CH344" s="377"/>
      <c r="CI344" s="377"/>
    </row>
    <row r="345" spans="1:87" ht="15">
      <c r="A345" s="377"/>
      <c r="B345" s="377"/>
      <c r="C345" s="572"/>
      <c r="D345" s="377"/>
      <c r="E345" s="377"/>
      <c r="F345" s="377"/>
      <c r="G345" s="377"/>
      <c r="H345" s="573"/>
      <c r="I345" s="377"/>
      <c r="J345" s="377"/>
      <c r="K345" s="377"/>
      <c r="L345" s="377"/>
      <c r="M345" s="377"/>
      <c r="N345" s="377"/>
      <c r="O345" s="377"/>
      <c r="P345" s="377"/>
      <c r="Q345" s="377"/>
      <c r="R345" s="377"/>
      <c r="S345" s="377"/>
      <c r="T345" s="377"/>
      <c r="U345" s="377"/>
      <c r="V345" s="377"/>
      <c r="W345" s="377"/>
      <c r="X345" s="574"/>
      <c r="Y345" s="377"/>
      <c r="Z345" s="377"/>
      <c r="AA345" s="377"/>
      <c r="AB345" s="377"/>
      <c r="AC345" s="377"/>
      <c r="AD345" s="377"/>
      <c r="AE345" s="377"/>
      <c r="AF345" s="377"/>
      <c r="AG345" s="377"/>
      <c r="AH345" s="377"/>
      <c r="AI345" s="377"/>
      <c r="AJ345" s="377"/>
      <c r="AK345" s="377"/>
      <c r="AL345" s="574"/>
      <c r="AM345" s="377"/>
      <c r="AN345" s="377"/>
      <c r="AO345" s="377"/>
      <c r="AP345" s="377"/>
      <c r="AQ345" s="377"/>
      <c r="AR345" s="377"/>
      <c r="AS345" s="377"/>
      <c r="AT345" s="377"/>
      <c r="AU345" s="377"/>
      <c r="AV345" s="377"/>
      <c r="AW345" s="575"/>
      <c r="AX345" s="377"/>
      <c r="AY345" s="377"/>
      <c r="AZ345" s="377"/>
      <c r="BA345" s="377"/>
      <c r="BB345" s="377"/>
      <c r="BC345" s="377"/>
      <c r="BD345" s="377"/>
      <c r="BE345" s="377"/>
      <c r="BF345" s="377"/>
      <c r="BG345" s="377"/>
      <c r="BH345" s="377"/>
      <c r="BI345" s="377"/>
      <c r="BJ345" s="377"/>
      <c r="BK345" s="377"/>
      <c r="BL345" s="377"/>
      <c r="BM345" s="377"/>
      <c r="BN345" s="576"/>
      <c r="BO345" s="377"/>
      <c r="BP345" s="377"/>
      <c r="BQ345" s="377"/>
      <c r="BR345" s="377"/>
      <c r="BS345" s="377"/>
      <c r="BT345" s="377"/>
      <c r="BU345" s="377"/>
      <c r="BV345" s="377"/>
      <c r="BW345" s="377"/>
      <c r="BX345" s="377"/>
      <c r="BY345" s="377"/>
      <c r="BZ345" s="377"/>
      <c r="CA345" s="377"/>
      <c r="CB345" s="377"/>
      <c r="CC345" s="377"/>
      <c r="CD345" s="377"/>
      <c r="CE345" s="377"/>
      <c r="CF345" s="377"/>
      <c r="CG345" s="377"/>
      <c r="CH345" s="377"/>
      <c r="CI345" s="377"/>
    </row>
    <row r="346" spans="1:87" ht="15">
      <c r="A346" s="377"/>
      <c r="B346" s="377"/>
      <c r="C346" s="572"/>
      <c r="D346" s="377"/>
      <c r="E346" s="377"/>
      <c r="F346" s="377"/>
      <c r="G346" s="377"/>
      <c r="H346" s="573"/>
      <c r="I346" s="377"/>
      <c r="J346" s="377"/>
      <c r="K346" s="377"/>
      <c r="L346" s="377"/>
      <c r="M346" s="377"/>
      <c r="N346" s="377"/>
      <c r="O346" s="377"/>
      <c r="P346" s="377"/>
      <c r="Q346" s="377"/>
      <c r="R346" s="377"/>
      <c r="S346" s="377"/>
      <c r="T346" s="377"/>
      <c r="U346" s="377"/>
      <c r="V346" s="377"/>
      <c r="W346" s="377"/>
      <c r="X346" s="574"/>
      <c r="Y346" s="377"/>
      <c r="Z346" s="377"/>
      <c r="AA346" s="377"/>
      <c r="AB346" s="377"/>
      <c r="AC346" s="377"/>
      <c r="AD346" s="377"/>
      <c r="AE346" s="377"/>
      <c r="AF346" s="377"/>
      <c r="AG346" s="377"/>
      <c r="AH346" s="377"/>
      <c r="AI346" s="377"/>
      <c r="AJ346" s="377"/>
      <c r="AK346" s="377"/>
      <c r="AL346" s="574"/>
      <c r="AM346" s="377"/>
      <c r="AN346" s="377"/>
      <c r="AO346" s="377"/>
      <c r="AP346" s="377"/>
      <c r="AQ346" s="377"/>
      <c r="AR346" s="377"/>
      <c r="AS346" s="377"/>
      <c r="AT346" s="377"/>
      <c r="AU346" s="377"/>
      <c r="AV346" s="377"/>
      <c r="AW346" s="575"/>
      <c r="AX346" s="377"/>
      <c r="AY346" s="377"/>
      <c r="AZ346" s="377"/>
      <c r="BA346" s="377"/>
      <c r="BB346" s="377"/>
      <c r="BC346" s="377"/>
      <c r="BD346" s="377"/>
      <c r="BE346" s="377"/>
      <c r="BF346" s="377"/>
      <c r="BG346" s="377"/>
      <c r="BH346" s="377"/>
      <c r="BI346" s="377"/>
      <c r="BJ346" s="377"/>
      <c r="BK346" s="377"/>
      <c r="BL346" s="377"/>
      <c r="BM346" s="377"/>
      <c r="BN346" s="576"/>
      <c r="BO346" s="377"/>
      <c r="BP346" s="377"/>
      <c r="BQ346" s="377"/>
      <c r="BR346" s="377"/>
      <c r="BS346" s="377"/>
      <c r="BT346" s="377"/>
      <c r="BU346" s="377"/>
      <c r="BV346" s="377"/>
      <c r="BW346" s="377"/>
      <c r="BX346" s="377"/>
      <c r="BY346" s="377"/>
      <c r="BZ346" s="377"/>
      <c r="CA346" s="377"/>
      <c r="CB346" s="377"/>
      <c r="CC346" s="377"/>
      <c r="CD346" s="377"/>
      <c r="CE346" s="377"/>
      <c r="CF346" s="377"/>
      <c r="CG346" s="377"/>
      <c r="CH346" s="377"/>
      <c r="CI346" s="377"/>
    </row>
    <row r="347" spans="1:87" ht="15">
      <c r="A347" s="377"/>
      <c r="B347" s="377"/>
      <c r="C347" s="572"/>
      <c r="D347" s="377"/>
      <c r="E347" s="377"/>
      <c r="F347" s="377"/>
      <c r="G347" s="377"/>
      <c r="H347" s="573"/>
      <c r="I347" s="377"/>
      <c r="J347" s="377"/>
      <c r="K347" s="377"/>
      <c r="L347" s="377"/>
      <c r="M347" s="377"/>
      <c r="N347" s="377"/>
      <c r="O347" s="377"/>
      <c r="P347" s="377"/>
      <c r="Q347" s="377"/>
      <c r="R347" s="377"/>
      <c r="S347" s="377"/>
      <c r="T347" s="377"/>
      <c r="U347" s="377"/>
      <c r="V347" s="377"/>
      <c r="W347" s="377"/>
      <c r="X347" s="574"/>
      <c r="Y347" s="377"/>
      <c r="Z347" s="377"/>
      <c r="AA347" s="377"/>
      <c r="AB347" s="377"/>
      <c r="AC347" s="377"/>
      <c r="AD347" s="377"/>
      <c r="AE347" s="377"/>
      <c r="AF347" s="377"/>
      <c r="AG347" s="377"/>
      <c r="AH347" s="377"/>
      <c r="AI347" s="377"/>
      <c r="AJ347" s="377"/>
      <c r="AK347" s="377"/>
      <c r="AL347" s="574"/>
      <c r="AM347" s="377"/>
      <c r="AN347" s="377"/>
      <c r="AO347" s="377"/>
      <c r="AP347" s="377"/>
      <c r="AQ347" s="377"/>
      <c r="AR347" s="377"/>
      <c r="AS347" s="377"/>
      <c r="AT347" s="377"/>
      <c r="AU347" s="377"/>
      <c r="AV347" s="377"/>
      <c r="AW347" s="575"/>
      <c r="AX347" s="377"/>
      <c r="AY347" s="377"/>
      <c r="AZ347" s="377"/>
      <c r="BA347" s="377"/>
      <c r="BB347" s="377"/>
      <c r="BC347" s="377"/>
      <c r="BD347" s="377"/>
      <c r="BE347" s="377"/>
      <c r="BF347" s="377"/>
      <c r="BG347" s="377"/>
      <c r="BH347" s="377"/>
      <c r="BI347" s="377"/>
      <c r="BJ347" s="377"/>
      <c r="BK347" s="377"/>
      <c r="BL347" s="377"/>
      <c r="BM347" s="377"/>
      <c r="BN347" s="576"/>
      <c r="BO347" s="377"/>
      <c r="BP347" s="377"/>
      <c r="BQ347" s="377"/>
      <c r="BR347" s="377"/>
      <c r="BS347" s="377"/>
      <c r="BT347" s="377"/>
      <c r="BU347" s="377"/>
      <c r="BV347" s="377"/>
      <c r="BW347" s="377"/>
      <c r="BX347" s="377"/>
      <c r="BY347" s="377"/>
      <c r="BZ347" s="377"/>
      <c r="CA347" s="377"/>
      <c r="CB347" s="377"/>
      <c r="CC347" s="377"/>
      <c r="CD347" s="377"/>
      <c r="CE347" s="377"/>
      <c r="CF347" s="377"/>
      <c r="CG347" s="377"/>
      <c r="CH347" s="377"/>
      <c r="CI347" s="377"/>
    </row>
    <row r="348" spans="1:87" ht="15">
      <c r="A348" s="377"/>
      <c r="B348" s="377"/>
      <c r="C348" s="572"/>
      <c r="D348" s="377"/>
      <c r="E348" s="377"/>
      <c r="F348" s="377"/>
      <c r="G348" s="377"/>
      <c r="H348" s="573"/>
      <c r="I348" s="377"/>
      <c r="J348" s="377"/>
      <c r="K348" s="377"/>
      <c r="L348" s="377"/>
      <c r="M348" s="377"/>
      <c r="N348" s="377"/>
      <c r="O348" s="377"/>
      <c r="P348" s="377"/>
      <c r="Q348" s="377"/>
      <c r="R348" s="377"/>
      <c r="S348" s="377"/>
      <c r="T348" s="377"/>
      <c r="U348" s="377"/>
      <c r="V348" s="377"/>
      <c r="W348" s="377"/>
      <c r="X348" s="574"/>
      <c r="Y348" s="377"/>
      <c r="Z348" s="377"/>
      <c r="AA348" s="377"/>
      <c r="AB348" s="377"/>
      <c r="AC348" s="377"/>
      <c r="AD348" s="377"/>
      <c r="AE348" s="377"/>
      <c r="AF348" s="377"/>
      <c r="AG348" s="377"/>
      <c r="AH348" s="377"/>
      <c r="AI348" s="377"/>
      <c r="AJ348" s="377"/>
      <c r="AK348" s="377"/>
      <c r="AL348" s="574"/>
      <c r="AM348" s="377"/>
      <c r="AN348" s="377"/>
      <c r="AO348" s="377"/>
      <c r="AP348" s="377"/>
      <c r="AQ348" s="377"/>
      <c r="AR348" s="377"/>
      <c r="AS348" s="377"/>
      <c r="AT348" s="377"/>
      <c r="AU348" s="377"/>
      <c r="AV348" s="377"/>
      <c r="AW348" s="575"/>
      <c r="AX348" s="377"/>
      <c r="AY348" s="377"/>
      <c r="AZ348" s="377"/>
      <c r="BA348" s="377"/>
      <c r="BB348" s="377"/>
      <c r="BC348" s="377"/>
      <c r="BD348" s="377"/>
      <c r="BE348" s="377"/>
      <c r="BF348" s="377"/>
      <c r="BG348" s="377"/>
      <c r="BH348" s="377"/>
      <c r="BI348" s="377"/>
      <c r="BJ348" s="377"/>
      <c r="BK348" s="377"/>
      <c r="BL348" s="377"/>
      <c r="BM348" s="377"/>
      <c r="BN348" s="576"/>
      <c r="BO348" s="377"/>
      <c r="BP348" s="377"/>
      <c r="BQ348" s="377"/>
      <c r="BR348" s="377"/>
      <c r="BS348" s="377"/>
      <c r="BT348" s="377"/>
      <c r="BU348" s="377"/>
      <c r="BV348" s="377"/>
      <c r="BW348" s="377"/>
      <c r="BX348" s="377"/>
      <c r="BY348" s="377"/>
      <c r="BZ348" s="377"/>
      <c r="CA348" s="377"/>
      <c r="CB348" s="377"/>
      <c r="CC348" s="377"/>
      <c r="CD348" s="377"/>
      <c r="CE348" s="377"/>
      <c r="CF348" s="377"/>
      <c r="CG348" s="377"/>
      <c r="CH348" s="377"/>
      <c r="CI348" s="377"/>
    </row>
    <row r="349" spans="1:87" ht="15">
      <c r="A349" s="377"/>
      <c r="B349" s="377"/>
      <c r="C349" s="572"/>
      <c r="D349" s="377"/>
      <c r="E349" s="377"/>
      <c r="F349" s="377"/>
      <c r="G349" s="377"/>
      <c r="H349" s="573"/>
      <c r="I349" s="377"/>
      <c r="J349" s="377"/>
      <c r="K349" s="377"/>
      <c r="L349" s="377"/>
      <c r="M349" s="377"/>
      <c r="N349" s="377"/>
      <c r="O349" s="377"/>
      <c r="P349" s="377"/>
      <c r="Q349" s="377"/>
      <c r="R349" s="377"/>
      <c r="S349" s="377"/>
      <c r="T349" s="377"/>
      <c r="U349" s="377"/>
      <c r="V349" s="377"/>
      <c r="W349" s="377"/>
      <c r="X349" s="574"/>
      <c r="Y349" s="377"/>
      <c r="Z349" s="377"/>
      <c r="AA349" s="377"/>
      <c r="AB349" s="377"/>
      <c r="AC349" s="377"/>
      <c r="AD349" s="377"/>
      <c r="AE349" s="377"/>
      <c r="AF349" s="377"/>
      <c r="AG349" s="377"/>
      <c r="AH349" s="377"/>
      <c r="AI349" s="377"/>
      <c r="AJ349" s="377"/>
      <c r="AK349" s="377"/>
      <c r="AL349" s="574"/>
      <c r="AM349" s="377"/>
      <c r="AN349" s="377"/>
      <c r="AO349" s="377"/>
      <c r="AP349" s="377"/>
      <c r="AQ349" s="377"/>
      <c r="AR349" s="377"/>
      <c r="AS349" s="377"/>
      <c r="AT349" s="377"/>
      <c r="AU349" s="377"/>
      <c r="AV349" s="377"/>
      <c r="AW349" s="575"/>
      <c r="AX349" s="377"/>
      <c r="AY349" s="377"/>
      <c r="AZ349" s="377"/>
      <c r="BA349" s="377"/>
      <c r="BB349" s="377"/>
      <c r="BC349" s="377"/>
      <c r="BD349" s="377"/>
      <c r="BE349" s="377"/>
      <c r="BF349" s="377"/>
      <c r="BG349" s="377"/>
      <c r="BH349" s="377"/>
      <c r="BI349" s="377"/>
      <c r="BJ349" s="377"/>
      <c r="BK349" s="377"/>
      <c r="BL349" s="377"/>
      <c r="BM349" s="377"/>
      <c r="BN349" s="576"/>
      <c r="BO349" s="377"/>
      <c r="BP349" s="377"/>
      <c r="BQ349" s="377"/>
      <c r="BR349" s="377"/>
      <c r="BS349" s="377"/>
      <c r="BT349" s="377"/>
      <c r="BU349" s="377"/>
      <c r="BV349" s="377"/>
      <c r="BW349" s="377"/>
      <c r="BX349" s="377"/>
      <c r="BY349" s="377"/>
      <c r="BZ349" s="377"/>
      <c r="CA349" s="377"/>
      <c r="CB349" s="377"/>
      <c r="CC349" s="377"/>
      <c r="CD349" s="377"/>
      <c r="CE349" s="377"/>
      <c r="CF349" s="377"/>
      <c r="CG349" s="377"/>
      <c r="CH349" s="377"/>
      <c r="CI349" s="377"/>
    </row>
    <row r="350" spans="1:87" ht="15">
      <c r="A350" s="377"/>
      <c r="B350" s="377"/>
      <c r="C350" s="572"/>
      <c r="D350" s="377"/>
      <c r="E350" s="377"/>
      <c r="F350" s="377"/>
      <c r="G350" s="377"/>
      <c r="H350" s="573"/>
      <c r="I350" s="377"/>
      <c r="J350" s="377"/>
      <c r="K350" s="377"/>
      <c r="L350" s="377"/>
      <c r="M350" s="377"/>
      <c r="N350" s="377"/>
      <c r="O350" s="377"/>
      <c r="P350" s="377"/>
      <c r="Q350" s="377"/>
      <c r="R350" s="377"/>
      <c r="S350" s="377"/>
      <c r="T350" s="377"/>
      <c r="U350" s="377"/>
      <c r="V350" s="377"/>
      <c r="W350" s="377"/>
      <c r="X350" s="574"/>
      <c r="Y350" s="377"/>
      <c r="Z350" s="377"/>
      <c r="AA350" s="377"/>
      <c r="AB350" s="377"/>
      <c r="AC350" s="377"/>
      <c r="AD350" s="377"/>
      <c r="AE350" s="377"/>
      <c r="AF350" s="377"/>
      <c r="AG350" s="377"/>
      <c r="AH350" s="377"/>
      <c r="AI350" s="377"/>
      <c r="AJ350" s="377"/>
      <c r="AK350" s="377"/>
      <c r="AL350" s="574"/>
      <c r="AM350" s="377"/>
      <c r="AN350" s="377"/>
      <c r="AO350" s="377"/>
      <c r="AP350" s="377"/>
      <c r="AQ350" s="377"/>
      <c r="AR350" s="377"/>
      <c r="AS350" s="377"/>
      <c r="AT350" s="377"/>
      <c r="AU350" s="377"/>
      <c r="AV350" s="377"/>
      <c r="AW350" s="575"/>
      <c r="AX350" s="377"/>
      <c r="AY350" s="377"/>
      <c r="AZ350" s="377"/>
      <c r="BA350" s="377"/>
      <c r="BB350" s="377"/>
      <c r="BC350" s="377"/>
      <c r="BD350" s="377"/>
      <c r="BE350" s="377"/>
      <c r="BF350" s="377"/>
      <c r="BG350" s="377"/>
      <c r="BH350" s="377"/>
      <c r="BI350" s="377"/>
      <c r="BJ350" s="377"/>
      <c r="BK350" s="377"/>
      <c r="BL350" s="377"/>
      <c r="BM350" s="377"/>
      <c r="BN350" s="576"/>
      <c r="BO350" s="377"/>
      <c r="BP350" s="377"/>
      <c r="BQ350" s="377"/>
      <c r="BR350" s="377"/>
      <c r="BS350" s="377"/>
      <c r="BT350" s="377"/>
      <c r="BU350" s="377"/>
      <c r="BV350" s="377"/>
      <c r="BW350" s="377"/>
      <c r="BX350" s="377"/>
      <c r="BY350" s="377"/>
      <c r="BZ350" s="377"/>
      <c r="CA350" s="377"/>
      <c r="CB350" s="377"/>
      <c r="CC350" s="377"/>
      <c r="CD350" s="377"/>
      <c r="CE350" s="377"/>
      <c r="CF350" s="377"/>
      <c r="CG350" s="377"/>
      <c r="CH350" s="377"/>
      <c r="CI350" s="377"/>
    </row>
    <row r="351" spans="1:87" ht="15">
      <c r="A351" s="377"/>
      <c r="B351" s="377"/>
      <c r="C351" s="572"/>
      <c r="D351" s="377"/>
      <c r="E351" s="377"/>
      <c r="F351" s="377"/>
      <c r="G351" s="377"/>
      <c r="H351" s="573"/>
      <c r="I351" s="377"/>
      <c r="J351" s="377"/>
      <c r="K351" s="377"/>
      <c r="L351" s="377"/>
      <c r="M351" s="377"/>
      <c r="N351" s="377"/>
      <c r="O351" s="377"/>
      <c r="P351" s="377"/>
      <c r="Q351" s="377"/>
      <c r="R351" s="377"/>
      <c r="S351" s="377"/>
      <c r="T351" s="377"/>
      <c r="U351" s="377"/>
      <c r="V351" s="377"/>
      <c r="W351" s="377"/>
      <c r="X351" s="574"/>
      <c r="Y351" s="377"/>
      <c r="Z351" s="377"/>
      <c r="AA351" s="377"/>
      <c r="AB351" s="377"/>
      <c r="AC351" s="377"/>
      <c r="AD351" s="377"/>
      <c r="AE351" s="377"/>
      <c r="AF351" s="377"/>
      <c r="AG351" s="377"/>
      <c r="AH351" s="377"/>
      <c r="AI351" s="377"/>
      <c r="AJ351" s="377"/>
      <c r="AK351" s="377"/>
      <c r="AL351" s="574"/>
      <c r="AM351" s="377"/>
      <c r="AN351" s="377"/>
      <c r="AO351" s="377"/>
      <c r="AP351" s="377"/>
      <c r="AQ351" s="377"/>
      <c r="AR351" s="377"/>
      <c r="AS351" s="377"/>
      <c r="AT351" s="377"/>
      <c r="AU351" s="377"/>
      <c r="AV351" s="377"/>
      <c r="AW351" s="575"/>
      <c r="AX351" s="377"/>
      <c r="AY351" s="377"/>
      <c r="AZ351" s="377"/>
      <c r="BA351" s="377"/>
      <c r="BB351" s="377"/>
      <c r="BC351" s="377"/>
      <c r="BD351" s="377"/>
      <c r="BE351" s="377"/>
      <c r="BF351" s="377"/>
      <c r="BG351" s="377"/>
      <c r="BH351" s="377"/>
      <c r="BI351" s="377"/>
      <c r="BJ351" s="377"/>
      <c r="BK351" s="377"/>
      <c r="BL351" s="377"/>
      <c r="BM351" s="377"/>
      <c r="BN351" s="576"/>
      <c r="BO351" s="377"/>
      <c r="BP351" s="377"/>
      <c r="BQ351" s="377"/>
      <c r="BR351" s="377"/>
      <c r="BS351" s="377"/>
      <c r="BT351" s="377"/>
      <c r="BU351" s="377"/>
      <c r="BV351" s="377"/>
      <c r="BW351" s="377"/>
      <c r="BX351" s="377"/>
      <c r="BY351" s="377"/>
      <c r="BZ351" s="377"/>
      <c r="CA351" s="377"/>
      <c r="CB351" s="377"/>
      <c r="CC351" s="377"/>
      <c r="CD351" s="377"/>
      <c r="CE351" s="377"/>
      <c r="CF351" s="377"/>
      <c r="CG351" s="377"/>
      <c r="CH351" s="377"/>
      <c r="CI351" s="377"/>
    </row>
    <row r="352" spans="1:87" ht="15">
      <c r="A352" s="377"/>
      <c r="B352" s="377"/>
      <c r="C352" s="572"/>
      <c r="D352" s="377"/>
      <c r="E352" s="377"/>
      <c r="F352" s="377"/>
      <c r="G352" s="377"/>
      <c r="H352" s="573"/>
      <c r="I352" s="377"/>
      <c r="J352" s="377"/>
      <c r="K352" s="377"/>
      <c r="L352" s="377"/>
      <c r="M352" s="377"/>
      <c r="N352" s="377"/>
      <c r="O352" s="377"/>
      <c r="P352" s="377"/>
      <c r="Q352" s="377"/>
      <c r="R352" s="377"/>
      <c r="S352" s="377"/>
      <c r="T352" s="377"/>
      <c r="U352" s="377"/>
      <c r="V352" s="377"/>
      <c r="W352" s="377"/>
      <c r="X352" s="574"/>
      <c r="Y352" s="377"/>
      <c r="Z352" s="377"/>
      <c r="AA352" s="377"/>
      <c r="AB352" s="377"/>
      <c r="AC352" s="377"/>
      <c r="AD352" s="377"/>
      <c r="AE352" s="377"/>
      <c r="AF352" s="377"/>
      <c r="AG352" s="377"/>
      <c r="AH352" s="377"/>
      <c r="AI352" s="377"/>
      <c r="AJ352" s="377"/>
      <c r="AK352" s="377"/>
      <c r="AL352" s="574"/>
      <c r="AM352" s="377"/>
      <c r="AN352" s="377"/>
      <c r="AO352" s="377"/>
      <c r="AP352" s="377"/>
      <c r="AQ352" s="377"/>
      <c r="AR352" s="377"/>
      <c r="AS352" s="377"/>
      <c r="AT352" s="377"/>
      <c r="AU352" s="377"/>
      <c r="AV352" s="377"/>
      <c r="AW352" s="575"/>
      <c r="AX352" s="377"/>
      <c r="AY352" s="377"/>
      <c r="AZ352" s="377"/>
      <c r="BA352" s="377"/>
      <c r="BB352" s="377"/>
      <c r="BC352" s="377"/>
      <c r="BD352" s="377"/>
      <c r="BE352" s="377"/>
      <c r="BF352" s="377"/>
      <c r="BG352" s="377"/>
      <c r="BH352" s="377"/>
      <c r="BI352" s="377"/>
      <c r="BJ352" s="377"/>
      <c r="BK352" s="377"/>
      <c r="BL352" s="377"/>
      <c r="BM352" s="377"/>
      <c r="BN352" s="576"/>
      <c r="BO352" s="377"/>
      <c r="BP352" s="377"/>
      <c r="BQ352" s="377"/>
      <c r="BR352" s="377"/>
      <c r="BS352" s="377"/>
      <c r="BT352" s="377"/>
      <c r="BU352" s="377"/>
      <c r="BV352" s="377"/>
      <c r="BW352" s="377"/>
      <c r="BX352" s="377"/>
      <c r="BY352" s="377"/>
      <c r="BZ352" s="377"/>
      <c r="CA352" s="377"/>
      <c r="CB352" s="377"/>
      <c r="CC352" s="377"/>
      <c r="CD352" s="377"/>
      <c r="CE352" s="377"/>
      <c r="CF352" s="377"/>
      <c r="CG352" s="377"/>
      <c r="CH352" s="377"/>
      <c r="CI352" s="377"/>
    </row>
    <row r="353" spans="1:87" ht="15">
      <c r="A353" s="377"/>
      <c r="B353" s="377"/>
      <c r="C353" s="572"/>
      <c r="D353" s="377"/>
      <c r="E353" s="377"/>
      <c r="F353" s="377"/>
      <c r="G353" s="377"/>
      <c r="H353" s="573"/>
      <c r="I353" s="377"/>
      <c r="J353" s="377"/>
      <c r="K353" s="377"/>
      <c r="L353" s="377"/>
      <c r="M353" s="377"/>
      <c r="N353" s="377"/>
      <c r="O353" s="377"/>
      <c r="P353" s="377"/>
      <c r="Q353" s="377"/>
      <c r="R353" s="377"/>
      <c r="S353" s="377"/>
      <c r="T353" s="377"/>
      <c r="U353" s="377"/>
      <c r="V353" s="377"/>
      <c r="W353" s="377"/>
      <c r="X353" s="574"/>
      <c r="Y353" s="377"/>
      <c r="Z353" s="377"/>
      <c r="AA353" s="377"/>
      <c r="AB353" s="377"/>
      <c r="AC353" s="377"/>
      <c r="AD353" s="377"/>
      <c r="AE353" s="377"/>
      <c r="AF353" s="377"/>
      <c r="AG353" s="377"/>
      <c r="AH353" s="377"/>
      <c r="AI353" s="377"/>
      <c r="AJ353" s="377"/>
      <c r="AK353" s="377"/>
      <c r="AL353" s="574"/>
      <c r="AM353" s="377"/>
      <c r="AN353" s="377"/>
      <c r="AO353" s="377"/>
      <c r="AP353" s="377"/>
      <c r="AQ353" s="377"/>
      <c r="AR353" s="377"/>
      <c r="AS353" s="377"/>
      <c r="AT353" s="377"/>
      <c r="AU353" s="377"/>
      <c r="AV353" s="377"/>
      <c r="AW353" s="575"/>
      <c r="AX353" s="377"/>
      <c r="AY353" s="377"/>
      <c r="AZ353" s="377"/>
      <c r="BA353" s="377"/>
      <c r="BB353" s="377"/>
      <c r="BC353" s="377"/>
      <c r="BD353" s="377"/>
      <c r="BE353" s="377"/>
      <c r="BF353" s="377"/>
      <c r="BG353" s="377"/>
      <c r="BH353" s="377"/>
      <c r="BI353" s="377"/>
      <c r="BJ353" s="377"/>
      <c r="BK353" s="377"/>
      <c r="BL353" s="377"/>
      <c r="BM353" s="377"/>
      <c r="BN353" s="576"/>
      <c r="BO353" s="377"/>
      <c r="BP353" s="377"/>
      <c r="BQ353" s="377"/>
      <c r="BR353" s="377"/>
      <c r="BS353" s="377"/>
      <c r="BT353" s="377"/>
      <c r="BU353" s="377"/>
      <c r="BV353" s="377"/>
      <c r="BW353" s="377"/>
      <c r="BX353" s="377"/>
      <c r="BY353" s="377"/>
      <c r="BZ353" s="377"/>
      <c r="CA353" s="377"/>
      <c r="CB353" s="377"/>
      <c r="CC353" s="377"/>
      <c r="CD353" s="377"/>
      <c r="CE353" s="377"/>
      <c r="CF353" s="377"/>
      <c r="CG353" s="377"/>
      <c r="CH353" s="377"/>
      <c r="CI353" s="377"/>
    </row>
    <row r="354" spans="1:87" ht="15">
      <c r="A354" s="377"/>
      <c r="B354" s="377"/>
      <c r="C354" s="572"/>
      <c r="D354" s="377"/>
      <c r="E354" s="377"/>
      <c r="F354" s="377"/>
      <c r="G354" s="377"/>
      <c r="H354" s="573"/>
      <c r="I354" s="377"/>
      <c r="J354" s="377"/>
      <c r="K354" s="377"/>
      <c r="L354" s="377"/>
      <c r="M354" s="377"/>
      <c r="N354" s="377"/>
      <c r="O354" s="377"/>
      <c r="P354" s="377"/>
      <c r="Q354" s="377"/>
      <c r="R354" s="377"/>
      <c r="S354" s="377"/>
      <c r="T354" s="377"/>
      <c r="U354" s="377"/>
      <c r="V354" s="377"/>
      <c r="W354" s="377"/>
      <c r="X354" s="574"/>
      <c r="Y354" s="377"/>
      <c r="Z354" s="377"/>
      <c r="AA354" s="377"/>
      <c r="AB354" s="377"/>
      <c r="AC354" s="377"/>
      <c r="AD354" s="377"/>
      <c r="AE354" s="377"/>
      <c r="AF354" s="377"/>
      <c r="AG354" s="377"/>
      <c r="AH354" s="377"/>
      <c r="AI354" s="377"/>
      <c r="AJ354" s="377"/>
      <c r="AK354" s="377"/>
      <c r="AL354" s="574"/>
      <c r="AM354" s="377"/>
      <c r="AN354" s="377"/>
      <c r="AO354" s="377"/>
      <c r="AP354" s="377"/>
      <c r="AQ354" s="377"/>
      <c r="AR354" s="377"/>
      <c r="AS354" s="377"/>
      <c r="AT354" s="377"/>
      <c r="AU354" s="377"/>
      <c r="AV354" s="377"/>
      <c r="AW354" s="575"/>
      <c r="AX354" s="377"/>
      <c r="AY354" s="377"/>
      <c r="AZ354" s="377"/>
      <c r="BA354" s="377"/>
      <c r="BB354" s="377"/>
      <c r="BC354" s="377"/>
      <c r="BD354" s="377"/>
      <c r="BE354" s="377"/>
      <c r="BF354" s="377"/>
      <c r="BG354" s="377"/>
      <c r="BH354" s="377"/>
      <c r="BI354" s="377"/>
      <c r="BJ354" s="377"/>
      <c r="BK354" s="377"/>
      <c r="BL354" s="377"/>
      <c r="BM354" s="377"/>
      <c r="BN354" s="576"/>
      <c r="BO354" s="377"/>
      <c r="BP354" s="377"/>
      <c r="BQ354" s="377"/>
      <c r="BR354" s="377"/>
      <c r="BS354" s="377"/>
      <c r="BT354" s="377"/>
      <c r="BU354" s="377"/>
      <c r="BV354" s="377"/>
      <c r="BW354" s="377"/>
      <c r="BX354" s="377"/>
      <c r="BY354" s="377"/>
      <c r="BZ354" s="377"/>
      <c r="CA354" s="377"/>
      <c r="CB354" s="377"/>
      <c r="CC354" s="377"/>
      <c r="CD354" s="377"/>
      <c r="CE354" s="377"/>
      <c r="CF354" s="377"/>
      <c r="CG354" s="377"/>
      <c r="CH354" s="377"/>
      <c r="CI354" s="377"/>
    </row>
    <row r="355" spans="1:87" ht="15">
      <c r="A355" s="377"/>
      <c r="B355" s="377"/>
      <c r="C355" s="572"/>
      <c r="D355" s="377"/>
      <c r="E355" s="377"/>
      <c r="F355" s="377"/>
      <c r="G355" s="377"/>
      <c r="H355" s="573"/>
      <c r="I355" s="377"/>
      <c r="J355" s="377"/>
      <c r="K355" s="377"/>
      <c r="L355" s="377"/>
      <c r="M355" s="377"/>
      <c r="N355" s="377"/>
      <c r="O355" s="377"/>
      <c r="P355" s="377"/>
      <c r="Q355" s="377"/>
      <c r="R355" s="377"/>
      <c r="S355" s="377"/>
      <c r="T355" s="377"/>
      <c r="U355" s="377"/>
      <c r="V355" s="377"/>
      <c r="W355" s="377"/>
      <c r="X355" s="574"/>
      <c r="Y355" s="377"/>
      <c r="Z355" s="377"/>
      <c r="AA355" s="377"/>
      <c r="AB355" s="377"/>
      <c r="AC355" s="377"/>
      <c r="AD355" s="377"/>
      <c r="AE355" s="377"/>
      <c r="AF355" s="377"/>
      <c r="AG355" s="377"/>
      <c r="AH355" s="377"/>
      <c r="AI355" s="377"/>
      <c r="AJ355" s="377"/>
      <c r="AK355" s="377"/>
      <c r="AL355" s="574"/>
      <c r="AM355" s="377"/>
      <c r="AN355" s="377"/>
      <c r="AO355" s="377"/>
      <c r="AP355" s="377"/>
      <c r="AQ355" s="377"/>
      <c r="AR355" s="377"/>
      <c r="AS355" s="377"/>
      <c r="AT355" s="377"/>
      <c r="AU355" s="377"/>
      <c r="AV355" s="377"/>
      <c r="AW355" s="575"/>
      <c r="AX355" s="377"/>
      <c r="AY355" s="377"/>
      <c r="AZ355" s="377"/>
      <c r="BA355" s="377"/>
      <c r="BB355" s="377"/>
      <c r="BC355" s="377"/>
      <c r="BD355" s="377"/>
      <c r="BE355" s="377"/>
      <c r="BF355" s="377"/>
      <c r="BG355" s="377"/>
      <c r="BH355" s="377"/>
      <c r="BI355" s="377"/>
      <c r="BJ355" s="377"/>
      <c r="BK355" s="377"/>
      <c r="BL355" s="377"/>
      <c r="BM355" s="377"/>
      <c r="BN355" s="576"/>
      <c r="BO355" s="377"/>
      <c r="BP355" s="377"/>
      <c r="BQ355" s="377"/>
      <c r="BR355" s="377"/>
      <c r="BS355" s="377"/>
      <c r="BT355" s="377"/>
      <c r="BU355" s="377"/>
      <c r="BV355" s="377"/>
      <c r="BW355" s="377"/>
      <c r="BX355" s="377"/>
      <c r="BY355" s="377"/>
      <c r="BZ355" s="377"/>
      <c r="CA355" s="377"/>
      <c r="CB355" s="377"/>
      <c r="CC355" s="377"/>
      <c r="CD355" s="377"/>
      <c r="CE355" s="377"/>
      <c r="CF355" s="377"/>
      <c r="CG355" s="377"/>
      <c r="CH355" s="377"/>
      <c r="CI355" s="377"/>
    </row>
    <row r="356" spans="1:87" ht="15">
      <c r="A356" s="377"/>
      <c r="B356" s="377"/>
      <c r="C356" s="572"/>
      <c r="D356" s="377"/>
      <c r="E356" s="377"/>
      <c r="F356" s="377"/>
      <c r="G356" s="377"/>
      <c r="H356" s="573"/>
      <c r="I356" s="377"/>
      <c r="J356" s="377"/>
      <c r="K356" s="377"/>
      <c r="L356" s="377"/>
      <c r="M356" s="377"/>
      <c r="N356" s="377"/>
      <c r="O356" s="377"/>
      <c r="P356" s="377"/>
      <c r="Q356" s="377"/>
      <c r="R356" s="377"/>
      <c r="S356" s="377"/>
      <c r="T356" s="377"/>
      <c r="U356" s="377"/>
      <c r="V356" s="377"/>
      <c r="W356" s="377"/>
      <c r="X356" s="574"/>
      <c r="Y356" s="377"/>
      <c r="Z356" s="377"/>
      <c r="AA356" s="377"/>
      <c r="AB356" s="377"/>
      <c r="AC356" s="377"/>
      <c r="AD356" s="377"/>
      <c r="AE356" s="377"/>
      <c r="AF356" s="377"/>
      <c r="AG356" s="377"/>
      <c r="AH356" s="377"/>
      <c r="AI356" s="377"/>
      <c r="AJ356" s="377"/>
      <c r="AK356" s="377"/>
      <c r="AL356" s="574"/>
      <c r="AM356" s="377"/>
      <c r="AN356" s="377"/>
      <c r="AO356" s="377"/>
      <c r="AP356" s="377"/>
      <c r="AQ356" s="377"/>
      <c r="AR356" s="377"/>
      <c r="AS356" s="377"/>
      <c r="AT356" s="377"/>
      <c r="AU356" s="377"/>
      <c r="AV356" s="377"/>
      <c r="AW356" s="575"/>
      <c r="AX356" s="377"/>
      <c r="AY356" s="377"/>
      <c r="AZ356" s="377"/>
      <c r="BA356" s="377"/>
      <c r="BB356" s="377"/>
      <c r="BC356" s="377"/>
      <c r="BD356" s="377"/>
      <c r="BE356" s="377"/>
      <c r="BF356" s="377"/>
      <c r="BG356" s="377"/>
      <c r="BH356" s="377"/>
      <c r="BI356" s="377"/>
      <c r="BJ356" s="377"/>
      <c r="BK356" s="377"/>
      <c r="BL356" s="377"/>
      <c r="BM356" s="377"/>
      <c r="BN356" s="576"/>
      <c r="BO356" s="377"/>
      <c r="BP356" s="377"/>
      <c r="BQ356" s="377"/>
      <c r="BR356" s="377"/>
      <c r="BS356" s="377"/>
      <c r="BT356" s="377"/>
      <c r="BU356" s="377"/>
      <c r="BV356" s="377"/>
      <c r="BW356" s="377"/>
      <c r="BX356" s="377"/>
      <c r="BY356" s="377"/>
      <c r="BZ356" s="377"/>
      <c r="CA356" s="377"/>
      <c r="CB356" s="377"/>
      <c r="CC356" s="377"/>
      <c r="CD356" s="377"/>
      <c r="CE356" s="377"/>
      <c r="CF356" s="377"/>
      <c r="CG356" s="377"/>
      <c r="CH356" s="377"/>
      <c r="CI356" s="377"/>
    </row>
    <row r="357" spans="1:87" ht="15">
      <c r="A357" s="377"/>
      <c r="B357" s="377"/>
      <c r="C357" s="572"/>
      <c r="D357" s="377"/>
      <c r="E357" s="377"/>
      <c r="F357" s="377"/>
      <c r="G357" s="377"/>
      <c r="H357" s="573"/>
      <c r="I357" s="377"/>
      <c r="J357" s="377"/>
      <c r="K357" s="377"/>
      <c r="L357" s="377"/>
      <c r="M357" s="377"/>
      <c r="N357" s="377"/>
      <c r="O357" s="377"/>
      <c r="P357" s="377"/>
      <c r="Q357" s="377"/>
      <c r="R357" s="377"/>
      <c r="S357" s="377"/>
      <c r="T357" s="377"/>
      <c r="U357" s="377"/>
      <c r="V357" s="377"/>
      <c r="W357" s="377"/>
      <c r="X357" s="574"/>
      <c r="Y357" s="377"/>
      <c r="Z357" s="377"/>
      <c r="AA357" s="377"/>
      <c r="AB357" s="377"/>
      <c r="AC357" s="377"/>
      <c r="AD357" s="377"/>
      <c r="AE357" s="377"/>
      <c r="AF357" s="377"/>
      <c r="AG357" s="377"/>
      <c r="AH357" s="377"/>
      <c r="AI357" s="377"/>
      <c r="AJ357" s="377"/>
      <c r="AK357" s="377"/>
      <c r="AL357" s="574"/>
      <c r="AM357" s="377"/>
      <c r="AN357" s="377"/>
      <c r="AO357" s="377"/>
      <c r="AP357" s="377"/>
      <c r="AQ357" s="377"/>
      <c r="AR357" s="377"/>
      <c r="AS357" s="377"/>
      <c r="AT357" s="377"/>
      <c r="AU357" s="377"/>
      <c r="AV357" s="377"/>
      <c r="AW357" s="575"/>
      <c r="AX357" s="377"/>
      <c r="AY357" s="377"/>
      <c r="AZ357" s="377"/>
      <c r="BA357" s="377"/>
      <c r="BB357" s="377"/>
      <c r="BC357" s="377"/>
      <c r="BD357" s="377"/>
      <c r="BE357" s="377"/>
      <c r="BF357" s="377"/>
      <c r="BG357" s="377"/>
      <c r="BH357" s="377"/>
      <c r="BI357" s="377"/>
      <c r="BJ357" s="377"/>
      <c r="BK357" s="377"/>
      <c r="BL357" s="377"/>
      <c r="BM357" s="377"/>
      <c r="BN357" s="576"/>
      <c r="BO357" s="377"/>
      <c r="BP357" s="377"/>
      <c r="BQ357" s="377"/>
      <c r="BR357" s="377"/>
      <c r="BS357" s="377"/>
      <c r="BT357" s="377"/>
      <c r="BU357" s="377"/>
      <c r="BV357" s="377"/>
      <c r="BW357" s="377"/>
      <c r="BX357" s="377"/>
      <c r="BY357" s="377"/>
      <c r="BZ357" s="377"/>
      <c r="CA357" s="377"/>
      <c r="CB357" s="377"/>
      <c r="CC357" s="377"/>
      <c r="CD357" s="377"/>
      <c r="CE357" s="377"/>
      <c r="CF357" s="377"/>
      <c r="CG357" s="377"/>
      <c r="CH357" s="377"/>
      <c r="CI357" s="377"/>
    </row>
    <row r="358" spans="1:87" ht="15">
      <c r="A358" s="377"/>
      <c r="B358" s="377"/>
      <c r="C358" s="572"/>
      <c r="D358" s="377"/>
      <c r="E358" s="377"/>
      <c r="F358" s="377"/>
      <c r="G358" s="377"/>
      <c r="H358" s="573"/>
      <c r="I358" s="377"/>
      <c r="J358" s="377"/>
      <c r="K358" s="377"/>
      <c r="L358" s="377"/>
      <c r="M358" s="377"/>
      <c r="N358" s="377"/>
      <c r="O358" s="377"/>
      <c r="P358" s="377"/>
      <c r="Q358" s="377"/>
      <c r="R358" s="377"/>
      <c r="S358" s="377"/>
      <c r="T358" s="377"/>
      <c r="U358" s="377"/>
      <c r="V358" s="377"/>
      <c r="W358" s="377"/>
      <c r="X358" s="574"/>
      <c r="Y358" s="377"/>
      <c r="Z358" s="377"/>
      <c r="AA358" s="377"/>
      <c r="AB358" s="377"/>
      <c r="AC358" s="377"/>
      <c r="AD358" s="377"/>
      <c r="AE358" s="377"/>
      <c r="AF358" s="377"/>
      <c r="AG358" s="377"/>
      <c r="AH358" s="377"/>
      <c r="AI358" s="377"/>
      <c r="AJ358" s="377"/>
      <c r="AK358" s="377"/>
      <c r="AL358" s="574"/>
      <c r="AM358" s="377"/>
      <c r="AN358" s="377"/>
      <c r="AO358" s="377"/>
      <c r="AP358" s="377"/>
      <c r="AQ358" s="377"/>
      <c r="AR358" s="377"/>
      <c r="AS358" s="377"/>
      <c r="AT358" s="377"/>
      <c r="AU358" s="377"/>
      <c r="AV358" s="377"/>
      <c r="AW358" s="575"/>
      <c r="AX358" s="377"/>
      <c r="AY358" s="377"/>
      <c r="AZ358" s="377"/>
      <c r="BA358" s="377"/>
      <c r="BB358" s="377"/>
      <c r="BC358" s="377"/>
      <c r="BD358" s="377"/>
      <c r="BE358" s="377"/>
      <c r="BF358" s="377"/>
      <c r="BG358" s="377"/>
      <c r="BH358" s="377"/>
      <c r="BI358" s="377"/>
      <c r="BJ358" s="377"/>
      <c r="BK358" s="377"/>
      <c r="BL358" s="377"/>
      <c r="BM358" s="377"/>
      <c r="BN358" s="576"/>
      <c r="BO358" s="377"/>
      <c r="BP358" s="377"/>
      <c r="BQ358" s="377"/>
      <c r="BR358" s="377"/>
      <c r="BS358" s="377"/>
      <c r="BT358" s="377"/>
      <c r="BU358" s="377"/>
      <c r="BV358" s="377"/>
      <c r="BW358" s="377"/>
      <c r="BX358" s="377"/>
      <c r="BY358" s="377"/>
      <c r="BZ358" s="377"/>
      <c r="CA358" s="377"/>
      <c r="CB358" s="377"/>
      <c r="CC358" s="377"/>
      <c r="CD358" s="377"/>
      <c r="CE358" s="377"/>
      <c r="CF358" s="377"/>
      <c r="CG358" s="377"/>
      <c r="CH358" s="377"/>
      <c r="CI358" s="377"/>
    </row>
    <row r="359" spans="1:87" ht="15">
      <c r="A359" s="377"/>
      <c r="B359" s="377"/>
      <c r="C359" s="572"/>
      <c r="D359" s="377"/>
      <c r="E359" s="377"/>
      <c r="F359" s="377"/>
      <c r="G359" s="377"/>
      <c r="H359" s="573"/>
      <c r="I359" s="377"/>
      <c r="J359" s="377"/>
      <c r="K359" s="377"/>
      <c r="L359" s="377"/>
      <c r="M359" s="377"/>
      <c r="N359" s="377"/>
      <c r="O359" s="377"/>
      <c r="P359" s="377"/>
      <c r="Q359" s="377"/>
      <c r="R359" s="377"/>
      <c r="S359" s="377"/>
      <c r="T359" s="377"/>
      <c r="U359" s="377"/>
      <c r="V359" s="377"/>
      <c r="W359" s="377"/>
      <c r="X359" s="574"/>
      <c r="Y359" s="377"/>
      <c r="Z359" s="377"/>
      <c r="AA359" s="377"/>
      <c r="AB359" s="377"/>
      <c r="AC359" s="377"/>
      <c r="AD359" s="377"/>
      <c r="AE359" s="377"/>
      <c r="AF359" s="377"/>
      <c r="AG359" s="377"/>
      <c r="AH359" s="377"/>
      <c r="AI359" s="377"/>
      <c r="AJ359" s="377"/>
      <c r="AK359" s="377"/>
      <c r="AL359" s="574"/>
      <c r="AM359" s="377"/>
      <c r="AN359" s="377"/>
      <c r="AO359" s="377"/>
      <c r="AP359" s="377"/>
      <c r="AQ359" s="377"/>
      <c r="AR359" s="377"/>
      <c r="AS359" s="377"/>
      <c r="AT359" s="377"/>
      <c r="AU359" s="377"/>
      <c r="AV359" s="377"/>
      <c r="AW359" s="575"/>
      <c r="AX359" s="377"/>
      <c r="AY359" s="377"/>
      <c r="AZ359" s="377"/>
      <c r="BA359" s="377"/>
      <c r="BB359" s="377"/>
      <c r="BC359" s="377"/>
      <c r="BD359" s="377"/>
      <c r="BE359" s="377"/>
      <c r="BF359" s="377"/>
      <c r="BG359" s="377"/>
      <c r="BH359" s="377"/>
      <c r="BI359" s="377"/>
      <c r="BJ359" s="377"/>
      <c r="BK359" s="377"/>
      <c r="BL359" s="377"/>
      <c r="BM359" s="377"/>
      <c r="BN359" s="576"/>
      <c r="BO359" s="377"/>
      <c r="BP359" s="377"/>
      <c r="BQ359" s="377"/>
      <c r="BR359" s="377"/>
      <c r="BS359" s="377"/>
      <c r="BT359" s="377"/>
      <c r="BU359" s="377"/>
      <c r="BV359" s="377"/>
      <c r="BW359" s="377"/>
      <c r="BX359" s="377"/>
      <c r="BY359" s="377"/>
      <c r="BZ359" s="377"/>
      <c r="CA359" s="377"/>
      <c r="CB359" s="377"/>
      <c r="CC359" s="377"/>
      <c r="CD359" s="377"/>
      <c r="CE359" s="377"/>
      <c r="CF359" s="377"/>
      <c r="CG359" s="377"/>
      <c r="CH359" s="377"/>
      <c r="CI359" s="377"/>
    </row>
    <row r="360" spans="1:87" ht="15">
      <c r="A360" s="377"/>
      <c r="B360" s="377"/>
      <c r="C360" s="572"/>
      <c r="D360" s="377"/>
      <c r="E360" s="377"/>
      <c r="F360" s="377"/>
      <c r="G360" s="377"/>
      <c r="H360" s="573"/>
      <c r="I360" s="377"/>
      <c r="J360" s="377"/>
      <c r="K360" s="377"/>
      <c r="L360" s="377"/>
      <c r="M360" s="377"/>
      <c r="N360" s="377"/>
      <c r="O360" s="377"/>
      <c r="P360" s="377"/>
      <c r="Q360" s="377"/>
      <c r="R360" s="377"/>
      <c r="S360" s="377"/>
      <c r="T360" s="377"/>
      <c r="U360" s="377"/>
      <c r="V360" s="377"/>
      <c r="W360" s="377"/>
      <c r="X360" s="574"/>
      <c r="Y360" s="377"/>
      <c r="Z360" s="377"/>
      <c r="AA360" s="377"/>
      <c r="AB360" s="377"/>
      <c r="AC360" s="377"/>
      <c r="AD360" s="377"/>
      <c r="AE360" s="377"/>
      <c r="AF360" s="377"/>
      <c r="AG360" s="377"/>
      <c r="AH360" s="377"/>
      <c r="AI360" s="377"/>
      <c r="AJ360" s="377"/>
      <c r="AK360" s="377"/>
      <c r="AL360" s="574"/>
      <c r="AM360" s="377"/>
      <c r="AN360" s="377"/>
      <c r="AO360" s="377"/>
      <c r="AP360" s="377"/>
      <c r="AQ360" s="377"/>
      <c r="AR360" s="377"/>
      <c r="AS360" s="377"/>
      <c r="AT360" s="377"/>
      <c r="AU360" s="377"/>
      <c r="AV360" s="377"/>
      <c r="AW360" s="575"/>
      <c r="AX360" s="377"/>
      <c r="AY360" s="377"/>
      <c r="AZ360" s="377"/>
      <c r="BA360" s="377"/>
      <c r="BB360" s="377"/>
      <c r="BC360" s="377"/>
      <c r="BD360" s="377"/>
      <c r="BE360" s="377"/>
      <c r="BF360" s="377"/>
      <c r="BG360" s="377"/>
      <c r="BH360" s="377"/>
      <c r="BI360" s="377"/>
      <c r="BJ360" s="377"/>
      <c r="BK360" s="377"/>
      <c r="BL360" s="377"/>
      <c r="BM360" s="377"/>
      <c r="BN360" s="576"/>
      <c r="BO360" s="377"/>
      <c r="BP360" s="377"/>
      <c r="BQ360" s="377"/>
      <c r="BR360" s="377"/>
      <c r="BS360" s="377"/>
      <c r="BT360" s="377"/>
      <c r="BU360" s="377"/>
      <c r="BV360" s="377"/>
      <c r="BW360" s="377"/>
      <c r="BX360" s="377"/>
      <c r="BY360" s="377"/>
      <c r="BZ360" s="377"/>
      <c r="CA360" s="377"/>
      <c r="CB360" s="377"/>
      <c r="CC360" s="377"/>
      <c r="CD360" s="377"/>
      <c r="CE360" s="377"/>
      <c r="CF360" s="377"/>
      <c r="CG360" s="377"/>
      <c r="CH360" s="377"/>
      <c r="CI360" s="377"/>
    </row>
    <row r="361" spans="1:87" ht="15">
      <c r="A361" s="377"/>
      <c r="B361" s="377"/>
      <c r="C361" s="572"/>
      <c r="D361" s="377"/>
      <c r="E361" s="377"/>
      <c r="F361" s="377"/>
      <c r="G361" s="377"/>
      <c r="H361" s="573"/>
      <c r="I361" s="377"/>
      <c r="J361" s="377"/>
      <c r="K361" s="377"/>
      <c r="L361" s="377"/>
      <c r="M361" s="377"/>
      <c r="N361" s="377"/>
      <c r="O361" s="377"/>
      <c r="P361" s="377"/>
      <c r="Q361" s="377"/>
      <c r="R361" s="377"/>
      <c r="S361" s="377"/>
      <c r="T361" s="377"/>
      <c r="U361" s="377"/>
      <c r="V361" s="377"/>
      <c r="W361" s="377"/>
      <c r="X361" s="574"/>
      <c r="Y361" s="377"/>
      <c r="Z361" s="377"/>
      <c r="AA361" s="377"/>
      <c r="AB361" s="377"/>
      <c r="AC361" s="377"/>
      <c r="AD361" s="377"/>
      <c r="AE361" s="377"/>
      <c r="AF361" s="377"/>
      <c r="AG361" s="377"/>
      <c r="AH361" s="377"/>
      <c r="AI361" s="377"/>
      <c r="AJ361" s="377"/>
      <c r="AK361" s="377"/>
      <c r="AL361" s="574"/>
      <c r="AM361" s="377"/>
      <c r="AN361" s="377"/>
      <c r="AO361" s="377"/>
      <c r="AP361" s="377"/>
      <c r="AQ361" s="377"/>
      <c r="AR361" s="377"/>
      <c r="AS361" s="377"/>
      <c r="AT361" s="377"/>
      <c r="AU361" s="377"/>
      <c r="AV361" s="377"/>
      <c r="AW361" s="575"/>
      <c r="AX361" s="377"/>
      <c r="AY361" s="377"/>
      <c r="AZ361" s="377"/>
      <c r="BA361" s="377"/>
      <c r="BB361" s="377"/>
      <c r="BC361" s="377"/>
      <c r="BD361" s="377"/>
      <c r="BE361" s="377"/>
      <c r="BF361" s="377"/>
      <c r="BG361" s="377"/>
      <c r="BH361" s="377"/>
      <c r="BI361" s="377"/>
      <c r="BJ361" s="377"/>
      <c r="BK361" s="377"/>
      <c r="BL361" s="377"/>
      <c r="BM361" s="377"/>
      <c r="BN361" s="576"/>
      <c r="BO361" s="377"/>
      <c r="BP361" s="377"/>
      <c r="BQ361" s="377"/>
      <c r="BR361" s="377"/>
      <c r="BS361" s="377"/>
      <c r="BT361" s="377"/>
      <c r="BU361" s="377"/>
      <c r="BV361" s="377"/>
      <c r="BW361" s="377"/>
      <c r="BX361" s="377"/>
      <c r="BY361" s="377"/>
      <c r="BZ361" s="377"/>
      <c r="CA361" s="377"/>
      <c r="CB361" s="377"/>
      <c r="CC361" s="377"/>
      <c r="CD361" s="377"/>
      <c r="CE361" s="377"/>
      <c r="CF361" s="377"/>
      <c r="CG361" s="377"/>
      <c r="CH361" s="377"/>
      <c r="CI361" s="377"/>
    </row>
    <row r="362" spans="1:87" ht="15">
      <c r="A362" s="377"/>
      <c r="B362" s="377"/>
      <c r="C362" s="572"/>
      <c r="D362" s="377"/>
      <c r="E362" s="377"/>
      <c r="F362" s="377"/>
      <c r="G362" s="377"/>
      <c r="H362" s="573"/>
      <c r="I362" s="377"/>
      <c r="J362" s="377"/>
      <c r="K362" s="377"/>
      <c r="L362" s="377"/>
      <c r="M362" s="377"/>
      <c r="N362" s="377"/>
      <c r="O362" s="377"/>
      <c r="P362" s="377"/>
      <c r="Q362" s="377"/>
      <c r="R362" s="377"/>
      <c r="S362" s="377"/>
      <c r="T362" s="377"/>
      <c r="U362" s="377"/>
      <c r="V362" s="377"/>
      <c r="W362" s="377"/>
      <c r="X362" s="574"/>
      <c r="Y362" s="377"/>
      <c r="Z362" s="377"/>
      <c r="AA362" s="377"/>
      <c r="AB362" s="377"/>
      <c r="AC362" s="377"/>
      <c r="AD362" s="377"/>
      <c r="AE362" s="377"/>
      <c r="AF362" s="377"/>
      <c r="AG362" s="377"/>
      <c r="AH362" s="377"/>
      <c r="AI362" s="377"/>
      <c r="AJ362" s="377"/>
      <c r="AK362" s="377"/>
      <c r="AL362" s="574"/>
      <c r="AM362" s="377"/>
      <c r="AN362" s="377"/>
      <c r="AO362" s="377"/>
      <c r="AP362" s="377"/>
      <c r="AQ362" s="377"/>
      <c r="AR362" s="377"/>
      <c r="AS362" s="377"/>
      <c r="AT362" s="377"/>
      <c r="AU362" s="377"/>
      <c r="AV362" s="377"/>
      <c r="AW362" s="575"/>
      <c r="AX362" s="377"/>
      <c r="AY362" s="377"/>
      <c r="AZ362" s="377"/>
      <c r="BA362" s="377"/>
      <c r="BB362" s="377"/>
      <c r="BC362" s="377"/>
      <c r="BD362" s="377"/>
      <c r="BE362" s="377"/>
      <c r="BF362" s="377"/>
      <c r="BG362" s="377"/>
      <c r="BH362" s="377"/>
      <c r="BI362" s="377"/>
      <c r="BJ362" s="377"/>
      <c r="BK362" s="377"/>
      <c r="BL362" s="377"/>
      <c r="BM362" s="377"/>
      <c r="BN362" s="576"/>
      <c r="BO362" s="377"/>
      <c r="BP362" s="377"/>
      <c r="BQ362" s="377"/>
      <c r="BR362" s="377"/>
      <c r="BS362" s="377"/>
      <c r="BT362" s="377"/>
      <c r="BU362" s="377"/>
      <c r="BV362" s="377"/>
      <c r="BW362" s="377"/>
      <c r="BX362" s="377"/>
      <c r="BY362" s="377"/>
      <c r="BZ362" s="377"/>
      <c r="CA362" s="377"/>
      <c r="CB362" s="377"/>
      <c r="CC362" s="377"/>
      <c r="CD362" s="377"/>
      <c r="CE362" s="377"/>
      <c r="CF362" s="377"/>
      <c r="CG362" s="377"/>
      <c r="CH362" s="377"/>
      <c r="CI362" s="377"/>
    </row>
    <row r="363" spans="1:87" ht="15">
      <c r="A363" s="377"/>
      <c r="B363" s="377"/>
      <c r="C363" s="572"/>
      <c r="D363" s="377"/>
      <c r="E363" s="377"/>
      <c r="F363" s="377"/>
      <c r="G363" s="377"/>
      <c r="H363" s="573"/>
      <c r="I363" s="377"/>
      <c r="J363" s="377"/>
      <c r="K363" s="377"/>
      <c r="L363" s="377"/>
      <c r="M363" s="377"/>
      <c r="N363" s="377"/>
      <c r="O363" s="377"/>
      <c r="P363" s="377"/>
      <c r="Q363" s="377"/>
      <c r="R363" s="377"/>
      <c r="S363" s="377"/>
      <c r="T363" s="377"/>
      <c r="U363" s="377"/>
      <c r="V363" s="377"/>
      <c r="W363" s="377"/>
      <c r="X363" s="574"/>
      <c r="Y363" s="377"/>
      <c r="Z363" s="377"/>
      <c r="AA363" s="377"/>
      <c r="AB363" s="377"/>
      <c r="AC363" s="377"/>
      <c r="AD363" s="377"/>
      <c r="AE363" s="377"/>
      <c r="AF363" s="377"/>
      <c r="AG363" s="377"/>
      <c r="AH363" s="377"/>
      <c r="AI363" s="377"/>
      <c r="AJ363" s="377"/>
      <c r="AK363" s="377"/>
      <c r="AL363" s="574"/>
      <c r="AM363" s="377"/>
      <c r="AN363" s="377"/>
      <c r="AO363" s="377"/>
      <c r="AP363" s="377"/>
      <c r="AQ363" s="377"/>
      <c r="AR363" s="377"/>
      <c r="AS363" s="377"/>
      <c r="AT363" s="377"/>
      <c r="AU363" s="377"/>
      <c r="AV363" s="377"/>
      <c r="AW363" s="575"/>
      <c r="AX363" s="377"/>
      <c r="AY363" s="377"/>
      <c r="AZ363" s="377"/>
      <c r="BA363" s="377"/>
      <c r="BB363" s="377"/>
      <c r="BC363" s="377"/>
      <c r="BD363" s="377"/>
      <c r="BE363" s="377"/>
      <c r="BF363" s="377"/>
      <c r="BG363" s="377"/>
      <c r="BH363" s="377"/>
      <c r="BI363" s="377"/>
      <c r="BJ363" s="377"/>
      <c r="BK363" s="377"/>
      <c r="BL363" s="377"/>
      <c r="BM363" s="377"/>
      <c r="BN363" s="576"/>
      <c r="BO363" s="377"/>
      <c r="BP363" s="377"/>
      <c r="BQ363" s="377"/>
      <c r="BR363" s="377"/>
      <c r="BS363" s="377"/>
      <c r="BT363" s="377"/>
      <c r="BU363" s="377"/>
      <c r="BV363" s="377"/>
      <c r="BW363" s="377"/>
      <c r="BX363" s="377"/>
      <c r="BY363" s="377"/>
      <c r="BZ363" s="377"/>
      <c r="CA363" s="377"/>
      <c r="CB363" s="377"/>
      <c r="CC363" s="377"/>
      <c r="CD363" s="377"/>
      <c r="CE363" s="377"/>
      <c r="CF363" s="377"/>
      <c r="CG363" s="377"/>
      <c r="CH363" s="377"/>
      <c r="CI363" s="377"/>
    </row>
    <row r="364" spans="1:87" ht="15">
      <c r="A364" s="377"/>
      <c r="B364" s="377"/>
      <c r="C364" s="572"/>
      <c r="D364" s="377"/>
      <c r="E364" s="377"/>
      <c r="F364" s="377"/>
      <c r="G364" s="377"/>
      <c r="H364" s="573"/>
      <c r="I364" s="377"/>
      <c r="J364" s="377"/>
      <c r="K364" s="377"/>
      <c r="L364" s="377"/>
      <c r="M364" s="377"/>
      <c r="N364" s="377"/>
      <c r="O364" s="377"/>
      <c r="P364" s="377"/>
      <c r="Q364" s="377"/>
      <c r="R364" s="377"/>
      <c r="S364" s="377"/>
      <c r="T364" s="377"/>
      <c r="U364" s="377"/>
      <c r="V364" s="377"/>
      <c r="W364" s="377"/>
      <c r="X364" s="574"/>
      <c r="Y364" s="377"/>
      <c r="Z364" s="377"/>
      <c r="AA364" s="377"/>
      <c r="AB364" s="377"/>
      <c r="AC364" s="377"/>
      <c r="AD364" s="377"/>
      <c r="AE364" s="377"/>
      <c r="AF364" s="377"/>
      <c r="AG364" s="377"/>
      <c r="AH364" s="377"/>
      <c r="AI364" s="377"/>
      <c r="AJ364" s="377"/>
      <c r="AK364" s="377"/>
      <c r="AL364" s="574"/>
      <c r="AM364" s="377"/>
      <c r="AN364" s="377"/>
      <c r="AO364" s="377"/>
      <c r="AP364" s="377"/>
      <c r="AQ364" s="377"/>
      <c r="AR364" s="377"/>
      <c r="AS364" s="377"/>
      <c r="AT364" s="377"/>
      <c r="AU364" s="377"/>
      <c r="AV364" s="377"/>
      <c r="AW364" s="575"/>
      <c r="AX364" s="377"/>
      <c r="AY364" s="377"/>
      <c r="AZ364" s="377"/>
      <c r="BA364" s="377"/>
      <c r="BB364" s="377"/>
      <c r="BC364" s="377"/>
      <c r="BD364" s="377"/>
      <c r="BE364" s="377"/>
      <c r="BF364" s="377"/>
      <c r="BG364" s="377"/>
      <c r="BH364" s="377"/>
      <c r="BI364" s="377"/>
      <c r="BJ364" s="377"/>
      <c r="BK364" s="377"/>
      <c r="BL364" s="377"/>
      <c r="BM364" s="377"/>
      <c r="BN364" s="576"/>
      <c r="BO364" s="377"/>
      <c r="BP364" s="377"/>
      <c r="BQ364" s="377"/>
      <c r="BR364" s="377"/>
      <c r="BS364" s="377"/>
      <c r="BT364" s="377"/>
      <c r="BU364" s="377"/>
      <c r="BV364" s="377"/>
      <c r="BW364" s="377"/>
      <c r="BX364" s="377"/>
      <c r="BY364" s="377"/>
      <c r="BZ364" s="377"/>
      <c r="CA364" s="377"/>
      <c r="CB364" s="377"/>
      <c r="CC364" s="377"/>
      <c r="CD364" s="377"/>
      <c r="CE364" s="377"/>
      <c r="CF364" s="377"/>
      <c r="CG364" s="377"/>
      <c r="CH364" s="377"/>
      <c r="CI364" s="377"/>
    </row>
    <row r="365" spans="1:87" ht="15">
      <c r="A365" s="377"/>
      <c r="B365" s="377"/>
      <c r="C365" s="572"/>
      <c r="D365" s="377"/>
      <c r="E365" s="377"/>
      <c r="F365" s="377"/>
      <c r="G365" s="377"/>
      <c r="H365" s="573"/>
      <c r="I365" s="377"/>
      <c r="J365" s="377"/>
      <c r="K365" s="377"/>
      <c r="L365" s="377"/>
      <c r="M365" s="377"/>
      <c r="N365" s="377"/>
      <c r="O365" s="377"/>
      <c r="P365" s="377"/>
      <c r="Q365" s="377"/>
      <c r="R365" s="377"/>
      <c r="S365" s="377"/>
      <c r="T365" s="377"/>
      <c r="U365" s="377"/>
      <c r="V365" s="377"/>
      <c r="W365" s="377"/>
      <c r="X365" s="574"/>
      <c r="Y365" s="377"/>
      <c r="Z365" s="377"/>
      <c r="AA365" s="377"/>
      <c r="AB365" s="377"/>
      <c r="AC365" s="377"/>
      <c r="AD365" s="377"/>
      <c r="AE365" s="377"/>
      <c r="AF365" s="377"/>
      <c r="AG365" s="377"/>
      <c r="AH365" s="377"/>
      <c r="AI365" s="377"/>
      <c r="AJ365" s="377"/>
      <c r="AK365" s="377"/>
      <c r="AL365" s="574"/>
      <c r="AM365" s="377"/>
      <c r="AN365" s="377"/>
      <c r="AO365" s="377"/>
      <c r="AP365" s="377"/>
      <c r="AQ365" s="377"/>
      <c r="AR365" s="377"/>
      <c r="AS365" s="377"/>
      <c r="AT365" s="377"/>
      <c r="AU365" s="377"/>
      <c r="AV365" s="377"/>
      <c r="AW365" s="575"/>
      <c r="AX365" s="377"/>
      <c r="AY365" s="377"/>
      <c r="AZ365" s="377"/>
      <c r="BA365" s="377"/>
      <c r="BB365" s="377"/>
      <c r="BC365" s="377"/>
      <c r="BD365" s="377"/>
      <c r="BE365" s="377"/>
      <c r="BF365" s="377"/>
      <c r="BG365" s="377"/>
      <c r="BH365" s="377"/>
      <c r="BI365" s="377"/>
      <c r="BJ365" s="377"/>
      <c r="BK365" s="377"/>
      <c r="BL365" s="377"/>
      <c r="BM365" s="377"/>
      <c r="BN365" s="576"/>
      <c r="BO365" s="377"/>
      <c r="BP365" s="377"/>
      <c r="BQ365" s="377"/>
      <c r="BR365" s="377"/>
      <c r="BS365" s="377"/>
      <c r="BT365" s="377"/>
      <c r="BU365" s="377"/>
      <c r="BV365" s="377"/>
      <c r="BW365" s="377"/>
      <c r="BX365" s="377"/>
      <c r="BY365" s="377"/>
      <c r="BZ365" s="377"/>
      <c r="CA365" s="377"/>
      <c r="CB365" s="377"/>
      <c r="CC365" s="377"/>
      <c r="CD365" s="377"/>
      <c r="CE365" s="377"/>
      <c r="CF365" s="377"/>
      <c r="CG365" s="377"/>
      <c r="CH365" s="377"/>
      <c r="CI365" s="377"/>
    </row>
    <row r="366" spans="1:87" ht="15">
      <c r="A366" s="377"/>
      <c r="B366" s="377"/>
      <c r="C366" s="572"/>
      <c r="D366" s="377"/>
      <c r="E366" s="377"/>
      <c r="F366" s="377"/>
      <c r="G366" s="377"/>
      <c r="H366" s="573"/>
      <c r="I366" s="377"/>
      <c r="J366" s="377"/>
      <c r="K366" s="377"/>
      <c r="L366" s="377"/>
      <c r="M366" s="377"/>
      <c r="N366" s="377"/>
      <c r="O366" s="377"/>
      <c r="P366" s="377"/>
      <c r="Q366" s="377"/>
      <c r="R366" s="377"/>
      <c r="S366" s="377"/>
      <c r="T366" s="377"/>
      <c r="U366" s="377"/>
      <c r="V366" s="377"/>
      <c r="W366" s="377"/>
      <c r="X366" s="574"/>
      <c r="Y366" s="377"/>
      <c r="Z366" s="377"/>
      <c r="AA366" s="377"/>
      <c r="AB366" s="377"/>
      <c r="AC366" s="377"/>
      <c r="AD366" s="377"/>
      <c r="AE366" s="377"/>
      <c r="AF366" s="377"/>
      <c r="AG366" s="377"/>
      <c r="AH366" s="377"/>
      <c r="AI366" s="377"/>
      <c r="AJ366" s="377"/>
      <c r="AK366" s="377"/>
      <c r="AL366" s="574"/>
      <c r="AM366" s="377"/>
      <c r="AN366" s="377"/>
      <c r="AO366" s="377"/>
      <c r="AP366" s="377"/>
      <c r="AQ366" s="377"/>
      <c r="AR366" s="377"/>
      <c r="AS366" s="377"/>
      <c r="AT366" s="377"/>
      <c r="AU366" s="377"/>
      <c r="AV366" s="377"/>
      <c r="AW366" s="575"/>
      <c r="AX366" s="377"/>
      <c r="AY366" s="377"/>
      <c r="AZ366" s="377"/>
      <c r="BA366" s="377"/>
      <c r="BB366" s="377"/>
      <c r="BC366" s="377"/>
      <c r="BD366" s="377"/>
      <c r="BE366" s="377"/>
      <c r="BF366" s="377"/>
      <c r="BG366" s="377"/>
      <c r="BH366" s="377"/>
      <c r="BI366" s="377"/>
      <c r="BJ366" s="377"/>
      <c r="BK366" s="377"/>
      <c r="BL366" s="377"/>
      <c r="BM366" s="377"/>
      <c r="BN366" s="576"/>
      <c r="BO366" s="377"/>
      <c r="BP366" s="377"/>
      <c r="BQ366" s="377"/>
      <c r="BR366" s="377"/>
      <c r="BS366" s="377"/>
      <c r="BT366" s="377"/>
      <c r="BU366" s="377"/>
      <c r="BV366" s="377"/>
      <c r="BW366" s="377"/>
      <c r="BX366" s="377"/>
      <c r="BY366" s="377"/>
      <c r="BZ366" s="377"/>
      <c r="CA366" s="377"/>
      <c r="CB366" s="377"/>
      <c r="CC366" s="377"/>
      <c r="CD366" s="377"/>
      <c r="CE366" s="377"/>
      <c r="CF366" s="377"/>
      <c r="CG366" s="377"/>
      <c r="CH366" s="377"/>
      <c r="CI366" s="377"/>
    </row>
    <row r="367" spans="1:87" ht="15">
      <c r="A367" s="377"/>
      <c r="B367" s="377"/>
      <c r="C367" s="572"/>
      <c r="D367" s="377"/>
      <c r="E367" s="377"/>
      <c r="F367" s="377"/>
      <c r="G367" s="377"/>
      <c r="H367" s="573"/>
      <c r="I367" s="377"/>
      <c r="J367" s="377"/>
      <c r="K367" s="377"/>
      <c r="L367" s="377"/>
      <c r="M367" s="377"/>
      <c r="N367" s="377"/>
      <c r="O367" s="377"/>
      <c r="P367" s="377"/>
      <c r="Q367" s="377"/>
      <c r="R367" s="377"/>
      <c r="S367" s="377"/>
      <c r="T367" s="377"/>
      <c r="U367" s="377"/>
      <c r="V367" s="377"/>
      <c r="W367" s="377"/>
      <c r="X367" s="574"/>
      <c r="Y367" s="377"/>
      <c r="Z367" s="377"/>
      <c r="AA367" s="377"/>
      <c r="AB367" s="377"/>
      <c r="AC367" s="377"/>
      <c r="AD367" s="377"/>
      <c r="AE367" s="377"/>
      <c r="AF367" s="377"/>
      <c r="AG367" s="377"/>
      <c r="AH367" s="377"/>
      <c r="AI367" s="377"/>
      <c r="AJ367" s="377"/>
      <c r="AK367" s="377"/>
      <c r="AL367" s="574"/>
      <c r="AM367" s="377"/>
      <c r="AN367" s="377"/>
      <c r="AO367" s="377"/>
      <c r="AP367" s="377"/>
      <c r="AQ367" s="377"/>
      <c r="AR367" s="377"/>
      <c r="AS367" s="377"/>
      <c r="AT367" s="377"/>
      <c r="AU367" s="377"/>
      <c r="AV367" s="377"/>
      <c r="AW367" s="575"/>
      <c r="AX367" s="377"/>
      <c r="AY367" s="377"/>
      <c r="AZ367" s="377"/>
      <c r="BA367" s="377"/>
      <c r="BB367" s="377"/>
      <c r="BC367" s="377"/>
      <c r="BD367" s="377"/>
      <c r="BE367" s="377"/>
      <c r="BF367" s="377"/>
      <c r="BG367" s="377"/>
      <c r="BH367" s="377"/>
      <c r="BI367" s="377"/>
      <c r="BJ367" s="377"/>
      <c r="BK367" s="377"/>
      <c r="BL367" s="377"/>
      <c r="BM367" s="377"/>
      <c r="BN367" s="576"/>
      <c r="BO367" s="377"/>
      <c r="BP367" s="377"/>
      <c r="BQ367" s="377"/>
      <c r="BR367" s="377"/>
      <c r="BS367" s="377"/>
      <c r="BT367" s="377"/>
      <c r="BU367" s="377"/>
      <c r="BV367" s="377"/>
      <c r="BW367" s="377"/>
      <c r="BX367" s="377"/>
      <c r="BY367" s="377"/>
      <c r="BZ367" s="377"/>
      <c r="CA367" s="377"/>
      <c r="CB367" s="377"/>
      <c r="CC367" s="377"/>
      <c r="CD367" s="377"/>
      <c r="CE367" s="377"/>
      <c r="CF367" s="377"/>
      <c r="CG367" s="377"/>
      <c r="CH367" s="377"/>
      <c r="CI367" s="377"/>
    </row>
    <row r="368" spans="1:87" ht="15">
      <c r="A368" s="377"/>
      <c r="B368" s="377"/>
      <c r="C368" s="572"/>
      <c r="D368" s="377"/>
      <c r="E368" s="377"/>
      <c r="F368" s="377"/>
      <c r="G368" s="377"/>
      <c r="H368" s="573"/>
      <c r="I368" s="377"/>
      <c r="J368" s="377"/>
      <c r="K368" s="377"/>
      <c r="L368" s="377"/>
      <c r="M368" s="377"/>
      <c r="N368" s="377"/>
      <c r="O368" s="377"/>
      <c r="P368" s="377"/>
      <c r="Q368" s="377"/>
      <c r="R368" s="377"/>
      <c r="S368" s="377"/>
      <c r="T368" s="377"/>
      <c r="U368" s="377"/>
      <c r="V368" s="377"/>
      <c r="W368" s="377"/>
      <c r="X368" s="574"/>
      <c r="Y368" s="377"/>
      <c r="Z368" s="377"/>
      <c r="AA368" s="377"/>
      <c r="AB368" s="377"/>
      <c r="AC368" s="377"/>
      <c r="AD368" s="377"/>
      <c r="AE368" s="377"/>
      <c r="AF368" s="377"/>
      <c r="AG368" s="377"/>
      <c r="AH368" s="377"/>
      <c r="AI368" s="377"/>
      <c r="AJ368" s="377"/>
      <c r="AK368" s="377"/>
      <c r="AL368" s="574"/>
      <c r="AM368" s="377"/>
      <c r="AN368" s="377"/>
      <c r="AO368" s="377"/>
      <c r="AP368" s="377"/>
      <c r="AQ368" s="377"/>
      <c r="AR368" s="377"/>
      <c r="AS368" s="377"/>
      <c r="AT368" s="377"/>
      <c r="AU368" s="377"/>
      <c r="AV368" s="377"/>
      <c r="AW368" s="575"/>
      <c r="AX368" s="377"/>
      <c r="AY368" s="377"/>
      <c r="AZ368" s="377"/>
      <c r="BA368" s="377"/>
      <c r="BB368" s="377"/>
      <c r="BC368" s="377"/>
      <c r="BD368" s="377"/>
      <c r="BE368" s="377"/>
      <c r="BF368" s="377"/>
      <c r="BG368" s="377"/>
      <c r="BH368" s="377"/>
      <c r="BI368" s="377"/>
      <c r="BJ368" s="377"/>
      <c r="BK368" s="377"/>
      <c r="BL368" s="377"/>
      <c r="BM368" s="377"/>
      <c r="BN368" s="576"/>
      <c r="BO368" s="377"/>
      <c r="BP368" s="377"/>
      <c r="BQ368" s="377"/>
      <c r="BR368" s="377"/>
      <c r="BS368" s="377"/>
      <c r="BT368" s="377"/>
      <c r="BU368" s="377"/>
      <c r="BV368" s="377"/>
      <c r="BW368" s="377"/>
      <c r="BX368" s="377"/>
      <c r="BY368" s="377"/>
      <c r="BZ368" s="377"/>
      <c r="CA368" s="377"/>
      <c r="CB368" s="377"/>
      <c r="CC368" s="377"/>
      <c r="CD368" s="377"/>
      <c r="CE368" s="377"/>
      <c r="CF368" s="377"/>
      <c r="CG368" s="377"/>
      <c r="CH368" s="377"/>
      <c r="CI368" s="377"/>
    </row>
    <row r="369" spans="1:87" ht="15">
      <c r="A369" s="377"/>
      <c r="B369" s="377"/>
      <c r="C369" s="572"/>
      <c r="D369" s="377"/>
      <c r="E369" s="377"/>
      <c r="F369" s="377"/>
      <c r="G369" s="377"/>
      <c r="H369" s="573"/>
      <c r="I369" s="377"/>
      <c r="J369" s="377"/>
      <c r="K369" s="377"/>
      <c r="L369" s="377"/>
      <c r="M369" s="377"/>
      <c r="N369" s="377"/>
      <c r="O369" s="377"/>
      <c r="P369" s="377"/>
      <c r="Q369" s="377"/>
      <c r="R369" s="377"/>
      <c r="S369" s="377"/>
      <c r="T369" s="377"/>
      <c r="U369" s="377"/>
      <c r="V369" s="377"/>
      <c r="W369" s="377"/>
      <c r="X369" s="574"/>
      <c r="Y369" s="377"/>
      <c r="Z369" s="377"/>
      <c r="AA369" s="377"/>
      <c r="AB369" s="377"/>
      <c r="AC369" s="377"/>
      <c r="AD369" s="377"/>
      <c r="AE369" s="377"/>
      <c r="AF369" s="377"/>
      <c r="AG369" s="377"/>
      <c r="AH369" s="377"/>
      <c r="AI369" s="377"/>
      <c r="AJ369" s="377"/>
      <c r="AK369" s="377"/>
      <c r="AL369" s="574"/>
      <c r="AM369" s="377"/>
      <c r="AN369" s="377"/>
      <c r="AO369" s="377"/>
      <c r="AP369" s="377"/>
      <c r="AQ369" s="377"/>
      <c r="AR369" s="377"/>
      <c r="AS369" s="377"/>
      <c r="AT369" s="377"/>
      <c r="AU369" s="377"/>
      <c r="AV369" s="377"/>
      <c r="AW369" s="575"/>
      <c r="AX369" s="377"/>
      <c r="AY369" s="377"/>
      <c r="AZ369" s="377"/>
      <c r="BA369" s="377"/>
      <c r="BB369" s="377"/>
      <c r="BC369" s="377"/>
      <c r="BD369" s="377"/>
      <c r="BE369" s="377"/>
      <c r="BF369" s="377"/>
      <c r="BG369" s="377"/>
      <c r="BH369" s="377"/>
      <c r="BI369" s="377"/>
      <c r="BJ369" s="377"/>
      <c r="BK369" s="377"/>
      <c r="BL369" s="377"/>
      <c r="BM369" s="377"/>
      <c r="BN369" s="576"/>
      <c r="BO369" s="377"/>
      <c r="BP369" s="377"/>
      <c r="BQ369" s="377"/>
      <c r="BR369" s="377"/>
      <c r="BS369" s="377"/>
      <c r="BT369" s="377"/>
      <c r="BU369" s="377"/>
      <c r="BV369" s="377"/>
      <c r="BW369" s="377"/>
      <c r="BX369" s="377"/>
      <c r="BY369" s="377"/>
      <c r="BZ369" s="377"/>
      <c r="CA369" s="377"/>
      <c r="CB369" s="377"/>
      <c r="CC369" s="377"/>
      <c r="CD369" s="377"/>
      <c r="CE369" s="377"/>
      <c r="CF369" s="377"/>
      <c r="CG369" s="377"/>
      <c r="CH369" s="377"/>
      <c r="CI369" s="377"/>
    </row>
    <row r="370" spans="1:87" ht="15">
      <c r="A370" s="377"/>
      <c r="B370" s="377"/>
      <c r="C370" s="572"/>
      <c r="D370" s="377"/>
      <c r="E370" s="377"/>
      <c r="F370" s="377"/>
      <c r="G370" s="377"/>
      <c r="H370" s="573"/>
      <c r="I370" s="377"/>
      <c r="J370" s="377"/>
      <c r="K370" s="377"/>
      <c r="L370" s="377"/>
      <c r="M370" s="377"/>
      <c r="N370" s="377"/>
      <c r="O370" s="377"/>
      <c r="P370" s="377"/>
      <c r="Q370" s="377"/>
      <c r="R370" s="377"/>
      <c r="S370" s="377"/>
      <c r="T370" s="377"/>
      <c r="U370" s="377"/>
      <c r="V370" s="377"/>
      <c r="W370" s="377"/>
      <c r="X370" s="574"/>
      <c r="Y370" s="377"/>
      <c r="Z370" s="377"/>
      <c r="AA370" s="377"/>
      <c r="AB370" s="377"/>
      <c r="AC370" s="377"/>
      <c r="AD370" s="377"/>
      <c r="AE370" s="377"/>
      <c r="AF370" s="377"/>
      <c r="AG370" s="377"/>
      <c r="AH370" s="377"/>
      <c r="AI370" s="377"/>
      <c r="AJ370" s="377"/>
      <c r="AK370" s="377"/>
      <c r="AL370" s="574"/>
      <c r="AM370" s="377"/>
      <c r="AN370" s="377"/>
      <c r="AO370" s="377"/>
      <c r="AP370" s="377"/>
      <c r="AQ370" s="377"/>
      <c r="AR370" s="377"/>
      <c r="AS370" s="377"/>
      <c r="AT370" s="377"/>
      <c r="AU370" s="377"/>
      <c r="AV370" s="377"/>
      <c r="AW370" s="575"/>
      <c r="AX370" s="377"/>
      <c r="AY370" s="377"/>
      <c r="AZ370" s="377"/>
      <c r="BA370" s="377"/>
      <c r="BB370" s="377"/>
      <c r="BC370" s="377"/>
      <c r="BD370" s="377"/>
      <c r="BE370" s="377"/>
      <c r="BF370" s="377"/>
      <c r="BG370" s="377"/>
      <c r="BH370" s="377"/>
      <c r="BI370" s="377"/>
      <c r="BJ370" s="377"/>
      <c r="BK370" s="377"/>
      <c r="BL370" s="377"/>
      <c r="BM370" s="377"/>
      <c r="BN370" s="576"/>
      <c r="BO370" s="377"/>
      <c r="BP370" s="377"/>
      <c r="BQ370" s="377"/>
      <c r="BR370" s="377"/>
      <c r="BS370" s="377"/>
      <c r="BT370" s="377"/>
      <c r="BU370" s="377"/>
      <c r="BV370" s="377"/>
      <c r="BW370" s="377"/>
      <c r="BX370" s="377"/>
      <c r="BY370" s="377"/>
      <c r="BZ370" s="377"/>
      <c r="CA370" s="377"/>
      <c r="CB370" s="377"/>
      <c r="CC370" s="377"/>
      <c r="CD370" s="377"/>
      <c r="CE370" s="377"/>
      <c r="CF370" s="377"/>
      <c r="CG370" s="377"/>
      <c r="CH370" s="377"/>
      <c r="CI370" s="377"/>
    </row>
    <row r="371" spans="1:87" ht="15">
      <c r="A371" s="377"/>
      <c r="B371" s="377"/>
      <c r="C371" s="572"/>
      <c r="D371" s="377"/>
      <c r="E371" s="377"/>
      <c r="F371" s="377"/>
      <c r="G371" s="377"/>
      <c r="H371" s="573"/>
      <c r="I371" s="377"/>
      <c r="J371" s="377"/>
      <c r="K371" s="377"/>
      <c r="L371" s="377"/>
      <c r="M371" s="377"/>
      <c r="N371" s="377"/>
      <c r="O371" s="377"/>
      <c r="P371" s="377"/>
      <c r="Q371" s="377"/>
      <c r="R371" s="377"/>
      <c r="S371" s="377"/>
      <c r="T371" s="377"/>
      <c r="U371" s="377"/>
      <c r="V371" s="377"/>
      <c r="W371" s="377"/>
      <c r="X371" s="574"/>
      <c r="Y371" s="377"/>
      <c r="Z371" s="377"/>
      <c r="AA371" s="377"/>
      <c r="AB371" s="377"/>
      <c r="AC371" s="377"/>
      <c r="AD371" s="377"/>
      <c r="AE371" s="377"/>
      <c r="AF371" s="377"/>
      <c r="AG371" s="377"/>
      <c r="AH371" s="377"/>
      <c r="AI371" s="377"/>
      <c r="AJ371" s="377"/>
      <c r="AK371" s="377"/>
      <c r="AL371" s="574"/>
      <c r="AM371" s="377"/>
      <c r="AN371" s="377"/>
      <c r="AO371" s="377"/>
      <c r="AP371" s="377"/>
      <c r="AQ371" s="377"/>
      <c r="AR371" s="377"/>
      <c r="AS371" s="377"/>
      <c r="AT371" s="377"/>
      <c r="AU371" s="377"/>
      <c r="AV371" s="377"/>
      <c r="AW371" s="575"/>
      <c r="AX371" s="377"/>
      <c r="AY371" s="377"/>
      <c r="AZ371" s="377"/>
      <c r="BA371" s="377"/>
      <c r="BB371" s="377"/>
      <c r="BC371" s="377"/>
      <c r="BD371" s="377"/>
      <c r="BE371" s="377"/>
      <c r="BF371" s="377"/>
      <c r="BG371" s="377"/>
      <c r="BH371" s="377"/>
      <c r="BI371" s="377"/>
      <c r="BJ371" s="377"/>
      <c r="BK371" s="377"/>
      <c r="BL371" s="377"/>
      <c r="BM371" s="377"/>
      <c r="BN371" s="576"/>
      <c r="BO371" s="377"/>
      <c r="BP371" s="377"/>
      <c r="BQ371" s="377"/>
      <c r="BR371" s="377"/>
      <c r="BS371" s="377"/>
      <c r="BT371" s="377"/>
      <c r="BU371" s="377"/>
      <c r="BV371" s="377"/>
      <c r="BW371" s="377"/>
      <c r="BX371" s="377"/>
      <c r="BY371" s="377"/>
      <c r="BZ371" s="377"/>
      <c r="CA371" s="377"/>
      <c r="CB371" s="377"/>
      <c r="CC371" s="377"/>
      <c r="CD371" s="377"/>
      <c r="CE371" s="377"/>
      <c r="CF371" s="377"/>
      <c r="CG371" s="377"/>
      <c r="CH371" s="377"/>
      <c r="CI371" s="377"/>
    </row>
    <row r="372" spans="1:87" ht="15">
      <c r="A372" s="377"/>
      <c r="B372" s="377"/>
      <c r="C372" s="572"/>
      <c r="D372" s="377"/>
      <c r="E372" s="377"/>
      <c r="F372" s="377"/>
      <c r="G372" s="377"/>
      <c r="H372" s="573"/>
      <c r="I372" s="377"/>
      <c r="J372" s="377"/>
      <c r="K372" s="377"/>
      <c r="L372" s="377"/>
      <c r="M372" s="377"/>
      <c r="N372" s="377"/>
      <c r="O372" s="377"/>
      <c r="P372" s="377"/>
      <c r="Q372" s="377"/>
      <c r="R372" s="377"/>
      <c r="S372" s="377"/>
      <c r="T372" s="377"/>
      <c r="U372" s="377"/>
      <c r="V372" s="377"/>
      <c r="W372" s="377"/>
      <c r="X372" s="574"/>
      <c r="Y372" s="377"/>
      <c r="Z372" s="377"/>
      <c r="AA372" s="377"/>
      <c r="AB372" s="377"/>
      <c r="AC372" s="377"/>
      <c r="AD372" s="377"/>
      <c r="AE372" s="377"/>
      <c r="AF372" s="377"/>
      <c r="AG372" s="377"/>
      <c r="AH372" s="377"/>
      <c r="AI372" s="377"/>
      <c r="AJ372" s="377"/>
      <c r="AK372" s="377"/>
      <c r="AL372" s="574"/>
      <c r="AM372" s="377"/>
      <c r="AN372" s="377"/>
      <c r="AO372" s="377"/>
      <c r="AP372" s="377"/>
      <c r="AQ372" s="377"/>
      <c r="AR372" s="377"/>
      <c r="AS372" s="377"/>
      <c r="AT372" s="377"/>
      <c r="AU372" s="377"/>
      <c r="AV372" s="377"/>
      <c r="AW372" s="575"/>
      <c r="AX372" s="377"/>
      <c r="AY372" s="377"/>
      <c r="AZ372" s="377"/>
      <c r="BA372" s="377"/>
      <c r="BB372" s="377"/>
      <c r="BC372" s="377"/>
      <c r="BD372" s="377"/>
      <c r="BE372" s="377"/>
      <c r="BF372" s="377"/>
      <c r="BG372" s="377"/>
      <c r="BH372" s="377"/>
      <c r="BI372" s="377"/>
      <c r="BJ372" s="377"/>
      <c r="BK372" s="377"/>
      <c r="BL372" s="377"/>
      <c r="BM372" s="377"/>
      <c r="BN372" s="576"/>
      <c r="BO372" s="377"/>
      <c r="BP372" s="377"/>
      <c r="BQ372" s="377"/>
      <c r="BR372" s="377"/>
      <c r="BS372" s="377"/>
      <c r="BT372" s="377"/>
      <c r="BU372" s="377"/>
      <c r="BV372" s="377"/>
      <c r="BW372" s="377"/>
      <c r="BX372" s="377"/>
      <c r="BY372" s="377"/>
      <c r="BZ372" s="377"/>
      <c r="CA372" s="377"/>
      <c r="CB372" s="377"/>
      <c r="CC372" s="377"/>
      <c r="CD372" s="377"/>
      <c r="CE372" s="377"/>
      <c r="CF372" s="377"/>
      <c r="CG372" s="377"/>
      <c r="CH372" s="377"/>
      <c r="CI372" s="377"/>
    </row>
    <row r="373" spans="1:87" ht="15">
      <c r="A373" s="377"/>
      <c r="B373" s="377"/>
      <c r="C373" s="572"/>
      <c r="D373" s="377"/>
      <c r="E373" s="377"/>
      <c r="F373" s="377"/>
      <c r="G373" s="377"/>
      <c r="H373" s="573"/>
      <c r="I373" s="377"/>
      <c r="J373" s="377"/>
      <c r="K373" s="377"/>
      <c r="L373" s="377"/>
      <c r="M373" s="377"/>
      <c r="N373" s="377"/>
      <c r="O373" s="377"/>
      <c r="P373" s="377"/>
      <c r="Q373" s="377"/>
      <c r="R373" s="377"/>
      <c r="S373" s="377"/>
      <c r="T373" s="377"/>
      <c r="U373" s="377"/>
      <c r="V373" s="377"/>
      <c r="W373" s="377"/>
      <c r="X373" s="574"/>
      <c r="Y373" s="377"/>
      <c r="Z373" s="377"/>
      <c r="AA373" s="377"/>
      <c r="AB373" s="377"/>
      <c r="AC373" s="377"/>
      <c r="AD373" s="377"/>
      <c r="AE373" s="377"/>
      <c r="AF373" s="377"/>
      <c r="AG373" s="377"/>
      <c r="AH373" s="377"/>
      <c r="AI373" s="377"/>
      <c r="AJ373" s="377"/>
      <c r="AK373" s="377"/>
      <c r="AL373" s="574"/>
      <c r="AM373" s="377"/>
      <c r="AN373" s="377"/>
      <c r="AO373" s="377"/>
      <c r="AP373" s="377"/>
      <c r="AQ373" s="377"/>
      <c r="AR373" s="377"/>
      <c r="AS373" s="377"/>
      <c r="AT373" s="377"/>
      <c r="AU373" s="377"/>
      <c r="AV373" s="377"/>
      <c r="AW373" s="575"/>
      <c r="AX373" s="377"/>
      <c r="AY373" s="377"/>
      <c r="AZ373" s="377"/>
      <c r="BA373" s="377"/>
      <c r="BB373" s="377"/>
      <c r="BC373" s="377"/>
      <c r="BD373" s="377"/>
      <c r="BE373" s="377"/>
      <c r="BF373" s="377"/>
      <c r="BG373" s="377"/>
      <c r="BH373" s="377"/>
      <c r="BI373" s="377"/>
      <c r="BJ373" s="377"/>
      <c r="BK373" s="377"/>
      <c r="BL373" s="377"/>
      <c r="BM373" s="377"/>
      <c r="BN373" s="576"/>
      <c r="BO373" s="377"/>
      <c r="BP373" s="377"/>
      <c r="BQ373" s="377"/>
      <c r="BR373" s="377"/>
      <c r="BS373" s="377"/>
      <c r="BT373" s="377"/>
      <c r="BU373" s="377"/>
      <c r="BV373" s="377"/>
      <c r="BW373" s="377"/>
      <c r="BX373" s="377"/>
      <c r="BY373" s="377"/>
      <c r="BZ373" s="377"/>
      <c r="CA373" s="377"/>
      <c r="CB373" s="377"/>
      <c r="CC373" s="377"/>
      <c r="CD373" s="377"/>
      <c r="CE373" s="377"/>
      <c r="CF373" s="377"/>
      <c r="CG373" s="377"/>
      <c r="CH373" s="377"/>
      <c r="CI373" s="377"/>
    </row>
    <row r="374" spans="1:87" ht="15">
      <c r="A374" s="377"/>
      <c r="B374" s="377"/>
      <c r="C374" s="572"/>
      <c r="D374" s="377"/>
      <c r="E374" s="377"/>
      <c r="F374" s="377"/>
      <c r="G374" s="377"/>
      <c r="H374" s="573"/>
      <c r="I374" s="377"/>
      <c r="J374" s="377"/>
      <c r="K374" s="377"/>
      <c r="L374" s="377"/>
      <c r="M374" s="377"/>
      <c r="N374" s="377"/>
      <c r="O374" s="377"/>
      <c r="P374" s="377"/>
      <c r="Q374" s="377"/>
      <c r="R374" s="377"/>
      <c r="S374" s="377"/>
      <c r="T374" s="377"/>
      <c r="U374" s="377"/>
      <c r="V374" s="377"/>
      <c r="W374" s="377"/>
      <c r="X374" s="574"/>
      <c r="Y374" s="377"/>
      <c r="Z374" s="377"/>
      <c r="AA374" s="377"/>
      <c r="AB374" s="377"/>
      <c r="AC374" s="377"/>
      <c r="AD374" s="377"/>
      <c r="AE374" s="377"/>
      <c r="AF374" s="377"/>
      <c r="AG374" s="377"/>
      <c r="AH374" s="377"/>
      <c r="AI374" s="377"/>
      <c r="AJ374" s="377"/>
      <c r="AK374" s="377"/>
      <c r="AL374" s="574"/>
      <c r="AM374" s="377"/>
      <c r="AN374" s="377"/>
      <c r="AO374" s="377"/>
      <c r="AP374" s="377"/>
      <c r="AQ374" s="377"/>
      <c r="AR374" s="377"/>
      <c r="AS374" s="377"/>
      <c r="AT374" s="377"/>
      <c r="AU374" s="377"/>
      <c r="AV374" s="377"/>
      <c r="AW374" s="575"/>
      <c r="AX374" s="377"/>
      <c r="AY374" s="377"/>
      <c r="AZ374" s="377"/>
      <c r="BA374" s="377"/>
      <c r="BB374" s="377"/>
      <c r="BC374" s="377"/>
      <c r="BD374" s="377"/>
      <c r="BE374" s="377"/>
      <c r="BF374" s="377"/>
      <c r="BG374" s="377"/>
      <c r="BH374" s="377"/>
      <c r="BI374" s="377"/>
      <c r="BJ374" s="377"/>
      <c r="BK374" s="377"/>
      <c r="BL374" s="377"/>
      <c r="BM374" s="377"/>
      <c r="BN374" s="576"/>
      <c r="BO374" s="377"/>
      <c r="BP374" s="377"/>
      <c r="BQ374" s="377"/>
      <c r="BR374" s="377"/>
      <c r="BS374" s="377"/>
      <c r="BT374" s="377"/>
      <c r="BU374" s="377"/>
      <c r="BV374" s="377"/>
      <c r="BW374" s="377"/>
      <c r="BX374" s="377"/>
      <c r="BY374" s="377"/>
      <c r="BZ374" s="377"/>
      <c r="CA374" s="377"/>
      <c r="CB374" s="377"/>
      <c r="CC374" s="377"/>
      <c r="CD374" s="377"/>
      <c r="CE374" s="377"/>
      <c r="CF374" s="377"/>
      <c r="CG374" s="377"/>
      <c r="CH374" s="377"/>
      <c r="CI374" s="377"/>
    </row>
    <row r="375" spans="1:87" ht="15">
      <c r="A375" s="377"/>
      <c r="B375" s="377"/>
      <c r="C375" s="572"/>
      <c r="D375" s="377"/>
      <c r="E375" s="377"/>
      <c r="F375" s="377"/>
      <c r="G375" s="377"/>
      <c r="H375" s="573"/>
      <c r="I375" s="377"/>
      <c r="J375" s="377"/>
      <c r="K375" s="377"/>
      <c r="L375" s="377"/>
      <c r="M375" s="377"/>
      <c r="N375" s="377"/>
      <c r="O375" s="377"/>
      <c r="P375" s="377"/>
      <c r="Q375" s="377"/>
      <c r="R375" s="377"/>
      <c r="S375" s="377"/>
      <c r="T375" s="377"/>
      <c r="U375" s="377"/>
      <c r="V375" s="377"/>
      <c r="W375" s="377"/>
      <c r="X375" s="574"/>
      <c r="Y375" s="377"/>
      <c r="Z375" s="377"/>
      <c r="AA375" s="377"/>
      <c r="AB375" s="377"/>
      <c r="AC375" s="377"/>
      <c r="AD375" s="377"/>
      <c r="AE375" s="377"/>
      <c r="AF375" s="377"/>
      <c r="AG375" s="377"/>
      <c r="AH375" s="377"/>
      <c r="AI375" s="377"/>
      <c r="AJ375" s="377"/>
      <c r="AK375" s="377"/>
      <c r="AL375" s="574"/>
      <c r="AM375" s="377"/>
      <c r="AN375" s="377"/>
      <c r="AO375" s="377"/>
      <c r="AP375" s="377"/>
      <c r="AQ375" s="377"/>
      <c r="AR375" s="377"/>
      <c r="AS375" s="377"/>
      <c r="AT375" s="377"/>
      <c r="AU375" s="377"/>
      <c r="AV375" s="377"/>
      <c r="AW375" s="575"/>
      <c r="AX375" s="377"/>
      <c r="AY375" s="377"/>
      <c r="AZ375" s="377"/>
      <c r="BA375" s="377"/>
      <c r="BB375" s="377"/>
      <c r="BC375" s="377"/>
      <c r="BD375" s="377"/>
      <c r="BE375" s="377"/>
      <c r="BF375" s="377"/>
      <c r="BG375" s="377"/>
      <c r="BH375" s="377"/>
      <c r="BI375" s="377"/>
      <c r="BJ375" s="377"/>
      <c r="BK375" s="377"/>
      <c r="BL375" s="377"/>
      <c r="BM375" s="377"/>
      <c r="BN375" s="576"/>
      <c r="BO375" s="377"/>
      <c r="BP375" s="377"/>
      <c r="BQ375" s="377"/>
      <c r="BR375" s="377"/>
      <c r="BS375" s="377"/>
      <c r="BT375" s="377"/>
      <c r="BU375" s="377"/>
      <c r="BV375" s="377"/>
      <c r="BW375" s="377"/>
      <c r="BX375" s="377"/>
      <c r="BY375" s="377"/>
      <c r="BZ375" s="377"/>
      <c r="CA375" s="377"/>
      <c r="CB375" s="377"/>
      <c r="CC375" s="377"/>
      <c r="CD375" s="377"/>
      <c r="CE375" s="377"/>
      <c r="CF375" s="377"/>
      <c r="CG375" s="377"/>
      <c r="CH375" s="377"/>
      <c r="CI375" s="377"/>
    </row>
    <row r="376" spans="1:87" ht="15">
      <c r="A376" s="377"/>
      <c r="B376" s="377"/>
      <c r="C376" s="572"/>
      <c r="D376" s="377"/>
      <c r="E376" s="377"/>
      <c r="F376" s="377"/>
      <c r="G376" s="377"/>
      <c r="H376" s="573"/>
      <c r="I376" s="377"/>
      <c r="J376" s="377"/>
      <c r="K376" s="377"/>
      <c r="L376" s="377"/>
      <c r="M376" s="377"/>
      <c r="N376" s="377"/>
      <c r="O376" s="377"/>
      <c r="P376" s="377"/>
      <c r="Q376" s="377"/>
      <c r="R376" s="377"/>
      <c r="S376" s="377"/>
      <c r="T376" s="377"/>
      <c r="U376" s="377"/>
      <c r="V376" s="377"/>
      <c r="W376" s="377"/>
      <c r="X376" s="574"/>
      <c r="Y376" s="377"/>
      <c r="Z376" s="377"/>
      <c r="AA376" s="377"/>
      <c r="AB376" s="377"/>
      <c r="AC376" s="377"/>
      <c r="AD376" s="377"/>
      <c r="AE376" s="377"/>
      <c r="AF376" s="377"/>
      <c r="AG376" s="377"/>
      <c r="AH376" s="377"/>
      <c r="AI376" s="377"/>
      <c r="AJ376" s="377"/>
      <c r="AK376" s="377"/>
      <c r="AL376" s="574"/>
      <c r="AM376" s="377"/>
      <c r="AN376" s="377"/>
      <c r="AO376" s="377"/>
      <c r="AP376" s="377"/>
      <c r="AQ376" s="377"/>
      <c r="AR376" s="377"/>
      <c r="AS376" s="377"/>
      <c r="AT376" s="377"/>
      <c r="AU376" s="377"/>
      <c r="AV376" s="377"/>
      <c r="AW376" s="575"/>
      <c r="AX376" s="377"/>
      <c r="AY376" s="377"/>
      <c r="AZ376" s="377"/>
      <c r="BA376" s="377"/>
      <c r="BB376" s="377"/>
      <c r="BC376" s="377"/>
      <c r="BD376" s="377"/>
      <c r="BE376" s="377"/>
      <c r="BF376" s="377"/>
      <c r="BG376" s="377"/>
      <c r="BH376" s="377"/>
      <c r="BI376" s="377"/>
      <c r="BJ376" s="377"/>
      <c r="BK376" s="377"/>
      <c r="BL376" s="377"/>
      <c r="BM376" s="377"/>
      <c r="BN376" s="576"/>
      <c r="BO376" s="377"/>
      <c r="BP376" s="377"/>
      <c r="BQ376" s="377"/>
      <c r="BR376" s="377"/>
      <c r="BS376" s="377"/>
      <c r="BT376" s="377"/>
      <c r="BU376" s="377"/>
      <c r="BV376" s="377"/>
      <c r="BW376" s="377"/>
      <c r="BX376" s="377"/>
      <c r="BY376" s="377"/>
      <c r="BZ376" s="377"/>
      <c r="CA376" s="377"/>
      <c r="CB376" s="377"/>
      <c r="CC376" s="377"/>
      <c r="CD376" s="377"/>
      <c r="CE376" s="377"/>
      <c r="CF376" s="377"/>
      <c r="CG376" s="377"/>
      <c r="CH376" s="377"/>
      <c r="CI376" s="377"/>
    </row>
    <row r="377" spans="1:87" ht="15">
      <c r="A377" s="377"/>
      <c r="B377" s="377"/>
      <c r="C377" s="572"/>
      <c r="D377" s="377"/>
      <c r="E377" s="377"/>
      <c r="F377" s="377"/>
      <c r="G377" s="377"/>
      <c r="H377" s="573"/>
      <c r="I377" s="377"/>
      <c r="J377" s="377"/>
      <c r="K377" s="377"/>
      <c r="L377" s="377"/>
      <c r="M377" s="377"/>
      <c r="N377" s="377"/>
      <c r="O377" s="377"/>
      <c r="P377" s="377"/>
      <c r="Q377" s="377"/>
      <c r="R377" s="377"/>
      <c r="S377" s="377"/>
      <c r="T377" s="377"/>
      <c r="U377" s="377"/>
      <c r="V377" s="377"/>
      <c r="W377" s="377"/>
      <c r="X377" s="574"/>
      <c r="Y377" s="377"/>
      <c r="Z377" s="377"/>
      <c r="AA377" s="377"/>
      <c r="AB377" s="377"/>
      <c r="AC377" s="377"/>
      <c r="AD377" s="377"/>
      <c r="AE377" s="377"/>
      <c r="AF377" s="377"/>
      <c r="AG377" s="377"/>
      <c r="AH377" s="377"/>
      <c r="AI377" s="377"/>
      <c r="AJ377" s="377"/>
      <c r="AK377" s="377"/>
      <c r="AL377" s="574"/>
      <c r="AM377" s="377"/>
      <c r="AN377" s="377"/>
      <c r="AO377" s="377"/>
      <c r="AP377" s="377"/>
      <c r="AQ377" s="377"/>
      <c r="AR377" s="377"/>
      <c r="AS377" s="377"/>
      <c r="AT377" s="377"/>
      <c r="AU377" s="377"/>
      <c r="AV377" s="377"/>
      <c r="AW377" s="575"/>
      <c r="AX377" s="377"/>
      <c r="AY377" s="377"/>
      <c r="AZ377" s="377"/>
      <c r="BA377" s="377"/>
      <c r="BB377" s="377"/>
      <c r="BC377" s="377"/>
      <c r="BD377" s="377"/>
      <c r="BE377" s="377"/>
      <c r="BF377" s="377"/>
      <c r="BG377" s="377"/>
      <c r="BH377" s="377"/>
      <c r="BI377" s="377"/>
      <c r="BJ377" s="377"/>
      <c r="BK377" s="377"/>
      <c r="BL377" s="377"/>
      <c r="BM377" s="377"/>
      <c r="BN377" s="576"/>
      <c r="BO377" s="377"/>
      <c r="BP377" s="377"/>
      <c r="BQ377" s="377"/>
      <c r="BR377" s="377"/>
      <c r="BS377" s="377"/>
      <c r="BT377" s="377"/>
      <c r="BU377" s="377"/>
      <c r="BV377" s="377"/>
      <c r="BW377" s="377"/>
      <c r="BX377" s="377"/>
      <c r="BY377" s="377"/>
      <c r="BZ377" s="377"/>
      <c r="CA377" s="377"/>
      <c r="CB377" s="377"/>
      <c r="CC377" s="377"/>
      <c r="CD377" s="377"/>
      <c r="CE377" s="377"/>
      <c r="CF377" s="377"/>
      <c r="CG377" s="377"/>
      <c r="CH377" s="377"/>
      <c r="CI377" s="377"/>
    </row>
    <row r="378" spans="1:87" ht="15">
      <c r="A378" s="377"/>
      <c r="B378" s="377"/>
      <c r="C378" s="572"/>
      <c r="D378" s="377"/>
      <c r="E378" s="377"/>
      <c r="F378" s="377"/>
      <c r="G378" s="377"/>
      <c r="H378" s="573"/>
      <c r="I378" s="377"/>
      <c r="J378" s="377"/>
      <c r="K378" s="377"/>
      <c r="L378" s="377"/>
      <c r="M378" s="377"/>
      <c r="N378" s="377"/>
      <c r="O378" s="377"/>
      <c r="P378" s="377"/>
      <c r="Q378" s="377"/>
      <c r="R378" s="377"/>
      <c r="S378" s="377"/>
      <c r="T378" s="377"/>
      <c r="U378" s="377"/>
      <c r="V378" s="377"/>
      <c r="W378" s="377"/>
      <c r="X378" s="574"/>
      <c r="Y378" s="377"/>
      <c r="Z378" s="377"/>
      <c r="AA378" s="377"/>
      <c r="AB378" s="377"/>
      <c r="AC378" s="377"/>
      <c r="AD378" s="377"/>
      <c r="AE378" s="377"/>
      <c r="AF378" s="377"/>
      <c r="AG378" s="377"/>
      <c r="AH378" s="377"/>
      <c r="AI378" s="377"/>
      <c r="AJ378" s="377"/>
      <c r="AK378" s="377"/>
      <c r="AL378" s="574"/>
      <c r="AM378" s="377"/>
      <c r="AN378" s="377"/>
      <c r="AO378" s="377"/>
      <c r="AP378" s="377"/>
      <c r="AQ378" s="377"/>
      <c r="AR378" s="377"/>
      <c r="AS378" s="377"/>
      <c r="AT378" s="377"/>
      <c r="AU378" s="377"/>
      <c r="AV378" s="377"/>
      <c r="AW378" s="575"/>
      <c r="AX378" s="377"/>
      <c r="AY378" s="377"/>
      <c r="AZ378" s="377"/>
      <c r="BA378" s="377"/>
      <c r="BB378" s="377"/>
      <c r="BC378" s="377"/>
      <c r="BD378" s="377"/>
      <c r="BE378" s="377"/>
      <c r="BF378" s="377"/>
      <c r="BG378" s="377"/>
      <c r="BH378" s="377"/>
      <c r="BI378" s="377"/>
      <c r="BJ378" s="377"/>
      <c r="BK378" s="377"/>
      <c r="BL378" s="377"/>
      <c r="BM378" s="377"/>
      <c r="BN378" s="576"/>
      <c r="BO378" s="377"/>
      <c r="BP378" s="377"/>
      <c r="BQ378" s="377"/>
      <c r="BR378" s="377"/>
      <c r="BS378" s="377"/>
      <c r="BT378" s="377"/>
      <c r="BU378" s="377"/>
      <c r="BV378" s="377"/>
      <c r="BW378" s="377"/>
      <c r="BX378" s="377"/>
      <c r="BY378" s="377"/>
      <c r="BZ378" s="377"/>
      <c r="CA378" s="377"/>
      <c r="CB378" s="377"/>
      <c r="CC378" s="377"/>
      <c r="CD378" s="377"/>
      <c r="CE378" s="377"/>
      <c r="CF378" s="377"/>
      <c r="CG378" s="377"/>
      <c r="CH378" s="377"/>
      <c r="CI378" s="377"/>
    </row>
    <row r="379" spans="1:87" ht="15">
      <c r="A379" s="377"/>
      <c r="B379" s="377"/>
      <c r="C379" s="572"/>
      <c r="D379" s="377"/>
      <c r="E379" s="377"/>
      <c r="F379" s="377"/>
      <c r="G379" s="377"/>
      <c r="H379" s="573"/>
      <c r="I379" s="377"/>
      <c r="J379" s="377"/>
      <c r="K379" s="377"/>
      <c r="L379" s="377"/>
      <c r="M379" s="377"/>
      <c r="N379" s="377"/>
      <c r="O379" s="377"/>
      <c r="P379" s="377"/>
      <c r="Q379" s="377"/>
      <c r="R379" s="377"/>
      <c r="S379" s="377"/>
      <c r="T379" s="377"/>
      <c r="U379" s="377"/>
      <c r="V379" s="377"/>
      <c r="W379" s="377"/>
      <c r="X379" s="574"/>
      <c r="Y379" s="377"/>
      <c r="Z379" s="377"/>
      <c r="AA379" s="377"/>
      <c r="AB379" s="377"/>
      <c r="AC379" s="377"/>
      <c r="AD379" s="377"/>
      <c r="AE379" s="377"/>
      <c r="AF379" s="377"/>
      <c r="AG379" s="377"/>
      <c r="AH379" s="377"/>
      <c r="AI379" s="377"/>
      <c r="AJ379" s="377"/>
      <c r="AK379" s="377"/>
      <c r="AL379" s="574"/>
      <c r="AM379" s="377"/>
      <c r="AN379" s="377"/>
      <c r="AO379" s="377"/>
      <c r="AP379" s="377"/>
      <c r="AQ379" s="377"/>
      <c r="AR379" s="377"/>
      <c r="AS379" s="377"/>
      <c r="AT379" s="377"/>
      <c r="AU379" s="377"/>
      <c r="AV379" s="377"/>
      <c r="AW379" s="575"/>
      <c r="AX379" s="377"/>
      <c r="AY379" s="377"/>
      <c r="AZ379" s="377"/>
      <c r="BA379" s="377"/>
      <c r="BB379" s="377"/>
      <c r="BC379" s="377"/>
      <c r="BD379" s="377"/>
      <c r="BE379" s="377"/>
      <c r="BF379" s="377"/>
      <c r="BG379" s="377"/>
      <c r="BH379" s="377"/>
      <c r="BI379" s="377"/>
      <c r="BJ379" s="377"/>
      <c r="BK379" s="377"/>
      <c r="BL379" s="377"/>
      <c r="BM379" s="377"/>
      <c r="BN379" s="576"/>
      <c r="BO379" s="377"/>
      <c r="BP379" s="377"/>
      <c r="BQ379" s="377"/>
      <c r="BR379" s="377"/>
      <c r="BS379" s="377"/>
      <c r="BT379" s="377"/>
      <c r="BU379" s="377"/>
      <c r="BV379" s="377"/>
      <c r="BW379" s="377"/>
      <c r="BX379" s="377"/>
      <c r="BY379" s="377"/>
      <c r="BZ379" s="377"/>
      <c r="CA379" s="377"/>
      <c r="CB379" s="377"/>
      <c r="CC379" s="377"/>
      <c r="CD379" s="377"/>
      <c r="CE379" s="377"/>
      <c r="CF379" s="377"/>
      <c r="CG379" s="377"/>
      <c r="CH379" s="377"/>
      <c r="CI379" s="377"/>
    </row>
    <row r="380" spans="1:87" ht="15">
      <c r="A380" s="377"/>
      <c r="B380" s="377"/>
      <c r="C380" s="572"/>
      <c r="D380" s="377"/>
      <c r="E380" s="377"/>
      <c r="F380" s="377"/>
      <c r="G380" s="377"/>
      <c r="H380" s="573"/>
      <c r="I380" s="377"/>
      <c r="J380" s="377"/>
      <c r="K380" s="377"/>
      <c r="L380" s="377"/>
      <c r="M380" s="377"/>
      <c r="N380" s="377"/>
      <c r="O380" s="377"/>
      <c r="P380" s="377"/>
      <c r="Q380" s="377"/>
      <c r="R380" s="377"/>
      <c r="S380" s="377"/>
      <c r="T380" s="377"/>
      <c r="U380" s="377"/>
      <c r="V380" s="377"/>
      <c r="W380" s="377"/>
      <c r="X380" s="574"/>
      <c r="Y380" s="377"/>
      <c r="Z380" s="377"/>
      <c r="AA380" s="377"/>
      <c r="AB380" s="377"/>
      <c r="AC380" s="377"/>
      <c r="AD380" s="377"/>
      <c r="AE380" s="377"/>
      <c r="AF380" s="377"/>
      <c r="AG380" s="377"/>
      <c r="AH380" s="377"/>
      <c r="AI380" s="377"/>
      <c r="AJ380" s="377"/>
      <c r="AK380" s="377"/>
      <c r="AL380" s="574"/>
      <c r="AM380" s="377"/>
      <c r="AN380" s="377"/>
      <c r="AO380" s="377"/>
      <c r="AP380" s="377"/>
      <c r="AQ380" s="377"/>
      <c r="AR380" s="377"/>
      <c r="AS380" s="377"/>
      <c r="AT380" s="377"/>
      <c r="AU380" s="377"/>
      <c r="AV380" s="377"/>
      <c r="AW380" s="575"/>
      <c r="AX380" s="377"/>
      <c r="AY380" s="377"/>
      <c r="AZ380" s="377"/>
      <c r="BA380" s="377"/>
      <c r="BB380" s="377"/>
      <c r="BC380" s="377"/>
      <c r="BD380" s="377"/>
      <c r="BE380" s="377"/>
      <c r="BF380" s="377"/>
      <c r="BG380" s="377"/>
      <c r="BH380" s="377"/>
      <c r="BI380" s="377"/>
      <c r="BJ380" s="377"/>
      <c r="BK380" s="377"/>
      <c r="BL380" s="377"/>
      <c r="BM380" s="377"/>
      <c r="BN380" s="576"/>
      <c r="BO380" s="377"/>
      <c r="BP380" s="377"/>
      <c r="BQ380" s="377"/>
      <c r="BR380" s="377"/>
      <c r="BS380" s="377"/>
      <c r="BT380" s="377"/>
      <c r="BU380" s="377"/>
      <c r="BV380" s="377"/>
      <c r="BW380" s="377"/>
      <c r="BX380" s="377"/>
      <c r="BY380" s="377"/>
      <c r="BZ380" s="377"/>
      <c r="CA380" s="377"/>
      <c r="CB380" s="377"/>
      <c r="CC380" s="377"/>
      <c r="CD380" s="377"/>
      <c r="CE380" s="377"/>
      <c r="CF380" s="377"/>
      <c r="CG380" s="377"/>
      <c r="CH380" s="377"/>
      <c r="CI380" s="377"/>
    </row>
    <row r="381" spans="1:87" ht="15">
      <c r="A381" s="377"/>
      <c r="B381" s="377"/>
      <c r="C381" s="572"/>
      <c r="D381" s="377"/>
      <c r="E381" s="377"/>
      <c r="F381" s="377"/>
      <c r="G381" s="377"/>
      <c r="H381" s="573"/>
      <c r="I381" s="377"/>
      <c r="J381" s="377"/>
      <c r="K381" s="377"/>
      <c r="L381" s="377"/>
      <c r="M381" s="377"/>
      <c r="N381" s="377"/>
      <c r="O381" s="377"/>
      <c r="P381" s="377"/>
      <c r="Q381" s="377"/>
      <c r="R381" s="377"/>
      <c r="S381" s="377"/>
      <c r="T381" s="377"/>
      <c r="U381" s="377"/>
      <c r="V381" s="377"/>
      <c r="W381" s="377"/>
      <c r="X381" s="574"/>
      <c r="Y381" s="377"/>
      <c r="Z381" s="377"/>
      <c r="AA381" s="377"/>
      <c r="AB381" s="377"/>
      <c r="AC381" s="377"/>
      <c r="AD381" s="377"/>
      <c r="AE381" s="377"/>
      <c r="AF381" s="377"/>
      <c r="AG381" s="377"/>
      <c r="AH381" s="377"/>
      <c r="AI381" s="377"/>
      <c r="AJ381" s="377"/>
      <c r="AK381" s="377"/>
      <c r="AL381" s="574"/>
      <c r="AM381" s="377"/>
      <c r="AN381" s="377"/>
      <c r="AO381" s="377"/>
      <c r="AP381" s="377"/>
      <c r="AQ381" s="377"/>
      <c r="AR381" s="377"/>
      <c r="AS381" s="377"/>
      <c r="AT381" s="377"/>
      <c r="AU381" s="377"/>
      <c r="AV381" s="377"/>
      <c r="AW381" s="575"/>
      <c r="AX381" s="377"/>
      <c r="AY381" s="377"/>
      <c r="AZ381" s="377"/>
      <c r="BA381" s="377"/>
      <c r="BB381" s="377"/>
      <c r="BC381" s="377"/>
      <c r="BD381" s="377"/>
      <c r="BE381" s="377"/>
      <c r="BF381" s="377"/>
      <c r="BG381" s="377"/>
      <c r="BH381" s="377"/>
      <c r="BI381" s="377"/>
      <c r="BJ381" s="377"/>
      <c r="BK381" s="377"/>
      <c r="BL381" s="377"/>
      <c r="BM381" s="377"/>
      <c r="BN381" s="576"/>
      <c r="BO381" s="377"/>
      <c r="BP381" s="377"/>
      <c r="BQ381" s="377"/>
      <c r="BR381" s="377"/>
      <c r="BS381" s="377"/>
      <c r="BT381" s="377"/>
      <c r="BU381" s="377"/>
      <c r="BV381" s="377"/>
      <c r="BW381" s="377"/>
      <c r="BX381" s="377"/>
      <c r="BY381" s="377"/>
      <c r="BZ381" s="377"/>
      <c r="CA381" s="377"/>
      <c r="CB381" s="377"/>
      <c r="CC381" s="377"/>
      <c r="CD381" s="377"/>
      <c r="CE381" s="377"/>
      <c r="CF381" s="377"/>
      <c r="CG381" s="377"/>
      <c r="CH381" s="377"/>
      <c r="CI381" s="377"/>
    </row>
    <row r="382" spans="1:87" ht="15">
      <c r="A382" s="377"/>
      <c r="B382" s="377"/>
      <c r="C382" s="572"/>
      <c r="D382" s="377"/>
      <c r="E382" s="377"/>
      <c r="F382" s="377"/>
      <c r="G382" s="377"/>
      <c r="H382" s="573"/>
      <c r="I382" s="377"/>
      <c r="J382" s="377"/>
      <c r="K382" s="377"/>
      <c r="L382" s="377"/>
      <c r="M382" s="377"/>
      <c r="N382" s="377"/>
      <c r="O382" s="377"/>
      <c r="P382" s="377"/>
      <c r="Q382" s="377"/>
      <c r="R382" s="377"/>
      <c r="S382" s="377"/>
      <c r="T382" s="377"/>
      <c r="U382" s="377"/>
      <c r="V382" s="377"/>
      <c r="W382" s="377"/>
      <c r="X382" s="574"/>
      <c r="Y382" s="377"/>
      <c r="Z382" s="377"/>
      <c r="AA382" s="377"/>
      <c r="AB382" s="377"/>
      <c r="AC382" s="377"/>
      <c r="AD382" s="377"/>
      <c r="AE382" s="377"/>
      <c r="AF382" s="377"/>
      <c r="AG382" s="377"/>
      <c r="AH382" s="377"/>
      <c r="AI382" s="377"/>
      <c r="AJ382" s="377"/>
      <c r="AK382" s="377"/>
      <c r="AL382" s="574"/>
      <c r="AM382" s="377"/>
      <c r="AN382" s="377"/>
      <c r="AO382" s="377"/>
      <c r="AP382" s="377"/>
      <c r="AQ382" s="377"/>
      <c r="AR382" s="377"/>
      <c r="AS382" s="377"/>
      <c r="AT382" s="377"/>
      <c r="AU382" s="377"/>
      <c r="AV382" s="377"/>
      <c r="AW382" s="575"/>
      <c r="AX382" s="377"/>
      <c r="AY382" s="377"/>
      <c r="AZ382" s="377"/>
      <c r="BA382" s="377"/>
      <c r="BB382" s="377"/>
      <c r="BC382" s="377"/>
      <c r="BD382" s="377"/>
      <c r="BE382" s="377"/>
      <c r="BF382" s="377"/>
      <c r="BG382" s="377"/>
      <c r="BH382" s="377"/>
      <c r="BI382" s="377"/>
      <c r="BJ382" s="377"/>
      <c r="BK382" s="377"/>
      <c r="BL382" s="377"/>
      <c r="BM382" s="377"/>
      <c r="BN382" s="576"/>
      <c r="BO382" s="377"/>
      <c r="BP382" s="377"/>
      <c r="BQ382" s="377"/>
      <c r="BR382" s="377"/>
      <c r="BS382" s="377"/>
      <c r="BT382" s="377"/>
      <c r="BU382" s="377"/>
      <c r="BV382" s="377"/>
      <c r="BW382" s="377"/>
      <c r="BX382" s="377"/>
      <c r="BY382" s="377"/>
      <c r="BZ382" s="377"/>
      <c r="CA382" s="377"/>
      <c r="CB382" s="377"/>
      <c r="CC382" s="377"/>
      <c r="CD382" s="377"/>
      <c r="CE382" s="377"/>
      <c r="CF382" s="377"/>
      <c r="CG382" s="377"/>
      <c r="CH382" s="377"/>
      <c r="CI382" s="377"/>
    </row>
    <row r="383" spans="1:87" ht="15">
      <c r="A383" s="377"/>
      <c r="B383" s="377"/>
      <c r="C383" s="572"/>
      <c r="D383" s="377"/>
      <c r="E383" s="377"/>
      <c r="F383" s="377"/>
      <c r="G383" s="377"/>
      <c r="H383" s="573"/>
      <c r="I383" s="377"/>
      <c r="J383" s="377"/>
      <c r="K383" s="377"/>
      <c r="L383" s="377"/>
      <c r="M383" s="377"/>
      <c r="N383" s="377"/>
      <c r="O383" s="377"/>
      <c r="P383" s="377"/>
      <c r="Q383" s="377"/>
      <c r="R383" s="377"/>
      <c r="S383" s="377"/>
      <c r="T383" s="377"/>
      <c r="U383" s="377"/>
      <c r="V383" s="377"/>
      <c r="W383" s="377"/>
      <c r="X383" s="574"/>
      <c r="Y383" s="377"/>
      <c r="Z383" s="377"/>
      <c r="AA383" s="377"/>
      <c r="AB383" s="377"/>
      <c r="AC383" s="377"/>
      <c r="AD383" s="377"/>
      <c r="AE383" s="377"/>
      <c r="AF383" s="377"/>
      <c r="AG383" s="377"/>
      <c r="AH383" s="377"/>
      <c r="AI383" s="377"/>
      <c r="AJ383" s="377"/>
      <c r="AK383" s="377"/>
      <c r="AL383" s="574"/>
      <c r="AM383" s="377"/>
      <c r="AN383" s="377"/>
      <c r="AO383" s="377"/>
      <c r="AP383" s="377"/>
      <c r="AQ383" s="377"/>
      <c r="AR383" s="377"/>
      <c r="AS383" s="377"/>
      <c r="AT383" s="377"/>
      <c r="AU383" s="377"/>
      <c r="AV383" s="377"/>
      <c r="AW383" s="575"/>
      <c r="AX383" s="377"/>
      <c r="AY383" s="377"/>
      <c r="AZ383" s="377"/>
      <c r="BA383" s="377"/>
      <c r="BB383" s="377"/>
      <c r="BC383" s="377"/>
      <c r="BD383" s="377"/>
      <c r="BE383" s="377"/>
      <c r="BF383" s="377"/>
      <c r="BG383" s="377"/>
      <c r="BH383" s="377"/>
      <c r="BI383" s="377"/>
      <c r="BJ383" s="377"/>
      <c r="BK383" s="377"/>
      <c r="BL383" s="377"/>
      <c r="BM383" s="377"/>
      <c r="BN383" s="576"/>
      <c r="BO383" s="377"/>
      <c r="BP383" s="377"/>
      <c r="BQ383" s="377"/>
      <c r="BR383" s="377"/>
      <c r="BS383" s="377"/>
      <c r="BT383" s="377"/>
      <c r="BU383" s="377"/>
      <c r="BV383" s="377"/>
      <c r="BW383" s="377"/>
      <c r="BX383" s="377"/>
      <c r="BY383" s="377"/>
      <c r="BZ383" s="377"/>
      <c r="CA383" s="377"/>
      <c r="CB383" s="377"/>
      <c r="CC383" s="377"/>
      <c r="CD383" s="377"/>
      <c r="CE383" s="377"/>
      <c r="CF383" s="377"/>
      <c r="CG383" s="377"/>
      <c r="CH383" s="377"/>
      <c r="CI383" s="377"/>
    </row>
    <row r="384" spans="1:87" ht="15">
      <c r="A384" s="377"/>
      <c r="B384" s="377"/>
      <c r="C384" s="572"/>
      <c r="D384" s="377"/>
      <c r="E384" s="377"/>
      <c r="F384" s="377"/>
      <c r="G384" s="377"/>
      <c r="H384" s="573"/>
      <c r="I384" s="377"/>
      <c r="J384" s="377"/>
      <c r="K384" s="377"/>
      <c r="L384" s="377"/>
      <c r="M384" s="377"/>
      <c r="N384" s="377"/>
      <c r="O384" s="377"/>
      <c r="P384" s="377"/>
      <c r="Q384" s="377"/>
      <c r="R384" s="377"/>
      <c r="S384" s="377"/>
      <c r="T384" s="377"/>
      <c r="U384" s="377"/>
      <c r="V384" s="377"/>
      <c r="W384" s="377"/>
      <c r="X384" s="574"/>
      <c r="Y384" s="377"/>
      <c r="Z384" s="377"/>
      <c r="AA384" s="377"/>
      <c r="AB384" s="377"/>
      <c r="AC384" s="377"/>
      <c r="AD384" s="377"/>
      <c r="AE384" s="377"/>
      <c r="AF384" s="377"/>
      <c r="AG384" s="377"/>
      <c r="AH384" s="377"/>
      <c r="AI384" s="377"/>
      <c r="AJ384" s="377"/>
      <c r="AK384" s="377"/>
      <c r="AL384" s="574"/>
      <c r="AM384" s="377"/>
      <c r="AN384" s="377"/>
      <c r="AO384" s="377"/>
      <c r="AP384" s="377"/>
      <c r="AQ384" s="377"/>
      <c r="AR384" s="377"/>
      <c r="AS384" s="377"/>
      <c r="AT384" s="377"/>
      <c r="AU384" s="377"/>
      <c r="AV384" s="377"/>
      <c r="AW384" s="575"/>
      <c r="AX384" s="377"/>
      <c r="AY384" s="377"/>
      <c r="AZ384" s="377"/>
      <c r="BA384" s="377"/>
      <c r="BB384" s="377"/>
      <c r="BC384" s="377"/>
      <c r="BD384" s="377"/>
      <c r="BE384" s="377"/>
      <c r="BF384" s="377"/>
      <c r="BG384" s="377"/>
      <c r="BH384" s="377"/>
      <c r="BI384" s="377"/>
      <c r="BJ384" s="377"/>
      <c r="BK384" s="377"/>
      <c r="BL384" s="377"/>
      <c r="BM384" s="377"/>
      <c r="BN384" s="576"/>
      <c r="BO384" s="377"/>
      <c r="BP384" s="377"/>
      <c r="BQ384" s="377"/>
      <c r="BR384" s="377"/>
      <c r="BS384" s="377"/>
      <c r="BT384" s="377"/>
      <c r="BU384" s="377"/>
      <c r="BV384" s="377"/>
      <c r="BW384" s="377"/>
      <c r="BX384" s="377"/>
      <c r="BY384" s="377"/>
      <c r="BZ384" s="377"/>
      <c r="CA384" s="377"/>
      <c r="CB384" s="377"/>
      <c r="CC384" s="377"/>
      <c r="CD384" s="377"/>
      <c r="CE384" s="377"/>
      <c r="CF384" s="377"/>
      <c r="CG384" s="377"/>
      <c r="CH384" s="377"/>
      <c r="CI384" s="377"/>
    </row>
    <row r="385" spans="1:87" ht="15">
      <c r="A385" s="377"/>
      <c r="B385" s="377"/>
      <c r="C385" s="572"/>
      <c r="D385" s="377"/>
      <c r="E385" s="377"/>
      <c r="F385" s="377"/>
      <c r="G385" s="377"/>
      <c r="H385" s="573"/>
      <c r="I385" s="377"/>
      <c r="J385" s="377"/>
      <c r="K385" s="377"/>
      <c r="L385" s="377"/>
      <c r="M385" s="377"/>
      <c r="N385" s="377"/>
      <c r="O385" s="377"/>
      <c r="P385" s="377"/>
      <c r="Q385" s="377"/>
      <c r="R385" s="377"/>
      <c r="S385" s="377"/>
      <c r="T385" s="377"/>
      <c r="U385" s="377"/>
      <c r="V385" s="377"/>
      <c r="W385" s="377"/>
      <c r="X385" s="574"/>
      <c r="Y385" s="377"/>
      <c r="Z385" s="377"/>
      <c r="AA385" s="377"/>
      <c r="AB385" s="377"/>
      <c r="AC385" s="377"/>
      <c r="AD385" s="377"/>
      <c r="AE385" s="377"/>
      <c r="AF385" s="377"/>
      <c r="AG385" s="377"/>
      <c r="AH385" s="377"/>
      <c r="AI385" s="377"/>
      <c r="AJ385" s="377"/>
      <c r="AK385" s="377"/>
      <c r="AL385" s="574"/>
      <c r="AM385" s="377"/>
      <c r="AN385" s="377"/>
      <c r="AO385" s="377"/>
      <c r="AP385" s="377"/>
      <c r="AQ385" s="377"/>
      <c r="AR385" s="377"/>
      <c r="AS385" s="377"/>
      <c r="AT385" s="377"/>
      <c r="AU385" s="377"/>
      <c r="AV385" s="377"/>
      <c r="AW385" s="575"/>
      <c r="AX385" s="377"/>
      <c r="AY385" s="377"/>
      <c r="AZ385" s="377"/>
      <c r="BA385" s="377"/>
      <c r="BB385" s="377"/>
      <c r="BC385" s="377"/>
      <c r="BD385" s="377"/>
      <c r="BE385" s="377"/>
      <c r="BF385" s="377"/>
      <c r="BG385" s="377"/>
      <c r="BH385" s="377"/>
      <c r="BI385" s="377"/>
      <c r="BJ385" s="377"/>
      <c r="BK385" s="377"/>
      <c r="BL385" s="377"/>
      <c r="BM385" s="377"/>
      <c r="BN385" s="576"/>
      <c r="BO385" s="377"/>
      <c r="BP385" s="377"/>
      <c r="BQ385" s="377"/>
      <c r="BR385" s="377"/>
      <c r="BS385" s="377"/>
      <c r="BT385" s="377"/>
      <c r="BU385" s="377"/>
      <c r="BV385" s="377"/>
      <c r="BW385" s="377"/>
      <c r="BX385" s="377"/>
      <c r="BY385" s="377"/>
      <c r="BZ385" s="377"/>
      <c r="CA385" s="377"/>
      <c r="CB385" s="377"/>
      <c r="CC385" s="377"/>
      <c r="CD385" s="377"/>
      <c r="CE385" s="377"/>
      <c r="CF385" s="377"/>
      <c r="CG385" s="377"/>
      <c r="CH385" s="377"/>
      <c r="CI385" s="377"/>
    </row>
    <row r="386" spans="1:87" ht="15">
      <c r="A386" s="377"/>
      <c r="B386" s="377"/>
      <c r="C386" s="572"/>
      <c r="D386" s="377"/>
      <c r="E386" s="377"/>
      <c r="F386" s="377"/>
      <c r="G386" s="377"/>
      <c r="H386" s="573"/>
      <c r="I386" s="377"/>
      <c r="J386" s="377"/>
      <c r="K386" s="377"/>
      <c r="L386" s="377"/>
      <c r="M386" s="377"/>
      <c r="N386" s="377"/>
      <c r="O386" s="377"/>
      <c r="P386" s="377"/>
      <c r="Q386" s="377"/>
      <c r="R386" s="377"/>
      <c r="S386" s="377"/>
      <c r="T386" s="377"/>
      <c r="U386" s="377"/>
      <c r="V386" s="377"/>
      <c r="W386" s="377"/>
      <c r="X386" s="574"/>
      <c r="Y386" s="377"/>
      <c r="Z386" s="377"/>
      <c r="AA386" s="377"/>
      <c r="AB386" s="377"/>
      <c r="AC386" s="377"/>
      <c r="AD386" s="377"/>
      <c r="AE386" s="377"/>
      <c r="AF386" s="377"/>
      <c r="AG386" s="377"/>
      <c r="AH386" s="377"/>
      <c r="AI386" s="377"/>
      <c r="AJ386" s="377"/>
      <c r="AK386" s="377"/>
      <c r="AL386" s="574"/>
      <c r="AM386" s="377"/>
      <c r="AN386" s="377"/>
      <c r="AO386" s="377"/>
      <c r="AP386" s="377"/>
      <c r="AQ386" s="377"/>
      <c r="AR386" s="377"/>
      <c r="AS386" s="377"/>
      <c r="AT386" s="377"/>
      <c r="AU386" s="377"/>
      <c r="AV386" s="377"/>
      <c r="AW386" s="575"/>
      <c r="AX386" s="377"/>
      <c r="AY386" s="377"/>
      <c r="AZ386" s="377"/>
      <c r="BA386" s="377"/>
      <c r="BB386" s="377"/>
      <c r="BC386" s="377"/>
      <c r="BD386" s="377"/>
      <c r="BE386" s="377"/>
      <c r="BF386" s="377"/>
      <c r="BG386" s="377"/>
      <c r="BH386" s="377"/>
      <c r="BI386" s="377"/>
      <c r="BJ386" s="377"/>
      <c r="BK386" s="377"/>
      <c r="BL386" s="377"/>
      <c r="BM386" s="377"/>
      <c r="BN386" s="576"/>
      <c r="BO386" s="377"/>
      <c r="BP386" s="377"/>
      <c r="BQ386" s="377"/>
      <c r="BR386" s="377"/>
      <c r="BS386" s="377"/>
      <c r="BT386" s="377"/>
      <c r="BU386" s="377"/>
      <c r="BV386" s="377"/>
      <c r="BW386" s="377"/>
      <c r="BX386" s="377"/>
      <c r="BY386" s="377"/>
      <c r="BZ386" s="377"/>
      <c r="CA386" s="377"/>
      <c r="CB386" s="377"/>
      <c r="CC386" s="377"/>
      <c r="CD386" s="377"/>
      <c r="CE386" s="377"/>
      <c r="CF386" s="377"/>
      <c r="CG386" s="377"/>
      <c r="CH386" s="377"/>
      <c r="CI386" s="377"/>
    </row>
    <row r="387" spans="1:87" ht="15">
      <c r="A387" s="377"/>
      <c r="B387" s="377"/>
      <c r="C387" s="572"/>
      <c r="D387" s="377"/>
      <c r="E387" s="377"/>
      <c r="F387" s="377"/>
      <c r="G387" s="377"/>
      <c r="H387" s="573"/>
      <c r="I387" s="377"/>
      <c r="J387" s="377"/>
      <c r="K387" s="377"/>
      <c r="L387" s="377"/>
      <c r="M387" s="377"/>
      <c r="N387" s="377"/>
      <c r="O387" s="377"/>
      <c r="P387" s="377"/>
      <c r="Q387" s="377"/>
      <c r="R387" s="377"/>
      <c r="S387" s="377"/>
      <c r="T387" s="377"/>
      <c r="U387" s="377"/>
      <c r="V387" s="377"/>
      <c r="W387" s="377"/>
      <c r="X387" s="574"/>
      <c r="Y387" s="377"/>
      <c r="Z387" s="377"/>
      <c r="AA387" s="377"/>
      <c r="AB387" s="377"/>
      <c r="AC387" s="377"/>
      <c r="AD387" s="377"/>
      <c r="AE387" s="377"/>
      <c r="AF387" s="377"/>
      <c r="AG387" s="377"/>
      <c r="AH387" s="377"/>
      <c r="AI387" s="377"/>
      <c r="AJ387" s="377"/>
      <c r="AK387" s="377"/>
      <c r="AL387" s="574"/>
      <c r="AM387" s="377"/>
      <c r="AN387" s="377"/>
      <c r="AO387" s="377"/>
      <c r="AP387" s="377"/>
      <c r="AQ387" s="377"/>
      <c r="AR387" s="377"/>
      <c r="AS387" s="377"/>
      <c r="AT387" s="377"/>
      <c r="AU387" s="377"/>
      <c r="AV387" s="377"/>
      <c r="AW387" s="575"/>
      <c r="AX387" s="377"/>
      <c r="AY387" s="377"/>
      <c r="AZ387" s="377"/>
      <c r="BA387" s="377"/>
      <c r="BB387" s="377"/>
      <c r="BC387" s="377"/>
      <c r="BD387" s="377"/>
      <c r="BE387" s="377"/>
      <c r="BF387" s="377"/>
      <c r="BG387" s="377"/>
      <c r="BH387" s="377"/>
      <c r="BI387" s="377"/>
      <c r="BJ387" s="377"/>
      <c r="BK387" s="377"/>
      <c r="BL387" s="377"/>
      <c r="BM387" s="377"/>
      <c r="BN387" s="576"/>
      <c r="BO387" s="377"/>
      <c r="BP387" s="377"/>
      <c r="BQ387" s="377"/>
      <c r="BR387" s="377"/>
      <c r="BS387" s="377"/>
      <c r="BT387" s="377"/>
      <c r="BU387" s="377"/>
      <c r="BV387" s="377"/>
      <c r="BW387" s="377"/>
      <c r="BX387" s="377"/>
      <c r="BY387" s="377"/>
      <c r="BZ387" s="377"/>
      <c r="CA387" s="377"/>
      <c r="CB387" s="377"/>
      <c r="CC387" s="377"/>
      <c r="CD387" s="377"/>
      <c r="CE387" s="377"/>
      <c r="CF387" s="377"/>
      <c r="CG387" s="377"/>
      <c r="CH387" s="377"/>
      <c r="CI387" s="377"/>
    </row>
    <row r="388" spans="1:87" ht="15">
      <c r="A388" s="377"/>
      <c r="B388" s="377"/>
      <c r="C388" s="572"/>
      <c r="D388" s="377"/>
      <c r="E388" s="377"/>
      <c r="F388" s="377"/>
      <c r="G388" s="377"/>
      <c r="H388" s="573"/>
      <c r="I388" s="377"/>
      <c r="J388" s="377"/>
      <c r="K388" s="377"/>
      <c r="L388" s="377"/>
      <c r="M388" s="377"/>
      <c r="N388" s="377"/>
      <c r="O388" s="377"/>
      <c r="P388" s="377"/>
      <c r="Q388" s="377"/>
      <c r="R388" s="377"/>
      <c r="S388" s="377"/>
      <c r="T388" s="377"/>
      <c r="U388" s="377"/>
      <c r="V388" s="377"/>
      <c r="W388" s="377"/>
      <c r="X388" s="574"/>
      <c r="Y388" s="377"/>
      <c r="Z388" s="377"/>
      <c r="AA388" s="377"/>
      <c r="AB388" s="377"/>
      <c r="AC388" s="377"/>
      <c r="AD388" s="377"/>
      <c r="AE388" s="377"/>
      <c r="AF388" s="377"/>
      <c r="AG388" s="377"/>
      <c r="AH388" s="377"/>
      <c r="AI388" s="377"/>
      <c r="AJ388" s="377"/>
      <c r="AK388" s="377"/>
      <c r="AL388" s="574"/>
      <c r="AM388" s="377"/>
      <c r="AN388" s="377"/>
      <c r="AO388" s="377"/>
      <c r="AP388" s="377"/>
      <c r="AQ388" s="377"/>
      <c r="AR388" s="377"/>
      <c r="AS388" s="377"/>
      <c r="AT388" s="377"/>
      <c r="AU388" s="377"/>
      <c r="AV388" s="377"/>
      <c r="AW388" s="575"/>
      <c r="AX388" s="377"/>
      <c r="AY388" s="377"/>
      <c r="AZ388" s="377"/>
      <c r="BA388" s="377"/>
      <c r="BB388" s="377"/>
      <c r="BC388" s="377"/>
      <c r="BD388" s="377"/>
      <c r="BE388" s="377"/>
      <c r="BF388" s="377"/>
      <c r="BG388" s="377"/>
      <c r="BH388" s="377"/>
      <c r="BI388" s="377"/>
      <c r="BJ388" s="377"/>
      <c r="BK388" s="377"/>
      <c r="BL388" s="377"/>
      <c r="BM388" s="377"/>
      <c r="BN388" s="576"/>
      <c r="BO388" s="377"/>
      <c r="BP388" s="377"/>
      <c r="BQ388" s="377"/>
      <c r="BR388" s="377"/>
      <c r="BS388" s="377"/>
      <c r="BT388" s="377"/>
      <c r="BU388" s="377"/>
      <c r="BV388" s="377"/>
      <c r="BW388" s="377"/>
      <c r="BX388" s="377"/>
      <c r="BY388" s="377"/>
      <c r="BZ388" s="377"/>
      <c r="CA388" s="377"/>
      <c r="CB388" s="377"/>
      <c r="CC388" s="377"/>
      <c r="CD388" s="377"/>
      <c r="CE388" s="377"/>
      <c r="CF388" s="377"/>
      <c r="CG388" s="377"/>
      <c r="CH388" s="377"/>
      <c r="CI388" s="377"/>
    </row>
    <row r="389" spans="1:87" ht="15">
      <c r="A389" s="377"/>
      <c r="B389" s="377"/>
      <c r="C389" s="572"/>
      <c r="D389" s="377"/>
      <c r="E389" s="377"/>
      <c r="F389" s="377"/>
      <c r="G389" s="377"/>
      <c r="H389" s="573"/>
      <c r="I389" s="377"/>
      <c r="J389" s="377"/>
      <c r="K389" s="377"/>
      <c r="L389" s="377"/>
      <c r="M389" s="377"/>
      <c r="N389" s="377"/>
      <c r="O389" s="377"/>
      <c r="P389" s="377"/>
      <c r="Q389" s="377"/>
      <c r="R389" s="377"/>
      <c r="S389" s="377"/>
      <c r="T389" s="377"/>
      <c r="U389" s="377"/>
      <c r="V389" s="377"/>
      <c r="W389" s="377"/>
      <c r="X389" s="574"/>
      <c r="Y389" s="377"/>
      <c r="Z389" s="377"/>
      <c r="AA389" s="377"/>
      <c r="AB389" s="377"/>
      <c r="AC389" s="377"/>
      <c r="AD389" s="377"/>
      <c r="AE389" s="377"/>
      <c r="AF389" s="377"/>
      <c r="AG389" s="377"/>
      <c r="AH389" s="377"/>
      <c r="AI389" s="377"/>
      <c r="AJ389" s="377"/>
      <c r="AK389" s="377"/>
      <c r="AL389" s="574"/>
      <c r="AM389" s="377"/>
      <c r="AN389" s="377"/>
      <c r="AO389" s="377"/>
      <c r="AP389" s="377"/>
      <c r="AQ389" s="377"/>
      <c r="AR389" s="377"/>
      <c r="AS389" s="377"/>
      <c r="AT389" s="377"/>
      <c r="AU389" s="377"/>
      <c r="AV389" s="377"/>
      <c r="AW389" s="575"/>
      <c r="AX389" s="377"/>
      <c r="AY389" s="377"/>
      <c r="AZ389" s="377"/>
      <c r="BA389" s="377"/>
      <c r="BB389" s="377"/>
      <c r="BC389" s="377"/>
      <c r="BD389" s="377"/>
      <c r="BE389" s="377"/>
      <c r="BF389" s="377"/>
      <c r="BG389" s="377"/>
      <c r="BH389" s="377"/>
      <c r="BI389" s="377"/>
      <c r="BJ389" s="377"/>
      <c r="BK389" s="377"/>
      <c r="BL389" s="377"/>
      <c r="BM389" s="377"/>
      <c r="BN389" s="576"/>
      <c r="BO389" s="377"/>
      <c r="BP389" s="377"/>
      <c r="BQ389" s="377"/>
      <c r="BR389" s="377"/>
      <c r="BS389" s="377"/>
      <c r="BT389" s="377"/>
      <c r="BU389" s="377"/>
      <c r="BV389" s="377"/>
      <c r="BW389" s="377"/>
      <c r="BX389" s="377"/>
      <c r="BY389" s="377"/>
      <c r="BZ389" s="377"/>
      <c r="CA389" s="377"/>
      <c r="CB389" s="377"/>
      <c r="CC389" s="377"/>
      <c r="CD389" s="377"/>
      <c r="CE389" s="377"/>
      <c r="CF389" s="377"/>
      <c r="CG389" s="377"/>
      <c r="CH389" s="377"/>
      <c r="CI389" s="377"/>
    </row>
    <row r="390" spans="1:87" ht="15">
      <c r="A390" s="377"/>
      <c r="B390" s="377"/>
      <c r="C390" s="572"/>
      <c r="D390" s="377"/>
      <c r="E390" s="377"/>
      <c r="F390" s="377"/>
      <c r="G390" s="377"/>
      <c r="H390" s="573"/>
      <c r="I390" s="377"/>
      <c r="J390" s="377"/>
      <c r="K390" s="377"/>
      <c r="L390" s="377"/>
      <c r="M390" s="377"/>
      <c r="N390" s="377"/>
      <c r="O390" s="377"/>
      <c r="P390" s="377"/>
      <c r="Q390" s="377"/>
      <c r="R390" s="377"/>
      <c r="S390" s="377"/>
      <c r="T390" s="377"/>
      <c r="U390" s="377"/>
      <c r="V390" s="377"/>
      <c r="W390" s="377"/>
      <c r="X390" s="574"/>
      <c r="Y390" s="377"/>
      <c r="Z390" s="377"/>
      <c r="AA390" s="377"/>
      <c r="AB390" s="377"/>
      <c r="AC390" s="377"/>
      <c r="AD390" s="377"/>
      <c r="AE390" s="377"/>
      <c r="AF390" s="377"/>
      <c r="AG390" s="377"/>
      <c r="AH390" s="377"/>
      <c r="AI390" s="377"/>
      <c r="AJ390" s="377"/>
      <c r="AK390" s="377"/>
      <c r="AL390" s="574"/>
      <c r="AM390" s="377"/>
      <c r="AN390" s="377"/>
      <c r="AO390" s="377"/>
      <c r="AP390" s="377"/>
      <c r="AQ390" s="377"/>
      <c r="AR390" s="377"/>
      <c r="AS390" s="377"/>
      <c r="AT390" s="377"/>
      <c r="AU390" s="377"/>
      <c r="AV390" s="377"/>
      <c r="AW390" s="575"/>
      <c r="AX390" s="377"/>
      <c r="AY390" s="377"/>
      <c r="AZ390" s="377"/>
      <c r="BA390" s="377"/>
      <c r="BB390" s="377"/>
      <c r="BC390" s="377"/>
      <c r="BD390" s="377"/>
      <c r="BE390" s="377"/>
      <c r="BF390" s="377"/>
      <c r="BG390" s="377"/>
      <c r="BH390" s="377"/>
      <c r="BI390" s="377"/>
      <c r="BJ390" s="377"/>
      <c r="BK390" s="377"/>
      <c r="BL390" s="377"/>
      <c r="BM390" s="377"/>
      <c r="BN390" s="576"/>
      <c r="BO390" s="377"/>
      <c r="BP390" s="377"/>
      <c r="BQ390" s="377"/>
      <c r="BR390" s="377"/>
      <c r="BS390" s="377"/>
      <c r="BT390" s="377"/>
      <c r="BU390" s="377"/>
      <c r="BV390" s="377"/>
      <c r="BW390" s="377"/>
      <c r="BX390" s="377"/>
      <c r="BY390" s="377"/>
      <c r="BZ390" s="377"/>
      <c r="CA390" s="377"/>
      <c r="CB390" s="377"/>
      <c r="CC390" s="377"/>
      <c r="CD390" s="377"/>
      <c r="CE390" s="377"/>
      <c r="CF390" s="377"/>
      <c r="CG390" s="377"/>
      <c r="CH390" s="377"/>
      <c r="CI390" s="377"/>
    </row>
    <row r="391" spans="1:87" ht="15">
      <c r="A391" s="377"/>
      <c r="B391" s="377"/>
      <c r="C391" s="572"/>
      <c r="D391" s="377"/>
      <c r="E391" s="377"/>
      <c r="F391" s="377"/>
      <c r="G391" s="377"/>
      <c r="H391" s="573"/>
      <c r="I391" s="377"/>
      <c r="J391" s="377"/>
      <c r="K391" s="377"/>
      <c r="L391" s="377"/>
      <c r="M391" s="377"/>
      <c r="N391" s="377"/>
      <c r="O391" s="377"/>
      <c r="P391" s="377"/>
      <c r="Q391" s="377"/>
      <c r="R391" s="377"/>
      <c r="S391" s="377"/>
      <c r="T391" s="377"/>
      <c r="U391" s="377"/>
      <c r="V391" s="377"/>
      <c r="W391" s="377"/>
      <c r="X391" s="574"/>
      <c r="Y391" s="377"/>
      <c r="Z391" s="377"/>
      <c r="AA391" s="377"/>
      <c r="AB391" s="377"/>
      <c r="AC391" s="377"/>
      <c r="AD391" s="377"/>
      <c r="AE391" s="377"/>
      <c r="AF391" s="377"/>
      <c r="AG391" s="377"/>
      <c r="AH391" s="377"/>
      <c r="AI391" s="377"/>
      <c r="AJ391" s="377"/>
      <c r="AK391" s="377"/>
      <c r="AL391" s="574"/>
      <c r="AM391" s="377"/>
      <c r="AN391" s="377"/>
      <c r="AO391" s="377"/>
      <c r="AP391" s="377"/>
      <c r="AQ391" s="377"/>
      <c r="AR391" s="377"/>
      <c r="AS391" s="377"/>
      <c r="AT391" s="377"/>
      <c r="AU391" s="377"/>
      <c r="AV391" s="377"/>
      <c r="AW391" s="575"/>
      <c r="AX391" s="377"/>
      <c r="AY391" s="377"/>
      <c r="AZ391" s="377"/>
      <c r="BA391" s="377"/>
      <c r="BB391" s="377"/>
      <c r="BC391" s="377"/>
      <c r="BD391" s="377"/>
      <c r="BE391" s="377"/>
      <c r="BF391" s="377"/>
      <c r="BG391" s="377"/>
      <c r="BH391" s="377"/>
      <c r="BI391" s="377"/>
      <c r="BJ391" s="377"/>
      <c r="BK391" s="377"/>
      <c r="BL391" s="377"/>
      <c r="BM391" s="377"/>
      <c r="BN391" s="576"/>
      <c r="BO391" s="377"/>
      <c r="BP391" s="377"/>
      <c r="BQ391" s="377"/>
      <c r="BR391" s="377"/>
      <c r="BS391" s="377"/>
      <c r="BT391" s="377"/>
      <c r="BU391" s="377"/>
      <c r="BV391" s="377"/>
      <c r="BW391" s="377"/>
      <c r="BX391" s="377"/>
      <c r="BY391" s="377"/>
      <c r="BZ391" s="377"/>
      <c r="CA391" s="377"/>
      <c r="CB391" s="377"/>
      <c r="CC391" s="377"/>
      <c r="CD391" s="377"/>
      <c r="CE391" s="377"/>
      <c r="CF391" s="377"/>
      <c r="CG391" s="377"/>
      <c r="CH391" s="377"/>
      <c r="CI391" s="377"/>
    </row>
    <row r="392" spans="1:87" ht="15">
      <c r="A392" s="377"/>
      <c r="B392" s="377"/>
      <c r="C392" s="572"/>
      <c r="D392" s="377"/>
      <c r="E392" s="377"/>
      <c r="F392" s="377"/>
      <c r="G392" s="377"/>
      <c r="H392" s="573"/>
      <c r="I392" s="377"/>
      <c r="J392" s="377"/>
      <c r="K392" s="377"/>
      <c r="L392" s="377"/>
      <c r="M392" s="377"/>
      <c r="N392" s="377"/>
      <c r="O392" s="377"/>
      <c r="P392" s="377"/>
      <c r="Q392" s="377"/>
      <c r="R392" s="377"/>
      <c r="S392" s="377"/>
      <c r="T392" s="377"/>
      <c r="U392" s="377"/>
      <c r="V392" s="377"/>
      <c r="W392" s="377"/>
      <c r="X392" s="574"/>
      <c r="Y392" s="377"/>
      <c r="Z392" s="377"/>
      <c r="AA392" s="377"/>
      <c r="AB392" s="377"/>
      <c r="AC392" s="377"/>
      <c r="AD392" s="377"/>
      <c r="AE392" s="377"/>
      <c r="AF392" s="377"/>
      <c r="AG392" s="377"/>
      <c r="AH392" s="377"/>
      <c r="AI392" s="377"/>
      <c r="AJ392" s="377"/>
      <c r="AK392" s="377"/>
      <c r="AL392" s="574"/>
      <c r="AM392" s="377"/>
      <c r="AN392" s="377"/>
      <c r="AO392" s="377"/>
      <c r="AP392" s="377"/>
      <c r="AQ392" s="377"/>
      <c r="AR392" s="377"/>
      <c r="AS392" s="377"/>
      <c r="AT392" s="377"/>
      <c r="AU392" s="377"/>
      <c r="AV392" s="377"/>
      <c r="AW392" s="575"/>
      <c r="AX392" s="377"/>
      <c r="AY392" s="377"/>
      <c r="AZ392" s="377"/>
      <c r="BA392" s="377"/>
      <c r="BB392" s="377"/>
      <c r="BC392" s="377"/>
      <c r="BD392" s="377"/>
      <c r="BE392" s="377"/>
      <c r="BF392" s="377"/>
      <c r="BG392" s="377"/>
      <c r="BH392" s="377"/>
      <c r="BI392" s="377"/>
      <c r="BJ392" s="377"/>
      <c r="BK392" s="377"/>
      <c r="BL392" s="377"/>
      <c r="BM392" s="377"/>
      <c r="BN392" s="576"/>
      <c r="BO392" s="377"/>
      <c r="BP392" s="377"/>
      <c r="BQ392" s="377"/>
      <c r="BR392" s="377"/>
      <c r="BS392" s="377"/>
      <c r="BT392" s="377"/>
      <c r="BU392" s="377"/>
      <c r="BV392" s="377"/>
      <c r="BW392" s="377"/>
      <c r="BX392" s="377"/>
      <c r="BY392" s="377"/>
      <c r="BZ392" s="377"/>
      <c r="CA392" s="377"/>
      <c r="CB392" s="377"/>
      <c r="CC392" s="377"/>
      <c r="CD392" s="377"/>
      <c r="CE392" s="377"/>
      <c r="CF392" s="377"/>
      <c r="CG392" s="377"/>
      <c r="CH392" s="377"/>
      <c r="CI392" s="377"/>
    </row>
  </sheetData>
  <mergeCells count="76">
    <mergeCell ref="C192:E192"/>
    <mergeCell ref="G192:J192"/>
    <mergeCell ref="S196:V196"/>
    <mergeCell ref="A182:B182"/>
    <mergeCell ref="C186:E186"/>
    <mergeCell ref="G186:J186"/>
    <mergeCell ref="C188:E188"/>
    <mergeCell ref="G188:J188"/>
    <mergeCell ref="C190:E190"/>
    <mergeCell ref="G190:J190"/>
    <mergeCell ref="A65:B65"/>
    <mergeCell ref="C65:J65"/>
    <mergeCell ref="A83:B83"/>
    <mergeCell ref="C83:J83"/>
    <mergeCell ref="A116:B116"/>
    <mergeCell ref="A124:B124"/>
    <mergeCell ref="BK12:BK13"/>
    <mergeCell ref="BL12:BL13"/>
    <mergeCell ref="BM12:BM13"/>
    <mergeCell ref="BN12:BN13"/>
    <mergeCell ref="A45:B45"/>
    <mergeCell ref="C45:J45"/>
    <mergeCell ref="BE12:BE13"/>
    <mergeCell ref="BF12:BF13"/>
    <mergeCell ref="BG12:BG13"/>
    <mergeCell ref="BH12:BH13"/>
    <mergeCell ref="BI12:BI13"/>
    <mergeCell ref="BJ12:BJ13"/>
    <mergeCell ref="AY12:AY13"/>
    <mergeCell ref="AZ12:AZ13"/>
    <mergeCell ref="BA12:BA13"/>
    <mergeCell ref="BB12:BB13"/>
    <mergeCell ref="BC12:BC13"/>
    <mergeCell ref="BD12:BD13"/>
    <mergeCell ref="AN12:AN13"/>
    <mergeCell ref="AO12:AR12"/>
    <mergeCell ref="AS12:AT12"/>
    <mergeCell ref="AU12:AV12"/>
    <mergeCell ref="AW12:AW13"/>
    <mergeCell ref="AX12:AX13"/>
    <mergeCell ref="AL12:AM12"/>
    <mergeCell ref="R12:V12"/>
    <mergeCell ref="W12:W13"/>
    <mergeCell ref="X12:X13"/>
    <mergeCell ref="Y12:Y13"/>
    <mergeCell ref="Z12:Z13"/>
    <mergeCell ref="AA12:AB12"/>
    <mergeCell ref="AC12:AD12"/>
    <mergeCell ref="AE12:AE13"/>
    <mergeCell ref="AF12:AG12"/>
    <mergeCell ref="AH12:AI12"/>
    <mergeCell ref="AJ12:AK12"/>
    <mergeCell ref="Q12:Q13"/>
    <mergeCell ref="A12:B13"/>
    <mergeCell ref="C12:C13"/>
    <mergeCell ref="D12:D13"/>
    <mergeCell ref="E12:E13"/>
    <mergeCell ref="F12:F13"/>
    <mergeCell ref="G12:G13"/>
    <mergeCell ref="H12:H13"/>
    <mergeCell ref="I12:I13"/>
    <mergeCell ref="J12:J13"/>
    <mergeCell ref="K12:K13"/>
    <mergeCell ref="L12:P12"/>
    <mergeCell ref="A10:AB10"/>
    <mergeCell ref="A3:I4"/>
    <mergeCell ref="P3:AB4"/>
    <mergeCell ref="A5:I5"/>
    <mergeCell ref="P5:AB5"/>
    <mergeCell ref="A6:I6"/>
    <mergeCell ref="P6:AB6"/>
    <mergeCell ref="A7:I7"/>
    <mergeCell ref="P7:AB7"/>
    <mergeCell ref="A8:I8"/>
    <mergeCell ref="P8:AB8"/>
    <mergeCell ref="A9:AB9"/>
  </mergeCells>
  <pageMargins left="0.23622047244094491" right="0.23622047244094491" top="0.35433070866141736" bottom="0.35433070866141736" header="0.31496062992125984" footer="0.31496062992125984"/>
  <pageSetup paperSize="9" scale="50"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FF27E-6B4E-4539-A8BB-9395BB467DB2}">
  <dimension ref="A1:CL371"/>
  <sheetViews>
    <sheetView topLeftCell="A10" zoomScale="80" zoomScaleNormal="80" workbookViewId="0">
      <pane xSplit="5" ySplit="4" topLeftCell="AR155" activePane="bottomRight" state="frozen"/>
      <selection activeCell="D175" sqref="D175"/>
      <selection pane="topRight" activeCell="D175" sqref="D175"/>
      <selection pane="bottomLeft" activeCell="D175" sqref="D175"/>
      <selection pane="bottomRight" activeCell="D175" sqref="D175"/>
    </sheetView>
  </sheetViews>
  <sheetFormatPr defaultColWidth="14.42578125" defaultRowHeight="12.75" outlineLevelCol="1"/>
  <cols>
    <col min="1" max="2" width="4.7109375" style="336" customWidth="1"/>
    <col min="3" max="3" width="25.85546875" style="336" customWidth="1"/>
    <col min="4" max="4" width="29.85546875" style="594" customWidth="1"/>
    <col min="5" max="5" width="0.140625" style="336" hidden="1" customWidth="1"/>
    <col min="6" max="6" width="13.7109375" style="336" customWidth="1"/>
    <col min="7" max="7" width="12.85546875" style="336" customWidth="1"/>
    <col min="8" max="8" width="13.7109375" style="595" customWidth="1"/>
    <col min="9" max="10" width="8.28515625" style="336" customWidth="1"/>
    <col min="11" max="11" width="13.140625" style="336" customWidth="1"/>
    <col min="12" max="16" width="7.140625" style="336" customWidth="1" outlineLevel="1"/>
    <col min="17" max="17" width="9.140625" style="336" customWidth="1"/>
    <col min="18" max="22" width="7.140625" style="336" customWidth="1" outlineLevel="1"/>
    <col min="23" max="23" width="8.7109375" style="336" customWidth="1"/>
    <col min="24" max="24" width="9.140625" style="336" customWidth="1"/>
    <col min="25" max="25" width="13.7109375" style="336" customWidth="1"/>
    <col min="26" max="26" width="12.140625" style="336" customWidth="1"/>
    <col min="27" max="27" width="8.7109375" style="336" customWidth="1"/>
    <col min="28" max="28" width="11.7109375" style="336" customWidth="1"/>
    <col min="29" max="29" width="8.140625" style="336" customWidth="1"/>
    <col min="30" max="30" width="11" style="336" customWidth="1"/>
    <col min="31" max="31" width="13.28515625" style="336" customWidth="1"/>
    <col min="32" max="32" width="9.7109375" style="336" customWidth="1"/>
    <col min="33" max="33" width="11.42578125" style="336" customWidth="1"/>
    <col min="34" max="34" width="10.140625" style="336" customWidth="1"/>
    <col min="35" max="35" width="12.7109375" style="336" customWidth="1"/>
    <col min="36" max="36" width="9.85546875" style="336" customWidth="1"/>
    <col min="37" max="37" width="12.85546875" style="336" customWidth="1"/>
    <col min="38" max="38" width="10.28515625" style="336" customWidth="1"/>
    <col min="39" max="39" width="14.28515625" style="336" bestFit="1" customWidth="1"/>
    <col min="40" max="40" width="16.140625" style="336" customWidth="1"/>
    <col min="41" max="41" width="14.7109375" style="336" customWidth="1"/>
    <col min="42" max="42" width="14.42578125" style="336" customWidth="1"/>
    <col min="43" max="43" width="14.140625" style="336" customWidth="1"/>
    <col min="44" max="44" width="13.42578125" style="336" customWidth="1"/>
    <col min="45" max="45" width="8.42578125" style="336" customWidth="1"/>
    <col min="46" max="46" width="12.7109375" style="336" customWidth="1"/>
    <col min="47" max="47" width="9.28515625" style="336" hidden="1" customWidth="1"/>
    <col min="48" max="48" width="13.28515625" style="336" hidden="1" customWidth="1"/>
    <col min="49" max="49" width="17.28515625" style="336" customWidth="1"/>
    <col min="50" max="50" width="12.28515625" style="336" customWidth="1"/>
    <col min="51" max="51" width="11.5703125" style="336" customWidth="1"/>
    <col min="52" max="52" width="14.7109375" style="336" customWidth="1"/>
    <col min="53" max="53" width="13.5703125" style="336" customWidth="1"/>
    <col min="54" max="54" width="14.42578125" style="336" customWidth="1"/>
    <col min="55" max="55" width="13.140625" style="336" customWidth="1"/>
    <col min="56" max="64" width="16.140625" style="336" customWidth="1"/>
    <col min="65" max="65" width="18.5703125" style="336" customWidth="1"/>
    <col min="66" max="66" width="11.42578125" style="578" customWidth="1"/>
    <col min="67" max="67" width="16.7109375" style="336" customWidth="1"/>
    <col min="68" max="87" width="16" style="336" customWidth="1"/>
    <col min="88" max="16384" width="14.42578125" style="336"/>
  </cols>
  <sheetData>
    <row r="1" spans="1:87" ht="15.75">
      <c r="A1" s="330"/>
      <c r="B1" s="330"/>
      <c r="C1" s="331"/>
      <c r="D1" s="331"/>
      <c r="E1" s="330"/>
      <c r="F1" s="330"/>
      <c r="G1" s="330"/>
      <c r="H1" s="332"/>
      <c r="I1" s="330"/>
      <c r="J1" s="330"/>
      <c r="K1" s="330"/>
      <c r="L1" s="330"/>
      <c r="M1" s="330"/>
      <c r="N1" s="330"/>
      <c r="O1" s="330"/>
      <c r="P1" s="330"/>
      <c r="Q1" s="330"/>
      <c r="R1" s="330"/>
      <c r="S1" s="330"/>
      <c r="T1" s="330"/>
      <c r="U1" s="330"/>
      <c r="V1" s="330"/>
      <c r="W1" s="330"/>
      <c r="X1" s="330"/>
      <c r="Y1" s="330"/>
      <c r="Z1" s="330"/>
      <c r="AA1" s="330"/>
      <c r="AB1" s="330"/>
      <c r="AC1" s="330"/>
      <c r="AD1" s="333"/>
      <c r="AE1" s="330"/>
      <c r="AF1" s="330"/>
      <c r="AG1" s="330"/>
      <c r="AH1" s="330"/>
      <c r="AI1" s="330"/>
      <c r="AJ1" s="330"/>
      <c r="AK1" s="330"/>
      <c r="AL1" s="330"/>
      <c r="AM1" s="330"/>
      <c r="AN1" s="330"/>
      <c r="AO1" s="330"/>
      <c r="AP1" s="330"/>
      <c r="AQ1" s="334"/>
      <c r="AR1" s="334"/>
      <c r="AS1" s="334"/>
      <c r="AT1" s="334"/>
      <c r="AU1" s="334"/>
      <c r="AV1" s="334"/>
      <c r="AW1" s="334"/>
      <c r="AX1" s="334"/>
      <c r="AY1" s="334"/>
      <c r="AZ1" s="334"/>
      <c r="BA1" s="334"/>
      <c r="BB1" s="334"/>
      <c r="BC1" s="334"/>
      <c r="BD1" s="334"/>
      <c r="BE1" s="334"/>
      <c r="BF1" s="334"/>
      <c r="BG1" s="334"/>
      <c r="BH1" s="334"/>
      <c r="BI1" s="334"/>
      <c r="BJ1" s="334"/>
      <c r="BK1" s="334"/>
      <c r="BL1" s="334"/>
      <c r="BM1" s="334"/>
      <c r="BN1" s="335"/>
      <c r="BO1" s="334"/>
      <c r="BP1" s="334"/>
      <c r="BQ1" s="334"/>
      <c r="BR1" s="334"/>
      <c r="BS1" s="334"/>
      <c r="BT1" s="334"/>
      <c r="BU1" s="334"/>
      <c r="BV1" s="334"/>
      <c r="BW1" s="334"/>
      <c r="BX1" s="334"/>
      <c r="BY1" s="334"/>
      <c r="BZ1" s="334"/>
      <c r="CA1" s="334"/>
      <c r="CB1" s="334"/>
      <c r="CC1" s="334"/>
      <c r="CD1" s="334"/>
      <c r="CE1" s="334"/>
      <c r="CF1" s="334"/>
      <c r="CG1" s="334"/>
      <c r="CH1" s="334"/>
      <c r="CI1" s="334"/>
    </row>
    <row r="2" spans="1:87" ht="15.75">
      <c r="A2" s="337"/>
      <c r="B2" s="337"/>
      <c r="C2" s="338"/>
      <c r="D2" s="338"/>
      <c r="E2" s="339"/>
      <c r="F2" s="337"/>
      <c r="G2" s="340"/>
      <c r="H2" s="341"/>
      <c r="I2" s="342"/>
      <c r="J2" s="342"/>
      <c r="K2" s="342"/>
      <c r="L2" s="342"/>
      <c r="M2" s="342"/>
      <c r="N2" s="342"/>
      <c r="O2" s="342"/>
      <c r="P2" s="342"/>
      <c r="Q2" s="342"/>
      <c r="R2" s="342"/>
      <c r="S2" s="342"/>
      <c r="T2" s="342"/>
      <c r="U2" s="342"/>
      <c r="V2" s="342"/>
      <c r="W2" s="342"/>
      <c r="X2" s="342"/>
      <c r="Y2" s="342"/>
      <c r="Z2" s="342"/>
      <c r="AA2" s="342"/>
      <c r="AB2" s="343"/>
      <c r="AC2" s="337"/>
      <c r="AD2" s="333"/>
      <c r="AE2" s="330"/>
      <c r="AF2" s="330"/>
      <c r="AG2" s="330"/>
      <c r="AH2" s="330"/>
      <c r="AI2" s="330"/>
      <c r="AJ2" s="330"/>
      <c r="AK2" s="330"/>
      <c r="AL2" s="330"/>
      <c r="AM2" s="330"/>
      <c r="AN2" s="330"/>
      <c r="AO2" s="330"/>
      <c r="AP2" s="330"/>
      <c r="AQ2" s="334"/>
      <c r="AR2" s="334"/>
      <c r="AS2" s="334"/>
      <c r="AT2" s="334"/>
      <c r="AU2" s="334"/>
      <c r="AV2" s="334"/>
      <c r="AW2" s="334"/>
      <c r="AX2" s="334"/>
      <c r="AY2" s="334"/>
      <c r="AZ2" s="334"/>
      <c r="BA2" s="334"/>
      <c r="BB2" s="334"/>
      <c r="BC2" s="334"/>
      <c r="BD2" s="334"/>
      <c r="BE2" s="334"/>
      <c r="BF2" s="334"/>
      <c r="BG2" s="334"/>
      <c r="BH2" s="334"/>
      <c r="BI2" s="334"/>
      <c r="BJ2" s="334"/>
      <c r="BK2" s="334"/>
      <c r="BL2" s="334"/>
      <c r="BM2" s="334"/>
      <c r="BN2" s="335"/>
      <c r="BO2" s="334"/>
      <c r="BP2" s="334"/>
      <c r="BQ2" s="334"/>
      <c r="BR2" s="334"/>
      <c r="BS2" s="334"/>
      <c r="BT2" s="334"/>
      <c r="BU2" s="334"/>
      <c r="BV2" s="334"/>
      <c r="BW2" s="334"/>
      <c r="BX2" s="334"/>
      <c r="BY2" s="334"/>
      <c r="BZ2" s="334"/>
      <c r="CA2" s="334"/>
      <c r="CB2" s="334"/>
      <c r="CC2" s="334"/>
      <c r="CD2" s="334"/>
      <c r="CE2" s="334"/>
      <c r="CF2" s="334"/>
      <c r="CG2" s="334"/>
      <c r="CH2" s="334"/>
      <c r="CI2" s="334"/>
    </row>
    <row r="3" spans="1:87" ht="22.5">
      <c r="A3" s="1488"/>
      <c r="B3" s="1488"/>
      <c r="C3" s="1488"/>
      <c r="D3" s="1488"/>
      <c r="E3" s="1488"/>
      <c r="F3" s="1488"/>
      <c r="G3" s="1488"/>
      <c r="H3" s="1488"/>
      <c r="I3" s="1488"/>
      <c r="J3" s="344"/>
      <c r="K3" s="344"/>
      <c r="L3" s="344"/>
      <c r="M3" s="345"/>
      <c r="N3" s="345"/>
      <c r="O3" s="345"/>
      <c r="P3" s="1489" t="s">
        <v>935</v>
      </c>
      <c r="Q3" s="1490"/>
      <c r="R3" s="1490"/>
      <c r="S3" s="1490"/>
      <c r="T3" s="1490"/>
      <c r="U3" s="1490"/>
      <c r="V3" s="1490"/>
      <c r="W3" s="1490"/>
      <c r="X3" s="1490"/>
      <c r="Y3" s="1490"/>
      <c r="Z3" s="1490"/>
      <c r="AA3" s="1490"/>
      <c r="AB3" s="1490"/>
      <c r="AC3" s="340"/>
      <c r="AD3" s="333"/>
      <c r="AE3" s="330"/>
      <c r="AF3" s="330"/>
      <c r="AG3" s="330"/>
      <c r="AH3" s="330"/>
      <c r="AI3" s="330"/>
      <c r="AJ3" s="330"/>
      <c r="AK3" s="330"/>
      <c r="AL3" s="330"/>
      <c r="AM3" s="330"/>
      <c r="AN3" s="330"/>
      <c r="AO3" s="330"/>
      <c r="AP3" s="330"/>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5"/>
      <c r="BO3" s="334"/>
      <c r="BP3" s="334"/>
      <c r="BQ3" s="334"/>
      <c r="BR3" s="334"/>
      <c r="BS3" s="334"/>
      <c r="BT3" s="334"/>
      <c r="BU3" s="334"/>
      <c r="BV3" s="334"/>
      <c r="BW3" s="334"/>
      <c r="BX3" s="334"/>
      <c r="BY3" s="334"/>
      <c r="BZ3" s="334"/>
      <c r="CA3" s="334"/>
      <c r="CB3" s="334"/>
      <c r="CC3" s="334"/>
      <c r="CD3" s="334"/>
      <c r="CE3" s="334"/>
      <c r="CF3" s="334"/>
      <c r="CG3" s="334"/>
      <c r="CH3" s="334"/>
      <c r="CI3" s="334"/>
    </row>
    <row r="4" spans="1:87" ht="22.5">
      <c r="A4" s="1488"/>
      <c r="B4" s="1488"/>
      <c r="C4" s="1488"/>
      <c r="D4" s="1488"/>
      <c r="E4" s="1488"/>
      <c r="F4" s="1488"/>
      <c r="G4" s="1488"/>
      <c r="H4" s="1488"/>
      <c r="I4" s="1488"/>
      <c r="J4" s="344"/>
      <c r="K4" s="344"/>
      <c r="L4" s="344"/>
      <c r="M4" s="345"/>
      <c r="N4" s="345"/>
      <c r="O4" s="345"/>
      <c r="P4" s="1490"/>
      <c r="Q4" s="1490"/>
      <c r="R4" s="1490"/>
      <c r="S4" s="1490"/>
      <c r="T4" s="1490"/>
      <c r="U4" s="1490"/>
      <c r="V4" s="1490"/>
      <c r="W4" s="1490"/>
      <c r="X4" s="1490"/>
      <c r="Y4" s="1490"/>
      <c r="Z4" s="1490"/>
      <c r="AA4" s="1490"/>
      <c r="AB4" s="1490"/>
      <c r="AC4" s="340"/>
      <c r="AD4" s="333"/>
      <c r="AE4" s="330"/>
      <c r="AF4" s="330"/>
      <c r="AG4" s="330"/>
      <c r="AH4" s="330"/>
      <c r="AI4" s="330"/>
      <c r="AJ4" s="330"/>
      <c r="AK4" s="330"/>
      <c r="AL4" s="330"/>
      <c r="AM4" s="330"/>
      <c r="AN4" s="330"/>
      <c r="AO4" s="330"/>
      <c r="AP4" s="330"/>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5"/>
      <c r="BO4" s="334"/>
      <c r="BP4" s="334"/>
      <c r="BQ4" s="334"/>
      <c r="BR4" s="334"/>
      <c r="BS4" s="334"/>
      <c r="BT4" s="334"/>
      <c r="BU4" s="334"/>
      <c r="BV4" s="334"/>
      <c r="BW4" s="334"/>
      <c r="BX4" s="334"/>
      <c r="BY4" s="334"/>
      <c r="BZ4" s="334"/>
      <c r="CA4" s="334"/>
      <c r="CB4" s="334"/>
      <c r="CC4" s="334"/>
      <c r="CD4" s="334"/>
      <c r="CE4" s="334"/>
      <c r="CF4" s="334"/>
      <c r="CG4" s="334"/>
      <c r="CH4" s="334"/>
      <c r="CI4" s="334"/>
    </row>
    <row r="5" spans="1:87" ht="26.25" customHeight="1">
      <c r="A5" s="1491"/>
      <c r="B5" s="1491"/>
      <c r="C5" s="1491"/>
      <c r="D5" s="1491"/>
      <c r="E5" s="1491"/>
      <c r="F5" s="1491"/>
      <c r="G5" s="1491"/>
      <c r="H5" s="1491"/>
      <c r="I5" s="1491"/>
      <c r="J5" s="344"/>
      <c r="K5" s="344"/>
      <c r="L5" s="344"/>
      <c r="M5" s="345"/>
      <c r="N5" s="345"/>
      <c r="O5" s="345"/>
      <c r="P5" s="1489" t="s">
        <v>936</v>
      </c>
      <c r="Q5" s="1490"/>
      <c r="R5" s="1490"/>
      <c r="S5" s="1490"/>
      <c r="T5" s="1490"/>
      <c r="U5" s="1490"/>
      <c r="V5" s="1490"/>
      <c r="W5" s="1490"/>
      <c r="X5" s="1490"/>
      <c r="Y5" s="1490"/>
      <c r="Z5" s="1490"/>
      <c r="AA5" s="1490"/>
      <c r="AB5" s="1490"/>
      <c r="AC5" s="340"/>
      <c r="AD5" s="333"/>
      <c r="AE5" s="330"/>
      <c r="AF5" s="330"/>
      <c r="AG5" s="330"/>
      <c r="AH5" s="330"/>
      <c r="AI5" s="330"/>
      <c r="AJ5" s="330"/>
      <c r="AK5" s="330"/>
      <c r="AL5" s="330"/>
      <c r="AM5" s="330"/>
      <c r="AN5" s="330"/>
      <c r="AO5" s="330"/>
      <c r="AP5" s="330"/>
      <c r="AQ5" s="334"/>
      <c r="AR5" s="334"/>
      <c r="AS5" s="334"/>
      <c r="AT5" s="334"/>
      <c r="AU5" s="334"/>
      <c r="AV5" s="334"/>
      <c r="AW5" s="334"/>
      <c r="AX5" s="334"/>
      <c r="AY5" s="334"/>
      <c r="AZ5" s="334"/>
      <c r="BA5" s="334"/>
      <c r="BB5" s="334"/>
      <c r="BC5" s="334"/>
      <c r="BD5" s="334"/>
      <c r="BE5" s="334"/>
      <c r="BF5" s="334"/>
      <c r="BG5" s="334"/>
      <c r="BH5" s="334"/>
      <c r="BI5" s="334"/>
      <c r="BJ5" s="334"/>
      <c r="BK5" s="334"/>
      <c r="BL5" s="334"/>
      <c r="BM5" s="334"/>
      <c r="BN5" s="335"/>
      <c r="BO5" s="334"/>
      <c r="BP5" s="334"/>
      <c r="BQ5" s="334"/>
      <c r="BR5" s="334"/>
      <c r="BS5" s="334"/>
      <c r="BT5" s="334"/>
      <c r="BU5" s="334"/>
      <c r="BV5" s="334"/>
      <c r="BW5" s="334"/>
      <c r="BX5" s="334"/>
      <c r="BY5" s="334"/>
      <c r="BZ5" s="334"/>
      <c r="CA5" s="334"/>
      <c r="CB5" s="334"/>
      <c r="CC5" s="334"/>
      <c r="CD5" s="334"/>
      <c r="CE5" s="334"/>
      <c r="CF5" s="334"/>
      <c r="CG5" s="334"/>
      <c r="CH5" s="334"/>
      <c r="CI5" s="334"/>
    </row>
    <row r="6" spans="1:87" ht="27" customHeight="1">
      <c r="A6" s="1492"/>
      <c r="B6" s="1492"/>
      <c r="C6" s="1492"/>
      <c r="D6" s="1492"/>
      <c r="E6" s="1492"/>
      <c r="F6" s="1492"/>
      <c r="G6" s="1492"/>
      <c r="H6" s="1492"/>
      <c r="I6" s="1492"/>
      <c r="J6" s="345"/>
      <c r="K6" s="345"/>
      <c r="L6" s="345"/>
      <c r="M6" s="345"/>
      <c r="N6" s="345"/>
      <c r="O6" s="345"/>
      <c r="P6" s="1489" t="s">
        <v>937</v>
      </c>
      <c r="Q6" s="1490"/>
      <c r="R6" s="1490"/>
      <c r="S6" s="1490"/>
      <c r="T6" s="1490"/>
      <c r="U6" s="1490"/>
      <c r="V6" s="1490"/>
      <c r="W6" s="1490"/>
      <c r="X6" s="1490"/>
      <c r="Y6" s="1490"/>
      <c r="Z6" s="1490"/>
      <c r="AA6" s="1490"/>
      <c r="AB6" s="1490"/>
      <c r="AC6" s="340"/>
      <c r="AD6" s="333"/>
      <c r="AE6" s="330"/>
      <c r="AF6" s="330"/>
      <c r="AG6" s="330"/>
      <c r="AH6" s="330"/>
      <c r="AI6" s="330"/>
      <c r="AJ6" s="330"/>
      <c r="AK6" s="330"/>
      <c r="AL6" s="330"/>
      <c r="AM6" s="330"/>
      <c r="AN6" s="330"/>
      <c r="AO6" s="330"/>
      <c r="AP6" s="330"/>
      <c r="AQ6" s="334"/>
      <c r="AR6" s="334"/>
      <c r="AS6" s="334"/>
      <c r="AT6" s="334"/>
      <c r="AU6" s="334"/>
      <c r="AV6" s="334"/>
      <c r="AW6" s="334"/>
      <c r="AX6" s="334"/>
      <c r="AY6" s="334"/>
      <c r="AZ6" s="334"/>
      <c r="BA6" s="334"/>
      <c r="BB6" s="334"/>
      <c r="BC6" s="334"/>
      <c r="BD6" s="334"/>
      <c r="BE6" s="334"/>
      <c r="BF6" s="334"/>
      <c r="BG6" s="334"/>
      <c r="BH6" s="334"/>
      <c r="BI6" s="334"/>
      <c r="BJ6" s="334"/>
      <c r="BK6" s="334"/>
      <c r="BL6" s="334"/>
      <c r="BM6" s="334"/>
      <c r="BN6" s="335"/>
      <c r="BO6" s="334"/>
      <c r="BP6" s="334"/>
      <c r="BQ6" s="334"/>
      <c r="BR6" s="334"/>
      <c r="BS6" s="334"/>
      <c r="BT6" s="334"/>
      <c r="BU6" s="334"/>
      <c r="BV6" s="334"/>
      <c r="BW6" s="334"/>
      <c r="BX6" s="334"/>
      <c r="BY6" s="334"/>
      <c r="BZ6" s="334"/>
      <c r="CA6" s="334"/>
      <c r="CB6" s="334"/>
      <c r="CC6" s="334"/>
      <c r="CD6" s="334"/>
      <c r="CE6" s="334"/>
      <c r="CF6" s="334"/>
      <c r="CG6" s="334"/>
      <c r="CH6" s="334"/>
      <c r="CI6" s="334"/>
    </row>
    <row r="7" spans="1:87" ht="23.25">
      <c r="A7" s="1492"/>
      <c r="B7" s="1492"/>
      <c r="C7" s="1492"/>
      <c r="D7" s="1492"/>
      <c r="E7" s="1492"/>
      <c r="F7" s="1492"/>
      <c r="G7" s="1492"/>
      <c r="H7" s="1492"/>
      <c r="I7" s="1492"/>
      <c r="J7" s="345"/>
      <c r="K7" s="345"/>
      <c r="L7" s="345"/>
      <c r="M7" s="345"/>
      <c r="N7" s="345"/>
      <c r="O7" s="346"/>
      <c r="P7" s="1489" t="s">
        <v>938</v>
      </c>
      <c r="Q7" s="1489"/>
      <c r="R7" s="1489"/>
      <c r="S7" s="1489"/>
      <c r="T7" s="1489"/>
      <c r="U7" s="1489"/>
      <c r="V7" s="1489"/>
      <c r="W7" s="1489"/>
      <c r="X7" s="1489"/>
      <c r="Y7" s="1489"/>
      <c r="Z7" s="1489"/>
      <c r="AA7" s="1489"/>
      <c r="AB7" s="1489"/>
      <c r="AC7" s="1107"/>
      <c r="AD7" s="333"/>
      <c r="AE7" s="330"/>
      <c r="AF7" s="330"/>
      <c r="AG7" s="330"/>
      <c r="AH7" s="330"/>
      <c r="AI7" s="330"/>
      <c r="AJ7" s="330"/>
      <c r="AK7" s="330"/>
      <c r="AL7" s="330"/>
      <c r="AM7" s="330"/>
      <c r="AN7" s="330"/>
      <c r="AO7" s="330"/>
      <c r="AP7" s="330"/>
      <c r="AQ7" s="334"/>
      <c r="AR7" s="334"/>
      <c r="AS7" s="334"/>
      <c r="AT7" s="334"/>
      <c r="AU7" s="334"/>
      <c r="AV7" s="334"/>
      <c r="AW7" s="334"/>
      <c r="AX7" s="334"/>
      <c r="AY7" s="334"/>
      <c r="AZ7" s="334"/>
      <c r="BA7" s="334"/>
      <c r="BB7" s="334"/>
      <c r="BC7" s="334"/>
      <c r="BD7" s="334"/>
      <c r="BE7" s="334"/>
      <c r="BF7" s="334"/>
      <c r="BG7" s="334"/>
      <c r="BH7" s="334"/>
      <c r="BI7" s="334"/>
      <c r="BJ7" s="334"/>
      <c r="BK7" s="334"/>
      <c r="BL7" s="334"/>
      <c r="BM7" s="334"/>
      <c r="BN7" s="335"/>
      <c r="BO7" s="334"/>
      <c r="BP7" s="334"/>
      <c r="BQ7" s="334"/>
      <c r="BR7" s="334"/>
      <c r="BS7" s="334"/>
      <c r="BT7" s="334"/>
      <c r="BU7" s="334"/>
      <c r="BV7" s="334"/>
      <c r="BW7" s="334"/>
      <c r="BX7" s="334"/>
      <c r="BY7" s="334"/>
      <c r="BZ7" s="334"/>
      <c r="CA7" s="334"/>
      <c r="CB7" s="334"/>
      <c r="CC7" s="334"/>
      <c r="CD7" s="334"/>
      <c r="CE7" s="334"/>
      <c r="CF7" s="334"/>
      <c r="CG7" s="334"/>
      <c r="CH7" s="334"/>
      <c r="CI7" s="334"/>
    </row>
    <row r="8" spans="1:87" ht="26.25" customHeight="1">
      <c r="A8" s="1492"/>
      <c r="B8" s="1492"/>
      <c r="C8" s="1492"/>
      <c r="D8" s="1492"/>
      <c r="E8" s="1492"/>
      <c r="F8" s="1492"/>
      <c r="G8" s="1492"/>
      <c r="H8" s="1492"/>
      <c r="I8" s="1492"/>
      <c r="J8" s="345"/>
      <c r="K8" s="345"/>
      <c r="L8" s="345"/>
      <c r="M8" s="345"/>
      <c r="N8" s="345"/>
      <c r="O8" s="346"/>
      <c r="P8" s="1489" t="s">
        <v>2452</v>
      </c>
      <c r="Q8" s="1489"/>
      <c r="R8" s="1489"/>
      <c r="S8" s="1489"/>
      <c r="T8" s="1489"/>
      <c r="U8" s="1489"/>
      <c r="V8" s="1489"/>
      <c r="W8" s="1489"/>
      <c r="X8" s="1489"/>
      <c r="Y8" s="1489"/>
      <c r="Z8" s="1489"/>
      <c r="AA8" s="1489"/>
      <c r="AB8" s="1489"/>
      <c r="AC8" s="1107"/>
      <c r="AD8" s="333"/>
      <c r="AE8" s="330"/>
      <c r="AF8" s="330"/>
      <c r="AG8" s="330"/>
      <c r="AH8" s="330"/>
      <c r="AI8" s="330"/>
      <c r="AJ8" s="330"/>
      <c r="AK8" s="330"/>
      <c r="AL8" s="330"/>
      <c r="AM8" s="330"/>
      <c r="AN8" s="330"/>
      <c r="AO8" s="330"/>
      <c r="AP8" s="330"/>
      <c r="AQ8" s="334"/>
      <c r="AR8" s="334"/>
      <c r="AS8" s="334"/>
      <c r="AT8" s="334"/>
      <c r="AU8" s="334"/>
      <c r="AV8" s="334"/>
      <c r="AW8" s="334"/>
      <c r="AX8" s="334"/>
      <c r="AY8" s="334"/>
      <c r="AZ8" s="334"/>
      <c r="BA8" s="334"/>
      <c r="BB8" s="334"/>
      <c r="BC8" s="334"/>
      <c r="BD8" s="334"/>
      <c r="BE8" s="334"/>
      <c r="BF8" s="334"/>
      <c r="BG8" s="334"/>
      <c r="BH8" s="334"/>
      <c r="BI8" s="334"/>
      <c r="BJ8" s="334"/>
      <c r="BK8" s="334"/>
      <c r="BL8" s="334"/>
      <c r="BM8" s="334"/>
      <c r="BN8" s="335"/>
      <c r="BO8" s="334"/>
      <c r="BP8" s="334"/>
      <c r="BQ8" s="334"/>
      <c r="BR8" s="334"/>
      <c r="BS8" s="334"/>
      <c r="BT8" s="334"/>
      <c r="BU8" s="334"/>
      <c r="BV8" s="334"/>
      <c r="BW8" s="334"/>
      <c r="BX8" s="334"/>
      <c r="BY8" s="334"/>
      <c r="BZ8" s="334"/>
      <c r="CA8" s="334"/>
      <c r="CB8" s="334"/>
      <c r="CC8" s="334"/>
      <c r="CD8" s="334"/>
      <c r="CE8" s="334"/>
      <c r="CF8" s="334"/>
      <c r="CG8" s="334"/>
      <c r="CH8" s="334"/>
      <c r="CI8" s="334"/>
    </row>
    <row r="9" spans="1:87" ht="29.25" customHeight="1">
      <c r="A9" s="1487" t="s">
        <v>1396</v>
      </c>
      <c r="B9" s="1487"/>
      <c r="C9" s="1487"/>
      <c r="D9" s="1487"/>
      <c r="E9" s="1487"/>
      <c r="F9" s="1487"/>
      <c r="G9" s="1487"/>
      <c r="H9" s="1487"/>
      <c r="I9" s="1487"/>
      <c r="J9" s="1487"/>
      <c r="K9" s="1487"/>
      <c r="L9" s="1487"/>
      <c r="M9" s="1487"/>
      <c r="N9" s="1487"/>
      <c r="O9" s="1487"/>
      <c r="P9" s="1487"/>
      <c r="Q9" s="1487"/>
      <c r="R9" s="1487"/>
      <c r="S9" s="1487"/>
      <c r="T9" s="1487"/>
      <c r="U9" s="1487"/>
      <c r="V9" s="1487"/>
      <c r="W9" s="1487"/>
      <c r="X9" s="1487"/>
      <c r="Y9" s="1487"/>
      <c r="Z9" s="1487"/>
      <c r="AA9" s="1487"/>
      <c r="AB9" s="1487"/>
      <c r="AC9" s="347"/>
      <c r="AD9" s="333"/>
      <c r="AE9" s="330"/>
      <c r="AF9" s="330"/>
      <c r="AG9" s="330"/>
      <c r="AH9" s="330"/>
      <c r="AI9" s="330"/>
      <c r="AJ9" s="330"/>
      <c r="AK9" s="330"/>
      <c r="AL9" s="330"/>
      <c r="AM9" s="330"/>
      <c r="AN9" s="330"/>
      <c r="AO9" s="330"/>
      <c r="AP9" s="330"/>
      <c r="AQ9" s="334"/>
      <c r="AR9" s="334"/>
      <c r="AS9" s="334"/>
      <c r="AT9" s="334"/>
      <c r="AU9" s="334"/>
      <c r="AV9" s="334"/>
      <c r="AW9" s="334"/>
      <c r="AX9" s="334"/>
      <c r="AY9" s="334"/>
      <c r="AZ9" s="334"/>
      <c r="BA9" s="334"/>
      <c r="BB9" s="334"/>
      <c r="BC9" s="334"/>
      <c r="BD9" s="334"/>
      <c r="BE9" s="334"/>
      <c r="BF9" s="334"/>
      <c r="BG9" s="334"/>
      <c r="BH9" s="334"/>
      <c r="BI9" s="334"/>
      <c r="BJ9" s="334"/>
      <c r="BK9" s="334"/>
      <c r="BL9" s="334"/>
      <c r="BM9" s="334"/>
      <c r="BN9" s="335"/>
      <c r="BO9" s="334"/>
      <c r="BP9" s="334"/>
      <c r="BQ9" s="334"/>
      <c r="BR9" s="334"/>
      <c r="BS9" s="334"/>
      <c r="BT9" s="334"/>
      <c r="BU9" s="334"/>
      <c r="BV9" s="334"/>
      <c r="BW9" s="334"/>
      <c r="BX9" s="334"/>
      <c r="BY9" s="334"/>
      <c r="BZ9" s="334"/>
      <c r="CA9" s="334"/>
      <c r="CB9" s="334"/>
      <c r="CC9" s="334"/>
      <c r="CD9" s="334"/>
      <c r="CE9" s="334"/>
      <c r="CF9" s="334"/>
      <c r="CG9" s="334"/>
      <c r="CH9" s="334"/>
      <c r="CI9" s="334"/>
    </row>
    <row r="10" spans="1:87" ht="28.5" customHeight="1">
      <c r="A10" s="1487" t="s">
        <v>1397</v>
      </c>
      <c r="B10" s="1487"/>
      <c r="C10" s="1487"/>
      <c r="D10" s="1487"/>
      <c r="E10" s="1487"/>
      <c r="F10" s="1487"/>
      <c r="G10" s="1487"/>
      <c r="H10" s="1487"/>
      <c r="I10" s="1487"/>
      <c r="J10" s="1487"/>
      <c r="K10" s="1487"/>
      <c r="L10" s="1487"/>
      <c r="M10" s="1487"/>
      <c r="N10" s="1487"/>
      <c r="O10" s="1487"/>
      <c r="P10" s="1487"/>
      <c r="Q10" s="1487"/>
      <c r="R10" s="1487"/>
      <c r="S10" s="1487"/>
      <c r="T10" s="1487"/>
      <c r="U10" s="1487"/>
      <c r="V10" s="1487"/>
      <c r="W10" s="1487"/>
      <c r="X10" s="1487"/>
      <c r="Y10" s="1487"/>
      <c r="Z10" s="1487"/>
      <c r="AA10" s="1487"/>
      <c r="AB10" s="1487"/>
      <c r="AC10" s="348"/>
      <c r="AD10" s="333"/>
      <c r="AE10" s="330"/>
      <c r="AF10" s="330"/>
      <c r="AG10" s="330"/>
      <c r="AH10" s="330"/>
      <c r="AI10" s="330"/>
      <c r="AJ10" s="330"/>
      <c r="AK10" s="330"/>
      <c r="AL10" s="330"/>
      <c r="AM10" s="330"/>
      <c r="AN10" s="330"/>
      <c r="AO10" s="330"/>
      <c r="AP10" s="330"/>
      <c r="AQ10" s="334"/>
      <c r="AR10" s="334"/>
      <c r="AS10" s="334"/>
      <c r="AT10" s="334"/>
      <c r="AU10" s="334"/>
      <c r="AV10" s="334"/>
      <c r="AW10" s="334"/>
      <c r="AX10" s="334"/>
      <c r="AY10" s="334"/>
      <c r="AZ10" s="334"/>
      <c r="BA10" s="334"/>
      <c r="BB10" s="334"/>
      <c r="BC10" s="334"/>
      <c r="BD10" s="334"/>
      <c r="BE10" s="334"/>
      <c r="BF10" s="334"/>
      <c r="BG10" s="334"/>
      <c r="BH10" s="334"/>
      <c r="BI10" s="334"/>
      <c r="BJ10" s="334"/>
      <c r="BK10" s="334"/>
      <c r="BL10" s="334"/>
      <c r="BM10" s="334"/>
      <c r="BN10" s="335"/>
      <c r="BO10" s="334"/>
      <c r="BP10" s="334"/>
      <c r="BQ10" s="334"/>
      <c r="BR10" s="334"/>
      <c r="BS10" s="334"/>
      <c r="BT10" s="334"/>
      <c r="BU10" s="334"/>
      <c r="BV10" s="334"/>
      <c r="BW10" s="334"/>
      <c r="BX10" s="334"/>
      <c r="BY10" s="334"/>
      <c r="BZ10" s="334"/>
      <c r="CA10" s="334"/>
      <c r="CB10" s="334"/>
      <c r="CC10" s="334"/>
      <c r="CD10" s="334"/>
      <c r="CE10" s="334"/>
      <c r="CF10" s="334"/>
      <c r="CG10" s="334"/>
      <c r="CH10" s="334"/>
      <c r="CI10" s="334"/>
    </row>
    <row r="11" spans="1:87" ht="15.75">
      <c r="A11" s="349"/>
      <c r="B11" s="349" t="s">
        <v>8</v>
      </c>
      <c r="C11" s="350"/>
      <c r="D11" s="350"/>
      <c r="E11" s="349"/>
      <c r="F11" s="349"/>
      <c r="G11" s="351"/>
      <c r="H11" s="352"/>
      <c r="I11" s="351"/>
      <c r="J11" s="351"/>
      <c r="K11" s="351"/>
      <c r="L11" s="351"/>
      <c r="M11" s="351"/>
      <c r="N11" s="351"/>
      <c r="O11" s="351"/>
      <c r="P11" s="351"/>
      <c r="Q11" s="351"/>
      <c r="R11" s="351"/>
      <c r="S11" s="351"/>
      <c r="T11" s="351"/>
      <c r="U11" s="351"/>
      <c r="V11" s="351"/>
      <c r="W11" s="351"/>
      <c r="X11" s="351"/>
      <c r="Y11" s="351"/>
      <c r="Z11" s="351"/>
      <c r="AA11" s="351"/>
      <c r="AB11" s="351"/>
      <c r="AC11" s="353"/>
      <c r="AD11" s="333"/>
      <c r="AE11" s="330"/>
      <c r="AF11" s="330"/>
      <c r="AG11" s="330"/>
      <c r="AH11" s="330"/>
      <c r="AI11" s="330"/>
      <c r="AJ11" s="330"/>
      <c r="AK11" s="330"/>
      <c r="AL11" s="330"/>
      <c r="AM11" s="330"/>
      <c r="AN11" s="330"/>
      <c r="AO11" s="330"/>
      <c r="AP11" s="330"/>
      <c r="AQ11" s="334"/>
      <c r="AR11" s="334"/>
      <c r="AS11" s="334"/>
      <c r="AT11" s="334"/>
      <c r="AU11" s="334"/>
      <c r="AV11" s="334"/>
      <c r="AW11" s="334"/>
      <c r="AX11" s="334"/>
      <c r="AY11" s="334"/>
      <c r="AZ11" s="354" t="s">
        <v>2441</v>
      </c>
      <c r="BA11" s="334"/>
      <c r="BB11" s="334"/>
      <c r="BC11" s="334"/>
      <c r="BD11" s="334"/>
      <c r="BE11" s="334"/>
      <c r="BF11" s="334"/>
      <c r="BG11" s="334"/>
      <c r="BH11" s="334"/>
      <c r="BI11" s="334"/>
      <c r="BJ11" s="334"/>
      <c r="BK11" s="334"/>
      <c r="BL11" s="334"/>
      <c r="BM11" s="334"/>
      <c r="BN11" s="335"/>
      <c r="BO11" s="334"/>
      <c r="BP11" s="334"/>
      <c r="BQ11" s="334"/>
      <c r="BR11" s="334"/>
      <c r="BS11" s="334"/>
      <c r="BT11" s="334"/>
      <c r="BU11" s="334"/>
      <c r="BV11" s="334"/>
      <c r="BW11" s="334"/>
      <c r="BX11" s="334"/>
      <c r="BY11" s="334"/>
      <c r="BZ11" s="334"/>
      <c r="CA11" s="334"/>
      <c r="CB11" s="334"/>
      <c r="CC11" s="334"/>
      <c r="CD11" s="334"/>
      <c r="CE11" s="334"/>
      <c r="CF11" s="334"/>
      <c r="CG11" s="334"/>
      <c r="CH11" s="334"/>
      <c r="CI11" s="334"/>
    </row>
    <row r="12" spans="1:87" ht="168.75" customHeight="1">
      <c r="A12" s="1495" t="s">
        <v>1</v>
      </c>
      <c r="B12" s="1496"/>
      <c r="C12" s="1499" t="s">
        <v>939</v>
      </c>
      <c r="D12" s="1499" t="s">
        <v>940</v>
      </c>
      <c r="E12" s="1499" t="s">
        <v>941</v>
      </c>
      <c r="F12" s="1499" t="s">
        <v>942</v>
      </c>
      <c r="G12" s="1499" t="s">
        <v>943</v>
      </c>
      <c r="H12" s="1501" t="s">
        <v>944</v>
      </c>
      <c r="I12" s="1499" t="s">
        <v>945</v>
      </c>
      <c r="J12" s="1499" t="s">
        <v>191</v>
      </c>
      <c r="K12" s="1504" t="s">
        <v>946</v>
      </c>
      <c r="L12" s="1506" t="s">
        <v>947</v>
      </c>
      <c r="M12" s="1507"/>
      <c r="N12" s="1507"/>
      <c r="O12" s="1507"/>
      <c r="P12" s="1508"/>
      <c r="Q12" s="1493" t="s">
        <v>948</v>
      </c>
      <c r="R12" s="1506" t="s">
        <v>949</v>
      </c>
      <c r="S12" s="1507"/>
      <c r="T12" s="1507"/>
      <c r="U12" s="1507"/>
      <c r="V12" s="1508"/>
      <c r="W12" s="1493" t="s">
        <v>950</v>
      </c>
      <c r="X12" s="1510" t="s">
        <v>951</v>
      </c>
      <c r="Y12" s="1504" t="s">
        <v>952</v>
      </c>
      <c r="Z12" s="1504" t="s">
        <v>953</v>
      </c>
      <c r="AA12" s="1509" t="s">
        <v>954</v>
      </c>
      <c r="AB12" s="1508"/>
      <c r="AC12" s="1509" t="s">
        <v>955</v>
      </c>
      <c r="AD12" s="1508"/>
      <c r="AE12" s="1499" t="s">
        <v>956</v>
      </c>
      <c r="AF12" s="1509" t="s">
        <v>957</v>
      </c>
      <c r="AG12" s="1508"/>
      <c r="AH12" s="1509" t="s">
        <v>958</v>
      </c>
      <c r="AI12" s="1508"/>
      <c r="AJ12" s="1509" t="s">
        <v>959</v>
      </c>
      <c r="AK12" s="1508"/>
      <c r="AL12" s="1509" t="s">
        <v>960</v>
      </c>
      <c r="AM12" s="1508"/>
      <c r="AN12" s="1499" t="s">
        <v>942</v>
      </c>
      <c r="AO12" s="1506" t="s">
        <v>961</v>
      </c>
      <c r="AP12" s="1512"/>
      <c r="AQ12" s="1512"/>
      <c r="AR12" s="1513"/>
      <c r="AS12" s="1509" t="s">
        <v>962</v>
      </c>
      <c r="AT12" s="1514"/>
      <c r="AU12" s="1509" t="s">
        <v>963</v>
      </c>
      <c r="AV12" s="1508"/>
      <c r="AW12" s="1499" t="s">
        <v>964</v>
      </c>
      <c r="AX12" s="1504" t="s">
        <v>965</v>
      </c>
      <c r="AY12" s="1504" t="s">
        <v>966</v>
      </c>
      <c r="AZ12" s="1504" t="s">
        <v>967</v>
      </c>
      <c r="BA12" s="1523" t="s">
        <v>968</v>
      </c>
      <c r="BB12" s="1504" t="s">
        <v>969</v>
      </c>
      <c r="BC12" s="1504" t="s">
        <v>970</v>
      </c>
      <c r="BD12" s="1504" t="s">
        <v>971</v>
      </c>
      <c r="BE12" s="1504" t="s">
        <v>972</v>
      </c>
      <c r="BF12" s="1523" t="s">
        <v>973</v>
      </c>
      <c r="BG12" s="1504" t="s">
        <v>974</v>
      </c>
      <c r="BH12" s="1523" t="s">
        <v>975</v>
      </c>
      <c r="BI12" s="1525" t="s">
        <v>1398</v>
      </c>
      <c r="BJ12" s="1527" t="s">
        <v>978</v>
      </c>
      <c r="BK12" s="1504" t="s">
        <v>976</v>
      </c>
      <c r="BL12" s="1504" t="s">
        <v>977</v>
      </c>
      <c r="BM12" s="1516" t="s">
        <v>979</v>
      </c>
      <c r="BN12" s="1518" t="s">
        <v>980</v>
      </c>
      <c r="BO12" s="355"/>
      <c r="BP12" s="355"/>
      <c r="BQ12" s="355"/>
      <c r="BR12" s="355"/>
      <c r="BS12" s="355"/>
      <c r="BT12" s="355"/>
      <c r="BU12" s="355"/>
      <c r="BV12" s="355"/>
      <c r="BW12" s="355"/>
      <c r="BX12" s="355"/>
      <c r="BY12" s="355"/>
      <c r="BZ12" s="355"/>
      <c r="CA12" s="355"/>
      <c r="CB12" s="355"/>
      <c r="CC12" s="355"/>
      <c r="CD12" s="355"/>
      <c r="CE12" s="355"/>
      <c r="CF12" s="355"/>
      <c r="CG12" s="355"/>
      <c r="CH12" s="355"/>
      <c r="CI12" s="356"/>
    </row>
    <row r="13" spans="1:87" ht="73.5" customHeight="1">
      <c r="A13" s="1497"/>
      <c r="B13" s="1498"/>
      <c r="C13" s="1500"/>
      <c r="D13" s="1500"/>
      <c r="E13" s="1500"/>
      <c r="F13" s="1500"/>
      <c r="G13" s="1500"/>
      <c r="H13" s="1502"/>
      <c r="I13" s="1503"/>
      <c r="J13" s="1503"/>
      <c r="K13" s="1505"/>
      <c r="L13" s="357">
        <v>7</v>
      </c>
      <c r="M13" s="357">
        <v>8</v>
      </c>
      <c r="N13" s="357">
        <v>9</v>
      </c>
      <c r="O13" s="357">
        <v>10</v>
      </c>
      <c r="P13" s="357">
        <v>11</v>
      </c>
      <c r="Q13" s="1494"/>
      <c r="R13" s="357">
        <v>7</v>
      </c>
      <c r="S13" s="357">
        <v>8</v>
      </c>
      <c r="T13" s="357">
        <v>9</v>
      </c>
      <c r="U13" s="357">
        <v>10</v>
      </c>
      <c r="V13" s="357">
        <v>11</v>
      </c>
      <c r="W13" s="1494"/>
      <c r="X13" s="1511"/>
      <c r="Y13" s="1505"/>
      <c r="Z13" s="1505"/>
      <c r="AA13" s="358" t="s">
        <v>981</v>
      </c>
      <c r="AB13" s="359" t="s">
        <v>982</v>
      </c>
      <c r="AC13" s="358" t="s">
        <v>983</v>
      </c>
      <c r="AD13" s="359" t="s">
        <v>982</v>
      </c>
      <c r="AE13" s="1503"/>
      <c r="AF13" s="358" t="s">
        <v>223</v>
      </c>
      <c r="AG13" s="359" t="s">
        <v>984</v>
      </c>
      <c r="AH13" s="358" t="s">
        <v>985</v>
      </c>
      <c r="AI13" s="359" t="s">
        <v>986</v>
      </c>
      <c r="AJ13" s="358" t="s">
        <v>987</v>
      </c>
      <c r="AK13" s="359" t="s">
        <v>988</v>
      </c>
      <c r="AL13" s="360" t="s">
        <v>989</v>
      </c>
      <c r="AM13" s="359" t="s">
        <v>990</v>
      </c>
      <c r="AN13" s="1503"/>
      <c r="AO13" s="359" t="s">
        <v>991</v>
      </c>
      <c r="AP13" s="359" t="s">
        <v>992</v>
      </c>
      <c r="AQ13" s="359" t="s">
        <v>993</v>
      </c>
      <c r="AR13" s="359" t="s">
        <v>194</v>
      </c>
      <c r="AS13" s="358" t="s">
        <v>994</v>
      </c>
      <c r="AT13" s="359" t="s">
        <v>982</v>
      </c>
      <c r="AU13" s="358" t="s">
        <v>995</v>
      </c>
      <c r="AV13" s="359" t="s">
        <v>996</v>
      </c>
      <c r="AW13" s="1503"/>
      <c r="AX13" s="1505"/>
      <c r="AY13" s="1505"/>
      <c r="AZ13" s="1505"/>
      <c r="BA13" s="1524"/>
      <c r="BB13" s="1505"/>
      <c r="BC13" s="1505"/>
      <c r="BD13" s="1505"/>
      <c r="BE13" s="1505"/>
      <c r="BF13" s="1524"/>
      <c r="BG13" s="1505"/>
      <c r="BH13" s="1524"/>
      <c r="BI13" s="1526"/>
      <c r="BJ13" s="1528"/>
      <c r="BK13" s="1505"/>
      <c r="BL13" s="1505"/>
      <c r="BM13" s="1517"/>
      <c r="BN13" s="1519"/>
      <c r="BO13" s="355"/>
      <c r="BP13" s="355"/>
      <c r="BQ13" s="355"/>
      <c r="BR13" s="355"/>
      <c r="BS13" s="355"/>
      <c r="BT13" s="355"/>
      <c r="BU13" s="355"/>
      <c r="BV13" s="355"/>
      <c r="BW13" s="355"/>
      <c r="BX13" s="355"/>
      <c r="BY13" s="355"/>
      <c r="BZ13" s="355"/>
      <c r="CA13" s="355"/>
      <c r="CB13" s="355"/>
      <c r="CC13" s="355"/>
      <c r="CD13" s="355"/>
      <c r="CE13" s="355"/>
      <c r="CF13" s="355"/>
      <c r="CG13" s="355"/>
      <c r="CH13" s="355"/>
      <c r="CI13" s="356"/>
    </row>
    <row r="14" spans="1:87" ht="45">
      <c r="A14" s="361">
        <v>1</v>
      </c>
      <c r="B14" s="362">
        <v>1</v>
      </c>
      <c r="C14" s="363" t="s">
        <v>250</v>
      </c>
      <c r="D14" s="364" t="s">
        <v>997</v>
      </c>
      <c r="E14" s="362" t="s">
        <v>998</v>
      </c>
      <c r="F14" s="1298" t="s">
        <v>999</v>
      </c>
      <c r="G14" s="362" t="s">
        <v>224</v>
      </c>
      <c r="H14" s="365" t="s">
        <v>1399</v>
      </c>
      <c r="I14" s="366">
        <v>17697</v>
      </c>
      <c r="J14" s="367">
        <v>11.02</v>
      </c>
      <c r="K14" s="367">
        <f>I14*J14</f>
        <v>195020.94</v>
      </c>
      <c r="L14" s="366"/>
      <c r="M14" s="366"/>
      <c r="N14" s="366"/>
      <c r="O14" s="366"/>
      <c r="P14" s="366">
        <v>36</v>
      </c>
      <c r="Q14" s="368">
        <f t="shared" ref="Q14:Q44" si="0">SUM(L14:P14)</f>
        <v>36</v>
      </c>
      <c r="R14" s="369"/>
      <c r="S14" s="369"/>
      <c r="T14" s="369"/>
      <c r="U14" s="369"/>
      <c r="V14" s="369"/>
      <c r="W14" s="368">
        <f t="shared" ref="W14:W43" si="1">SUM(R14:V14)</f>
        <v>0</v>
      </c>
      <c r="X14" s="370">
        <f t="shared" ref="X14:X44" si="2">Q14+W14</f>
        <v>36</v>
      </c>
      <c r="Y14" s="367">
        <f t="shared" ref="Y14:Y44" si="3">K14/16*X14</f>
        <v>438797.11499999999</v>
      </c>
      <c r="Z14" s="367">
        <f t="shared" ref="Z14:Z44" si="4">Y14*10%</f>
        <v>43879.711500000005</v>
      </c>
      <c r="AA14" s="366">
        <v>0</v>
      </c>
      <c r="AB14" s="367">
        <f t="shared" ref="AB14:AB44" si="5">I14/16*AA14*40%</f>
        <v>0</v>
      </c>
      <c r="AC14" s="366">
        <v>36</v>
      </c>
      <c r="AD14" s="367">
        <f t="shared" ref="AD14:AD44" si="6">I14/16*AC14*40%*50%</f>
        <v>7963.6500000000005</v>
      </c>
      <c r="AE14" s="367"/>
      <c r="AF14" s="366" t="s">
        <v>1000</v>
      </c>
      <c r="AG14" s="367">
        <f>17697*20%</f>
        <v>3539.4</v>
      </c>
      <c r="AH14" s="366"/>
      <c r="AI14" s="367"/>
      <c r="AJ14" s="366">
        <f t="shared" ref="AJ14:AJ44" si="7">X14</f>
        <v>36</v>
      </c>
      <c r="AK14" s="367">
        <f t="shared" ref="AK14:AK44" si="8">I14/16*AJ14*40%</f>
        <v>15927.300000000001</v>
      </c>
      <c r="AL14" s="366">
        <f t="shared" ref="AL14:AL44" si="9">X14</f>
        <v>36</v>
      </c>
      <c r="AM14" s="367">
        <f t="shared" ref="AM14:AM44" si="10">K14/16*AL14*30%</f>
        <v>131639.13449999999</v>
      </c>
      <c r="AN14" s="366" t="str">
        <f t="shared" ref="AN14:AN44" si="11">F14</f>
        <v>Педагог-шебер</v>
      </c>
      <c r="AO14" s="367">
        <f t="shared" ref="AO14:AO44" si="12">IF(AN14="Педагог-зерттеуші", "0", IF(AN14="Педагог-шебер",K14/16*X14*50%, IF(AN14="Педагог-сарапшы", "0", IF(AN14="Педагог-модератор", "0", "0"))))</f>
        <v>219398.5575</v>
      </c>
      <c r="AP14" s="367" t="str">
        <f t="shared" ref="AP14:AP44" si="13">IF(AN14="Педагог-шебер", "0", IF(AN14="Педагог-зерттеуші",K14/16*X14*40%, IF(AN14="Педагог-сарапшы", "0", IF(AN14="Педагог-модератор", "0", "0"))))</f>
        <v>0</v>
      </c>
      <c r="AQ14" s="367" t="str">
        <f t="shared" ref="AQ14:AQ44" si="14">IF(AN14="Педагог-шебер", "0", IF(AN14="Педагог-сарапшы",K14/16*X14*35%, IF(AN14="Педагог-зерттеуші", "0", IF(AN14="Педагог-модератор", "0", "0"))))</f>
        <v>0</v>
      </c>
      <c r="AR14" s="367" t="str">
        <f t="shared" ref="AR14:AR44" si="15">IF(AN14="Педагог-шебер", "0", IF(AN14="Педагог-модератор",K14/16*X14*30%, IF(AN14="Педагог-зерттеуші", "0", IF(AN14="Педагог-сарапшы", "0", "0"))))</f>
        <v>0</v>
      </c>
      <c r="AS14" s="366"/>
      <c r="AT14" s="367"/>
      <c r="AU14" s="371"/>
      <c r="AV14" s="367"/>
      <c r="AW14" s="371" t="str">
        <f>G14</f>
        <v>Магистр-математика</v>
      </c>
      <c r="AX14" s="372">
        <f>10*4325</f>
        <v>43250</v>
      </c>
      <c r="AY14" s="367"/>
      <c r="AZ14" s="367">
        <f t="shared" ref="AZ14:AZ44" si="16">Z14+AB14+AD14+AE14+AG14+AI14+AK14+AM14+AO14+AP14+AQ14++AR14+AT14+AV14+AX14+AY14</f>
        <v>465597.75349999999</v>
      </c>
      <c r="BA14" s="373">
        <f t="shared" ref="BA14:BA77" si="17">Y14+AZ14</f>
        <v>904394.86849999998</v>
      </c>
      <c r="BB14" s="374">
        <f>BA14*10%</f>
        <v>90439.486850000001</v>
      </c>
      <c r="BC14" s="374">
        <f>BA14*2%</f>
        <v>18087.897369999999</v>
      </c>
      <c r="BD14" s="374">
        <f t="shared" ref="BD14:BD77" si="18">(BA14-BB14-BC14-(14*4325))*10%</f>
        <v>73531.748428000006</v>
      </c>
      <c r="BE14" s="374">
        <f>BA14-BB14-BC14-BD14</f>
        <v>722335.73585199995</v>
      </c>
      <c r="BF14" s="374">
        <f>BA14*12</f>
        <v>10852738.422</v>
      </c>
      <c r="BG14" s="374">
        <f t="shared" ref="BG14:BG77" si="19">Y14*2</f>
        <v>877594.23</v>
      </c>
      <c r="BH14" s="374">
        <f>BF14+BG14</f>
        <v>11730332.652000001</v>
      </c>
      <c r="BI14" s="374">
        <f t="shared" ref="BI14:BI77" si="20">BH14*3.5%</f>
        <v>410561.64282000007</v>
      </c>
      <c r="BJ14" s="374">
        <f t="shared" ref="BJ14:BJ77" si="21">(BH14*0.9-(BC14*12))*11%-BK14</f>
        <v>609561.9386795999</v>
      </c>
      <c r="BK14" s="374">
        <f>BH14*0.9*5%</f>
        <v>527864.96934000007</v>
      </c>
      <c r="BL14" s="374">
        <f>BH14*3%</f>
        <v>351909.97956000001</v>
      </c>
      <c r="BM14" s="373">
        <f t="shared" ref="BM14:BM44" si="22">BH14+BJ14+BK14+BL14+BI14</f>
        <v>13630231.182399603</v>
      </c>
      <c r="BN14" s="375"/>
      <c r="BO14" s="376"/>
      <c r="BP14" s="376"/>
      <c r="BQ14" s="377"/>
      <c r="BR14" s="377"/>
      <c r="BS14" s="377"/>
      <c r="BT14" s="377"/>
      <c r="BU14" s="377"/>
      <c r="BV14" s="377"/>
      <c r="BW14" s="377"/>
      <c r="BX14" s="377"/>
      <c r="BY14" s="377"/>
      <c r="BZ14" s="377"/>
      <c r="CA14" s="377"/>
      <c r="CB14" s="377"/>
      <c r="CC14" s="377"/>
      <c r="CD14" s="377"/>
      <c r="CE14" s="377"/>
      <c r="CF14" s="377"/>
      <c r="CG14" s="377"/>
      <c r="CH14" s="377"/>
      <c r="CI14" s="377"/>
    </row>
    <row r="15" spans="1:87" ht="47.25">
      <c r="A15" s="361">
        <f>A14+1</f>
        <v>2</v>
      </c>
      <c r="B15" s="362">
        <f>B14+1</f>
        <v>2</v>
      </c>
      <c r="C15" s="378" t="s">
        <v>252</v>
      </c>
      <c r="D15" s="379" t="s">
        <v>1001</v>
      </c>
      <c r="E15" s="362" t="s">
        <v>998</v>
      </c>
      <c r="F15" s="1299" t="s">
        <v>254</v>
      </c>
      <c r="G15" s="362" t="s">
        <v>224</v>
      </c>
      <c r="H15" s="365" t="s">
        <v>1400</v>
      </c>
      <c r="I15" s="366">
        <v>17697</v>
      </c>
      <c r="J15" s="367">
        <v>10</v>
      </c>
      <c r="K15" s="367">
        <f t="shared" ref="K15:K44" si="23">I15*J15</f>
        <v>176970</v>
      </c>
      <c r="L15" s="366"/>
      <c r="M15" s="366">
        <v>8</v>
      </c>
      <c r="N15" s="366">
        <v>24</v>
      </c>
      <c r="O15" s="366"/>
      <c r="P15" s="366"/>
      <c r="Q15" s="368">
        <f t="shared" si="0"/>
        <v>32</v>
      </c>
      <c r="R15" s="369"/>
      <c r="S15" s="369">
        <v>1</v>
      </c>
      <c r="T15" s="369">
        <v>3</v>
      </c>
      <c r="U15" s="369"/>
      <c r="V15" s="369"/>
      <c r="W15" s="368">
        <f t="shared" si="1"/>
        <v>4</v>
      </c>
      <c r="X15" s="370">
        <f t="shared" si="2"/>
        <v>36</v>
      </c>
      <c r="Y15" s="367">
        <f t="shared" si="3"/>
        <v>398182.5</v>
      </c>
      <c r="Z15" s="367">
        <f t="shared" si="4"/>
        <v>39818.25</v>
      </c>
      <c r="AA15" s="366">
        <v>36</v>
      </c>
      <c r="AB15" s="367">
        <f t="shared" si="5"/>
        <v>15927.300000000001</v>
      </c>
      <c r="AC15" s="366">
        <v>0</v>
      </c>
      <c r="AD15" s="367">
        <f t="shared" si="6"/>
        <v>0</v>
      </c>
      <c r="AE15" s="366"/>
      <c r="AF15" s="366" t="s">
        <v>1002</v>
      </c>
      <c r="AG15" s="367">
        <f>17697*20%</f>
        <v>3539.4</v>
      </c>
      <c r="AH15" s="366"/>
      <c r="AI15" s="367"/>
      <c r="AJ15" s="366">
        <f t="shared" si="7"/>
        <v>36</v>
      </c>
      <c r="AK15" s="367">
        <f t="shared" si="8"/>
        <v>15927.300000000001</v>
      </c>
      <c r="AL15" s="366">
        <f t="shared" si="9"/>
        <v>36</v>
      </c>
      <c r="AM15" s="367">
        <f t="shared" si="10"/>
        <v>119454.75</v>
      </c>
      <c r="AN15" s="366" t="str">
        <f t="shared" si="11"/>
        <v>Педагог-модератор</v>
      </c>
      <c r="AO15" s="367" t="str">
        <f t="shared" si="12"/>
        <v>0</v>
      </c>
      <c r="AP15" s="367" t="str">
        <f t="shared" si="13"/>
        <v>0</v>
      </c>
      <c r="AQ15" s="367" t="str">
        <f t="shared" si="14"/>
        <v>0</v>
      </c>
      <c r="AR15" s="367">
        <f t="shared" si="15"/>
        <v>119454.75</v>
      </c>
      <c r="AS15" s="366"/>
      <c r="AT15" s="367"/>
      <c r="AU15" s="366"/>
      <c r="AV15" s="367"/>
      <c r="AW15" s="371" t="str">
        <f t="shared" ref="AW15:AW44" si="24">G15</f>
        <v>Магистр-математика</v>
      </c>
      <c r="AX15" s="372">
        <f>10*4325</f>
        <v>43250</v>
      </c>
      <c r="AY15" s="367"/>
      <c r="AZ15" s="367">
        <f t="shared" si="16"/>
        <v>357371.75</v>
      </c>
      <c r="BA15" s="373">
        <f t="shared" si="17"/>
        <v>755554.25</v>
      </c>
      <c r="BB15" s="374">
        <f t="shared" ref="BB15:BB78" si="25">BA15*10%</f>
        <v>75555.425000000003</v>
      </c>
      <c r="BC15" s="374">
        <f t="shared" ref="BC15:BC78" si="26">BA15*2%</f>
        <v>15111.085000000001</v>
      </c>
      <c r="BD15" s="374">
        <f t="shared" si="18"/>
        <v>60433.774000000005</v>
      </c>
      <c r="BE15" s="374">
        <f t="shared" ref="BE15:BE78" si="27">BA15-BB15-BC15-BD15</f>
        <v>604453.96600000001</v>
      </c>
      <c r="BF15" s="374">
        <f t="shared" ref="BF15:BF78" si="28">BA15*12</f>
        <v>9066651</v>
      </c>
      <c r="BG15" s="374">
        <f t="shared" si="19"/>
        <v>796365</v>
      </c>
      <c r="BH15" s="374">
        <f t="shared" ref="BH15:BH78" si="29">BF15+BG15</f>
        <v>9863016</v>
      </c>
      <c r="BI15" s="374">
        <f t="shared" si="20"/>
        <v>345205.56000000006</v>
      </c>
      <c r="BJ15" s="374">
        <f t="shared" si="21"/>
        <v>512656.23180000001</v>
      </c>
      <c r="BK15" s="374">
        <f t="shared" ref="BK15:BK78" si="30">BH15*0.9*5%</f>
        <v>443835.72000000003</v>
      </c>
      <c r="BL15" s="374">
        <f t="shared" ref="BL15:BL78" si="31">BH15*3%</f>
        <v>295890.48</v>
      </c>
      <c r="BM15" s="373">
        <f t="shared" si="22"/>
        <v>11460603.991800001</v>
      </c>
      <c r="BN15" s="375"/>
      <c r="BO15" s="376"/>
      <c r="BP15" s="376"/>
      <c r="BQ15" s="377"/>
      <c r="BR15" s="377"/>
      <c r="BS15" s="377"/>
      <c r="BT15" s="377"/>
      <c r="BU15" s="377"/>
      <c r="BV15" s="377"/>
      <c r="BW15" s="377"/>
      <c r="BX15" s="377"/>
      <c r="BY15" s="377"/>
      <c r="BZ15" s="377"/>
      <c r="CA15" s="377"/>
      <c r="CB15" s="377"/>
      <c r="CC15" s="377"/>
      <c r="CD15" s="377"/>
      <c r="CE15" s="377"/>
      <c r="CF15" s="377"/>
      <c r="CG15" s="377"/>
      <c r="CH15" s="377"/>
      <c r="CI15" s="377"/>
    </row>
    <row r="16" spans="1:87" ht="30">
      <c r="A16" s="1300">
        <f t="shared" ref="A16:B31" si="32">A15+1</f>
        <v>3</v>
      </c>
      <c r="B16" s="1301">
        <f t="shared" si="32"/>
        <v>3</v>
      </c>
      <c r="C16" s="1302" t="s">
        <v>393</v>
      </c>
      <c r="D16" s="1303" t="s">
        <v>1003</v>
      </c>
      <c r="E16" s="1301" t="s">
        <v>998</v>
      </c>
      <c r="F16" s="1301" t="s">
        <v>254</v>
      </c>
      <c r="G16" s="1301" t="s">
        <v>224</v>
      </c>
      <c r="H16" s="1304" t="s">
        <v>1401</v>
      </c>
      <c r="I16" s="1305">
        <v>17697</v>
      </c>
      <c r="J16" s="1306">
        <v>10.220000000000001</v>
      </c>
      <c r="K16" s="1306">
        <f t="shared" si="23"/>
        <v>180863.34000000003</v>
      </c>
      <c r="L16" s="1307"/>
      <c r="M16" s="1307"/>
      <c r="N16" s="1307"/>
      <c r="O16" s="1307">
        <v>24</v>
      </c>
      <c r="P16" s="1307"/>
      <c r="Q16" s="1308">
        <f t="shared" si="0"/>
        <v>24</v>
      </c>
      <c r="R16" s="1307"/>
      <c r="S16" s="1307"/>
      <c r="T16" s="1307"/>
      <c r="U16" s="1307"/>
      <c r="V16" s="1307"/>
      <c r="W16" s="1309">
        <f t="shared" si="1"/>
        <v>0</v>
      </c>
      <c r="X16" s="1310">
        <f t="shared" si="2"/>
        <v>24</v>
      </c>
      <c r="Y16" s="1306">
        <f t="shared" si="3"/>
        <v>271295.01</v>
      </c>
      <c r="Z16" s="1306">
        <f t="shared" si="4"/>
        <v>27129.501000000004</v>
      </c>
      <c r="AA16" s="1305">
        <v>27</v>
      </c>
      <c r="AB16" s="1306">
        <f t="shared" si="5"/>
        <v>11945.475</v>
      </c>
      <c r="AC16" s="1305">
        <v>0</v>
      </c>
      <c r="AD16" s="1306">
        <f t="shared" si="6"/>
        <v>0</v>
      </c>
      <c r="AE16" s="1305"/>
      <c r="AF16" s="1305"/>
      <c r="AG16" s="1306"/>
      <c r="AH16" s="1305"/>
      <c r="AI16" s="1306"/>
      <c r="AJ16" s="1305">
        <f t="shared" si="7"/>
        <v>24</v>
      </c>
      <c r="AK16" s="1306">
        <f t="shared" si="8"/>
        <v>10618.2</v>
      </c>
      <c r="AL16" s="1305">
        <f t="shared" si="9"/>
        <v>24</v>
      </c>
      <c r="AM16" s="1306">
        <f t="shared" si="10"/>
        <v>81388.502999999997</v>
      </c>
      <c r="AN16" s="1305" t="str">
        <f t="shared" si="11"/>
        <v>Педагог-модератор</v>
      </c>
      <c r="AO16" s="1306" t="str">
        <f t="shared" si="12"/>
        <v>0</v>
      </c>
      <c r="AP16" s="1306" t="str">
        <f t="shared" si="13"/>
        <v>0</v>
      </c>
      <c r="AQ16" s="1306" t="str">
        <f t="shared" si="14"/>
        <v>0</v>
      </c>
      <c r="AR16" s="1306">
        <f t="shared" si="15"/>
        <v>81388.502999999997</v>
      </c>
      <c r="AS16" s="1305"/>
      <c r="AT16" s="1306"/>
      <c r="AU16" s="1311"/>
      <c r="AV16" s="1306"/>
      <c r="AW16" s="1311" t="str">
        <f t="shared" si="24"/>
        <v>Магистр-математика</v>
      </c>
      <c r="AX16" s="1312">
        <f>10*4325</f>
        <v>43250</v>
      </c>
      <c r="AY16" s="1306"/>
      <c r="AZ16" s="1306">
        <f t="shared" si="16"/>
        <v>255720.182</v>
      </c>
      <c r="BA16" s="373">
        <f t="shared" si="17"/>
        <v>527015.19200000004</v>
      </c>
      <c r="BB16" s="374">
        <f t="shared" si="25"/>
        <v>52701.51920000001</v>
      </c>
      <c r="BC16" s="374">
        <f t="shared" si="26"/>
        <v>10540.30384</v>
      </c>
      <c r="BD16" s="374">
        <f t="shared" si="18"/>
        <v>40322.336896000008</v>
      </c>
      <c r="BE16" s="374">
        <f t="shared" si="27"/>
        <v>423451.03206400003</v>
      </c>
      <c r="BF16" s="374">
        <f t="shared" si="28"/>
        <v>6324182.3040000005</v>
      </c>
      <c r="BG16" s="374">
        <f t="shared" si="19"/>
        <v>542590.02</v>
      </c>
      <c r="BH16" s="374">
        <f t="shared" si="29"/>
        <v>6866772.324000001</v>
      </c>
      <c r="BI16" s="374">
        <f t="shared" si="20"/>
        <v>240337.03134000005</v>
      </c>
      <c r="BJ16" s="374">
        <f t="shared" si="21"/>
        <v>356892.50442719995</v>
      </c>
      <c r="BK16" s="374">
        <f t="shared" si="30"/>
        <v>309004.75458000007</v>
      </c>
      <c r="BL16" s="374">
        <f t="shared" si="31"/>
        <v>206003.16972000003</v>
      </c>
      <c r="BM16" s="1313">
        <f t="shared" si="22"/>
        <v>7979009.7840672014</v>
      </c>
      <c r="BN16" s="375"/>
      <c r="BO16" s="376"/>
      <c r="BP16" s="376"/>
      <c r="BQ16" s="377"/>
      <c r="BR16" s="377"/>
      <c r="BS16" s="377"/>
      <c r="BT16" s="377"/>
      <c r="BU16" s="377"/>
      <c r="BV16" s="377"/>
      <c r="BW16" s="377"/>
      <c r="BX16" s="377"/>
      <c r="BY16" s="377"/>
      <c r="BZ16" s="377"/>
      <c r="CA16" s="377"/>
      <c r="CB16" s="377"/>
      <c r="CC16" s="377"/>
      <c r="CD16" s="377"/>
      <c r="CE16" s="377"/>
      <c r="CF16" s="377"/>
      <c r="CG16" s="377"/>
      <c r="CH16" s="377"/>
      <c r="CI16" s="377"/>
    </row>
    <row r="17" spans="1:87" ht="47.25">
      <c r="A17" s="361">
        <f t="shared" si="32"/>
        <v>4</v>
      </c>
      <c r="B17" s="362">
        <f t="shared" si="32"/>
        <v>4</v>
      </c>
      <c r="C17" s="378" t="s">
        <v>256</v>
      </c>
      <c r="D17" s="379" t="s">
        <v>1004</v>
      </c>
      <c r="E17" s="362" t="s">
        <v>998</v>
      </c>
      <c r="F17" s="1298" t="s">
        <v>1005</v>
      </c>
      <c r="G17" s="362"/>
      <c r="H17" s="365" t="s">
        <v>1006</v>
      </c>
      <c r="I17" s="366">
        <v>17697</v>
      </c>
      <c r="J17" s="367">
        <v>11.4</v>
      </c>
      <c r="K17" s="367">
        <f t="shared" si="23"/>
        <v>201745.80000000002</v>
      </c>
      <c r="L17" s="366"/>
      <c r="M17" s="366">
        <v>16</v>
      </c>
      <c r="N17" s="366"/>
      <c r="O17" s="366"/>
      <c r="P17" s="366"/>
      <c r="Q17" s="368">
        <f t="shared" si="0"/>
        <v>16</v>
      </c>
      <c r="R17" s="369"/>
      <c r="S17" s="369">
        <v>2</v>
      </c>
      <c r="T17" s="369"/>
      <c r="U17" s="369"/>
      <c r="V17" s="369"/>
      <c r="W17" s="368">
        <f t="shared" si="1"/>
        <v>2</v>
      </c>
      <c r="X17" s="370">
        <f t="shared" si="2"/>
        <v>18</v>
      </c>
      <c r="Y17" s="367">
        <f t="shared" si="3"/>
        <v>226964.02500000002</v>
      </c>
      <c r="Z17" s="367">
        <f t="shared" si="4"/>
        <v>22696.402500000004</v>
      </c>
      <c r="AA17" s="366">
        <v>18</v>
      </c>
      <c r="AB17" s="367">
        <f t="shared" si="5"/>
        <v>7963.6500000000005</v>
      </c>
      <c r="AC17" s="366">
        <v>0</v>
      </c>
      <c r="AD17" s="367">
        <f t="shared" si="6"/>
        <v>0</v>
      </c>
      <c r="AE17" s="366"/>
      <c r="AF17" s="366"/>
      <c r="AG17" s="367"/>
      <c r="AH17" s="366"/>
      <c r="AI17" s="367"/>
      <c r="AJ17" s="366">
        <f t="shared" si="7"/>
        <v>18</v>
      </c>
      <c r="AK17" s="367">
        <f t="shared" si="8"/>
        <v>7963.6500000000005</v>
      </c>
      <c r="AL17" s="366">
        <f t="shared" si="9"/>
        <v>18</v>
      </c>
      <c r="AM17" s="367">
        <f t="shared" si="10"/>
        <v>68089.207500000004</v>
      </c>
      <c r="AN17" s="366" t="str">
        <f t="shared" si="11"/>
        <v>Педагог-зерттеуші</v>
      </c>
      <c r="AO17" s="367" t="str">
        <f t="shared" si="12"/>
        <v>0</v>
      </c>
      <c r="AP17" s="367">
        <f t="shared" si="13"/>
        <v>90785.610000000015</v>
      </c>
      <c r="AQ17" s="367" t="str">
        <f t="shared" si="14"/>
        <v>0</v>
      </c>
      <c r="AR17" s="367" t="str">
        <f t="shared" si="15"/>
        <v>0</v>
      </c>
      <c r="AS17" s="366"/>
      <c r="AT17" s="367"/>
      <c r="AU17" s="372"/>
      <c r="AV17" s="367"/>
      <c r="AW17" s="371">
        <f t="shared" si="24"/>
        <v>0</v>
      </c>
      <c r="AX17" s="372"/>
      <c r="AY17" s="367"/>
      <c r="AZ17" s="367">
        <f t="shared" si="16"/>
        <v>197498.52000000002</v>
      </c>
      <c r="BA17" s="373">
        <f t="shared" si="17"/>
        <v>424462.54500000004</v>
      </c>
      <c r="BB17" s="374">
        <f t="shared" si="25"/>
        <v>42446.25450000001</v>
      </c>
      <c r="BC17" s="374">
        <f t="shared" si="26"/>
        <v>8489.2509000000009</v>
      </c>
      <c r="BD17" s="374">
        <f t="shared" si="18"/>
        <v>31297.703960000003</v>
      </c>
      <c r="BE17" s="374">
        <f t="shared" si="27"/>
        <v>342229.33564</v>
      </c>
      <c r="BF17" s="374">
        <f t="shared" si="28"/>
        <v>5093550.540000001</v>
      </c>
      <c r="BG17" s="374">
        <f t="shared" si="19"/>
        <v>453928.05000000005</v>
      </c>
      <c r="BH17" s="374">
        <f t="shared" si="29"/>
        <v>5547478.5900000008</v>
      </c>
      <c r="BI17" s="374">
        <f t="shared" si="20"/>
        <v>194161.75065000006</v>
      </c>
      <c r="BJ17" s="374">
        <f t="shared" si="21"/>
        <v>288358.032672</v>
      </c>
      <c r="BK17" s="374">
        <f t="shared" si="30"/>
        <v>249636.53655000005</v>
      </c>
      <c r="BL17" s="374">
        <f t="shared" si="31"/>
        <v>166424.35770000002</v>
      </c>
      <c r="BM17" s="373">
        <f t="shared" si="22"/>
        <v>6446059.2675720006</v>
      </c>
      <c r="BN17" s="375"/>
      <c r="BO17" s="376"/>
      <c r="BP17" s="376"/>
      <c r="BQ17" s="377"/>
      <c r="BR17" s="377"/>
      <c r="BS17" s="377"/>
      <c r="BT17" s="377"/>
      <c r="BU17" s="377"/>
      <c r="BV17" s="377"/>
      <c r="BW17" s="377"/>
      <c r="BX17" s="377"/>
      <c r="BY17" s="377"/>
      <c r="BZ17" s="377"/>
      <c r="CA17" s="377"/>
      <c r="CB17" s="377"/>
      <c r="CC17" s="377"/>
      <c r="CD17" s="377"/>
      <c r="CE17" s="377"/>
      <c r="CF17" s="377"/>
      <c r="CG17" s="377"/>
      <c r="CH17" s="377"/>
      <c r="CI17" s="377"/>
    </row>
    <row r="18" spans="1:87" ht="47.25">
      <c r="A18" s="361">
        <f t="shared" si="32"/>
        <v>5</v>
      </c>
      <c r="B18" s="362">
        <f t="shared" si="32"/>
        <v>5</v>
      </c>
      <c r="C18" s="378" t="s">
        <v>207</v>
      </c>
      <c r="D18" s="382" t="s">
        <v>1007</v>
      </c>
      <c r="E18" s="362" t="s">
        <v>998</v>
      </c>
      <c r="F18" s="508" t="s">
        <v>1005</v>
      </c>
      <c r="G18" s="383"/>
      <c r="H18" s="365" t="s">
        <v>1008</v>
      </c>
      <c r="I18" s="366">
        <v>17697</v>
      </c>
      <c r="J18" s="367">
        <v>11.4</v>
      </c>
      <c r="K18" s="367">
        <f t="shared" si="23"/>
        <v>201745.80000000002</v>
      </c>
      <c r="L18" s="366"/>
      <c r="M18" s="366"/>
      <c r="N18" s="366"/>
      <c r="O18" s="366"/>
      <c r="P18" s="366">
        <v>18</v>
      </c>
      <c r="Q18" s="368">
        <f t="shared" si="0"/>
        <v>18</v>
      </c>
      <c r="R18" s="369"/>
      <c r="S18" s="369"/>
      <c r="T18" s="369"/>
      <c r="U18" s="369"/>
      <c r="V18" s="369"/>
      <c r="W18" s="368">
        <f t="shared" si="1"/>
        <v>0</v>
      </c>
      <c r="X18" s="370">
        <f t="shared" si="2"/>
        <v>18</v>
      </c>
      <c r="Y18" s="367">
        <f t="shared" si="3"/>
        <v>226964.02500000002</v>
      </c>
      <c r="Z18" s="367">
        <f t="shared" si="4"/>
        <v>22696.402500000004</v>
      </c>
      <c r="AA18" s="366">
        <v>18</v>
      </c>
      <c r="AB18" s="367">
        <f>I18/16*AA18*40%</f>
        <v>7963.6500000000005</v>
      </c>
      <c r="AC18" s="366">
        <v>0</v>
      </c>
      <c r="AD18" s="367">
        <f t="shared" si="6"/>
        <v>0</v>
      </c>
      <c r="AE18" s="366"/>
      <c r="AF18" s="366" t="s">
        <v>394</v>
      </c>
      <c r="AG18" s="367">
        <f>17697*20%</f>
        <v>3539.4</v>
      </c>
      <c r="AH18" s="366" t="s">
        <v>1009</v>
      </c>
      <c r="AI18" s="367">
        <f>I18*200%</f>
        <v>35394</v>
      </c>
      <c r="AJ18" s="366">
        <f t="shared" si="7"/>
        <v>18</v>
      </c>
      <c r="AK18" s="367">
        <f t="shared" si="8"/>
        <v>7963.6500000000005</v>
      </c>
      <c r="AL18" s="366">
        <f t="shared" si="9"/>
        <v>18</v>
      </c>
      <c r="AM18" s="367">
        <f t="shared" si="10"/>
        <v>68089.207500000004</v>
      </c>
      <c r="AN18" s="366" t="str">
        <f t="shared" si="11"/>
        <v>Педагог-зерттеуші</v>
      </c>
      <c r="AO18" s="367" t="str">
        <f t="shared" si="12"/>
        <v>0</v>
      </c>
      <c r="AP18" s="367">
        <f t="shared" si="13"/>
        <v>90785.610000000015</v>
      </c>
      <c r="AQ18" s="367" t="str">
        <f t="shared" si="14"/>
        <v>0</v>
      </c>
      <c r="AR18" s="367" t="str">
        <f t="shared" si="15"/>
        <v>0</v>
      </c>
      <c r="AS18" s="366"/>
      <c r="AT18" s="367"/>
      <c r="AU18" s="366"/>
      <c r="AV18" s="367"/>
      <c r="AW18" s="371">
        <f t="shared" si="24"/>
        <v>0</v>
      </c>
      <c r="AX18" s="372"/>
      <c r="AY18" s="367"/>
      <c r="AZ18" s="367">
        <f t="shared" si="16"/>
        <v>236431.92</v>
      </c>
      <c r="BA18" s="373">
        <f t="shared" si="17"/>
        <v>463395.94500000007</v>
      </c>
      <c r="BB18" s="374">
        <f t="shared" si="25"/>
        <v>46339.594500000007</v>
      </c>
      <c r="BC18" s="374">
        <f t="shared" si="26"/>
        <v>9267.9189000000024</v>
      </c>
      <c r="BD18" s="374">
        <f t="shared" si="18"/>
        <v>34723.843160000011</v>
      </c>
      <c r="BE18" s="374">
        <f t="shared" si="27"/>
        <v>373064.58844000008</v>
      </c>
      <c r="BF18" s="374">
        <f t="shared" si="28"/>
        <v>5560751.3400000008</v>
      </c>
      <c r="BG18" s="374">
        <f t="shared" si="19"/>
        <v>453928.05000000005</v>
      </c>
      <c r="BH18" s="374">
        <f t="shared" si="29"/>
        <v>6014679.3900000006</v>
      </c>
      <c r="BI18" s="374">
        <f t="shared" si="20"/>
        <v>210513.77865000005</v>
      </c>
      <c r="BJ18" s="374">
        <f t="shared" si="21"/>
        <v>312559.03411200002</v>
      </c>
      <c r="BK18" s="374">
        <f t="shared" si="30"/>
        <v>270660.57255000004</v>
      </c>
      <c r="BL18" s="374">
        <f t="shared" si="31"/>
        <v>180440.3817</v>
      </c>
      <c r="BM18" s="373">
        <f t="shared" si="22"/>
        <v>6988853.1570119997</v>
      </c>
      <c r="BN18" s="375"/>
      <c r="BO18" s="376"/>
      <c r="BP18" s="376"/>
      <c r="BQ18" s="377"/>
      <c r="BR18" s="377"/>
      <c r="BS18" s="377"/>
      <c r="BT18" s="377"/>
      <c r="BU18" s="377"/>
      <c r="BV18" s="377"/>
      <c r="BW18" s="377"/>
      <c r="BX18" s="377"/>
      <c r="BY18" s="377"/>
      <c r="BZ18" s="377"/>
      <c r="CA18" s="377"/>
      <c r="CB18" s="377"/>
      <c r="CC18" s="377"/>
      <c r="CD18" s="377"/>
      <c r="CE18" s="377"/>
      <c r="CF18" s="377"/>
      <c r="CG18" s="377"/>
      <c r="CH18" s="377"/>
      <c r="CI18" s="377"/>
    </row>
    <row r="19" spans="1:87" ht="31.5">
      <c r="A19" s="361">
        <f t="shared" si="32"/>
        <v>6</v>
      </c>
      <c r="B19" s="362">
        <f t="shared" si="32"/>
        <v>6</v>
      </c>
      <c r="C19" s="384" t="s">
        <v>206</v>
      </c>
      <c r="D19" s="379" t="s">
        <v>1010</v>
      </c>
      <c r="E19" s="362" t="s">
        <v>998</v>
      </c>
      <c r="F19" s="1298" t="s">
        <v>1011</v>
      </c>
      <c r="G19" s="362" t="s">
        <v>224</v>
      </c>
      <c r="H19" s="365" t="s">
        <v>1402</v>
      </c>
      <c r="I19" s="366">
        <v>17697</v>
      </c>
      <c r="J19" s="367">
        <v>10.4</v>
      </c>
      <c r="K19" s="367">
        <f t="shared" si="23"/>
        <v>184048.80000000002</v>
      </c>
      <c r="L19" s="366"/>
      <c r="M19" s="366"/>
      <c r="N19" s="366"/>
      <c r="O19" s="366">
        <v>5</v>
      </c>
      <c r="P19" s="366"/>
      <c r="Q19" s="368">
        <f t="shared" si="0"/>
        <v>5</v>
      </c>
      <c r="R19" s="369"/>
      <c r="S19" s="369"/>
      <c r="T19" s="369"/>
      <c r="U19" s="369"/>
      <c r="V19" s="369"/>
      <c r="W19" s="368">
        <f t="shared" si="1"/>
        <v>0</v>
      </c>
      <c r="X19" s="370">
        <f t="shared" si="2"/>
        <v>5</v>
      </c>
      <c r="Y19" s="367">
        <f t="shared" si="3"/>
        <v>57515.250000000007</v>
      </c>
      <c r="Z19" s="367"/>
      <c r="AA19" s="366">
        <v>5</v>
      </c>
      <c r="AB19" s="367">
        <f t="shared" si="5"/>
        <v>2212.125</v>
      </c>
      <c r="AC19" s="366">
        <v>0</v>
      </c>
      <c r="AD19" s="367">
        <f t="shared" si="6"/>
        <v>0</v>
      </c>
      <c r="AE19" s="366"/>
      <c r="AF19" s="366"/>
      <c r="AG19" s="367"/>
      <c r="AH19" s="366"/>
      <c r="AI19" s="367"/>
      <c r="AJ19" s="366">
        <f t="shared" si="7"/>
        <v>5</v>
      </c>
      <c r="AK19" s="367">
        <f t="shared" si="8"/>
        <v>2212.125</v>
      </c>
      <c r="AL19" s="366">
        <f t="shared" si="9"/>
        <v>5</v>
      </c>
      <c r="AM19" s="367">
        <f t="shared" si="10"/>
        <v>17254.575000000001</v>
      </c>
      <c r="AN19" s="366" t="str">
        <f t="shared" si="11"/>
        <v>Педагог-сарапшы</v>
      </c>
      <c r="AO19" s="367" t="str">
        <f t="shared" si="12"/>
        <v>0</v>
      </c>
      <c r="AP19" s="367" t="str">
        <f t="shared" si="13"/>
        <v>0</v>
      </c>
      <c r="AQ19" s="367">
        <f t="shared" si="14"/>
        <v>20130.337500000001</v>
      </c>
      <c r="AR19" s="367" t="str">
        <f t="shared" si="15"/>
        <v>0</v>
      </c>
      <c r="AS19" s="366"/>
      <c r="AT19" s="367"/>
      <c r="AU19" s="366"/>
      <c r="AV19" s="367"/>
      <c r="AW19" s="371" t="str">
        <f>G19</f>
        <v>Магистр-математика</v>
      </c>
      <c r="AX19" s="372">
        <f>10*4325</f>
        <v>43250</v>
      </c>
      <c r="AY19" s="367"/>
      <c r="AZ19" s="367">
        <f t="shared" si="16"/>
        <v>85059.162500000006</v>
      </c>
      <c r="BA19" s="373">
        <f t="shared" si="17"/>
        <v>142574.41250000001</v>
      </c>
      <c r="BB19" s="374">
        <f t="shared" si="25"/>
        <v>14257.441250000002</v>
      </c>
      <c r="BC19" s="374">
        <f t="shared" si="26"/>
        <v>2851.4882500000003</v>
      </c>
      <c r="BD19" s="374">
        <f t="shared" si="18"/>
        <v>6491.5483000000013</v>
      </c>
      <c r="BE19" s="374">
        <f t="shared" si="27"/>
        <v>118973.93470000001</v>
      </c>
      <c r="BF19" s="374">
        <f t="shared" si="28"/>
        <v>1710892.9500000002</v>
      </c>
      <c r="BG19" s="374">
        <f t="shared" si="19"/>
        <v>115030.50000000001</v>
      </c>
      <c r="BH19" s="374">
        <f t="shared" si="29"/>
        <v>1825923.4500000002</v>
      </c>
      <c r="BI19" s="374">
        <f t="shared" si="20"/>
        <v>63907.320750000014</v>
      </c>
      <c r="BJ19" s="374">
        <f t="shared" si="21"/>
        <v>94835.901810000025</v>
      </c>
      <c r="BK19" s="374">
        <f t="shared" si="30"/>
        <v>82166.555250000019</v>
      </c>
      <c r="BL19" s="374">
        <f t="shared" si="31"/>
        <v>54777.703500000003</v>
      </c>
      <c r="BM19" s="373">
        <f t="shared" si="22"/>
        <v>2121610.9313100004</v>
      </c>
      <c r="BN19" s="385">
        <v>1.25</v>
      </c>
      <c r="BO19" s="376"/>
      <c r="BP19" s="376"/>
      <c r="BQ19" s="377"/>
      <c r="BR19" s="377"/>
      <c r="BS19" s="377"/>
      <c r="BT19" s="377"/>
      <c r="BU19" s="377"/>
      <c r="BV19" s="377"/>
      <c r="BW19" s="377"/>
      <c r="BX19" s="377"/>
      <c r="BY19" s="377"/>
      <c r="BZ19" s="377"/>
      <c r="CA19" s="377"/>
      <c r="CB19" s="377"/>
      <c r="CC19" s="377"/>
      <c r="CD19" s="377"/>
      <c r="CE19" s="377"/>
      <c r="CF19" s="377"/>
      <c r="CG19" s="377"/>
      <c r="CH19" s="377"/>
      <c r="CI19" s="377"/>
    </row>
    <row r="20" spans="1:87" ht="47.25">
      <c r="A20" s="361">
        <f t="shared" si="32"/>
        <v>7</v>
      </c>
      <c r="B20" s="362">
        <f t="shared" si="32"/>
        <v>7</v>
      </c>
      <c r="C20" s="384" t="s">
        <v>1012</v>
      </c>
      <c r="D20" s="379" t="s">
        <v>1013</v>
      </c>
      <c r="E20" s="362" t="s">
        <v>998</v>
      </c>
      <c r="F20" s="1298"/>
      <c r="G20" s="362"/>
      <c r="H20" s="365" t="s">
        <v>1403</v>
      </c>
      <c r="I20" s="366">
        <v>17697</v>
      </c>
      <c r="J20" s="367">
        <v>9.5</v>
      </c>
      <c r="K20" s="367">
        <f t="shared" si="23"/>
        <v>168121.5</v>
      </c>
      <c r="L20" s="366">
        <v>16</v>
      </c>
      <c r="M20" s="366"/>
      <c r="N20" s="366">
        <v>8</v>
      </c>
      <c r="O20" s="366"/>
      <c r="P20" s="366"/>
      <c r="Q20" s="368">
        <f t="shared" si="0"/>
        <v>24</v>
      </c>
      <c r="R20" s="369">
        <v>2</v>
      </c>
      <c r="S20" s="369"/>
      <c r="T20" s="369">
        <v>1</v>
      </c>
      <c r="U20" s="369"/>
      <c r="V20" s="369"/>
      <c r="W20" s="368">
        <f t="shared" si="1"/>
        <v>3</v>
      </c>
      <c r="X20" s="370">
        <f t="shared" si="2"/>
        <v>27</v>
      </c>
      <c r="Y20" s="367">
        <f t="shared" si="3"/>
        <v>283705.03125</v>
      </c>
      <c r="Z20" s="367">
        <f t="shared" si="4"/>
        <v>28370.503125000003</v>
      </c>
      <c r="AA20" s="366">
        <v>9</v>
      </c>
      <c r="AB20" s="367">
        <f t="shared" si="5"/>
        <v>3981.8250000000003</v>
      </c>
      <c r="AC20" s="366">
        <v>18</v>
      </c>
      <c r="AD20" s="367">
        <f t="shared" si="6"/>
        <v>3981.8250000000003</v>
      </c>
      <c r="AE20" s="366"/>
      <c r="AF20" s="366"/>
      <c r="AG20" s="367"/>
      <c r="AH20" s="366"/>
      <c r="AI20" s="367"/>
      <c r="AJ20" s="366">
        <f t="shared" si="7"/>
        <v>27</v>
      </c>
      <c r="AK20" s="367">
        <f t="shared" si="8"/>
        <v>11945.475</v>
      </c>
      <c r="AL20" s="366">
        <f t="shared" si="9"/>
        <v>27</v>
      </c>
      <c r="AM20" s="367">
        <f t="shared" si="10"/>
        <v>85111.509374999994</v>
      </c>
      <c r="AN20" s="366">
        <f t="shared" si="11"/>
        <v>0</v>
      </c>
      <c r="AO20" s="367" t="str">
        <f t="shared" si="12"/>
        <v>0</v>
      </c>
      <c r="AP20" s="367" t="str">
        <f t="shared" si="13"/>
        <v>0</v>
      </c>
      <c r="AQ20" s="367" t="str">
        <f t="shared" si="14"/>
        <v>0</v>
      </c>
      <c r="AR20" s="367" t="str">
        <f t="shared" si="15"/>
        <v>0</v>
      </c>
      <c r="AS20" s="366"/>
      <c r="AT20" s="367"/>
      <c r="AU20" s="366"/>
      <c r="AV20" s="367"/>
      <c r="AW20" s="371">
        <f t="shared" si="24"/>
        <v>0</v>
      </c>
      <c r="AX20" s="372"/>
      <c r="AY20" s="367"/>
      <c r="AZ20" s="367">
        <f t="shared" si="16"/>
        <v>133391.13750000001</v>
      </c>
      <c r="BA20" s="373">
        <f t="shared" si="17"/>
        <v>417096.16875000001</v>
      </c>
      <c r="BB20" s="374">
        <f t="shared" si="25"/>
        <v>41709.616875000007</v>
      </c>
      <c r="BC20" s="374">
        <f t="shared" si="26"/>
        <v>8341.9233750000003</v>
      </c>
      <c r="BD20" s="374">
        <f t="shared" si="18"/>
        <v>30649.46285</v>
      </c>
      <c r="BE20" s="374">
        <f t="shared" si="27"/>
        <v>336395.16564999998</v>
      </c>
      <c r="BF20" s="374">
        <f t="shared" si="28"/>
        <v>5005154.0250000004</v>
      </c>
      <c r="BG20" s="374">
        <f t="shared" si="19"/>
        <v>567410.0625</v>
      </c>
      <c r="BH20" s="374">
        <f t="shared" si="29"/>
        <v>5572564.0875000004</v>
      </c>
      <c r="BI20" s="374">
        <f t="shared" si="20"/>
        <v>195039.74306250003</v>
      </c>
      <c r="BJ20" s="374">
        <f t="shared" si="21"/>
        <v>289907.12187000003</v>
      </c>
      <c r="BK20" s="374">
        <f t="shared" si="30"/>
        <v>250765.38393750007</v>
      </c>
      <c r="BL20" s="374">
        <f t="shared" si="31"/>
        <v>167176.92262500001</v>
      </c>
      <c r="BM20" s="373">
        <f t="shared" si="22"/>
        <v>6475453.2589950003</v>
      </c>
      <c r="BN20" s="375"/>
      <c r="BO20" s="376"/>
      <c r="BP20" s="376"/>
      <c r="BQ20" s="377"/>
      <c r="BR20" s="377"/>
      <c r="BS20" s="377"/>
      <c r="BT20" s="377"/>
      <c r="BU20" s="377"/>
      <c r="BV20" s="377"/>
      <c r="BW20" s="377"/>
      <c r="BX20" s="377"/>
      <c r="BY20" s="377"/>
      <c r="BZ20" s="377"/>
      <c r="CA20" s="377"/>
      <c r="CB20" s="377"/>
      <c r="CC20" s="377"/>
      <c r="CD20" s="377"/>
      <c r="CE20" s="377"/>
      <c r="CF20" s="377"/>
      <c r="CG20" s="377"/>
      <c r="CH20" s="377"/>
      <c r="CI20" s="377"/>
    </row>
    <row r="21" spans="1:87" ht="47.25">
      <c r="A21" s="361">
        <f t="shared" si="32"/>
        <v>8</v>
      </c>
      <c r="B21" s="362">
        <f t="shared" si="32"/>
        <v>8</v>
      </c>
      <c r="C21" s="384" t="s">
        <v>1014</v>
      </c>
      <c r="D21" s="379" t="s">
        <v>1015</v>
      </c>
      <c r="E21" s="362" t="s">
        <v>998</v>
      </c>
      <c r="F21" s="1298"/>
      <c r="G21" s="362"/>
      <c r="H21" s="365" t="s">
        <v>279</v>
      </c>
      <c r="I21" s="366">
        <v>17697</v>
      </c>
      <c r="J21" s="367">
        <v>9.66</v>
      </c>
      <c r="K21" s="367">
        <f t="shared" si="23"/>
        <v>170953.02</v>
      </c>
      <c r="L21" s="366"/>
      <c r="M21" s="366">
        <v>24</v>
      </c>
      <c r="N21" s="366"/>
      <c r="O21" s="366"/>
      <c r="P21" s="366"/>
      <c r="Q21" s="368">
        <f t="shared" si="0"/>
        <v>24</v>
      </c>
      <c r="R21" s="369"/>
      <c r="S21" s="369">
        <v>3</v>
      </c>
      <c r="T21" s="369"/>
      <c r="U21" s="369"/>
      <c r="V21" s="369"/>
      <c r="W21" s="368">
        <f t="shared" si="1"/>
        <v>3</v>
      </c>
      <c r="X21" s="370">
        <f t="shared" si="2"/>
        <v>27</v>
      </c>
      <c r="Y21" s="367">
        <f t="shared" si="3"/>
        <v>288483.22125</v>
      </c>
      <c r="Z21" s="367">
        <f t="shared" si="4"/>
        <v>28848.322125000002</v>
      </c>
      <c r="AA21" s="366">
        <v>9</v>
      </c>
      <c r="AB21" s="367">
        <f t="shared" si="5"/>
        <v>3981.8250000000003</v>
      </c>
      <c r="AC21" s="366">
        <v>18</v>
      </c>
      <c r="AD21" s="367">
        <f t="shared" si="6"/>
        <v>3981.8250000000003</v>
      </c>
      <c r="AE21" s="366"/>
      <c r="AF21" s="366" t="s">
        <v>1017</v>
      </c>
      <c r="AG21" s="367">
        <f t="shared" ref="AG21:AG27" si="33">17697*20%</f>
        <v>3539.4</v>
      </c>
      <c r="AH21" s="366"/>
      <c r="AI21" s="367"/>
      <c r="AJ21" s="366">
        <f t="shared" si="7"/>
        <v>27</v>
      </c>
      <c r="AK21" s="367">
        <f t="shared" si="8"/>
        <v>11945.475</v>
      </c>
      <c r="AL21" s="366">
        <f t="shared" si="9"/>
        <v>27</v>
      </c>
      <c r="AM21" s="367">
        <f t="shared" si="10"/>
        <v>86544.966375000004</v>
      </c>
      <c r="AN21" s="366">
        <f t="shared" si="11"/>
        <v>0</v>
      </c>
      <c r="AO21" s="367" t="str">
        <f t="shared" si="12"/>
        <v>0</v>
      </c>
      <c r="AP21" s="367" t="str">
        <f t="shared" si="13"/>
        <v>0</v>
      </c>
      <c r="AQ21" s="367" t="str">
        <f t="shared" si="14"/>
        <v>0</v>
      </c>
      <c r="AR21" s="367" t="str">
        <f t="shared" si="15"/>
        <v>0</v>
      </c>
      <c r="AS21" s="366"/>
      <c r="AT21" s="367"/>
      <c r="AU21" s="366"/>
      <c r="AV21" s="367"/>
      <c r="AW21" s="371">
        <f t="shared" si="24"/>
        <v>0</v>
      </c>
      <c r="AX21" s="372"/>
      <c r="AY21" s="367"/>
      <c r="AZ21" s="367">
        <f t="shared" si="16"/>
        <v>138841.81349999999</v>
      </c>
      <c r="BA21" s="373">
        <f t="shared" si="17"/>
        <v>427325.03474999999</v>
      </c>
      <c r="BB21" s="374">
        <f t="shared" si="25"/>
        <v>42732.503475000005</v>
      </c>
      <c r="BC21" s="374">
        <f t="shared" si="26"/>
        <v>8546.5006950000006</v>
      </c>
      <c r="BD21" s="374">
        <f t="shared" si="18"/>
        <v>31549.603057999997</v>
      </c>
      <c r="BE21" s="374">
        <f t="shared" si="27"/>
        <v>344496.42752199998</v>
      </c>
      <c r="BF21" s="374">
        <f t="shared" si="28"/>
        <v>5127900.4169999994</v>
      </c>
      <c r="BG21" s="374">
        <f t="shared" si="19"/>
        <v>576966.4425</v>
      </c>
      <c r="BH21" s="374">
        <f t="shared" si="29"/>
        <v>5704866.8594999993</v>
      </c>
      <c r="BI21" s="374">
        <f t="shared" si="20"/>
        <v>199670.34008249998</v>
      </c>
      <c r="BJ21" s="374">
        <f t="shared" si="21"/>
        <v>296781.42949559994</v>
      </c>
      <c r="BK21" s="374">
        <f t="shared" si="30"/>
        <v>256719.00867749998</v>
      </c>
      <c r="BL21" s="374">
        <f t="shared" si="31"/>
        <v>171146.00578499999</v>
      </c>
      <c r="BM21" s="373">
        <f t="shared" si="22"/>
        <v>6629183.6435405994</v>
      </c>
      <c r="BN21" s="375"/>
      <c r="BO21" s="376"/>
      <c r="BP21" s="376"/>
      <c r="BQ21" s="377"/>
      <c r="BR21" s="377"/>
      <c r="BS21" s="377"/>
      <c r="BT21" s="377"/>
      <c r="BU21" s="377"/>
      <c r="BV21" s="377"/>
      <c r="BW21" s="377"/>
      <c r="BX21" s="377"/>
      <c r="BY21" s="377"/>
      <c r="BZ21" s="377"/>
      <c r="CA21" s="377"/>
      <c r="CB21" s="377"/>
      <c r="CC21" s="377"/>
      <c r="CD21" s="377"/>
      <c r="CE21" s="377"/>
      <c r="CF21" s="377"/>
      <c r="CG21" s="377"/>
      <c r="CH21" s="377"/>
      <c r="CI21" s="377"/>
    </row>
    <row r="22" spans="1:87" ht="47.25">
      <c r="A22" s="361">
        <f t="shared" si="32"/>
        <v>9</v>
      </c>
      <c r="B22" s="362">
        <f t="shared" si="32"/>
        <v>9</v>
      </c>
      <c r="C22" s="386" t="s">
        <v>204</v>
      </c>
      <c r="D22" s="379" t="s">
        <v>1018</v>
      </c>
      <c r="E22" s="362" t="s">
        <v>998</v>
      </c>
      <c r="F22" s="1298" t="s">
        <v>999</v>
      </c>
      <c r="G22" s="362"/>
      <c r="H22" s="365" t="s">
        <v>1019</v>
      </c>
      <c r="I22" s="366">
        <v>17697</v>
      </c>
      <c r="J22" s="367">
        <v>11.4</v>
      </c>
      <c r="K22" s="367">
        <f t="shared" si="23"/>
        <v>201745.80000000002</v>
      </c>
      <c r="L22" s="366"/>
      <c r="M22" s="366"/>
      <c r="N22" s="366">
        <v>16</v>
      </c>
      <c r="O22" s="366"/>
      <c r="P22" s="366"/>
      <c r="Q22" s="368">
        <f t="shared" si="0"/>
        <v>16</v>
      </c>
      <c r="R22" s="369"/>
      <c r="S22" s="369"/>
      <c r="T22" s="369">
        <v>2</v>
      </c>
      <c r="U22" s="369"/>
      <c r="V22" s="369"/>
      <c r="W22" s="368">
        <f t="shared" si="1"/>
        <v>2</v>
      </c>
      <c r="X22" s="370">
        <f t="shared" si="2"/>
        <v>18</v>
      </c>
      <c r="Y22" s="367">
        <f t="shared" si="3"/>
        <v>226964.02500000002</v>
      </c>
      <c r="Z22" s="367">
        <f t="shared" si="4"/>
        <v>22696.402500000004</v>
      </c>
      <c r="AA22" s="366">
        <v>18</v>
      </c>
      <c r="AB22" s="367">
        <f t="shared" si="5"/>
        <v>7963.6500000000005</v>
      </c>
      <c r="AC22" s="366">
        <v>0</v>
      </c>
      <c r="AD22" s="367">
        <f t="shared" si="6"/>
        <v>0</v>
      </c>
      <c r="AE22" s="366"/>
      <c r="AF22" s="366" t="s">
        <v>257</v>
      </c>
      <c r="AG22" s="367">
        <f t="shared" si="33"/>
        <v>3539.4</v>
      </c>
      <c r="AH22" s="366"/>
      <c r="AI22" s="367"/>
      <c r="AJ22" s="366">
        <f t="shared" si="7"/>
        <v>18</v>
      </c>
      <c r="AK22" s="367">
        <f t="shared" si="8"/>
        <v>7963.6500000000005</v>
      </c>
      <c r="AL22" s="366">
        <f t="shared" si="9"/>
        <v>18</v>
      </c>
      <c r="AM22" s="367">
        <f t="shared" si="10"/>
        <v>68089.207500000004</v>
      </c>
      <c r="AN22" s="366" t="str">
        <f t="shared" si="11"/>
        <v>Педагог-шебер</v>
      </c>
      <c r="AO22" s="367">
        <f t="shared" si="12"/>
        <v>113482.01250000001</v>
      </c>
      <c r="AP22" s="367" t="str">
        <f t="shared" si="13"/>
        <v>0</v>
      </c>
      <c r="AQ22" s="367" t="str">
        <f t="shared" si="14"/>
        <v>0</v>
      </c>
      <c r="AR22" s="367" t="str">
        <f t="shared" si="15"/>
        <v>0</v>
      </c>
      <c r="AS22" s="366"/>
      <c r="AT22" s="367"/>
      <c r="AU22" s="371"/>
      <c r="AV22" s="367"/>
      <c r="AW22" s="371">
        <f t="shared" si="24"/>
        <v>0</v>
      </c>
      <c r="AX22" s="372"/>
      <c r="AY22" s="367"/>
      <c r="AZ22" s="367">
        <f t="shared" si="16"/>
        <v>223734.32250000001</v>
      </c>
      <c r="BA22" s="373">
        <f t="shared" si="17"/>
        <v>450698.34750000003</v>
      </c>
      <c r="BB22" s="374">
        <f t="shared" si="25"/>
        <v>45069.834750000009</v>
      </c>
      <c r="BC22" s="374">
        <f t="shared" si="26"/>
        <v>9013.96695</v>
      </c>
      <c r="BD22" s="374">
        <f t="shared" si="18"/>
        <v>33606.454580000005</v>
      </c>
      <c r="BE22" s="374">
        <f t="shared" si="27"/>
        <v>363008.09122</v>
      </c>
      <c r="BF22" s="374">
        <f t="shared" si="28"/>
        <v>5408380.1699999999</v>
      </c>
      <c r="BG22" s="374">
        <f t="shared" si="19"/>
        <v>453928.05000000005</v>
      </c>
      <c r="BH22" s="374">
        <f t="shared" si="29"/>
        <v>5862308.2199999997</v>
      </c>
      <c r="BI22" s="374">
        <f t="shared" si="20"/>
        <v>205180.78770000002</v>
      </c>
      <c r="BJ22" s="374">
        <f t="shared" si="21"/>
        <v>304666.20750600001</v>
      </c>
      <c r="BK22" s="374">
        <f t="shared" si="30"/>
        <v>263803.86989999999</v>
      </c>
      <c r="BL22" s="374">
        <f t="shared" si="31"/>
        <v>175869.24659999998</v>
      </c>
      <c r="BM22" s="373">
        <f t="shared" si="22"/>
        <v>6811828.3317060005</v>
      </c>
      <c r="BN22" s="375"/>
      <c r="BO22" s="376"/>
      <c r="BP22" s="376"/>
      <c r="BQ22" s="377"/>
      <c r="BR22" s="377"/>
      <c r="BS22" s="377"/>
      <c r="BT22" s="377"/>
      <c r="BU22" s="377"/>
      <c r="BV22" s="377"/>
      <c r="BW22" s="377"/>
      <c r="BX22" s="377"/>
      <c r="BY22" s="377"/>
      <c r="BZ22" s="377"/>
      <c r="CA22" s="377"/>
      <c r="CB22" s="377"/>
      <c r="CC22" s="377"/>
      <c r="CD22" s="377"/>
      <c r="CE22" s="377"/>
      <c r="CF22" s="377"/>
      <c r="CG22" s="377"/>
      <c r="CH22" s="377"/>
      <c r="CI22" s="377"/>
    </row>
    <row r="23" spans="1:87" ht="45">
      <c r="A23" s="361">
        <f t="shared" si="32"/>
        <v>10</v>
      </c>
      <c r="B23" s="362">
        <f t="shared" si="32"/>
        <v>10</v>
      </c>
      <c r="C23" s="387" t="s">
        <v>1020</v>
      </c>
      <c r="D23" s="388" t="s">
        <v>1021</v>
      </c>
      <c r="E23" s="389" t="s">
        <v>1022</v>
      </c>
      <c r="F23" s="1314" t="s">
        <v>254</v>
      </c>
      <c r="G23" s="390"/>
      <c r="H23" s="371" t="s">
        <v>1404</v>
      </c>
      <c r="I23" s="366">
        <v>17697</v>
      </c>
      <c r="J23" s="367">
        <v>8.14</v>
      </c>
      <c r="K23" s="367">
        <f t="shared" si="23"/>
        <v>144053.58000000002</v>
      </c>
      <c r="L23" s="366"/>
      <c r="M23" s="366">
        <v>16</v>
      </c>
      <c r="N23" s="366">
        <v>16</v>
      </c>
      <c r="O23" s="366"/>
      <c r="P23" s="366"/>
      <c r="Q23" s="368">
        <f t="shared" si="0"/>
        <v>32</v>
      </c>
      <c r="R23" s="369"/>
      <c r="S23" s="369">
        <v>2</v>
      </c>
      <c r="T23" s="369">
        <v>2</v>
      </c>
      <c r="U23" s="369"/>
      <c r="V23" s="369"/>
      <c r="W23" s="368">
        <f t="shared" si="1"/>
        <v>4</v>
      </c>
      <c r="X23" s="370">
        <f t="shared" si="2"/>
        <v>36</v>
      </c>
      <c r="Y23" s="367">
        <f t="shared" si="3"/>
        <v>324120.55500000005</v>
      </c>
      <c r="Z23" s="367">
        <f t="shared" si="4"/>
        <v>32412.055500000006</v>
      </c>
      <c r="AA23" s="366">
        <v>18</v>
      </c>
      <c r="AB23" s="367">
        <f t="shared" si="5"/>
        <v>7963.6500000000005</v>
      </c>
      <c r="AC23" s="366">
        <v>18</v>
      </c>
      <c r="AD23" s="367">
        <f t="shared" si="6"/>
        <v>3981.8250000000003</v>
      </c>
      <c r="AE23" s="366"/>
      <c r="AF23" s="366" t="s">
        <v>1023</v>
      </c>
      <c r="AG23" s="367">
        <f t="shared" si="33"/>
        <v>3539.4</v>
      </c>
      <c r="AH23" s="366"/>
      <c r="AI23" s="367"/>
      <c r="AJ23" s="366">
        <f t="shared" si="7"/>
        <v>36</v>
      </c>
      <c r="AK23" s="367">
        <f t="shared" si="8"/>
        <v>15927.300000000001</v>
      </c>
      <c r="AL23" s="366">
        <f t="shared" si="9"/>
        <v>36</v>
      </c>
      <c r="AM23" s="367">
        <f t="shared" si="10"/>
        <v>97236.166500000007</v>
      </c>
      <c r="AN23" s="366" t="str">
        <f t="shared" si="11"/>
        <v>Педагог-модератор</v>
      </c>
      <c r="AO23" s="367" t="str">
        <f t="shared" si="12"/>
        <v>0</v>
      </c>
      <c r="AP23" s="367" t="str">
        <f t="shared" si="13"/>
        <v>0</v>
      </c>
      <c r="AQ23" s="367" t="str">
        <f t="shared" si="14"/>
        <v>0</v>
      </c>
      <c r="AR23" s="367">
        <f t="shared" si="15"/>
        <v>97236.166500000007</v>
      </c>
      <c r="AS23" s="366"/>
      <c r="AT23" s="367"/>
      <c r="AU23" s="371"/>
      <c r="AV23" s="367"/>
      <c r="AW23" s="371">
        <f t="shared" si="24"/>
        <v>0</v>
      </c>
      <c r="AX23" s="372"/>
      <c r="AY23" s="367"/>
      <c r="AZ23" s="367">
        <f t="shared" si="16"/>
        <v>258296.56349999999</v>
      </c>
      <c r="BA23" s="373">
        <f t="shared" si="17"/>
        <v>582417.1185000001</v>
      </c>
      <c r="BB23" s="374">
        <f t="shared" si="25"/>
        <v>58241.711850000014</v>
      </c>
      <c r="BC23" s="374">
        <f t="shared" si="26"/>
        <v>11648.342370000002</v>
      </c>
      <c r="BD23" s="374">
        <f t="shared" si="18"/>
        <v>45197.706428000005</v>
      </c>
      <c r="BE23" s="374">
        <f t="shared" si="27"/>
        <v>467329.35785200004</v>
      </c>
      <c r="BF23" s="374">
        <f t="shared" si="28"/>
        <v>6989005.4220000012</v>
      </c>
      <c r="BG23" s="374">
        <f t="shared" si="19"/>
        <v>648241.1100000001</v>
      </c>
      <c r="BH23" s="374">
        <f t="shared" si="29"/>
        <v>7637246.5320000015</v>
      </c>
      <c r="BI23" s="374">
        <f t="shared" si="20"/>
        <v>267303.62862000009</v>
      </c>
      <c r="BJ23" s="374">
        <f t="shared" si="21"/>
        <v>397035.50079960009</v>
      </c>
      <c r="BK23" s="374">
        <f t="shared" si="30"/>
        <v>343676.09394000011</v>
      </c>
      <c r="BL23" s="374">
        <f t="shared" si="31"/>
        <v>229117.39596000002</v>
      </c>
      <c r="BM23" s="373">
        <f t="shared" si="22"/>
        <v>8874379.1513196025</v>
      </c>
      <c r="BN23" s="375"/>
      <c r="BO23" s="376"/>
      <c r="BP23" s="376"/>
      <c r="BQ23" s="377"/>
      <c r="BR23" s="377"/>
      <c r="BS23" s="377"/>
      <c r="BT23" s="377"/>
      <c r="BU23" s="377"/>
      <c r="BV23" s="377"/>
      <c r="BW23" s="377"/>
      <c r="BX23" s="377"/>
      <c r="BY23" s="377"/>
      <c r="BZ23" s="377"/>
      <c r="CA23" s="377"/>
      <c r="CB23" s="377"/>
      <c r="CC23" s="377"/>
      <c r="CD23" s="377"/>
      <c r="CE23" s="377"/>
      <c r="CF23" s="377"/>
      <c r="CG23" s="377"/>
      <c r="CH23" s="377"/>
      <c r="CI23" s="377"/>
    </row>
    <row r="24" spans="1:87" ht="51" customHeight="1">
      <c r="A24" s="361">
        <f t="shared" si="32"/>
        <v>11</v>
      </c>
      <c r="B24" s="362">
        <f t="shared" si="32"/>
        <v>11</v>
      </c>
      <c r="C24" s="391" t="s">
        <v>209</v>
      </c>
      <c r="D24" s="379" t="s">
        <v>1024</v>
      </c>
      <c r="E24" s="392" t="s">
        <v>998</v>
      </c>
      <c r="F24" s="508" t="s">
        <v>999</v>
      </c>
      <c r="G24" s="393"/>
      <c r="H24" s="371" t="s">
        <v>1025</v>
      </c>
      <c r="I24" s="366">
        <v>17697</v>
      </c>
      <c r="J24" s="367">
        <v>11.4</v>
      </c>
      <c r="K24" s="367">
        <f t="shared" si="23"/>
        <v>201745.80000000002</v>
      </c>
      <c r="L24" s="366"/>
      <c r="M24" s="366"/>
      <c r="N24" s="366"/>
      <c r="O24" s="366"/>
      <c r="P24" s="366">
        <v>18</v>
      </c>
      <c r="Q24" s="368">
        <f t="shared" si="0"/>
        <v>18</v>
      </c>
      <c r="R24" s="369"/>
      <c r="S24" s="369"/>
      <c r="T24" s="369"/>
      <c r="U24" s="369"/>
      <c r="V24" s="369"/>
      <c r="W24" s="368">
        <f t="shared" si="1"/>
        <v>0</v>
      </c>
      <c r="X24" s="370">
        <f t="shared" si="2"/>
        <v>18</v>
      </c>
      <c r="Y24" s="367">
        <f t="shared" si="3"/>
        <v>226964.02500000002</v>
      </c>
      <c r="Z24" s="367">
        <f t="shared" si="4"/>
        <v>22696.402500000004</v>
      </c>
      <c r="AA24" s="366">
        <v>18</v>
      </c>
      <c r="AB24" s="367">
        <f t="shared" si="5"/>
        <v>7963.6500000000005</v>
      </c>
      <c r="AC24" s="366">
        <v>0</v>
      </c>
      <c r="AD24" s="367">
        <f t="shared" si="6"/>
        <v>0</v>
      </c>
      <c r="AE24" s="366"/>
      <c r="AF24" s="366"/>
      <c r="AG24" s="367"/>
      <c r="AH24" s="366"/>
      <c r="AI24" s="367"/>
      <c r="AJ24" s="366">
        <f t="shared" si="7"/>
        <v>18</v>
      </c>
      <c r="AK24" s="367">
        <f t="shared" si="8"/>
        <v>7963.6500000000005</v>
      </c>
      <c r="AL24" s="366">
        <f t="shared" si="9"/>
        <v>18</v>
      </c>
      <c r="AM24" s="367">
        <f t="shared" si="10"/>
        <v>68089.207500000004</v>
      </c>
      <c r="AN24" s="366" t="str">
        <f t="shared" si="11"/>
        <v>Педагог-шебер</v>
      </c>
      <c r="AO24" s="367">
        <f t="shared" si="12"/>
        <v>113482.01250000001</v>
      </c>
      <c r="AP24" s="367" t="str">
        <f t="shared" si="13"/>
        <v>0</v>
      </c>
      <c r="AQ24" s="367" t="str">
        <f t="shared" si="14"/>
        <v>0</v>
      </c>
      <c r="AR24" s="367" t="str">
        <f t="shared" si="15"/>
        <v>0</v>
      </c>
      <c r="AS24" s="366"/>
      <c r="AT24" s="367"/>
      <c r="AU24" s="372"/>
      <c r="AV24" s="367"/>
      <c r="AW24" s="371">
        <f>G24</f>
        <v>0</v>
      </c>
      <c r="AX24" s="372"/>
      <c r="AY24" s="367"/>
      <c r="AZ24" s="367">
        <f t="shared" si="16"/>
        <v>220194.92250000002</v>
      </c>
      <c r="BA24" s="373">
        <f t="shared" si="17"/>
        <v>447158.94750000001</v>
      </c>
      <c r="BB24" s="374">
        <f t="shared" si="25"/>
        <v>44715.894750000007</v>
      </c>
      <c r="BC24" s="374">
        <f t="shared" si="26"/>
        <v>8943.1789499999995</v>
      </c>
      <c r="BD24" s="374">
        <f t="shared" si="18"/>
        <v>33294.987380000006</v>
      </c>
      <c r="BE24" s="374">
        <f t="shared" si="27"/>
        <v>360204.88642000005</v>
      </c>
      <c r="BF24" s="374">
        <f t="shared" si="28"/>
        <v>5365907.37</v>
      </c>
      <c r="BG24" s="374">
        <f t="shared" si="19"/>
        <v>453928.05000000005</v>
      </c>
      <c r="BH24" s="374">
        <f t="shared" si="29"/>
        <v>5819835.4199999999</v>
      </c>
      <c r="BI24" s="374">
        <f t="shared" si="20"/>
        <v>203694.23970000001</v>
      </c>
      <c r="BJ24" s="374">
        <f t="shared" si="21"/>
        <v>302466.11646600004</v>
      </c>
      <c r="BK24" s="374">
        <f t="shared" si="30"/>
        <v>261892.59390000004</v>
      </c>
      <c r="BL24" s="374">
        <f t="shared" si="31"/>
        <v>174595.0626</v>
      </c>
      <c r="BM24" s="373">
        <f t="shared" si="22"/>
        <v>6762483.432665999</v>
      </c>
      <c r="BN24" s="375"/>
      <c r="BO24" s="376"/>
      <c r="BP24" s="376"/>
      <c r="BQ24" s="377"/>
      <c r="BR24" s="377"/>
      <c r="BS24" s="377"/>
      <c r="BT24" s="377"/>
      <c r="BU24" s="377"/>
      <c r="BV24" s="377"/>
      <c r="BW24" s="377"/>
      <c r="BX24" s="377"/>
      <c r="BY24" s="377"/>
      <c r="BZ24" s="377"/>
      <c r="CA24" s="377"/>
      <c r="CB24" s="377"/>
      <c r="CC24" s="377"/>
      <c r="CD24" s="377"/>
      <c r="CE24" s="377"/>
      <c r="CF24" s="377"/>
      <c r="CG24" s="377"/>
      <c r="CH24" s="377"/>
      <c r="CI24" s="377"/>
    </row>
    <row r="25" spans="1:87" ht="47.25">
      <c r="A25" s="361">
        <f t="shared" si="32"/>
        <v>12</v>
      </c>
      <c r="B25" s="362">
        <f t="shared" si="32"/>
        <v>12</v>
      </c>
      <c r="C25" s="378" t="s">
        <v>195</v>
      </c>
      <c r="D25" s="379" t="s">
        <v>1026</v>
      </c>
      <c r="E25" s="392" t="s">
        <v>998</v>
      </c>
      <c r="F25" s="1314" t="s">
        <v>254</v>
      </c>
      <c r="G25" s="366"/>
      <c r="H25" s="371" t="s">
        <v>280</v>
      </c>
      <c r="I25" s="366">
        <v>17697</v>
      </c>
      <c r="J25" s="367">
        <v>10.220000000000001</v>
      </c>
      <c r="K25" s="367">
        <f t="shared" si="23"/>
        <v>180863.34000000003</v>
      </c>
      <c r="L25" s="366">
        <v>32</v>
      </c>
      <c r="M25" s="366"/>
      <c r="N25" s="366"/>
      <c r="O25" s="366"/>
      <c r="P25" s="366"/>
      <c r="Q25" s="368">
        <f t="shared" si="0"/>
        <v>32</v>
      </c>
      <c r="R25" s="369">
        <v>4</v>
      </c>
      <c r="S25" s="369"/>
      <c r="T25" s="369"/>
      <c r="U25" s="369"/>
      <c r="V25" s="369"/>
      <c r="W25" s="368">
        <f t="shared" si="1"/>
        <v>4</v>
      </c>
      <c r="X25" s="370">
        <f t="shared" si="2"/>
        <v>36</v>
      </c>
      <c r="Y25" s="367">
        <f t="shared" si="3"/>
        <v>406942.51500000007</v>
      </c>
      <c r="Z25" s="367">
        <f t="shared" si="4"/>
        <v>40694.251500000013</v>
      </c>
      <c r="AA25" s="366">
        <v>0</v>
      </c>
      <c r="AB25" s="367">
        <f t="shared" si="5"/>
        <v>0</v>
      </c>
      <c r="AC25" s="366">
        <v>36</v>
      </c>
      <c r="AD25" s="367">
        <f t="shared" si="6"/>
        <v>7963.6500000000005</v>
      </c>
      <c r="AE25" s="366"/>
      <c r="AF25" s="366" t="s">
        <v>1027</v>
      </c>
      <c r="AG25" s="367">
        <f t="shared" si="33"/>
        <v>3539.4</v>
      </c>
      <c r="AH25" s="366"/>
      <c r="AI25" s="367"/>
      <c r="AJ25" s="366">
        <f t="shared" si="7"/>
        <v>36</v>
      </c>
      <c r="AK25" s="367">
        <f t="shared" si="8"/>
        <v>15927.300000000001</v>
      </c>
      <c r="AL25" s="366">
        <f t="shared" si="9"/>
        <v>36</v>
      </c>
      <c r="AM25" s="367">
        <f t="shared" si="10"/>
        <v>122082.75450000001</v>
      </c>
      <c r="AN25" s="366" t="str">
        <f t="shared" si="11"/>
        <v>Педагог-модератор</v>
      </c>
      <c r="AO25" s="367" t="str">
        <f t="shared" si="12"/>
        <v>0</v>
      </c>
      <c r="AP25" s="367" t="str">
        <f t="shared" si="13"/>
        <v>0</v>
      </c>
      <c r="AQ25" s="367" t="str">
        <f t="shared" si="14"/>
        <v>0</v>
      </c>
      <c r="AR25" s="367">
        <f t="shared" si="15"/>
        <v>122082.75450000001</v>
      </c>
      <c r="AS25" s="366"/>
      <c r="AT25" s="367"/>
      <c r="AU25" s="371"/>
      <c r="AV25" s="367"/>
      <c r="AW25" s="371">
        <f t="shared" si="24"/>
        <v>0</v>
      </c>
      <c r="AX25" s="372"/>
      <c r="AY25" s="367"/>
      <c r="AZ25" s="367">
        <f t="shared" si="16"/>
        <v>312290.11050000007</v>
      </c>
      <c r="BA25" s="373">
        <f t="shared" si="17"/>
        <v>719232.62550000008</v>
      </c>
      <c r="BB25" s="374">
        <f t="shared" si="25"/>
        <v>71923.262550000014</v>
      </c>
      <c r="BC25" s="374">
        <f t="shared" si="26"/>
        <v>14384.652510000002</v>
      </c>
      <c r="BD25" s="374">
        <f t="shared" si="18"/>
        <v>57237.471044000005</v>
      </c>
      <c r="BE25" s="374">
        <f t="shared" si="27"/>
        <v>575687.23939600005</v>
      </c>
      <c r="BF25" s="374">
        <f t="shared" si="28"/>
        <v>8630791.506000001</v>
      </c>
      <c r="BG25" s="374">
        <f t="shared" si="19"/>
        <v>813885.03000000014</v>
      </c>
      <c r="BH25" s="374">
        <f t="shared" si="29"/>
        <v>9444676.5360000003</v>
      </c>
      <c r="BI25" s="374">
        <f t="shared" si="20"/>
        <v>330563.67876000004</v>
      </c>
      <c r="BJ25" s="374">
        <f t="shared" si="21"/>
        <v>491024.79163079994</v>
      </c>
      <c r="BK25" s="374">
        <f t="shared" si="30"/>
        <v>425010.44412000006</v>
      </c>
      <c r="BL25" s="374">
        <f t="shared" si="31"/>
        <v>283340.29608</v>
      </c>
      <c r="BM25" s="373">
        <f t="shared" si="22"/>
        <v>10974615.746590801</v>
      </c>
      <c r="BN25" s="375"/>
      <c r="BO25" s="376"/>
      <c r="BP25" s="376"/>
      <c r="BQ25" s="377"/>
      <c r="BR25" s="377"/>
      <c r="BS25" s="377"/>
      <c r="BT25" s="377"/>
      <c r="BU25" s="377"/>
      <c r="BV25" s="377"/>
      <c r="BW25" s="377"/>
      <c r="BX25" s="377"/>
      <c r="BY25" s="377"/>
      <c r="BZ25" s="377"/>
      <c r="CA25" s="377"/>
      <c r="CB25" s="377"/>
      <c r="CC25" s="377"/>
      <c r="CD25" s="377"/>
      <c r="CE25" s="377"/>
      <c r="CF25" s="377"/>
      <c r="CG25" s="377"/>
      <c r="CH25" s="377"/>
      <c r="CI25" s="377"/>
    </row>
    <row r="26" spans="1:87" ht="47.25">
      <c r="A26" s="361">
        <f t="shared" si="32"/>
        <v>13</v>
      </c>
      <c r="B26" s="362">
        <f t="shared" si="32"/>
        <v>13</v>
      </c>
      <c r="C26" s="378" t="s">
        <v>198</v>
      </c>
      <c r="D26" s="379" t="s">
        <v>1028</v>
      </c>
      <c r="E26" s="392" t="s">
        <v>998</v>
      </c>
      <c r="F26" s="508" t="s">
        <v>1005</v>
      </c>
      <c r="G26" s="366"/>
      <c r="H26" s="371" t="s">
        <v>1029</v>
      </c>
      <c r="I26" s="366">
        <v>17697</v>
      </c>
      <c r="J26" s="367">
        <v>11.4</v>
      </c>
      <c r="K26" s="367">
        <f t="shared" si="23"/>
        <v>201745.80000000002</v>
      </c>
      <c r="L26" s="366"/>
      <c r="M26" s="366"/>
      <c r="N26" s="366"/>
      <c r="O26" s="366">
        <v>27</v>
      </c>
      <c r="P26" s="366">
        <v>9</v>
      </c>
      <c r="Q26" s="368">
        <f t="shared" si="0"/>
        <v>36</v>
      </c>
      <c r="R26" s="369"/>
      <c r="S26" s="369"/>
      <c r="T26" s="369"/>
      <c r="U26" s="369"/>
      <c r="V26" s="369"/>
      <c r="W26" s="368">
        <f t="shared" si="1"/>
        <v>0</v>
      </c>
      <c r="X26" s="370">
        <f t="shared" si="2"/>
        <v>36</v>
      </c>
      <c r="Y26" s="367">
        <f t="shared" si="3"/>
        <v>453928.05000000005</v>
      </c>
      <c r="Z26" s="367">
        <f t="shared" si="4"/>
        <v>45392.805000000008</v>
      </c>
      <c r="AA26" s="366">
        <v>18</v>
      </c>
      <c r="AB26" s="367">
        <f t="shared" si="5"/>
        <v>7963.6500000000005</v>
      </c>
      <c r="AC26" s="366">
        <v>18</v>
      </c>
      <c r="AD26" s="367">
        <f t="shared" si="6"/>
        <v>3981.8250000000003</v>
      </c>
      <c r="AE26" s="366"/>
      <c r="AF26" s="366" t="s">
        <v>271</v>
      </c>
      <c r="AG26" s="367">
        <f t="shared" si="33"/>
        <v>3539.4</v>
      </c>
      <c r="AH26" s="366"/>
      <c r="AI26" s="367"/>
      <c r="AJ26" s="366">
        <f t="shared" si="7"/>
        <v>36</v>
      </c>
      <c r="AK26" s="367">
        <f t="shared" si="8"/>
        <v>15927.300000000001</v>
      </c>
      <c r="AL26" s="366">
        <f t="shared" si="9"/>
        <v>36</v>
      </c>
      <c r="AM26" s="367">
        <f t="shared" si="10"/>
        <v>136178.41500000001</v>
      </c>
      <c r="AN26" s="366" t="str">
        <f t="shared" si="11"/>
        <v>Педагог-зерттеуші</v>
      </c>
      <c r="AO26" s="367" t="str">
        <f t="shared" si="12"/>
        <v>0</v>
      </c>
      <c r="AP26" s="367">
        <f t="shared" si="13"/>
        <v>181571.22000000003</v>
      </c>
      <c r="AQ26" s="367" t="str">
        <f t="shared" si="14"/>
        <v>0</v>
      </c>
      <c r="AR26" s="367" t="str">
        <f t="shared" si="15"/>
        <v>0</v>
      </c>
      <c r="AS26" s="366"/>
      <c r="AT26" s="367"/>
      <c r="AU26" s="371"/>
      <c r="AV26" s="367"/>
      <c r="AW26" s="371">
        <f t="shared" si="24"/>
        <v>0</v>
      </c>
      <c r="AX26" s="372"/>
      <c r="AY26" s="367"/>
      <c r="AZ26" s="367">
        <f t="shared" si="16"/>
        <v>394554.61500000005</v>
      </c>
      <c r="BA26" s="373">
        <f t="shared" si="17"/>
        <v>848482.66500000004</v>
      </c>
      <c r="BB26" s="374">
        <f t="shared" si="25"/>
        <v>84848.266500000012</v>
      </c>
      <c r="BC26" s="374">
        <f t="shared" si="26"/>
        <v>16969.653300000002</v>
      </c>
      <c r="BD26" s="374">
        <f t="shared" si="18"/>
        <v>68611.474520000003</v>
      </c>
      <c r="BE26" s="374">
        <f t="shared" si="27"/>
        <v>678053.27067999996</v>
      </c>
      <c r="BF26" s="374">
        <f t="shared" si="28"/>
        <v>10181791.98</v>
      </c>
      <c r="BG26" s="374">
        <f t="shared" si="19"/>
        <v>907856.10000000009</v>
      </c>
      <c r="BH26" s="374">
        <f t="shared" si="29"/>
        <v>11089648.08</v>
      </c>
      <c r="BI26" s="374">
        <f t="shared" si="20"/>
        <v>388137.68280000007</v>
      </c>
      <c r="BJ26" s="374">
        <f t="shared" si="21"/>
        <v>576441.05396399996</v>
      </c>
      <c r="BK26" s="374">
        <f t="shared" si="30"/>
        <v>499034.16360000003</v>
      </c>
      <c r="BL26" s="374">
        <f t="shared" si="31"/>
        <v>332689.4424</v>
      </c>
      <c r="BM26" s="373">
        <f t="shared" si="22"/>
        <v>12885950.422764</v>
      </c>
      <c r="BN26" s="375"/>
      <c r="BO26" s="376"/>
      <c r="BP26" s="376"/>
      <c r="BQ26" s="377"/>
      <c r="BR26" s="377"/>
      <c r="BS26" s="377"/>
      <c r="BT26" s="377"/>
      <c r="BU26" s="377"/>
      <c r="BV26" s="377"/>
      <c r="BW26" s="377"/>
      <c r="BX26" s="377"/>
      <c r="BY26" s="377"/>
      <c r="BZ26" s="377"/>
      <c r="CA26" s="377"/>
      <c r="CB26" s="377"/>
      <c r="CC26" s="377"/>
      <c r="CD26" s="377"/>
      <c r="CE26" s="377"/>
      <c r="CF26" s="377"/>
      <c r="CG26" s="377"/>
      <c r="CH26" s="377"/>
      <c r="CI26" s="377"/>
    </row>
    <row r="27" spans="1:87" ht="63">
      <c r="A27" s="361">
        <f t="shared" si="32"/>
        <v>14</v>
      </c>
      <c r="B27" s="362">
        <f t="shared" si="32"/>
        <v>14</v>
      </c>
      <c r="C27" s="378" t="s">
        <v>203</v>
      </c>
      <c r="D27" s="379" t="s">
        <v>1030</v>
      </c>
      <c r="E27" s="392" t="s">
        <v>998</v>
      </c>
      <c r="F27" s="508" t="s">
        <v>999</v>
      </c>
      <c r="G27" s="366"/>
      <c r="H27" s="371" t="s">
        <v>1031</v>
      </c>
      <c r="I27" s="366">
        <v>17697</v>
      </c>
      <c r="J27" s="367">
        <v>11.4</v>
      </c>
      <c r="K27" s="367">
        <f t="shared" si="23"/>
        <v>201745.80000000002</v>
      </c>
      <c r="L27" s="380"/>
      <c r="M27" s="380">
        <v>24</v>
      </c>
      <c r="N27" s="380"/>
      <c r="O27" s="380"/>
      <c r="P27" s="380">
        <v>9</v>
      </c>
      <c r="Q27" s="368">
        <f t="shared" si="0"/>
        <v>33</v>
      </c>
      <c r="R27" s="380"/>
      <c r="S27" s="380">
        <v>3</v>
      </c>
      <c r="T27" s="380"/>
      <c r="U27" s="380"/>
      <c r="V27" s="380"/>
      <c r="W27" s="381">
        <f t="shared" si="1"/>
        <v>3</v>
      </c>
      <c r="X27" s="370">
        <f t="shared" si="2"/>
        <v>36</v>
      </c>
      <c r="Y27" s="367">
        <f t="shared" si="3"/>
        <v>453928.05000000005</v>
      </c>
      <c r="Z27" s="367">
        <f t="shared" si="4"/>
        <v>45392.805000000008</v>
      </c>
      <c r="AA27" s="366">
        <v>27</v>
      </c>
      <c r="AB27" s="367">
        <f t="shared" si="5"/>
        <v>11945.475</v>
      </c>
      <c r="AC27" s="366">
        <v>9</v>
      </c>
      <c r="AD27" s="367">
        <f t="shared" si="6"/>
        <v>1990.9125000000001</v>
      </c>
      <c r="AE27" s="366"/>
      <c r="AF27" s="366" t="s">
        <v>251</v>
      </c>
      <c r="AG27" s="367">
        <f t="shared" si="33"/>
        <v>3539.4</v>
      </c>
      <c r="AH27" s="366" t="s">
        <v>1032</v>
      </c>
      <c r="AI27" s="367">
        <f>I27*200%</f>
        <v>35394</v>
      </c>
      <c r="AJ27" s="366">
        <f t="shared" si="7"/>
        <v>36</v>
      </c>
      <c r="AK27" s="367">
        <f t="shared" si="8"/>
        <v>15927.300000000001</v>
      </c>
      <c r="AL27" s="366">
        <f t="shared" si="9"/>
        <v>36</v>
      </c>
      <c r="AM27" s="367">
        <f t="shared" si="10"/>
        <v>136178.41500000001</v>
      </c>
      <c r="AN27" s="366" t="str">
        <f t="shared" si="11"/>
        <v>Педагог-шебер</v>
      </c>
      <c r="AO27" s="367">
        <f t="shared" si="12"/>
        <v>226964.02500000002</v>
      </c>
      <c r="AP27" s="367" t="str">
        <f t="shared" si="13"/>
        <v>0</v>
      </c>
      <c r="AQ27" s="367" t="str">
        <f t="shared" si="14"/>
        <v>0</v>
      </c>
      <c r="AR27" s="367" t="str">
        <f t="shared" si="15"/>
        <v>0</v>
      </c>
      <c r="AS27" s="366"/>
      <c r="AT27" s="367"/>
      <c r="AU27" s="371"/>
      <c r="AV27" s="367"/>
      <c r="AW27" s="371">
        <f t="shared" si="24"/>
        <v>0</v>
      </c>
      <c r="AX27" s="372"/>
      <c r="AY27" s="367"/>
      <c r="AZ27" s="367">
        <f t="shared" si="16"/>
        <v>477332.33250000002</v>
      </c>
      <c r="BA27" s="373">
        <f t="shared" si="17"/>
        <v>931260.38250000007</v>
      </c>
      <c r="BB27" s="374">
        <f t="shared" si="25"/>
        <v>93126.038250000012</v>
      </c>
      <c r="BC27" s="374">
        <f t="shared" si="26"/>
        <v>18625.20765</v>
      </c>
      <c r="BD27" s="374">
        <f t="shared" si="18"/>
        <v>75895.913660000006</v>
      </c>
      <c r="BE27" s="374">
        <f t="shared" si="27"/>
        <v>743613.22294000012</v>
      </c>
      <c r="BF27" s="374">
        <f t="shared" si="28"/>
        <v>11175124.59</v>
      </c>
      <c r="BG27" s="374">
        <f t="shared" si="19"/>
        <v>907856.10000000009</v>
      </c>
      <c r="BH27" s="374">
        <f t="shared" si="29"/>
        <v>12082980.689999999</v>
      </c>
      <c r="BI27" s="374">
        <f t="shared" si="20"/>
        <v>422904.32415</v>
      </c>
      <c r="BJ27" s="374">
        <f t="shared" si="21"/>
        <v>627895.6831619998</v>
      </c>
      <c r="BK27" s="374">
        <f t="shared" si="30"/>
        <v>543734.13104999997</v>
      </c>
      <c r="BL27" s="374">
        <f t="shared" si="31"/>
        <v>362489.42069999996</v>
      </c>
      <c r="BM27" s="373">
        <f t="shared" si="22"/>
        <v>14040004.249062</v>
      </c>
      <c r="BN27" s="375"/>
      <c r="BO27" s="376"/>
      <c r="BP27" s="376"/>
      <c r="BQ27" s="377"/>
      <c r="BR27" s="377"/>
      <c r="BS27" s="377"/>
      <c r="BT27" s="377"/>
      <c r="BU27" s="377"/>
      <c r="BV27" s="377"/>
      <c r="BW27" s="377"/>
      <c r="BX27" s="377"/>
      <c r="BY27" s="377"/>
      <c r="BZ27" s="377"/>
      <c r="CA27" s="377"/>
      <c r="CB27" s="377"/>
      <c r="CC27" s="377"/>
      <c r="CD27" s="377"/>
      <c r="CE27" s="377"/>
      <c r="CF27" s="377"/>
      <c r="CG27" s="377"/>
      <c r="CH27" s="377"/>
      <c r="CI27" s="377"/>
    </row>
    <row r="28" spans="1:87" ht="73.5" customHeight="1">
      <c r="A28" s="361">
        <f t="shared" si="32"/>
        <v>15</v>
      </c>
      <c r="B28" s="362">
        <f t="shared" si="32"/>
        <v>15</v>
      </c>
      <c r="C28" s="378" t="s">
        <v>1033</v>
      </c>
      <c r="D28" s="379" t="s">
        <v>1034</v>
      </c>
      <c r="E28" s="392" t="s">
        <v>998</v>
      </c>
      <c r="F28" s="508"/>
      <c r="G28" s="366" t="s">
        <v>1035</v>
      </c>
      <c r="H28" s="371" t="s">
        <v>279</v>
      </c>
      <c r="I28" s="366">
        <v>17697</v>
      </c>
      <c r="J28" s="367">
        <v>9.66</v>
      </c>
      <c r="K28" s="367">
        <f t="shared" si="23"/>
        <v>170953.02</v>
      </c>
      <c r="L28" s="380"/>
      <c r="M28" s="380">
        <v>16</v>
      </c>
      <c r="N28" s="380">
        <v>8</v>
      </c>
      <c r="O28" s="380"/>
      <c r="P28" s="380"/>
      <c r="Q28" s="368">
        <f t="shared" si="0"/>
        <v>24</v>
      </c>
      <c r="R28" s="380">
        <v>12</v>
      </c>
      <c r="S28" s="380">
        <v>2</v>
      </c>
      <c r="T28" s="380">
        <v>1</v>
      </c>
      <c r="U28" s="380"/>
      <c r="V28" s="380"/>
      <c r="W28" s="381">
        <f>SUM(R28:V28)</f>
        <v>15</v>
      </c>
      <c r="X28" s="370">
        <f t="shared" si="2"/>
        <v>39</v>
      </c>
      <c r="Y28" s="367">
        <f t="shared" si="3"/>
        <v>416697.98624999996</v>
      </c>
      <c r="Z28" s="367">
        <f t="shared" si="4"/>
        <v>41669.798624999996</v>
      </c>
      <c r="AA28" s="366">
        <v>9</v>
      </c>
      <c r="AB28" s="367">
        <f t="shared" si="5"/>
        <v>3981.8250000000003</v>
      </c>
      <c r="AC28" s="366">
        <v>18</v>
      </c>
      <c r="AD28" s="367">
        <f t="shared" si="6"/>
        <v>3981.8250000000003</v>
      </c>
      <c r="AE28" s="366"/>
      <c r="AF28" s="366"/>
      <c r="AG28" s="367"/>
      <c r="AH28" s="366"/>
      <c r="AI28" s="367"/>
      <c r="AJ28" s="366">
        <f t="shared" si="7"/>
        <v>39</v>
      </c>
      <c r="AK28" s="367">
        <f t="shared" si="8"/>
        <v>17254.575000000001</v>
      </c>
      <c r="AL28" s="366">
        <f t="shared" si="9"/>
        <v>39</v>
      </c>
      <c r="AM28" s="367">
        <f t="shared" si="10"/>
        <v>125009.39587499999</v>
      </c>
      <c r="AN28" s="366">
        <f t="shared" si="11"/>
        <v>0</v>
      </c>
      <c r="AO28" s="367" t="str">
        <f t="shared" si="12"/>
        <v>0</v>
      </c>
      <c r="AP28" s="367" t="str">
        <f t="shared" si="13"/>
        <v>0</v>
      </c>
      <c r="AQ28" s="367" t="str">
        <f t="shared" si="14"/>
        <v>0</v>
      </c>
      <c r="AR28" s="367" t="str">
        <f t="shared" si="15"/>
        <v>0</v>
      </c>
      <c r="AS28" s="366"/>
      <c r="AT28" s="367"/>
      <c r="AU28" s="371"/>
      <c r="AV28" s="367"/>
      <c r="AW28" s="371" t="str">
        <f t="shared" si="24"/>
        <v>Магистр прикладная математика</v>
      </c>
      <c r="AX28" s="372">
        <f>10*4325</f>
        <v>43250</v>
      </c>
      <c r="AY28" s="367"/>
      <c r="AZ28" s="367">
        <f t="shared" si="16"/>
        <v>235147.41949999996</v>
      </c>
      <c r="BA28" s="373">
        <f t="shared" si="17"/>
        <v>651845.40574999992</v>
      </c>
      <c r="BB28" s="374">
        <f t="shared" si="25"/>
        <v>65184.540574999992</v>
      </c>
      <c r="BC28" s="374">
        <f t="shared" si="26"/>
        <v>13036.908114999998</v>
      </c>
      <c r="BD28" s="374">
        <f t="shared" si="18"/>
        <v>51307.395705999996</v>
      </c>
      <c r="BE28" s="374">
        <f t="shared" si="27"/>
        <v>522316.56135399995</v>
      </c>
      <c r="BF28" s="374">
        <f t="shared" si="28"/>
        <v>7822144.868999999</v>
      </c>
      <c r="BG28" s="374">
        <f t="shared" si="19"/>
        <v>833395.97249999992</v>
      </c>
      <c r="BH28" s="374">
        <f t="shared" si="29"/>
        <v>8655540.8414999992</v>
      </c>
      <c r="BI28" s="374">
        <f t="shared" si="20"/>
        <v>302943.92945250002</v>
      </c>
      <c r="BJ28" s="374">
        <f t="shared" si="21"/>
        <v>450190.48672919988</v>
      </c>
      <c r="BK28" s="374">
        <f t="shared" si="30"/>
        <v>389499.33786750003</v>
      </c>
      <c r="BL28" s="374">
        <f t="shared" si="31"/>
        <v>259666.22524499998</v>
      </c>
      <c r="BM28" s="373">
        <f t="shared" si="22"/>
        <v>10057840.820794199</v>
      </c>
      <c r="BN28" s="375"/>
      <c r="BO28" s="376"/>
      <c r="BP28" s="376"/>
      <c r="BQ28" s="377"/>
      <c r="BR28" s="377"/>
      <c r="BS28" s="377"/>
      <c r="BT28" s="377"/>
      <c r="BU28" s="377"/>
      <c r="BV28" s="377"/>
      <c r="BW28" s="377"/>
      <c r="BX28" s="377"/>
      <c r="BY28" s="377"/>
      <c r="BZ28" s="377"/>
      <c r="CA28" s="377"/>
      <c r="CB28" s="377"/>
      <c r="CC28" s="377"/>
      <c r="CD28" s="377"/>
      <c r="CE28" s="377"/>
      <c r="CF28" s="377"/>
      <c r="CG28" s="377"/>
      <c r="CH28" s="377"/>
      <c r="CI28" s="377"/>
    </row>
    <row r="29" spans="1:87" ht="94.5" customHeight="1">
      <c r="A29" s="361">
        <f t="shared" si="32"/>
        <v>16</v>
      </c>
      <c r="B29" s="362">
        <f t="shared" si="32"/>
        <v>16</v>
      </c>
      <c r="C29" s="378" t="s">
        <v>455</v>
      </c>
      <c r="D29" s="379" t="s">
        <v>1036</v>
      </c>
      <c r="E29" s="392" t="s">
        <v>998</v>
      </c>
      <c r="F29" s="1314" t="s">
        <v>254</v>
      </c>
      <c r="G29" s="366"/>
      <c r="H29" s="371" t="s">
        <v>1405</v>
      </c>
      <c r="I29" s="366">
        <v>17697</v>
      </c>
      <c r="J29" s="367">
        <v>10.220000000000001</v>
      </c>
      <c r="K29" s="367">
        <f t="shared" si="23"/>
        <v>180863.34000000003</v>
      </c>
      <c r="L29" s="380"/>
      <c r="M29" s="380"/>
      <c r="N29" s="380"/>
      <c r="O29" s="380"/>
      <c r="P29" s="380"/>
      <c r="Q29" s="368">
        <f t="shared" si="0"/>
        <v>0</v>
      </c>
      <c r="R29" s="380">
        <v>12</v>
      </c>
      <c r="S29" s="380">
        <v>10</v>
      </c>
      <c r="T29" s="380"/>
      <c r="U29" s="380">
        <v>7</v>
      </c>
      <c r="V29" s="380">
        <v>7</v>
      </c>
      <c r="W29" s="381">
        <f>SUM(R29:V29)</f>
        <v>36</v>
      </c>
      <c r="X29" s="370">
        <f t="shared" si="2"/>
        <v>36</v>
      </c>
      <c r="Y29" s="367">
        <f t="shared" si="3"/>
        <v>406942.51500000007</v>
      </c>
      <c r="Z29" s="367">
        <f t="shared" si="4"/>
        <v>40694.251500000013</v>
      </c>
      <c r="AA29" s="366">
        <v>0</v>
      </c>
      <c r="AB29" s="367">
        <f t="shared" si="5"/>
        <v>0</v>
      </c>
      <c r="AC29" s="366">
        <v>0</v>
      </c>
      <c r="AD29" s="367">
        <f t="shared" si="6"/>
        <v>0</v>
      </c>
      <c r="AE29" s="366"/>
      <c r="AF29" s="366"/>
      <c r="AG29" s="367"/>
      <c r="AH29" s="366"/>
      <c r="AI29" s="367"/>
      <c r="AJ29" s="366">
        <f t="shared" si="7"/>
        <v>36</v>
      </c>
      <c r="AK29" s="367">
        <f t="shared" si="8"/>
        <v>15927.300000000001</v>
      </c>
      <c r="AL29" s="366">
        <f t="shared" si="9"/>
        <v>36</v>
      </c>
      <c r="AM29" s="367">
        <f t="shared" si="10"/>
        <v>122082.75450000001</v>
      </c>
      <c r="AN29" s="366" t="str">
        <f t="shared" si="11"/>
        <v>Педагог-модератор</v>
      </c>
      <c r="AO29" s="367" t="str">
        <f t="shared" si="12"/>
        <v>0</v>
      </c>
      <c r="AP29" s="367" t="str">
        <f t="shared" si="13"/>
        <v>0</v>
      </c>
      <c r="AQ29" s="367" t="str">
        <f t="shared" si="14"/>
        <v>0</v>
      </c>
      <c r="AR29" s="367">
        <f t="shared" si="15"/>
        <v>122082.75450000001</v>
      </c>
      <c r="AS29" s="366"/>
      <c r="AT29" s="367"/>
      <c r="AU29" s="371"/>
      <c r="AV29" s="367"/>
      <c r="AW29" s="371">
        <f t="shared" si="24"/>
        <v>0</v>
      </c>
      <c r="AX29" s="372"/>
      <c r="AY29" s="367"/>
      <c r="AZ29" s="367">
        <f t="shared" si="16"/>
        <v>300787.06050000002</v>
      </c>
      <c r="BA29" s="373">
        <f t="shared" si="17"/>
        <v>707729.57550000004</v>
      </c>
      <c r="BB29" s="374">
        <f t="shared" si="25"/>
        <v>70772.957550000006</v>
      </c>
      <c r="BC29" s="374">
        <f t="shared" si="26"/>
        <v>14154.59151</v>
      </c>
      <c r="BD29" s="374">
        <f t="shared" si="18"/>
        <v>56225.202643999997</v>
      </c>
      <c r="BE29" s="374">
        <f t="shared" si="27"/>
        <v>566576.82379599998</v>
      </c>
      <c r="BF29" s="374">
        <f t="shared" si="28"/>
        <v>8492754.9059999995</v>
      </c>
      <c r="BG29" s="374">
        <f t="shared" si="19"/>
        <v>813885.03000000014</v>
      </c>
      <c r="BH29" s="374">
        <f t="shared" si="29"/>
        <v>9306639.9359999988</v>
      </c>
      <c r="BI29" s="374">
        <f t="shared" si="20"/>
        <v>325732.39775999996</v>
      </c>
      <c r="BJ29" s="374">
        <f t="shared" si="21"/>
        <v>483874.49575079989</v>
      </c>
      <c r="BK29" s="374">
        <f t="shared" si="30"/>
        <v>418798.79712</v>
      </c>
      <c r="BL29" s="374">
        <f t="shared" si="31"/>
        <v>279199.19807999994</v>
      </c>
      <c r="BM29" s="373">
        <f t="shared" si="22"/>
        <v>10814244.824710798</v>
      </c>
      <c r="BN29" s="375"/>
      <c r="BO29" s="376"/>
      <c r="BP29" s="376"/>
      <c r="BQ29" s="377"/>
      <c r="BR29" s="377"/>
      <c r="BS29" s="377"/>
      <c r="BT29" s="377"/>
      <c r="BU29" s="377"/>
      <c r="BV29" s="377"/>
      <c r="BW29" s="377"/>
      <c r="BX29" s="377"/>
      <c r="BY29" s="377"/>
      <c r="BZ29" s="377"/>
      <c r="CA29" s="377"/>
      <c r="CB29" s="377"/>
      <c r="CC29" s="377"/>
      <c r="CD29" s="377"/>
      <c r="CE29" s="377"/>
      <c r="CF29" s="377"/>
      <c r="CG29" s="377"/>
      <c r="CH29" s="377"/>
      <c r="CI29" s="377"/>
    </row>
    <row r="30" spans="1:87" ht="47.25">
      <c r="A30" s="361">
        <f t="shared" si="32"/>
        <v>17</v>
      </c>
      <c r="B30" s="362">
        <f t="shared" si="32"/>
        <v>17</v>
      </c>
      <c r="C30" s="378" t="s">
        <v>267</v>
      </c>
      <c r="D30" s="379" t="s">
        <v>1037</v>
      </c>
      <c r="E30" s="392" t="s">
        <v>998</v>
      </c>
      <c r="F30" s="508" t="s">
        <v>999</v>
      </c>
      <c r="G30" s="366"/>
      <c r="H30" s="371" t="s">
        <v>1038</v>
      </c>
      <c r="I30" s="366">
        <v>17697</v>
      </c>
      <c r="J30" s="367">
        <v>11.4</v>
      </c>
      <c r="K30" s="367">
        <f t="shared" si="23"/>
        <v>201745.80000000002</v>
      </c>
      <c r="L30" s="366"/>
      <c r="M30" s="366"/>
      <c r="N30" s="366"/>
      <c r="O30" s="366"/>
      <c r="P30" s="366">
        <v>36</v>
      </c>
      <c r="Q30" s="368">
        <f t="shared" si="0"/>
        <v>36</v>
      </c>
      <c r="R30" s="366"/>
      <c r="S30" s="366"/>
      <c r="T30" s="366"/>
      <c r="U30" s="366"/>
      <c r="V30" s="366"/>
      <c r="W30" s="381">
        <f t="shared" si="1"/>
        <v>0</v>
      </c>
      <c r="X30" s="370">
        <f t="shared" si="2"/>
        <v>36</v>
      </c>
      <c r="Y30" s="367">
        <f t="shared" si="3"/>
        <v>453928.05000000005</v>
      </c>
      <c r="Z30" s="367">
        <f t="shared" si="4"/>
        <v>45392.805000000008</v>
      </c>
      <c r="AA30" s="366">
        <v>0</v>
      </c>
      <c r="AB30" s="367">
        <f t="shared" si="5"/>
        <v>0</v>
      </c>
      <c r="AC30" s="366">
        <v>36</v>
      </c>
      <c r="AD30" s="367">
        <f t="shared" si="6"/>
        <v>7963.6500000000005</v>
      </c>
      <c r="AE30" s="366"/>
      <c r="AF30" s="366" t="s">
        <v>547</v>
      </c>
      <c r="AG30" s="367">
        <f t="shared" ref="AG30:AG35" si="34">17697*20%</f>
        <v>3539.4</v>
      </c>
      <c r="AH30" s="366"/>
      <c r="AI30" s="367"/>
      <c r="AJ30" s="366">
        <f t="shared" si="7"/>
        <v>36</v>
      </c>
      <c r="AK30" s="367">
        <f t="shared" si="8"/>
        <v>15927.300000000001</v>
      </c>
      <c r="AL30" s="366">
        <f t="shared" si="9"/>
        <v>36</v>
      </c>
      <c r="AM30" s="367">
        <f t="shared" si="10"/>
        <v>136178.41500000001</v>
      </c>
      <c r="AN30" s="366" t="str">
        <f t="shared" si="11"/>
        <v>Педагог-шебер</v>
      </c>
      <c r="AO30" s="367">
        <f t="shared" si="12"/>
        <v>226964.02500000002</v>
      </c>
      <c r="AP30" s="367" t="str">
        <f t="shared" si="13"/>
        <v>0</v>
      </c>
      <c r="AQ30" s="367" t="str">
        <f t="shared" si="14"/>
        <v>0</v>
      </c>
      <c r="AR30" s="367" t="str">
        <f t="shared" si="15"/>
        <v>0</v>
      </c>
      <c r="AS30" s="366"/>
      <c r="AT30" s="367"/>
      <c r="AU30" s="366"/>
      <c r="AV30" s="367"/>
      <c r="AW30" s="371">
        <f t="shared" si="24"/>
        <v>0</v>
      </c>
      <c r="AX30" s="372"/>
      <c r="AY30" s="367"/>
      <c r="AZ30" s="367">
        <f t="shared" si="16"/>
        <v>435965.59500000003</v>
      </c>
      <c r="BA30" s="373">
        <f t="shared" si="17"/>
        <v>889893.64500000002</v>
      </c>
      <c r="BB30" s="374">
        <f t="shared" si="25"/>
        <v>88989.364500000011</v>
      </c>
      <c r="BC30" s="374">
        <f t="shared" si="26"/>
        <v>17797.872900000002</v>
      </c>
      <c r="BD30" s="374">
        <f t="shared" si="18"/>
        <v>72255.640760000009</v>
      </c>
      <c r="BE30" s="374">
        <f t="shared" si="27"/>
        <v>710850.76684000005</v>
      </c>
      <c r="BF30" s="374">
        <f t="shared" si="28"/>
        <v>10678723.74</v>
      </c>
      <c r="BG30" s="374">
        <f t="shared" si="19"/>
        <v>907856.10000000009</v>
      </c>
      <c r="BH30" s="374">
        <f t="shared" si="29"/>
        <v>11586579.84</v>
      </c>
      <c r="BI30" s="374">
        <f t="shared" si="20"/>
        <v>405530.29440000001</v>
      </c>
      <c r="BJ30" s="374">
        <f t="shared" si="21"/>
        <v>602182.11913200002</v>
      </c>
      <c r="BK30" s="374">
        <f t="shared" si="30"/>
        <v>521396.09280000004</v>
      </c>
      <c r="BL30" s="374">
        <f t="shared" si="31"/>
        <v>347597.39519999997</v>
      </c>
      <c r="BM30" s="373">
        <f t="shared" si="22"/>
        <v>13463285.741532002</v>
      </c>
      <c r="BN30" s="375"/>
      <c r="BO30" s="376"/>
      <c r="BP30" s="376"/>
      <c r="BQ30" s="377"/>
      <c r="BR30" s="377"/>
      <c r="BS30" s="377"/>
      <c r="BT30" s="377"/>
      <c r="BU30" s="377"/>
      <c r="BV30" s="377"/>
      <c r="BW30" s="377"/>
      <c r="BX30" s="377"/>
      <c r="BY30" s="377"/>
      <c r="BZ30" s="377"/>
      <c r="CA30" s="377"/>
      <c r="CB30" s="377"/>
      <c r="CC30" s="377"/>
      <c r="CD30" s="377"/>
      <c r="CE30" s="377"/>
      <c r="CF30" s="377"/>
      <c r="CG30" s="377"/>
      <c r="CH30" s="377"/>
      <c r="CI30" s="377"/>
    </row>
    <row r="31" spans="1:87" ht="47.25">
      <c r="A31" s="361">
        <f t="shared" si="32"/>
        <v>18</v>
      </c>
      <c r="B31" s="362">
        <f t="shared" si="32"/>
        <v>18</v>
      </c>
      <c r="C31" s="378" t="s">
        <v>202</v>
      </c>
      <c r="D31" s="379" t="s">
        <v>1039</v>
      </c>
      <c r="E31" s="392" t="s">
        <v>998</v>
      </c>
      <c r="F31" s="508" t="s">
        <v>1011</v>
      </c>
      <c r="G31" s="366" t="s">
        <v>224</v>
      </c>
      <c r="H31" s="371" t="s">
        <v>1040</v>
      </c>
      <c r="I31" s="366">
        <v>17697</v>
      </c>
      <c r="J31" s="367">
        <v>11.4</v>
      </c>
      <c r="K31" s="367">
        <f t="shared" si="23"/>
        <v>201745.80000000002</v>
      </c>
      <c r="L31" s="366"/>
      <c r="M31" s="366"/>
      <c r="N31" s="366">
        <v>32</v>
      </c>
      <c r="O31" s="366"/>
      <c r="P31" s="366"/>
      <c r="Q31" s="368">
        <f t="shared" si="0"/>
        <v>32</v>
      </c>
      <c r="R31" s="366"/>
      <c r="S31" s="366"/>
      <c r="T31" s="366">
        <v>4</v>
      </c>
      <c r="U31" s="366"/>
      <c r="V31" s="366"/>
      <c r="W31" s="381">
        <f t="shared" si="1"/>
        <v>4</v>
      </c>
      <c r="X31" s="370">
        <f t="shared" si="2"/>
        <v>36</v>
      </c>
      <c r="Y31" s="367">
        <f t="shared" si="3"/>
        <v>453928.05000000005</v>
      </c>
      <c r="Z31" s="367">
        <f t="shared" si="4"/>
        <v>45392.805000000008</v>
      </c>
      <c r="AA31" s="366">
        <v>36</v>
      </c>
      <c r="AB31" s="367">
        <f t="shared" si="5"/>
        <v>15927.300000000001</v>
      </c>
      <c r="AC31" s="366">
        <v>0</v>
      </c>
      <c r="AD31" s="367">
        <f t="shared" si="6"/>
        <v>0</v>
      </c>
      <c r="AE31" s="366"/>
      <c r="AF31" s="366"/>
      <c r="AG31" s="367"/>
      <c r="AH31" s="366"/>
      <c r="AI31" s="367"/>
      <c r="AJ31" s="366">
        <f t="shared" si="7"/>
        <v>36</v>
      </c>
      <c r="AK31" s="367">
        <f t="shared" si="8"/>
        <v>15927.300000000001</v>
      </c>
      <c r="AL31" s="366">
        <f t="shared" si="9"/>
        <v>36</v>
      </c>
      <c r="AM31" s="367">
        <f t="shared" si="10"/>
        <v>136178.41500000001</v>
      </c>
      <c r="AN31" s="366" t="str">
        <f t="shared" si="11"/>
        <v>Педагог-сарапшы</v>
      </c>
      <c r="AO31" s="367" t="str">
        <f t="shared" si="12"/>
        <v>0</v>
      </c>
      <c r="AP31" s="367" t="str">
        <f t="shared" si="13"/>
        <v>0</v>
      </c>
      <c r="AQ31" s="367">
        <f t="shared" si="14"/>
        <v>158874.8175</v>
      </c>
      <c r="AR31" s="367" t="str">
        <f t="shared" si="15"/>
        <v>0</v>
      </c>
      <c r="AS31" s="366"/>
      <c r="AT31" s="367"/>
      <c r="AU31" s="371"/>
      <c r="AV31" s="367"/>
      <c r="AW31" s="371" t="str">
        <f t="shared" si="24"/>
        <v>Магистр-математика</v>
      </c>
      <c r="AX31" s="372">
        <f>10*4325</f>
        <v>43250</v>
      </c>
      <c r="AY31" s="367"/>
      <c r="AZ31" s="367">
        <f t="shared" si="16"/>
        <v>415550.63750000001</v>
      </c>
      <c r="BA31" s="373">
        <f t="shared" si="17"/>
        <v>869478.6875</v>
      </c>
      <c r="BB31" s="374">
        <f t="shared" si="25"/>
        <v>86947.868750000009</v>
      </c>
      <c r="BC31" s="374">
        <f t="shared" si="26"/>
        <v>17389.57375</v>
      </c>
      <c r="BD31" s="374">
        <f t="shared" si="18"/>
        <v>70459.124500000005</v>
      </c>
      <c r="BE31" s="374">
        <f t="shared" si="27"/>
        <v>694682.12049999996</v>
      </c>
      <c r="BF31" s="374">
        <f t="shared" si="28"/>
        <v>10433744.25</v>
      </c>
      <c r="BG31" s="374">
        <f t="shared" si="19"/>
        <v>907856.10000000009</v>
      </c>
      <c r="BH31" s="374">
        <f t="shared" si="29"/>
        <v>11341600.35</v>
      </c>
      <c r="BI31" s="374">
        <f t="shared" si="20"/>
        <v>396956.01225000003</v>
      </c>
      <c r="BJ31" s="374">
        <f t="shared" si="21"/>
        <v>589492.18154999986</v>
      </c>
      <c r="BK31" s="374">
        <f t="shared" si="30"/>
        <v>510372.01575000002</v>
      </c>
      <c r="BL31" s="374">
        <f t="shared" si="31"/>
        <v>340248.01049999997</v>
      </c>
      <c r="BM31" s="373">
        <f t="shared" si="22"/>
        <v>13178668.570050001</v>
      </c>
      <c r="BN31" s="375"/>
      <c r="BO31" s="376"/>
      <c r="BP31" s="376"/>
      <c r="BQ31" s="377"/>
      <c r="BR31" s="377"/>
      <c r="BS31" s="377"/>
      <c r="BT31" s="377"/>
      <c r="BU31" s="377"/>
      <c r="BV31" s="377"/>
      <c r="BW31" s="377"/>
      <c r="BX31" s="377"/>
      <c r="BY31" s="377"/>
      <c r="BZ31" s="377"/>
      <c r="CA31" s="377"/>
      <c r="CB31" s="377"/>
      <c r="CC31" s="377"/>
      <c r="CD31" s="377"/>
      <c r="CE31" s="377"/>
      <c r="CF31" s="377"/>
      <c r="CG31" s="377"/>
      <c r="CH31" s="377"/>
      <c r="CI31" s="377"/>
    </row>
    <row r="32" spans="1:87" ht="47.25">
      <c r="A32" s="361">
        <f t="shared" ref="A32:B44" si="35">A31+1</f>
        <v>19</v>
      </c>
      <c r="B32" s="362">
        <f t="shared" si="35"/>
        <v>19</v>
      </c>
      <c r="C32" s="378" t="s">
        <v>548</v>
      </c>
      <c r="D32" s="379" t="s">
        <v>1041</v>
      </c>
      <c r="E32" s="392" t="s">
        <v>998</v>
      </c>
      <c r="F32" s="508"/>
      <c r="G32" s="366"/>
      <c r="H32" s="371" t="s">
        <v>1406</v>
      </c>
      <c r="I32" s="366">
        <v>17697</v>
      </c>
      <c r="J32" s="367">
        <v>9.84</v>
      </c>
      <c r="K32" s="367">
        <f t="shared" si="23"/>
        <v>174138.48</v>
      </c>
      <c r="L32" s="366"/>
      <c r="M32" s="366"/>
      <c r="N32" s="366"/>
      <c r="O32" s="366">
        <v>27</v>
      </c>
      <c r="P32" s="366"/>
      <c r="Q32" s="368">
        <f t="shared" si="0"/>
        <v>27</v>
      </c>
      <c r="R32" s="366"/>
      <c r="S32" s="366"/>
      <c r="T32" s="366"/>
      <c r="U32" s="366"/>
      <c r="V32" s="366"/>
      <c r="W32" s="381">
        <f t="shared" si="1"/>
        <v>0</v>
      </c>
      <c r="X32" s="370">
        <f t="shared" si="2"/>
        <v>27</v>
      </c>
      <c r="Y32" s="367">
        <f t="shared" si="3"/>
        <v>293858.685</v>
      </c>
      <c r="Z32" s="367">
        <f t="shared" si="4"/>
        <v>29385.8685</v>
      </c>
      <c r="AA32" s="366">
        <v>18</v>
      </c>
      <c r="AB32" s="367">
        <f t="shared" si="5"/>
        <v>7963.6500000000005</v>
      </c>
      <c r="AC32" s="366">
        <v>9</v>
      </c>
      <c r="AD32" s="367">
        <f t="shared" si="6"/>
        <v>1990.9125000000001</v>
      </c>
      <c r="AE32" s="366"/>
      <c r="AF32" s="366" t="s">
        <v>1043</v>
      </c>
      <c r="AG32" s="367">
        <f t="shared" si="34"/>
        <v>3539.4</v>
      </c>
      <c r="AH32" s="366"/>
      <c r="AI32" s="367"/>
      <c r="AJ32" s="366">
        <f t="shared" si="7"/>
        <v>27</v>
      </c>
      <c r="AK32" s="367">
        <f t="shared" si="8"/>
        <v>11945.475</v>
      </c>
      <c r="AL32" s="366">
        <f t="shared" si="9"/>
        <v>27</v>
      </c>
      <c r="AM32" s="367">
        <f t="shared" si="10"/>
        <v>88157.605499999991</v>
      </c>
      <c r="AN32" s="366">
        <f t="shared" si="11"/>
        <v>0</v>
      </c>
      <c r="AO32" s="367" t="str">
        <f t="shared" si="12"/>
        <v>0</v>
      </c>
      <c r="AP32" s="367" t="str">
        <f t="shared" si="13"/>
        <v>0</v>
      </c>
      <c r="AQ32" s="367" t="str">
        <f t="shared" si="14"/>
        <v>0</v>
      </c>
      <c r="AR32" s="367" t="str">
        <f t="shared" si="15"/>
        <v>0</v>
      </c>
      <c r="AS32" s="366"/>
      <c r="AT32" s="367"/>
      <c r="AU32" s="371"/>
      <c r="AV32" s="367"/>
      <c r="AW32" s="371">
        <f t="shared" si="24"/>
        <v>0</v>
      </c>
      <c r="AX32" s="372"/>
      <c r="AY32" s="367"/>
      <c r="AZ32" s="367">
        <f t="shared" si="16"/>
        <v>142982.91149999999</v>
      </c>
      <c r="BA32" s="373">
        <f t="shared" si="17"/>
        <v>436841.59649999999</v>
      </c>
      <c r="BB32" s="374">
        <f t="shared" si="25"/>
        <v>43684.159650000001</v>
      </c>
      <c r="BC32" s="374">
        <f t="shared" si="26"/>
        <v>8736.8319300000003</v>
      </c>
      <c r="BD32" s="374">
        <f t="shared" si="18"/>
        <v>32387.060492000004</v>
      </c>
      <c r="BE32" s="374">
        <f t="shared" si="27"/>
        <v>352033.54442799999</v>
      </c>
      <c r="BF32" s="374">
        <f t="shared" si="28"/>
        <v>5242099.1579999998</v>
      </c>
      <c r="BG32" s="374">
        <f t="shared" si="19"/>
        <v>587717.37</v>
      </c>
      <c r="BH32" s="374">
        <f t="shared" si="29"/>
        <v>5829816.5279999999</v>
      </c>
      <c r="BI32" s="374">
        <f t="shared" si="20"/>
        <v>204043.57848000003</v>
      </c>
      <c r="BJ32" s="374">
        <f t="shared" si="21"/>
        <v>303277.47436439991</v>
      </c>
      <c r="BK32" s="374">
        <f t="shared" si="30"/>
        <v>262341.74375999998</v>
      </c>
      <c r="BL32" s="374">
        <f t="shared" si="31"/>
        <v>174894.49583999999</v>
      </c>
      <c r="BM32" s="373">
        <f t="shared" si="22"/>
        <v>6774373.8204443995</v>
      </c>
      <c r="BN32" s="375">
        <v>0.5</v>
      </c>
      <c r="BO32" s="376"/>
      <c r="BP32" s="376"/>
      <c r="BQ32" s="377"/>
      <c r="BR32" s="377"/>
      <c r="BS32" s="377"/>
      <c r="BT32" s="377"/>
      <c r="BU32" s="377"/>
      <c r="BV32" s="377"/>
      <c r="BW32" s="377"/>
      <c r="BX32" s="377"/>
      <c r="BY32" s="377"/>
      <c r="BZ32" s="377"/>
      <c r="CA32" s="377"/>
      <c r="CB32" s="377"/>
      <c r="CC32" s="377"/>
      <c r="CD32" s="377"/>
      <c r="CE32" s="377"/>
      <c r="CF32" s="377"/>
      <c r="CG32" s="377"/>
      <c r="CH32" s="377"/>
      <c r="CI32" s="377"/>
    </row>
    <row r="33" spans="1:87" ht="47.25">
      <c r="A33" s="361">
        <f t="shared" si="35"/>
        <v>20</v>
      </c>
      <c r="B33" s="362">
        <f t="shared" si="35"/>
        <v>20</v>
      </c>
      <c r="C33" s="378" t="s">
        <v>1044</v>
      </c>
      <c r="D33" s="379" t="s">
        <v>1045</v>
      </c>
      <c r="E33" s="392" t="s">
        <v>998</v>
      </c>
      <c r="F33" s="1314" t="s">
        <v>254</v>
      </c>
      <c r="G33" s="394" t="s">
        <v>1046</v>
      </c>
      <c r="H33" s="371" t="s">
        <v>1407</v>
      </c>
      <c r="I33" s="366">
        <v>17697</v>
      </c>
      <c r="J33" s="367">
        <v>10.4</v>
      </c>
      <c r="K33" s="367">
        <f t="shared" si="23"/>
        <v>184048.80000000002</v>
      </c>
      <c r="L33" s="366">
        <v>32</v>
      </c>
      <c r="M33" s="366"/>
      <c r="N33" s="366"/>
      <c r="O33" s="366"/>
      <c r="P33" s="366"/>
      <c r="Q33" s="368">
        <f t="shared" si="0"/>
        <v>32</v>
      </c>
      <c r="R33" s="366">
        <v>4</v>
      </c>
      <c r="S33" s="366"/>
      <c r="T33" s="366"/>
      <c r="U33" s="366"/>
      <c r="V33" s="366"/>
      <c r="W33" s="381">
        <f>SUM(R33:V33)</f>
        <v>4</v>
      </c>
      <c r="X33" s="370">
        <f t="shared" si="2"/>
        <v>36</v>
      </c>
      <c r="Y33" s="367">
        <f t="shared" si="3"/>
        <v>414109.80000000005</v>
      </c>
      <c r="Z33" s="367">
        <f t="shared" si="4"/>
        <v>41410.98000000001</v>
      </c>
      <c r="AA33" s="366">
        <v>0</v>
      </c>
      <c r="AB33" s="367">
        <f t="shared" si="5"/>
        <v>0</v>
      </c>
      <c r="AC33" s="366">
        <v>36</v>
      </c>
      <c r="AD33" s="367">
        <f t="shared" si="6"/>
        <v>7963.6500000000005</v>
      </c>
      <c r="AE33" s="366"/>
      <c r="AF33" s="366"/>
      <c r="AG33" s="367"/>
      <c r="AH33" s="366"/>
      <c r="AI33" s="367"/>
      <c r="AJ33" s="366">
        <f t="shared" si="7"/>
        <v>36</v>
      </c>
      <c r="AK33" s="367">
        <f t="shared" si="8"/>
        <v>15927.300000000001</v>
      </c>
      <c r="AL33" s="366">
        <f t="shared" si="9"/>
        <v>36</v>
      </c>
      <c r="AM33" s="367">
        <f t="shared" si="10"/>
        <v>124232.94</v>
      </c>
      <c r="AN33" s="366" t="str">
        <f t="shared" si="11"/>
        <v>Педагог-модератор</v>
      </c>
      <c r="AO33" s="367" t="str">
        <f t="shared" si="12"/>
        <v>0</v>
      </c>
      <c r="AP33" s="367" t="str">
        <f t="shared" si="13"/>
        <v>0</v>
      </c>
      <c r="AQ33" s="367" t="str">
        <f t="shared" si="14"/>
        <v>0</v>
      </c>
      <c r="AR33" s="367">
        <f t="shared" si="15"/>
        <v>124232.94</v>
      </c>
      <c r="AS33" s="366"/>
      <c r="AT33" s="367"/>
      <c r="AU33" s="371"/>
      <c r="AV33" s="367"/>
      <c r="AW33" s="371" t="str">
        <f t="shared" si="24"/>
        <v>Магистр педагогических наук</v>
      </c>
      <c r="AX33" s="372">
        <f>10*4325</f>
        <v>43250</v>
      </c>
      <c r="AY33" s="367"/>
      <c r="AZ33" s="367">
        <f t="shared" si="16"/>
        <v>357017.81000000006</v>
      </c>
      <c r="BA33" s="373">
        <f t="shared" si="17"/>
        <v>771127.6100000001</v>
      </c>
      <c r="BB33" s="374">
        <f t="shared" si="25"/>
        <v>77112.761000000013</v>
      </c>
      <c r="BC33" s="374">
        <f t="shared" si="26"/>
        <v>15422.552200000002</v>
      </c>
      <c r="BD33" s="374">
        <f t="shared" si="18"/>
        <v>61804.229680000004</v>
      </c>
      <c r="BE33" s="374">
        <f t="shared" si="27"/>
        <v>616788.06712000002</v>
      </c>
      <c r="BF33" s="374">
        <f t="shared" si="28"/>
        <v>9253531.3200000003</v>
      </c>
      <c r="BG33" s="374">
        <f t="shared" si="19"/>
        <v>828219.60000000009</v>
      </c>
      <c r="BH33" s="374">
        <f t="shared" si="29"/>
        <v>10081750.92</v>
      </c>
      <c r="BI33" s="374">
        <f t="shared" si="20"/>
        <v>352861.28220000002</v>
      </c>
      <c r="BJ33" s="374">
        <f t="shared" si="21"/>
        <v>524056.780776</v>
      </c>
      <c r="BK33" s="374">
        <f t="shared" si="30"/>
        <v>453678.79139999999</v>
      </c>
      <c r="BL33" s="374">
        <f t="shared" si="31"/>
        <v>302452.52759999997</v>
      </c>
      <c r="BM33" s="373">
        <f t="shared" si="22"/>
        <v>11714800.301975999</v>
      </c>
      <c r="BN33" s="375"/>
      <c r="BO33" s="376"/>
      <c r="BP33" s="376"/>
      <c r="BQ33" s="377"/>
      <c r="BR33" s="377"/>
      <c r="BS33" s="377"/>
      <c r="BT33" s="377"/>
      <c r="BU33" s="377"/>
      <c r="BV33" s="377"/>
      <c r="BW33" s="377"/>
      <c r="BX33" s="377"/>
      <c r="BY33" s="377"/>
      <c r="BZ33" s="377"/>
      <c r="CA33" s="377"/>
      <c r="CB33" s="377"/>
      <c r="CC33" s="377"/>
      <c r="CD33" s="377"/>
      <c r="CE33" s="377"/>
      <c r="CF33" s="377"/>
      <c r="CG33" s="377"/>
      <c r="CH33" s="377"/>
      <c r="CI33" s="377"/>
    </row>
    <row r="34" spans="1:87" ht="47.25">
      <c r="A34" s="361">
        <f t="shared" si="35"/>
        <v>21</v>
      </c>
      <c r="B34" s="362">
        <f t="shared" si="35"/>
        <v>21</v>
      </c>
      <c r="C34" s="378" t="s">
        <v>1047</v>
      </c>
      <c r="D34" s="379" t="s">
        <v>1048</v>
      </c>
      <c r="E34" s="392" t="s">
        <v>998</v>
      </c>
      <c r="F34" s="1315"/>
      <c r="G34" s="394"/>
      <c r="H34" s="395" t="s">
        <v>1403</v>
      </c>
      <c r="I34" s="394">
        <v>17697</v>
      </c>
      <c r="J34" s="367">
        <v>9.5</v>
      </c>
      <c r="K34" s="367">
        <f t="shared" si="23"/>
        <v>168121.5</v>
      </c>
      <c r="L34" s="366">
        <v>16</v>
      </c>
      <c r="M34" s="366"/>
      <c r="N34" s="366">
        <v>8</v>
      </c>
      <c r="O34" s="366"/>
      <c r="P34" s="366"/>
      <c r="Q34" s="368">
        <f t="shared" si="0"/>
        <v>24</v>
      </c>
      <c r="R34" s="366">
        <v>2</v>
      </c>
      <c r="S34" s="366"/>
      <c r="T34" s="366">
        <v>1</v>
      </c>
      <c r="U34" s="366"/>
      <c r="V34" s="366"/>
      <c r="W34" s="381">
        <f>SUM(R34:V34)</f>
        <v>3</v>
      </c>
      <c r="X34" s="370">
        <f t="shared" si="2"/>
        <v>27</v>
      </c>
      <c r="Y34" s="367">
        <f t="shared" si="3"/>
        <v>283705.03125</v>
      </c>
      <c r="Z34" s="367">
        <f t="shared" si="4"/>
        <v>28370.503125000003</v>
      </c>
      <c r="AA34" s="366">
        <v>9</v>
      </c>
      <c r="AB34" s="367">
        <f t="shared" si="5"/>
        <v>3981.8250000000003</v>
      </c>
      <c r="AC34" s="366">
        <v>18</v>
      </c>
      <c r="AD34" s="367">
        <f t="shared" si="6"/>
        <v>3981.8250000000003</v>
      </c>
      <c r="AE34" s="366"/>
      <c r="AF34" s="366"/>
      <c r="AG34" s="367"/>
      <c r="AH34" s="366"/>
      <c r="AI34" s="367"/>
      <c r="AJ34" s="366">
        <f t="shared" si="7"/>
        <v>27</v>
      </c>
      <c r="AK34" s="367">
        <f t="shared" si="8"/>
        <v>11945.475</v>
      </c>
      <c r="AL34" s="366">
        <f t="shared" si="9"/>
        <v>27</v>
      </c>
      <c r="AM34" s="367">
        <f t="shared" si="10"/>
        <v>85111.509374999994</v>
      </c>
      <c r="AN34" s="366">
        <f t="shared" si="11"/>
        <v>0</v>
      </c>
      <c r="AO34" s="367" t="str">
        <f t="shared" si="12"/>
        <v>0</v>
      </c>
      <c r="AP34" s="367" t="str">
        <f t="shared" si="13"/>
        <v>0</v>
      </c>
      <c r="AQ34" s="367" t="str">
        <f t="shared" si="14"/>
        <v>0</v>
      </c>
      <c r="AR34" s="367" t="str">
        <f t="shared" si="15"/>
        <v>0</v>
      </c>
      <c r="AS34" s="366"/>
      <c r="AT34" s="367"/>
      <c r="AU34" s="371"/>
      <c r="AV34" s="367"/>
      <c r="AW34" s="371">
        <f t="shared" si="24"/>
        <v>0</v>
      </c>
      <c r="AX34" s="372"/>
      <c r="AY34" s="367"/>
      <c r="AZ34" s="367">
        <f t="shared" si="16"/>
        <v>133391.13750000001</v>
      </c>
      <c r="BA34" s="373">
        <f t="shared" si="17"/>
        <v>417096.16875000001</v>
      </c>
      <c r="BB34" s="374">
        <f t="shared" si="25"/>
        <v>41709.616875000007</v>
      </c>
      <c r="BC34" s="374">
        <f t="shared" si="26"/>
        <v>8341.9233750000003</v>
      </c>
      <c r="BD34" s="374">
        <f t="shared" si="18"/>
        <v>30649.46285</v>
      </c>
      <c r="BE34" s="374">
        <f t="shared" si="27"/>
        <v>336395.16564999998</v>
      </c>
      <c r="BF34" s="374">
        <f t="shared" si="28"/>
        <v>5005154.0250000004</v>
      </c>
      <c r="BG34" s="374">
        <f t="shared" si="19"/>
        <v>567410.0625</v>
      </c>
      <c r="BH34" s="374">
        <f t="shared" si="29"/>
        <v>5572564.0875000004</v>
      </c>
      <c r="BI34" s="374">
        <f t="shared" si="20"/>
        <v>195039.74306250003</v>
      </c>
      <c r="BJ34" s="374">
        <f t="shared" si="21"/>
        <v>289907.12187000003</v>
      </c>
      <c r="BK34" s="374">
        <f t="shared" si="30"/>
        <v>250765.38393750007</v>
      </c>
      <c r="BL34" s="374">
        <f t="shared" si="31"/>
        <v>167176.92262500001</v>
      </c>
      <c r="BM34" s="373">
        <f t="shared" si="22"/>
        <v>6475453.2589950003</v>
      </c>
      <c r="BN34" s="375"/>
      <c r="BO34" s="376"/>
      <c r="BP34" s="376"/>
      <c r="BQ34" s="377"/>
      <c r="BR34" s="377"/>
      <c r="BS34" s="377"/>
      <c r="BT34" s="377"/>
      <c r="BU34" s="377"/>
      <c r="BV34" s="377"/>
      <c r="BW34" s="377"/>
      <c r="BX34" s="377"/>
      <c r="BY34" s="377"/>
      <c r="BZ34" s="377"/>
      <c r="CA34" s="377"/>
      <c r="CB34" s="377"/>
      <c r="CC34" s="377"/>
      <c r="CD34" s="377"/>
      <c r="CE34" s="377"/>
      <c r="CF34" s="377"/>
      <c r="CG34" s="377"/>
      <c r="CH34" s="377"/>
      <c r="CI34" s="377"/>
    </row>
    <row r="35" spans="1:87" ht="47.25">
      <c r="A35" s="361">
        <f t="shared" si="35"/>
        <v>22</v>
      </c>
      <c r="B35" s="362">
        <f t="shared" si="35"/>
        <v>22</v>
      </c>
      <c r="C35" s="378" t="s">
        <v>201</v>
      </c>
      <c r="D35" s="379" t="s">
        <v>1039</v>
      </c>
      <c r="E35" s="396" t="s">
        <v>998</v>
      </c>
      <c r="F35" s="1298" t="s">
        <v>1005</v>
      </c>
      <c r="G35" s="362"/>
      <c r="H35" s="397" t="s">
        <v>1049</v>
      </c>
      <c r="I35" s="362">
        <v>17697</v>
      </c>
      <c r="J35" s="398">
        <v>11.4</v>
      </c>
      <c r="K35" s="367">
        <f>I35*J35</f>
        <v>201745.80000000002</v>
      </c>
      <c r="L35" s="366"/>
      <c r="M35" s="366"/>
      <c r="N35" s="366">
        <v>32</v>
      </c>
      <c r="O35" s="366"/>
      <c r="P35" s="366"/>
      <c r="Q35" s="368">
        <f t="shared" si="0"/>
        <v>32</v>
      </c>
      <c r="R35" s="366"/>
      <c r="S35" s="366"/>
      <c r="T35" s="366">
        <v>4</v>
      </c>
      <c r="U35" s="366"/>
      <c r="V35" s="366"/>
      <c r="W35" s="381">
        <f>SUM(R35:V35)</f>
        <v>4</v>
      </c>
      <c r="X35" s="370">
        <f t="shared" si="2"/>
        <v>36</v>
      </c>
      <c r="Y35" s="367">
        <f t="shared" si="3"/>
        <v>453928.05000000005</v>
      </c>
      <c r="Z35" s="367">
        <f t="shared" si="4"/>
        <v>45392.805000000008</v>
      </c>
      <c r="AA35" s="366">
        <v>36</v>
      </c>
      <c r="AB35" s="367">
        <f>I35/16*AA35*40%</f>
        <v>15927.300000000001</v>
      </c>
      <c r="AC35" s="366"/>
      <c r="AD35" s="367">
        <f>I35/16*AC35*40%*50%</f>
        <v>0</v>
      </c>
      <c r="AE35" s="366"/>
      <c r="AF35" s="366" t="s">
        <v>546</v>
      </c>
      <c r="AG35" s="367">
        <f t="shared" si="34"/>
        <v>3539.4</v>
      </c>
      <c r="AH35" s="366" t="s">
        <v>1050</v>
      </c>
      <c r="AI35" s="367">
        <f>I35*200%</f>
        <v>35394</v>
      </c>
      <c r="AJ35" s="366">
        <f t="shared" si="7"/>
        <v>36</v>
      </c>
      <c r="AK35" s="367">
        <f>I35/16*AJ35*40%</f>
        <v>15927.300000000001</v>
      </c>
      <c r="AL35" s="366">
        <f t="shared" si="9"/>
        <v>36</v>
      </c>
      <c r="AM35" s="367">
        <f t="shared" si="10"/>
        <v>136178.41500000001</v>
      </c>
      <c r="AN35" s="366" t="str">
        <f t="shared" si="11"/>
        <v>Педагог-зерттеуші</v>
      </c>
      <c r="AO35" s="367" t="str">
        <f t="shared" si="12"/>
        <v>0</v>
      </c>
      <c r="AP35" s="367">
        <f t="shared" si="13"/>
        <v>181571.22000000003</v>
      </c>
      <c r="AQ35" s="367" t="str">
        <f t="shared" si="14"/>
        <v>0</v>
      </c>
      <c r="AR35" s="367" t="str">
        <f t="shared" si="15"/>
        <v>0</v>
      </c>
      <c r="AS35" s="366"/>
      <c r="AT35" s="367"/>
      <c r="AU35" s="371"/>
      <c r="AV35" s="367"/>
      <c r="AW35" s="371">
        <f t="shared" si="24"/>
        <v>0</v>
      </c>
      <c r="AX35" s="372"/>
      <c r="AY35" s="367">
        <v>17697</v>
      </c>
      <c r="AZ35" s="367">
        <f t="shared" si="16"/>
        <v>451627.44000000006</v>
      </c>
      <c r="BA35" s="373">
        <f t="shared" si="17"/>
        <v>905555.49000000011</v>
      </c>
      <c r="BB35" s="374">
        <f t="shared" si="25"/>
        <v>90555.549000000014</v>
      </c>
      <c r="BC35" s="374">
        <f t="shared" si="26"/>
        <v>18111.109800000002</v>
      </c>
      <c r="BD35" s="374">
        <f t="shared" si="18"/>
        <v>73633.883120000013</v>
      </c>
      <c r="BE35" s="374">
        <f t="shared" si="27"/>
        <v>723254.94808000012</v>
      </c>
      <c r="BF35" s="374">
        <f t="shared" si="28"/>
        <v>10866665.880000001</v>
      </c>
      <c r="BG35" s="374">
        <f t="shared" si="19"/>
        <v>907856.10000000009</v>
      </c>
      <c r="BH35" s="374">
        <f t="shared" si="29"/>
        <v>11774521.98</v>
      </c>
      <c r="BI35" s="374">
        <f t="shared" si="20"/>
        <v>412108.26930000004</v>
      </c>
      <c r="BJ35" s="374">
        <f t="shared" si="21"/>
        <v>611917.52198399999</v>
      </c>
      <c r="BK35" s="374">
        <f t="shared" si="30"/>
        <v>529853.48910000012</v>
      </c>
      <c r="BL35" s="374">
        <f t="shared" si="31"/>
        <v>353235.6594</v>
      </c>
      <c r="BM35" s="373">
        <f t="shared" si="22"/>
        <v>13681636.919784</v>
      </c>
      <c r="BN35" s="375"/>
      <c r="BO35" s="376"/>
      <c r="BP35" s="376"/>
      <c r="BQ35" s="377"/>
      <c r="BR35" s="377"/>
      <c r="BS35" s="377"/>
      <c r="BT35" s="377"/>
      <c r="BU35" s="377"/>
      <c r="BV35" s="377"/>
      <c r="BW35" s="377"/>
      <c r="BX35" s="377"/>
      <c r="BY35" s="377"/>
      <c r="BZ35" s="377"/>
      <c r="CA35" s="377"/>
      <c r="CB35" s="377"/>
      <c r="CC35" s="377"/>
      <c r="CD35" s="377"/>
      <c r="CE35" s="377"/>
      <c r="CF35" s="377"/>
      <c r="CG35" s="377"/>
      <c r="CH35" s="377"/>
      <c r="CI35" s="377"/>
    </row>
    <row r="36" spans="1:87" ht="47.25">
      <c r="A36" s="361">
        <f t="shared" si="35"/>
        <v>23</v>
      </c>
      <c r="B36" s="362">
        <f t="shared" si="35"/>
        <v>23</v>
      </c>
      <c r="C36" s="378" t="s">
        <v>916</v>
      </c>
      <c r="D36" s="379" t="s">
        <v>1051</v>
      </c>
      <c r="E36" s="396" t="s">
        <v>998</v>
      </c>
      <c r="F36" s="1314" t="s">
        <v>254</v>
      </c>
      <c r="G36" s="362"/>
      <c r="H36" s="397" t="s">
        <v>1408</v>
      </c>
      <c r="I36" s="362">
        <v>17697</v>
      </c>
      <c r="J36" s="399">
        <v>9.84</v>
      </c>
      <c r="K36" s="367">
        <f>I36*J36</f>
        <v>174138.48</v>
      </c>
      <c r="L36" s="366"/>
      <c r="M36" s="366"/>
      <c r="N36" s="366"/>
      <c r="O36" s="366">
        <v>9</v>
      </c>
      <c r="P36" s="366">
        <v>18</v>
      </c>
      <c r="Q36" s="368">
        <f t="shared" si="0"/>
        <v>27</v>
      </c>
      <c r="R36" s="366"/>
      <c r="S36" s="366"/>
      <c r="T36" s="366"/>
      <c r="U36" s="366"/>
      <c r="V36" s="366"/>
      <c r="W36" s="381">
        <f>SUM(R36:V36)</f>
        <v>0</v>
      </c>
      <c r="X36" s="370">
        <f t="shared" si="2"/>
        <v>27</v>
      </c>
      <c r="Y36" s="367">
        <f t="shared" si="3"/>
        <v>293858.685</v>
      </c>
      <c r="Z36" s="367">
        <f t="shared" si="4"/>
        <v>29385.8685</v>
      </c>
      <c r="AA36" s="366">
        <v>18</v>
      </c>
      <c r="AB36" s="367">
        <f>I36/16*AA36*40%</f>
        <v>7963.6500000000005</v>
      </c>
      <c r="AC36" s="366">
        <v>9</v>
      </c>
      <c r="AD36" s="367">
        <f>I36/16*AC36*40%*50%</f>
        <v>1990.9125000000001</v>
      </c>
      <c r="AE36" s="366"/>
      <c r="AF36" s="366"/>
      <c r="AG36" s="367"/>
      <c r="AH36" s="366"/>
      <c r="AI36" s="367"/>
      <c r="AJ36" s="366">
        <f t="shared" si="7"/>
        <v>27</v>
      </c>
      <c r="AK36" s="367">
        <f>I36/16*AJ36*40%</f>
        <v>11945.475</v>
      </c>
      <c r="AL36" s="366">
        <f t="shared" si="9"/>
        <v>27</v>
      </c>
      <c r="AM36" s="367">
        <f t="shared" si="10"/>
        <v>88157.605499999991</v>
      </c>
      <c r="AN36" s="366" t="str">
        <f t="shared" si="11"/>
        <v>Педагог-модератор</v>
      </c>
      <c r="AO36" s="367" t="str">
        <f t="shared" si="12"/>
        <v>0</v>
      </c>
      <c r="AP36" s="367" t="str">
        <f t="shared" si="13"/>
        <v>0</v>
      </c>
      <c r="AQ36" s="367" t="str">
        <f t="shared" si="14"/>
        <v>0</v>
      </c>
      <c r="AR36" s="367">
        <f t="shared" si="15"/>
        <v>88157.605499999991</v>
      </c>
      <c r="AS36" s="366"/>
      <c r="AT36" s="367"/>
      <c r="AU36" s="371"/>
      <c r="AV36" s="367"/>
      <c r="AW36" s="371">
        <f t="shared" si="24"/>
        <v>0</v>
      </c>
      <c r="AX36" s="372"/>
      <c r="AY36" s="367"/>
      <c r="AZ36" s="367">
        <f t="shared" si="16"/>
        <v>227601.11699999997</v>
      </c>
      <c r="BA36" s="373">
        <f t="shared" si="17"/>
        <v>521459.80199999997</v>
      </c>
      <c r="BB36" s="374">
        <f t="shared" si="25"/>
        <v>52145.980199999998</v>
      </c>
      <c r="BC36" s="374">
        <f t="shared" si="26"/>
        <v>10429.196039999999</v>
      </c>
      <c r="BD36" s="374">
        <f t="shared" si="18"/>
        <v>39833.462575999998</v>
      </c>
      <c r="BE36" s="374">
        <f t="shared" si="27"/>
        <v>419051.16318399995</v>
      </c>
      <c r="BF36" s="374">
        <f t="shared" si="28"/>
        <v>6257517.6239999998</v>
      </c>
      <c r="BG36" s="374">
        <f t="shared" si="19"/>
        <v>587717.37</v>
      </c>
      <c r="BH36" s="374">
        <f t="shared" si="29"/>
        <v>6845234.9939999999</v>
      </c>
      <c r="BI36" s="374">
        <f t="shared" si="20"/>
        <v>239583.22479000001</v>
      </c>
      <c r="BJ36" s="374">
        <f t="shared" si="21"/>
        <v>355876.15090320003</v>
      </c>
      <c r="BK36" s="374">
        <f t="shared" si="30"/>
        <v>308035.57472999999</v>
      </c>
      <c r="BL36" s="374">
        <f t="shared" si="31"/>
        <v>205357.04981999999</v>
      </c>
      <c r="BM36" s="373">
        <f t="shared" si="22"/>
        <v>7954086.9942431999</v>
      </c>
      <c r="BN36" s="385">
        <v>0.25</v>
      </c>
      <c r="BO36" s="376"/>
      <c r="BP36" s="376"/>
      <c r="BQ36" s="377"/>
      <c r="BR36" s="377"/>
      <c r="BS36" s="377"/>
      <c r="BT36" s="377"/>
      <c r="BU36" s="377"/>
      <c r="BV36" s="377"/>
      <c r="BW36" s="377"/>
      <c r="BX36" s="377"/>
      <c r="BY36" s="377"/>
      <c r="BZ36" s="377"/>
      <c r="CA36" s="377"/>
      <c r="CB36" s="377"/>
      <c r="CC36" s="377"/>
      <c r="CD36" s="377"/>
      <c r="CE36" s="377"/>
      <c r="CF36" s="377"/>
      <c r="CG36" s="377"/>
      <c r="CH36" s="377"/>
      <c r="CI36" s="377"/>
    </row>
    <row r="37" spans="1:87" ht="63">
      <c r="A37" s="361">
        <f t="shared" si="35"/>
        <v>24</v>
      </c>
      <c r="B37" s="362">
        <f t="shared" si="35"/>
        <v>24</v>
      </c>
      <c r="C37" s="378" t="s">
        <v>112</v>
      </c>
      <c r="D37" s="379" t="s">
        <v>1052</v>
      </c>
      <c r="E37" s="396" t="s">
        <v>998</v>
      </c>
      <c r="F37" s="1298" t="s">
        <v>1005</v>
      </c>
      <c r="G37" s="362"/>
      <c r="H37" s="397" t="s">
        <v>1053</v>
      </c>
      <c r="I37" s="362">
        <v>17697</v>
      </c>
      <c r="J37" s="399">
        <v>11.4</v>
      </c>
      <c r="K37" s="367">
        <f t="shared" si="23"/>
        <v>201745.80000000002</v>
      </c>
      <c r="L37" s="366">
        <v>24</v>
      </c>
      <c r="M37" s="366"/>
      <c r="N37" s="366"/>
      <c r="O37" s="366">
        <v>9</v>
      </c>
      <c r="P37" s="366"/>
      <c r="Q37" s="368">
        <f t="shared" si="0"/>
        <v>33</v>
      </c>
      <c r="R37" s="366">
        <v>3</v>
      </c>
      <c r="S37" s="366"/>
      <c r="T37" s="366"/>
      <c r="U37" s="366"/>
      <c r="V37" s="366"/>
      <c r="W37" s="381">
        <f t="shared" si="1"/>
        <v>3</v>
      </c>
      <c r="X37" s="370">
        <f t="shared" si="2"/>
        <v>36</v>
      </c>
      <c r="Y37" s="367">
        <f t="shared" si="3"/>
        <v>453928.05000000005</v>
      </c>
      <c r="Z37" s="367">
        <f t="shared" si="4"/>
        <v>45392.805000000008</v>
      </c>
      <c r="AA37" s="366">
        <v>0</v>
      </c>
      <c r="AB37" s="367">
        <f t="shared" si="5"/>
        <v>0</v>
      </c>
      <c r="AC37" s="366">
        <v>36</v>
      </c>
      <c r="AD37" s="367">
        <f t="shared" si="6"/>
        <v>7963.6500000000005</v>
      </c>
      <c r="AE37" s="366"/>
      <c r="AF37" s="366" t="s">
        <v>1054</v>
      </c>
      <c r="AG37" s="367">
        <f>17697*20%</f>
        <v>3539.4</v>
      </c>
      <c r="AH37" s="366" t="s">
        <v>1055</v>
      </c>
      <c r="AI37" s="367">
        <f>I37*200%</f>
        <v>35394</v>
      </c>
      <c r="AJ37" s="366">
        <f t="shared" si="7"/>
        <v>36</v>
      </c>
      <c r="AK37" s="367">
        <f t="shared" si="8"/>
        <v>15927.300000000001</v>
      </c>
      <c r="AL37" s="366">
        <f t="shared" si="9"/>
        <v>36</v>
      </c>
      <c r="AM37" s="367">
        <f t="shared" si="10"/>
        <v>136178.41500000001</v>
      </c>
      <c r="AN37" s="366" t="str">
        <f t="shared" si="11"/>
        <v>Педагог-зерттеуші</v>
      </c>
      <c r="AO37" s="367" t="str">
        <f t="shared" si="12"/>
        <v>0</v>
      </c>
      <c r="AP37" s="367">
        <f t="shared" si="13"/>
        <v>181571.22000000003</v>
      </c>
      <c r="AQ37" s="367" t="str">
        <f t="shared" si="14"/>
        <v>0</v>
      </c>
      <c r="AR37" s="367" t="str">
        <f t="shared" si="15"/>
        <v>0</v>
      </c>
      <c r="AS37" s="366"/>
      <c r="AT37" s="367"/>
      <c r="AU37" s="371"/>
      <c r="AV37" s="367"/>
      <c r="AW37" s="371">
        <f t="shared" si="24"/>
        <v>0</v>
      </c>
      <c r="AX37" s="372"/>
      <c r="AY37" s="367">
        <v>17697</v>
      </c>
      <c r="AZ37" s="367">
        <f t="shared" si="16"/>
        <v>443663.79000000004</v>
      </c>
      <c r="BA37" s="373">
        <f t="shared" si="17"/>
        <v>897591.84000000008</v>
      </c>
      <c r="BB37" s="374">
        <f t="shared" si="25"/>
        <v>89759.184000000008</v>
      </c>
      <c r="BC37" s="374">
        <f t="shared" si="26"/>
        <v>17951.836800000001</v>
      </c>
      <c r="BD37" s="374">
        <f t="shared" si="18"/>
        <v>72933.081920000011</v>
      </c>
      <c r="BE37" s="374">
        <f t="shared" si="27"/>
        <v>716947.73728</v>
      </c>
      <c r="BF37" s="374">
        <f t="shared" si="28"/>
        <v>10771102.080000002</v>
      </c>
      <c r="BG37" s="374">
        <f t="shared" si="19"/>
        <v>907856.10000000009</v>
      </c>
      <c r="BH37" s="374">
        <f t="shared" si="29"/>
        <v>11678958.180000002</v>
      </c>
      <c r="BI37" s="374">
        <f t="shared" si="20"/>
        <v>408763.53630000009</v>
      </c>
      <c r="BJ37" s="374">
        <f t="shared" si="21"/>
        <v>606967.3171440002</v>
      </c>
      <c r="BK37" s="374">
        <f t="shared" si="30"/>
        <v>525553.11810000008</v>
      </c>
      <c r="BL37" s="374">
        <f t="shared" si="31"/>
        <v>350368.74540000001</v>
      </c>
      <c r="BM37" s="373">
        <f t="shared" si="22"/>
        <v>13570610.896944003</v>
      </c>
      <c r="BN37" s="375"/>
      <c r="BO37" s="376"/>
      <c r="BP37" s="376"/>
      <c r="BQ37" s="377"/>
      <c r="BR37" s="377"/>
      <c r="BS37" s="377"/>
      <c r="BT37" s="377"/>
      <c r="BU37" s="377"/>
      <c r="BV37" s="377"/>
      <c r="BW37" s="377"/>
      <c r="BX37" s="377"/>
      <c r="BY37" s="377"/>
      <c r="BZ37" s="377"/>
      <c r="CA37" s="377"/>
      <c r="CB37" s="377"/>
      <c r="CC37" s="377"/>
      <c r="CD37" s="377"/>
      <c r="CE37" s="377"/>
      <c r="CF37" s="377"/>
      <c r="CG37" s="377"/>
      <c r="CH37" s="377"/>
      <c r="CI37" s="377"/>
    </row>
    <row r="38" spans="1:87" ht="94.5" customHeight="1">
      <c r="A38" s="361">
        <f t="shared" si="35"/>
        <v>25</v>
      </c>
      <c r="B38" s="362">
        <f t="shared" si="35"/>
        <v>25</v>
      </c>
      <c r="C38" s="378" t="s">
        <v>1056</v>
      </c>
      <c r="D38" s="379" t="s">
        <v>1057</v>
      </c>
      <c r="E38" s="396" t="s">
        <v>998</v>
      </c>
      <c r="F38" s="1298" t="s">
        <v>1005</v>
      </c>
      <c r="G38" s="362"/>
      <c r="H38" s="689" t="s">
        <v>1409</v>
      </c>
      <c r="I38" s="362">
        <v>17697</v>
      </c>
      <c r="J38" s="400">
        <v>10.6</v>
      </c>
      <c r="K38" s="398">
        <f t="shared" si="23"/>
        <v>187588.19999999998</v>
      </c>
      <c r="L38" s="366">
        <v>8</v>
      </c>
      <c r="M38" s="366">
        <v>16</v>
      </c>
      <c r="N38" s="366"/>
      <c r="O38" s="366">
        <v>9</v>
      </c>
      <c r="P38" s="366"/>
      <c r="Q38" s="368">
        <f t="shared" si="0"/>
        <v>33</v>
      </c>
      <c r="R38" s="366">
        <v>1</v>
      </c>
      <c r="S38" s="366">
        <v>2</v>
      </c>
      <c r="T38" s="366"/>
      <c r="U38" s="366"/>
      <c r="V38" s="366"/>
      <c r="W38" s="381">
        <f>SUM(R38:V38)</f>
        <v>3</v>
      </c>
      <c r="X38" s="370">
        <f t="shared" si="2"/>
        <v>36</v>
      </c>
      <c r="Y38" s="367">
        <f t="shared" si="3"/>
        <v>422073.44999999995</v>
      </c>
      <c r="Z38" s="367">
        <f t="shared" si="4"/>
        <v>42207.345000000001</v>
      </c>
      <c r="AA38" s="366">
        <v>9</v>
      </c>
      <c r="AB38" s="367">
        <f t="shared" si="5"/>
        <v>3981.8250000000003</v>
      </c>
      <c r="AC38" s="366">
        <v>27</v>
      </c>
      <c r="AD38" s="367">
        <f t="shared" si="6"/>
        <v>5972.7375000000002</v>
      </c>
      <c r="AE38" s="366"/>
      <c r="AF38" s="366"/>
      <c r="AG38" s="367"/>
      <c r="AH38" s="366"/>
      <c r="AI38" s="367"/>
      <c r="AJ38" s="366">
        <f t="shared" si="7"/>
        <v>36</v>
      </c>
      <c r="AK38" s="367">
        <f t="shared" si="8"/>
        <v>15927.300000000001</v>
      </c>
      <c r="AL38" s="366">
        <f t="shared" si="9"/>
        <v>36</v>
      </c>
      <c r="AM38" s="367">
        <f t="shared" si="10"/>
        <v>126622.03499999997</v>
      </c>
      <c r="AN38" s="366" t="str">
        <f t="shared" si="11"/>
        <v>Педагог-зерттеуші</v>
      </c>
      <c r="AO38" s="367" t="str">
        <f t="shared" si="12"/>
        <v>0</v>
      </c>
      <c r="AP38" s="367">
        <f t="shared" si="13"/>
        <v>168829.38</v>
      </c>
      <c r="AQ38" s="367" t="str">
        <f t="shared" si="14"/>
        <v>0</v>
      </c>
      <c r="AR38" s="367" t="str">
        <f t="shared" si="15"/>
        <v>0</v>
      </c>
      <c r="AS38" s="366"/>
      <c r="AT38" s="367"/>
      <c r="AU38" s="371"/>
      <c r="AV38" s="367"/>
      <c r="AW38" s="371">
        <f t="shared" si="24"/>
        <v>0</v>
      </c>
      <c r="AX38" s="372"/>
      <c r="AY38" s="367"/>
      <c r="AZ38" s="367">
        <f t="shared" si="16"/>
        <v>363540.6225</v>
      </c>
      <c r="BA38" s="373">
        <f t="shared" si="17"/>
        <v>785614.07250000001</v>
      </c>
      <c r="BB38" s="374">
        <f t="shared" si="25"/>
        <v>78561.407250000004</v>
      </c>
      <c r="BC38" s="374">
        <f t="shared" si="26"/>
        <v>15712.28145</v>
      </c>
      <c r="BD38" s="374">
        <f t="shared" si="18"/>
        <v>63079.038379999998</v>
      </c>
      <c r="BE38" s="374">
        <f t="shared" si="27"/>
        <v>628261.34541999991</v>
      </c>
      <c r="BF38" s="374">
        <f t="shared" si="28"/>
        <v>9427368.870000001</v>
      </c>
      <c r="BG38" s="374">
        <f t="shared" si="19"/>
        <v>844146.89999999991</v>
      </c>
      <c r="BH38" s="374">
        <f t="shared" si="29"/>
        <v>10271515.770000001</v>
      </c>
      <c r="BI38" s="374">
        <f t="shared" si="20"/>
        <v>359503.05195000011</v>
      </c>
      <c r="BJ38" s="374">
        <f t="shared" si="21"/>
        <v>533921.64006600017</v>
      </c>
      <c r="BK38" s="374">
        <f t="shared" si="30"/>
        <v>462218.20965000009</v>
      </c>
      <c r="BL38" s="374">
        <f t="shared" si="31"/>
        <v>308145.4731</v>
      </c>
      <c r="BM38" s="373">
        <f t="shared" si="22"/>
        <v>11935304.144766001</v>
      </c>
      <c r="BN38" s="375"/>
      <c r="BO38" s="376"/>
      <c r="BP38" s="376"/>
      <c r="BQ38" s="377"/>
      <c r="BR38" s="377"/>
      <c r="BS38" s="377"/>
      <c r="BT38" s="377"/>
      <c r="BU38" s="377"/>
      <c r="BV38" s="377"/>
      <c r="BW38" s="377"/>
      <c r="BX38" s="377"/>
      <c r="BY38" s="377"/>
      <c r="BZ38" s="377"/>
      <c r="CA38" s="377"/>
      <c r="CB38" s="377"/>
      <c r="CC38" s="377"/>
      <c r="CD38" s="377"/>
      <c r="CE38" s="377"/>
      <c r="CF38" s="377"/>
      <c r="CG38" s="377"/>
      <c r="CH38" s="377"/>
      <c r="CI38" s="377"/>
    </row>
    <row r="39" spans="1:87" ht="57.75" customHeight="1">
      <c r="A39" s="361">
        <f t="shared" si="35"/>
        <v>26</v>
      </c>
      <c r="B39" s="362">
        <f t="shared" si="35"/>
        <v>26</v>
      </c>
      <c r="C39" s="378" t="s">
        <v>1058</v>
      </c>
      <c r="D39" s="379" t="s">
        <v>1059</v>
      </c>
      <c r="E39" s="396" t="s">
        <v>998</v>
      </c>
      <c r="F39" s="1316"/>
      <c r="G39" s="691"/>
      <c r="H39" s="692" t="s">
        <v>1410</v>
      </c>
      <c r="I39" s="691">
        <v>17697</v>
      </c>
      <c r="J39" s="693">
        <v>10</v>
      </c>
      <c r="K39" s="399">
        <f t="shared" si="23"/>
        <v>176970</v>
      </c>
      <c r="L39" s="366">
        <v>8</v>
      </c>
      <c r="M39" s="366">
        <v>16</v>
      </c>
      <c r="N39" s="366"/>
      <c r="O39" s="366"/>
      <c r="P39" s="366"/>
      <c r="Q39" s="368">
        <f t="shared" si="0"/>
        <v>24</v>
      </c>
      <c r="R39" s="366">
        <v>1</v>
      </c>
      <c r="S39" s="366">
        <v>2</v>
      </c>
      <c r="T39" s="366"/>
      <c r="U39" s="366"/>
      <c r="V39" s="366"/>
      <c r="W39" s="381">
        <f>SUM(R39:V39)</f>
        <v>3</v>
      </c>
      <c r="X39" s="370">
        <f t="shared" si="2"/>
        <v>27</v>
      </c>
      <c r="Y39" s="367">
        <f t="shared" si="3"/>
        <v>298636.875</v>
      </c>
      <c r="Z39" s="367">
        <f t="shared" si="4"/>
        <v>29863.6875</v>
      </c>
      <c r="AA39" s="366">
        <v>9</v>
      </c>
      <c r="AB39" s="367">
        <f t="shared" si="5"/>
        <v>3981.8250000000003</v>
      </c>
      <c r="AC39" s="366">
        <v>18</v>
      </c>
      <c r="AD39" s="367">
        <f t="shared" si="6"/>
        <v>3981.8250000000003</v>
      </c>
      <c r="AE39" s="366"/>
      <c r="AF39" s="366"/>
      <c r="AG39" s="367"/>
      <c r="AH39" s="366"/>
      <c r="AI39" s="367"/>
      <c r="AJ39" s="366">
        <f t="shared" si="7"/>
        <v>27</v>
      </c>
      <c r="AK39" s="367">
        <f t="shared" si="8"/>
        <v>11945.475</v>
      </c>
      <c r="AL39" s="366">
        <f t="shared" si="9"/>
        <v>27</v>
      </c>
      <c r="AM39" s="367">
        <f t="shared" si="10"/>
        <v>89591.0625</v>
      </c>
      <c r="AN39" s="366">
        <f t="shared" si="11"/>
        <v>0</v>
      </c>
      <c r="AO39" s="367" t="str">
        <f t="shared" si="12"/>
        <v>0</v>
      </c>
      <c r="AP39" s="367" t="str">
        <f t="shared" si="13"/>
        <v>0</v>
      </c>
      <c r="AQ39" s="367" t="str">
        <f t="shared" si="14"/>
        <v>0</v>
      </c>
      <c r="AR39" s="367" t="str">
        <f t="shared" si="15"/>
        <v>0</v>
      </c>
      <c r="AS39" s="366"/>
      <c r="AT39" s="367"/>
      <c r="AU39" s="371"/>
      <c r="AV39" s="367"/>
      <c r="AW39" s="371">
        <f t="shared" si="24"/>
        <v>0</v>
      </c>
      <c r="AX39" s="372"/>
      <c r="AY39" s="367"/>
      <c r="AZ39" s="367">
        <f t="shared" si="16"/>
        <v>139363.875</v>
      </c>
      <c r="BA39" s="373">
        <f t="shared" si="17"/>
        <v>438000.75</v>
      </c>
      <c r="BB39" s="374">
        <f t="shared" si="25"/>
        <v>43800.075000000004</v>
      </c>
      <c r="BC39" s="374">
        <f t="shared" si="26"/>
        <v>8760.0149999999994</v>
      </c>
      <c r="BD39" s="374">
        <f t="shared" si="18"/>
        <v>32489.065999999999</v>
      </c>
      <c r="BE39" s="374">
        <f t="shared" si="27"/>
        <v>352951.59399999998</v>
      </c>
      <c r="BF39" s="374">
        <f t="shared" si="28"/>
        <v>5256009</v>
      </c>
      <c r="BG39" s="374">
        <f t="shared" si="19"/>
        <v>597273.75</v>
      </c>
      <c r="BH39" s="374">
        <f t="shared" si="29"/>
        <v>5853282.75</v>
      </c>
      <c r="BI39" s="374">
        <f t="shared" si="20"/>
        <v>204864.89625000002</v>
      </c>
      <c r="BJ39" s="374">
        <f t="shared" si="21"/>
        <v>304514.04869999998</v>
      </c>
      <c r="BK39" s="374">
        <f t="shared" si="30"/>
        <v>263397.72375000006</v>
      </c>
      <c r="BL39" s="374">
        <f t="shared" si="31"/>
        <v>175598.48249999998</v>
      </c>
      <c r="BM39" s="373">
        <f t="shared" si="22"/>
        <v>6801657.9012000002</v>
      </c>
      <c r="BN39" s="375"/>
      <c r="BO39" s="376"/>
      <c r="BP39" s="376"/>
      <c r="BQ39" s="377"/>
      <c r="BR39" s="377"/>
      <c r="BS39" s="377"/>
      <c r="BT39" s="377"/>
      <c r="BU39" s="377"/>
      <c r="BV39" s="377"/>
      <c r="BW39" s="377"/>
      <c r="BX39" s="377"/>
      <c r="BY39" s="377"/>
      <c r="BZ39" s="377"/>
      <c r="CA39" s="377"/>
      <c r="CB39" s="377"/>
      <c r="CC39" s="377"/>
      <c r="CD39" s="377"/>
      <c r="CE39" s="377"/>
      <c r="CF39" s="377"/>
      <c r="CG39" s="377"/>
      <c r="CH39" s="377"/>
      <c r="CI39" s="377"/>
    </row>
    <row r="40" spans="1:87" ht="31.5">
      <c r="A40" s="361">
        <f t="shared" si="35"/>
        <v>27</v>
      </c>
      <c r="B40" s="362">
        <f t="shared" si="35"/>
        <v>27</v>
      </c>
      <c r="C40" s="384" t="s">
        <v>225</v>
      </c>
      <c r="D40" s="379" t="s">
        <v>1060</v>
      </c>
      <c r="E40" s="396" t="s">
        <v>998</v>
      </c>
      <c r="F40" s="1298" t="s">
        <v>1011</v>
      </c>
      <c r="G40" s="362" t="s">
        <v>224</v>
      </c>
      <c r="H40" s="397" t="s">
        <v>845</v>
      </c>
      <c r="I40" s="362">
        <v>17697</v>
      </c>
      <c r="J40" s="400">
        <v>10.220000000000001</v>
      </c>
      <c r="K40" s="400">
        <f t="shared" si="23"/>
        <v>180863.34000000003</v>
      </c>
      <c r="L40" s="401"/>
      <c r="M40" s="380"/>
      <c r="N40" s="380"/>
      <c r="O40" s="380"/>
      <c r="P40" s="380">
        <v>9</v>
      </c>
      <c r="Q40" s="368">
        <f t="shared" si="0"/>
        <v>9</v>
      </c>
      <c r="R40" s="380"/>
      <c r="S40" s="380"/>
      <c r="T40" s="380"/>
      <c r="U40" s="380"/>
      <c r="V40" s="380"/>
      <c r="W40" s="381">
        <f>SUM(R40:V40)</f>
        <v>0</v>
      </c>
      <c r="X40" s="370">
        <f t="shared" si="2"/>
        <v>9</v>
      </c>
      <c r="Y40" s="367">
        <f t="shared" si="3"/>
        <v>101735.62875000002</v>
      </c>
      <c r="Z40" s="367"/>
      <c r="AA40" s="366">
        <v>0</v>
      </c>
      <c r="AB40" s="367">
        <f t="shared" si="5"/>
        <v>0</v>
      </c>
      <c r="AC40" s="366">
        <v>9</v>
      </c>
      <c r="AD40" s="367">
        <f t="shared" si="6"/>
        <v>1990.9125000000001</v>
      </c>
      <c r="AE40" s="366"/>
      <c r="AF40" s="366"/>
      <c r="AG40" s="367"/>
      <c r="AH40" s="366"/>
      <c r="AI40" s="367"/>
      <c r="AJ40" s="366">
        <f t="shared" si="7"/>
        <v>9</v>
      </c>
      <c r="AK40" s="367">
        <f t="shared" si="8"/>
        <v>3981.8250000000003</v>
      </c>
      <c r="AL40" s="366">
        <f t="shared" si="9"/>
        <v>9</v>
      </c>
      <c r="AM40" s="367">
        <f t="shared" si="10"/>
        <v>30520.688625000003</v>
      </c>
      <c r="AN40" s="366" t="str">
        <f t="shared" si="11"/>
        <v>Педагог-сарапшы</v>
      </c>
      <c r="AO40" s="367" t="str">
        <f t="shared" si="12"/>
        <v>0</v>
      </c>
      <c r="AP40" s="367" t="str">
        <f t="shared" si="13"/>
        <v>0</v>
      </c>
      <c r="AQ40" s="367">
        <f t="shared" si="14"/>
        <v>35607.470062500004</v>
      </c>
      <c r="AR40" s="367" t="str">
        <f t="shared" si="15"/>
        <v>0</v>
      </c>
      <c r="AS40" s="366"/>
      <c r="AT40" s="367"/>
      <c r="AU40" s="371"/>
      <c r="AV40" s="367"/>
      <c r="AW40" s="371" t="str">
        <f t="shared" si="24"/>
        <v>Магистр-математика</v>
      </c>
      <c r="AX40" s="372">
        <f>10*4325</f>
        <v>43250</v>
      </c>
      <c r="AY40" s="367"/>
      <c r="AZ40" s="367">
        <f t="shared" si="16"/>
        <v>115350.89618750001</v>
      </c>
      <c r="BA40" s="373">
        <f t="shared" si="17"/>
        <v>217086.52493750001</v>
      </c>
      <c r="BB40" s="374">
        <f t="shared" si="25"/>
        <v>21708.652493750003</v>
      </c>
      <c r="BC40" s="374">
        <f t="shared" si="26"/>
        <v>4341.7304987500002</v>
      </c>
      <c r="BD40" s="374">
        <f t="shared" si="18"/>
        <v>13048.614194500002</v>
      </c>
      <c r="BE40" s="374">
        <f t="shared" si="27"/>
        <v>177987.52775050001</v>
      </c>
      <c r="BF40" s="374">
        <f t="shared" si="28"/>
        <v>2605038.2992500002</v>
      </c>
      <c r="BG40" s="374">
        <f t="shared" si="19"/>
        <v>203471.25750000004</v>
      </c>
      <c r="BH40" s="374">
        <f t="shared" si="29"/>
        <v>2808509.55675</v>
      </c>
      <c r="BI40" s="374">
        <f t="shared" si="20"/>
        <v>98297.834486250009</v>
      </c>
      <c r="BJ40" s="374">
        <f t="shared" si="21"/>
        <v>145928.43180615001</v>
      </c>
      <c r="BK40" s="374">
        <f t="shared" si="30"/>
        <v>126382.93005375001</v>
      </c>
      <c r="BL40" s="374">
        <f t="shared" si="31"/>
        <v>84255.286702500001</v>
      </c>
      <c r="BM40" s="373">
        <f t="shared" si="22"/>
        <v>3263374.03979865</v>
      </c>
      <c r="BN40" s="375">
        <v>1</v>
      </c>
      <c r="BO40" s="376"/>
      <c r="BP40" s="376"/>
      <c r="BQ40" s="377"/>
      <c r="BR40" s="377"/>
      <c r="BS40" s="377"/>
      <c r="BT40" s="377"/>
      <c r="BU40" s="377"/>
      <c r="BV40" s="377"/>
      <c r="BW40" s="377"/>
      <c r="BX40" s="377"/>
      <c r="BY40" s="377"/>
      <c r="BZ40" s="377"/>
      <c r="CA40" s="377"/>
      <c r="CB40" s="377"/>
      <c r="CC40" s="377"/>
      <c r="CD40" s="377"/>
      <c r="CE40" s="377"/>
      <c r="CF40" s="377"/>
      <c r="CG40" s="377"/>
      <c r="CH40" s="377"/>
      <c r="CI40" s="377"/>
    </row>
    <row r="41" spans="1:87" ht="63">
      <c r="A41" s="361">
        <f t="shared" si="35"/>
        <v>28</v>
      </c>
      <c r="B41" s="362">
        <f t="shared" si="35"/>
        <v>28</v>
      </c>
      <c r="C41" s="384" t="s">
        <v>189</v>
      </c>
      <c r="D41" s="379" t="s">
        <v>1061</v>
      </c>
      <c r="E41" s="396" t="s">
        <v>998</v>
      </c>
      <c r="F41" s="1317" t="s">
        <v>999</v>
      </c>
      <c r="G41" s="362"/>
      <c r="H41" s="397" t="s">
        <v>1411</v>
      </c>
      <c r="I41" s="362">
        <v>17697</v>
      </c>
      <c r="J41" s="400">
        <v>11.02</v>
      </c>
      <c r="K41" s="400">
        <f t="shared" si="23"/>
        <v>195020.94</v>
      </c>
      <c r="L41" s="401"/>
      <c r="M41" s="380">
        <v>24</v>
      </c>
      <c r="N41" s="380"/>
      <c r="O41" s="380"/>
      <c r="P41" s="380">
        <v>9</v>
      </c>
      <c r="Q41" s="368">
        <f t="shared" si="0"/>
        <v>33</v>
      </c>
      <c r="R41" s="380"/>
      <c r="S41" s="380">
        <v>3</v>
      </c>
      <c r="T41" s="380"/>
      <c r="U41" s="380"/>
      <c r="V41" s="380"/>
      <c r="W41" s="381">
        <f>SUM(R41:V41)</f>
        <v>3</v>
      </c>
      <c r="X41" s="370">
        <f t="shared" si="2"/>
        <v>36</v>
      </c>
      <c r="Y41" s="367">
        <f t="shared" si="3"/>
        <v>438797.11499999999</v>
      </c>
      <c r="Z41" s="367">
        <f t="shared" si="4"/>
        <v>43879.711500000005</v>
      </c>
      <c r="AA41" s="366">
        <v>36</v>
      </c>
      <c r="AB41" s="367">
        <f t="shared" si="5"/>
        <v>15927.300000000001</v>
      </c>
      <c r="AC41" s="366">
        <v>0</v>
      </c>
      <c r="AD41" s="367">
        <f t="shared" si="6"/>
        <v>0</v>
      </c>
      <c r="AE41" s="366"/>
      <c r="AF41" s="366"/>
      <c r="AG41" s="367"/>
      <c r="AH41" s="366"/>
      <c r="AI41" s="367"/>
      <c r="AJ41" s="366">
        <f t="shared" si="7"/>
        <v>36</v>
      </c>
      <c r="AK41" s="367">
        <f t="shared" si="8"/>
        <v>15927.300000000001</v>
      </c>
      <c r="AL41" s="366">
        <f t="shared" si="9"/>
        <v>36</v>
      </c>
      <c r="AM41" s="367">
        <f t="shared" si="10"/>
        <v>131639.13449999999</v>
      </c>
      <c r="AN41" s="366" t="str">
        <f t="shared" si="11"/>
        <v>Педагог-шебер</v>
      </c>
      <c r="AO41" s="367">
        <f t="shared" si="12"/>
        <v>219398.5575</v>
      </c>
      <c r="AP41" s="367" t="str">
        <f t="shared" si="13"/>
        <v>0</v>
      </c>
      <c r="AQ41" s="367" t="str">
        <f t="shared" si="14"/>
        <v>0</v>
      </c>
      <c r="AR41" s="367" t="str">
        <f t="shared" si="15"/>
        <v>0</v>
      </c>
      <c r="AS41" s="366"/>
      <c r="AT41" s="367"/>
      <c r="AU41" s="371"/>
      <c r="AV41" s="367"/>
      <c r="AW41" s="371">
        <f t="shared" si="24"/>
        <v>0</v>
      </c>
      <c r="AX41" s="372"/>
      <c r="AY41" s="367"/>
      <c r="AZ41" s="367">
        <f t="shared" si="16"/>
        <v>426772.00349999999</v>
      </c>
      <c r="BA41" s="373">
        <f t="shared" si="17"/>
        <v>865569.11849999998</v>
      </c>
      <c r="BB41" s="374">
        <f t="shared" si="25"/>
        <v>86556.911850000004</v>
      </c>
      <c r="BC41" s="374">
        <f t="shared" si="26"/>
        <v>17311.382369999999</v>
      </c>
      <c r="BD41" s="374">
        <f t="shared" si="18"/>
        <v>70115.082427999994</v>
      </c>
      <c r="BE41" s="374">
        <f t="shared" si="27"/>
        <v>691585.74185199989</v>
      </c>
      <c r="BF41" s="374">
        <f t="shared" si="28"/>
        <v>10386829.422</v>
      </c>
      <c r="BG41" s="374">
        <f t="shared" si="19"/>
        <v>877594.23</v>
      </c>
      <c r="BH41" s="374">
        <f t="shared" si="29"/>
        <v>11264423.652000001</v>
      </c>
      <c r="BI41" s="374">
        <f t="shared" si="20"/>
        <v>394254.82782000006</v>
      </c>
      <c r="BJ41" s="374">
        <f t="shared" si="21"/>
        <v>585427.85247960011</v>
      </c>
      <c r="BK41" s="374">
        <f t="shared" si="30"/>
        <v>506899.06434000004</v>
      </c>
      <c r="BL41" s="374">
        <f t="shared" si="31"/>
        <v>337932.70955999999</v>
      </c>
      <c r="BM41" s="373">
        <f t="shared" si="22"/>
        <v>13088938.1061996</v>
      </c>
      <c r="BN41" s="375"/>
      <c r="BO41" s="376"/>
      <c r="BP41" s="376"/>
      <c r="BQ41" s="377"/>
      <c r="BR41" s="377"/>
      <c r="BS41" s="377"/>
      <c r="BT41" s="377"/>
      <c r="BU41" s="377"/>
      <c r="BV41" s="377"/>
      <c r="BW41" s="377"/>
      <c r="BX41" s="377"/>
      <c r="BY41" s="377"/>
      <c r="BZ41" s="377"/>
      <c r="CA41" s="377"/>
      <c r="CB41" s="377"/>
      <c r="CC41" s="377"/>
      <c r="CD41" s="377"/>
      <c r="CE41" s="377"/>
      <c r="CF41" s="377"/>
      <c r="CG41" s="377"/>
      <c r="CH41" s="377"/>
      <c r="CI41" s="377"/>
    </row>
    <row r="42" spans="1:87" ht="47.25">
      <c r="A42" s="361">
        <f t="shared" si="35"/>
        <v>29</v>
      </c>
      <c r="B42" s="362">
        <f t="shared" si="35"/>
        <v>29</v>
      </c>
      <c r="C42" s="378" t="s">
        <v>208</v>
      </c>
      <c r="D42" s="379" t="s">
        <v>1062</v>
      </c>
      <c r="E42" s="392" t="s">
        <v>998</v>
      </c>
      <c r="F42" s="1317" t="s">
        <v>999</v>
      </c>
      <c r="G42" s="390"/>
      <c r="H42" s="402" t="s">
        <v>1412</v>
      </c>
      <c r="I42" s="390">
        <v>17697</v>
      </c>
      <c r="J42" s="403">
        <v>11.02</v>
      </c>
      <c r="K42" s="403">
        <f t="shared" si="23"/>
        <v>195020.94</v>
      </c>
      <c r="L42" s="380"/>
      <c r="M42" s="380"/>
      <c r="N42" s="380"/>
      <c r="O42" s="380">
        <v>31</v>
      </c>
      <c r="P42" s="380"/>
      <c r="Q42" s="368">
        <f t="shared" si="0"/>
        <v>31</v>
      </c>
      <c r="R42" s="380"/>
      <c r="S42" s="380"/>
      <c r="T42" s="380"/>
      <c r="U42" s="380"/>
      <c r="V42" s="380"/>
      <c r="W42" s="381">
        <f t="shared" si="1"/>
        <v>0</v>
      </c>
      <c r="X42" s="370">
        <f t="shared" si="2"/>
        <v>31</v>
      </c>
      <c r="Y42" s="367">
        <f t="shared" si="3"/>
        <v>377853.07124999998</v>
      </c>
      <c r="Z42" s="367">
        <f t="shared" si="4"/>
        <v>37785.307124999999</v>
      </c>
      <c r="AA42" s="366">
        <v>31</v>
      </c>
      <c r="AB42" s="367">
        <f t="shared" si="5"/>
        <v>13715.175000000001</v>
      </c>
      <c r="AC42" s="366">
        <v>0</v>
      </c>
      <c r="AD42" s="367">
        <f t="shared" si="6"/>
        <v>0</v>
      </c>
      <c r="AE42" s="366"/>
      <c r="AF42" s="366" t="s">
        <v>1063</v>
      </c>
      <c r="AG42" s="367">
        <f>17697*20%</f>
        <v>3539.4</v>
      </c>
      <c r="AH42" s="366"/>
      <c r="AI42" s="367"/>
      <c r="AJ42" s="366">
        <f t="shared" si="7"/>
        <v>31</v>
      </c>
      <c r="AK42" s="367">
        <f t="shared" si="8"/>
        <v>13715.175000000001</v>
      </c>
      <c r="AL42" s="366">
        <f t="shared" si="9"/>
        <v>31</v>
      </c>
      <c r="AM42" s="367">
        <f t="shared" si="10"/>
        <v>113355.92137499999</v>
      </c>
      <c r="AN42" s="366" t="str">
        <f t="shared" si="11"/>
        <v>Педагог-шебер</v>
      </c>
      <c r="AO42" s="367">
        <f t="shared" si="12"/>
        <v>188926.53562499999</v>
      </c>
      <c r="AP42" s="367" t="str">
        <f t="shared" si="13"/>
        <v>0</v>
      </c>
      <c r="AQ42" s="367" t="str">
        <f t="shared" si="14"/>
        <v>0</v>
      </c>
      <c r="AR42" s="367" t="str">
        <f t="shared" si="15"/>
        <v>0</v>
      </c>
      <c r="AS42" s="366"/>
      <c r="AT42" s="367"/>
      <c r="AU42" s="371"/>
      <c r="AV42" s="367"/>
      <c r="AW42" s="371">
        <f t="shared" si="24"/>
        <v>0</v>
      </c>
      <c r="AX42" s="372"/>
      <c r="AY42" s="367"/>
      <c r="AZ42" s="367">
        <f t="shared" si="16"/>
        <v>371037.51412499999</v>
      </c>
      <c r="BA42" s="373">
        <f t="shared" si="17"/>
        <v>748890.58537500002</v>
      </c>
      <c r="BB42" s="374">
        <f t="shared" si="25"/>
        <v>74889.058537500008</v>
      </c>
      <c r="BC42" s="374">
        <f t="shared" si="26"/>
        <v>14977.811707500001</v>
      </c>
      <c r="BD42" s="374">
        <f t="shared" si="18"/>
        <v>59847.371513000006</v>
      </c>
      <c r="BE42" s="374">
        <f t="shared" si="27"/>
        <v>599176.34361700004</v>
      </c>
      <c r="BF42" s="374">
        <f t="shared" si="28"/>
        <v>8986687.0245000012</v>
      </c>
      <c r="BG42" s="374">
        <f t="shared" si="19"/>
        <v>755706.14249999996</v>
      </c>
      <c r="BH42" s="374">
        <f t="shared" si="29"/>
        <v>9742393.1670000013</v>
      </c>
      <c r="BI42" s="374">
        <f t="shared" si="20"/>
        <v>340983.7608450001</v>
      </c>
      <c r="BJ42" s="374">
        <f t="shared" si="21"/>
        <v>506318.51956410002</v>
      </c>
      <c r="BK42" s="374">
        <f t="shared" si="30"/>
        <v>438407.69251500006</v>
      </c>
      <c r="BL42" s="374">
        <f t="shared" si="31"/>
        <v>292271.79501</v>
      </c>
      <c r="BM42" s="373">
        <f t="shared" si="22"/>
        <v>11320374.934934102</v>
      </c>
      <c r="BN42" s="375"/>
      <c r="BO42" s="376"/>
      <c r="BP42" s="376"/>
      <c r="BQ42" s="377"/>
      <c r="BR42" s="377"/>
      <c r="BS42" s="377"/>
      <c r="BT42" s="377"/>
      <c r="BU42" s="377"/>
      <c r="BV42" s="377"/>
      <c r="BW42" s="377"/>
      <c r="BX42" s="377"/>
      <c r="BY42" s="377"/>
      <c r="BZ42" s="377"/>
      <c r="CA42" s="377"/>
      <c r="CB42" s="377"/>
      <c r="CC42" s="377"/>
      <c r="CD42" s="377"/>
      <c r="CE42" s="377"/>
      <c r="CF42" s="377"/>
      <c r="CG42" s="377"/>
      <c r="CH42" s="377"/>
      <c r="CI42" s="377"/>
    </row>
    <row r="43" spans="1:87" ht="60">
      <c r="A43" s="361">
        <f t="shared" si="35"/>
        <v>30</v>
      </c>
      <c r="B43" s="362">
        <f t="shared" si="35"/>
        <v>30</v>
      </c>
      <c r="C43" s="378" t="s">
        <v>200</v>
      </c>
      <c r="D43" s="379" t="s">
        <v>1064</v>
      </c>
      <c r="E43" s="404" t="s">
        <v>998</v>
      </c>
      <c r="F43" s="1315" t="s">
        <v>999</v>
      </c>
      <c r="G43" s="394" t="s">
        <v>229</v>
      </c>
      <c r="H43" s="395" t="s">
        <v>1065</v>
      </c>
      <c r="I43" s="394">
        <v>17697</v>
      </c>
      <c r="J43" s="367">
        <v>11.4</v>
      </c>
      <c r="K43" s="367">
        <f t="shared" si="23"/>
        <v>201745.80000000002</v>
      </c>
      <c r="L43" s="380"/>
      <c r="M43" s="380"/>
      <c r="N43" s="380"/>
      <c r="O43" s="380">
        <v>18</v>
      </c>
      <c r="P43" s="380"/>
      <c r="Q43" s="368">
        <f t="shared" si="0"/>
        <v>18</v>
      </c>
      <c r="R43" s="380"/>
      <c r="S43" s="380"/>
      <c r="T43" s="380"/>
      <c r="U43" s="380"/>
      <c r="V43" s="380"/>
      <c r="W43" s="381">
        <f t="shared" si="1"/>
        <v>0</v>
      </c>
      <c r="X43" s="370">
        <f t="shared" si="2"/>
        <v>18</v>
      </c>
      <c r="Y43" s="367">
        <f t="shared" si="3"/>
        <v>226964.02500000002</v>
      </c>
      <c r="Z43" s="367">
        <f t="shared" si="4"/>
        <v>22696.402500000004</v>
      </c>
      <c r="AA43" s="366">
        <v>9</v>
      </c>
      <c r="AB43" s="367">
        <f t="shared" si="5"/>
        <v>3981.8250000000003</v>
      </c>
      <c r="AC43" s="366">
        <v>9</v>
      </c>
      <c r="AD43" s="367">
        <f t="shared" si="6"/>
        <v>1990.9125000000001</v>
      </c>
      <c r="AE43" s="366"/>
      <c r="AF43" s="366"/>
      <c r="AG43" s="367"/>
      <c r="AH43" s="366"/>
      <c r="AI43" s="367"/>
      <c r="AJ43" s="366">
        <f t="shared" si="7"/>
        <v>18</v>
      </c>
      <c r="AK43" s="367">
        <f t="shared" si="8"/>
        <v>7963.6500000000005</v>
      </c>
      <c r="AL43" s="366">
        <f t="shared" si="9"/>
        <v>18</v>
      </c>
      <c r="AM43" s="367">
        <f t="shared" si="10"/>
        <v>68089.207500000004</v>
      </c>
      <c r="AN43" s="366" t="str">
        <f t="shared" si="11"/>
        <v>Педагог-шебер</v>
      </c>
      <c r="AO43" s="367">
        <f t="shared" si="12"/>
        <v>113482.01250000001</v>
      </c>
      <c r="AP43" s="367" t="str">
        <f t="shared" si="13"/>
        <v>0</v>
      </c>
      <c r="AQ43" s="367" t="str">
        <f t="shared" si="14"/>
        <v>0</v>
      </c>
      <c r="AR43" s="367" t="str">
        <f t="shared" si="15"/>
        <v>0</v>
      </c>
      <c r="AS43" s="366"/>
      <c r="AT43" s="367"/>
      <c r="AU43" s="371"/>
      <c r="AV43" s="367"/>
      <c r="AW43" s="371" t="str">
        <f t="shared" si="24"/>
        <v>Магистр-информационные системы</v>
      </c>
      <c r="AX43" s="372">
        <f>10*4325</f>
        <v>43250</v>
      </c>
      <c r="AY43" s="367"/>
      <c r="AZ43" s="367">
        <f t="shared" si="16"/>
        <v>261454.01</v>
      </c>
      <c r="BA43" s="373">
        <f t="shared" si="17"/>
        <v>488418.03500000003</v>
      </c>
      <c r="BB43" s="374">
        <f t="shared" si="25"/>
        <v>48841.803500000009</v>
      </c>
      <c r="BC43" s="374">
        <f t="shared" si="26"/>
        <v>9768.3607000000011</v>
      </c>
      <c r="BD43" s="374">
        <f t="shared" si="18"/>
        <v>36925.787080000002</v>
      </c>
      <c r="BE43" s="374">
        <f t="shared" si="27"/>
        <v>392882.08372</v>
      </c>
      <c r="BF43" s="374">
        <f t="shared" si="28"/>
        <v>5861016.4199999999</v>
      </c>
      <c r="BG43" s="374">
        <f t="shared" si="19"/>
        <v>453928.05000000005</v>
      </c>
      <c r="BH43" s="374">
        <f t="shared" si="29"/>
        <v>6314944.4699999997</v>
      </c>
      <c r="BI43" s="374">
        <f t="shared" si="20"/>
        <v>221023.05645</v>
      </c>
      <c r="BJ43" s="374">
        <f t="shared" si="21"/>
        <v>328112.76525599998</v>
      </c>
      <c r="BK43" s="374">
        <f t="shared" si="30"/>
        <v>284172.50115000003</v>
      </c>
      <c r="BL43" s="374">
        <f t="shared" si="31"/>
        <v>189448.33409999998</v>
      </c>
      <c r="BM43" s="373">
        <f t="shared" si="22"/>
        <v>7337701.1269559991</v>
      </c>
      <c r="BN43" s="375"/>
      <c r="BO43" s="376"/>
      <c r="BP43" s="376"/>
      <c r="BQ43" s="377"/>
      <c r="BR43" s="377"/>
      <c r="BS43" s="377"/>
      <c r="BT43" s="377"/>
      <c r="BU43" s="377"/>
      <c r="BV43" s="377"/>
      <c r="BW43" s="377"/>
      <c r="BX43" s="377"/>
      <c r="BY43" s="377"/>
      <c r="BZ43" s="377"/>
      <c r="CA43" s="377"/>
      <c r="CB43" s="377"/>
      <c r="CC43" s="377"/>
      <c r="CD43" s="377"/>
      <c r="CE43" s="377"/>
      <c r="CF43" s="377"/>
      <c r="CG43" s="377"/>
      <c r="CH43" s="377"/>
      <c r="CI43" s="377"/>
    </row>
    <row r="44" spans="1:87" ht="75">
      <c r="A44" s="361">
        <f t="shared" si="35"/>
        <v>31</v>
      </c>
      <c r="B44" s="362">
        <f t="shared" si="35"/>
        <v>31</v>
      </c>
      <c r="C44" s="405" t="s">
        <v>1066</v>
      </c>
      <c r="D44" s="364" t="s">
        <v>1067</v>
      </c>
      <c r="E44" s="694" t="s">
        <v>998</v>
      </c>
      <c r="F44" s="1298" t="s">
        <v>1011</v>
      </c>
      <c r="G44" s="406" t="s">
        <v>1068</v>
      </c>
      <c r="H44" s="397" t="s">
        <v>1413</v>
      </c>
      <c r="I44" s="362">
        <v>17697</v>
      </c>
      <c r="J44" s="398">
        <v>10.6</v>
      </c>
      <c r="K44" s="367">
        <f t="shared" si="23"/>
        <v>187588.19999999998</v>
      </c>
      <c r="L44" s="380">
        <v>24</v>
      </c>
      <c r="M44" s="380"/>
      <c r="N44" s="380"/>
      <c r="O44" s="380"/>
      <c r="P44" s="380"/>
      <c r="Q44" s="368">
        <f t="shared" si="0"/>
        <v>24</v>
      </c>
      <c r="R44" s="380">
        <v>3</v>
      </c>
      <c r="S44" s="380"/>
      <c r="T44" s="380"/>
      <c r="U44" s="380"/>
      <c r="V44" s="380"/>
      <c r="W44" s="381">
        <f>SUM(R44:V44)</f>
        <v>3</v>
      </c>
      <c r="X44" s="370">
        <f t="shared" si="2"/>
        <v>27</v>
      </c>
      <c r="Y44" s="367">
        <f t="shared" si="3"/>
        <v>316555.08749999997</v>
      </c>
      <c r="Z44" s="367">
        <f t="shared" si="4"/>
        <v>31655.508749999997</v>
      </c>
      <c r="AA44" s="366">
        <v>0</v>
      </c>
      <c r="AB44" s="367">
        <f t="shared" si="5"/>
        <v>0</v>
      </c>
      <c r="AC44" s="366">
        <v>27</v>
      </c>
      <c r="AD44" s="367">
        <f t="shared" si="6"/>
        <v>5972.7375000000002</v>
      </c>
      <c r="AE44" s="366"/>
      <c r="AF44" s="366" t="s">
        <v>274</v>
      </c>
      <c r="AG44" s="367">
        <f>17697*20%</f>
        <v>3539.4</v>
      </c>
      <c r="AH44" s="366" t="s">
        <v>1069</v>
      </c>
      <c r="AI44" s="367">
        <f>I44*200%</f>
        <v>35394</v>
      </c>
      <c r="AJ44" s="366">
        <f t="shared" si="7"/>
        <v>27</v>
      </c>
      <c r="AK44" s="367">
        <f t="shared" si="8"/>
        <v>11945.475</v>
      </c>
      <c r="AL44" s="366">
        <f t="shared" si="9"/>
        <v>27</v>
      </c>
      <c r="AM44" s="367">
        <f t="shared" si="10"/>
        <v>94966.526249999981</v>
      </c>
      <c r="AN44" s="366" t="str">
        <f t="shared" si="11"/>
        <v>Педагог-сарапшы</v>
      </c>
      <c r="AO44" s="367" t="str">
        <f t="shared" si="12"/>
        <v>0</v>
      </c>
      <c r="AP44" s="367" t="str">
        <f t="shared" si="13"/>
        <v>0</v>
      </c>
      <c r="AQ44" s="367">
        <f t="shared" si="14"/>
        <v>110794.28062499998</v>
      </c>
      <c r="AR44" s="367" t="str">
        <f t="shared" si="15"/>
        <v>0</v>
      </c>
      <c r="AS44" s="366"/>
      <c r="AT44" s="367"/>
      <c r="AU44" s="371"/>
      <c r="AV44" s="367"/>
      <c r="AW44" s="371" t="str">
        <f t="shared" si="24"/>
        <v>Магистр-матем. и комп. моделирование</v>
      </c>
      <c r="AX44" s="372">
        <f>10*4325</f>
        <v>43250</v>
      </c>
      <c r="AY44" s="367"/>
      <c r="AZ44" s="367">
        <f t="shared" si="16"/>
        <v>337517.92812499998</v>
      </c>
      <c r="BA44" s="373">
        <f t="shared" si="17"/>
        <v>654073.015625</v>
      </c>
      <c r="BB44" s="374">
        <f t="shared" si="25"/>
        <v>65407.301562500004</v>
      </c>
      <c r="BC44" s="374">
        <f t="shared" si="26"/>
        <v>13081.460312499999</v>
      </c>
      <c r="BD44" s="374">
        <f t="shared" si="18"/>
        <v>51503.425375000006</v>
      </c>
      <c r="BE44" s="374">
        <f t="shared" si="27"/>
        <v>524080.82837500004</v>
      </c>
      <c r="BF44" s="374">
        <f t="shared" si="28"/>
        <v>7848876.1875</v>
      </c>
      <c r="BG44" s="374">
        <f t="shared" si="19"/>
        <v>633110.17499999993</v>
      </c>
      <c r="BH44" s="374">
        <f t="shared" si="29"/>
        <v>8481986.3625000007</v>
      </c>
      <c r="BI44" s="374">
        <f t="shared" si="20"/>
        <v>296869.52268750005</v>
      </c>
      <c r="BJ44" s="374">
        <f t="shared" si="21"/>
        <v>440759.7359625001</v>
      </c>
      <c r="BK44" s="374">
        <f t="shared" si="30"/>
        <v>381689.38631250011</v>
      </c>
      <c r="BL44" s="374">
        <f t="shared" si="31"/>
        <v>254459.59087500002</v>
      </c>
      <c r="BM44" s="373">
        <f t="shared" si="22"/>
        <v>9855764.5983375013</v>
      </c>
      <c r="BN44" s="375"/>
      <c r="BO44" s="376"/>
      <c r="BP44" s="376"/>
      <c r="BQ44" s="377"/>
      <c r="BR44" s="377"/>
      <c r="BS44" s="377"/>
      <c r="BT44" s="377"/>
      <c r="BU44" s="377"/>
      <c r="BV44" s="377"/>
      <c r="BW44" s="377"/>
      <c r="BX44" s="377"/>
      <c r="BY44" s="377"/>
      <c r="BZ44" s="377"/>
      <c r="CA44" s="377"/>
      <c r="CB44" s="377"/>
      <c r="CC44" s="377"/>
      <c r="CD44" s="377"/>
      <c r="CE44" s="377"/>
      <c r="CF44" s="377"/>
      <c r="CG44" s="377"/>
      <c r="CH44" s="377"/>
      <c r="CI44" s="377"/>
    </row>
    <row r="45" spans="1:87" ht="15">
      <c r="A45" s="1520"/>
      <c r="B45" s="1521"/>
      <c r="C45" s="1520" t="s">
        <v>2</v>
      </c>
      <c r="D45" s="1522"/>
      <c r="E45" s="1522"/>
      <c r="F45" s="1522"/>
      <c r="G45" s="1522"/>
      <c r="H45" s="1522"/>
      <c r="I45" s="1522"/>
      <c r="J45" s="1508"/>
      <c r="K45" s="407">
        <f t="shared" ref="K45:AE45" si="36">SUM(K14:K44)</f>
        <v>5795413.5599999996</v>
      </c>
      <c r="L45" s="407">
        <f t="shared" si="36"/>
        <v>160</v>
      </c>
      <c r="M45" s="407">
        <f t="shared" si="36"/>
        <v>160</v>
      </c>
      <c r="N45" s="407">
        <f t="shared" si="36"/>
        <v>144</v>
      </c>
      <c r="O45" s="407">
        <f t="shared" si="36"/>
        <v>159</v>
      </c>
      <c r="P45" s="407">
        <f t="shared" si="36"/>
        <v>162</v>
      </c>
      <c r="Q45" s="407">
        <f t="shared" si="36"/>
        <v>785</v>
      </c>
      <c r="R45" s="407">
        <f t="shared" si="36"/>
        <v>44</v>
      </c>
      <c r="S45" s="407">
        <f t="shared" si="36"/>
        <v>30</v>
      </c>
      <c r="T45" s="407">
        <f t="shared" si="36"/>
        <v>18</v>
      </c>
      <c r="U45" s="407">
        <f t="shared" si="36"/>
        <v>7</v>
      </c>
      <c r="V45" s="407">
        <f t="shared" si="36"/>
        <v>7</v>
      </c>
      <c r="W45" s="407">
        <f t="shared" si="36"/>
        <v>106</v>
      </c>
      <c r="X45" s="407">
        <f t="shared" si="36"/>
        <v>891</v>
      </c>
      <c r="Y45" s="407">
        <f t="shared" si="36"/>
        <v>10392253.552499998</v>
      </c>
      <c r="Z45" s="407">
        <f t="shared" si="36"/>
        <v>1023300.2673750002</v>
      </c>
      <c r="AA45" s="407">
        <f t="shared" si="36"/>
        <v>441</v>
      </c>
      <c r="AB45" s="407">
        <f t="shared" si="36"/>
        <v>195109.42499999999</v>
      </c>
      <c r="AC45" s="407">
        <f t="shared" si="36"/>
        <v>405</v>
      </c>
      <c r="AD45" s="407">
        <f t="shared" si="36"/>
        <v>89591.062500000015</v>
      </c>
      <c r="AE45" s="407">
        <f t="shared" si="36"/>
        <v>0</v>
      </c>
      <c r="AF45" s="407">
        <v>15</v>
      </c>
      <c r="AG45" s="407">
        <f>SUM(AG14:AG44)</f>
        <v>53091.000000000015</v>
      </c>
      <c r="AH45" s="407">
        <v>5</v>
      </c>
      <c r="AI45" s="407">
        <f t="shared" ref="AI45:BN45" si="37">SUM(AI14:AI44)</f>
        <v>176970</v>
      </c>
      <c r="AJ45" s="407">
        <f t="shared" si="37"/>
        <v>891</v>
      </c>
      <c r="AK45" s="407">
        <f t="shared" si="37"/>
        <v>394200.67499999987</v>
      </c>
      <c r="AL45" s="407">
        <f t="shared" si="37"/>
        <v>891</v>
      </c>
      <c r="AM45" s="407">
        <f t="shared" si="37"/>
        <v>3117676.0657500005</v>
      </c>
      <c r="AN45" s="407">
        <f t="shared" si="37"/>
        <v>0</v>
      </c>
      <c r="AO45" s="407">
        <f t="shared" si="37"/>
        <v>1422097.7381249999</v>
      </c>
      <c r="AP45" s="407">
        <f t="shared" si="37"/>
        <v>895114.26000000013</v>
      </c>
      <c r="AQ45" s="407">
        <f t="shared" si="37"/>
        <v>325406.90568750002</v>
      </c>
      <c r="AR45" s="407">
        <f t="shared" si="37"/>
        <v>754635.47400000005</v>
      </c>
      <c r="AS45" s="407">
        <f t="shared" si="37"/>
        <v>0</v>
      </c>
      <c r="AT45" s="407">
        <f t="shared" si="37"/>
        <v>0</v>
      </c>
      <c r="AU45" s="407">
        <f t="shared" si="37"/>
        <v>0</v>
      </c>
      <c r="AV45" s="407">
        <f t="shared" si="37"/>
        <v>0</v>
      </c>
      <c r="AW45" s="407">
        <v>10</v>
      </c>
      <c r="AX45" s="407">
        <f t="shared" si="37"/>
        <v>432500</v>
      </c>
      <c r="AY45" s="407">
        <f t="shared" si="37"/>
        <v>35394</v>
      </c>
      <c r="AZ45" s="407">
        <f t="shared" si="37"/>
        <v>8915086.8734374996</v>
      </c>
      <c r="BA45" s="1318">
        <f>SUM(BA14:BA44)</f>
        <v>19307340.4259375</v>
      </c>
      <c r="BB45" s="1318">
        <f t="shared" ref="BB45:BM45" si="38">SUM(BB14:BB44)</f>
        <v>1930734.0425937504</v>
      </c>
      <c r="BC45" s="1318">
        <f t="shared" si="38"/>
        <v>386146.80851875013</v>
      </c>
      <c r="BD45" s="1318">
        <f t="shared" si="38"/>
        <v>1511340.9574825002</v>
      </c>
      <c r="BE45" s="1318">
        <f t="shared" si="38"/>
        <v>15479118.617342502</v>
      </c>
      <c r="BF45" s="1318">
        <f t="shared" si="38"/>
        <v>231688085.11125004</v>
      </c>
      <c r="BG45" s="1318">
        <f t="shared" si="38"/>
        <v>20784507.104999997</v>
      </c>
      <c r="BH45" s="1318">
        <f t="shared" si="38"/>
        <v>252472592.21625</v>
      </c>
      <c r="BI45" s="1318">
        <f t="shared" si="38"/>
        <v>8836540.7275687493</v>
      </c>
      <c r="BJ45" s="1318">
        <f t="shared" si="38"/>
        <v>13123806.192432752</v>
      </c>
      <c r="BK45" s="1318">
        <f t="shared" si="38"/>
        <v>11361266.649731252</v>
      </c>
      <c r="BL45" s="1318">
        <f t="shared" si="38"/>
        <v>7574177.7664875006</v>
      </c>
      <c r="BM45" s="1318">
        <f t="shared" si="38"/>
        <v>293368383.55247021</v>
      </c>
      <c r="BN45" s="407">
        <f t="shared" si="37"/>
        <v>3</v>
      </c>
      <c r="BO45" s="408"/>
      <c r="BP45" s="355"/>
      <c r="BQ45" s="355"/>
      <c r="BR45" s="355"/>
      <c r="BS45" s="355"/>
      <c r="BT45" s="355"/>
      <c r="BU45" s="355"/>
      <c r="BV45" s="355"/>
      <c r="BW45" s="355"/>
      <c r="BX45" s="355"/>
      <c r="BY45" s="355"/>
      <c r="BZ45" s="355"/>
      <c r="CA45" s="355"/>
      <c r="CB45" s="355"/>
      <c r="CC45" s="355"/>
      <c r="CD45" s="355"/>
      <c r="CE45" s="355"/>
      <c r="CF45" s="355"/>
      <c r="CG45" s="355"/>
      <c r="CH45" s="355"/>
      <c r="CI45" s="356"/>
    </row>
    <row r="46" spans="1:87" ht="126">
      <c r="A46" s="366">
        <f>A44+1</f>
        <v>32</v>
      </c>
      <c r="B46" s="366">
        <v>1</v>
      </c>
      <c r="C46" s="409" t="s">
        <v>217</v>
      </c>
      <c r="D46" s="410" t="s">
        <v>1070</v>
      </c>
      <c r="E46" s="366" t="s">
        <v>998</v>
      </c>
      <c r="F46" s="1314" t="s">
        <v>254</v>
      </c>
      <c r="G46" s="366" t="s">
        <v>227</v>
      </c>
      <c r="H46" s="371" t="s">
        <v>1414</v>
      </c>
      <c r="I46" s="366">
        <v>17697</v>
      </c>
      <c r="J46" s="367">
        <v>10.82</v>
      </c>
      <c r="K46" s="367">
        <f t="shared" ref="K46:K64" si="39">I46*J46</f>
        <v>191481.54</v>
      </c>
      <c r="L46" s="380"/>
      <c r="M46" s="380"/>
      <c r="N46" s="380">
        <v>4</v>
      </c>
      <c r="O46" s="380">
        <v>16</v>
      </c>
      <c r="P46" s="380"/>
      <c r="Q46" s="368">
        <f t="shared" ref="Q46:Q64" si="40">SUM(L46:P46)</f>
        <v>20</v>
      </c>
      <c r="R46" s="411">
        <v>6</v>
      </c>
      <c r="S46" s="411"/>
      <c r="T46" s="411">
        <v>10</v>
      </c>
      <c r="U46" s="411"/>
      <c r="V46" s="411"/>
      <c r="W46" s="381">
        <f t="shared" ref="W46:W64" si="41">SUM(R46:V46)</f>
        <v>16</v>
      </c>
      <c r="X46" s="370">
        <f t="shared" ref="X46:X64" si="42">Q46+W46</f>
        <v>36</v>
      </c>
      <c r="Y46" s="367">
        <f t="shared" ref="Y46:Y64" si="43">K46/16*X46</f>
        <v>430833.46500000003</v>
      </c>
      <c r="Z46" s="367">
        <f t="shared" ref="Z46:Z64" si="44">Y46*10%</f>
        <v>43083.346500000007</v>
      </c>
      <c r="AA46" s="366">
        <v>21</v>
      </c>
      <c r="AB46" s="367">
        <f t="shared" ref="AB46:AB64" si="45">I46/16*AA46*40%</f>
        <v>9290.9250000000011</v>
      </c>
      <c r="AC46" s="366">
        <v>0</v>
      </c>
      <c r="AD46" s="367">
        <f t="shared" ref="AD46:AD64" si="46">I46/16*AC46*40%*50%</f>
        <v>0</v>
      </c>
      <c r="AE46" s="366">
        <v>196600</v>
      </c>
      <c r="AF46" s="366"/>
      <c r="AG46" s="367"/>
      <c r="AH46" s="366"/>
      <c r="AI46" s="367"/>
      <c r="AJ46" s="366">
        <f t="shared" ref="AJ46:AJ64" si="47">X46</f>
        <v>36</v>
      </c>
      <c r="AK46" s="367">
        <f t="shared" ref="AK46:AK64" si="48">I46/16*AJ46*40%</f>
        <v>15927.300000000001</v>
      </c>
      <c r="AL46" s="366">
        <f t="shared" ref="AL46:AL64" si="49">X46</f>
        <v>36</v>
      </c>
      <c r="AM46" s="367">
        <f t="shared" ref="AM46:AM64" si="50">K46/16*AL46*30%</f>
        <v>129250.0395</v>
      </c>
      <c r="AN46" s="366" t="str">
        <f t="shared" ref="AN46:AN60" si="51">F46</f>
        <v>Педагог-модератор</v>
      </c>
      <c r="AO46" s="367" t="str">
        <f t="shared" ref="AO46:AO64" si="52">IF(AN46="Педагог-зерттеуші", "0", IF(AN46="Педагог-шебер",K46/16*X46*50%, IF(AN46="Педагог-сарапшы", "0", IF(AN46="Педагог-модератор", "0", "0"))))</f>
        <v>0</v>
      </c>
      <c r="AP46" s="367" t="str">
        <f t="shared" ref="AP46:AP64" si="53">IF(AN46="Педагог-шебер", "0", IF(AN46="Педагог-зерттеуші",K46/16*X46*40%, IF(AN46="Педагог-сарапшы", "0", IF(AN46="Педагог-модератор", "0", "0"))))</f>
        <v>0</v>
      </c>
      <c r="AQ46" s="367" t="str">
        <f t="shared" ref="AQ46:AQ64" si="54">IF(AN46="Педагог-шебер", "0", IF(AN46="Педагог-сарапшы",K46/16*X46*35%, IF(AN46="Педагог-зерттеуші", "0", IF(AN46="Педагог-модератор", "0", "0"))))</f>
        <v>0</v>
      </c>
      <c r="AR46" s="367">
        <f t="shared" ref="AR46:AR64" si="55">IF(AN46="Педагог-шебер", "0", IF(AN46="Педагог-модератор",K46/16*X46*30%, IF(AN46="Педагог-зерттеуші", "0", IF(AN46="Педагог-сарапшы", "0", "0"))))</f>
        <v>129250.0395</v>
      </c>
      <c r="AS46" s="366"/>
      <c r="AT46" s="367"/>
      <c r="AU46" s="371"/>
      <c r="AV46" s="367"/>
      <c r="AW46" s="371" t="str">
        <f>G46</f>
        <v>Магистр-техническая физика</v>
      </c>
      <c r="AX46" s="372">
        <f>10*4325</f>
        <v>43250</v>
      </c>
      <c r="AY46" s="367"/>
      <c r="AZ46" s="367">
        <f t="shared" ref="AZ46:AZ64" si="56">Z46+AB46+AD46+AE46+AG46+AI46+AK46+AM46+AO46+AP46+AQ46++AR46+AT46+AV46+AX46+AY46</f>
        <v>566651.65049999999</v>
      </c>
      <c r="BA46" s="373">
        <f t="shared" si="17"/>
        <v>997485.11550000007</v>
      </c>
      <c r="BB46" s="374">
        <f t="shared" si="25"/>
        <v>99748.51155000001</v>
      </c>
      <c r="BC46" s="374">
        <f t="shared" si="26"/>
        <v>19949.702310000001</v>
      </c>
      <c r="BD46" s="374">
        <f t="shared" si="18"/>
        <v>81723.690164000014</v>
      </c>
      <c r="BE46" s="374">
        <f t="shared" si="27"/>
        <v>796063.21147600003</v>
      </c>
      <c r="BF46" s="374">
        <f t="shared" si="28"/>
        <v>11969821.386</v>
      </c>
      <c r="BG46" s="374">
        <f t="shared" si="19"/>
        <v>861666.93</v>
      </c>
      <c r="BH46" s="374">
        <f t="shared" si="29"/>
        <v>12831488.316</v>
      </c>
      <c r="BI46" s="374">
        <f t="shared" si="20"/>
        <v>449102.09106000001</v>
      </c>
      <c r="BJ46" s="374">
        <f t="shared" si="21"/>
        <v>666566.7620148001</v>
      </c>
      <c r="BK46" s="374">
        <f t="shared" si="30"/>
        <v>577416.97422000009</v>
      </c>
      <c r="BL46" s="374">
        <f t="shared" si="31"/>
        <v>384944.64947999996</v>
      </c>
      <c r="BM46" s="373">
        <f t="shared" ref="BM46:BM64" si="57">BH46+BJ46+BK46+BL46+BI46</f>
        <v>14909518.7927748</v>
      </c>
      <c r="BN46" s="385">
        <v>0.25</v>
      </c>
      <c r="BO46" s="377"/>
      <c r="BP46" s="377"/>
      <c r="BQ46" s="377"/>
      <c r="BR46" s="377"/>
      <c r="BS46" s="377"/>
      <c r="BT46" s="377"/>
      <c r="BU46" s="377"/>
      <c r="BV46" s="377"/>
      <c r="BW46" s="377"/>
      <c r="BX46" s="377"/>
      <c r="BY46" s="377"/>
      <c r="BZ46" s="377"/>
      <c r="CA46" s="377"/>
      <c r="CB46" s="377"/>
      <c r="CC46" s="377"/>
      <c r="CD46" s="377"/>
      <c r="CE46" s="377"/>
      <c r="CF46" s="377"/>
      <c r="CG46" s="377"/>
      <c r="CH46" s="377"/>
      <c r="CI46" s="377"/>
    </row>
    <row r="47" spans="1:87" ht="30">
      <c r="A47" s="366">
        <f t="shared" ref="A47:B62" si="58">A46+1</f>
        <v>33</v>
      </c>
      <c r="B47" s="366">
        <f t="shared" si="58"/>
        <v>2</v>
      </c>
      <c r="C47" s="409" t="s">
        <v>210</v>
      </c>
      <c r="D47" s="412" t="s">
        <v>1071</v>
      </c>
      <c r="E47" s="366" t="s">
        <v>998</v>
      </c>
      <c r="F47" s="508" t="s">
        <v>999</v>
      </c>
      <c r="G47" s="366"/>
      <c r="H47" s="371" t="s">
        <v>1072</v>
      </c>
      <c r="I47" s="366">
        <v>17697</v>
      </c>
      <c r="J47" s="367">
        <v>11.4</v>
      </c>
      <c r="K47" s="367">
        <f t="shared" si="39"/>
        <v>201745.80000000002</v>
      </c>
      <c r="L47" s="380"/>
      <c r="M47" s="380"/>
      <c r="N47" s="380"/>
      <c r="O47" s="380"/>
      <c r="P47" s="380">
        <v>16</v>
      </c>
      <c r="Q47" s="368">
        <f t="shared" si="40"/>
        <v>16</v>
      </c>
      <c r="R47" s="411"/>
      <c r="S47" s="411"/>
      <c r="T47" s="411"/>
      <c r="U47" s="411"/>
      <c r="V47" s="411"/>
      <c r="W47" s="381">
        <f t="shared" si="41"/>
        <v>0</v>
      </c>
      <c r="X47" s="370">
        <f t="shared" si="42"/>
        <v>16</v>
      </c>
      <c r="Y47" s="367">
        <f t="shared" si="43"/>
        <v>201745.80000000002</v>
      </c>
      <c r="Z47" s="367">
        <f t="shared" si="44"/>
        <v>20174.580000000002</v>
      </c>
      <c r="AA47" s="366">
        <v>12</v>
      </c>
      <c r="AB47" s="367">
        <f t="shared" si="45"/>
        <v>5309.1</v>
      </c>
      <c r="AC47" s="366">
        <v>4</v>
      </c>
      <c r="AD47" s="367">
        <f t="shared" si="46"/>
        <v>884.85</v>
      </c>
      <c r="AE47" s="380"/>
      <c r="AF47" s="366" t="s">
        <v>1073</v>
      </c>
      <c r="AG47" s="367">
        <f>17697*20%</f>
        <v>3539.4</v>
      </c>
      <c r="AH47" s="366"/>
      <c r="AI47" s="367"/>
      <c r="AJ47" s="366">
        <f t="shared" si="47"/>
        <v>16</v>
      </c>
      <c r="AK47" s="367">
        <f t="shared" si="48"/>
        <v>7078.8</v>
      </c>
      <c r="AL47" s="366">
        <f t="shared" si="49"/>
        <v>16</v>
      </c>
      <c r="AM47" s="367">
        <f t="shared" si="50"/>
        <v>60523.740000000005</v>
      </c>
      <c r="AN47" s="366" t="str">
        <f t="shared" si="51"/>
        <v>Педагог-шебер</v>
      </c>
      <c r="AO47" s="367">
        <f t="shared" si="52"/>
        <v>100872.90000000001</v>
      </c>
      <c r="AP47" s="367" t="str">
        <f t="shared" si="53"/>
        <v>0</v>
      </c>
      <c r="AQ47" s="367" t="str">
        <f t="shared" si="54"/>
        <v>0</v>
      </c>
      <c r="AR47" s="367" t="str">
        <f t="shared" si="55"/>
        <v>0</v>
      </c>
      <c r="AS47" s="366"/>
      <c r="AT47" s="367"/>
      <c r="AU47" s="380"/>
      <c r="AV47" s="367"/>
      <c r="AW47" s="371">
        <f t="shared" ref="AW47:AW64" si="59">G47</f>
        <v>0</v>
      </c>
      <c r="AX47" s="372"/>
      <c r="AY47" s="367"/>
      <c r="AZ47" s="367">
        <f t="shared" si="56"/>
        <v>198383.37</v>
      </c>
      <c r="BA47" s="373">
        <f t="shared" si="17"/>
        <v>400129.17000000004</v>
      </c>
      <c r="BB47" s="374">
        <f t="shared" si="25"/>
        <v>40012.917000000009</v>
      </c>
      <c r="BC47" s="374">
        <f t="shared" si="26"/>
        <v>8002.5834000000013</v>
      </c>
      <c r="BD47" s="374">
        <f t="shared" si="18"/>
        <v>29156.366960000003</v>
      </c>
      <c r="BE47" s="374">
        <f t="shared" si="27"/>
        <v>322957.30264000001</v>
      </c>
      <c r="BF47" s="374">
        <f t="shared" si="28"/>
        <v>4801550.040000001</v>
      </c>
      <c r="BG47" s="374">
        <f t="shared" si="19"/>
        <v>403491.60000000003</v>
      </c>
      <c r="BH47" s="374">
        <f t="shared" si="29"/>
        <v>5205041.6400000006</v>
      </c>
      <c r="BI47" s="374">
        <f t="shared" si="20"/>
        <v>182176.45740000004</v>
      </c>
      <c r="BJ47" s="374">
        <f t="shared" si="21"/>
        <v>270508.83847200009</v>
      </c>
      <c r="BK47" s="374">
        <f t="shared" si="30"/>
        <v>234226.87380000006</v>
      </c>
      <c r="BL47" s="374">
        <f t="shared" si="31"/>
        <v>156151.24920000002</v>
      </c>
      <c r="BM47" s="373">
        <f t="shared" si="57"/>
        <v>6048105.0588720012</v>
      </c>
      <c r="BN47" s="375"/>
      <c r="BO47" s="377"/>
      <c r="BP47" s="377"/>
      <c r="BQ47" s="377"/>
      <c r="BR47" s="377"/>
      <c r="BS47" s="377"/>
      <c r="BT47" s="377"/>
      <c r="BU47" s="377"/>
      <c r="BV47" s="377"/>
      <c r="BW47" s="377"/>
      <c r="BX47" s="377"/>
      <c r="BY47" s="377"/>
      <c r="BZ47" s="377"/>
      <c r="CA47" s="377"/>
      <c r="CB47" s="377"/>
      <c r="CC47" s="377"/>
      <c r="CD47" s="377"/>
      <c r="CE47" s="377"/>
      <c r="CF47" s="377"/>
      <c r="CG47" s="377"/>
      <c r="CH47" s="377"/>
      <c r="CI47" s="377"/>
    </row>
    <row r="48" spans="1:87" ht="75">
      <c r="A48" s="366">
        <f t="shared" si="58"/>
        <v>34</v>
      </c>
      <c r="B48" s="366">
        <f t="shared" si="58"/>
        <v>3</v>
      </c>
      <c r="C48" s="409" t="s">
        <v>914</v>
      </c>
      <c r="D48" s="412" t="s">
        <v>1074</v>
      </c>
      <c r="E48" s="366" t="s">
        <v>998</v>
      </c>
      <c r="F48" s="1314" t="s">
        <v>254</v>
      </c>
      <c r="G48" s="366" t="s">
        <v>1075</v>
      </c>
      <c r="H48" s="371" t="s">
        <v>1403</v>
      </c>
      <c r="I48" s="366">
        <v>17697</v>
      </c>
      <c r="J48" s="367">
        <v>9.5</v>
      </c>
      <c r="K48" s="367">
        <f t="shared" si="39"/>
        <v>168121.5</v>
      </c>
      <c r="L48" s="380"/>
      <c r="M48" s="380"/>
      <c r="N48" s="380">
        <v>4</v>
      </c>
      <c r="O48" s="380">
        <v>8</v>
      </c>
      <c r="P48" s="380"/>
      <c r="Q48" s="368">
        <f t="shared" si="40"/>
        <v>12</v>
      </c>
      <c r="R48" s="411"/>
      <c r="S48" s="411"/>
      <c r="T48" s="411">
        <v>1</v>
      </c>
      <c r="U48" s="411">
        <v>20</v>
      </c>
      <c r="V48" s="411"/>
      <c r="W48" s="381">
        <f>SUM(R48:V48)</f>
        <v>21</v>
      </c>
      <c r="X48" s="370">
        <f t="shared" si="42"/>
        <v>33</v>
      </c>
      <c r="Y48" s="367">
        <f t="shared" si="43"/>
        <v>346750.59375</v>
      </c>
      <c r="Z48" s="367">
        <f t="shared" si="44"/>
        <v>34675.059375000004</v>
      </c>
      <c r="AA48" s="366">
        <v>13</v>
      </c>
      <c r="AB48" s="367">
        <f t="shared" si="45"/>
        <v>5751.5250000000005</v>
      </c>
      <c r="AC48" s="366">
        <v>0</v>
      </c>
      <c r="AD48" s="367">
        <f t="shared" si="46"/>
        <v>0</v>
      </c>
      <c r="AE48" s="380"/>
      <c r="AF48" s="366"/>
      <c r="AG48" s="367"/>
      <c r="AH48" s="366"/>
      <c r="AI48" s="367"/>
      <c r="AJ48" s="366">
        <f t="shared" si="47"/>
        <v>33</v>
      </c>
      <c r="AK48" s="367">
        <f t="shared" si="48"/>
        <v>14600.025000000001</v>
      </c>
      <c r="AL48" s="366">
        <f t="shared" si="49"/>
        <v>33</v>
      </c>
      <c r="AM48" s="367">
        <f t="shared" si="50"/>
        <v>104025.17812499999</v>
      </c>
      <c r="AN48" s="366" t="str">
        <f t="shared" si="51"/>
        <v>Педагог-модератор</v>
      </c>
      <c r="AO48" s="367" t="str">
        <f t="shared" si="52"/>
        <v>0</v>
      </c>
      <c r="AP48" s="367" t="str">
        <f t="shared" si="53"/>
        <v>0</v>
      </c>
      <c r="AQ48" s="367" t="str">
        <f t="shared" si="54"/>
        <v>0</v>
      </c>
      <c r="AR48" s="367">
        <f t="shared" si="55"/>
        <v>104025.17812499999</v>
      </c>
      <c r="AS48" s="366"/>
      <c r="AT48" s="367"/>
      <c r="AU48" s="380"/>
      <c r="AV48" s="367"/>
      <c r="AW48" s="371" t="str">
        <f t="shared" si="59"/>
        <v>Магистр физика, кандидат доктора естест. Наук</v>
      </c>
      <c r="AX48" s="372">
        <f>(10*4325)+(17*4325)</f>
        <v>116775</v>
      </c>
      <c r="AY48" s="367"/>
      <c r="AZ48" s="367">
        <f t="shared" si="56"/>
        <v>379851.96562500001</v>
      </c>
      <c r="BA48" s="373">
        <f t="shared" si="17"/>
        <v>726602.55937499995</v>
      </c>
      <c r="BB48" s="374">
        <f t="shared" si="25"/>
        <v>72660.255937499998</v>
      </c>
      <c r="BC48" s="374">
        <f t="shared" si="26"/>
        <v>14532.051187499999</v>
      </c>
      <c r="BD48" s="374">
        <f t="shared" si="18"/>
        <v>57886.02522499999</v>
      </c>
      <c r="BE48" s="374">
        <f t="shared" si="27"/>
        <v>581524.22702499991</v>
      </c>
      <c r="BF48" s="374">
        <f t="shared" si="28"/>
        <v>8719230.7124999985</v>
      </c>
      <c r="BG48" s="374">
        <f t="shared" si="19"/>
        <v>693501.1875</v>
      </c>
      <c r="BH48" s="374">
        <f t="shared" si="29"/>
        <v>9412731.8999999985</v>
      </c>
      <c r="BI48" s="374">
        <f t="shared" si="20"/>
        <v>329445.6165</v>
      </c>
      <c r="BJ48" s="374">
        <f t="shared" si="21"/>
        <v>489105.21503249992</v>
      </c>
      <c r="BK48" s="374">
        <f t="shared" si="30"/>
        <v>423572.93549999996</v>
      </c>
      <c r="BL48" s="374">
        <f t="shared" si="31"/>
        <v>282381.95699999994</v>
      </c>
      <c r="BM48" s="373">
        <f t="shared" si="57"/>
        <v>10937237.624032497</v>
      </c>
      <c r="BN48" s="375">
        <v>0.5</v>
      </c>
      <c r="BO48" s="377"/>
      <c r="BP48" s="377"/>
      <c r="BQ48" s="377"/>
      <c r="BR48" s="377"/>
      <c r="BS48" s="377"/>
      <c r="BT48" s="377"/>
      <c r="BU48" s="377"/>
      <c r="BV48" s="377"/>
      <c r="BW48" s="377"/>
      <c r="BX48" s="377"/>
      <c r="BY48" s="377"/>
      <c r="BZ48" s="377"/>
      <c r="CA48" s="377"/>
      <c r="CB48" s="377"/>
      <c r="CC48" s="377"/>
      <c r="CD48" s="377"/>
      <c r="CE48" s="377"/>
      <c r="CF48" s="377"/>
      <c r="CG48" s="377"/>
      <c r="CH48" s="377"/>
      <c r="CI48" s="377"/>
    </row>
    <row r="49" spans="1:87" ht="63" customHeight="1">
      <c r="A49" s="366">
        <f t="shared" si="58"/>
        <v>35</v>
      </c>
      <c r="B49" s="366">
        <f t="shared" si="58"/>
        <v>4</v>
      </c>
      <c r="C49" s="413" t="s">
        <v>1076</v>
      </c>
      <c r="D49" s="414" t="s">
        <v>1077</v>
      </c>
      <c r="E49" s="394" t="s">
        <v>998</v>
      </c>
      <c r="F49" s="1315" t="s">
        <v>1005</v>
      </c>
      <c r="G49" s="394"/>
      <c r="H49" s="371" t="s">
        <v>1078</v>
      </c>
      <c r="I49" s="366">
        <v>17697</v>
      </c>
      <c r="J49" s="367">
        <v>11.4</v>
      </c>
      <c r="K49" s="367">
        <f t="shared" si="39"/>
        <v>201745.80000000002</v>
      </c>
      <c r="L49" s="380"/>
      <c r="M49" s="380">
        <v>12</v>
      </c>
      <c r="N49" s="380"/>
      <c r="O49" s="380"/>
      <c r="P49" s="380"/>
      <c r="Q49" s="368">
        <f t="shared" si="40"/>
        <v>12</v>
      </c>
      <c r="R49" s="411"/>
      <c r="S49" s="411">
        <v>3</v>
      </c>
      <c r="T49" s="411"/>
      <c r="U49" s="411"/>
      <c r="V49" s="411"/>
      <c r="W49" s="381">
        <f t="shared" si="41"/>
        <v>3</v>
      </c>
      <c r="X49" s="370">
        <f t="shared" si="42"/>
        <v>15</v>
      </c>
      <c r="Y49" s="367">
        <f t="shared" si="43"/>
        <v>189136.68750000003</v>
      </c>
      <c r="Z49" s="367">
        <f t="shared" si="44"/>
        <v>18913.668750000004</v>
      </c>
      <c r="AA49" s="366">
        <v>10</v>
      </c>
      <c r="AB49" s="367">
        <f t="shared" si="45"/>
        <v>4424.25</v>
      </c>
      <c r="AC49" s="366">
        <v>5</v>
      </c>
      <c r="AD49" s="367">
        <f t="shared" si="46"/>
        <v>1106.0625</v>
      </c>
      <c r="AE49" s="380"/>
      <c r="AF49" s="366" t="s">
        <v>275</v>
      </c>
      <c r="AG49" s="367">
        <f>17697*20%</f>
        <v>3539.4</v>
      </c>
      <c r="AH49" s="366"/>
      <c r="AI49" s="367"/>
      <c r="AJ49" s="366">
        <f t="shared" si="47"/>
        <v>15</v>
      </c>
      <c r="AK49" s="367">
        <f t="shared" si="48"/>
        <v>6636.375</v>
      </c>
      <c r="AL49" s="366">
        <f t="shared" si="49"/>
        <v>15</v>
      </c>
      <c r="AM49" s="367">
        <f t="shared" si="50"/>
        <v>56741.006250000006</v>
      </c>
      <c r="AN49" s="366" t="str">
        <f t="shared" si="51"/>
        <v>Педагог-зерттеуші</v>
      </c>
      <c r="AO49" s="367" t="str">
        <f t="shared" si="52"/>
        <v>0</v>
      </c>
      <c r="AP49" s="367">
        <f t="shared" si="53"/>
        <v>75654.675000000017</v>
      </c>
      <c r="AQ49" s="367" t="str">
        <f t="shared" si="54"/>
        <v>0</v>
      </c>
      <c r="AR49" s="367" t="str">
        <f t="shared" si="55"/>
        <v>0</v>
      </c>
      <c r="AS49" s="366"/>
      <c r="AT49" s="367"/>
      <c r="AU49" s="371"/>
      <c r="AV49" s="367"/>
      <c r="AW49" s="371">
        <f t="shared" si="59"/>
        <v>0</v>
      </c>
      <c r="AX49" s="372"/>
      <c r="AY49" s="367"/>
      <c r="AZ49" s="367">
        <f t="shared" si="56"/>
        <v>167015.43750000003</v>
      </c>
      <c r="BA49" s="373">
        <f t="shared" si="17"/>
        <v>356152.12500000006</v>
      </c>
      <c r="BB49" s="374">
        <f t="shared" si="25"/>
        <v>35615.212500000009</v>
      </c>
      <c r="BC49" s="374">
        <f t="shared" si="26"/>
        <v>7123.0425000000014</v>
      </c>
      <c r="BD49" s="374">
        <f t="shared" si="18"/>
        <v>25286.387000000006</v>
      </c>
      <c r="BE49" s="374">
        <f t="shared" si="27"/>
        <v>288127.48300000007</v>
      </c>
      <c r="BF49" s="374">
        <f t="shared" si="28"/>
        <v>4273825.5000000009</v>
      </c>
      <c r="BG49" s="374">
        <f t="shared" si="19"/>
        <v>378273.37500000006</v>
      </c>
      <c r="BH49" s="374">
        <f t="shared" si="29"/>
        <v>4652098.8750000009</v>
      </c>
      <c r="BI49" s="374">
        <f t="shared" si="20"/>
        <v>162823.46062500004</v>
      </c>
      <c r="BJ49" s="374">
        <f t="shared" si="21"/>
        <v>241810.92315000008</v>
      </c>
      <c r="BK49" s="374">
        <f t="shared" si="30"/>
        <v>209344.44937500005</v>
      </c>
      <c r="BL49" s="374">
        <f t="shared" si="31"/>
        <v>139562.96625000003</v>
      </c>
      <c r="BM49" s="373">
        <f t="shared" si="57"/>
        <v>5405640.6744000008</v>
      </c>
      <c r="BN49" s="375"/>
      <c r="BO49" s="377"/>
      <c r="BP49" s="377"/>
      <c r="BQ49" s="377"/>
      <c r="BR49" s="377"/>
      <c r="BS49" s="377"/>
      <c r="BT49" s="377"/>
      <c r="BU49" s="377"/>
      <c r="BV49" s="377"/>
      <c r="BW49" s="377"/>
      <c r="BX49" s="377"/>
      <c r="BY49" s="377"/>
      <c r="BZ49" s="377"/>
      <c r="CA49" s="377"/>
      <c r="CB49" s="377"/>
      <c r="CC49" s="377"/>
      <c r="CD49" s="377"/>
      <c r="CE49" s="377"/>
      <c r="CF49" s="377"/>
      <c r="CG49" s="377"/>
      <c r="CH49" s="377"/>
      <c r="CI49" s="377"/>
    </row>
    <row r="50" spans="1:87" ht="30">
      <c r="A50" s="366">
        <f t="shared" si="58"/>
        <v>36</v>
      </c>
      <c r="B50" s="366">
        <f t="shared" si="58"/>
        <v>5</v>
      </c>
      <c r="C50" s="378" t="s">
        <v>1079</v>
      </c>
      <c r="D50" s="379" t="s">
        <v>1080</v>
      </c>
      <c r="E50" s="362" t="s">
        <v>998</v>
      </c>
      <c r="F50" s="1298" t="s">
        <v>999</v>
      </c>
      <c r="G50" s="383"/>
      <c r="H50" s="365" t="s">
        <v>1081</v>
      </c>
      <c r="I50" s="366">
        <v>17697</v>
      </c>
      <c r="J50" s="367">
        <v>11.4</v>
      </c>
      <c r="K50" s="367">
        <f t="shared" si="39"/>
        <v>201745.80000000002</v>
      </c>
      <c r="L50" s="380"/>
      <c r="M50" s="380"/>
      <c r="N50" s="380"/>
      <c r="O50" s="380"/>
      <c r="P50" s="380">
        <v>16</v>
      </c>
      <c r="Q50" s="368">
        <f t="shared" si="40"/>
        <v>16</v>
      </c>
      <c r="R50" s="411"/>
      <c r="S50" s="411"/>
      <c r="T50" s="411"/>
      <c r="U50" s="411"/>
      <c r="V50" s="411"/>
      <c r="W50" s="381">
        <f t="shared" si="41"/>
        <v>0</v>
      </c>
      <c r="X50" s="370">
        <f t="shared" si="42"/>
        <v>16</v>
      </c>
      <c r="Y50" s="367">
        <f t="shared" si="43"/>
        <v>201745.80000000002</v>
      </c>
      <c r="Z50" s="367">
        <f t="shared" si="44"/>
        <v>20174.580000000002</v>
      </c>
      <c r="AA50" s="366">
        <v>12</v>
      </c>
      <c r="AB50" s="367">
        <f t="shared" si="45"/>
        <v>5309.1</v>
      </c>
      <c r="AC50" s="366">
        <v>4</v>
      </c>
      <c r="AD50" s="367">
        <f t="shared" si="46"/>
        <v>884.85</v>
      </c>
      <c r="AE50" s="380"/>
      <c r="AF50" s="366" t="s">
        <v>1082</v>
      </c>
      <c r="AG50" s="367">
        <f>17697*20%</f>
        <v>3539.4</v>
      </c>
      <c r="AH50" s="366"/>
      <c r="AI50" s="367"/>
      <c r="AJ50" s="366">
        <f t="shared" si="47"/>
        <v>16</v>
      </c>
      <c r="AK50" s="367">
        <f t="shared" si="48"/>
        <v>7078.8</v>
      </c>
      <c r="AL50" s="366">
        <f t="shared" si="49"/>
        <v>16</v>
      </c>
      <c r="AM50" s="367">
        <f t="shared" si="50"/>
        <v>60523.740000000005</v>
      </c>
      <c r="AN50" s="366" t="str">
        <f t="shared" si="51"/>
        <v>Педагог-шебер</v>
      </c>
      <c r="AO50" s="367">
        <f t="shared" si="52"/>
        <v>100872.90000000001</v>
      </c>
      <c r="AP50" s="367" t="str">
        <f t="shared" si="53"/>
        <v>0</v>
      </c>
      <c r="AQ50" s="367" t="str">
        <f t="shared" si="54"/>
        <v>0</v>
      </c>
      <c r="AR50" s="367" t="str">
        <f t="shared" si="55"/>
        <v>0</v>
      </c>
      <c r="AS50" s="366"/>
      <c r="AT50" s="367"/>
      <c r="AU50" s="380"/>
      <c r="AV50" s="367"/>
      <c r="AW50" s="371">
        <f t="shared" si="59"/>
        <v>0</v>
      </c>
      <c r="AX50" s="372"/>
      <c r="AY50" s="367"/>
      <c r="AZ50" s="367">
        <f t="shared" si="56"/>
        <v>198383.37</v>
      </c>
      <c r="BA50" s="373">
        <f t="shared" si="17"/>
        <v>400129.17000000004</v>
      </c>
      <c r="BB50" s="374">
        <f t="shared" si="25"/>
        <v>40012.917000000009</v>
      </c>
      <c r="BC50" s="374">
        <f t="shared" si="26"/>
        <v>8002.5834000000013</v>
      </c>
      <c r="BD50" s="374">
        <f t="shared" si="18"/>
        <v>29156.366960000003</v>
      </c>
      <c r="BE50" s="374">
        <f t="shared" si="27"/>
        <v>322957.30264000001</v>
      </c>
      <c r="BF50" s="374">
        <f t="shared" si="28"/>
        <v>4801550.040000001</v>
      </c>
      <c r="BG50" s="374">
        <f t="shared" si="19"/>
        <v>403491.60000000003</v>
      </c>
      <c r="BH50" s="374">
        <f t="shared" si="29"/>
        <v>5205041.6400000006</v>
      </c>
      <c r="BI50" s="374">
        <f t="shared" si="20"/>
        <v>182176.45740000004</v>
      </c>
      <c r="BJ50" s="374">
        <f t="shared" si="21"/>
        <v>270508.83847200009</v>
      </c>
      <c r="BK50" s="374">
        <f t="shared" si="30"/>
        <v>234226.87380000006</v>
      </c>
      <c r="BL50" s="374">
        <f t="shared" si="31"/>
        <v>156151.24920000002</v>
      </c>
      <c r="BM50" s="373">
        <f t="shared" si="57"/>
        <v>6048105.0588720012</v>
      </c>
      <c r="BN50" s="375"/>
      <c r="BO50" s="377"/>
      <c r="BP50" s="377"/>
      <c r="BQ50" s="377"/>
      <c r="BR50" s="377"/>
      <c r="BS50" s="377"/>
      <c r="BT50" s="377"/>
      <c r="BU50" s="377"/>
      <c r="BV50" s="377"/>
      <c r="BW50" s="377"/>
      <c r="BX50" s="377"/>
      <c r="BY50" s="377"/>
      <c r="BZ50" s="377"/>
      <c r="CA50" s="377"/>
      <c r="CB50" s="377"/>
      <c r="CC50" s="377"/>
      <c r="CD50" s="377"/>
      <c r="CE50" s="377"/>
      <c r="CF50" s="377"/>
      <c r="CG50" s="377"/>
      <c r="CH50" s="377"/>
      <c r="CI50" s="377"/>
    </row>
    <row r="51" spans="1:87" ht="68.25" customHeight="1">
      <c r="A51" s="366">
        <f t="shared" si="58"/>
        <v>37</v>
      </c>
      <c r="B51" s="366">
        <f t="shared" si="58"/>
        <v>6</v>
      </c>
      <c r="C51" s="415" t="s">
        <v>1083</v>
      </c>
      <c r="D51" s="379" t="s">
        <v>1084</v>
      </c>
      <c r="E51" s="362" t="s">
        <v>998</v>
      </c>
      <c r="F51" s="1299" t="s">
        <v>254</v>
      </c>
      <c r="G51" s="406" t="s">
        <v>1085</v>
      </c>
      <c r="H51" s="365" t="s">
        <v>1415</v>
      </c>
      <c r="I51" s="366">
        <v>17697</v>
      </c>
      <c r="J51" s="367">
        <v>10</v>
      </c>
      <c r="K51" s="367">
        <f t="shared" si="39"/>
        <v>176970</v>
      </c>
      <c r="L51" s="380"/>
      <c r="M51" s="380"/>
      <c r="N51" s="380">
        <v>16</v>
      </c>
      <c r="O51" s="380">
        <v>12</v>
      </c>
      <c r="P51" s="380"/>
      <c r="Q51" s="368">
        <f t="shared" si="40"/>
        <v>28</v>
      </c>
      <c r="R51" s="411"/>
      <c r="S51" s="411"/>
      <c r="T51" s="411">
        <v>4</v>
      </c>
      <c r="U51" s="411"/>
      <c r="V51" s="411"/>
      <c r="W51" s="381">
        <f t="shared" si="41"/>
        <v>4</v>
      </c>
      <c r="X51" s="370">
        <f t="shared" si="42"/>
        <v>32</v>
      </c>
      <c r="Y51" s="367">
        <f t="shared" si="43"/>
        <v>353940</v>
      </c>
      <c r="Z51" s="367">
        <f t="shared" si="44"/>
        <v>35394</v>
      </c>
      <c r="AA51" s="366">
        <v>32</v>
      </c>
      <c r="AB51" s="367">
        <f t="shared" si="45"/>
        <v>14157.6</v>
      </c>
      <c r="AC51" s="366">
        <v>0</v>
      </c>
      <c r="AD51" s="367">
        <f t="shared" si="46"/>
        <v>0</v>
      </c>
      <c r="AE51" s="416"/>
      <c r="AF51" s="366"/>
      <c r="AG51" s="367"/>
      <c r="AH51" s="366"/>
      <c r="AI51" s="367"/>
      <c r="AJ51" s="366">
        <f t="shared" si="47"/>
        <v>32</v>
      </c>
      <c r="AK51" s="367">
        <f t="shared" si="48"/>
        <v>14157.6</v>
      </c>
      <c r="AL51" s="366">
        <f t="shared" si="49"/>
        <v>32</v>
      </c>
      <c r="AM51" s="367">
        <f t="shared" si="50"/>
        <v>106182</v>
      </c>
      <c r="AN51" s="366" t="str">
        <f t="shared" si="51"/>
        <v>Педагог-модератор</v>
      </c>
      <c r="AO51" s="367" t="str">
        <f t="shared" si="52"/>
        <v>0</v>
      </c>
      <c r="AP51" s="367" t="str">
        <f t="shared" si="53"/>
        <v>0</v>
      </c>
      <c r="AQ51" s="367" t="str">
        <f t="shared" si="54"/>
        <v>0</v>
      </c>
      <c r="AR51" s="367">
        <f t="shared" si="55"/>
        <v>106182</v>
      </c>
      <c r="AS51" s="366"/>
      <c r="AT51" s="367"/>
      <c r="AU51" s="371"/>
      <c r="AV51" s="367"/>
      <c r="AW51" s="371" t="str">
        <f t="shared" si="59"/>
        <v>Магистр материаловедение</v>
      </c>
      <c r="AX51" s="372">
        <f>10*4325</f>
        <v>43250</v>
      </c>
      <c r="AY51" s="367"/>
      <c r="AZ51" s="367">
        <f t="shared" si="56"/>
        <v>319323.2</v>
      </c>
      <c r="BA51" s="373">
        <f t="shared" si="17"/>
        <v>673263.2</v>
      </c>
      <c r="BB51" s="374">
        <f t="shared" si="25"/>
        <v>67326.319999999992</v>
      </c>
      <c r="BC51" s="374">
        <f t="shared" si="26"/>
        <v>13465.263999999999</v>
      </c>
      <c r="BD51" s="374">
        <f t="shared" si="18"/>
        <v>53192.161600000007</v>
      </c>
      <c r="BE51" s="374">
        <f t="shared" si="27"/>
        <v>539279.45440000005</v>
      </c>
      <c r="BF51" s="374">
        <f t="shared" si="28"/>
        <v>8079158.3999999994</v>
      </c>
      <c r="BG51" s="374">
        <f t="shared" si="19"/>
        <v>707880</v>
      </c>
      <c r="BH51" s="374">
        <f t="shared" si="29"/>
        <v>8787038.3999999985</v>
      </c>
      <c r="BI51" s="374">
        <f t="shared" si="20"/>
        <v>307546.34399999998</v>
      </c>
      <c r="BJ51" s="374">
        <f t="shared" si="21"/>
        <v>456725.92511999997</v>
      </c>
      <c r="BK51" s="374">
        <f t="shared" si="30"/>
        <v>395416.72799999994</v>
      </c>
      <c r="BL51" s="374">
        <f t="shared" si="31"/>
        <v>263611.15199999994</v>
      </c>
      <c r="BM51" s="373">
        <f t="shared" si="57"/>
        <v>10210338.54912</v>
      </c>
      <c r="BN51" s="375"/>
      <c r="BO51" s="377"/>
      <c r="BP51" s="377"/>
      <c r="BQ51" s="377"/>
      <c r="BR51" s="377"/>
      <c r="BS51" s="377"/>
      <c r="BT51" s="377"/>
      <c r="BU51" s="377"/>
      <c r="BV51" s="377"/>
      <c r="BW51" s="377"/>
      <c r="BX51" s="377"/>
      <c r="BY51" s="377"/>
      <c r="BZ51" s="377"/>
      <c r="CA51" s="377"/>
      <c r="CB51" s="377"/>
      <c r="CC51" s="377"/>
      <c r="CD51" s="377"/>
      <c r="CE51" s="377"/>
      <c r="CF51" s="377"/>
      <c r="CG51" s="377"/>
      <c r="CH51" s="377"/>
      <c r="CI51" s="377"/>
    </row>
    <row r="52" spans="1:87" ht="31.5">
      <c r="A52" s="366">
        <f t="shared" si="58"/>
        <v>38</v>
      </c>
      <c r="B52" s="366">
        <f t="shared" si="58"/>
        <v>7</v>
      </c>
      <c r="C52" s="417" t="s">
        <v>1086</v>
      </c>
      <c r="D52" s="379" t="s">
        <v>1087</v>
      </c>
      <c r="E52" s="362" t="s">
        <v>998</v>
      </c>
      <c r="F52" s="1298"/>
      <c r="G52" s="362"/>
      <c r="H52" s="365" t="s">
        <v>1088</v>
      </c>
      <c r="I52" s="366">
        <v>17697</v>
      </c>
      <c r="J52" s="367">
        <v>11.4</v>
      </c>
      <c r="K52" s="367">
        <f t="shared" si="39"/>
        <v>201745.80000000002</v>
      </c>
      <c r="L52" s="380"/>
      <c r="M52" s="380">
        <v>20</v>
      </c>
      <c r="N52" s="380"/>
      <c r="O52" s="380"/>
      <c r="P52" s="380"/>
      <c r="Q52" s="368">
        <f t="shared" si="40"/>
        <v>20</v>
      </c>
      <c r="R52" s="411"/>
      <c r="S52" s="411">
        <v>5</v>
      </c>
      <c r="T52" s="411"/>
      <c r="U52" s="411"/>
      <c r="V52" s="411"/>
      <c r="W52" s="381">
        <f t="shared" si="41"/>
        <v>5</v>
      </c>
      <c r="X52" s="370">
        <f t="shared" si="42"/>
        <v>25</v>
      </c>
      <c r="Y52" s="367">
        <f t="shared" si="43"/>
        <v>315227.8125</v>
      </c>
      <c r="Z52" s="367">
        <f t="shared" si="44"/>
        <v>31522.78125</v>
      </c>
      <c r="AA52" s="366">
        <v>5</v>
      </c>
      <c r="AB52" s="367">
        <f t="shared" si="45"/>
        <v>2212.125</v>
      </c>
      <c r="AC52" s="366">
        <v>20</v>
      </c>
      <c r="AD52" s="367">
        <f t="shared" si="46"/>
        <v>4424.25</v>
      </c>
      <c r="AE52" s="380"/>
      <c r="AF52" s="366"/>
      <c r="AG52" s="367"/>
      <c r="AH52" s="366"/>
      <c r="AI52" s="367"/>
      <c r="AJ52" s="366">
        <f t="shared" si="47"/>
        <v>25</v>
      </c>
      <c r="AK52" s="367">
        <f t="shared" si="48"/>
        <v>11060.625</v>
      </c>
      <c r="AL52" s="366">
        <f t="shared" si="49"/>
        <v>25</v>
      </c>
      <c r="AM52" s="367">
        <f t="shared" si="50"/>
        <v>94568.34375</v>
      </c>
      <c r="AN52" s="366">
        <f t="shared" si="51"/>
        <v>0</v>
      </c>
      <c r="AO52" s="367" t="str">
        <f t="shared" si="52"/>
        <v>0</v>
      </c>
      <c r="AP52" s="367" t="str">
        <f t="shared" si="53"/>
        <v>0</v>
      </c>
      <c r="AQ52" s="367" t="str">
        <f t="shared" si="54"/>
        <v>0</v>
      </c>
      <c r="AR52" s="367" t="str">
        <f t="shared" si="55"/>
        <v>0</v>
      </c>
      <c r="AS52" s="366"/>
      <c r="AT52" s="367"/>
      <c r="AU52" s="371"/>
      <c r="AV52" s="367"/>
      <c r="AW52" s="371">
        <f t="shared" si="59"/>
        <v>0</v>
      </c>
      <c r="AX52" s="372"/>
      <c r="AY52" s="367"/>
      <c r="AZ52" s="367">
        <f t="shared" si="56"/>
        <v>143788.125</v>
      </c>
      <c r="BA52" s="373">
        <f t="shared" si="17"/>
        <v>459015.9375</v>
      </c>
      <c r="BB52" s="374">
        <f t="shared" si="25"/>
        <v>45901.59375</v>
      </c>
      <c r="BC52" s="374">
        <f t="shared" si="26"/>
        <v>9180.3187500000004</v>
      </c>
      <c r="BD52" s="374">
        <f t="shared" si="18"/>
        <v>34338.402500000004</v>
      </c>
      <c r="BE52" s="374">
        <f t="shared" si="27"/>
        <v>369595.6225</v>
      </c>
      <c r="BF52" s="374">
        <f t="shared" si="28"/>
        <v>5508191.25</v>
      </c>
      <c r="BG52" s="374">
        <f t="shared" si="19"/>
        <v>630455.625</v>
      </c>
      <c r="BH52" s="374">
        <f t="shared" si="29"/>
        <v>6138646.875</v>
      </c>
      <c r="BI52" s="374">
        <f t="shared" si="20"/>
        <v>214852.64062500003</v>
      </c>
      <c r="BJ52" s="374">
        <f t="shared" si="21"/>
        <v>319368.9105</v>
      </c>
      <c r="BK52" s="374">
        <f t="shared" si="30"/>
        <v>276239.109375</v>
      </c>
      <c r="BL52" s="374">
        <f t="shared" si="31"/>
        <v>184159.40625</v>
      </c>
      <c r="BM52" s="373">
        <f t="shared" si="57"/>
        <v>7133266.9417500002</v>
      </c>
      <c r="BN52" s="375"/>
      <c r="BO52" s="377"/>
      <c r="BP52" s="377"/>
      <c r="BQ52" s="377"/>
      <c r="BR52" s="377"/>
      <c r="BS52" s="377"/>
      <c r="BT52" s="377"/>
      <c r="BU52" s="377"/>
      <c r="BV52" s="377"/>
      <c r="BW52" s="377"/>
      <c r="BX52" s="377"/>
      <c r="BY52" s="377"/>
      <c r="BZ52" s="377"/>
      <c r="CA52" s="377"/>
      <c r="CB52" s="377"/>
      <c r="CC52" s="377"/>
      <c r="CD52" s="377"/>
      <c r="CE52" s="377"/>
      <c r="CF52" s="377"/>
      <c r="CG52" s="377"/>
      <c r="CH52" s="377"/>
      <c r="CI52" s="377"/>
    </row>
    <row r="53" spans="1:87" ht="31.5">
      <c r="A53" s="366">
        <f t="shared" si="58"/>
        <v>39</v>
      </c>
      <c r="B53" s="366">
        <f t="shared" si="58"/>
        <v>8</v>
      </c>
      <c r="C53" s="417" t="s">
        <v>1089</v>
      </c>
      <c r="D53" s="379" t="s">
        <v>1090</v>
      </c>
      <c r="E53" s="362" t="s">
        <v>998</v>
      </c>
      <c r="F53" s="1315" t="s">
        <v>1005</v>
      </c>
      <c r="G53" s="362"/>
      <c r="H53" s="365" t="s">
        <v>1416</v>
      </c>
      <c r="I53" s="366">
        <v>17697</v>
      </c>
      <c r="J53" s="367">
        <v>11.02</v>
      </c>
      <c r="K53" s="367">
        <f t="shared" si="39"/>
        <v>195020.94</v>
      </c>
      <c r="L53" s="380"/>
      <c r="M53" s="380">
        <v>4</v>
      </c>
      <c r="N53" s="380">
        <v>12</v>
      </c>
      <c r="O53" s="380"/>
      <c r="P53" s="380"/>
      <c r="Q53" s="368">
        <f t="shared" si="40"/>
        <v>16</v>
      </c>
      <c r="R53" s="411"/>
      <c r="S53" s="411">
        <v>1</v>
      </c>
      <c r="T53" s="411">
        <v>3</v>
      </c>
      <c r="U53" s="411"/>
      <c r="V53" s="411"/>
      <c r="W53" s="381">
        <f t="shared" si="41"/>
        <v>4</v>
      </c>
      <c r="X53" s="370">
        <f t="shared" si="42"/>
        <v>20</v>
      </c>
      <c r="Y53" s="367">
        <f t="shared" si="43"/>
        <v>243776.17499999999</v>
      </c>
      <c r="Z53" s="367">
        <f t="shared" si="44"/>
        <v>24377.6175</v>
      </c>
      <c r="AA53" s="366">
        <v>15</v>
      </c>
      <c r="AB53" s="367">
        <f t="shared" si="45"/>
        <v>6636.375</v>
      </c>
      <c r="AC53" s="366">
        <v>5</v>
      </c>
      <c r="AD53" s="367">
        <f t="shared" si="46"/>
        <v>1106.0625</v>
      </c>
      <c r="AE53" s="380"/>
      <c r="AF53" s="366"/>
      <c r="AG53" s="367"/>
      <c r="AH53" s="366"/>
      <c r="AI53" s="367"/>
      <c r="AJ53" s="366">
        <f t="shared" si="47"/>
        <v>20</v>
      </c>
      <c r="AK53" s="367">
        <f t="shared" si="48"/>
        <v>8848.5</v>
      </c>
      <c r="AL53" s="366">
        <f t="shared" si="49"/>
        <v>20</v>
      </c>
      <c r="AM53" s="367">
        <f t="shared" si="50"/>
        <v>73132.852499999994</v>
      </c>
      <c r="AN53" s="366" t="str">
        <f t="shared" si="51"/>
        <v>Педагог-зерттеуші</v>
      </c>
      <c r="AO53" s="367" t="str">
        <f t="shared" si="52"/>
        <v>0</v>
      </c>
      <c r="AP53" s="367">
        <f t="shared" si="53"/>
        <v>97510.47</v>
      </c>
      <c r="AQ53" s="367" t="str">
        <f t="shared" si="54"/>
        <v>0</v>
      </c>
      <c r="AR53" s="367" t="str">
        <f t="shared" si="55"/>
        <v>0</v>
      </c>
      <c r="AS53" s="366"/>
      <c r="AT53" s="367"/>
      <c r="AU53" s="371"/>
      <c r="AV53" s="367"/>
      <c r="AW53" s="371">
        <f t="shared" si="59"/>
        <v>0</v>
      </c>
      <c r="AX53" s="372"/>
      <c r="AY53" s="367"/>
      <c r="AZ53" s="367">
        <f t="shared" si="56"/>
        <v>211611.8775</v>
      </c>
      <c r="BA53" s="373">
        <f t="shared" si="17"/>
        <v>455388.05249999999</v>
      </c>
      <c r="BB53" s="374">
        <f t="shared" si="25"/>
        <v>45538.805250000005</v>
      </c>
      <c r="BC53" s="374">
        <f t="shared" si="26"/>
        <v>9107.7610499999992</v>
      </c>
      <c r="BD53" s="374">
        <f t="shared" si="18"/>
        <v>34019.148620000007</v>
      </c>
      <c r="BE53" s="374">
        <f t="shared" si="27"/>
        <v>366722.33758000005</v>
      </c>
      <c r="BF53" s="374">
        <f t="shared" si="28"/>
        <v>5464656.6299999999</v>
      </c>
      <c r="BG53" s="374">
        <f t="shared" si="19"/>
        <v>487552.35</v>
      </c>
      <c r="BH53" s="374">
        <f t="shared" si="29"/>
        <v>5952208.9799999995</v>
      </c>
      <c r="BI53" s="374">
        <f t="shared" si="20"/>
        <v>208327.3143</v>
      </c>
      <c r="BJ53" s="374">
        <f t="shared" si="21"/>
        <v>309397.04033399996</v>
      </c>
      <c r="BK53" s="374">
        <f t="shared" si="30"/>
        <v>267849.40409999999</v>
      </c>
      <c r="BL53" s="374">
        <f t="shared" si="31"/>
        <v>178566.26939999999</v>
      </c>
      <c r="BM53" s="373">
        <f t="shared" si="57"/>
        <v>6916349.0081339991</v>
      </c>
      <c r="BN53" s="375"/>
      <c r="BO53" s="377"/>
      <c r="BP53" s="377"/>
      <c r="BQ53" s="377"/>
      <c r="BR53" s="377"/>
      <c r="BS53" s="377"/>
      <c r="BT53" s="377"/>
      <c r="BU53" s="377"/>
      <c r="BV53" s="377"/>
      <c r="BW53" s="377"/>
      <c r="BX53" s="377"/>
      <c r="BY53" s="377"/>
      <c r="BZ53" s="377"/>
      <c r="CA53" s="377"/>
      <c r="CB53" s="377"/>
      <c r="CC53" s="377"/>
      <c r="CD53" s="377"/>
      <c r="CE53" s="377"/>
      <c r="CF53" s="377"/>
      <c r="CG53" s="377"/>
      <c r="CH53" s="377"/>
      <c r="CI53" s="377"/>
    </row>
    <row r="54" spans="1:87" ht="47.25">
      <c r="A54" s="366">
        <f t="shared" si="58"/>
        <v>40</v>
      </c>
      <c r="B54" s="366">
        <f t="shared" si="58"/>
        <v>9</v>
      </c>
      <c r="C54" s="378" t="s">
        <v>1091</v>
      </c>
      <c r="D54" s="379" t="s">
        <v>1092</v>
      </c>
      <c r="E54" s="362" t="s">
        <v>998</v>
      </c>
      <c r="F54" s="1298" t="s">
        <v>1005</v>
      </c>
      <c r="G54" s="362" t="s">
        <v>1093</v>
      </c>
      <c r="H54" s="365" t="s">
        <v>1417</v>
      </c>
      <c r="I54" s="366">
        <v>17697</v>
      </c>
      <c r="J54" s="367">
        <v>10.82</v>
      </c>
      <c r="K54" s="367">
        <f t="shared" si="39"/>
        <v>191481.54</v>
      </c>
      <c r="L54" s="380">
        <v>20</v>
      </c>
      <c r="M54" s="380"/>
      <c r="N54" s="380">
        <v>4</v>
      </c>
      <c r="O54" s="380"/>
      <c r="P54" s="380"/>
      <c r="Q54" s="368">
        <f>SUM(L54:P54)</f>
        <v>24</v>
      </c>
      <c r="R54" s="411">
        <v>5</v>
      </c>
      <c r="S54" s="411"/>
      <c r="T54" s="411">
        <v>1</v>
      </c>
      <c r="U54" s="411"/>
      <c r="V54" s="411"/>
      <c r="W54" s="381">
        <f>SUM(R54:V54)</f>
        <v>6</v>
      </c>
      <c r="X54" s="370">
        <f t="shared" si="42"/>
        <v>30</v>
      </c>
      <c r="Y54" s="367">
        <f t="shared" si="43"/>
        <v>359027.88750000001</v>
      </c>
      <c r="Z54" s="367">
        <f t="shared" si="44"/>
        <v>35902.78875</v>
      </c>
      <c r="AA54" s="366">
        <v>5</v>
      </c>
      <c r="AB54" s="367">
        <f t="shared" si="45"/>
        <v>2212.125</v>
      </c>
      <c r="AC54" s="366">
        <v>25</v>
      </c>
      <c r="AD54" s="367">
        <f t="shared" si="46"/>
        <v>5530.3125</v>
      </c>
      <c r="AE54" s="380"/>
      <c r="AF54" s="366" t="s">
        <v>1094</v>
      </c>
      <c r="AG54" s="367">
        <f>17697*20%</f>
        <v>3539.4</v>
      </c>
      <c r="AH54" s="366"/>
      <c r="AI54" s="367"/>
      <c r="AJ54" s="366">
        <f t="shared" si="47"/>
        <v>30</v>
      </c>
      <c r="AK54" s="367">
        <f t="shared" si="48"/>
        <v>13272.75</v>
      </c>
      <c r="AL54" s="366">
        <f t="shared" si="49"/>
        <v>30</v>
      </c>
      <c r="AM54" s="367">
        <f t="shared" si="50"/>
        <v>107708.36625000001</v>
      </c>
      <c r="AN54" s="366" t="str">
        <f t="shared" si="51"/>
        <v>Педагог-зерттеуші</v>
      </c>
      <c r="AO54" s="367" t="str">
        <f t="shared" si="52"/>
        <v>0</v>
      </c>
      <c r="AP54" s="367">
        <f t="shared" si="53"/>
        <v>143611.155</v>
      </c>
      <c r="AQ54" s="367" t="str">
        <f t="shared" si="54"/>
        <v>0</v>
      </c>
      <c r="AR54" s="367" t="str">
        <f t="shared" si="55"/>
        <v>0</v>
      </c>
      <c r="AS54" s="366"/>
      <c r="AT54" s="367"/>
      <c r="AU54" s="371"/>
      <c r="AV54" s="367"/>
      <c r="AW54" s="371" t="str">
        <f t="shared" si="59"/>
        <v>Магистр-физика</v>
      </c>
      <c r="AX54" s="372">
        <f>10*4325</f>
        <v>43250</v>
      </c>
      <c r="AY54" s="367"/>
      <c r="AZ54" s="367">
        <f t="shared" si="56"/>
        <v>355026.89749999996</v>
      </c>
      <c r="BA54" s="373">
        <f t="shared" si="17"/>
        <v>714054.78499999992</v>
      </c>
      <c r="BB54" s="374">
        <f t="shared" si="25"/>
        <v>71405.478499999997</v>
      </c>
      <c r="BC54" s="374">
        <f t="shared" si="26"/>
        <v>14281.095699999998</v>
      </c>
      <c r="BD54" s="374">
        <f t="shared" si="18"/>
        <v>56781.821080000002</v>
      </c>
      <c r="BE54" s="374">
        <f t="shared" si="27"/>
        <v>571586.38971999998</v>
      </c>
      <c r="BF54" s="374">
        <f t="shared" si="28"/>
        <v>8568657.4199999981</v>
      </c>
      <c r="BG54" s="374">
        <f t="shared" si="19"/>
        <v>718055.77500000002</v>
      </c>
      <c r="BH54" s="374">
        <f t="shared" si="29"/>
        <v>9286713.1949999984</v>
      </c>
      <c r="BI54" s="374">
        <f t="shared" si="20"/>
        <v>325034.96182499995</v>
      </c>
      <c r="BJ54" s="374">
        <f t="shared" si="21"/>
        <v>482631.46620599995</v>
      </c>
      <c r="BK54" s="374">
        <f t="shared" si="30"/>
        <v>417902.09377499996</v>
      </c>
      <c r="BL54" s="374">
        <f t="shared" si="31"/>
        <v>278601.39584999997</v>
      </c>
      <c r="BM54" s="373">
        <f t="shared" si="57"/>
        <v>10790883.112655999</v>
      </c>
      <c r="BN54" s="375"/>
      <c r="BO54" s="377"/>
      <c r="BP54" s="377"/>
      <c r="BQ54" s="377"/>
      <c r="BR54" s="377"/>
      <c r="BS54" s="377"/>
      <c r="BT54" s="377"/>
      <c r="BU54" s="377"/>
      <c r="BV54" s="377"/>
      <c r="BW54" s="377"/>
      <c r="BX54" s="377"/>
      <c r="BY54" s="377"/>
      <c r="BZ54" s="377"/>
      <c r="CA54" s="377"/>
      <c r="CB54" s="377"/>
      <c r="CC54" s="377"/>
      <c r="CD54" s="377"/>
      <c r="CE54" s="377"/>
      <c r="CF54" s="377"/>
      <c r="CG54" s="377"/>
      <c r="CH54" s="377"/>
      <c r="CI54" s="377"/>
    </row>
    <row r="55" spans="1:87" ht="96.6" customHeight="1">
      <c r="A55" s="366">
        <f t="shared" si="58"/>
        <v>41</v>
      </c>
      <c r="B55" s="366">
        <f t="shared" si="58"/>
        <v>10</v>
      </c>
      <c r="C55" s="418" t="s">
        <v>1095</v>
      </c>
      <c r="D55" s="412" t="s">
        <v>1096</v>
      </c>
      <c r="E55" s="390" t="s">
        <v>998</v>
      </c>
      <c r="F55" s="1317" t="s">
        <v>1005</v>
      </c>
      <c r="G55" s="390" t="s">
        <v>1097</v>
      </c>
      <c r="H55" s="371" t="s">
        <v>1418</v>
      </c>
      <c r="I55" s="366">
        <v>17697</v>
      </c>
      <c r="J55" s="367">
        <v>10.6</v>
      </c>
      <c r="K55" s="367">
        <f t="shared" si="39"/>
        <v>187588.19999999998</v>
      </c>
      <c r="L55" s="380"/>
      <c r="M55" s="380"/>
      <c r="N55" s="380">
        <v>8</v>
      </c>
      <c r="O55" s="380"/>
      <c r="P55" s="380">
        <v>20</v>
      </c>
      <c r="Q55" s="368">
        <f t="shared" si="40"/>
        <v>28</v>
      </c>
      <c r="R55" s="380"/>
      <c r="S55" s="380">
        <v>3</v>
      </c>
      <c r="T55" s="380">
        <v>6</v>
      </c>
      <c r="U55" s="380"/>
      <c r="V55" s="380"/>
      <c r="W55" s="381">
        <f t="shared" si="41"/>
        <v>9</v>
      </c>
      <c r="X55" s="370">
        <f t="shared" si="42"/>
        <v>37</v>
      </c>
      <c r="Y55" s="367">
        <f t="shared" si="43"/>
        <v>433797.71249999997</v>
      </c>
      <c r="Z55" s="367">
        <f t="shared" si="44"/>
        <v>43379.771249999998</v>
      </c>
      <c r="AA55" s="366">
        <v>10</v>
      </c>
      <c r="AB55" s="367">
        <f t="shared" si="45"/>
        <v>4424.25</v>
      </c>
      <c r="AC55" s="366">
        <v>20</v>
      </c>
      <c r="AD55" s="367">
        <f t="shared" si="46"/>
        <v>4424.25</v>
      </c>
      <c r="AE55" s="380"/>
      <c r="AF55" s="366"/>
      <c r="AG55" s="367"/>
      <c r="AH55" s="366"/>
      <c r="AI55" s="367"/>
      <c r="AJ55" s="366">
        <f t="shared" si="47"/>
        <v>37</v>
      </c>
      <c r="AK55" s="367">
        <f t="shared" si="48"/>
        <v>16369.725</v>
      </c>
      <c r="AL55" s="366">
        <f t="shared" si="49"/>
        <v>37</v>
      </c>
      <c r="AM55" s="367">
        <f t="shared" si="50"/>
        <v>130139.31374999999</v>
      </c>
      <c r="AN55" s="366" t="str">
        <f t="shared" si="51"/>
        <v>Педагог-зерттеуші</v>
      </c>
      <c r="AO55" s="367" t="str">
        <f t="shared" si="52"/>
        <v>0</v>
      </c>
      <c r="AP55" s="367">
        <f t="shared" si="53"/>
        <v>173519.08499999999</v>
      </c>
      <c r="AQ55" s="367" t="str">
        <f t="shared" si="54"/>
        <v>0</v>
      </c>
      <c r="AR55" s="367" t="str">
        <f t="shared" si="55"/>
        <v>0</v>
      </c>
      <c r="AS55" s="366"/>
      <c r="AT55" s="367"/>
      <c r="AU55" s="366"/>
      <c r="AV55" s="367"/>
      <c r="AW55" s="371" t="str">
        <f t="shared" si="59"/>
        <v>Магистр- физика</v>
      </c>
      <c r="AX55" s="372">
        <f>10*4325</f>
        <v>43250</v>
      </c>
      <c r="AY55" s="367"/>
      <c r="AZ55" s="367">
        <f t="shared" si="56"/>
        <v>415506.39500000002</v>
      </c>
      <c r="BA55" s="373">
        <f t="shared" si="17"/>
        <v>849304.10749999993</v>
      </c>
      <c r="BB55" s="374">
        <f t="shared" si="25"/>
        <v>84930.410749999995</v>
      </c>
      <c r="BC55" s="374">
        <f t="shared" si="26"/>
        <v>16986.082149999998</v>
      </c>
      <c r="BD55" s="374">
        <f t="shared" si="18"/>
        <v>68683.761459999994</v>
      </c>
      <c r="BE55" s="374">
        <f t="shared" si="27"/>
        <v>678703.8531399999</v>
      </c>
      <c r="BF55" s="374">
        <f t="shared" si="28"/>
        <v>10191649.289999999</v>
      </c>
      <c r="BG55" s="374">
        <f t="shared" si="19"/>
        <v>867595.42499999993</v>
      </c>
      <c r="BH55" s="374">
        <f t="shared" si="29"/>
        <v>11059244.715</v>
      </c>
      <c r="BI55" s="374">
        <f t="shared" si="20"/>
        <v>387073.56502500002</v>
      </c>
      <c r="BJ55" s="374">
        <f t="shared" si="21"/>
        <v>574777.58617200004</v>
      </c>
      <c r="BK55" s="374">
        <f t="shared" si="30"/>
        <v>497666.01217500004</v>
      </c>
      <c r="BL55" s="374">
        <f t="shared" si="31"/>
        <v>331777.34145000001</v>
      </c>
      <c r="BM55" s="373">
        <f t="shared" si="57"/>
        <v>12850539.219821999</v>
      </c>
      <c r="BN55" s="375"/>
      <c r="BO55" s="377"/>
      <c r="BP55" s="377"/>
      <c r="BQ55" s="377"/>
      <c r="BR55" s="377"/>
      <c r="BS55" s="377"/>
      <c r="BT55" s="377"/>
      <c r="BU55" s="377"/>
      <c r="BV55" s="377"/>
      <c r="BW55" s="377"/>
      <c r="BX55" s="377"/>
      <c r="BY55" s="377"/>
      <c r="BZ55" s="377"/>
      <c r="CA55" s="377"/>
      <c r="CB55" s="377"/>
      <c r="CC55" s="377"/>
      <c r="CD55" s="377"/>
      <c r="CE55" s="377"/>
      <c r="CF55" s="377"/>
      <c r="CG55" s="377"/>
      <c r="CH55" s="377"/>
      <c r="CI55" s="377"/>
    </row>
    <row r="56" spans="1:87" ht="48" customHeight="1">
      <c r="A56" s="366">
        <f t="shared" si="58"/>
        <v>42</v>
      </c>
      <c r="B56" s="366">
        <f t="shared" si="58"/>
        <v>11</v>
      </c>
      <c r="C56" s="1319" t="s">
        <v>1098</v>
      </c>
      <c r="D56" s="412" t="s">
        <v>1099</v>
      </c>
      <c r="E56" s="390" t="s">
        <v>998</v>
      </c>
      <c r="F56" s="1298" t="s">
        <v>999</v>
      </c>
      <c r="G56" s="390" t="s">
        <v>1097</v>
      </c>
      <c r="H56" s="371" t="s">
        <v>1100</v>
      </c>
      <c r="I56" s="366">
        <v>17697</v>
      </c>
      <c r="J56" s="367">
        <v>11.4</v>
      </c>
      <c r="K56" s="367">
        <f t="shared" si="39"/>
        <v>201745.80000000002</v>
      </c>
      <c r="L56" s="380">
        <v>20</v>
      </c>
      <c r="M56" s="380"/>
      <c r="N56" s="380"/>
      <c r="O56" s="380"/>
      <c r="P56" s="380"/>
      <c r="Q56" s="368">
        <f t="shared" si="40"/>
        <v>20</v>
      </c>
      <c r="R56" s="380"/>
      <c r="S56" s="380"/>
      <c r="T56" s="380"/>
      <c r="U56" s="380"/>
      <c r="V56" s="380"/>
      <c r="W56" s="381">
        <f>SUM(R56:V56)</f>
        <v>0</v>
      </c>
      <c r="X56" s="370">
        <f t="shared" si="42"/>
        <v>20</v>
      </c>
      <c r="Y56" s="367">
        <f t="shared" si="43"/>
        <v>252182.25000000003</v>
      </c>
      <c r="Z56" s="367">
        <f t="shared" si="44"/>
        <v>25218.225000000006</v>
      </c>
      <c r="AA56" s="366">
        <v>0</v>
      </c>
      <c r="AB56" s="367">
        <f t="shared" si="45"/>
        <v>0</v>
      </c>
      <c r="AC56" s="366">
        <v>25</v>
      </c>
      <c r="AD56" s="367">
        <f t="shared" si="46"/>
        <v>5530.3125</v>
      </c>
      <c r="AE56" s="380"/>
      <c r="AF56" s="366"/>
      <c r="AG56" s="367"/>
      <c r="AH56" s="366"/>
      <c r="AI56" s="367"/>
      <c r="AJ56" s="366">
        <f t="shared" si="47"/>
        <v>20</v>
      </c>
      <c r="AK56" s="367">
        <f t="shared" si="48"/>
        <v>8848.5</v>
      </c>
      <c r="AL56" s="366">
        <f t="shared" si="49"/>
        <v>20</v>
      </c>
      <c r="AM56" s="367">
        <f t="shared" si="50"/>
        <v>75654.675000000003</v>
      </c>
      <c r="AN56" s="366" t="str">
        <f t="shared" si="51"/>
        <v>Педагог-шебер</v>
      </c>
      <c r="AO56" s="367">
        <f t="shared" si="52"/>
        <v>126091.12500000001</v>
      </c>
      <c r="AP56" s="367" t="str">
        <f t="shared" si="53"/>
        <v>0</v>
      </c>
      <c r="AQ56" s="367" t="str">
        <f t="shared" si="54"/>
        <v>0</v>
      </c>
      <c r="AR56" s="367" t="str">
        <f t="shared" si="55"/>
        <v>0</v>
      </c>
      <c r="AS56" s="366"/>
      <c r="AT56" s="367"/>
      <c r="AU56" s="366"/>
      <c r="AV56" s="367"/>
      <c r="AW56" s="371" t="str">
        <f t="shared" si="59"/>
        <v>Магистр- физика</v>
      </c>
      <c r="AX56" s="372">
        <f>10*4325</f>
        <v>43250</v>
      </c>
      <c r="AY56" s="367"/>
      <c r="AZ56" s="367">
        <f t="shared" si="56"/>
        <v>284592.83750000002</v>
      </c>
      <c r="BA56" s="373">
        <f t="shared" si="17"/>
        <v>536775.08750000002</v>
      </c>
      <c r="BB56" s="374">
        <f t="shared" si="25"/>
        <v>53677.508750000008</v>
      </c>
      <c r="BC56" s="374">
        <f t="shared" si="26"/>
        <v>10735.501750000001</v>
      </c>
      <c r="BD56" s="374">
        <f t="shared" si="18"/>
        <v>41181.207699999999</v>
      </c>
      <c r="BE56" s="374">
        <f t="shared" si="27"/>
        <v>431180.86930000002</v>
      </c>
      <c r="BF56" s="374">
        <f t="shared" si="28"/>
        <v>6441301.0500000007</v>
      </c>
      <c r="BG56" s="374">
        <f t="shared" si="19"/>
        <v>504364.50000000006</v>
      </c>
      <c r="BH56" s="374">
        <f t="shared" si="29"/>
        <v>6945665.5500000007</v>
      </c>
      <c r="BI56" s="374">
        <f t="shared" si="20"/>
        <v>243098.29425000004</v>
      </c>
      <c r="BJ56" s="374">
        <f t="shared" si="21"/>
        <v>360895.07739000005</v>
      </c>
      <c r="BK56" s="374">
        <f t="shared" si="30"/>
        <v>312554.94975000009</v>
      </c>
      <c r="BL56" s="374">
        <f t="shared" si="31"/>
        <v>208369.96650000001</v>
      </c>
      <c r="BM56" s="373">
        <f t="shared" si="57"/>
        <v>8070583.837890001</v>
      </c>
      <c r="BN56" s="375"/>
      <c r="BO56" s="377"/>
      <c r="BP56" s="377"/>
      <c r="BQ56" s="377"/>
      <c r="BR56" s="377"/>
      <c r="BS56" s="377"/>
      <c r="BT56" s="377"/>
      <c r="BU56" s="377"/>
      <c r="BV56" s="377"/>
      <c r="BW56" s="377"/>
      <c r="BX56" s="377"/>
      <c r="BY56" s="377"/>
      <c r="BZ56" s="377"/>
      <c r="CA56" s="377"/>
      <c r="CB56" s="377"/>
      <c r="CC56" s="377"/>
      <c r="CD56" s="377"/>
      <c r="CE56" s="377"/>
      <c r="CF56" s="377"/>
      <c r="CG56" s="377"/>
      <c r="CH56" s="377"/>
      <c r="CI56" s="377"/>
    </row>
    <row r="57" spans="1:87" ht="63.75" customHeight="1">
      <c r="A57" s="366">
        <f t="shared" si="58"/>
        <v>43</v>
      </c>
      <c r="B57" s="366">
        <f t="shared" si="58"/>
        <v>12</v>
      </c>
      <c r="C57" s="409" t="s">
        <v>1101</v>
      </c>
      <c r="D57" s="412" t="s">
        <v>1102</v>
      </c>
      <c r="E57" s="366" t="s">
        <v>998</v>
      </c>
      <c r="F57" s="508" t="s">
        <v>1005</v>
      </c>
      <c r="G57" s="366" t="s">
        <v>227</v>
      </c>
      <c r="H57" s="371" t="s">
        <v>1402</v>
      </c>
      <c r="I57" s="366">
        <v>17697</v>
      </c>
      <c r="J57" s="367">
        <v>10.4</v>
      </c>
      <c r="K57" s="367">
        <f t="shared" si="39"/>
        <v>184048.80000000002</v>
      </c>
      <c r="L57" s="380"/>
      <c r="M57" s="380"/>
      <c r="N57" s="380">
        <v>12</v>
      </c>
      <c r="O57" s="380">
        <v>16</v>
      </c>
      <c r="P57" s="380"/>
      <c r="Q57" s="368">
        <f t="shared" si="40"/>
        <v>28</v>
      </c>
      <c r="R57" s="411"/>
      <c r="S57" s="411"/>
      <c r="T57" s="411">
        <v>3</v>
      </c>
      <c r="U57" s="411"/>
      <c r="V57" s="411"/>
      <c r="W57" s="381">
        <f t="shared" si="41"/>
        <v>3</v>
      </c>
      <c r="X57" s="370">
        <f t="shared" si="42"/>
        <v>31</v>
      </c>
      <c r="Y57" s="367">
        <f t="shared" si="43"/>
        <v>356594.55000000005</v>
      </c>
      <c r="Z57" s="367">
        <f t="shared" si="44"/>
        <v>35659.455000000009</v>
      </c>
      <c r="AA57" s="366">
        <v>23</v>
      </c>
      <c r="AB57" s="367">
        <f t="shared" si="45"/>
        <v>10175.775000000001</v>
      </c>
      <c r="AC57" s="366">
        <v>8</v>
      </c>
      <c r="AD57" s="367">
        <f t="shared" si="46"/>
        <v>1769.7</v>
      </c>
      <c r="AE57" s="416"/>
      <c r="AF57" s="366" t="s">
        <v>1103</v>
      </c>
      <c r="AG57" s="367">
        <f>17697*20%</f>
        <v>3539.4</v>
      </c>
      <c r="AH57" s="366"/>
      <c r="AI57" s="367"/>
      <c r="AJ57" s="366">
        <f t="shared" si="47"/>
        <v>31</v>
      </c>
      <c r="AK57" s="367">
        <f t="shared" si="48"/>
        <v>13715.175000000001</v>
      </c>
      <c r="AL57" s="366">
        <f t="shared" si="49"/>
        <v>31</v>
      </c>
      <c r="AM57" s="367">
        <f t="shared" si="50"/>
        <v>106978.36500000001</v>
      </c>
      <c r="AN57" s="366" t="str">
        <f t="shared" si="51"/>
        <v>Педагог-зерттеуші</v>
      </c>
      <c r="AO57" s="367" t="str">
        <f t="shared" si="52"/>
        <v>0</v>
      </c>
      <c r="AP57" s="367">
        <f t="shared" si="53"/>
        <v>142637.82000000004</v>
      </c>
      <c r="AQ57" s="367" t="str">
        <f t="shared" si="54"/>
        <v>0</v>
      </c>
      <c r="AR57" s="367" t="str">
        <f t="shared" si="55"/>
        <v>0</v>
      </c>
      <c r="AS57" s="366"/>
      <c r="AT57" s="367"/>
      <c r="AU57" s="371"/>
      <c r="AV57" s="367"/>
      <c r="AW57" s="371" t="str">
        <f t="shared" si="59"/>
        <v>Магистр-техническая физика</v>
      </c>
      <c r="AX57" s="372">
        <f>10*4325</f>
        <v>43250</v>
      </c>
      <c r="AY57" s="367"/>
      <c r="AZ57" s="367">
        <f t="shared" si="56"/>
        <v>357725.69000000006</v>
      </c>
      <c r="BA57" s="373">
        <f t="shared" si="17"/>
        <v>714320.24000000011</v>
      </c>
      <c r="BB57" s="374">
        <f t="shared" si="25"/>
        <v>71432.024000000019</v>
      </c>
      <c r="BC57" s="374">
        <f t="shared" si="26"/>
        <v>14286.404800000002</v>
      </c>
      <c r="BD57" s="374">
        <f t="shared" si="18"/>
        <v>56805.181120000016</v>
      </c>
      <c r="BE57" s="374">
        <f t="shared" si="27"/>
        <v>571796.63008000015</v>
      </c>
      <c r="BF57" s="374">
        <f t="shared" si="28"/>
        <v>8571842.8800000008</v>
      </c>
      <c r="BG57" s="374">
        <f t="shared" si="19"/>
        <v>713189.10000000009</v>
      </c>
      <c r="BH57" s="374">
        <f t="shared" si="29"/>
        <v>9285031.9800000004</v>
      </c>
      <c r="BI57" s="374">
        <f t="shared" si="20"/>
        <v>324976.11930000002</v>
      </c>
      <c r="BJ57" s="374">
        <f t="shared" si="21"/>
        <v>482533.67258400004</v>
      </c>
      <c r="BK57" s="374">
        <f t="shared" si="30"/>
        <v>417826.43910000008</v>
      </c>
      <c r="BL57" s="374">
        <f t="shared" si="31"/>
        <v>278550.95939999999</v>
      </c>
      <c r="BM57" s="373">
        <f t="shared" si="57"/>
        <v>10788919.170384003</v>
      </c>
      <c r="BN57" s="375"/>
      <c r="BO57" s="377"/>
      <c r="BP57" s="377"/>
      <c r="BQ57" s="377"/>
      <c r="BR57" s="377"/>
      <c r="BS57" s="377"/>
      <c r="BT57" s="377"/>
      <c r="BU57" s="377"/>
      <c r="BV57" s="377"/>
      <c r="BW57" s="377"/>
      <c r="BX57" s="377"/>
      <c r="BY57" s="377"/>
      <c r="BZ57" s="377"/>
      <c r="CA57" s="377"/>
      <c r="CB57" s="377"/>
      <c r="CC57" s="377"/>
      <c r="CD57" s="377"/>
      <c r="CE57" s="377"/>
      <c r="CF57" s="377"/>
      <c r="CG57" s="377"/>
      <c r="CH57" s="377"/>
      <c r="CI57" s="377"/>
    </row>
    <row r="58" spans="1:87" ht="126">
      <c r="A58" s="366">
        <f t="shared" si="58"/>
        <v>44</v>
      </c>
      <c r="B58" s="366">
        <f t="shared" si="58"/>
        <v>13</v>
      </c>
      <c r="C58" s="409" t="s">
        <v>915</v>
      </c>
      <c r="D58" s="412" t="s">
        <v>1104</v>
      </c>
      <c r="E58" s="366" t="s">
        <v>998</v>
      </c>
      <c r="F58" s="508" t="s">
        <v>999</v>
      </c>
      <c r="G58" s="366" t="s">
        <v>1093</v>
      </c>
      <c r="H58" s="371" t="s">
        <v>1105</v>
      </c>
      <c r="I58" s="366">
        <v>17697</v>
      </c>
      <c r="J58" s="367">
        <v>11.4</v>
      </c>
      <c r="K58" s="367">
        <f t="shared" si="39"/>
        <v>201745.80000000002</v>
      </c>
      <c r="L58" s="380"/>
      <c r="M58" s="380">
        <v>16</v>
      </c>
      <c r="N58" s="380"/>
      <c r="O58" s="380"/>
      <c r="P58" s="380"/>
      <c r="Q58" s="368">
        <f t="shared" si="40"/>
        <v>16</v>
      </c>
      <c r="R58" s="411">
        <v>2</v>
      </c>
      <c r="S58" s="411">
        <v>4</v>
      </c>
      <c r="T58" s="411">
        <v>14</v>
      </c>
      <c r="U58" s="411"/>
      <c r="V58" s="411"/>
      <c r="W58" s="381">
        <f t="shared" si="41"/>
        <v>20</v>
      </c>
      <c r="X58" s="370">
        <f t="shared" si="42"/>
        <v>36</v>
      </c>
      <c r="Y58" s="367">
        <f t="shared" si="43"/>
        <v>453928.05000000005</v>
      </c>
      <c r="Z58" s="367">
        <f t="shared" si="44"/>
        <v>45392.805000000008</v>
      </c>
      <c r="AA58" s="366">
        <v>15</v>
      </c>
      <c r="AB58" s="367">
        <f t="shared" si="45"/>
        <v>6636.375</v>
      </c>
      <c r="AC58" s="366">
        <v>5</v>
      </c>
      <c r="AD58" s="367">
        <f t="shared" si="46"/>
        <v>1106.0625</v>
      </c>
      <c r="AE58" s="416"/>
      <c r="AF58" s="366" t="s">
        <v>1106</v>
      </c>
      <c r="AG58" s="367">
        <f>17697*20%</f>
        <v>3539.4</v>
      </c>
      <c r="AH58" s="366"/>
      <c r="AI58" s="367"/>
      <c r="AJ58" s="366">
        <f t="shared" si="47"/>
        <v>36</v>
      </c>
      <c r="AK58" s="367">
        <f t="shared" si="48"/>
        <v>15927.300000000001</v>
      </c>
      <c r="AL58" s="366">
        <f t="shared" si="49"/>
        <v>36</v>
      </c>
      <c r="AM58" s="367">
        <f t="shared" si="50"/>
        <v>136178.41500000001</v>
      </c>
      <c r="AN58" s="366" t="str">
        <f t="shared" si="51"/>
        <v>Педагог-шебер</v>
      </c>
      <c r="AO58" s="367">
        <f t="shared" si="52"/>
        <v>226964.02500000002</v>
      </c>
      <c r="AP58" s="367" t="str">
        <f t="shared" si="53"/>
        <v>0</v>
      </c>
      <c r="AQ58" s="367" t="str">
        <f t="shared" si="54"/>
        <v>0</v>
      </c>
      <c r="AR58" s="367" t="str">
        <f t="shared" si="55"/>
        <v>0</v>
      </c>
      <c r="AS58" s="366"/>
      <c r="AT58" s="367"/>
      <c r="AU58" s="371"/>
      <c r="AV58" s="367"/>
      <c r="AW58" s="371" t="str">
        <f t="shared" si="59"/>
        <v>Магистр-физика</v>
      </c>
      <c r="AX58" s="372">
        <f>10*4325</f>
        <v>43250</v>
      </c>
      <c r="AY58" s="367"/>
      <c r="AZ58" s="367">
        <f t="shared" si="56"/>
        <v>478994.38250000007</v>
      </c>
      <c r="BA58" s="373">
        <f t="shared" si="17"/>
        <v>932922.43250000011</v>
      </c>
      <c r="BB58" s="374">
        <f t="shared" si="25"/>
        <v>93292.243250000014</v>
      </c>
      <c r="BC58" s="374">
        <f t="shared" si="26"/>
        <v>18658.448650000002</v>
      </c>
      <c r="BD58" s="374">
        <f t="shared" si="18"/>
        <v>76042.174060000005</v>
      </c>
      <c r="BE58" s="374">
        <f t="shared" si="27"/>
        <v>744929.56654000003</v>
      </c>
      <c r="BF58" s="374">
        <f t="shared" si="28"/>
        <v>11195069.190000001</v>
      </c>
      <c r="BG58" s="374">
        <f t="shared" si="19"/>
        <v>907856.10000000009</v>
      </c>
      <c r="BH58" s="374">
        <f t="shared" si="29"/>
        <v>12102925.290000001</v>
      </c>
      <c r="BI58" s="374">
        <f t="shared" si="20"/>
        <v>423602.38515000005</v>
      </c>
      <c r="BJ58" s="374">
        <f t="shared" si="21"/>
        <v>628928.81344200007</v>
      </c>
      <c r="BK58" s="374">
        <f t="shared" si="30"/>
        <v>544631.63805000007</v>
      </c>
      <c r="BL58" s="374">
        <f t="shared" si="31"/>
        <v>363087.75870000001</v>
      </c>
      <c r="BM58" s="373">
        <f t="shared" si="57"/>
        <v>14063175.885342</v>
      </c>
      <c r="BN58" s="375"/>
      <c r="BO58" s="377"/>
      <c r="BP58" s="377"/>
      <c r="BQ58" s="377"/>
      <c r="BR58" s="377"/>
      <c r="BS58" s="377"/>
      <c r="BT58" s="377"/>
      <c r="BU58" s="377"/>
      <c r="BV58" s="377"/>
      <c r="BW58" s="377"/>
      <c r="BX58" s="377"/>
      <c r="BY58" s="377"/>
      <c r="BZ58" s="377"/>
      <c r="CA58" s="377"/>
      <c r="CB58" s="377"/>
      <c r="CC58" s="377"/>
      <c r="CD58" s="377"/>
      <c r="CE58" s="377"/>
      <c r="CF58" s="377"/>
      <c r="CG58" s="377"/>
      <c r="CH58" s="377"/>
      <c r="CI58" s="377"/>
    </row>
    <row r="59" spans="1:87" ht="31.5">
      <c r="A59" s="366">
        <f t="shared" si="58"/>
        <v>45</v>
      </c>
      <c r="B59" s="366">
        <f t="shared" si="58"/>
        <v>14</v>
      </c>
      <c r="C59" s="409" t="s">
        <v>1107</v>
      </c>
      <c r="D59" s="412" t="s">
        <v>1099</v>
      </c>
      <c r="E59" s="366" t="s">
        <v>998</v>
      </c>
      <c r="F59" s="508"/>
      <c r="G59" s="366"/>
      <c r="H59" s="371" t="s">
        <v>1403</v>
      </c>
      <c r="I59" s="366">
        <v>17697</v>
      </c>
      <c r="J59" s="367">
        <v>9.5</v>
      </c>
      <c r="K59" s="367">
        <f t="shared" si="39"/>
        <v>168121.5</v>
      </c>
      <c r="L59" s="380">
        <v>20</v>
      </c>
      <c r="M59" s="380"/>
      <c r="N59" s="380"/>
      <c r="O59" s="380"/>
      <c r="P59" s="380"/>
      <c r="Q59" s="368">
        <f t="shared" si="40"/>
        <v>20</v>
      </c>
      <c r="R59" s="411">
        <v>5</v>
      </c>
      <c r="S59" s="411"/>
      <c r="T59" s="411"/>
      <c r="U59" s="411"/>
      <c r="V59" s="411"/>
      <c r="W59" s="381">
        <f>SUM(R59:V59)</f>
        <v>5</v>
      </c>
      <c r="X59" s="370">
        <f t="shared" si="42"/>
        <v>25</v>
      </c>
      <c r="Y59" s="367">
        <f t="shared" si="43"/>
        <v>262689.84375</v>
      </c>
      <c r="Z59" s="367">
        <f t="shared" si="44"/>
        <v>26268.984375</v>
      </c>
      <c r="AA59" s="366">
        <v>0</v>
      </c>
      <c r="AB59" s="367">
        <f t="shared" si="45"/>
        <v>0</v>
      </c>
      <c r="AC59" s="366">
        <v>25</v>
      </c>
      <c r="AD59" s="367">
        <f t="shared" si="46"/>
        <v>5530.3125</v>
      </c>
      <c r="AE59" s="416"/>
      <c r="AF59" s="366"/>
      <c r="AG59" s="367"/>
      <c r="AH59" s="366"/>
      <c r="AI59" s="367"/>
      <c r="AJ59" s="366">
        <f t="shared" si="47"/>
        <v>25</v>
      </c>
      <c r="AK59" s="367">
        <f t="shared" si="48"/>
        <v>11060.625</v>
      </c>
      <c r="AL59" s="366">
        <f t="shared" si="49"/>
        <v>25</v>
      </c>
      <c r="AM59" s="367">
        <f t="shared" si="50"/>
        <v>78806.953125</v>
      </c>
      <c r="AN59" s="366">
        <f t="shared" si="51"/>
        <v>0</v>
      </c>
      <c r="AO59" s="367" t="str">
        <f t="shared" si="52"/>
        <v>0</v>
      </c>
      <c r="AP59" s="367" t="str">
        <f t="shared" si="53"/>
        <v>0</v>
      </c>
      <c r="AQ59" s="367" t="str">
        <f t="shared" si="54"/>
        <v>0</v>
      </c>
      <c r="AR59" s="367" t="str">
        <f t="shared" si="55"/>
        <v>0</v>
      </c>
      <c r="AS59" s="366"/>
      <c r="AT59" s="367"/>
      <c r="AU59" s="371"/>
      <c r="AV59" s="367"/>
      <c r="AW59" s="371">
        <f t="shared" si="59"/>
        <v>0</v>
      </c>
      <c r="AX59" s="372"/>
      <c r="AY59" s="367"/>
      <c r="AZ59" s="367">
        <f t="shared" si="56"/>
        <v>121666.875</v>
      </c>
      <c r="BA59" s="373">
        <f t="shared" si="17"/>
        <v>384356.71875</v>
      </c>
      <c r="BB59" s="374">
        <f t="shared" si="25"/>
        <v>38435.671875</v>
      </c>
      <c r="BC59" s="374">
        <f t="shared" si="26"/>
        <v>7687.1343750000005</v>
      </c>
      <c r="BD59" s="374">
        <f t="shared" si="18"/>
        <v>27768.391250000001</v>
      </c>
      <c r="BE59" s="374">
        <f t="shared" si="27"/>
        <v>310465.52124999999</v>
      </c>
      <c r="BF59" s="374">
        <f t="shared" si="28"/>
        <v>4612280.625</v>
      </c>
      <c r="BG59" s="374">
        <f t="shared" si="19"/>
        <v>525379.6875</v>
      </c>
      <c r="BH59" s="374">
        <f t="shared" si="29"/>
        <v>5137660.3125</v>
      </c>
      <c r="BI59" s="374">
        <f t="shared" si="20"/>
        <v>179818.11093750002</v>
      </c>
      <c r="BJ59" s="374">
        <f t="shared" si="21"/>
        <v>267286.63950000005</v>
      </c>
      <c r="BK59" s="374">
        <f t="shared" si="30"/>
        <v>231194.71406250002</v>
      </c>
      <c r="BL59" s="374">
        <f t="shared" si="31"/>
        <v>154129.80937499998</v>
      </c>
      <c r="BM59" s="373">
        <f t="shared" si="57"/>
        <v>5970089.586375</v>
      </c>
      <c r="BN59" s="375"/>
      <c r="BO59" s="377"/>
      <c r="BP59" s="377"/>
      <c r="BQ59" s="377"/>
      <c r="BR59" s="377"/>
      <c r="BS59" s="377"/>
      <c r="BT59" s="377"/>
      <c r="BU59" s="377"/>
      <c r="BV59" s="377"/>
      <c r="BW59" s="377"/>
      <c r="BX59" s="377"/>
      <c r="BY59" s="377"/>
      <c r="BZ59" s="377"/>
      <c r="CA59" s="377"/>
      <c r="CB59" s="377"/>
      <c r="CC59" s="377"/>
      <c r="CD59" s="377"/>
      <c r="CE59" s="377"/>
      <c r="CF59" s="377"/>
      <c r="CG59" s="377"/>
      <c r="CH59" s="377"/>
      <c r="CI59" s="377"/>
    </row>
    <row r="60" spans="1:87" ht="47.25">
      <c r="A60" s="366">
        <f t="shared" si="58"/>
        <v>46</v>
      </c>
      <c r="B60" s="366">
        <f t="shared" si="58"/>
        <v>15</v>
      </c>
      <c r="C60" s="409" t="s">
        <v>228</v>
      </c>
      <c r="D60" s="412" t="s">
        <v>1092</v>
      </c>
      <c r="E60" s="366" t="s">
        <v>998</v>
      </c>
      <c r="F60" s="508" t="s">
        <v>1005</v>
      </c>
      <c r="G60" s="366"/>
      <c r="H60" s="371" t="s">
        <v>398</v>
      </c>
      <c r="I60" s="366">
        <v>17697</v>
      </c>
      <c r="J60" s="367">
        <v>11.18</v>
      </c>
      <c r="K60" s="367">
        <f t="shared" si="39"/>
        <v>197852.46</v>
      </c>
      <c r="L60" s="380">
        <v>20</v>
      </c>
      <c r="M60" s="380"/>
      <c r="N60" s="380">
        <v>4</v>
      </c>
      <c r="O60" s="380"/>
      <c r="P60" s="380"/>
      <c r="Q60" s="368">
        <f t="shared" si="40"/>
        <v>24</v>
      </c>
      <c r="R60" s="411">
        <v>5</v>
      </c>
      <c r="S60" s="411"/>
      <c r="T60" s="411">
        <v>1</v>
      </c>
      <c r="U60" s="411"/>
      <c r="V60" s="411"/>
      <c r="W60" s="381">
        <f>SUM(R60:V60)</f>
        <v>6</v>
      </c>
      <c r="X60" s="370">
        <f t="shared" si="42"/>
        <v>30</v>
      </c>
      <c r="Y60" s="367">
        <f t="shared" si="43"/>
        <v>370973.36249999999</v>
      </c>
      <c r="Z60" s="367">
        <f t="shared" si="44"/>
        <v>37097.33625</v>
      </c>
      <c r="AA60" s="366">
        <v>5</v>
      </c>
      <c r="AB60" s="367">
        <f t="shared" si="45"/>
        <v>2212.125</v>
      </c>
      <c r="AC60" s="366">
        <v>25</v>
      </c>
      <c r="AD60" s="367">
        <f t="shared" si="46"/>
        <v>5530.3125</v>
      </c>
      <c r="AE60" s="372"/>
      <c r="AF60" s="366" t="s">
        <v>1108</v>
      </c>
      <c r="AG60" s="367">
        <f>17697*20%</f>
        <v>3539.4</v>
      </c>
      <c r="AH60" s="366" t="s">
        <v>1109</v>
      </c>
      <c r="AI60" s="367">
        <f>I60*200%</f>
        <v>35394</v>
      </c>
      <c r="AJ60" s="366">
        <f t="shared" si="47"/>
        <v>30</v>
      </c>
      <c r="AK60" s="367">
        <f t="shared" si="48"/>
        <v>13272.75</v>
      </c>
      <c r="AL60" s="366">
        <f t="shared" si="49"/>
        <v>30</v>
      </c>
      <c r="AM60" s="367">
        <f t="shared" si="50"/>
        <v>111292.00874999999</v>
      </c>
      <c r="AN60" s="366" t="str">
        <f t="shared" si="51"/>
        <v>Педагог-зерттеуші</v>
      </c>
      <c r="AO60" s="367" t="str">
        <f t="shared" si="52"/>
        <v>0</v>
      </c>
      <c r="AP60" s="367">
        <f t="shared" si="53"/>
        <v>148389.345</v>
      </c>
      <c r="AQ60" s="367" t="str">
        <f t="shared" si="54"/>
        <v>0</v>
      </c>
      <c r="AR60" s="367" t="str">
        <f t="shared" si="55"/>
        <v>0</v>
      </c>
      <c r="AS60" s="366"/>
      <c r="AT60" s="367"/>
      <c r="AU60" s="371"/>
      <c r="AV60" s="367"/>
      <c r="AW60" s="371">
        <f t="shared" si="59"/>
        <v>0</v>
      </c>
      <c r="AX60" s="367"/>
      <c r="AY60" s="367"/>
      <c r="AZ60" s="367">
        <f t="shared" si="56"/>
        <v>356727.27749999997</v>
      </c>
      <c r="BA60" s="373">
        <f t="shared" si="17"/>
        <v>727700.6399999999</v>
      </c>
      <c r="BB60" s="374">
        <f t="shared" si="25"/>
        <v>72770.063999999998</v>
      </c>
      <c r="BC60" s="374">
        <f t="shared" si="26"/>
        <v>14554.012799999999</v>
      </c>
      <c r="BD60" s="374">
        <f t="shared" si="18"/>
        <v>57982.656319999987</v>
      </c>
      <c r="BE60" s="374">
        <f t="shared" si="27"/>
        <v>582393.90687999991</v>
      </c>
      <c r="BF60" s="374">
        <f t="shared" si="28"/>
        <v>8732407.6799999997</v>
      </c>
      <c r="BG60" s="374">
        <f t="shared" si="19"/>
        <v>741946.72499999998</v>
      </c>
      <c r="BH60" s="374">
        <f t="shared" si="29"/>
        <v>9474354.4049999993</v>
      </c>
      <c r="BI60" s="374">
        <f t="shared" si="20"/>
        <v>331602.40417500003</v>
      </c>
      <c r="BJ60" s="374">
        <f t="shared" si="21"/>
        <v>492403.84097399993</v>
      </c>
      <c r="BK60" s="374">
        <f t="shared" si="30"/>
        <v>426345.94822499994</v>
      </c>
      <c r="BL60" s="374">
        <f t="shared" si="31"/>
        <v>284230.63214999996</v>
      </c>
      <c r="BM60" s="373">
        <f t="shared" si="57"/>
        <v>11008937.230524</v>
      </c>
      <c r="BN60" s="375"/>
      <c r="BO60" s="377"/>
      <c r="BP60" s="377"/>
      <c r="BQ60" s="377"/>
      <c r="BR60" s="377"/>
      <c r="BS60" s="377"/>
      <c r="BT60" s="377"/>
      <c r="BU60" s="377"/>
      <c r="BV60" s="377"/>
      <c r="BW60" s="377"/>
      <c r="BX60" s="377"/>
      <c r="BY60" s="377"/>
      <c r="BZ60" s="377"/>
      <c r="CA60" s="377"/>
      <c r="CB60" s="377"/>
      <c r="CC60" s="377"/>
      <c r="CD60" s="377"/>
      <c r="CE60" s="377"/>
      <c r="CF60" s="377"/>
      <c r="CG60" s="377"/>
      <c r="CH60" s="377"/>
      <c r="CI60" s="377"/>
    </row>
    <row r="61" spans="1:87" ht="30">
      <c r="A61" s="366">
        <f t="shared" si="58"/>
        <v>47</v>
      </c>
      <c r="B61" s="366">
        <f t="shared" si="58"/>
        <v>16</v>
      </c>
      <c r="C61" s="409" t="s">
        <v>1110</v>
      </c>
      <c r="D61" s="412" t="s">
        <v>1111</v>
      </c>
      <c r="E61" s="366" t="s">
        <v>998</v>
      </c>
      <c r="F61" s="508" t="s">
        <v>999</v>
      </c>
      <c r="G61" s="366"/>
      <c r="H61" s="371" t="s">
        <v>1112</v>
      </c>
      <c r="I61" s="366">
        <v>17697</v>
      </c>
      <c r="J61" s="367">
        <v>11.4</v>
      </c>
      <c r="K61" s="367">
        <f t="shared" si="39"/>
        <v>201745.80000000002</v>
      </c>
      <c r="L61" s="380"/>
      <c r="M61" s="380"/>
      <c r="N61" s="380"/>
      <c r="O61" s="380"/>
      <c r="P61" s="380">
        <v>16</v>
      </c>
      <c r="Q61" s="368">
        <f t="shared" si="40"/>
        <v>16</v>
      </c>
      <c r="R61" s="411"/>
      <c r="S61" s="411"/>
      <c r="T61" s="411"/>
      <c r="U61" s="411"/>
      <c r="V61" s="411"/>
      <c r="W61" s="381">
        <f>SUM(R61:V61)</f>
        <v>0</v>
      </c>
      <c r="X61" s="370">
        <f t="shared" si="42"/>
        <v>16</v>
      </c>
      <c r="Y61" s="367">
        <f t="shared" si="43"/>
        <v>201745.80000000002</v>
      </c>
      <c r="Z61" s="367">
        <f t="shared" si="44"/>
        <v>20174.580000000002</v>
      </c>
      <c r="AA61" s="366"/>
      <c r="AB61" s="367">
        <f t="shared" si="45"/>
        <v>0</v>
      </c>
      <c r="AC61" s="366">
        <v>16</v>
      </c>
      <c r="AD61" s="367">
        <f t="shared" si="46"/>
        <v>3539.4</v>
      </c>
      <c r="AE61" s="416"/>
      <c r="AF61" s="366" t="s">
        <v>264</v>
      </c>
      <c r="AG61" s="367">
        <f>17697*20%</f>
        <v>3539.4</v>
      </c>
      <c r="AH61" s="366"/>
      <c r="AI61" s="367"/>
      <c r="AJ61" s="366">
        <f t="shared" si="47"/>
        <v>16</v>
      </c>
      <c r="AK61" s="367">
        <f t="shared" si="48"/>
        <v>7078.8</v>
      </c>
      <c r="AL61" s="366">
        <f t="shared" si="49"/>
        <v>16</v>
      </c>
      <c r="AM61" s="367">
        <f t="shared" si="50"/>
        <v>60523.740000000005</v>
      </c>
      <c r="AN61" s="366" t="str">
        <f>F61</f>
        <v>Педагог-шебер</v>
      </c>
      <c r="AO61" s="367">
        <f t="shared" si="52"/>
        <v>100872.90000000001</v>
      </c>
      <c r="AP61" s="367" t="str">
        <f t="shared" si="53"/>
        <v>0</v>
      </c>
      <c r="AQ61" s="367" t="str">
        <f t="shared" si="54"/>
        <v>0</v>
      </c>
      <c r="AR61" s="367" t="str">
        <f t="shared" si="55"/>
        <v>0</v>
      </c>
      <c r="AS61" s="366"/>
      <c r="AT61" s="367"/>
      <c r="AU61" s="371"/>
      <c r="AV61" s="367"/>
      <c r="AW61" s="371">
        <f t="shared" si="59"/>
        <v>0</v>
      </c>
      <c r="AX61" s="367"/>
      <c r="AY61" s="367"/>
      <c r="AZ61" s="367">
        <f t="shared" si="56"/>
        <v>195728.82</v>
      </c>
      <c r="BA61" s="373">
        <f t="shared" si="17"/>
        <v>397474.62</v>
      </c>
      <c r="BB61" s="374">
        <f t="shared" si="25"/>
        <v>39747.462</v>
      </c>
      <c r="BC61" s="374">
        <f t="shared" si="26"/>
        <v>7949.4924000000001</v>
      </c>
      <c r="BD61" s="374">
        <f t="shared" si="18"/>
        <v>28922.766560000004</v>
      </c>
      <c r="BE61" s="374">
        <f t="shared" si="27"/>
        <v>320854.89903999999</v>
      </c>
      <c r="BF61" s="374">
        <f t="shared" si="28"/>
        <v>4769695.4399999995</v>
      </c>
      <c r="BG61" s="374">
        <f t="shared" si="19"/>
        <v>403491.60000000003</v>
      </c>
      <c r="BH61" s="374">
        <f t="shared" si="29"/>
        <v>5173187.0399999991</v>
      </c>
      <c r="BI61" s="374">
        <f t="shared" si="20"/>
        <v>181061.54639999999</v>
      </c>
      <c r="BJ61" s="374">
        <f t="shared" si="21"/>
        <v>268858.77019199985</v>
      </c>
      <c r="BK61" s="374">
        <f t="shared" si="30"/>
        <v>232793.41679999998</v>
      </c>
      <c r="BL61" s="374">
        <f t="shared" si="31"/>
        <v>155195.61119999996</v>
      </c>
      <c r="BM61" s="373">
        <f t="shared" si="57"/>
        <v>6011096.3845919995</v>
      </c>
      <c r="BN61" s="375"/>
      <c r="BO61" s="377"/>
      <c r="BP61" s="377"/>
      <c r="BQ61" s="377"/>
      <c r="BR61" s="377"/>
      <c r="BS61" s="377"/>
      <c r="BT61" s="377"/>
      <c r="BU61" s="377"/>
      <c r="BV61" s="377"/>
      <c r="BW61" s="377"/>
      <c r="BX61" s="377"/>
      <c r="BY61" s="377"/>
      <c r="BZ61" s="377"/>
      <c r="CA61" s="377"/>
      <c r="CB61" s="377"/>
      <c r="CC61" s="377"/>
      <c r="CD61" s="377"/>
      <c r="CE61" s="377"/>
      <c r="CF61" s="377"/>
      <c r="CG61" s="377"/>
      <c r="CH61" s="377"/>
      <c r="CI61" s="377"/>
    </row>
    <row r="62" spans="1:87" ht="45">
      <c r="A62" s="366">
        <f t="shared" si="58"/>
        <v>48</v>
      </c>
      <c r="B62" s="366">
        <f t="shared" si="58"/>
        <v>17</v>
      </c>
      <c r="C62" s="413" t="s">
        <v>1113</v>
      </c>
      <c r="D62" s="419" t="s">
        <v>1114</v>
      </c>
      <c r="E62" s="366" t="s">
        <v>998</v>
      </c>
      <c r="F62" s="1315"/>
      <c r="G62" s="394" t="s">
        <v>1046</v>
      </c>
      <c r="H62" s="395" t="s">
        <v>1419</v>
      </c>
      <c r="I62" s="366">
        <v>17697</v>
      </c>
      <c r="J62" s="367">
        <v>9.84</v>
      </c>
      <c r="K62" s="367">
        <f t="shared" si="39"/>
        <v>174138.48</v>
      </c>
      <c r="L62" s="380"/>
      <c r="M62" s="380">
        <v>20</v>
      </c>
      <c r="N62" s="380"/>
      <c r="O62" s="380"/>
      <c r="P62" s="380"/>
      <c r="Q62" s="368">
        <f t="shared" si="40"/>
        <v>20</v>
      </c>
      <c r="R62" s="411"/>
      <c r="S62" s="411">
        <v>5</v>
      </c>
      <c r="T62" s="411"/>
      <c r="U62" s="411"/>
      <c r="V62" s="411"/>
      <c r="W62" s="381">
        <f>SUM(R62:V62)</f>
        <v>5</v>
      </c>
      <c r="X62" s="370">
        <f t="shared" si="42"/>
        <v>25</v>
      </c>
      <c r="Y62" s="367">
        <f t="shared" si="43"/>
        <v>272091.375</v>
      </c>
      <c r="Z62" s="367">
        <f t="shared" si="44"/>
        <v>27209.137500000001</v>
      </c>
      <c r="AA62" s="366">
        <v>15</v>
      </c>
      <c r="AB62" s="367">
        <f t="shared" si="45"/>
        <v>6636.375</v>
      </c>
      <c r="AC62" s="366">
        <v>10</v>
      </c>
      <c r="AD62" s="367">
        <f t="shared" si="46"/>
        <v>2212.125</v>
      </c>
      <c r="AE62" s="416"/>
      <c r="AF62" s="366"/>
      <c r="AG62" s="367"/>
      <c r="AH62" s="366"/>
      <c r="AI62" s="367"/>
      <c r="AJ62" s="366">
        <f t="shared" si="47"/>
        <v>25</v>
      </c>
      <c r="AK62" s="367">
        <f t="shared" si="48"/>
        <v>11060.625</v>
      </c>
      <c r="AL62" s="366">
        <f t="shared" si="49"/>
        <v>25</v>
      </c>
      <c r="AM62" s="367">
        <f t="shared" si="50"/>
        <v>81627.412499999991</v>
      </c>
      <c r="AN62" s="366">
        <f>F62</f>
        <v>0</v>
      </c>
      <c r="AO62" s="367" t="str">
        <f t="shared" si="52"/>
        <v>0</v>
      </c>
      <c r="AP62" s="367" t="str">
        <f t="shared" si="53"/>
        <v>0</v>
      </c>
      <c r="AQ62" s="367" t="str">
        <f t="shared" si="54"/>
        <v>0</v>
      </c>
      <c r="AR62" s="367" t="str">
        <f t="shared" si="55"/>
        <v>0</v>
      </c>
      <c r="AS62" s="366"/>
      <c r="AT62" s="367"/>
      <c r="AU62" s="371"/>
      <c r="AV62" s="367"/>
      <c r="AW62" s="371" t="str">
        <f t="shared" si="59"/>
        <v>Магистр педагогических наук</v>
      </c>
      <c r="AX62" s="372">
        <f>10*4325</f>
        <v>43250</v>
      </c>
      <c r="AY62" s="367"/>
      <c r="AZ62" s="367">
        <f t="shared" si="56"/>
        <v>171995.67499999999</v>
      </c>
      <c r="BA62" s="373">
        <f t="shared" si="17"/>
        <v>444087.05</v>
      </c>
      <c r="BB62" s="374">
        <f t="shared" si="25"/>
        <v>44408.705000000002</v>
      </c>
      <c r="BC62" s="374">
        <f t="shared" si="26"/>
        <v>8881.741</v>
      </c>
      <c r="BD62" s="374">
        <f t="shared" si="18"/>
        <v>33024.660400000001</v>
      </c>
      <c r="BE62" s="374">
        <f t="shared" si="27"/>
        <v>357771.9436</v>
      </c>
      <c r="BF62" s="374">
        <f t="shared" si="28"/>
        <v>5329044.5999999996</v>
      </c>
      <c r="BG62" s="374">
        <f t="shared" si="19"/>
        <v>544182.75</v>
      </c>
      <c r="BH62" s="374">
        <f t="shared" si="29"/>
        <v>5873227.3499999996</v>
      </c>
      <c r="BI62" s="374">
        <f t="shared" si="20"/>
        <v>205562.95725000001</v>
      </c>
      <c r="BJ62" s="374">
        <f t="shared" si="21"/>
        <v>305430.37877999997</v>
      </c>
      <c r="BK62" s="374">
        <f t="shared" si="30"/>
        <v>264295.23075000005</v>
      </c>
      <c r="BL62" s="374">
        <f t="shared" si="31"/>
        <v>176196.82049999997</v>
      </c>
      <c r="BM62" s="373">
        <f t="shared" si="57"/>
        <v>6824712.73728</v>
      </c>
      <c r="BN62" s="375"/>
      <c r="BO62" s="377"/>
      <c r="BP62" s="377"/>
      <c r="BQ62" s="377"/>
      <c r="BR62" s="377"/>
      <c r="BS62" s="377"/>
      <c r="BT62" s="377"/>
      <c r="BU62" s="377"/>
      <c r="BV62" s="377"/>
      <c r="BW62" s="377"/>
      <c r="BX62" s="377"/>
      <c r="BY62" s="377"/>
      <c r="BZ62" s="377"/>
      <c r="CA62" s="377"/>
      <c r="CB62" s="377"/>
      <c r="CC62" s="377"/>
      <c r="CD62" s="377"/>
      <c r="CE62" s="377"/>
      <c r="CF62" s="377"/>
      <c r="CG62" s="377"/>
      <c r="CH62" s="377"/>
      <c r="CI62" s="377"/>
    </row>
    <row r="63" spans="1:87" ht="63">
      <c r="A63" s="366">
        <f>A62+1</f>
        <v>49</v>
      </c>
      <c r="B63" s="366">
        <f>B62+1</f>
        <v>18</v>
      </c>
      <c r="C63" s="413" t="s">
        <v>919</v>
      </c>
      <c r="D63" s="410" t="s">
        <v>1115</v>
      </c>
      <c r="E63" s="366" t="s">
        <v>998</v>
      </c>
      <c r="F63" s="1315" t="s">
        <v>1005</v>
      </c>
      <c r="G63" s="394" t="s">
        <v>1116</v>
      </c>
      <c r="H63" s="395" t="s">
        <v>1420</v>
      </c>
      <c r="I63" s="394">
        <v>17697</v>
      </c>
      <c r="J63" s="367">
        <v>10.4</v>
      </c>
      <c r="K63" s="367">
        <f t="shared" si="39"/>
        <v>184048.80000000002</v>
      </c>
      <c r="L63" s="380"/>
      <c r="M63" s="380"/>
      <c r="N63" s="380"/>
      <c r="O63" s="380">
        <v>20</v>
      </c>
      <c r="P63" s="380">
        <v>4</v>
      </c>
      <c r="Q63" s="368">
        <f t="shared" si="40"/>
        <v>24</v>
      </c>
      <c r="R63" s="411">
        <v>10</v>
      </c>
      <c r="S63" s="411">
        <v>4</v>
      </c>
      <c r="T63" s="411"/>
      <c r="U63" s="411"/>
      <c r="V63" s="411"/>
      <c r="W63" s="381">
        <f t="shared" si="41"/>
        <v>14</v>
      </c>
      <c r="X63" s="370">
        <f t="shared" si="42"/>
        <v>38</v>
      </c>
      <c r="Y63" s="367">
        <f t="shared" si="43"/>
        <v>437115.9</v>
      </c>
      <c r="Z63" s="367">
        <f t="shared" si="44"/>
        <v>43711.590000000004</v>
      </c>
      <c r="AA63" s="366">
        <v>12</v>
      </c>
      <c r="AB63" s="367">
        <f t="shared" si="45"/>
        <v>5309.1</v>
      </c>
      <c r="AC63" s="366">
        <v>12</v>
      </c>
      <c r="AD63" s="367">
        <f t="shared" si="46"/>
        <v>2654.55</v>
      </c>
      <c r="AE63" s="416"/>
      <c r="AF63" s="366"/>
      <c r="AG63" s="367"/>
      <c r="AH63" s="366"/>
      <c r="AI63" s="367"/>
      <c r="AJ63" s="366">
        <f t="shared" si="47"/>
        <v>38</v>
      </c>
      <c r="AK63" s="367">
        <f t="shared" si="48"/>
        <v>16812.150000000001</v>
      </c>
      <c r="AL63" s="366">
        <f t="shared" si="49"/>
        <v>38</v>
      </c>
      <c r="AM63" s="367">
        <f t="shared" si="50"/>
        <v>131134.76999999999</v>
      </c>
      <c r="AN63" s="366" t="str">
        <f>F63</f>
        <v>Педагог-зерттеуші</v>
      </c>
      <c r="AO63" s="367" t="str">
        <f t="shared" si="52"/>
        <v>0</v>
      </c>
      <c r="AP63" s="367">
        <f t="shared" si="53"/>
        <v>174846.36000000002</v>
      </c>
      <c r="AQ63" s="367" t="str">
        <f t="shared" si="54"/>
        <v>0</v>
      </c>
      <c r="AR63" s="367" t="str">
        <f t="shared" si="55"/>
        <v>0</v>
      </c>
      <c r="AS63" s="366"/>
      <c r="AT63" s="367"/>
      <c r="AU63" s="420"/>
      <c r="AV63" s="367"/>
      <c r="AW63" s="371" t="str">
        <f t="shared" si="59"/>
        <v>Магистр-ядерная физика</v>
      </c>
      <c r="AX63" s="372">
        <f>10*4325</f>
        <v>43250</v>
      </c>
      <c r="AY63" s="367"/>
      <c r="AZ63" s="367">
        <f t="shared" si="56"/>
        <v>417718.52</v>
      </c>
      <c r="BA63" s="373">
        <f t="shared" si="17"/>
        <v>854834.42</v>
      </c>
      <c r="BB63" s="374">
        <f t="shared" si="25"/>
        <v>85483.44200000001</v>
      </c>
      <c r="BC63" s="374">
        <f t="shared" si="26"/>
        <v>17096.688400000003</v>
      </c>
      <c r="BD63" s="374">
        <f t="shared" si="18"/>
        <v>69170.428960000005</v>
      </c>
      <c r="BE63" s="374">
        <f t="shared" si="27"/>
        <v>683083.86063999997</v>
      </c>
      <c r="BF63" s="374">
        <f t="shared" si="28"/>
        <v>10258013.040000001</v>
      </c>
      <c r="BG63" s="374">
        <f t="shared" si="19"/>
        <v>874231.8</v>
      </c>
      <c r="BH63" s="374">
        <f t="shared" si="29"/>
        <v>11132244.840000002</v>
      </c>
      <c r="BI63" s="374">
        <f t="shared" si="20"/>
        <v>389628.56940000009</v>
      </c>
      <c r="BJ63" s="374">
        <f t="shared" si="21"/>
        <v>578573.59267200006</v>
      </c>
      <c r="BK63" s="374">
        <f t="shared" si="30"/>
        <v>500951.01780000015</v>
      </c>
      <c r="BL63" s="374">
        <f t="shared" si="31"/>
        <v>333967.34520000004</v>
      </c>
      <c r="BM63" s="373">
        <f t="shared" si="57"/>
        <v>12935365.365072001</v>
      </c>
      <c r="BN63" s="385">
        <v>0.25</v>
      </c>
      <c r="BO63" s="377"/>
      <c r="BP63" s="377"/>
      <c r="BQ63" s="377"/>
      <c r="BR63" s="377"/>
      <c r="BS63" s="377"/>
      <c r="BT63" s="377"/>
      <c r="BU63" s="377"/>
      <c r="BV63" s="377"/>
      <c r="BW63" s="377"/>
      <c r="BX63" s="377"/>
      <c r="BY63" s="377"/>
      <c r="BZ63" s="377"/>
      <c r="CA63" s="377"/>
      <c r="CB63" s="377"/>
      <c r="CC63" s="377"/>
      <c r="CD63" s="377"/>
      <c r="CE63" s="377"/>
      <c r="CF63" s="377"/>
      <c r="CG63" s="377"/>
      <c r="CH63" s="377"/>
      <c r="CI63" s="377"/>
    </row>
    <row r="64" spans="1:87" ht="31.5">
      <c r="A64" s="366">
        <f>A63+1</f>
        <v>50</v>
      </c>
      <c r="B64" s="366">
        <f>B63+1</f>
        <v>19</v>
      </c>
      <c r="C64" s="378" t="s">
        <v>930</v>
      </c>
      <c r="D64" s="421" t="s">
        <v>1117</v>
      </c>
      <c r="E64" s="366" t="s">
        <v>998</v>
      </c>
      <c r="F64" s="1298"/>
      <c r="G64" s="362"/>
      <c r="H64" s="397" t="s">
        <v>279</v>
      </c>
      <c r="I64" s="394">
        <v>17697</v>
      </c>
      <c r="J64" s="398">
        <v>9.66</v>
      </c>
      <c r="K64" s="367">
        <f t="shared" si="39"/>
        <v>170953.02</v>
      </c>
      <c r="L64" s="380"/>
      <c r="M64" s="380">
        <v>8</v>
      </c>
      <c r="N64" s="380">
        <v>8</v>
      </c>
      <c r="O64" s="380"/>
      <c r="P64" s="380"/>
      <c r="Q64" s="368">
        <f t="shared" si="40"/>
        <v>16</v>
      </c>
      <c r="R64" s="411"/>
      <c r="S64" s="411">
        <v>2</v>
      </c>
      <c r="T64" s="411">
        <v>2</v>
      </c>
      <c r="U64" s="411"/>
      <c r="V64" s="411"/>
      <c r="W64" s="381">
        <f t="shared" si="41"/>
        <v>4</v>
      </c>
      <c r="X64" s="370">
        <f t="shared" si="42"/>
        <v>20</v>
      </c>
      <c r="Y64" s="367">
        <f t="shared" si="43"/>
        <v>213691.27499999999</v>
      </c>
      <c r="Z64" s="367">
        <f t="shared" si="44"/>
        <v>21369.127500000002</v>
      </c>
      <c r="AA64" s="366">
        <v>20</v>
      </c>
      <c r="AB64" s="367">
        <f t="shared" si="45"/>
        <v>8848.5</v>
      </c>
      <c r="AC64" s="366"/>
      <c r="AD64" s="367">
        <f t="shared" si="46"/>
        <v>0</v>
      </c>
      <c r="AE64" s="416"/>
      <c r="AF64" s="366"/>
      <c r="AG64" s="367"/>
      <c r="AH64" s="366"/>
      <c r="AI64" s="367"/>
      <c r="AJ64" s="366">
        <f t="shared" si="47"/>
        <v>20</v>
      </c>
      <c r="AK64" s="367">
        <f t="shared" si="48"/>
        <v>8848.5</v>
      </c>
      <c r="AL64" s="366">
        <f t="shared" si="49"/>
        <v>20</v>
      </c>
      <c r="AM64" s="367">
        <f t="shared" si="50"/>
        <v>64107.382499999992</v>
      </c>
      <c r="AN64" s="366">
        <f>F64</f>
        <v>0</v>
      </c>
      <c r="AO64" s="367" t="str">
        <f t="shared" si="52"/>
        <v>0</v>
      </c>
      <c r="AP64" s="367" t="str">
        <f t="shared" si="53"/>
        <v>0</v>
      </c>
      <c r="AQ64" s="367" t="str">
        <f t="shared" si="54"/>
        <v>0</v>
      </c>
      <c r="AR64" s="367" t="str">
        <f t="shared" si="55"/>
        <v>0</v>
      </c>
      <c r="AS64" s="366"/>
      <c r="AT64" s="367"/>
      <c r="AU64" s="371"/>
      <c r="AV64" s="367"/>
      <c r="AW64" s="371">
        <f t="shared" si="59"/>
        <v>0</v>
      </c>
      <c r="AX64" s="372"/>
      <c r="AY64" s="367"/>
      <c r="AZ64" s="367">
        <f t="shared" si="56"/>
        <v>103173.51</v>
      </c>
      <c r="BA64" s="373">
        <f t="shared" si="17"/>
        <v>316864.78499999997</v>
      </c>
      <c r="BB64" s="374">
        <f t="shared" si="25"/>
        <v>31686.478499999997</v>
      </c>
      <c r="BC64" s="374">
        <f t="shared" si="26"/>
        <v>6337.2956999999997</v>
      </c>
      <c r="BD64" s="374">
        <f t="shared" si="18"/>
        <v>21829.101079999993</v>
      </c>
      <c r="BE64" s="374">
        <f t="shared" si="27"/>
        <v>257011.90971999994</v>
      </c>
      <c r="BF64" s="374">
        <f t="shared" si="28"/>
        <v>3802377.42</v>
      </c>
      <c r="BG64" s="374">
        <f t="shared" si="19"/>
        <v>427382.55</v>
      </c>
      <c r="BH64" s="374">
        <f t="shared" si="29"/>
        <v>4229759.97</v>
      </c>
      <c r="BI64" s="374">
        <f t="shared" si="20"/>
        <v>148041.59895000001</v>
      </c>
      <c r="BJ64" s="374">
        <f t="shared" si="21"/>
        <v>220041.80805599995</v>
      </c>
      <c r="BK64" s="374">
        <f t="shared" si="30"/>
        <v>190339.19865000001</v>
      </c>
      <c r="BL64" s="374">
        <f t="shared" si="31"/>
        <v>126892.79909999999</v>
      </c>
      <c r="BM64" s="373">
        <f t="shared" si="57"/>
        <v>4915075.3747559991</v>
      </c>
      <c r="BN64" s="375"/>
      <c r="BO64" s="377"/>
      <c r="BP64" s="377"/>
      <c r="BQ64" s="377"/>
      <c r="BR64" s="377"/>
      <c r="BS64" s="377"/>
      <c r="BT64" s="377"/>
      <c r="BU64" s="377"/>
      <c r="BV64" s="377"/>
      <c r="BW64" s="377"/>
      <c r="BX64" s="377"/>
      <c r="BY64" s="377"/>
      <c r="BZ64" s="377"/>
      <c r="CA64" s="377"/>
      <c r="CB64" s="377"/>
      <c r="CC64" s="377"/>
      <c r="CD64" s="377"/>
      <c r="CE64" s="377"/>
      <c r="CF64" s="377"/>
      <c r="CG64" s="377"/>
      <c r="CH64" s="377"/>
      <c r="CI64" s="377"/>
    </row>
    <row r="65" spans="1:87" ht="15">
      <c r="A65" s="1529"/>
      <c r="B65" s="1521"/>
      <c r="C65" s="1520" t="s">
        <v>2</v>
      </c>
      <c r="D65" s="1507"/>
      <c r="E65" s="1507"/>
      <c r="F65" s="1507"/>
      <c r="G65" s="1522"/>
      <c r="H65" s="1522"/>
      <c r="I65" s="1507"/>
      <c r="J65" s="1508"/>
      <c r="K65" s="422">
        <f t="shared" ref="K65:AE65" si="60">SUM(K46:K64)</f>
        <v>3602047.3799999994</v>
      </c>
      <c r="L65" s="422">
        <f t="shared" si="60"/>
        <v>80</v>
      </c>
      <c r="M65" s="422">
        <f t="shared" si="60"/>
        <v>80</v>
      </c>
      <c r="N65" s="422">
        <f t="shared" si="60"/>
        <v>72</v>
      </c>
      <c r="O65" s="422">
        <f t="shared" si="60"/>
        <v>72</v>
      </c>
      <c r="P65" s="422">
        <f t="shared" si="60"/>
        <v>72</v>
      </c>
      <c r="Q65" s="422">
        <f t="shared" si="60"/>
        <v>376</v>
      </c>
      <c r="R65" s="422">
        <f t="shared" si="60"/>
        <v>33</v>
      </c>
      <c r="S65" s="422">
        <f t="shared" si="60"/>
        <v>27</v>
      </c>
      <c r="T65" s="422">
        <f t="shared" si="60"/>
        <v>45</v>
      </c>
      <c r="U65" s="422">
        <f t="shared" si="60"/>
        <v>20</v>
      </c>
      <c r="V65" s="422">
        <f t="shared" si="60"/>
        <v>0</v>
      </c>
      <c r="W65" s="422">
        <f t="shared" si="60"/>
        <v>125</v>
      </c>
      <c r="X65" s="422">
        <f t="shared" si="60"/>
        <v>501</v>
      </c>
      <c r="Y65" s="423">
        <f t="shared" si="60"/>
        <v>5896994.3400000008</v>
      </c>
      <c r="Z65" s="422">
        <f t="shared" si="60"/>
        <v>589699.43399999989</v>
      </c>
      <c r="AA65" s="422">
        <f t="shared" si="60"/>
        <v>225</v>
      </c>
      <c r="AB65" s="422">
        <f t="shared" si="60"/>
        <v>99545.625</v>
      </c>
      <c r="AC65" s="422">
        <f t="shared" si="60"/>
        <v>209</v>
      </c>
      <c r="AD65" s="422">
        <f t="shared" si="60"/>
        <v>46233.412500000006</v>
      </c>
      <c r="AE65" s="422">
        <f t="shared" si="60"/>
        <v>196600</v>
      </c>
      <c r="AF65" s="422">
        <v>8</v>
      </c>
      <c r="AG65" s="422">
        <f>SUM(AG46:AG64)</f>
        <v>28315.200000000004</v>
      </c>
      <c r="AH65" s="422">
        <v>1</v>
      </c>
      <c r="AI65" s="422">
        <f t="shared" ref="AI65:BN65" si="61">SUM(AI46:AI64)</f>
        <v>35394</v>
      </c>
      <c r="AJ65" s="422">
        <f t="shared" si="61"/>
        <v>501</v>
      </c>
      <c r="AK65" s="422">
        <f t="shared" si="61"/>
        <v>221654.92499999996</v>
      </c>
      <c r="AL65" s="422">
        <f t="shared" si="61"/>
        <v>501</v>
      </c>
      <c r="AM65" s="422">
        <f t="shared" si="61"/>
        <v>1769098.3020000004</v>
      </c>
      <c r="AN65" s="422">
        <f t="shared" si="61"/>
        <v>0</v>
      </c>
      <c r="AO65" s="422">
        <f t="shared" si="61"/>
        <v>655673.85000000009</v>
      </c>
      <c r="AP65" s="422">
        <f t="shared" si="61"/>
        <v>956168.91</v>
      </c>
      <c r="AQ65" s="422">
        <f t="shared" si="61"/>
        <v>0</v>
      </c>
      <c r="AR65" s="422">
        <f t="shared" si="61"/>
        <v>339457.21762499999</v>
      </c>
      <c r="AS65" s="422">
        <f t="shared" si="61"/>
        <v>0</v>
      </c>
      <c r="AT65" s="422">
        <f t="shared" si="61"/>
        <v>0</v>
      </c>
      <c r="AU65" s="422">
        <f t="shared" si="61"/>
        <v>0</v>
      </c>
      <c r="AV65" s="422">
        <f t="shared" si="61"/>
        <v>0</v>
      </c>
      <c r="AW65" s="422">
        <v>10</v>
      </c>
      <c r="AX65" s="422">
        <f t="shared" si="61"/>
        <v>506025</v>
      </c>
      <c r="AY65" s="422">
        <f t="shared" si="61"/>
        <v>0</v>
      </c>
      <c r="AZ65" s="422">
        <f t="shared" si="61"/>
        <v>5443865.8761250004</v>
      </c>
      <c r="BA65" s="1318">
        <f>SUM(BA46:BA64)</f>
        <v>11340860.216125002</v>
      </c>
      <c r="BB65" s="1318">
        <f t="shared" ref="BB65:BM65" si="62">SUM(BB46:BB64)</f>
        <v>1134086.0216125001</v>
      </c>
      <c r="BC65" s="1318">
        <f t="shared" si="62"/>
        <v>226817.20432250001</v>
      </c>
      <c r="BD65" s="1318">
        <f t="shared" si="62"/>
        <v>882950.69901900017</v>
      </c>
      <c r="BE65" s="1318">
        <f t="shared" si="62"/>
        <v>9097006.2911709994</v>
      </c>
      <c r="BF65" s="1318">
        <f t="shared" si="62"/>
        <v>136090322.59349999</v>
      </c>
      <c r="BG65" s="1318">
        <f t="shared" si="62"/>
        <v>11793988.680000002</v>
      </c>
      <c r="BH65" s="1318">
        <f t="shared" si="62"/>
        <v>147884311.2735</v>
      </c>
      <c r="BI65" s="1318">
        <f t="shared" si="62"/>
        <v>5175950.8945725001</v>
      </c>
      <c r="BJ65" s="1318">
        <f t="shared" si="62"/>
        <v>7686354.0990632987</v>
      </c>
      <c r="BK65" s="1318">
        <f t="shared" si="62"/>
        <v>6654794.0073075006</v>
      </c>
      <c r="BL65" s="1318">
        <f t="shared" si="62"/>
        <v>4436529.3382050013</v>
      </c>
      <c r="BM65" s="1318">
        <f t="shared" si="62"/>
        <v>171837939.61264834</v>
      </c>
      <c r="BN65" s="422">
        <f t="shared" si="61"/>
        <v>1</v>
      </c>
      <c r="BO65" s="408"/>
      <c r="BP65" s="355"/>
      <c r="BQ65" s="355"/>
      <c r="BR65" s="355"/>
      <c r="BS65" s="355"/>
      <c r="BT65" s="355"/>
      <c r="BU65" s="355"/>
      <c r="BV65" s="355"/>
      <c r="BW65" s="355"/>
      <c r="BX65" s="355"/>
      <c r="BY65" s="355"/>
      <c r="BZ65" s="355"/>
      <c r="CA65" s="355"/>
      <c r="CB65" s="355"/>
      <c r="CC65" s="355"/>
      <c r="CD65" s="355"/>
      <c r="CE65" s="355"/>
      <c r="CF65" s="355"/>
      <c r="CG65" s="355"/>
      <c r="CH65" s="355"/>
      <c r="CI65" s="356"/>
    </row>
    <row r="66" spans="1:87" ht="24" customHeight="1">
      <c r="A66" s="369">
        <f>A64+1</f>
        <v>51</v>
      </c>
      <c r="B66" s="416">
        <v>1</v>
      </c>
      <c r="C66" s="409" t="s">
        <v>1118</v>
      </c>
      <c r="D66" s="414" t="s">
        <v>1119</v>
      </c>
      <c r="E66" s="366" t="s">
        <v>998</v>
      </c>
      <c r="F66" s="508" t="s">
        <v>1005</v>
      </c>
      <c r="G66" s="366"/>
      <c r="H66" s="371" t="s">
        <v>1120</v>
      </c>
      <c r="I66" s="366">
        <v>17697</v>
      </c>
      <c r="J66" s="367">
        <v>11.4</v>
      </c>
      <c r="K66" s="367">
        <f t="shared" ref="K66:K82" si="63">I66*J66</f>
        <v>201745.80000000002</v>
      </c>
      <c r="L66" s="380"/>
      <c r="M66" s="380">
        <v>9</v>
      </c>
      <c r="N66" s="380"/>
      <c r="O66" s="380"/>
      <c r="P66" s="380"/>
      <c r="Q66" s="368">
        <f t="shared" ref="Q66:Q82" si="64">SUM(L66:P66)</f>
        <v>9</v>
      </c>
      <c r="R66" s="380"/>
      <c r="S66" s="380"/>
      <c r="T66" s="380"/>
      <c r="U66" s="380"/>
      <c r="V66" s="380"/>
      <c r="W66" s="381">
        <f t="shared" ref="W66:W82" si="65">SUM(R66:V66)</f>
        <v>0</v>
      </c>
      <c r="X66" s="424">
        <f t="shared" ref="X66:X82" si="66">Q66+W66</f>
        <v>9</v>
      </c>
      <c r="Y66" s="400">
        <f t="shared" ref="Y66:Y82" si="67">K66/16*X66</f>
        <v>113482.01250000001</v>
      </c>
      <c r="Z66" s="398">
        <f t="shared" ref="Z66:Z82" si="68">Y66*10%</f>
        <v>11348.201250000002</v>
      </c>
      <c r="AA66" s="366"/>
      <c r="AB66" s="367">
        <f t="shared" ref="AB66:AB82" si="69">I66/16*AA66*40%</f>
        <v>0</v>
      </c>
      <c r="AC66" s="366"/>
      <c r="AD66" s="367">
        <f t="shared" ref="AD66:AD82" si="70">I66/16*AC66*40%*50%</f>
        <v>0</v>
      </c>
      <c r="AE66" s="367"/>
      <c r="AF66" s="366"/>
      <c r="AG66" s="367"/>
      <c r="AH66" s="366"/>
      <c r="AI66" s="367"/>
      <c r="AJ66" s="366">
        <f t="shared" ref="AJ66:AJ82" si="71">X66</f>
        <v>9</v>
      </c>
      <c r="AK66" s="367">
        <f t="shared" ref="AK66:AK82" si="72">I66/16*AJ66*40%</f>
        <v>3981.8250000000003</v>
      </c>
      <c r="AL66" s="366">
        <f t="shared" ref="AL66:AL82" si="73">X66</f>
        <v>9</v>
      </c>
      <c r="AM66" s="367">
        <f t="shared" ref="AM66:AM82" si="74">K66/16*AL66*30%</f>
        <v>34044.603750000002</v>
      </c>
      <c r="AN66" s="366" t="str">
        <f t="shared" ref="AN66:AN82" si="75">F66</f>
        <v>Педагог-зерттеуші</v>
      </c>
      <c r="AO66" s="367" t="str">
        <f t="shared" ref="AO66:AO78" si="76">IF(AN66="Педагог-зерттеуші", "0", IF(AN66="Педагог-шебер",K66/16*X66*50%, IF(AN66="Педагог-сарапшы", "0", IF(AN66="Педагог-модератор", "0", "0"))))</f>
        <v>0</v>
      </c>
      <c r="AP66" s="367">
        <f t="shared" ref="AP66:AP82" si="77">IF(AN66="Педагог-шебер", "0", IF(AN66="Педагог-зерттеуші",K66/16*X66*40%, IF(AN66="Педагог-сарапшы", "0", IF(AN66="Педагог-модератор", "0", "0"))))</f>
        <v>45392.805000000008</v>
      </c>
      <c r="AQ66" s="367" t="str">
        <f t="shared" ref="AQ66:AQ82" si="78">IF(AN66="Педагог-шебер", "0", IF(AN66="Педагог-сарапшы",K66/16*X66*35%, IF(AN66="Педагог-зерттеуші", "0", IF(AN66="Педагог-модератор", "0", "0"))))</f>
        <v>0</v>
      </c>
      <c r="AR66" s="367" t="str">
        <f t="shared" ref="AR66:AR82" si="79">IF(AN66="Педагог-шебер", "0", IF(AN66="Педагог-модератор",K66/16*X66*30%, IF(AN66="Педагог-зерттеуші", "0", IF(AN66="Педагог-сарапшы", "0", "0"))))</f>
        <v>0</v>
      </c>
      <c r="AS66" s="366"/>
      <c r="AT66" s="367"/>
      <c r="AU66" s="366"/>
      <c r="AV66" s="367"/>
      <c r="AW66" s="371">
        <f>G66</f>
        <v>0</v>
      </c>
      <c r="AX66" s="367"/>
      <c r="AY66" s="367"/>
      <c r="AZ66" s="367">
        <f t="shared" ref="AZ66:AZ82" si="80">Z66+AB66+AD66+AE66+AG66+AI66+AK66+AM66+AO66+AP66+AQ66++AR66+AT66+AV66+AX66+AY66</f>
        <v>94767.435000000012</v>
      </c>
      <c r="BA66" s="373">
        <f t="shared" si="17"/>
        <v>208249.44750000001</v>
      </c>
      <c r="BB66" s="374">
        <f t="shared" si="25"/>
        <v>20824.944750000002</v>
      </c>
      <c r="BC66" s="374">
        <f t="shared" si="26"/>
        <v>4164.9889499999999</v>
      </c>
      <c r="BD66" s="374">
        <f t="shared" si="18"/>
        <v>12270.951380000002</v>
      </c>
      <c r="BE66" s="374">
        <f t="shared" si="27"/>
        <v>170988.56242</v>
      </c>
      <c r="BF66" s="374">
        <f t="shared" si="28"/>
        <v>2498993.37</v>
      </c>
      <c r="BG66" s="374">
        <f t="shared" si="19"/>
        <v>226964.02500000002</v>
      </c>
      <c r="BH66" s="374">
        <f t="shared" si="29"/>
        <v>2725957.395</v>
      </c>
      <c r="BI66" s="374">
        <f t="shared" si="20"/>
        <v>95408.508825000012</v>
      </c>
      <c r="BJ66" s="374">
        <f t="shared" si="21"/>
        <v>141703.91391599999</v>
      </c>
      <c r="BK66" s="374">
        <f t="shared" si="30"/>
        <v>122668.082775</v>
      </c>
      <c r="BL66" s="374">
        <f t="shared" si="31"/>
        <v>81778.721850000002</v>
      </c>
      <c r="BM66" s="373">
        <f t="shared" ref="BM66:BM82" si="81">BH66+BJ66+BK66+BL66+BI66</f>
        <v>3167516.622366</v>
      </c>
      <c r="BN66" s="375"/>
      <c r="BO66" s="377"/>
      <c r="BP66" s="377"/>
      <c r="BQ66" s="377"/>
      <c r="BR66" s="377"/>
      <c r="BS66" s="377"/>
      <c r="BT66" s="377"/>
      <c r="BU66" s="377"/>
      <c r="BV66" s="377"/>
      <c r="BW66" s="377"/>
      <c r="BX66" s="377"/>
      <c r="BY66" s="377"/>
      <c r="BZ66" s="377"/>
      <c r="CA66" s="377"/>
      <c r="CB66" s="377"/>
      <c r="CC66" s="377"/>
      <c r="CD66" s="377"/>
      <c r="CE66" s="377"/>
      <c r="CF66" s="377"/>
      <c r="CG66" s="377"/>
      <c r="CH66" s="377"/>
      <c r="CI66" s="377"/>
    </row>
    <row r="67" spans="1:87" ht="30">
      <c r="A67" s="369">
        <f t="shared" ref="A67:B82" si="82">A66+1</f>
        <v>52</v>
      </c>
      <c r="B67" s="416">
        <f t="shared" si="82"/>
        <v>2</v>
      </c>
      <c r="C67" s="425" t="s">
        <v>1121</v>
      </c>
      <c r="D67" s="695" t="s">
        <v>1122</v>
      </c>
      <c r="E67" s="392" t="s">
        <v>998</v>
      </c>
      <c r="F67" s="508" t="s">
        <v>1005</v>
      </c>
      <c r="G67" s="366" t="s">
        <v>1123</v>
      </c>
      <c r="H67" s="371" t="s">
        <v>1421</v>
      </c>
      <c r="I67" s="366">
        <v>17697</v>
      </c>
      <c r="J67" s="367">
        <v>10.82</v>
      </c>
      <c r="K67" s="367">
        <f t="shared" si="63"/>
        <v>191481.54</v>
      </c>
      <c r="L67" s="380"/>
      <c r="M67" s="380"/>
      <c r="N67" s="380">
        <v>15</v>
      </c>
      <c r="O67" s="380">
        <v>12</v>
      </c>
      <c r="P67" s="380">
        <v>6</v>
      </c>
      <c r="Q67" s="368">
        <f t="shared" si="64"/>
        <v>33</v>
      </c>
      <c r="R67" s="380"/>
      <c r="S67" s="380"/>
      <c r="T67" s="380"/>
      <c r="U67" s="380"/>
      <c r="V67" s="380"/>
      <c r="W67" s="381">
        <f t="shared" si="65"/>
        <v>0</v>
      </c>
      <c r="X67" s="424">
        <f t="shared" si="66"/>
        <v>33</v>
      </c>
      <c r="Y67" s="400">
        <f t="shared" si="67"/>
        <v>394930.67625000002</v>
      </c>
      <c r="Z67" s="398">
        <f t="shared" si="68"/>
        <v>39493.067625000003</v>
      </c>
      <c r="AA67" s="366"/>
      <c r="AB67" s="367">
        <f t="shared" si="69"/>
        <v>0</v>
      </c>
      <c r="AC67" s="366"/>
      <c r="AD67" s="367">
        <f t="shared" si="70"/>
        <v>0</v>
      </c>
      <c r="AE67" s="366">
        <v>196600</v>
      </c>
      <c r="AF67" s="366" t="s">
        <v>1124</v>
      </c>
      <c r="AG67" s="367">
        <f>17697*20%</f>
        <v>3539.4</v>
      </c>
      <c r="AH67" s="366"/>
      <c r="AI67" s="367"/>
      <c r="AJ67" s="366">
        <f t="shared" si="71"/>
        <v>33</v>
      </c>
      <c r="AK67" s="367">
        <f t="shared" si="72"/>
        <v>14600.025000000001</v>
      </c>
      <c r="AL67" s="366">
        <f t="shared" si="73"/>
        <v>33</v>
      </c>
      <c r="AM67" s="367">
        <f t="shared" si="74"/>
        <v>118479.202875</v>
      </c>
      <c r="AN67" s="366" t="str">
        <f t="shared" si="75"/>
        <v>Педагог-зерттеуші</v>
      </c>
      <c r="AO67" s="367" t="str">
        <f t="shared" si="76"/>
        <v>0</v>
      </c>
      <c r="AP67" s="367">
        <f t="shared" si="77"/>
        <v>157972.27050000001</v>
      </c>
      <c r="AQ67" s="367" t="str">
        <f t="shared" si="78"/>
        <v>0</v>
      </c>
      <c r="AR67" s="367" t="str">
        <f t="shared" si="79"/>
        <v>0</v>
      </c>
      <c r="AS67" s="366"/>
      <c r="AT67" s="367"/>
      <c r="AU67" s="372"/>
      <c r="AV67" s="367"/>
      <c r="AW67" s="371" t="str">
        <f>G67</f>
        <v>Магистр-информатики</v>
      </c>
      <c r="AX67" s="372">
        <f>10*4325</f>
        <v>43250</v>
      </c>
      <c r="AY67" s="367"/>
      <c r="AZ67" s="367">
        <f t="shared" si="80"/>
        <v>573933.96600000001</v>
      </c>
      <c r="BA67" s="373">
        <f t="shared" si="17"/>
        <v>968864.64225000003</v>
      </c>
      <c r="BB67" s="374">
        <f t="shared" si="25"/>
        <v>96886.464225000003</v>
      </c>
      <c r="BC67" s="374">
        <f t="shared" si="26"/>
        <v>19377.292845</v>
      </c>
      <c r="BD67" s="374">
        <f t="shared" si="18"/>
        <v>79205.088518000004</v>
      </c>
      <c r="BE67" s="374">
        <f t="shared" si="27"/>
        <v>773395.79666200001</v>
      </c>
      <c r="BF67" s="374">
        <f t="shared" si="28"/>
        <v>11626375.707</v>
      </c>
      <c r="BG67" s="374">
        <f t="shared" si="19"/>
        <v>789861.35250000004</v>
      </c>
      <c r="BH67" s="374">
        <f t="shared" si="29"/>
        <v>12416237.059500001</v>
      </c>
      <c r="BI67" s="374">
        <f t="shared" si="20"/>
        <v>434568.29708250007</v>
      </c>
      <c r="BJ67" s="374">
        <f t="shared" si="21"/>
        <v>644898.77465759998</v>
      </c>
      <c r="BK67" s="374">
        <f t="shared" si="30"/>
        <v>558730.66767750017</v>
      </c>
      <c r="BL67" s="374">
        <f t="shared" si="31"/>
        <v>372487.11178500002</v>
      </c>
      <c r="BM67" s="373">
        <f t="shared" si="81"/>
        <v>14426921.910702601</v>
      </c>
      <c r="BN67" s="375">
        <v>0.5</v>
      </c>
      <c r="BO67" s="377"/>
      <c r="BP67" s="377"/>
      <c r="BQ67" s="377"/>
      <c r="BR67" s="377"/>
      <c r="BS67" s="377"/>
      <c r="BT67" s="377"/>
      <c r="BU67" s="377"/>
      <c r="BV67" s="377"/>
      <c r="BW67" s="377"/>
      <c r="BX67" s="377"/>
      <c r="BY67" s="377"/>
      <c r="BZ67" s="377"/>
      <c r="CA67" s="377"/>
      <c r="CB67" s="377"/>
      <c r="CC67" s="377"/>
      <c r="CD67" s="377"/>
      <c r="CE67" s="377"/>
      <c r="CF67" s="377"/>
      <c r="CG67" s="377"/>
      <c r="CH67" s="377"/>
      <c r="CI67" s="377"/>
    </row>
    <row r="68" spans="1:87" ht="60">
      <c r="A68" s="369">
        <f t="shared" si="82"/>
        <v>53</v>
      </c>
      <c r="B68" s="416">
        <f t="shared" si="82"/>
        <v>3</v>
      </c>
      <c r="C68" s="378" t="s">
        <v>116</v>
      </c>
      <c r="D68" s="406" t="s">
        <v>1125</v>
      </c>
      <c r="E68" s="392" t="s">
        <v>998</v>
      </c>
      <c r="F68" s="508" t="s">
        <v>1126</v>
      </c>
      <c r="G68" s="366" t="s">
        <v>229</v>
      </c>
      <c r="H68" s="371" t="s">
        <v>1127</v>
      </c>
      <c r="I68" s="366">
        <v>17697</v>
      </c>
      <c r="J68" s="367">
        <v>11.4</v>
      </c>
      <c r="K68" s="367">
        <f t="shared" si="63"/>
        <v>201745.80000000002</v>
      </c>
      <c r="L68" s="380"/>
      <c r="M68" s="380"/>
      <c r="N68" s="380"/>
      <c r="O68" s="380">
        <v>2</v>
      </c>
      <c r="P68" s="380">
        <v>8</v>
      </c>
      <c r="Q68" s="368">
        <f t="shared" si="64"/>
        <v>10</v>
      </c>
      <c r="R68" s="380"/>
      <c r="S68" s="380"/>
      <c r="T68" s="380"/>
      <c r="U68" s="380"/>
      <c r="V68" s="380"/>
      <c r="W68" s="381">
        <f t="shared" si="65"/>
        <v>0</v>
      </c>
      <c r="X68" s="424">
        <f t="shared" si="66"/>
        <v>10</v>
      </c>
      <c r="Y68" s="400">
        <f t="shared" si="67"/>
        <v>126091.12500000001</v>
      </c>
      <c r="Z68" s="398"/>
      <c r="AA68" s="366"/>
      <c r="AB68" s="367">
        <f t="shared" si="69"/>
        <v>0</v>
      </c>
      <c r="AC68" s="366"/>
      <c r="AD68" s="367">
        <f t="shared" si="70"/>
        <v>0</v>
      </c>
      <c r="AE68" s="372"/>
      <c r="AF68" s="366"/>
      <c r="AG68" s="367"/>
      <c r="AH68" s="366"/>
      <c r="AI68" s="367"/>
      <c r="AJ68" s="366">
        <f t="shared" si="71"/>
        <v>10</v>
      </c>
      <c r="AK68" s="367">
        <f t="shared" si="72"/>
        <v>4424.25</v>
      </c>
      <c r="AL68" s="366">
        <f t="shared" si="73"/>
        <v>10</v>
      </c>
      <c r="AM68" s="367">
        <f t="shared" si="74"/>
        <v>37827.337500000001</v>
      </c>
      <c r="AN68" s="366" t="str">
        <f t="shared" si="75"/>
        <v>педагог-шебер</v>
      </c>
      <c r="AO68" s="367">
        <f t="shared" si="76"/>
        <v>63045.562500000007</v>
      </c>
      <c r="AP68" s="367" t="str">
        <f t="shared" si="77"/>
        <v>0</v>
      </c>
      <c r="AQ68" s="367" t="str">
        <f t="shared" si="78"/>
        <v>0</v>
      </c>
      <c r="AR68" s="367" t="str">
        <f t="shared" si="79"/>
        <v>0</v>
      </c>
      <c r="AS68" s="366"/>
      <c r="AT68" s="367"/>
      <c r="AU68" s="372"/>
      <c r="AV68" s="367"/>
      <c r="AW68" s="371" t="str">
        <f>G68</f>
        <v>Магистр-информационные системы</v>
      </c>
      <c r="AX68" s="372">
        <f>10*4325</f>
        <v>43250</v>
      </c>
      <c r="AY68" s="367"/>
      <c r="AZ68" s="367">
        <f t="shared" si="80"/>
        <v>148547.15000000002</v>
      </c>
      <c r="BA68" s="373">
        <f t="shared" si="17"/>
        <v>274638.27500000002</v>
      </c>
      <c r="BB68" s="374">
        <f t="shared" si="25"/>
        <v>27463.827500000003</v>
      </c>
      <c r="BC68" s="374">
        <f t="shared" si="26"/>
        <v>5492.7655000000004</v>
      </c>
      <c r="BD68" s="374">
        <f t="shared" si="18"/>
        <v>18113.1682</v>
      </c>
      <c r="BE68" s="374">
        <f t="shared" si="27"/>
        <v>223568.51380000002</v>
      </c>
      <c r="BF68" s="374">
        <f t="shared" si="28"/>
        <v>3295659.3000000003</v>
      </c>
      <c r="BG68" s="374">
        <f t="shared" si="19"/>
        <v>252182.25000000003</v>
      </c>
      <c r="BH68" s="374">
        <f t="shared" si="29"/>
        <v>3547841.5500000003</v>
      </c>
      <c r="BI68" s="374">
        <f t="shared" si="20"/>
        <v>124174.45425000002</v>
      </c>
      <c r="BJ68" s="374">
        <f t="shared" si="21"/>
        <v>184332.99324000001</v>
      </c>
      <c r="BK68" s="374">
        <f t="shared" si="30"/>
        <v>159652.86975000004</v>
      </c>
      <c r="BL68" s="374">
        <f t="shared" si="31"/>
        <v>106435.24650000001</v>
      </c>
      <c r="BM68" s="373">
        <f t="shared" si="81"/>
        <v>4122437.1137400004</v>
      </c>
      <c r="BN68" s="375">
        <v>1</v>
      </c>
      <c r="BO68" s="377"/>
      <c r="BP68" s="377"/>
      <c r="BQ68" s="377"/>
      <c r="BR68" s="377"/>
      <c r="BS68" s="377"/>
      <c r="BT68" s="377"/>
      <c r="BU68" s="377"/>
      <c r="BV68" s="377"/>
      <c r="BW68" s="377"/>
      <c r="BX68" s="377"/>
      <c r="BY68" s="377"/>
      <c r="BZ68" s="377"/>
      <c r="CA68" s="377"/>
      <c r="CB68" s="377"/>
      <c r="CC68" s="377"/>
      <c r="CD68" s="377"/>
      <c r="CE68" s="377"/>
      <c r="CF68" s="377"/>
      <c r="CG68" s="377"/>
      <c r="CH68" s="377"/>
      <c r="CI68" s="377"/>
    </row>
    <row r="69" spans="1:87" ht="42" customHeight="1">
      <c r="A69" s="369">
        <f t="shared" si="82"/>
        <v>54</v>
      </c>
      <c r="B69" s="416">
        <f t="shared" si="82"/>
        <v>4</v>
      </c>
      <c r="C69" s="378" t="s">
        <v>1128</v>
      </c>
      <c r="D69" s="379" t="s">
        <v>1129</v>
      </c>
      <c r="E69" s="392" t="s">
        <v>998</v>
      </c>
      <c r="F69" s="508" t="s">
        <v>999</v>
      </c>
      <c r="G69" s="366" t="s">
        <v>1123</v>
      </c>
      <c r="H69" s="371" t="s">
        <v>1130</v>
      </c>
      <c r="I69" s="366">
        <v>17697</v>
      </c>
      <c r="J69" s="367">
        <v>11.4</v>
      </c>
      <c r="K69" s="367">
        <f t="shared" si="63"/>
        <v>201745.80000000002</v>
      </c>
      <c r="L69" s="380"/>
      <c r="M69" s="380">
        <v>9</v>
      </c>
      <c r="N69" s="380">
        <v>12</v>
      </c>
      <c r="O69" s="380">
        <v>6</v>
      </c>
      <c r="P69" s="380"/>
      <c r="Q69" s="368">
        <f t="shared" si="64"/>
        <v>27</v>
      </c>
      <c r="R69" s="380"/>
      <c r="S69" s="380"/>
      <c r="T69" s="380"/>
      <c r="U69" s="380"/>
      <c r="V69" s="380"/>
      <c r="W69" s="381">
        <f t="shared" si="65"/>
        <v>0</v>
      </c>
      <c r="X69" s="424">
        <f t="shared" si="66"/>
        <v>27</v>
      </c>
      <c r="Y69" s="400">
        <f t="shared" si="67"/>
        <v>340446.03750000003</v>
      </c>
      <c r="Z69" s="398">
        <f t="shared" si="68"/>
        <v>34044.603750000002</v>
      </c>
      <c r="AA69" s="366"/>
      <c r="AB69" s="367">
        <f t="shared" si="69"/>
        <v>0</v>
      </c>
      <c r="AC69" s="366"/>
      <c r="AD69" s="367">
        <f t="shared" si="70"/>
        <v>0</v>
      </c>
      <c r="AE69" s="366"/>
      <c r="AF69" s="366" t="s">
        <v>1131</v>
      </c>
      <c r="AG69" s="367">
        <f>17697*20%</f>
        <v>3539.4</v>
      </c>
      <c r="AH69" s="366"/>
      <c r="AI69" s="367"/>
      <c r="AJ69" s="366">
        <f t="shared" si="71"/>
        <v>27</v>
      </c>
      <c r="AK69" s="367">
        <f t="shared" si="72"/>
        <v>11945.475</v>
      </c>
      <c r="AL69" s="366">
        <f t="shared" si="73"/>
        <v>27</v>
      </c>
      <c r="AM69" s="367">
        <f t="shared" si="74"/>
        <v>102133.81125000001</v>
      </c>
      <c r="AN69" s="366" t="str">
        <f t="shared" si="75"/>
        <v>Педагог-шебер</v>
      </c>
      <c r="AO69" s="367">
        <f t="shared" si="76"/>
        <v>170223.01875000002</v>
      </c>
      <c r="AP69" s="367" t="str">
        <f t="shared" si="77"/>
        <v>0</v>
      </c>
      <c r="AQ69" s="367" t="str">
        <f t="shared" si="78"/>
        <v>0</v>
      </c>
      <c r="AR69" s="367" t="str">
        <f t="shared" si="79"/>
        <v>0</v>
      </c>
      <c r="AS69" s="366"/>
      <c r="AT69" s="367"/>
      <c r="AU69" s="366"/>
      <c r="AV69" s="367"/>
      <c r="AW69" s="371" t="str">
        <f>G69</f>
        <v>Магистр-информатики</v>
      </c>
      <c r="AX69" s="372">
        <f>10*4325</f>
        <v>43250</v>
      </c>
      <c r="AY69" s="367">
        <v>17697</v>
      </c>
      <c r="AZ69" s="367">
        <f t="shared" si="80"/>
        <v>382833.30875000003</v>
      </c>
      <c r="BA69" s="373">
        <f t="shared" si="17"/>
        <v>723279.34625000006</v>
      </c>
      <c r="BB69" s="374">
        <f t="shared" si="25"/>
        <v>72327.934625000009</v>
      </c>
      <c r="BC69" s="374">
        <f t="shared" si="26"/>
        <v>14465.586925000001</v>
      </c>
      <c r="BD69" s="374">
        <f t="shared" si="18"/>
        <v>57593.582470000016</v>
      </c>
      <c r="BE69" s="374">
        <f t="shared" si="27"/>
        <v>578892.24223000009</v>
      </c>
      <c r="BF69" s="374">
        <f t="shared" si="28"/>
        <v>8679352.1550000012</v>
      </c>
      <c r="BG69" s="374">
        <f t="shared" si="19"/>
        <v>680892.07500000007</v>
      </c>
      <c r="BH69" s="374">
        <f t="shared" si="29"/>
        <v>9360244.2300000004</v>
      </c>
      <c r="BI69" s="374">
        <f t="shared" si="20"/>
        <v>327608.54805000004</v>
      </c>
      <c r="BJ69" s="374">
        <f t="shared" si="21"/>
        <v>486358.61367899989</v>
      </c>
      <c r="BK69" s="374">
        <f t="shared" si="30"/>
        <v>421210.99035000004</v>
      </c>
      <c r="BL69" s="374">
        <f t="shared" si="31"/>
        <v>280807.32689999999</v>
      </c>
      <c r="BM69" s="373">
        <f t="shared" si="81"/>
        <v>10876229.708978999</v>
      </c>
      <c r="BN69" s="375"/>
      <c r="BO69" s="377"/>
      <c r="BP69" s="377"/>
      <c r="BQ69" s="377"/>
      <c r="BR69" s="377"/>
      <c r="BS69" s="377"/>
      <c r="BT69" s="377"/>
      <c r="BU69" s="377"/>
      <c r="BV69" s="377"/>
      <c r="BW69" s="377"/>
      <c r="BX69" s="377"/>
      <c r="BY69" s="377"/>
      <c r="BZ69" s="377"/>
      <c r="CA69" s="377"/>
      <c r="CB69" s="377"/>
      <c r="CC69" s="377"/>
      <c r="CD69" s="377"/>
      <c r="CE69" s="377"/>
      <c r="CF69" s="377"/>
      <c r="CG69" s="377"/>
      <c r="CH69" s="377"/>
      <c r="CI69" s="377"/>
    </row>
    <row r="70" spans="1:87" ht="45.75" customHeight="1">
      <c r="A70" s="369">
        <f t="shared" si="82"/>
        <v>55</v>
      </c>
      <c r="B70" s="416">
        <f t="shared" si="82"/>
        <v>5</v>
      </c>
      <c r="C70" s="418" t="s">
        <v>1132</v>
      </c>
      <c r="D70" s="421" t="s">
        <v>1133</v>
      </c>
      <c r="E70" s="366" t="s">
        <v>998</v>
      </c>
      <c r="F70" s="508"/>
      <c r="G70" s="366" t="s">
        <v>1046</v>
      </c>
      <c r="H70" s="371" t="s">
        <v>1422</v>
      </c>
      <c r="I70" s="366">
        <v>17697</v>
      </c>
      <c r="J70" s="367">
        <v>9.84</v>
      </c>
      <c r="K70" s="367">
        <f t="shared" si="63"/>
        <v>174138.48</v>
      </c>
      <c r="L70" s="380">
        <v>15</v>
      </c>
      <c r="M70" s="380">
        <v>6</v>
      </c>
      <c r="N70" s="380"/>
      <c r="O70" s="380"/>
      <c r="P70" s="380"/>
      <c r="Q70" s="368">
        <f t="shared" si="64"/>
        <v>21</v>
      </c>
      <c r="R70" s="380"/>
      <c r="S70" s="380"/>
      <c r="T70" s="380"/>
      <c r="U70" s="380"/>
      <c r="V70" s="380"/>
      <c r="W70" s="381">
        <f t="shared" si="65"/>
        <v>0</v>
      </c>
      <c r="X70" s="424">
        <f t="shared" si="66"/>
        <v>21</v>
      </c>
      <c r="Y70" s="400">
        <f t="shared" si="67"/>
        <v>228556.755</v>
      </c>
      <c r="Z70" s="398">
        <f t="shared" si="68"/>
        <v>22855.675500000001</v>
      </c>
      <c r="AA70" s="366"/>
      <c r="AB70" s="367">
        <f t="shared" si="69"/>
        <v>0</v>
      </c>
      <c r="AC70" s="366"/>
      <c r="AD70" s="367">
        <f t="shared" si="70"/>
        <v>0</v>
      </c>
      <c r="AE70" s="366"/>
      <c r="AF70" s="366"/>
      <c r="AG70" s="367"/>
      <c r="AH70" s="366"/>
      <c r="AI70" s="367"/>
      <c r="AJ70" s="366">
        <f t="shared" si="71"/>
        <v>21</v>
      </c>
      <c r="AK70" s="367">
        <f t="shared" si="72"/>
        <v>9290.9250000000011</v>
      </c>
      <c r="AL70" s="366">
        <f t="shared" si="73"/>
        <v>21</v>
      </c>
      <c r="AM70" s="367">
        <f t="shared" si="74"/>
        <v>68567.026499999993</v>
      </c>
      <c r="AN70" s="366">
        <f t="shared" si="75"/>
        <v>0</v>
      </c>
      <c r="AO70" s="367" t="str">
        <f t="shared" si="76"/>
        <v>0</v>
      </c>
      <c r="AP70" s="367" t="str">
        <f t="shared" si="77"/>
        <v>0</v>
      </c>
      <c r="AQ70" s="367" t="str">
        <f t="shared" si="78"/>
        <v>0</v>
      </c>
      <c r="AR70" s="367" t="str">
        <f t="shared" si="79"/>
        <v>0</v>
      </c>
      <c r="AS70" s="366"/>
      <c r="AT70" s="367"/>
      <c r="AU70" s="366"/>
      <c r="AV70" s="367"/>
      <c r="AW70" s="371" t="str">
        <f t="shared" ref="AW70:AW82" si="83">G70</f>
        <v>Магистр педагогических наук</v>
      </c>
      <c r="AX70" s="372">
        <f>10*4325</f>
        <v>43250</v>
      </c>
      <c r="AY70" s="367"/>
      <c r="AZ70" s="367">
        <f t="shared" si="80"/>
        <v>143963.62699999998</v>
      </c>
      <c r="BA70" s="373">
        <f t="shared" si="17"/>
        <v>372520.38199999998</v>
      </c>
      <c r="BB70" s="374">
        <f t="shared" si="25"/>
        <v>37252.038200000003</v>
      </c>
      <c r="BC70" s="374">
        <f t="shared" si="26"/>
        <v>7450.4076399999994</v>
      </c>
      <c r="BD70" s="374">
        <f t="shared" si="18"/>
        <v>26726.793615999999</v>
      </c>
      <c r="BE70" s="374">
        <f t="shared" si="27"/>
        <v>301091.142544</v>
      </c>
      <c r="BF70" s="374">
        <f t="shared" si="28"/>
        <v>4470244.5839999998</v>
      </c>
      <c r="BG70" s="374">
        <f t="shared" si="19"/>
        <v>457113.51</v>
      </c>
      <c r="BH70" s="374">
        <f t="shared" si="29"/>
        <v>4927358.0939999996</v>
      </c>
      <c r="BI70" s="374">
        <f t="shared" si="20"/>
        <v>172457.53328999999</v>
      </c>
      <c r="BJ70" s="374">
        <f t="shared" si="21"/>
        <v>256242.79899119993</v>
      </c>
      <c r="BK70" s="374">
        <f t="shared" si="30"/>
        <v>221731.11423000001</v>
      </c>
      <c r="BL70" s="374">
        <f t="shared" si="31"/>
        <v>147820.74281999998</v>
      </c>
      <c r="BM70" s="373">
        <f t="shared" si="81"/>
        <v>5725610.2833311995</v>
      </c>
      <c r="BN70" s="375"/>
      <c r="BO70" s="377"/>
      <c r="BP70" s="377"/>
      <c r="BQ70" s="377"/>
      <c r="BR70" s="377"/>
      <c r="BS70" s="377"/>
      <c r="BT70" s="377"/>
      <c r="BU70" s="377"/>
      <c r="BV70" s="377"/>
      <c r="BW70" s="377"/>
      <c r="BX70" s="377"/>
      <c r="BY70" s="377"/>
      <c r="BZ70" s="377"/>
      <c r="CA70" s="377"/>
      <c r="CB70" s="377"/>
      <c r="CC70" s="377"/>
      <c r="CD70" s="377"/>
      <c r="CE70" s="377"/>
      <c r="CF70" s="377"/>
      <c r="CG70" s="377"/>
      <c r="CH70" s="377"/>
      <c r="CI70" s="377"/>
    </row>
    <row r="71" spans="1:87" ht="42.75" customHeight="1">
      <c r="A71" s="369">
        <f t="shared" si="82"/>
        <v>56</v>
      </c>
      <c r="B71" s="416">
        <f t="shared" si="82"/>
        <v>6</v>
      </c>
      <c r="C71" s="409" t="s">
        <v>1135</v>
      </c>
      <c r="D71" s="412" t="s">
        <v>1136</v>
      </c>
      <c r="E71" s="366" t="s">
        <v>998</v>
      </c>
      <c r="F71" s="508" t="s">
        <v>1005</v>
      </c>
      <c r="G71" s="366" t="s">
        <v>1123</v>
      </c>
      <c r="H71" s="371" t="s">
        <v>1423</v>
      </c>
      <c r="I71" s="366">
        <v>17697</v>
      </c>
      <c r="J71" s="367">
        <v>10.82</v>
      </c>
      <c r="K71" s="367">
        <f t="shared" si="63"/>
        <v>191481.54</v>
      </c>
      <c r="L71" s="380"/>
      <c r="M71" s="380">
        <v>15</v>
      </c>
      <c r="N71" s="426"/>
      <c r="O71" s="380"/>
      <c r="P71" s="380">
        <v>10</v>
      </c>
      <c r="Q71" s="368">
        <f t="shared" si="64"/>
        <v>25</v>
      </c>
      <c r="R71" s="380"/>
      <c r="S71" s="380"/>
      <c r="T71" s="380"/>
      <c r="U71" s="380"/>
      <c r="V71" s="380"/>
      <c r="W71" s="381">
        <f t="shared" si="65"/>
        <v>0</v>
      </c>
      <c r="X71" s="424">
        <f t="shared" si="66"/>
        <v>25</v>
      </c>
      <c r="Y71" s="400">
        <f t="shared" si="67"/>
        <v>299189.90625</v>
      </c>
      <c r="Z71" s="398">
        <f t="shared" si="68"/>
        <v>29918.990625000002</v>
      </c>
      <c r="AA71" s="366"/>
      <c r="AB71" s="367">
        <f t="shared" si="69"/>
        <v>0</v>
      </c>
      <c r="AC71" s="366"/>
      <c r="AD71" s="367">
        <f t="shared" si="70"/>
        <v>0</v>
      </c>
      <c r="AE71" s="420"/>
      <c r="AF71" s="366" t="s">
        <v>1138</v>
      </c>
      <c r="AG71" s="367">
        <f>17697*20%</f>
        <v>3539.4</v>
      </c>
      <c r="AH71" s="366" t="s">
        <v>1139</v>
      </c>
      <c r="AI71" s="367">
        <f>I71*200%</f>
        <v>35394</v>
      </c>
      <c r="AJ71" s="366">
        <f t="shared" si="71"/>
        <v>25</v>
      </c>
      <c r="AK71" s="367">
        <f t="shared" si="72"/>
        <v>11060.625</v>
      </c>
      <c r="AL71" s="366">
        <f t="shared" si="73"/>
        <v>25</v>
      </c>
      <c r="AM71" s="367">
        <f t="shared" si="74"/>
        <v>89756.971875000003</v>
      </c>
      <c r="AN71" s="366" t="str">
        <f t="shared" si="75"/>
        <v>Педагог-зерттеуші</v>
      </c>
      <c r="AO71" s="367" t="str">
        <f t="shared" si="76"/>
        <v>0</v>
      </c>
      <c r="AP71" s="367">
        <f t="shared" si="77"/>
        <v>119675.96250000001</v>
      </c>
      <c r="AQ71" s="367" t="str">
        <f t="shared" si="78"/>
        <v>0</v>
      </c>
      <c r="AR71" s="367" t="str">
        <f t="shared" si="79"/>
        <v>0</v>
      </c>
      <c r="AS71" s="366"/>
      <c r="AT71" s="367"/>
      <c r="AU71" s="420"/>
      <c r="AV71" s="367"/>
      <c r="AW71" s="371" t="str">
        <f t="shared" si="83"/>
        <v>Магистр-информатики</v>
      </c>
      <c r="AX71" s="372">
        <f>10*4325</f>
        <v>43250</v>
      </c>
      <c r="AY71" s="367"/>
      <c r="AZ71" s="367">
        <f t="shared" si="80"/>
        <v>332595.95</v>
      </c>
      <c r="BA71" s="373">
        <f t="shared" si="17"/>
        <v>631785.85624999995</v>
      </c>
      <c r="BB71" s="374">
        <f t="shared" si="25"/>
        <v>63178.585625</v>
      </c>
      <c r="BC71" s="374">
        <f t="shared" si="26"/>
        <v>12635.717124999999</v>
      </c>
      <c r="BD71" s="374">
        <f t="shared" si="18"/>
        <v>49542.155350000008</v>
      </c>
      <c r="BE71" s="374">
        <f t="shared" si="27"/>
        <v>506429.39815000002</v>
      </c>
      <c r="BF71" s="374">
        <f t="shared" si="28"/>
        <v>7581430.2749999994</v>
      </c>
      <c r="BG71" s="374">
        <f t="shared" si="19"/>
        <v>598379.8125</v>
      </c>
      <c r="BH71" s="374">
        <f t="shared" si="29"/>
        <v>8179810.0874999994</v>
      </c>
      <c r="BI71" s="374">
        <f t="shared" si="20"/>
        <v>286293.35306250001</v>
      </c>
      <c r="BJ71" s="374">
        <f t="shared" si="21"/>
        <v>425030.59811999998</v>
      </c>
      <c r="BK71" s="374">
        <f t="shared" si="30"/>
        <v>368091.45393750002</v>
      </c>
      <c r="BL71" s="374">
        <f t="shared" si="31"/>
        <v>245394.30262499998</v>
      </c>
      <c r="BM71" s="373">
        <f t="shared" si="81"/>
        <v>9504619.7952449992</v>
      </c>
      <c r="BN71" s="375"/>
      <c r="BO71" s="377"/>
      <c r="BP71" s="377"/>
      <c r="BQ71" s="377"/>
      <c r="BR71" s="377"/>
      <c r="BS71" s="377"/>
      <c r="BT71" s="377"/>
      <c r="BU71" s="377"/>
      <c r="BV71" s="377"/>
      <c r="BW71" s="377"/>
      <c r="BX71" s="377"/>
      <c r="BY71" s="377"/>
      <c r="BZ71" s="377"/>
      <c r="CA71" s="377"/>
      <c r="CB71" s="377"/>
      <c r="CC71" s="377"/>
      <c r="CD71" s="377"/>
      <c r="CE71" s="377"/>
      <c r="CF71" s="377"/>
      <c r="CG71" s="377"/>
      <c r="CH71" s="377"/>
      <c r="CI71" s="377"/>
    </row>
    <row r="72" spans="1:87" ht="42.75" customHeight="1">
      <c r="A72" s="369">
        <f t="shared" si="82"/>
        <v>57</v>
      </c>
      <c r="B72" s="416">
        <f t="shared" si="82"/>
        <v>7</v>
      </c>
      <c r="C72" s="413" t="s">
        <v>1140</v>
      </c>
      <c r="D72" s="414" t="s">
        <v>1141</v>
      </c>
      <c r="E72" s="394" t="s">
        <v>998</v>
      </c>
      <c r="F72" s="1315" t="s">
        <v>999</v>
      </c>
      <c r="G72" s="394"/>
      <c r="H72" s="395" t="s">
        <v>397</v>
      </c>
      <c r="I72" s="394">
        <v>17697</v>
      </c>
      <c r="J72" s="427">
        <v>11.4</v>
      </c>
      <c r="K72" s="427">
        <f t="shared" si="63"/>
        <v>201745.80000000002</v>
      </c>
      <c r="L72" s="380"/>
      <c r="M72" s="380"/>
      <c r="N72" s="380">
        <v>15</v>
      </c>
      <c r="O72" s="380">
        <v>8</v>
      </c>
      <c r="P72" s="380">
        <v>4</v>
      </c>
      <c r="Q72" s="368">
        <f t="shared" si="64"/>
        <v>27</v>
      </c>
      <c r="R72" s="380"/>
      <c r="S72" s="380"/>
      <c r="T72" s="380"/>
      <c r="U72" s="380"/>
      <c r="V72" s="380"/>
      <c r="W72" s="381">
        <f t="shared" si="65"/>
        <v>0</v>
      </c>
      <c r="X72" s="424">
        <f t="shared" si="66"/>
        <v>27</v>
      </c>
      <c r="Y72" s="400">
        <f t="shared" si="67"/>
        <v>340446.03750000003</v>
      </c>
      <c r="Z72" s="398">
        <f t="shared" si="68"/>
        <v>34044.603750000002</v>
      </c>
      <c r="AA72" s="366"/>
      <c r="AB72" s="367">
        <f t="shared" si="69"/>
        <v>0</v>
      </c>
      <c r="AC72" s="366"/>
      <c r="AD72" s="367">
        <f t="shared" si="70"/>
        <v>0</v>
      </c>
      <c r="AE72" s="372"/>
      <c r="AF72" s="366" t="s">
        <v>1142</v>
      </c>
      <c r="AG72" s="367">
        <f>17697*20%</f>
        <v>3539.4</v>
      </c>
      <c r="AH72" s="366"/>
      <c r="AI72" s="367"/>
      <c r="AJ72" s="366">
        <f t="shared" si="71"/>
        <v>27</v>
      </c>
      <c r="AK72" s="367">
        <f t="shared" si="72"/>
        <v>11945.475</v>
      </c>
      <c r="AL72" s="366">
        <f t="shared" si="73"/>
        <v>27</v>
      </c>
      <c r="AM72" s="367">
        <f t="shared" si="74"/>
        <v>102133.81125000001</v>
      </c>
      <c r="AN72" s="366" t="str">
        <f t="shared" si="75"/>
        <v>Педагог-шебер</v>
      </c>
      <c r="AO72" s="367">
        <f t="shared" si="76"/>
        <v>170223.01875000002</v>
      </c>
      <c r="AP72" s="367" t="str">
        <f t="shared" si="77"/>
        <v>0</v>
      </c>
      <c r="AQ72" s="367" t="str">
        <f t="shared" si="78"/>
        <v>0</v>
      </c>
      <c r="AR72" s="367" t="str">
        <f t="shared" si="79"/>
        <v>0</v>
      </c>
      <c r="AS72" s="366"/>
      <c r="AT72" s="367"/>
      <c r="AU72" s="371"/>
      <c r="AV72" s="367"/>
      <c r="AW72" s="371">
        <f t="shared" si="83"/>
        <v>0</v>
      </c>
      <c r="AX72" s="367"/>
      <c r="AY72" s="367">
        <v>17697</v>
      </c>
      <c r="AZ72" s="367">
        <f t="shared" si="80"/>
        <v>339583.30875000003</v>
      </c>
      <c r="BA72" s="373">
        <f t="shared" si="17"/>
        <v>680029.34625000006</v>
      </c>
      <c r="BB72" s="374">
        <f t="shared" si="25"/>
        <v>68002.934625000009</v>
      </c>
      <c r="BC72" s="374">
        <f t="shared" si="26"/>
        <v>13600.586925000001</v>
      </c>
      <c r="BD72" s="374">
        <f t="shared" si="18"/>
        <v>53787.582470000016</v>
      </c>
      <c r="BE72" s="374">
        <f t="shared" si="27"/>
        <v>544638.24223000009</v>
      </c>
      <c r="BF72" s="374">
        <f t="shared" si="28"/>
        <v>8160352.1550000012</v>
      </c>
      <c r="BG72" s="374">
        <f t="shared" si="19"/>
        <v>680892.07500000007</v>
      </c>
      <c r="BH72" s="374">
        <f t="shared" si="29"/>
        <v>8841244.2300000004</v>
      </c>
      <c r="BI72" s="374">
        <f t="shared" si="20"/>
        <v>309443.54805000004</v>
      </c>
      <c r="BJ72" s="374">
        <f t="shared" si="21"/>
        <v>459474.41367899999</v>
      </c>
      <c r="BK72" s="374">
        <f t="shared" si="30"/>
        <v>397855.99035000009</v>
      </c>
      <c r="BL72" s="374">
        <f t="shared" si="31"/>
        <v>265237.32689999999</v>
      </c>
      <c r="BM72" s="373">
        <f t="shared" si="81"/>
        <v>10273255.508979</v>
      </c>
      <c r="BN72" s="375"/>
      <c r="BO72" s="377"/>
      <c r="BP72" s="377"/>
      <c r="BQ72" s="377"/>
      <c r="BR72" s="377"/>
      <c r="BS72" s="377"/>
      <c r="BT72" s="377"/>
      <c r="BU72" s="377"/>
      <c r="BV72" s="377"/>
      <c r="BW72" s="377"/>
      <c r="BX72" s="377"/>
      <c r="BY72" s="377"/>
      <c r="BZ72" s="377"/>
      <c r="CA72" s="377"/>
      <c r="CB72" s="377"/>
      <c r="CC72" s="377"/>
      <c r="CD72" s="377"/>
      <c r="CE72" s="377"/>
      <c r="CF72" s="377"/>
      <c r="CG72" s="377"/>
      <c r="CH72" s="377"/>
      <c r="CI72" s="377"/>
    </row>
    <row r="73" spans="1:87" ht="45" customHeight="1">
      <c r="A73" s="369">
        <f t="shared" si="82"/>
        <v>58</v>
      </c>
      <c r="B73" s="428">
        <f t="shared" si="82"/>
        <v>8</v>
      </c>
      <c r="C73" s="387" t="s">
        <v>1143</v>
      </c>
      <c r="D73" s="429" t="s">
        <v>1144</v>
      </c>
      <c r="E73" s="362" t="s">
        <v>998</v>
      </c>
      <c r="F73" s="1298" t="s">
        <v>1005</v>
      </c>
      <c r="G73" s="362" t="s">
        <v>1123</v>
      </c>
      <c r="H73" s="397" t="s">
        <v>1424</v>
      </c>
      <c r="I73" s="362">
        <v>17697</v>
      </c>
      <c r="J73" s="400">
        <v>10.6</v>
      </c>
      <c r="K73" s="400">
        <f t="shared" si="63"/>
        <v>187588.19999999998</v>
      </c>
      <c r="L73" s="401"/>
      <c r="M73" s="380"/>
      <c r="N73" s="380">
        <v>12</v>
      </c>
      <c r="O73" s="380"/>
      <c r="P73" s="380">
        <v>8</v>
      </c>
      <c r="Q73" s="368">
        <f t="shared" si="64"/>
        <v>20</v>
      </c>
      <c r="R73" s="426"/>
      <c r="S73" s="380"/>
      <c r="T73" s="380"/>
      <c r="U73" s="380"/>
      <c r="V73" s="430"/>
      <c r="W73" s="381">
        <f t="shared" si="65"/>
        <v>0</v>
      </c>
      <c r="X73" s="424">
        <f t="shared" si="66"/>
        <v>20</v>
      </c>
      <c r="Y73" s="400">
        <f t="shared" si="67"/>
        <v>234485.24999999997</v>
      </c>
      <c r="Z73" s="398">
        <f t="shared" si="68"/>
        <v>23448.524999999998</v>
      </c>
      <c r="AA73" s="366"/>
      <c r="AB73" s="367">
        <f t="shared" si="69"/>
        <v>0</v>
      </c>
      <c r="AC73" s="366"/>
      <c r="AD73" s="367">
        <f t="shared" si="70"/>
        <v>0</v>
      </c>
      <c r="AE73" s="366"/>
      <c r="AF73" s="366" t="s">
        <v>1146</v>
      </c>
      <c r="AG73" s="367">
        <f>17697*20%</f>
        <v>3539.4</v>
      </c>
      <c r="AH73" s="366"/>
      <c r="AI73" s="367"/>
      <c r="AJ73" s="366">
        <f t="shared" si="71"/>
        <v>20</v>
      </c>
      <c r="AK73" s="367">
        <f t="shared" si="72"/>
        <v>8848.5</v>
      </c>
      <c r="AL73" s="366">
        <f t="shared" si="73"/>
        <v>20</v>
      </c>
      <c r="AM73" s="367">
        <f t="shared" si="74"/>
        <v>70345.574999999983</v>
      </c>
      <c r="AN73" s="366" t="str">
        <f t="shared" si="75"/>
        <v>Педагог-зерттеуші</v>
      </c>
      <c r="AO73" s="367" t="str">
        <f t="shared" si="76"/>
        <v>0</v>
      </c>
      <c r="AP73" s="367">
        <f t="shared" si="77"/>
        <v>93794.099999999991</v>
      </c>
      <c r="AQ73" s="367" t="str">
        <f t="shared" si="78"/>
        <v>0</v>
      </c>
      <c r="AR73" s="367" t="str">
        <f t="shared" si="79"/>
        <v>0</v>
      </c>
      <c r="AS73" s="366"/>
      <c r="AT73" s="367"/>
      <c r="AU73" s="371"/>
      <c r="AV73" s="367"/>
      <c r="AW73" s="371" t="str">
        <f t="shared" si="83"/>
        <v>Магистр-информатики</v>
      </c>
      <c r="AX73" s="372">
        <f>10*4325</f>
        <v>43250</v>
      </c>
      <c r="AY73" s="367"/>
      <c r="AZ73" s="367">
        <f t="shared" si="80"/>
        <v>243226.09999999998</v>
      </c>
      <c r="BA73" s="373">
        <f t="shared" si="17"/>
        <v>477711.35</v>
      </c>
      <c r="BB73" s="374">
        <f t="shared" si="25"/>
        <v>47771.135000000002</v>
      </c>
      <c r="BC73" s="374">
        <f t="shared" si="26"/>
        <v>9554.226999999999</v>
      </c>
      <c r="BD73" s="374">
        <f t="shared" si="18"/>
        <v>35983.5988</v>
      </c>
      <c r="BE73" s="374">
        <f t="shared" si="27"/>
        <v>384402.38919999998</v>
      </c>
      <c r="BF73" s="374">
        <f t="shared" si="28"/>
        <v>5732536.1999999993</v>
      </c>
      <c r="BG73" s="374">
        <f t="shared" si="19"/>
        <v>468970.49999999994</v>
      </c>
      <c r="BH73" s="374">
        <f t="shared" si="29"/>
        <v>6201506.6999999993</v>
      </c>
      <c r="BI73" s="374">
        <f t="shared" si="20"/>
        <v>217052.73449999999</v>
      </c>
      <c r="BJ73" s="374">
        <f t="shared" si="21"/>
        <v>322269.78215999989</v>
      </c>
      <c r="BK73" s="374">
        <f t="shared" si="30"/>
        <v>279067.8015</v>
      </c>
      <c r="BL73" s="374">
        <f t="shared" si="31"/>
        <v>186045.20099999997</v>
      </c>
      <c r="BM73" s="373">
        <f t="shared" si="81"/>
        <v>7205942.2191599999</v>
      </c>
      <c r="BN73" s="375"/>
      <c r="BO73" s="377"/>
      <c r="BP73" s="377"/>
      <c r="BQ73" s="377"/>
      <c r="BR73" s="377"/>
      <c r="BS73" s="377"/>
      <c r="BT73" s="377"/>
      <c r="BU73" s="377"/>
      <c r="BV73" s="377"/>
      <c r="BW73" s="377"/>
      <c r="BX73" s="377"/>
      <c r="BY73" s="377"/>
      <c r="BZ73" s="377"/>
      <c r="CA73" s="377"/>
      <c r="CB73" s="377"/>
      <c r="CC73" s="377"/>
      <c r="CD73" s="377"/>
      <c r="CE73" s="377"/>
      <c r="CF73" s="377"/>
      <c r="CG73" s="377"/>
      <c r="CH73" s="377"/>
      <c r="CI73" s="377"/>
    </row>
    <row r="74" spans="1:87" ht="45" customHeight="1">
      <c r="A74" s="369">
        <f t="shared" si="82"/>
        <v>59</v>
      </c>
      <c r="B74" s="428">
        <f t="shared" si="82"/>
        <v>9</v>
      </c>
      <c r="C74" s="387" t="s">
        <v>1147</v>
      </c>
      <c r="D74" s="379" t="s">
        <v>1148</v>
      </c>
      <c r="E74" s="362" t="s">
        <v>1022</v>
      </c>
      <c r="F74" s="1298"/>
      <c r="G74" s="362"/>
      <c r="H74" s="397" t="s">
        <v>1403</v>
      </c>
      <c r="I74" s="362">
        <v>17697</v>
      </c>
      <c r="J74" s="400">
        <v>7.98</v>
      </c>
      <c r="K74" s="400">
        <f t="shared" si="63"/>
        <v>141222.06</v>
      </c>
      <c r="L74" s="401">
        <v>15</v>
      </c>
      <c r="M74" s="380"/>
      <c r="N74" s="380"/>
      <c r="O74" s="380"/>
      <c r="P74" s="380"/>
      <c r="Q74" s="368">
        <f t="shared" si="64"/>
        <v>15</v>
      </c>
      <c r="R74" s="426"/>
      <c r="S74" s="380"/>
      <c r="T74" s="380"/>
      <c r="U74" s="380"/>
      <c r="V74" s="430"/>
      <c r="W74" s="381">
        <f t="shared" si="65"/>
        <v>0</v>
      </c>
      <c r="X74" s="424">
        <f t="shared" si="66"/>
        <v>15</v>
      </c>
      <c r="Y74" s="400">
        <f t="shared" si="67"/>
        <v>132395.68124999999</v>
      </c>
      <c r="Z74" s="398">
        <f t="shared" si="68"/>
        <v>13239.568125</v>
      </c>
      <c r="AA74" s="366"/>
      <c r="AB74" s="367">
        <f t="shared" si="69"/>
        <v>0</v>
      </c>
      <c r="AC74" s="366"/>
      <c r="AD74" s="367">
        <f t="shared" si="70"/>
        <v>0</v>
      </c>
      <c r="AE74" s="366"/>
      <c r="AF74" s="366"/>
      <c r="AG74" s="367"/>
      <c r="AH74" s="366"/>
      <c r="AI74" s="367"/>
      <c r="AJ74" s="366">
        <f t="shared" si="71"/>
        <v>15</v>
      </c>
      <c r="AK74" s="367">
        <f t="shared" si="72"/>
        <v>6636.375</v>
      </c>
      <c r="AL74" s="366">
        <f t="shared" si="73"/>
        <v>15</v>
      </c>
      <c r="AM74" s="367">
        <f t="shared" si="74"/>
        <v>39718.704374999994</v>
      </c>
      <c r="AN74" s="366">
        <f t="shared" si="75"/>
        <v>0</v>
      </c>
      <c r="AO74" s="367" t="str">
        <f t="shared" si="76"/>
        <v>0</v>
      </c>
      <c r="AP74" s="367" t="str">
        <f t="shared" si="77"/>
        <v>0</v>
      </c>
      <c r="AQ74" s="367" t="str">
        <f t="shared" si="78"/>
        <v>0</v>
      </c>
      <c r="AR74" s="367" t="str">
        <f t="shared" si="79"/>
        <v>0</v>
      </c>
      <c r="AS74" s="366"/>
      <c r="AT74" s="367"/>
      <c r="AU74" s="371"/>
      <c r="AV74" s="367"/>
      <c r="AW74" s="371">
        <f t="shared" si="83"/>
        <v>0</v>
      </c>
      <c r="AX74" s="372"/>
      <c r="AY74" s="367"/>
      <c r="AZ74" s="367">
        <f t="shared" si="80"/>
        <v>59594.647499999992</v>
      </c>
      <c r="BA74" s="373">
        <f t="shared" si="17"/>
        <v>191990.32874999999</v>
      </c>
      <c r="BB74" s="374">
        <f t="shared" si="25"/>
        <v>19199.032875000001</v>
      </c>
      <c r="BC74" s="374">
        <f t="shared" si="26"/>
        <v>3839.8065749999996</v>
      </c>
      <c r="BD74" s="374">
        <f t="shared" si="18"/>
        <v>10840.148929999999</v>
      </c>
      <c r="BE74" s="374">
        <f t="shared" si="27"/>
        <v>158111.34036999999</v>
      </c>
      <c r="BF74" s="374">
        <f t="shared" si="28"/>
        <v>2303883.9449999998</v>
      </c>
      <c r="BG74" s="374">
        <f t="shared" si="19"/>
        <v>264791.36249999999</v>
      </c>
      <c r="BH74" s="374">
        <f t="shared" si="29"/>
        <v>2568675.3074999996</v>
      </c>
      <c r="BI74" s="374">
        <f t="shared" si="20"/>
        <v>89903.635762499995</v>
      </c>
      <c r="BJ74" s="374">
        <f t="shared" si="21"/>
        <v>133639.92192599998</v>
      </c>
      <c r="BK74" s="374">
        <f t="shared" si="30"/>
        <v>115590.3888375</v>
      </c>
      <c r="BL74" s="374">
        <f t="shared" si="31"/>
        <v>77060.259224999987</v>
      </c>
      <c r="BM74" s="373">
        <f t="shared" si="81"/>
        <v>2984869.5132510001</v>
      </c>
      <c r="BN74" s="375"/>
      <c r="BO74" s="377"/>
      <c r="BP74" s="377"/>
      <c r="BQ74" s="377"/>
      <c r="BR74" s="377"/>
      <c r="BS74" s="377"/>
      <c r="BT74" s="377"/>
      <c r="BU74" s="377"/>
      <c r="BV74" s="377"/>
      <c r="BW74" s="377"/>
      <c r="BX74" s="377"/>
      <c r="BY74" s="377"/>
      <c r="BZ74" s="377"/>
      <c r="CA74" s="377"/>
      <c r="CB74" s="377"/>
      <c r="CC74" s="377"/>
      <c r="CD74" s="377"/>
      <c r="CE74" s="377"/>
      <c r="CF74" s="377"/>
      <c r="CG74" s="377"/>
      <c r="CH74" s="377"/>
      <c r="CI74" s="377"/>
    </row>
    <row r="75" spans="1:87" ht="63">
      <c r="A75" s="369">
        <f t="shared" si="82"/>
        <v>60</v>
      </c>
      <c r="B75" s="428">
        <f t="shared" si="82"/>
        <v>10</v>
      </c>
      <c r="C75" s="431" t="s">
        <v>1149</v>
      </c>
      <c r="D75" s="379" t="s">
        <v>1150</v>
      </c>
      <c r="E75" s="362" t="s">
        <v>998</v>
      </c>
      <c r="F75" s="1298"/>
      <c r="G75" s="362"/>
      <c r="H75" s="397" t="s">
        <v>1402</v>
      </c>
      <c r="I75" s="362">
        <v>17697</v>
      </c>
      <c r="J75" s="400">
        <v>10.4</v>
      </c>
      <c r="K75" s="400">
        <f t="shared" si="63"/>
        <v>184048.80000000002</v>
      </c>
      <c r="L75" s="401"/>
      <c r="M75" s="380"/>
      <c r="N75" s="380"/>
      <c r="O75" s="380"/>
      <c r="P75" s="380"/>
      <c r="Q75" s="368">
        <f t="shared" si="64"/>
        <v>0</v>
      </c>
      <c r="R75" s="380"/>
      <c r="S75" s="380"/>
      <c r="T75" s="380">
        <v>11</v>
      </c>
      <c r="U75" s="380">
        <v>14</v>
      </c>
      <c r="V75" s="380"/>
      <c r="W75" s="381">
        <f t="shared" si="65"/>
        <v>25</v>
      </c>
      <c r="X75" s="424">
        <f t="shared" si="66"/>
        <v>25</v>
      </c>
      <c r="Y75" s="400">
        <f t="shared" si="67"/>
        <v>287576.25</v>
      </c>
      <c r="Z75" s="398">
        <f t="shared" si="68"/>
        <v>28757.625</v>
      </c>
      <c r="AA75" s="366"/>
      <c r="AB75" s="367">
        <f t="shared" si="69"/>
        <v>0</v>
      </c>
      <c r="AC75" s="366"/>
      <c r="AD75" s="367">
        <f t="shared" si="70"/>
        <v>0</v>
      </c>
      <c r="AE75" s="366"/>
      <c r="AF75" s="366"/>
      <c r="AG75" s="367"/>
      <c r="AH75" s="366"/>
      <c r="AI75" s="367"/>
      <c r="AJ75" s="366">
        <f t="shared" si="71"/>
        <v>25</v>
      </c>
      <c r="AK75" s="367">
        <f t="shared" si="72"/>
        <v>11060.625</v>
      </c>
      <c r="AL75" s="366">
        <f t="shared" si="73"/>
        <v>25</v>
      </c>
      <c r="AM75" s="367">
        <f t="shared" si="74"/>
        <v>86272.875</v>
      </c>
      <c r="AN75" s="366">
        <f t="shared" si="75"/>
        <v>0</v>
      </c>
      <c r="AO75" s="367" t="str">
        <f t="shared" si="76"/>
        <v>0</v>
      </c>
      <c r="AP75" s="367" t="str">
        <f t="shared" si="77"/>
        <v>0</v>
      </c>
      <c r="AQ75" s="367" t="str">
        <f t="shared" si="78"/>
        <v>0</v>
      </c>
      <c r="AR75" s="367" t="str">
        <f t="shared" si="79"/>
        <v>0</v>
      </c>
      <c r="AS75" s="366"/>
      <c r="AT75" s="367"/>
      <c r="AU75" s="366"/>
      <c r="AV75" s="367"/>
      <c r="AW75" s="371">
        <f t="shared" si="83"/>
        <v>0</v>
      </c>
      <c r="AX75" s="367"/>
      <c r="AY75" s="367"/>
      <c r="AZ75" s="367">
        <f t="shared" si="80"/>
        <v>126091.125</v>
      </c>
      <c r="BA75" s="373">
        <f t="shared" si="17"/>
        <v>413667.375</v>
      </c>
      <c r="BB75" s="374">
        <f t="shared" si="25"/>
        <v>41366.737500000003</v>
      </c>
      <c r="BC75" s="374">
        <f t="shared" si="26"/>
        <v>8273.3474999999999</v>
      </c>
      <c r="BD75" s="374">
        <f t="shared" si="18"/>
        <v>30347.729000000007</v>
      </c>
      <c r="BE75" s="374">
        <f t="shared" si="27"/>
        <v>333679.56100000005</v>
      </c>
      <c r="BF75" s="374">
        <f t="shared" si="28"/>
        <v>4964008.5</v>
      </c>
      <c r="BG75" s="374">
        <f t="shared" si="19"/>
        <v>575152.5</v>
      </c>
      <c r="BH75" s="374">
        <f t="shared" si="29"/>
        <v>5539161</v>
      </c>
      <c r="BI75" s="374">
        <f t="shared" si="20"/>
        <v>193870.63500000001</v>
      </c>
      <c r="BJ75" s="374">
        <f t="shared" si="21"/>
        <v>288193.87530000007</v>
      </c>
      <c r="BK75" s="374">
        <f t="shared" si="30"/>
        <v>249262.24500000002</v>
      </c>
      <c r="BL75" s="374">
        <f t="shared" si="31"/>
        <v>166174.82999999999</v>
      </c>
      <c r="BM75" s="373">
        <f t="shared" si="81"/>
        <v>6436662.5853000004</v>
      </c>
      <c r="BN75" s="375"/>
      <c r="BO75" s="377"/>
      <c r="BP75" s="377"/>
      <c r="BQ75" s="377"/>
      <c r="BR75" s="377"/>
      <c r="BS75" s="377"/>
      <c r="BT75" s="377"/>
      <c r="BU75" s="377"/>
      <c r="BV75" s="377"/>
      <c r="BW75" s="377"/>
      <c r="BX75" s="377"/>
      <c r="BY75" s="377"/>
      <c r="BZ75" s="377"/>
      <c r="CA75" s="377"/>
      <c r="CB75" s="377"/>
      <c r="CC75" s="377"/>
      <c r="CD75" s="377"/>
      <c r="CE75" s="377"/>
      <c r="CF75" s="377"/>
      <c r="CG75" s="377"/>
      <c r="CH75" s="377"/>
      <c r="CI75" s="377"/>
    </row>
    <row r="76" spans="1:87" ht="126">
      <c r="A76" s="369">
        <f t="shared" si="82"/>
        <v>61</v>
      </c>
      <c r="B76" s="428">
        <f t="shared" si="82"/>
        <v>11</v>
      </c>
      <c r="C76" s="432" t="s">
        <v>918</v>
      </c>
      <c r="D76" s="433" t="s">
        <v>1151</v>
      </c>
      <c r="E76" s="389" t="s">
        <v>998</v>
      </c>
      <c r="F76" s="1317" t="s">
        <v>1011</v>
      </c>
      <c r="G76" s="390" t="s">
        <v>229</v>
      </c>
      <c r="H76" s="402" t="s">
        <v>1425</v>
      </c>
      <c r="I76" s="390">
        <v>17697</v>
      </c>
      <c r="J76" s="434">
        <v>10.82</v>
      </c>
      <c r="K76" s="403">
        <f t="shared" si="63"/>
        <v>191481.54</v>
      </c>
      <c r="L76" s="380"/>
      <c r="M76" s="380"/>
      <c r="N76" s="380"/>
      <c r="O76" s="380"/>
      <c r="P76" s="380"/>
      <c r="Q76" s="368">
        <f t="shared" si="64"/>
        <v>0</v>
      </c>
      <c r="R76" s="380"/>
      <c r="S76" s="380"/>
      <c r="T76" s="380">
        <v>5</v>
      </c>
      <c r="U76" s="380">
        <v>27</v>
      </c>
      <c r="V76" s="430">
        <v>4</v>
      </c>
      <c r="W76" s="381">
        <f t="shared" si="65"/>
        <v>36</v>
      </c>
      <c r="X76" s="424">
        <f t="shared" si="66"/>
        <v>36</v>
      </c>
      <c r="Y76" s="400">
        <f t="shared" si="67"/>
        <v>430833.46500000003</v>
      </c>
      <c r="Z76" s="398">
        <f t="shared" si="68"/>
        <v>43083.346500000007</v>
      </c>
      <c r="AA76" s="366"/>
      <c r="AB76" s="367">
        <f t="shared" si="69"/>
        <v>0</v>
      </c>
      <c r="AC76" s="366"/>
      <c r="AD76" s="367">
        <f t="shared" si="70"/>
        <v>0</v>
      </c>
      <c r="AE76" s="366"/>
      <c r="AF76" s="366"/>
      <c r="AG76" s="367"/>
      <c r="AH76" s="366"/>
      <c r="AI76" s="367"/>
      <c r="AJ76" s="366">
        <f t="shared" si="71"/>
        <v>36</v>
      </c>
      <c r="AK76" s="367">
        <f t="shared" si="72"/>
        <v>15927.300000000001</v>
      </c>
      <c r="AL76" s="366">
        <f t="shared" si="73"/>
        <v>36</v>
      </c>
      <c r="AM76" s="367">
        <f t="shared" si="74"/>
        <v>129250.0395</v>
      </c>
      <c r="AN76" s="366" t="str">
        <f t="shared" si="75"/>
        <v>Педагог-сарапшы</v>
      </c>
      <c r="AO76" s="367" t="str">
        <f t="shared" si="76"/>
        <v>0</v>
      </c>
      <c r="AP76" s="367" t="str">
        <f t="shared" si="77"/>
        <v>0</v>
      </c>
      <c r="AQ76" s="367">
        <f t="shared" si="78"/>
        <v>150791.71275000001</v>
      </c>
      <c r="AR76" s="367" t="str">
        <f t="shared" si="79"/>
        <v>0</v>
      </c>
      <c r="AS76" s="366"/>
      <c r="AT76" s="367"/>
      <c r="AU76" s="366"/>
      <c r="AV76" s="367"/>
      <c r="AW76" s="371" t="str">
        <f t="shared" si="83"/>
        <v>Магистр-информационные системы</v>
      </c>
      <c r="AX76" s="372">
        <f t="shared" ref="AX76:AX78" si="84">10*4325</f>
        <v>43250</v>
      </c>
      <c r="AY76" s="367"/>
      <c r="AZ76" s="367">
        <f t="shared" si="80"/>
        <v>382302.39875000005</v>
      </c>
      <c r="BA76" s="373">
        <f t="shared" si="17"/>
        <v>813135.86375000002</v>
      </c>
      <c r="BB76" s="374">
        <f t="shared" si="25"/>
        <v>81313.586375000014</v>
      </c>
      <c r="BC76" s="374">
        <f t="shared" si="26"/>
        <v>16262.717275000001</v>
      </c>
      <c r="BD76" s="374">
        <f t="shared" si="18"/>
        <v>65500.956010000016</v>
      </c>
      <c r="BE76" s="374">
        <f t="shared" si="27"/>
        <v>650058.60409000015</v>
      </c>
      <c r="BF76" s="374">
        <f t="shared" si="28"/>
        <v>9757630.3650000002</v>
      </c>
      <c r="BG76" s="374">
        <f t="shared" si="19"/>
        <v>861666.93</v>
      </c>
      <c r="BH76" s="374">
        <f t="shared" si="29"/>
        <v>10619297.295</v>
      </c>
      <c r="BI76" s="374">
        <f t="shared" si="20"/>
        <v>371675.40532500006</v>
      </c>
      <c r="BJ76" s="374">
        <f t="shared" si="21"/>
        <v>551975.26712700003</v>
      </c>
      <c r="BK76" s="374">
        <f t="shared" si="30"/>
        <v>477868.37827500002</v>
      </c>
      <c r="BL76" s="374">
        <f t="shared" si="31"/>
        <v>318578.91884999996</v>
      </c>
      <c r="BM76" s="373">
        <f t="shared" si="81"/>
        <v>12339395.264576998</v>
      </c>
      <c r="BN76" s="375"/>
      <c r="BO76" s="377"/>
      <c r="BP76" s="377"/>
      <c r="BQ76" s="377"/>
      <c r="BR76" s="377"/>
      <c r="BS76" s="377"/>
      <c r="BT76" s="377"/>
      <c r="BU76" s="377"/>
      <c r="BV76" s="377"/>
      <c r="BW76" s="377"/>
      <c r="BX76" s="377"/>
      <c r="BY76" s="377"/>
      <c r="BZ76" s="377"/>
      <c r="CA76" s="377"/>
      <c r="CB76" s="377"/>
      <c r="CC76" s="377"/>
      <c r="CD76" s="377"/>
      <c r="CE76" s="377"/>
      <c r="CF76" s="377"/>
      <c r="CG76" s="377"/>
      <c r="CH76" s="377"/>
      <c r="CI76" s="377"/>
    </row>
    <row r="77" spans="1:87" ht="60">
      <c r="A77" s="369">
        <f t="shared" si="82"/>
        <v>62</v>
      </c>
      <c r="B77" s="428">
        <f t="shared" si="82"/>
        <v>12</v>
      </c>
      <c r="C77" s="378" t="s">
        <v>1152</v>
      </c>
      <c r="D77" s="412" t="s">
        <v>1153</v>
      </c>
      <c r="E77" s="392" t="s">
        <v>998</v>
      </c>
      <c r="F77" s="508" t="s">
        <v>1005</v>
      </c>
      <c r="G77" s="366" t="s">
        <v>229</v>
      </c>
      <c r="H77" s="371" t="s">
        <v>1344</v>
      </c>
      <c r="I77" s="366">
        <v>17697</v>
      </c>
      <c r="J77" s="435">
        <v>10.6</v>
      </c>
      <c r="K77" s="367">
        <f t="shared" si="63"/>
        <v>187588.19999999998</v>
      </c>
      <c r="L77" s="380"/>
      <c r="M77" s="380"/>
      <c r="N77" s="380"/>
      <c r="O77" s="380">
        <v>8</v>
      </c>
      <c r="P77" s="380"/>
      <c r="Q77" s="368">
        <f t="shared" si="64"/>
        <v>8</v>
      </c>
      <c r="R77" s="380"/>
      <c r="S77" s="380"/>
      <c r="T77" s="380"/>
      <c r="U77" s="380"/>
      <c r="V77" s="430"/>
      <c r="W77" s="381">
        <f t="shared" si="65"/>
        <v>0</v>
      </c>
      <c r="X77" s="424">
        <f t="shared" si="66"/>
        <v>8</v>
      </c>
      <c r="Y77" s="400">
        <f t="shared" si="67"/>
        <v>93794.099999999991</v>
      </c>
      <c r="Z77" s="398">
        <f t="shared" si="68"/>
        <v>9379.41</v>
      </c>
      <c r="AA77" s="366"/>
      <c r="AB77" s="367">
        <f t="shared" si="69"/>
        <v>0</v>
      </c>
      <c r="AC77" s="366"/>
      <c r="AD77" s="367">
        <f t="shared" si="70"/>
        <v>0</v>
      </c>
      <c r="AE77" s="366"/>
      <c r="AF77" s="366"/>
      <c r="AG77" s="367"/>
      <c r="AH77" s="366"/>
      <c r="AI77" s="367"/>
      <c r="AJ77" s="366">
        <f t="shared" si="71"/>
        <v>8</v>
      </c>
      <c r="AK77" s="367">
        <f t="shared" si="72"/>
        <v>3539.4</v>
      </c>
      <c r="AL77" s="366">
        <f t="shared" si="73"/>
        <v>8</v>
      </c>
      <c r="AM77" s="367">
        <f t="shared" si="74"/>
        <v>28138.229999999996</v>
      </c>
      <c r="AN77" s="366" t="str">
        <f t="shared" si="75"/>
        <v>Педагог-зерттеуші</v>
      </c>
      <c r="AO77" s="367" t="str">
        <f t="shared" si="76"/>
        <v>0</v>
      </c>
      <c r="AP77" s="367">
        <f t="shared" si="77"/>
        <v>37517.64</v>
      </c>
      <c r="AQ77" s="367" t="str">
        <f t="shared" si="78"/>
        <v>0</v>
      </c>
      <c r="AR77" s="367" t="str">
        <f t="shared" si="79"/>
        <v>0</v>
      </c>
      <c r="AS77" s="366"/>
      <c r="AT77" s="367"/>
      <c r="AU77" s="366"/>
      <c r="AV77" s="367"/>
      <c r="AW77" s="371" t="str">
        <f t="shared" si="83"/>
        <v>Магистр-информационные системы</v>
      </c>
      <c r="AX77" s="372">
        <f t="shared" si="84"/>
        <v>43250</v>
      </c>
      <c r="AY77" s="367"/>
      <c r="AZ77" s="367">
        <f t="shared" si="80"/>
        <v>121824.68</v>
      </c>
      <c r="BA77" s="373">
        <f t="shared" si="17"/>
        <v>215618.77999999997</v>
      </c>
      <c r="BB77" s="374">
        <f t="shared" si="25"/>
        <v>21561.877999999997</v>
      </c>
      <c r="BC77" s="374">
        <f t="shared" si="26"/>
        <v>4312.3755999999994</v>
      </c>
      <c r="BD77" s="374">
        <f t="shared" si="18"/>
        <v>12919.452639999998</v>
      </c>
      <c r="BE77" s="374">
        <f t="shared" si="27"/>
        <v>176825.07375999997</v>
      </c>
      <c r="BF77" s="374">
        <f t="shared" si="28"/>
        <v>2587425.3599999994</v>
      </c>
      <c r="BG77" s="374">
        <f t="shared" si="19"/>
        <v>187588.19999999998</v>
      </c>
      <c r="BH77" s="374">
        <f t="shared" si="29"/>
        <v>2775013.5599999996</v>
      </c>
      <c r="BI77" s="374">
        <f t="shared" si="20"/>
        <v>97125.474600000001</v>
      </c>
      <c r="BJ77" s="374">
        <f t="shared" si="21"/>
        <v>144158.39644799998</v>
      </c>
      <c r="BK77" s="374">
        <f t="shared" si="30"/>
        <v>124875.6102</v>
      </c>
      <c r="BL77" s="374">
        <f t="shared" si="31"/>
        <v>83250.406799999982</v>
      </c>
      <c r="BM77" s="373">
        <f t="shared" si="81"/>
        <v>3224423.4480479993</v>
      </c>
      <c r="BN77" s="375"/>
      <c r="BO77" s="377"/>
      <c r="BP77" s="377"/>
      <c r="BQ77" s="377"/>
      <c r="BR77" s="377"/>
      <c r="BS77" s="377"/>
      <c r="BT77" s="377"/>
      <c r="BU77" s="377"/>
      <c r="BV77" s="377"/>
      <c r="BW77" s="377"/>
      <c r="BX77" s="377"/>
      <c r="BY77" s="377"/>
      <c r="BZ77" s="377"/>
      <c r="CA77" s="377"/>
      <c r="CB77" s="377"/>
      <c r="CC77" s="377"/>
      <c r="CD77" s="377"/>
      <c r="CE77" s="377"/>
      <c r="CF77" s="377"/>
      <c r="CG77" s="377"/>
      <c r="CH77" s="377"/>
      <c r="CI77" s="377"/>
    </row>
    <row r="78" spans="1:87" ht="60">
      <c r="A78" s="369">
        <f t="shared" si="82"/>
        <v>63</v>
      </c>
      <c r="B78" s="428">
        <f t="shared" si="82"/>
        <v>13</v>
      </c>
      <c r="C78" s="436" t="s">
        <v>1154</v>
      </c>
      <c r="D78" s="696" t="s">
        <v>1155</v>
      </c>
      <c r="E78" s="392" t="s">
        <v>998</v>
      </c>
      <c r="F78" s="1320" t="s">
        <v>1005</v>
      </c>
      <c r="G78" s="437" t="s">
        <v>1156</v>
      </c>
      <c r="H78" s="438" t="s">
        <v>1426</v>
      </c>
      <c r="I78" s="437">
        <v>17697</v>
      </c>
      <c r="J78" s="439">
        <v>10.6</v>
      </c>
      <c r="K78" s="440">
        <f t="shared" si="63"/>
        <v>187588.19999999998</v>
      </c>
      <c r="L78" s="441"/>
      <c r="M78" s="441"/>
      <c r="N78" s="441"/>
      <c r="O78" s="442"/>
      <c r="P78" s="442"/>
      <c r="Q78" s="443">
        <f t="shared" si="64"/>
        <v>0</v>
      </c>
      <c r="R78" s="442"/>
      <c r="S78" s="442">
        <v>6</v>
      </c>
      <c r="T78" s="442"/>
      <c r="U78" s="442">
        <v>14</v>
      </c>
      <c r="V78" s="442"/>
      <c r="W78" s="444">
        <f t="shared" si="65"/>
        <v>20</v>
      </c>
      <c r="X78" s="445">
        <f t="shared" si="66"/>
        <v>20</v>
      </c>
      <c r="Y78" s="446">
        <f t="shared" si="67"/>
        <v>234485.24999999997</v>
      </c>
      <c r="Z78" s="398">
        <f t="shared" si="68"/>
        <v>23448.524999999998</v>
      </c>
      <c r="AA78" s="437"/>
      <c r="AB78" s="447">
        <f t="shared" si="69"/>
        <v>0</v>
      </c>
      <c r="AC78" s="437"/>
      <c r="AD78" s="447">
        <f t="shared" si="70"/>
        <v>0</v>
      </c>
      <c r="AE78" s="437"/>
      <c r="AF78" s="437"/>
      <c r="AG78" s="447"/>
      <c r="AH78" s="437"/>
      <c r="AI78" s="447"/>
      <c r="AJ78" s="437">
        <f t="shared" si="71"/>
        <v>20</v>
      </c>
      <c r="AK78" s="447">
        <f t="shared" si="72"/>
        <v>8848.5</v>
      </c>
      <c r="AL78" s="437">
        <f t="shared" si="73"/>
        <v>20</v>
      </c>
      <c r="AM78" s="447">
        <f t="shared" si="74"/>
        <v>70345.574999999983</v>
      </c>
      <c r="AN78" s="437" t="str">
        <f t="shared" si="75"/>
        <v>Педагог-зерттеуші</v>
      </c>
      <c r="AO78" s="447" t="str">
        <f t="shared" si="76"/>
        <v>0</v>
      </c>
      <c r="AP78" s="447">
        <f t="shared" si="77"/>
        <v>93794.099999999991</v>
      </c>
      <c r="AQ78" s="447" t="str">
        <f t="shared" si="78"/>
        <v>0</v>
      </c>
      <c r="AR78" s="447" t="str">
        <f t="shared" si="79"/>
        <v>0</v>
      </c>
      <c r="AS78" s="366"/>
      <c r="AT78" s="367"/>
      <c r="AU78" s="437"/>
      <c r="AV78" s="447"/>
      <c r="AW78" s="371" t="str">
        <f t="shared" si="83"/>
        <v>Магистр-Управления IT проектами</v>
      </c>
      <c r="AX78" s="372">
        <f t="shared" si="84"/>
        <v>43250</v>
      </c>
      <c r="AY78" s="447"/>
      <c r="AZ78" s="367">
        <f t="shared" si="80"/>
        <v>239686.69999999995</v>
      </c>
      <c r="BA78" s="373">
        <f t="shared" ref="BA78:BA141" si="85">Y78+AZ78</f>
        <v>474171.94999999995</v>
      </c>
      <c r="BB78" s="374">
        <f t="shared" si="25"/>
        <v>47417.195</v>
      </c>
      <c r="BC78" s="374">
        <f t="shared" si="26"/>
        <v>9483.4389999999985</v>
      </c>
      <c r="BD78" s="374">
        <f t="shared" ref="BD78:BD141" si="86">(BA78-BB78-BC78-(14*4325))*10%</f>
        <v>35672.131599999993</v>
      </c>
      <c r="BE78" s="374">
        <f t="shared" si="27"/>
        <v>381599.18439999991</v>
      </c>
      <c r="BF78" s="374">
        <f t="shared" si="28"/>
        <v>5690063.3999999994</v>
      </c>
      <c r="BG78" s="374">
        <f t="shared" ref="BG78:BG141" si="87">Y78*2</f>
        <v>468970.49999999994</v>
      </c>
      <c r="BH78" s="374">
        <f t="shared" si="29"/>
        <v>6159033.8999999994</v>
      </c>
      <c r="BI78" s="374">
        <f t="shared" ref="BI78:BI141" si="88">BH78*3.5%</f>
        <v>215566.18650000001</v>
      </c>
      <c r="BJ78" s="374">
        <f t="shared" ref="BJ78:BJ141" si="89">(BH78*0.9-(BC78*12))*11%-BK78</f>
        <v>320069.69111999997</v>
      </c>
      <c r="BK78" s="374">
        <f t="shared" si="30"/>
        <v>277156.52549999999</v>
      </c>
      <c r="BL78" s="374">
        <f t="shared" si="31"/>
        <v>184771.01699999996</v>
      </c>
      <c r="BM78" s="373">
        <f t="shared" si="81"/>
        <v>7156597.3201199984</v>
      </c>
      <c r="BN78" s="448"/>
      <c r="BO78" s="449"/>
      <c r="BP78" s="449"/>
      <c r="BQ78" s="449"/>
      <c r="BR78" s="449"/>
      <c r="BS78" s="449"/>
      <c r="BT78" s="449"/>
      <c r="BU78" s="449"/>
      <c r="BV78" s="449"/>
      <c r="BW78" s="449"/>
      <c r="BX78" s="449"/>
      <c r="BY78" s="449"/>
      <c r="BZ78" s="449"/>
      <c r="CA78" s="449"/>
      <c r="CB78" s="449"/>
      <c r="CC78" s="449"/>
      <c r="CD78" s="449"/>
      <c r="CE78" s="449"/>
      <c r="CF78" s="449"/>
      <c r="CG78" s="449"/>
      <c r="CH78" s="449"/>
      <c r="CI78" s="450"/>
    </row>
    <row r="79" spans="1:87" ht="47.25">
      <c r="A79" s="457">
        <f t="shared" si="82"/>
        <v>64</v>
      </c>
      <c r="B79" s="1321">
        <f t="shared" si="82"/>
        <v>14</v>
      </c>
      <c r="C79" s="697" t="s">
        <v>113</v>
      </c>
      <c r="D79" s="451" t="s">
        <v>1157</v>
      </c>
      <c r="E79" s="452" t="s">
        <v>998</v>
      </c>
      <c r="F79" s="698" t="s">
        <v>999</v>
      </c>
      <c r="G79" s="698" t="s">
        <v>1158</v>
      </c>
      <c r="H79" s="699" t="s">
        <v>273</v>
      </c>
      <c r="I79" s="698">
        <v>17697</v>
      </c>
      <c r="J79" s="700">
        <v>11.4</v>
      </c>
      <c r="K79" s="453">
        <f t="shared" si="63"/>
        <v>201745.80000000002</v>
      </c>
      <c r="L79" s="454">
        <v>30</v>
      </c>
      <c r="M79" s="454">
        <v>21</v>
      </c>
      <c r="N79" s="454"/>
      <c r="O79" s="455"/>
      <c r="P79" s="456"/>
      <c r="Q79" s="457">
        <f t="shared" si="64"/>
        <v>51</v>
      </c>
      <c r="R79" s="456"/>
      <c r="S79" s="456"/>
      <c r="T79" s="456"/>
      <c r="U79" s="456"/>
      <c r="V79" s="456"/>
      <c r="W79" s="458">
        <f t="shared" si="65"/>
        <v>0</v>
      </c>
      <c r="X79" s="458">
        <f t="shared" si="66"/>
        <v>51</v>
      </c>
      <c r="Y79" s="459">
        <f t="shared" si="67"/>
        <v>643064.73750000005</v>
      </c>
      <c r="Z79" s="460">
        <f t="shared" si="68"/>
        <v>64306.473750000005</v>
      </c>
      <c r="AA79" s="458"/>
      <c r="AB79" s="460">
        <f t="shared" si="69"/>
        <v>0</v>
      </c>
      <c r="AC79" s="458"/>
      <c r="AD79" s="460">
        <f t="shared" si="70"/>
        <v>0</v>
      </c>
      <c r="AE79" s="458"/>
      <c r="AF79" s="458"/>
      <c r="AG79" s="460"/>
      <c r="AH79" s="458"/>
      <c r="AI79" s="460"/>
      <c r="AJ79" s="458">
        <f t="shared" si="71"/>
        <v>51</v>
      </c>
      <c r="AK79" s="460">
        <f t="shared" si="72"/>
        <v>22563.675000000003</v>
      </c>
      <c r="AL79" s="458">
        <f t="shared" si="73"/>
        <v>51</v>
      </c>
      <c r="AM79" s="460">
        <f t="shared" si="74"/>
        <v>192919.42125000001</v>
      </c>
      <c r="AN79" s="458" t="str">
        <f t="shared" si="75"/>
        <v>Педагог-шебер</v>
      </c>
      <c r="AO79" s="460">
        <f>IF(AN79="Педагог-зерттеуші", "0", IF(AN79="Педагог-шебер",K79/16*X79*50%, IF(AN79="Педагог-сарапшы", "0", IF(AN79="Педагог-модератор", "0", "0"))))-150000+32820+135.92+0.57</f>
        <v>204488.85875000004</v>
      </c>
      <c r="AP79" s="460" t="str">
        <f t="shared" si="77"/>
        <v>0</v>
      </c>
      <c r="AQ79" s="460" t="str">
        <f t="shared" si="78"/>
        <v>0</v>
      </c>
      <c r="AR79" s="460" t="str">
        <f t="shared" si="79"/>
        <v>0</v>
      </c>
      <c r="AS79" s="458">
        <v>100</v>
      </c>
      <c r="AT79" s="460">
        <f>AS79*4325</f>
        <v>432500</v>
      </c>
      <c r="AU79" s="458"/>
      <c r="AV79" s="460"/>
      <c r="AW79" s="461" t="str">
        <f t="shared" si="83"/>
        <v>Магистр</v>
      </c>
      <c r="AX79" s="462"/>
      <c r="AY79" s="460"/>
      <c r="AZ79" s="460">
        <f t="shared" si="80"/>
        <v>916778.42875000008</v>
      </c>
      <c r="BA79" s="463">
        <f t="shared" si="85"/>
        <v>1559843.1662500002</v>
      </c>
      <c r="BB79" s="464">
        <f t="shared" ref="BB79:BB141" si="90">BA79*10%</f>
        <v>155984.31662500004</v>
      </c>
      <c r="BC79" s="464">
        <f t="shared" ref="BC79:BC141" si="91">BA79*2%</f>
        <v>31196.863325000006</v>
      </c>
      <c r="BD79" s="464">
        <f t="shared" si="86"/>
        <v>131211.19863000003</v>
      </c>
      <c r="BE79" s="464">
        <f t="shared" ref="BE79:BE141" si="92">BA79-BB79-BC79-BD79</f>
        <v>1241450.7876700002</v>
      </c>
      <c r="BF79" s="464">
        <f t="shared" ref="BF79:BF141" si="93">BA79*12</f>
        <v>18718117.995000005</v>
      </c>
      <c r="BG79" s="464">
        <f t="shared" si="87"/>
        <v>1286129.4750000001</v>
      </c>
      <c r="BH79" s="464">
        <f t="shared" ref="BH79:BH141" si="94">BF79+BG79</f>
        <v>20004247.470000006</v>
      </c>
      <c r="BI79" s="464">
        <f t="shared" si="88"/>
        <v>700148.66145000025</v>
      </c>
      <c r="BJ79" s="464">
        <f>(BH79*0.9-(BC79*12))*11%-BK79-738484.6</f>
        <v>300564.90379100014</v>
      </c>
      <c r="BK79" s="464">
        <f t="shared" ref="BK79:BK141" si="95">BH79*0.9*5%</f>
        <v>900191.13615000027</v>
      </c>
      <c r="BL79" s="464">
        <f t="shared" ref="BL79:BL141" si="96">BH79*3%</f>
        <v>600127.42410000018</v>
      </c>
      <c r="BM79" s="463">
        <f t="shared" si="81"/>
        <v>22505279.595491003</v>
      </c>
      <c r="BN79" s="465"/>
      <c r="BO79" s="466"/>
      <c r="BP79" s="466"/>
      <c r="BQ79" s="466"/>
      <c r="BR79" s="466"/>
      <c r="BS79" s="466"/>
      <c r="BT79" s="466"/>
      <c r="BU79" s="466"/>
      <c r="BV79" s="466"/>
      <c r="BW79" s="466"/>
      <c r="BX79" s="466"/>
      <c r="BY79" s="466"/>
      <c r="BZ79" s="466"/>
      <c r="CA79" s="466"/>
      <c r="CB79" s="466"/>
      <c r="CC79" s="466"/>
      <c r="CD79" s="466"/>
      <c r="CE79" s="466"/>
      <c r="CF79" s="466"/>
      <c r="CG79" s="466"/>
      <c r="CH79" s="466"/>
      <c r="CI79" s="466"/>
    </row>
    <row r="80" spans="1:87" ht="141.75">
      <c r="A80" s="457">
        <f t="shared" si="82"/>
        <v>65</v>
      </c>
      <c r="B80" s="1321">
        <f t="shared" si="82"/>
        <v>15</v>
      </c>
      <c r="C80" s="697" t="s">
        <v>113</v>
      </c>
      <c r="D80" s="467" t="s">
        <v>1159</v>
      </c>
      <c r="E80" s="452" t="s">
        <v>998</v>
      </c>
      <c r="F80" s="698" t="s">
        <v>999</v>
      </c>
      <c r="G80" s="698" t="s">
        <v>1158</v>
      </c>
      <c r="H80" s="699" t="s">
        <v>273</v>
      </c>
      <c r="I80" s="698">
        <v>17697</v>
      </c>
      <c r="J80" s="700">
        <v>11.4</v>
      </c>
      <c r="K80" s="453">
        <f t="shared" si="63"/>
        <v>201745.80000000002</v>
      </c>
      <c r="L80" s="454"/>
      <c r="M80" s="454"/>
      <c r="N80" s="454"/>
      <c r="O80" s="455"/>
      <c r="P80" s="456"/>
      <c r="Q80" s="457">
        <f t="shared" si="64"/>
        <v>0</v>
      </c>
      <c r="R80" s="456">
        <v>8</v>
      </c>
      <c r="S80" s="456">
        <v>10</v>
      </c>
      <c r="T80" s="456"/>
      <c r="U80" s="456">
        <v>15</v>
      </c>
      <c r="V80" s="456">
        <v>3</v>
      </c>
      <c r="W80" s="458">
        <f t="shared" si="65"/>
        <v>36</v>
      </c>
      <c r="X80" s="458">
        <f t="shared" si="66"/>
        <v>36</v>
      </c>
      <c r="Y80" s="459">
        <f t="shared" si="67"/>
        <v>453928.05000000005</v>
      </c>
      <c r="Z80" s="460">
        <f t="shared" si="68"/>
        <v>45392.805000000008</v>
      </c>
      <c r="AA80" s="458"/>
      <c r="AB80" s="460">
        <f t="shared" si="69"/>
        <v>0</v>
      </c>
      <c r="AC80" s="458"/>
      <c r="AD80" s="460">
        <f t="shared" si="70"/>
        <v>0</v>
      </c>
      <c r="AE80" s="458"/>
      <c r="AF80" s="458"/>
      <c r="AG80" s="460"/>
      <c r="AH80" s="458"/>
      <c r="AI80" s="460"/>
      <c r="AJ80" s="458">
        <f t="shared" si="71"/>
        <v>36</v>
      </c>
      <c r="AK80" s="460">
        <f t="shared" si="72"/>
        <v>15927.300000000001</v>
      </c>
      <c r="AL80" s="458">
        <f t="shared" si="73"/>
        <v>36</v>
      </c>
      <c r="AM80" s="460">
        <f t="shared" si="74"/>
        <v>136178.41500000001</v>
      </c>
      <c r="AN80" s="458" t="str">
        <f t="shared" si="75"/>
        <v>Педагог-шебер</v>
      </c>
      <c r="AO80" s="460"/>
      <c r="AP80" s="460" t="str">
        <f t="shared" si="77"/>
        <v>0</v>
      </c>
      <c r="AQ80" s="460" t="str">
        <f t="shared" si="78"/>
        <v>0</v>
      </c>
      <c r="AR80" s="460" t="str">
        <f t="shared" si="79"/>
        <v>0</v>
      </c>
      <c r="AS80" s="458">
        <v>100</v>
      </c>
      <c r="AT80" s="460">
        <f>AS80*4325</f>
        <v>432500</v>
      </c>
      <c r="AU80" s="458"/>
      <c r="AV80" s="460"/>
      <c r="AW80" s="461" t="str">
        <f t="shared" si="83"/>
        <v>Магистр</v>
      </c>
      <c r="AX80" s="462"/>
      <c r="AY80" s="460"/>
      <c r="AZ80" s="460">
        <f t="shared" si="80"/>
        <v>629998.52</v>
      </c>
      <c r="BA80" s="463">
        <f t="shared" si="85"/>
        <v>1083926.57</v>
      </c>
      <c r="BB80" s="464">
        <f t="shared" si="90"/>
        <v>108392.65700000001</v>
      </c>
      <c r="BC80" s="464">
        <f t="shared" si="91"/>
        <v>21678.531400000003</v>
      </c>
      <c r="BD80" s="464">
        <f t="shared" si="86"/>
        <v>89330.538160000011</v>
      </c>
      <c r="BE80" s="464">
        <f t="shared" si="92"/>
        <v>864524.84344000008</v>
      </c>
      <c r="BF80" s="464">
        <f t="shared" si="93"/>
        <v>13007118.84</v>
      </c>
      <c r="BG80" s="464">
        <f t="shared" si="87"/>
        <v>907856.10000000009</v>
      </c>
      <c r="BH80" s="464">
        <f t="shared" si="94"/>
        <v>13914974.939999999</v>
      </c>
      <c r="BI80" s="464">
        <f t="shared" si="88"/>
        <v>487024.12290000002</v>
      </c>
      <c r="BJ80" s="464">
        <f>(BH80*0.9-(BC80*12))*11%-BK80-500000</f>
        <v>222792.98531200003</v>
      </c>
      <c r="BK80" s="464">
        <f t="shared" si="95"/>
        <v>626173.87230000005</v>
      </c>
      <c r="BL80" s="464">
        <f t="shared" si="96"/>
        <v>417449.24819999997</v>
      </c>
      <c r="BM80" s="463">
        <f t="shared" si="81"/>
        <v>15668415.168711999</v>
      </c>
      <c r="BN80" s="465"/>
      <c r="BO80" s="466"/>
      <c r="BP80" s="466"/>
      <c r="BQ80" s="466"/>
      <c r="BR80" s="466"/>
      <c r="BS80" s="466"/>
      <c r="BT80" s="466"/>
      <c r="BU80" s="466"/>
      <c r="BV80" s="466"/>
      <c r="BW80" s="466"/>
      <c r="BX80" s="466"/>
      <c r="BY80" s="466"/>
      <c r="BZ80" s="466"/>
      <c r="CA80" s="466"/>
      <c r="CB80" s="466"/>
      <c r="CC80" s="466"/>
      <c r="CD80" s="466"/>
      <c r="CE80" s="466"/>
      <c r="CF80" s="466"/>
      <c r="CG80" s="466"/>
      <c r="CH80" s="466"/>
      <c r="CI80" s="466"/>
    </row>
    <row r="81" spans="1:87" ht="63">
      <c r="A81" s="457">
        <f t="shared" si="82"/>
        <v>66</v>
      </c>
      <c r="B81" s="1321">
        <f t="shared" si="82"/>
        <v>16</v>
      </c>
      <c r="C81" s="697" t="s">
        <v>113</v>
      </c>
      <c r="D81" s="467" t="s">
        <v>1160</v>
      </c>
      <c r="E81" s="452" t="s">
        <v>998</v>
      </c>
      <c r="F81" s="698" t="s">
        <v>999</v>
      </c>
      <c r="G81" s="698" t="s">
        <v>1158</v>
      </c>
      <c r="H81" s="699" t="s">
        <v>273</v>
      </c>
      <c r="I81" s="698">
        <v>17697</v>
      </c>
      <c r="J81" s="700">
        <v>11.4</v>
      </c>
      <c r="K81" s="453">
        <f t="shared" si="63"/>
        <v>201745.80000000002</v>
      </c>
      <c r="L81" s="454"/>
      <c r="M81" s="454"/>
      <c r="N81" s="454"/>
      <c r="O81" s="455"/>
      <c r="P81" s="456"/>
      <c r="Q81" s="457">
        <f t="shared" si="64"/>
        <v>0</v>
      </c>
      <c r="R81" s="456"/>
      <c r="S81" s="456"/>
      <c r="T81" s="456"/>
      <c r="U81" s="456"/>
      <c r="V81" s="456">
        <v>14</v>
      </c>
      <c r="W81" s="458">
        <f t="shared" si="65"/>
        <v>14</v>
      </c>
      <c r="X81" s="458">
        <f t="shared" si="66"/>
        <v>14</v>
      </c>
      <c r="Y81" s="459">
        <f t="shared" si="67"/>
        <v>176527.57500000001</v>
      </c>
      <c r="Z81" s="460">
        <f t="shared" si="68"/>
        <v>17652.757500000003</v>
      </c>
      <c r="AA81" s="458"/>
      <c r="AB81" s="460">
        <f t="shared" si="69"/>
        <v>0</v>
      </c>
      <c r="AC81" s="458"/>
      <c r="AD81" s="460">
        <f t="shared" si="70"/>
        <v>0</v>
      </c>
      <c r="AE81" s="458"/>
      <c r="AF81" s="458"/>
      <c r="AG81" s="460"/>
      <c r="AH81" s="458"/>
      <c r="AI81" s="460"/>
      <c r="AJ81" s="458">
        <f t="shared" si="71"/>
        <v>14</v>
      </c>
      <c r="AK81" s="460">
        <f t="shared" si="72"/>
        <v>6193.9500000000007</v>
      </c>
      <c r="AL81" s="458">
        <f t="shared" si="73"/>
        <v>14</v>
      </c>
      <c r="AM81" s="460">
        <f t="shared" si="74"/>
        <v>52958.272499999999</v>
      </c>
      <c r="AN81" s="458" t="str">
        <f t="shared" si="75"/>
        <v>Педагог-шебер</v>
      </c>
      <c r="AO81" s="460"/>
      <c r="AP81" s="460" t="str">
        <f t="shared" si="77"/>
        <v>0</v>
      </c>
      <c r="AQ81" s="460" t="str">
        <f t="shared" si="78"/>
        <v>0</v>
      </c>
      <c r="AR81" s="460" t="str">
        <f t="shared" si="79"/>
        <v>0</v>
      </c>
      <c r="AS81" s="458">
        <v>100</v>
      </c>
      <c r="AT81" s="460">
        <f>AS81*4325</f>
        <v>432500</v>
      </c>
      <c r="AU81" s="458"/>
      <c r="AV81" s="460"/>
      <c r="AW81" s="461" t="str">
        <f t="shared" si="83"/>
        <v>Магистр</v>
      </c>
      <c r="AX81" s="462"/>
      <c r="AY81" s="460"/>
      <c r="AZ81" s="460">
        <f t="shared" si="80"/>
        <v>509304.98</v>
      </c>
      <c r="BA81" s="463">
        <f t="shared" si="85"/>
        <v>685832.55499999993</v>
      </c>
      <c r="BB81" s="464">
        <f t="shared" si="90"/>
        <v>68583.255499999999</v>
      </c>
      <c r="BC81" s="464">
        <f t="shared" si="91"/>
        <v>13716.651099999999</v>
      </c>
      <c r="BD81" s="464">
        <f t="shared" si="86"/>
        <v>54298.264839999996</v>
      </c>
      <c r="BE81" s="464">
        <f t="shared" si="92"/>
        <v>549234.38355999999</v>
      </c>
      <c r="BF81" s="464">
        <f t="shared" si="93"/>
        <v>8229990.6599999992</v>
      </c>
      <c r="BG81" s="464">
        <f t="shared" si="87"/>
        <v>353055.15</v>
      </c>
      <c r="BH81" s="464">
        <f t="shared" si="94"/>
        <v>8583045.8099999987</v>
      </c>
      <c r="BI81" s="464">
        <f t="shared" si="88"/>
        <v>300406.60334999999</v>
      </c>
      <c r="BJ81" s="464">
        <f t="shared" si="89"/>
        <v>445378.49428799999</v>
      </c>
      <c r="BK81" s="464">
        <f t="shared" si="95"/>
        <v>386237.06144999998</v>
      </c>
      <c r="BL81" s="464">
        <f t="shared" si="96"/>
        <v>257491.37429999994</v>
      </c>
      <c r="BM81" s="463">
        <f t="shared" si="81"/>
        <v>9972559.3433879986</v>
      </c>
      <c r="BN81" s="465"/>
      <c r="BO81" s="466"/>
      <c r="BP81" s="466"/>
      <c r="BQ81" s="466"/>
      <c r="BR81" s="466"/>
      <c r="BS81" s="466"/>
      <c r="BT81" s="466"/>
      <c r="BU81" s="466"/>
      <c r="BV81" s="466"/>
      <c r="BW81" s="466"/>
      <c r="BX81" s="466"/>
      <c r="BY81" s="466"/>
      <c r="BZ81" s="466"/>
      <c r="CA81" s="466"/>
      <c r="CB81" s="466"/>
      <c r="CC81" s="466"/>
      <c r="CD81" s="466"/>
      <c r="CE81" s="466"/>
      <c r="CF81" s="466"/>
      <c r="CG81" s="466"/>
      <c r="CH81" s="466"/>
      <c r="CI81" s="466"/>
    </row>
    <row r="82" spans="1:87" ht="47.25">
      <c r="A82" s="457">
        <f t="shared" si="82"/>
        <v>67</v>
      </c>
      <c r="B82" s="1321">
        <f t="shared" si="82"/>
        <v>17</v>
      </c>
      <c r="C82" s="697" t="s">
        <v>113</v>
      </c>
      <c r="D82" s="467" t="s">
        <v>1161</v>
      </c>
      <c r="E82" s="452" t="s">
        <v>998</v>
      </c>
      <c r="F82" s="698" t="s">
        <v>999</v>
      </c>
      <c r="G82" s="698" t="s">
        <v>1158</v>
      </c>
      <c r="H82" s="699" t="s">
        <v>273</v>
      </c>
      <c r="I82" s="698">
        <v>17697</v>
      </c>
      <c r="J82" s="700">
        <v>11.4</v>
      </c>
      <c r="K82" s="453">
        <f t="shared" si="63"/>
        <v>201745.80000000002</v>
      </c>
      <c r="L82" s="454"/>
      <c r="M82" s="454"/>
      <c r="N82" s="454"/>
      <c r="O82" s="455"/>
      <c r="P82" s="456"/>
      <c r="Q82" s="457">
        <f t="shared" si="64"/>
        <v>0</v>
      </c>
      <c r="R82" s="456"/>
      <c r="S82" s="456"/>
      <c r="T82" s="456"/>
      <c r="U82" s="456">
        <v>7</v>
      </c>
      <c r="V82" s="456">
        <v>9</v>
      </c>
      <c r="W82" s="458">
        <f t="shared" si="65"/>
        <v>16</v>
      </c>
      <c r="X82" s="458">
        <f t="shared" si="66"/>
        <v>16</v>
      </c>
      <c r="Y82" s="459">
        <f t="shared" si="67"/>
        <v>201745.80000000002</v>
      </c>
      <c r="Z82" s="460">
        <f t="shared" si="68"/>
        <v>20174.580000000002</v>
      </c>
      <c r="AA82" s="458"/>
      <c r="AB82" s="460">
        <f t="shared" si="69"/>
        <v>0</v>
      </c>
      <c r="AC82" s="458"/>
      <c r="AD82" s="460">
        <f t="shared" si="70"/>
        <v>0</v>
      </c>
      <c r="AE82" s="458"/>
      <c r="AF82" s="458"/>
      <c r="AG82" s="460"/>
      <c r="AH82" s="458"/>
      <c r="AI82" s="460"/>
      <c r="AJ82" s="458">
        <f t="shared" si="71"/>
        <v>16</v>
      </c>
      <c r="AK82" s="460">
        <f t="shared" si="72"/>
        <v>7078.8</v>
      </c>
      <c r="AL82" s="458">
        <f t="shared" si="73"/>
        <v>16</v>
      </c>
      <c r="AM82" s="460">
        <f t="shared" si="74"/>
        <v>60523.740000000005</v>
      </c>
      <c r="AN82" s="458" t="str">
        <f t="shared" si="75"/>
        <v>Педагог-шебер</v>
      </c>
      <c r="AO82" s="460"/>
      <c r="AP82" s="460" t="str">
        <f t="shared" si="77"/>
        <v>0</v>
      </c>
      <c r="AQ82" s="460" t="str">
        <f t="shared" si="78"/>
        <v>0</v>
      </c>
      <c r="AR82" s="460" t="str">
        <f t="shared" si="79"/>
        <v>0</v>
      </c>
      <c r="AS82" s="458">
        <v>100</v>
      </c>
      <c r="AT82" s="460">
        <f>AS82*4325</f>
        <v>432500</v>
      </c>
      <c r="AU82" s="458"/>
      <c r="AV82" s="460"/>
      <c r="AW82" s="461" t="str">
        <f t="shared" si="83"/>
        <v>Магистр</v>
      </c>
      <c r="AX82" s="462"/>
      <c r="AY82" s="460"/>
      <c r="AZ82" s="460">
        <f t="shared" si="80"/>
        <v>520277.12</v>
      </c>
      <c r="BA82" s="463">
        <f t="shared" si="85"/>
        <v>722022.92</v>
      </c>
      <c r="BB82" s="464">
        <f t="shared" si="90"/>
        <v>72202.292000000001</v>
      </c>
      <c r="BC82" s="464">
        <f t="shared" si="91"/>
        <v>14440.458400000001</v>
      </c>
      <c r="BD82" s="464">
        <f t="shared" si="86"/>
        <v>57483.016960000008</v>
      </c>
      <c r="BE82" s="464">
        <f t="shared" si="92"/>
        <v>577897.15263999999</v>
      </c>
      <c r="BF82" s="464">
        <f t="shared" si="93"/>
        <v>8664275.040000001</v>
      </c>
      <c r="BG82" s="464">
        <f t="shared" si="87"/>
        <v>403491.60000000003</v>
      </c>
      <c r="BH82" s="464">
        <f t="shared" si="94"/>
        <v>9067766.6400000006</v>
      </c>
      <c r="BI82" s="464">
        <f t="shared" si="88"/>
        <v>317371.83240000007</v>
      </c>
      <c r="BJ82" s="464">
        <f t="shared" si="89"/>
        <v>470597.99347200012</v>
      </c>
      <c r="BK82" s="464">
        <f t="shared" si="95"/>
        <v>408049.49880000006</v>
      </c>
      <c r="BL82" s="464">
        <f t="shared" si="96"/>
        <v>272032.99920000002</v>
      </c>
      <c r="BM82" s="463">
        <f t="shared" si="81"/>
        <v>10535818.963872001</v>
      </c>
      <c r="BN82" s="465"/>
      <c r="BO82" s="466"/>
      <c r="BP82" s="466"/>
      <c r="BQ82" s="466"/>
      <c r="BR82" s="466"/>
      <c r="BS82" s="466"/>
      <c r="BT82" s="466"/>
      <c r="BU82" s="466"/>
      <c r="BV82" s="466"/>
      <c r="BW82" s="466"/>
      <c r="BX82" s="466"/>
      <c r="BY82" s="466"/>
      <c r="BZ82" s="466"/>
      <c r="CA82" s="466"/>
      <c r="CB82" s="466"/>
      <c r="CC82" s="466"/>
      <c r="CD82" s="466"/>
      <c r="CE82" s="466"/>
      <c r="CF82" s="466"/>
      <c r="CG82" s="466"/>
      <c r="CH82" s="466"/>
      <c r="CI82" s="466"/>
    </row>
    <row r="83" spans="1:87" ht="15">
      <c r="A83" s="1530"/>
      <c r="B83" s="1531"/>
      <c r="C83" s="1532" t="s">
        <v>1162</v>
      </c>
      <c r="D83" s="1531"/>
      <c r="E83" s="1531"/>
      <c r="F83" s="1531"/>
      <c r="G83" s="1531"/>
      <c r="H83" s="1531"/>
      <c r="I83" s="1531"/>
      <c r="J83" s="1531"/>
      <c r="K83" s="468">
        <f t="shared" ref="K83:AE83" si="97">SUM(K66:K82)</f>
        <v>3250584.9599999995</v>
      </c>
      <c r="L83" s="468">
        <f t="shared" si="97"/>
        <v>60</v>
      </c>
      <c r="M83" s="468">
        <f t="shared" si="97"/>
        <v>60</v>
      </c>
      <c r="N83" s="468">
        <f t="shared" si="97"/>
        <v>54</v>
      </c>
      <c r="O83" s="468">
        <f t="shared" si="97"/>
        <v>36</v>
      </c>
      <c r="P83" s="468">
        <f t="shared" si="97"/>
        <v>36</v>
      </c>
      <c r="Q83" s="468">
        <f t="shared" si="97"/>
        <v>246</v>
      </c>
      <c r="R83" s="468">
        <f t="shared" si="97"/>
        <v>8</v>
      </c>
      <c r="S83" s="468">
        <f t="shared" si="97"/>
        <v>16</v>
      </c>
      <c r="T83" s="468">
        <f t="shared" si="97"/>
        <v>16</v>
      </c>
      <c r="U83" s="468">
        <f t="shared" si="97"/>
        <v>77</v>
      </c>
      <c r="V83" s="468">
        <f t="shared" si="97"/>
        <v>30</v>
      </c>
      <c r="W83" s="468">
        <f t="shared" si="97"/>
        <v>147</v>
      </c>
      <c r="X83" s="468">
        <f t="shared" si="97"/>
        <v>393</v>
      </c>
      <c r="Y83" s="468">
        <f t="shared" si="97"/>
        <v>4731978.7087500002</v>
      </c>
      <c r="Z83" s="468">
        <f t="shared" si="97"/>
        <v>460588.75837500003</v>
      </c>
      <c r="AA83" s="468">
        <f t="shared" si="97"/>
        <v>0</v>
      </c>
      <c r="AB83" s="468">
        <f t="shared" si="97"/>
        <v>0</v>
      </c>
      <c r="AC83" s="468">
        <f t="shared" si="97"/>
        <v>0</v>
      </c>
      <c r="AD83" s="468">
        <f t="shared" si="97"/>
        <v>0</v>
      </c>
      <c r="AE83" s="468">
        <f t="shared" si="97"/>
        <v>196600</v>
      </c>
      <c r="AF83" s="468">
        <v>5</v>
      </c>
      <c r="AG83" s="468">
        <f>SUM(AG66:AG82)</f>
        <v>17697</v>
      </c>
      <c r="AH83" s="468">
        <v>1</v>
      </c>
      <c r="AI83" s="468">
        <f t="shared" ref="AI83:BN83" si="98">SUM(AI66:AI82)</f>
        <v>35394</v>
      </c>
      <c r="AJ83" s="468">
        <f t="shared" si="98"/>
        <v>393</v>
      </c>
      <c r="AK83" s="468">
        <f t="shared" si="98"/>
        <v>173873.02499999999</v>
      </c>
      <c r="AL83" s="468">
        <f t="shared" si="98"/>
        <v>393</v>
      </c>
      <c r="AM83" s="468">
        <f t="shared" si="98"/>
        <v>1419593.6126249998</v>
      </c>
      <c r="AN83" s="468">
        <f t="shared" si="98"/>
        <v>0</v>
      </c>
      <c r="AO83" s="468">
        <f t="shared" si="98"/>
        <v>607980.45875000011</v>
      </c>
      <c r="AP83" s="468">
        <f t="shared" si="98"/>
        <v>548146.87800000003</v>
      </c>
      <c r="AQ83" s="468">
        <f t="shared" si="98"/>
        <v>150791.71275000001</v>
      </c>
      <c r="AR83" s="468">
        <f t="shared" si="98"/>
        <v>0</v>
      </c>
      <c r="AS83" s="468">
        <f t="shared" si="98"/>
        <v>400</v>
      </c>
      <c r="AT83" s="468">
        <f t="shared" si="98"/>
        <v>1730000</v>
      </c>
      <c r="AU83" s="468">
        <f t="shared" si="98"/>
        <v>0</v>
      </c>
      <c r="AV83" s="468">
        <f t="shared" si="98"/>
        <v>0</v>
      </c>
      <c r="AW83" s="468">
        <v>13</v>
      </c>
      <c r="AX83" s="468">
        <f t="shared" si="98"/>
        <v>389250</v>
      </c>
      <c r="AY83" s="468">
        <f t="shared" si="98"/>
        <v>35394</v>
      </c>
      <c r="AZ83" s="468">
        <f t="shared" si="98"/>
        <v>5765309.4455000004</v>
      </c>
      <c r="BA83" s="1318">
        <f>SUM(BA66:BA82)</f>
        <v>10497288.154250002</v>
      </c>
      <c r="BB83" s="1318">
        <f t="shared" ref="BB83:BM83" si="99">SUM(BB66:BB82)</f>
        <v>1049728.8154250002</v>
      </c>
      <c r="BC83" s="1318">
        <f t="shared" si="99"/>
        <v>209945.76308499998</v>
      </c>
      <c r="BD83" s="1318">
        <f t="shared" si="99"/>
        <v>820826.35757400002</v>
      </c>
      <c r="BE83" s="1318">
        <f t="shared" si="99"/>
        <v>8416787.2181660011</v>
      </c>
      <c r="BF83" s="1318">
        <f t="shared" si="99"/>
        <v>125967457.85100003</v>
      </c>
      <c r="BG83" s="1318">
        <f t="shared" si="99"/>
        <v>9463957.4175000004</v>
      </c>
      <c r="BH83" s="1318">
        <f t="shared" si="99"/>
        <v>135431415.26850003</v>
      </c>
      <c r="BI83" s="1318">
        <f t="shared" si="99"/>
        <v>4740099.5343974996</v>
      </c>
      <c r="BJ83" s="1318">
        <f t="shared" si="99"/>
        <v>5797683.4172268007</v>
      </c>
      <c r="BK83" s="1318">
        <f t="shared" si="99"/>
        <v>6094413.6870825011</v>
      </c>
      <c r="BL83" s="1318">
        <f t="shared" si="99"/>
        <v>4062942.4580549994</v>
      </c>
      <c r="BM83" s="1318">
        <f t="shared" si="99"/>
        <v>156126554.36526179</v>
      </c>
      <c r="BN83" s="468">
        <f t="shared" si="98"/>
        <v>1.5</v>
      </c>
      <c r="BO83" s="355"/>
      <c r="BP83" s="355"/>
      <c r="BQ83" s="355"/>
      <c r="BR83" s="355"/>
      <c r="BS83" s="355"/>
      <c r="BT83" s="355"/>
      <c r="BU83" s="355"/>
      <c r="BV83" s="355"/>
      <c r="BW83" s="355"/>
      <c r="BX83" s="355"/>
      <c r="BY83" s="355"/>
      <c r="BZ83" s="355"/>
      <c r="CA83" s="355"/>
      <c r="CB83" s="355"/>
      <c r="CC83" s="355"/>
      <c r="CD83" s="355"/>
      <c r="CE83" s="355"/>
      <c r="CF83" s="355"/>
      <c r="CG83" s="355"/>
      <c r="CH83" s="355"/>
      <c r="CI83" s="356"/>
    </row>
    <row r="84" spans="1:87" ht="94.5">
      <c r="A84" s="469">
        <f>A82+1</f>
        <v>68</v>
      </c>
      <c r="B84" s="470">
        <v>1</v>
      </c>
      <c r="C84" s="418" t="s">
        <v>1163</v>
      </c>
      <c r="D84" s="471" t="s">
        <v>1164</v>
      </c>
      <c r="E84" s="390" t="s">
        <v>998</v>
      </c>
      <c r="F84" s="1322" t="s">
        <v>1005</v>
      </c>
      <c r="G84" s="390" t="s">
        <v>1165</v>
      </c>
      <c r="H84" s="402" t="s">
        <v>1427</v>
      </c>
      <c r="I84" s="390">
        <v>17697</v>
      </c>
      <c r="J84" s="403">
        <v>11.18</v>
      </c>
      <c r="K84" s="367">
        <f t="shared" ref="K84:K103" si="100">I84*J84</f>
        <v>197852.46</v>
      </c>
      <c r="L84" s="380"/>
      <c r="M84" s="380"/>
      <c r="N84" s="380">
        <v>9</v>
      </c>
      <c r="O84" s="380"/>
      <c r="P84" s="380">
        <v>12</v>
      </c>
      <c r="Q84" s="368">
        <f t="shared" ref="Q84:Q103" si="101">SUM(L84:P84)</f>
        <v>21</v>
      </c>
      <c r="R84" s="380"/>
      <c r="S84" s="380"/>
      <c r="T84" s="380">
        <v>6</v>
      </c>
      <c r="U84" s="380"/>
      <c r="V84" s="380">
        <v>8</v>
      </c>
      <c r="W84" s="381">
        <f t="shared" ref="W84:W103" si="102">SUM(R84:V84)</f>
        <v>14</v>
      </c>
      <c r="X84" s="370">
        <f t="shared" ref="X84:X103" si="103">Q84+W84</f>
        <v>35</v>
      </c>
      <c r="Y84" s="367">
        <f t="shared" ref="Y84:Y103" si="104">K84/16*X84</f>
        <v>432802.25624999998</v>
      </c>
      <c r="Z84" s="367">
        <f t="shared" ref="Z84:Z103" si="105">Y84*10%</f>
        <v>43280.225624999999</v>
      </c>
      <c r="AA84" s="366">
        <v>15</v>
      </c>
      <c r="AB84" s="367">
        <f>I84/16*AA84*50%</f>
        <v>8295.46875</v>
      </c>
      <c r="AC84" s="366">
        <v>16</v>
      </c>
      <c r="AD84" s="367">
        <f>I84/16*AC84*50%*50%</f>
        <v>4424.25</v>
      </c>
      <c r="AE84" s="366">
        <v>196600</v>
      </c>
      <c r="AF84" s="366" t="s">
        <v>1167</v>
      </c>
      <c r="AG84" s="367">
        <f>17697*20%</f>
        <v>3539.4</v>
      </c>
      <c r="AH84" s="366" t="s">
        <v>1168</v>
      </c>
      <c r="AI84" s="367">
        <f>I84*200%</f>
        <v>35394</v>
      </c>
      <c r="AJ84" s="366">
        <f>X84</f>
        <v>35</v>
      </c>
      <c r="AK84" s="367">
        <f t="shared" ref="AK84:AK103" si="106">I84/16*AJ84*40%</f>
        <v>15484.875</v>
      </c>
      <c r="AL84" s="366">
        <f t="shared" ref="AL84:AL103" si="107">X84</f>
        <v>35</v>
      </c>
      <c r="AM84" s="367">
        <f t="shared" ref="AM84:AM103" si="108">K84/16*AL84*30%</f>
        <v>129840.67687499999</v>
      </c>
      <c r="AN84" s="366" t="str">
        <f>F84</f>
        <v>Педагог-зерттеуші</v>
      </c>
      <c r="AO84" s="367" t="str">
        <f t="shared" ref="AO84:AO102" si="109">IF(AN84="Педагог-зерттеуші", "0", IF(AN84="Педагог-шебер",K84/16*X84*50%, IF(AN84="Педагог-сарапшы", "0", IF(AN84="Педагог-модератор", "0", "0"))))</f>
        <v>0</v>
      </c>
      <c r="AP84" s="367">
        <f t="shared" ref="AP84:AP103" si="110">IF(AN84="Педагог-шебер", "0", IF(AN84="Педагог-зерттеуші",K84/16*X84*40%, IF(AN84="Педагог-сарапшы", "0", IF(AN84="Педагог-модератор", "0", "0"))))</f>
        <v>173120.9025</v>
      </c>
      <c r="AQ84" s="367" t="str">
        <f t="shared" ref="AQ84:AQ103" si="111">IF(AN84="Педагог-шебер", "0", IF(AN84="Педагог-сарапшы",K84/16*X84*35%, IF(AN84="Педагог-зерттеуші", "0", IF(AN84="Педагог-модератор", "0", "0"))))</f>
        <v>0</v>
      </c>
      <c r="AR84" s="367" t="str">
        <f t="shared" ref="AR84:AR103" si="112">IF(AN84="Педагог-шебер", "0", IF(AN84="Педагог-модератор",K84/16*X84*30%, IF(AN84="Педагог-зерттеуші", "0", IF(AN84="Педагог-сарапшы", "0", "0"))))</f>
        <v>0</v>
      </c>
      <c r="AS84" s="366"/>
      <c r="AT84" s="367"/>
      <c r="AU84" s="371"/>
      <c r="AV84" s="367"/>
      <c r="AW84" s="371" t="str">
        <f>G84</f>
        <v>Магистр-лингвистика</v>
      </c>
      <c r="AX84" s="372">
        <f>10*4325</f>
        <v>43250</v>
      </c>
      <c r="AY84" s="367"/>
      <c r="AZ84" s="367">
        <f t="shared" ref="AZ84:AZ103" si="113">Z84+AB84+AD84+AE84+AG84+AI84+AK84+AM84+AO84+AP84+AQ84++AR84+AT84+AV84+AX84+AY84</f>
        <v>653229.79874999996</v>
      </c>
      <c r="BA84" s="373">
        <f t="shared" si="85"/>
        <v>1086032.0549999999</v>
      </c>
      <c r="BB84" s="374">
        <f t="shared" si="90"/>
        <v>108603.2055</v>
      </c>
      <c r="BC84" s="374">
        <f t="shared" si="91"/>
        <v>21720.641100000001</v>
      </c>
      <c r="BD84" s="374">
        <f t="shared" si="86"/>
        <v>89515.82084</v>
      </c>
      <c r="BE84" s="374">
        <f t="shared" si="92"/>
        <v>866192.38755999994</v>
      </c>
      <c r="BF84" s="374">
        <f t="shared" si="93"/>
        <v>13032384.66</v>
      </c>
      <c r="BG84" s="374">
        <f t="shared" si="87"/>
        <v>865604.51249999995</v>
      </c>
      <c r="BH84" s="374">
        <f t="shared" si="94"/>
        <v>13897989.172499999</v>
      </c>
      <c r="BI84" s="374">
        <f t="shared" si="88"/>
        <v>486429.62103750004</v>
      </c>
      <c r="BJ84" s="374">
        <f t="shared" si="89"/>
        <v>721820.16906300001</v>
      </c>
      <c r="BK84" s="374">
        <f t="shared" si="95"/>
        <v>625409.51276249997</v>
      </c>
      <c r="BL84" s="374">
        <f t="shared" si="96"/>
        <v>416939.67517499998</v>
      </c>
      <c r="BM84" s="373">
        <f t="shared" ref="BM84:BM104" si="114">BH84+BJ84+BK84+BL84+BI84</f>
        <v>16148588.150537999</v>
      </c>
      <c r="BN84" s="375"/>
      <c r="BO84" s="376"/>
      <c r="BP84" s="377"/>
      <c r="BQ84" s="377"/>
      <c r="BR84" s="377"/>
      <c r="BS84" s="377"/>
      <c r="BT84" s="377"/>
      <c r="BU84" s="377"/>
      <c r="BV84" s="377"/>
      <c r="BW84" s="377"/>
      <c r="BX84" s="377"/>
      <c r="BY84" s="377"/>
      <c r="BZ84" s="377"/>
      <c r="CA84" s="377"/>
      <c r="CB84" s="377"/>
      <c r="CC84" s="377"/>
      <c r="CD84" s="377"/>
      <c r="CE84" s="377"/>
      <c r="CF84" s="377"/>
      <c r="CG84" s="377"/>
      <c r="CH84" s="377"/>
      <c r="CI84" s="377"/>
    </row>
    <row r="85" spans="1:87" ht="31.5">
      <c r="A85" s="369">
        <f t="shared" ref="A85:B100" si="115">A84+1</f>
        <v>69</v>
      </c>
      <c r="B85" s="416">
        <f t="shared" si="115"/>
        <v>2</v>
      </c>
      <c r="C85" s="473" t="s">
        <v>1169</v>
      </c>
      <c r="D85" s="474" t="s">
        <v>1170</v>
      </c>
      <c r="E85" s="366" t="s">
        <v>998</v>
      </c>
      <c r="F85" s="508" t="s">
        <v>1011</v>
      </c>
      <c r="G85" s="393"/>
      <c r="H85" s="371" t="s">
        <v>1171</v>
      </c>
      <c r="I85" s="366">
        <v>17697</v>
      </c>
      <c r="J85" s="367">
        <v>11.4</v>
      </c>
      <c r="K85" s="367">
        <f t="shared" si="100"/>
        <v>201745.80000000002</v>
      </c>
      <c r="L85" s="380"/>
      <c r="M85" s="380">
        <v>3</v>
      </c>
      <c r="N85" s="380"/>
      <c r="O85" s="380"/>
      <c r="P85" s="380"/>
      <c r="Q85" s="368">
        <f t="shared" si="101"/>
        <v>3</v>
      </c>
      <c r="R85" s="380"/>
      <c r="S85" s="380">
        <v>2</v>
      </c>
      <c r="T85" s="380"/>
      <c r="U85" s="380"/>
      <c r="V85" s="380"/>
      <c r="W85" s="381">
        <f t="shared" si="102"/>
        <v>2</v>
      </c>
      <c r="X85" s="370">
        <f t="shared" si="103"/>
        <v>5</v>
      </c>
      <c r="Y85" s="367">
        <f t="shared" si="104"/>
        <v>63045.562500000007</v>
      </c>
      <c r="Z85" s="367">
        <f t="shared" si="105"/>
        <v>6304.5562500000015</v>
      </c>
      <c r="AA85" s="366">
        <v>0</v>
      </c>
      <c r="AB85" s="367">
        <f t="shared" ref="AB85:AB103" si="116">I85/16*AA85*50%</f>
        <v>0</v>
      </c>
      <c r="AC85" s="372">
        <v>5</v>
      </c>
      <c r="AD85" s="367">
        <f t="shared" ref="AD85:AD103" si="117">I85/16*AC85*50%*50%</f>
        <v>1382.578125</v>
      </c>
      <c r="AE85" s="366"/>
      <c r="AF85" s="366"/>
      <c r="AG85" s="367"/>
      <c r="AH85" s="366"/>
      <c r="AI85" s="367"/>
      <c r="AJ85" s="366">
        <f t="shared" ref="AJ85:AJ103" si="118">X85</f>
        <v>5</v>
      </c>
      <c r="AK85" s="367">
        <f t="shared" si="106"/>
        <v>2212.125</v>
      </c>
      <c r="AL85" s="366">
        <f t="shared" si="107"/>
        <v>5</v>
      </c>
      <c r="AM85" s="367">
        <f t="shared" si="108"/>
        <v>18913.668750000001</v>
      </c>
      <c r="AN85" s="366" t="str">
        <f>F85</f>
        <v>Педагог-сарапшы</v>
      </c>
      <c r="AO85" s="367" t="str">
        <f t="shared" si="109"/>
        <v>0</v>
      </c>
      <c r="AP85" s="367" t="str">
        <f t="shared" si="110"/>
        <v>0</v>
      </c>
      <c r="AQ85" s="367">
        <f t="shared" si="111"/>
        <v>22065.946875000001</v>
      </c>
      <c r="AR85" s="367" t="str">
        <f t="shared" si="112"/>
        <v>0</v>
      </c>
      <c r="AS85" s="366"/>
      <c r="AT85" s="367"/>
      <c r="AU85" s="371"/>
      <c r="AV85" s="367"/>
      <c r="AW85" s="371"/>
      <c r="AX85" s="372"/>
      <c r="AY85" s="367"/>
      <c r="AZ85" s="367">
        <f t="shared" si="113"/>
        <v>50878.875</v>
      </c>
      <c r="BA85" s="373">
        <f t="shared" si="85"/>
        <v>113924.4375</v>
      </c>
      <c r="BB85" s="374">
        <f t="shared" si="90"/>
        <v>11392.44375</v>
      </c>
      <c r="BC85" s="374">
        <f t="shared" si="91"/>
        <v>2278.48875</v>
      </c>
      <c r="BD85" s="374">
        <f t="shared" si="86"/>
        <v>3970.3504999999991</v>
      </c>
      <c r="BE85" s="374">
        <f t="shared" si="92"/>
        <v>96283.15449999999</v>
      </c>
      <c r="BF85" s="374">
        <f t="shared" si="93"/>
        <v>1367093.25</v>
      </c>
      <c r="BG85" s="374">
        <f t="shared" si="87"/>
        <v>126091.12500000001</v>
      </c>
      <c r="BH85" s="374">
        <f t="shared" si="94"/>
        <v>1493184.375</v>
      </c>
      <c r="BI85" s="374">
        <f t="shared" si="88"/>
        <v>52261.453125000007</v>
      </c>
      <c r="BJ85" s="374">
        <f t="shared" si="89"/>
        <v>77624.3511</v>
      </c>
      <c r="BK85" s="374">
        <f t="shared" si="95"/>
        <v>67193.296875</v>
      </c>
      <c r="BL85" s="374">
        <f t="shared" si="96"/>
        <v>44795.53125</v>
      </c>
      <c r="BM85" s="373">
        <f t="shared" si="114"/>
        <v>1735059.0073500001</v>
      </c>
      <c r="BN85" s="375"/>
      <c r="BO85" s="377"/>
      <c r="BP85" s="377"/>
      <c r="BQ85" s="377"/>
      <c r="BR85" s="377"/>
      <c r="BS85" s="377"/>
      <c r="BT85" s="377"/>
      <c r="BU85" s="377"/>
      <c r="BV85" s="377"/>
      <c r="BW85" s="377"/>
      <c r="BX85" s="377"/>
      <c r="BY85" s="377"/>
      <c r="BZ85" s="377"/>
      <c r="CA85" s="377"/>
      <c r="CB85" s="377"/>
      <c r="CC85" s="377"/>
      <c r="CD85" s="377"/>
      <c r="CE85" s="377"/>
      <c r="CF85" s="377"/>
      <c r="CG85" s="377"/>
      <c r="CH85" s="377"/>
      <c r="CI85" s="377"/>
    </row>
    <row r="86" spans="1:87" ht="45">
      <c r="A86" s="369">
        <f t="shared" si="115"/>
        <v>70</v>
      </c>
      <c r="B86" s="416">
        <f t="shared" si="115"/>
        <v>3</v>
      </c>
      <c r="C86" s="473" t="s">
        <v>1172</v>
      </c>
      <c r="D86" s="475" t="s">
        <v>1173</v>
      </c>
      <c r="E86" s="366" t="s">
        <v>998</v>
      </c>
      <c r="F86" s="508" t="s">
        <v>1011</v>
      </c>
      <c r="G86" s="393" t="s">
        <v>1174</v>
      </c>
      <c r="H86" s="371" t="s">
        <v>1428</v>
      </c>
      <c r="I86" s="366">
        <v>17697</v>
      </c>
      <c r="J86" s="367">
        <v>11.4</v>
      </c>
      <c r="K86" s="367">
        <f>I86*J86</f>
        <v>201745.80000000002</v>
      </c>
      <c r="L86" s="380"/>
      <c r="M86" s="380">
        <v>15</v>
      </c>
      <c r="N86" s="380">
        <v>6</v>
      </c>
      <c r="O86" s="380"/>
      <c r="P86" s="380"/>
      <c r="Q86" s="368">
        <f>SUM(L86:P86)</f>
        <v>21</v>
      </c>
      <c r="R86" s="380"/>
      <c r="S86" s="380">
        <v>10</v>
      </c>
      <c r="T86" s="380">
        <v>4</v>
      </c>
      <c r="U86" s="380"/>
      <c r="V86" s="380"/>
      <c r="W86" s="381">
        <f>SUM(R86:V86)</f>
        <v>14</v>
      </c>
      <c r="X86" s="370">
        <f>Q86+W86</f>
        <v>35</v>
      </c>
      <c r="Y86" s="367">
        <f>K86/16*X86</f>
        <v>441318.93750000006</v>
      </c>
      <c r="Z86" s="367">
        <f>Y86*10%</f>
        <v>44131.89375000001</v>
      </c>
      <c r="AA86" s="366">
        <v>25</v>
      </c>
      <c r="AB86" s="367">
        <f t="shared" si="116"/>
        <v>13825.78125</v>
      </c>
      <c r="AC86" s="372">
        <v>10</v>
      </c>
      <c r="AD86" s="367">
        <f t="shared" si="117"/>
        <v>2765.15625</v>
      </c>
      <c r="AE86" s="366"/>
      <c r="AF86" s="366" t="s">
        <v>1175</v>
      </c>
      <c r="AG86" s="367">
        <f>17697*20%</f>
        <v>3539.4</v>
      </c>
      <c r="AH86" s="366"/>
      <c r="AI86" s="367"/>
      <c r="AJ86" s="366">
        <f>X86</f>
        <v>35</v>
      </c>
      <c r="AK86" s="367">
        <f>I86/16*AJ86*40%</f>
        <v>15484.875</v>
      </c>
      <c r="AL86" s="366">
        <f>X86</f>
        <v>35</v>
      </c>
      <c r="AM86" s="367">
        <f>K86/16*AL86*30%</f>
        <v>132395.68125000002</v>
      </c>
      <c r="AN86" s="366" t="str">
        <f>F86</f>
        <v>Педагог-сарапшы</v>
      </c>
      <c r="AO86" s="367" t="str">
        <f t="shared" si="109"/>
        <v>0</v>
      </c>
      <c r="AP86" s="367" t="str">
        <f t="shared" si="110"/>
        <v>0</v>
      </c>
      <c r="AQ86" s="367">
        <f t="shared" si="111"/>
        <v>154461.62812500002</v>
      </c>
      <c r="AR86" s="367" t="str">
        <f t="shared" si="112"/>
        <v>0</v>
      </c>
      <c r="AS86" s="366"/>
      <c r="AT86" s="367"/>
      <c r="AU86" s="371"/>
      <c r="AV86" s="367"/>
      <c r="AW86" s="371" t="str">
        <f>G86</f>
        <v>Магистр образования (ин.язык)</v>
      </c>
      <c r="AX86" s="372">
        <f>10*4325</f>
        <v>43250</v>
      </c>
      <c r="AY86" s="367"/>
      <c r="AZ86" s="367">
        <f t="shared" si="113"/>
        <v>409854.41562500002</v>
      </c>
      <c r="BA86" s="373">
        <f t="shared" si="85"/>
        <v>851173.35312500014</v>
      </c>
      <c r="BB86" s="374">
        <f t="shared" si="90"/>
        <v>85117.335312500014</v>
      </c>
      <c r="BC86" s="374">
        <f t="shared" si="91"/>
        <v>17023.467062500004</v>
      </c>
      <c r="BD86" s="374">
        <f t="shared" si="86"/>
        <v>68848.255075000023</v>
      </c>
      <c r="BE86" s="374">
        <f t="shared" si="92"/>
        <v>680184.29567500018</v>
      </c>
      <c r="BF86" s="374">
        <f t="shared" si="93"/>
        <v>10214080.237500001</v>
      </c>
      <c r="BG86" s="374">
        <f t="shared" si="87"/>
        <v>882637.87500000012</v>
      </c>
      <c r="BH86" s="374">
        <f t="shared" si="94"/>
        <v>11096718.112500001</v>
      </c>
      <c r="BI86" s="374">
        <f t="shared" si="88"/>
        <v>388385.13393750007</v>
      </c>
      <c r="BJ86" s="374">
        <f t="shared" si="89"/>
        <v>576751.80155250011</v>
      </c>
      <c r="BK86" s="374">
        <f t="shared" si="95"/>
        <v>499352.31506250007</v>
      </c>
      <c r="BL86" s="374">
        <f t="shared" si="96"/>
        <v>332901.54337500001</v>
      </c>
      <c r="BM86" s="373">
        <f t="shared" si="114"/>
        <v>12894108.906427503</v>
      </c>
      <c r="BN86" s="375"/>
      <c r="BO86" s="377"/>
      <c r="BP86" s="377"/>
      <c r="BQ86" s="377"/>
      <c r="BR86" s="377"/>
      <c r="BS86" s="377"/>
      <c r="BT86" s="377"/>
      <c r="BU86" s="377"/>
      <c r="BV86" s="377"/>
      <c r="BW86" s="377"/>
      <c r="BX86" s="377"/>
      <c r="BY86" s="377"/>
      <c r="BZ86" s="377"/>
      <c r="CA86" s="377"/>
      <c r="CB86" s="377"/>
      <c r="CC86" s="377"/>
      <c r="CD86" s="377"/>
      <c r="CE86" s="377"/>
      <c r="CF86" s="377"/>
      <c r="CG86" s="377"/>
      <c r="CH86" s="377"/>
      <c r="CI86" s="377"/>
    </row>
    <row r="87" spans="1:87" ht="78.75">
      <c r="A87" s="369">
        <f t="shared" si="115"/>
        <v>71</v>
      </c>
      <c r="B87" s="416">
        <f t="shared" si="115"/>
        <v>4</v>
      </c>
      <c r="C87" s="473" t="s">
        <v>910</v>
      </c>
      <c r="D87" s="419" t="s">
        <v>1176</v>
      </c>
      <c r="E87" s="366" t="s">
        <v>998</v>
      </c>
      <c r="F87" s="366"/>
      <c r="G87" s="393"/>
      <c r="H87" s="371" t="s">
        <v>279</v>
      </c>
      <c r="I87" s="366">
        <v>17697</v>
      </c>
      <c r="J87" s="367">
        <v>9.66</v>
      </c>
      <c r="K87" s="367">
        <f>I87*J87</f>
        <v>170953.02</v>
      </c>
      <c r="L87" s="380"/>
      <c r="M87" s="380"/>
      <c r="N87" s="380">
        <v>9</v>
      </c>
      <c r="O87" s="380">
        <v>12</v>
      </c>
      <c r="P87" s="380"/>
      <c r="Q87" s="368">
        <f>SUM(L87:P87)</f>
        <v>21</v>
      </c>
      <c r="R87" s="380"/>
      <c r="S87" s="380"/>
      <c r="T87" s="380">
        <v>6</v>
      </c>
      <c r="U87" s="380">
        <v>6</v>
      </c>
      <c r="V87" s="380"/>
      <c r="W87" s="381">
        <f>SUM(R87:V87)</f>
        <v>12</v>
      </c>
      <c r="X87" s="370">
        <f>Q87+W87</f>
        <v>33</v>
      </c>
      <c r="Y87" s="367">
        <f>K87/16*X87</f>
        <v>352590.60374999995</v>
      </c>
      <c r="Z87" s="367">
        <f>Y87*10%</f>
        <v>35259.060374999994</v>
      </c>
      <c r="AA87" s="366">
        <v>30</v>
      </c>
      <c r="AB87" s="367">
        <f t="shared" si="116"/>
        <v>16590.9375</v>
      </c>
      <c r="AC87" s="372"/>
      <c r="AD87" s="367">
        <f t="shared" si="117"/>
        <v>0</v>
      </c>
      <c r="AE87" s="366"/>
      <c r="AF87" s="366"/>
      <c r="AG87" s="367"/>
      <c r="AH87" s="366"/>
      <c r="AI87" s="367"/>
      <c r="AJ87" s="366">
        <f>X87</f>
        <v>33</v>
      </c>
      <c r="AK87" s="367">
        <f>I87/16*AJ87*40%</f>
        <v>14600.025000000001</v>
      </c>
      <c r="AL87" s="366">
        <f>X87</f>
        <v>33</v>
      </c>
      <c r="AM87" s="367">
        <f>K87/16*AL87*30%</f>
        <v>105777.18112499999</v>
      </c>
      <c r="AN87" s="366">
        <f>F87</f>
        <v>0</v>
      </c>
      <c r="AO87" s="367" t="str">
        <f t="shared" si="109"/>
        <v>0</v>
      </c>
      <c r="AP87" s="367" t="str">
        <f t="shared" si="110"/>
        <v>0</v>
      </c>
      <c r="AQ87" s="367" t="str">
        <f t="shared" si="111"/>
        <v>0</v>
      </c>
      <c r="AR87" s="367" t="str">
        <f t="shared" si="112"/>
        <v>0</v>
      </c>
      <c r="AS87" s="366"/>
      <c r="AT87" s="367"/>
      <c r="AU87" s="371"/>
      <c r="AV87" s="367"/>
      <c r="AW87" s="371"/>
      <c r="AX87" s="372"/>
      <c r="AY87" s="367"/>
      <c r="AZ87" s="367">
        <f t="shared" si="113"/>
        <v>172227.20399999997</v>
      </c>
      <c r="BA87" s="373">
        <f t="shared" si="85"/>
        <v>524817.80774999992</v>
      </c>
      <c r="BB87" s="374">
        <f t="shared" si="90"/>
        <v>52481.780774999992</v>
      </c>
      <c r="BC87" s="374">
        <f t="shared" si="91"/>
        <v>10496.356154999999</v>
      </c>
      <c r="BD87" s="374">
        <f t="shared" si="86"/>
        <v>40128.967081999996</v>
      </c>
      <c r="BE87" s="374">
        <f t="shared" si="92"/>
        <v>421710.70373799995</v>
      </c>
      <c r="BF87" s="374">
        <f t="shared" si="93"/>
        <v>6297813.692999999</v>
      </c>
      <c r="BG87" s="374">
        <f t="shared" si="87"/>
        <v>705181.2074999999</v>
      </c>
      <c r="BH87" s="374">
        <f t="shared" si="94"/>
        <v>7002994.9004999986</v>
      </c>
      <c r="BI87" s="374">
        <f t="shared" si="88"/>
        <v>245104.82151749998</v>
      </c>
      <c r="BJ87" s="374">
        <f t="shared" si="89"/>
        <v>364306.53450239985</v>
      </c>
      <c r="BK87" s="374">
        <f t="shared" si="95"/>
        <v>315134.77052249992</v>
      </c>
      <c r="BL87" s="374">
        <f t="shared" si="96"/>
        <v>210089.84701499995</v>
      </c>
      <c r="BM87" s="373">
        <f t="shared" si="114"/>
        <v>8137630.8740573991</v>
      </c>
      <c r="BN87" s="375"/>
      <c r="BO87" s="377"/>
      <c r="BP87" s="377"/>
      <c r="BQ87" s="377"/>
      <c r="BR87" s="377"/>
      <c r="BS87" s="377"/>
      <c r="BT87" s="377"/>
      <c r="BU87" s="377"/>
      <c r="BV87" s="377"/>
      <c r="BW87" s="377"/>
      <c r="BX87" s="377"/>
      <c r="BY87" s="377"/>
      <c r="BZ87" s="377"/>
      <c r="CA87" s="377"/>
      <c r="CB87" s="377"/>
      <c r="CC87" s="377"/>
      <c r="CD87" s="377"/>
      <c r="CE87" s="377"/>
      <c r="CF87" s="377"/>
      <c r="CG87" s="377"/>
      <c r="CH87" s="377"/>
      <c r="CI87" s="377"/>
    </row>
    <row r="88" spans="1:87" ht="47.25">
      <c r="A88" s="369">
        <f t="shared" si="115"/>
        <v>72</v>
      </c>
      <c r="B88" s="416">
        <f t="shared" si="115"/>
        <v>5</v>
      </c>
      <c r="C88" s="409" t="s">
        <v>1177</v>
      </c>
      <c r="D88" s="476" t="s">
        <v>1178</v>
      </c>
      <c r="E88" s="366" t="s">
        <v>998</v>
      </c>
      <c r="F88" s="1314" t="s">
        <v>254</v>
      </c>
      <c r="G88" s="366" t="s">
        <v>1174</v>
      </c>
      <c r="H88" s="371" t="s">
        <v>845</v>
      </c>
      <c r="I88" s="366">
        <v>17697</v>
      </c>
      <c r="J88" s="367">
        <v>10.220000000000001</v>
      </c>
      <c r="K88" s="367">
        <f t="shared" si="100"/>
        <v>180863.34000000003</v>
      </c>
      <c r="L88" s="380"/>
      <c r="M88" s="380">
        <v>3</v>
      </c>
      <c r="N88" s="380"/>
      <c r="O88" s="380"/>
      <c r="P88" s="380"/>
      <c r="Q88" s="368">
        <f t="shared" si="101"/>
        <v>3</v>
      </c>
      <c r="R88" s="380"/>
      <c r="S88" s="380">
        <v>5</v>
      </c>
      <c r="T88" s="380"/>
      <c r="U88" s="380"/>
      <c r="V88" s="380"/>
      <c r="W88" s="381">
        <f t="shared" si="102"/>
        <v>5</v>
      </c>
      <c r="X88" s="370">
        <f t="shared" si="103"/>
        <v>8</v>
      </c>
      <c r="Y88" s="367">
        <f t="shared" si="104"/>
        <v>90431.670000000013</v>
      </c>
      <c r="Z88" s="367"/>
      <c r="AA88" s="366">
        <v>5</v>
      </c>
      <c r="AB88" s="367">
        <f t="shared" si="116"/>
        <v>2765.15625</v>
      </c>
      <c r="AC88" s="366"/>
      <c r="AD88" s="367">
        <f t="shared" si="117"/>
        <v>0</v>
      </c>
      <c r="AE88" s="367"/>
      <c r="AF88" s="366"/>
      <c r="AG88" s="367"/>
      <c r="AH88" s="366"/>
      <c r="AI88" s="367"/>
      <c r="AJ88" s="366">
        <f t="shared" si="118"/>
        <v>8</v>
      </c>
      <c r="AK88" s="367">
        <f t="shared" si="106"/>
        <v>3539.4</v>
      </c>
      <c r="AL88" s="366">
        <f t="shared" si="107"/>
        <v>8</v>
      </c>
      <c r="AM88" s="367">
        <f t="shared" si="108"/>
        <v>27129.501000000004</v>
      </c>
      <c r="AN88" s="366" t="str">
        <f t="shared" ref="AN88:AN103" si="119">F88</f>
        <v>Педагог-модератор</v>
      </c>
      <c r="AO88" s="367" t="str">
        <f t="shared" si="109"/>
        <v>0</v>
      </c>
      <c r="AP88" s="367" t="str">
        <f t="shared" si="110"/>
        <v>0</v>
      </c>
      <c r="AQ88" s="367" t="str">
        <f t="shared" si="111"/>
        <v>0</v>
      </c>
      <c r="AR88" s="367">
        <f t="shared" si="112"/>
        <v>27129.501000000004</v>
      </c>
      <c r="AS88" s="366"/>
      <c r="AT88" s="367"/>
      <c r="AU88" s="371"/>
      <c r="AV88" s="367"/>
      <c r="AW88" s="371" t="str">
        <f>G88</f>
        <v>Магистр образования (ин.язык)</v>
      </c>
      <c r="AX88" s="372">
        <f>10*4325</f>
        <v>43250</v>
      </c>
      <c r="AY88" s="367"/>
      <c r="AZ88" s="367">
        <f t="shared" si="113"/>
        <v>103813.55825</v>
      </c>
      <c r="BA88" s="373">
        <f t="shared" si="85"/>
        <v>194245.22825000001</v>
      </c>
      <c r="BB88" s="374">
        <f t="shared" si="90"/>
        <v>19424.522825000004</v>
      </c>
      <c r="BC88" s="374">
        <f t="shared" si="91"/>
        <v>3884.9045650000003</v>
      </c>
      <c r="BD88" s="374">
        <f t="shared" si="86"/>
        <v>11038.580086000002</v>
      </c>
      <c r="BE88" s="374">
        <f t="shared" si="92"/>
        <v>159897.22077400002</v>
      </c>
      <c r="BF88" s="374">
        <f t="shared" si="93"/>
        <v>2330942.7390000001</v>
      </c>
      <c r="BG88" s="374">
        <f t="shared" si="87"/>
        <v>180863.34000000003</v>
      </c>
      <c r="BH88" s="374">
        <f t="shared" si="94"/>
        <v>2511806.0789999999</v>
      </c>
      <c r="BI88" s="374">
        <f t="shared" si="88"/>
        <v>87913.212765000004</v>
      </c>
      <c r="BJ88" s="374">
        <f t="shared" si="89"/>
        <v>130509.45424019999</v>
      </c>
      <c r="BK88" s="374">
        <f t="shared" si="95"/>
        <v>113031.27355500002</v>
      </c>
      <c r="BL88" s="374">
        <f t="shared" si="96"/>
        <v>75354.182369999995</v>
      </c>
      <c r="BM88" s="373">
        <f t="shared" si="114"/>
        <v>2918614.2019301997</v>
      </c>
      <c r="BN88" s="375">
        <v>1</v>
      </c>
      <c r="BO88" s="377"/>
      <c r="BP88" s="377"/>
      <c r="BQ88" s="377"/>
      <c r="BR88" s="377"/>
      <c r="BS88" s="377"/>
      <c r="BT88" s="377"/>
      <c r="BU88" s="377"/>
      <c r="BV88" s="377"/>
      <c r="BW88" s="377"/>
      <c r="BX88" s="377"/>
      <c r="BY88" s="377"/>
      <c r="BZ88" s="377"/>
      <c r="CA88" s="377"/>
      <c r="CB88" s="377"/>
      <c r="CC88" s="377"/>
      <c r="CD88" s="377"/>
      <c r="CE88" s="377"/>
      <c r="CF88" s="377"/>
      <c r="CG88" s="377"/>
      <c r="CH88" s="377"/>
      <c r="CI88" s="377"/>
    </row>
    <row r="89" spans="1:87" ht="78.75">
      <c r="A89" s="369">
        <f t="shared" si="115"/>
        <v>73</v>
      </c>
      <c r="B89" s="416">
        <f t="shared" si="115"/>
        <v>6</v>
      </c>
      <c r="C89" s="477" t="s">
        <v>1179</v>
      </c>
      <c r="D89" s="412" t="s">
        <v>1180</v>
      </c>
      <c r="E89" s="366" t="s">
        <v>998</v>
      </c>
      <c r="F89" s="1314" t="s">
        <v>254</v>
      </c>
      <c r="G89" s="366" t="s">
        <v>1174</v>
      </c>
      <c r="H89" s="371" t="s">
        <v>278</v>
      </c>
      <c r="I89" s="366">
        <v>17697</v>
      </c>
      <c r="J89" s="367">
        <v>10</v>
      </c>
      <c r="K89" s="367">
        <f t="shared" si="100"/>
        <v>176970</v>
      </c>
      <c r="L89" s="380"/>
      <c r="M89" s="380">
        <v>12</v>
      </c>
      <c r="N89" s="380"/>
      <c r="O89" s="380">
        <v>9</v>
      </c>
      <c r="P89" s="380"/>
      <c r="Q89" s="368">
        <f t="shared" si="101"/>
        <v>21</v>
      </c>
      <c r="R89" s="380"/>
      <c r="S89" s="380">
        <v>8</v>
      </c>
      <c r="T89" s="380"/>
      <c r="U89" s="380">
        <v>6</v>
      </c>
      <c r="V89" s="380"/>
      <c r="W89" s="381">
        <f t="shared" si="102"/>
        <v>14</v>
      </c>
      <c r="X89" s="370">
        <f t="shared" si="103"/>
        <v>35</v>
      </c>
      <c r="Y89" s="367">
        <f t="shared" si="104"/>
        <v>387121.875</v>
      </c>
      <c r="Z89" s="367">
        <f t="shared" si="105"/>
        <v>38712.1875</v>
      </c>
      <c r="AA89" s="366">
        <v>29</v>
      </c>
      <c r="AB89" s="367">
        <f t="shared" si="116"/>
        <v>16037.90625</v>
      </c>
      <c r="AC89" s="372">
        <v>3</v>
      </c>
      <c r="AD89" s="367">
        <f t="shared" si="117"/>
        <v>829.546875</v>
      </c>
      <c r="AE89" s="366"/>
      <c r="AF89" s="366"/>
      <c r="AG89" s="367"/>
      <c r="AH89" s="366"/>
      <c r="AI89" s="367"/>
      <c r="AJ89" s="366">
        <f t="shared" si="118"/>
        <v>35</v>
      </c>
      <c r="AK89" s="367">
        <f t="shared" si="106"/>
        <v>15484.875</v>
      </c>
      <c r="AL89" s="366">
        <f t="shared" si="107"/>
        <v>35</v>
      </c>
      <c r="AM89" s="367">
        <f t="shared" si="108"/>
        <v>116136.5625</v>
      </c>
      <c r="AN89" s="366" t="str">
        <f t="shared" si="119"/>
        <v>Педагог-модератор</v>
      </c>
      <c r="AO89" s="367" t="str">
        <f t="shared" si="109"/>
        <v>0</v>
      </c>
      <c r="AP89" s="367" t="str">
        <f t="shared" si="110"/>
        <v>0</v>
      </c>
      <c r="AQ89" s="367" t="str">
        <f t="shared" si="111"/>
        <v>0</v>
      </c>
      <c r="AR89" s="367">
        <f t="shared" si="112"/>
        <v>116136.5625</v>
      </c>
      <c r="AS89" s="366"/>
      <c r="AT89" s="367"/>
      <c r="AU89" s="371"/>
      <c r="AV89" s="367"/>
      <c r="AW89" s="371" t="str">
        <f>G89</f>
        <v>Магистр образования (ин.язык)</v>
      </c>
      <c r="AX89" s="372">
        <f>10*4325</f>
        <v>43250</v>
      </c>
      <c r="AY89" s="367"/>
      <c r="AZ89" s="367">
        <f t="shared" si="113"/>
        <v>346587.640625</v>
      </c>
      <c r="BA89" s="373">
        <f t="shared" si="85"/>
        <v>733709.515625</v>
      </c>
      <c r="BB89" s="374">
        <f t="shared" si="90"/>
        <v>73370.951562500006</v>
      </c>
      <c r="BC89" s="374">
        <f t="shared" si="91"/>
        <v>14674.190312500001</v>
      </c>
      <c r="BD89" s="374">
        <f t="shared" si="86"/>
        <v>58511.437375000009</v>
      </c>
      <c r="BE89" s="374">
        <f t="shared" si="92"/>
        <v>587152.93637500005</v>
      </c>
      <c r="BF89" s="374">
        <f t="shared" si="93"/>
        <v>8804514.1875</v>
      </c>
      <c r="BG89" s="374">
        <f t="shared" si="87"/>
        <v>774243.75</v>
      </c>
      <c r="BH89" s="374">
        <f t="shared" si="94"/>
        <v>9578757.9375</v>
      </c>
      <c r="BI89" s="374">
        <f t="shared" si="88"/>
        <v>335256.52781250002</v>
      </c>
      <c r="BJ89" s="374">
        <f t="shared" si="89"/>
        <v>497882.99741250015</v>
      </c>
      <c r="BK89" s="374">
        <f t="shared" si="95"/>
        <v>431044.10718750005</v>
      </c>
      <c r="BL89" s="374">
        <f t="shared" si="96"/>
        <v>287362.73812499997</v>
      </c>
      <c r="BM89" s="373">
        <f t="shared" si="114"/>
        <v>11130304.308037501</v>
      </c>
      <c r="BN89" s="375"/>
      <c r="BO89" s="377"/>
      <c r="BP89" s="377"/>
      <c r="BQ89" s="377"/>
      <c r="BR89" s="377"/>
      <c r="BS89" s="377"/>
      <c r="BT89" s="377"/>
      <c r="BU89" s="377"/>
      <c r="BV89" s="377"/>
      <c r="BW89" s="377"/>
      <c r="BX89" s="377"/>
      <c r="BY89" s="377"/>
      <c r="BZ89" s="377"/>
      <c r="CA89" s="377"/>
      <c r="CB89" s="377"/>
      <c r="CC89" s="377"/>
      <c r="CD89" s="377"/>
      <c r="CE89" s="377"/>
      <c r="CF89" s="377"/>
      <c r="CG89" s="377"/>
      <c r="CH89" s="377"/>
      <c r="CI89" s="377"/>
    </row>
    <row r="90" spans="1:87" ht="45">
      <c r="A90" s="369">
        <f t="shared" si="115"/>
        <v>74</v>
      </c>
      <c r="B90" s="416">
        <f t="shared" si="115"/>
        <v>7</v>
      </c>
      <c r="C90" s="477" t="s">
        <v>1181</v>
      </c>
      <c r="D90" s="412" t="s">
        <v>1182</v>
      </c>
      <c r="E90" s="366" t="s">
        <v>998</v>
      </c>
      <c r="F90" s="366"/>
      <c r="G90" s="366" t="s">
        <v>1046</v>
      </c>
      <c r="H90" s="371" t="s">
        <v>1429</v>
      </c>
      <c r="I90" s="366">
        <v>17697</v>
      </c>
      <c r="J90" s="367">
        <v>9.5</v>
      </c>
      <c r="K90" s="367">
        <f t="shared" si="100"/>
        <v>168121.5</v>
      </c>
      <c r="L90" s="380">
        <v>15</v>
      </c>
      <c r="M90" s="380"/>
      <c r="N90" s="380"/>
      <c r="O90" s="380"/>
      <c r="P90" s="380"/>
      <c r="Q90" s="368">
        <f t="shared" si="101"/>
        <v>15</v>
      </c>
      <c r="R90" s="380">
        <v>10</v>
      </c>
      <c r="S90" s="380"/>
      <c r="T90" s="380"/>
      <c r="U90" s="380"/>
      <c r="V90" s="380"/>
      <c r="W90" s="381">
        <f>SUM(R90:V90)</f>
        <v>10</v>
      </c>
      <c r="X90" s="370">
        <f t="shared" si="103"/>
        <v>25</v>
      </c>
      <c r="Y90" s="367">
        <f t="shared" si="104"/>
        <v>262689.84375</v>
      </c>
      <c r="Z90" s="367">
        <f t="shared" si="105"/>
        <v>26268.984375</v>
      </c>
      <c r="AA90" s="366">
        <v>0</v>
      </c>
      <c r="AB90" s="367">
        <f t="shared" si="116"/>
        <v>0</v>
      </c>
      <c r="AC90" s="372">
        <v>25</v>
      </c>
      <c r="AD90" s="367">
        <f t="shared" si="117"/>
        <v>6912.890625</v>
      </c>
      <c r="AE90" s="366"/>
      <c r="AF90" s="366"/>
      <c r="AG90" s="367"/>
      <c r="AH90" s="366"/>
      <c r="AI90" s="367"/>
      <c r="AJ90" s="366">
        <f t="shared" si="118"/>
        <v>25</v>
      </c>
      <c r="AK90" s="367">
        <f t="shared" si="106"/>
        <v>11060.625</v>
      </c>
      <c r="AL90" s="366">
        <f t="shared" si="107"/>
        <v>25</v>
      </c>
      <c r="AM90" s="367">
        <f t="shared" si="108"/>
        <v>78806.953125</v>
      </c>
      <c r="AN90" s="366">
        <f t="shared" si="119"/>
        <v>0</v>
      </c>
      <c r="AO90" s="367" t="str">
        <f t="shared" si="109"/>
        <v>0</v>
      </c>
      <c r="AP90" s="367" t="str">
        <f t="shared" si="110"/>
        <v>0</v>
      </c>
      <c r="AQ90" s="367" t="str">
        <f t="shared" si="111"/>
        <v>0</v>
      </c>
      <c r="AR90" s="367" t="str">
        <f t="shared" si="112"/>
        <v>0</v>
      </c>
      <c r="AS90" s="366"/>
      <c r="AT90" s="367"/>
      <c r="AU90" s="371"/>
      <c r="AV90" s="367"/>
      <c r="AW90" s="371" t="str">
        <f>G90</f>
        <v>Магистр педагогических наук</v>
      </c>
      <c r="AX90" s="372">
        <f>10*4325</f>
        <v>43250</v>
      </c>
      <c r="AY90" s="367"/>
      <c r="AZ90" s="367">
        <f t="shared" si="113"/>
        <v>166299.453125</v>
      </c>
      <c r="BA90" s="373">
        <f t="shared" si="85"/>
        <v>428989.296875</v>
      </c>
      <c r="BB90" s="374">
        <f t="shared" si="90"/>
        <v>42898.9296875</v>
      </c>
      <c r="BC90" s="374">
        <f t="shared" si="91"/>
        <v>8579.7859375000007</v>
      </c>
      <c r="BD90" s="374">
        <f t="shared" si="86"/>
        <v>31696.058125</v>
      </c>
      <c r="BE90" s="374">
        <f t="shared" si="92"/>
        <v>345814.52312500001</v>
      </c>
      <c r="BF90" s="374">
        <f t="shared" si="93"/>
        <v>5147871.5625</v>
      </c>
      <c r="BG90" s="374">
        <f t="shared" si="87"/>
        <v>525379.6875</v>
      </c>
      <c r="BH90" s="374">
        <f t="shared" si="94"/>
        <v>5673251.25</v>
      </c>
      <c r="BI90" s="374">
        <f t="shared" si="88"/>
        <v>198563.79375000001</v>
      </c>
      <c r="BJ90" s="374">
        <f t="shared" si="89"/>
        <v>295030.25006249989</v>
      </c>
      <c r="BK90" s="374">
        <f t="shared" si="95"/>
        <v>255296.30625000002</v>
      </c>
      <c r="BL90" s="374">
        <f t="shared" si="96"/>
        <v>170197.53750000001</v>
      </c>
      <c r="BM90" s="373">
        <f t="shared" si="114"/>
        <v>6592339.1375625003</v>
      </c>
      <c r="BN90" s="375"/>
      <c r="BO90" s="377"/>
      <c r="BP90" s="377"/>
      <c r="BQ90" s="377"/>
      <c r="BR90" s="377"/>
      <c r="BS90" s="377"/>
      <c r="BT90" s="377"/>
      <c r="BU90" s="377"/>
      <c r="BV90" s="377"/>
      <c r="BW90" s="377"/>
      <c r="BX90" s="377"/>
      <c r="BY90" s="377"/>
      <c r="BZ90" s="377"/>
      <c r="CA90" s="377"/>
      <c r="CB90" s="377"/>
      <c r="CC90" s="377"/>
      <c r="CD90" s="377"/>
      <c r="CE90" s="377"/>
      <c r="CF90" s="377"/>
      <c r="CG90" s="377"/>
      <c r="CH90" s="377"/>
      <c r="CI90" s="377"/>
    </row>
    <row r="91" spans="1:87" ht="31.5">
      <c r="A91" s="369">
        <f t="shared" si="115"/>
        <v>75</v>
      </c>
      <c r="B91" s="416">
        <f t="shared" si="115"/>
        <v>8</v>
      </c>
      <c r="C91" s="477" t="s">
        <v>1183</v>
      </c>
      <c r="D91" s="412" t="s">
        <v>1184</v>
      </c>
      <c r="E91" s="366" t="s">
        <v>998</v>
      </c>
      <c r="F91" s="1314" t="s">
        <v>254</v>
      </c>
      <c r="G91" s="366"/>
      <c r="H91" s="371" t="s">
        <v>1430</v>
      </c>
      <c r="I91" s="366">
        <v>17697</v>
      </c>
      <c r="J91" s="367">
        <v>10</v>
      </c>
      <c r="K91" s="367">
        <f t="shared" si="100"/>
        <v>176970</v>
      </c>
      <c r="L91" s="380">
        <v>15</v>
      </c>
      <c r="M91" s="380">
        <v>6</v>
      </c>
      <c r="N91" s="380"/>
      <c r="O91" s="380"/>
      <c r="P91" s="380"/>
      <c r="Q91" s="368">
        <f t="shared" si="101"/>
        <v>21</v>
      </c>
      <c r="R91" s="380">
        <v>10</v>
      </c>
      <c r="S91" s="380">
        <v>4</v>
      </c>
      <c r="T91" s="380"/>
      <c r="U91" s="380"/>
      <c r="V91" s="380"/>
      <c r="W91" s="381">
        <f>SUM(R91:V91)</f>
        <v>14</v>
      </c>
      <c r="X91" s="370">
        <f t="shared" si="103"/>
        <v>35</v>
      </c>
      <c r="Y91" s="367">
        <f t="shared" si="104"/>
        <v>387121.875</v>
      </c>
      <c r="Z91" s="367">
        <f t="shared" si="105"/>
        <v>38712.1875</v>
      </c>
      <c r="AA91" s="366">
        <v>0</v>
      </c>
      <c r="AB91" s="367">
        <f t="shared" si="116"/>
        <v>0</v>
      </c>
      <c r="AC91" s="372">
        <v>35</v>
      </c>
      <c r="AD91" s="367">
        <f t="shared" si="117"/>
        <v>9678.046875</v>
      </c>
      <c r="AE91" s="366"/>
      <c r="AF91" s="366"/>
      <c r="AG91" s="367"/>
      <c r="AH91" s="366"/>
      <c r="AI91" s="367"/>
      <c r="AJ91" s="366">
        <f t="shared" si="118"/>
        <v>35</v>
      </c>
      <c r="AK91" s="367">
        <f t="shared" si="106"/>
        <v>15484.875</v>
      </c>
      <c r="AL91" s="366">
        <f t="shared" si="107"/>
        <v>35</v>
      </c>
      <c r="AM91" s="367">
        <f t="shared" si="108"/>
        <v>116136.5625</v>
      </c>
      <c r="AN91" s="366" t="str">
        <f t="shared" si="119"/>
        <v>Педагог-модератор</v>
      </c>
      <c r="AO91" s="367" t="str">
        <f t="shared" si="109"/>
        <v>0</v>
      </c>
      <c r="AP91" s="367" t="str">
        <f t="shared" si="110"/>
        <v>0</v>
      </c>
      <c r="AQ91" s="367" t="str">
        <f t="shared" si="111"/>
        <v>0</v>
      </c>
      <c r="AR91" s="367">
        <f t="shared" si="112"/>
        <v>116136.5625</v>
      </c>
      <c r="AS91" s="366"/>
      <c r="AT91" s="367"/>
      <c r="AU91" s="371"/>
      <c r="AV91" s="367"/>
      <c r="AW91" s="371"/>
      <c r="AX91" s="372"/>
      <c r="AY91" s="367"/>
      <c r="AZ91" s="367">
        <f t="shared" si="113"/>
        <v>296148.234375</v>
      </c>
      <c r="BA91" s="373">
        <f t="shared" si="85"/>
        <v>683270.109375</v>
      </c>
      <c r="BB91" s="374">
        <f t="shared" si="90"/>
        <v>68327.010937500003</v>
      </c>
      <c r="BC91" s="374">
        <f t="shared" si="91"/>
        <v>13665.4021875</v>
      </c>
      <c r="BD91" s="374">
        <f t="shared" si="86"/>
        <v>54072.769624999994</v>
      </c>
      <c r="BE91" s="374">
        <f t="shared" si="92"/>
        <v>547204.92662499996</v>
      </c>
      <c r="BF91" s="374">
        <f t="shared" si="93"/>
        <v>8199241.3125</v>
      </c>
      <c r="BG91" s="374">
        <f t="shared" si="87"/>
        <v>774243.75</v>
      </c>
      <c r="BH91" s="374">
        <f t="shared" si="94"/>
        <v>8973485.0625</v>
      </c>
      <c r="BI91" s="374">
        <f t="shared" si="88"/>
        <v>314071.97718750004</v>
      </c>
      <c r="BJ91" s="374">
        <f t="shared" si="89"/>
        <v>466529.86248749995</v>
      </c>
      <c r="BK91" s="374">
        <f t="shared" si="95"/>
        <v>403806.82781250007</v>
      </c>
      <c r="BL91" s="374">
        <f t="shared" si="96"/>
        <v>269204.551875</v>
      </c>
      <c r="BM91" s="373">
        <f t="shared" si="114"/>
        <v>10427098.281862501</v>
      </c>
      <c r="BN91" s="375"/>
      <c r="BO91" s="377"/>
      <c r="BP91" s="377"/>
      <c r="BQ91" s="377"/>
      <c r="BR91" s="377"/>
      <c r="BS91" s="377"/>
      <c r="BT91" s="377"/>
      <c r="BU91" s="377"/>
      <c r="BV91" s="377"/>
      <c r="BW91" s="377"/>
      <c r="BX91" s="377"/>
      <c r="BY91" s="377"/>
      <c r="BZ91" s="377"/>
      <c r="CA91" s="377"/>
      <c r="CB91" s="377"/>
      <c r="CC91" s="377"/>
      <c r="CD91" s="377"/>
      <c r="CE91" s="377"/>
      <c r="CF91" s="377"/>
      <c r="CG91" s="377"/>
      <c r="CH91" s="377"/>
      <c r="CI91" s="377"/>
    </row>
    <row r="92" spans="1:87" ht="31.5">
      <c r="A92" s="369">
        <f t="shared" si="115"/>
        <v>76</v>
      </c>
      <c r="B92" s="416">
        <f t="shared" si="115"/>
        <v>9</v>
      </c>
      <c r="C92" s="409" t="s">
        <v>1185</v>
      </c>
      <c r="D92" s="412" t="s">
        <v>1186</v>
      </c>
      <c r="E92" s="366" t="s">
        <v>998</v>
      </c>
      <c r="F92" s="366"/>
      <c r="G92" s="366"/>
      <c r="H92" s="371" t="s">
        <v>1187</v>
      </c>
      <c r="I92" s="366">
        <v>17697</v>
      </c>
      <c r="J92" s="367">
        <v>11.4</v>
      </c>
      <c r="K92" s="367">
        <f t="shared" si="100"/>
        <v>201745.80000000002</v>
      </c>
      <c r="L92" s="380"/>
      <c r="M92" s="380">
        <v>3</v>
      </c>
      <c r="N92" s="380"/>
      <c r="O92" s="380"/>
      <c r="P92" s="380"/>
      <c r="Q92" s="368">
        <f t="shared" si="101"/>
        <v>3</v>
      </c>
      <c r="R92" s="380"/>
      <c r="S92" s="380">
        <v>2</v>
      </c>
      <c r="T92" s="380"/>
      <c r="U92" s="380"/>
      <c r="V92" s="380"/>
      <c r="W92" s="381">
        <f t="shared" si="102"/>
        <v>2</v>
      </c>
      <c r="X92" s="370">
        <f t="shared" si="103"/>
        <v>5</v>
      </c>
      <c r="Y92" s="367">
        <f t="shared" si="104"/>
        <v>63045.562500000007</v>
      </c>
      <c r="Z92" s="367">
        <f t="shared" si="105"/>
        <v>6304.5562500000015</v>
      </c>
      <c r="AA92" s="366">
        <v>5</v>
      </c>
      <c r="AB92" s="367">
        <f t="shared" si="116"/>
        <v>2765.15625</v>
      </c>
      <c r="AC92" s="366">
        <v>0</v>
      </c>
      <c r="AD92" s="367">
        <f t="shared" si="117"/>
        <v>0</v>
      </c>
      <c r="AE92" s="366"/>
      <c r="AF92" s="366"/>
      <c r="AG92" s="367"/>
      <c r="AH92" s="366"/>
      <c r="AI92" s="367"/>
      <c r="AJ92" s="366">
        <f t="shared" si="118"/>
        <v>5</v>
      </c>
      <c r="AK92" s="367">
        <f t="shared" si="106"/>
        <v>2212.125</v>
      </c>
      <c r="AL92" s="366">
        <f t="shared" si="107"/>
        <v>5</v>
      </c>
      <c r="AM92" s="367">
        <f t="shared" si="108"/>
        <v>18913.668750000001</v>
      </c>
      <c r="AN92" s="366">
        <f t="shared" si="119"/>
        <v>0</v>
      </c>
      <c r="AO92" s="367" t="str">
        <f t="shared" si="109"/>
        <v>0</v>
      </c>
      <c r="AP92" s="367" t="str">
        <f t="shared" si="110"/>
        <v>0</v>
      </c>
      <c r="AQ92" s="367" t="str">
        <f t="shared" si="111"/>
        <v>0</v>
      </c>
      <c r="AR92" s="367" t="str">
        <f t="shared" si="112"/>
        <v>0</v>
      </c>
      <c r="AS92" s="366"/>
      <c r="AT92" s="367"/>
      <c r="AU92" s="371"/>
      <c r="AV92" s="367"/>
      <c r="AW92" s="371"/>
      <c r="AX92" s="372"/>
      <c r="AY92" s="367"/>
      <c r="AZ92" s="367">
        <f t="shared" si="113"/>
        <v>30195.506250000002</v>
      </c>
      <c r="BA92" s="373">
        <f t="shared" si="85"/>
        <v>93241.068750000006</v>
      </c>
      <c r="BB92" s="374">
        <f t="shared" si="90"/>
        <v>9324.1068750000013</v>
      </c>
      <c r="BC92" s="374">
        <f t="shared" si="91"/>
        <v>1864.8213750000002</v>
      </c>
      <c r="BD92" s="374">
        <f t="shared" si="86"/>
        <v>2150.214050000001</v>
      </c>
      <c r="BE92" s="374">
        <f t="shared" si="92"/>
        <v>79901.926450000014</v>
      </c>
      <c r="BF92" s="374">
        <f t="shared" si="93"/>
        <v>1118892.8250000002</v>
      </c>
      <c r="BG92" s="374">
        <f t="shared" si="87"/>
        <v>126091.12500000001</v>
      </c>
      <c r="BH92" s="374">
        <f t="shared" si="94"/>
        <v>1244983.9500000002</v>
      </c>
      <c r="BI92" s="374">
        <f t="shared" si="88"/>
        <v>43574.438250000014</v>
      </c>
      <c r="BJ92" s="374">
        <f t="shared" si="89"/>
        <v>64767.56908500001</v>
      </c>
      <c r="BK92" s="374">
        <f t="shared" si="95"/>
        <v>56024.277750000008</v>
      </c>
      <c r="BL92" s="374">
        <f t="shared" si="96"/>
        <v>37349.518500000006</v>
      </c>
      <c r="BM92" s="373">
        <f t="shared" si="114"/>
        <v>1446699.7535850003</v>
      </c>
      <c r="BN92" s="375"/>
      <c r="BO92" s="377"/>
      <c r="BP92" s="377"/>
      <c r="BQ92" s="377"/>
      <c r="BR92" s="377"/>
      <c r="BS92" s="377"/>
      <c r="BT92" s="377"/>
      <c r="BU92" s="377"/>
      <c r="BV92" s="377"/>
      <c r="BW92" s="377"/>
      <c r="BX92" s="377"/>
      <c r="BY92" s="377"/>
      <c r="BZ92" s="377"/>
      <c r="CA92" s="377"/>
      <c r="CB92" s="377"/>
      <c r="CC92" s="377"/>
      <c r="CD92" s="377"/>
      <c r="CE92" s="377"/>
      <c r="CF92" s="377"/>
      <c r="CG92" s="377"/>
      <c r="CH92" s="377"/>
      <c r="CI92" s="377"/>
    </row>
    <row r="93" spans="1:87" ht="75">
      <c r="A93" s="369">
        <f t="shared" si="115"/>
        <v>77</v>
      </c>
      <c r="B93" s="416">
        <f t="shared" si="115"/>
        <v>10</v>
      </c>
      <c r="C93" s="409" t="s">
        <v>1188</v>
      </c>
      <c r="D93" s="412" t="s">
        <v>1189</v>
      </c>
      <c r="E93" s="366" t="s">
        <v>998</v>
      </c>
      <c r="F93" s="508" t="s">
        <v>1005</v>
      </c>
      <c r="G93" s="366" t="s">
        <v>1190</v>
      </c>
      <c r="H93" s="371" t="s">
        <v>1431</v>
      </c>
      <c r="I93" s="366">
        <v>17697</v>
      </c>
      <c r="J93" s="367">
        <v>10.82</v>
      </c>
      <c r="K93" s="367">
        <f t="shared" si="100"/>
        <v>191481.54</v>
      </c>
      <c r="L93" s="380"/>
      <c r="M93" s="380"/>
      <c r="N93" s="380">
        <v>21</v>
      </c>
      <c r="O93" s="380"/>
      <c r="P93" s="380"/>
      <c r="Q93" s="368">
        <f t="shared" si="101"/>
        <v>21</v>
      </c>
      <c r="R93" s="380"/>
      <c r="S93" s="380"/>
      <c r="T93" s="380">
        <v>14</v>
      </c>
      <c r="U93" s="380"/>
      <c r="V93" s="380"/>
      <c r="W93" s="381">
        <f t="shared" si="102"/>
        <v>14</v>
      </c>
      <c r="X93" s="370">
        <f t="shared" si="103"/>
        <v>35</v>
      </c>
      <c r="Y93" s="367">
        <f t="shared" si="104"/>
        <v>418865.86875000002</v>
      </c>
      <c r="Z93" s="367">
        <f t="shared" si="105"/>
        <v>41886.586875000008</v>
      </c>
      <c r="AA93" s="366">
        <v>35</v>
      </c>
      <c r="AB93" s="367">
        <f t="shared" si="116"/>
        <v>19356.09375</v>
      </c>
      <c r="AC93" s="366">
        <v>0</v>
      </c>
      <c r="AD93" s="367">
        <f t="shared" si="117"/>
        <v>0</v>
      </c>
      <c r="AE93" s="366"/>
      <c r="AF93" s="366" t="s">
        <v>260</v>
      </c>
      <c r="AG93" s="367">
        <f>17697*20%</f>
        <v>3539.4</v>
      </c>
      <c r="AH93" s="366"/>
      <c r="AI93" s="367"/>
      <c r="AJ93" s="366">
        <f t="shared" si="118"/>
        <v>35</v>
      </c>
      <c r="AK93" s="367">
        <f t="shared" si="106"/>
        <v>15484.875</v>
      </c>
      <c r="AL93" s="366">
        <f t="shared" si="107"/>
        <v>35</v>
      </c>
      <c r="AM93" s="367">
        <f t="shared" si="108"/>
        <v>125659.760625</v>
      </c>
      <c r="AN93" s="366" t="str">
        <f t="shared" si="119"/>
        <v>Педагог-зерттеуші</v>
      </c>
      <c r="AO93" s="367" t="str">
        <f t="shared" si="109"/>
        <v>0</v>
      </c>
      <c r="AP93" s="367">
        <f t="shared" si="110"/>
        <v>167546.34750000003</v>
      </c>
      <c r="AQ93" s="367" t="str">
        <f t="shared" si="111"/>
        <v>0</v>
      </c>
      <c r="AR93" s="367" t="str">
        <f t="shared" si="112"/>
        <v>0</v>
      </c>
      <c r="AS93" s="366"/>
      <c r="AT93" s="367"/>
      <c r="AU93" s="371"/>
      <c r="AV93" s="367"/>
      <c r="AW93" s="371" t="str">
        <f>G93</f>
        <v>Магистр-иностранный язык (два инностранных языка)</v>
      </c>
      <c r="AX93" s="372">
        <f>10*4325</f>
        <v>43250</v>
      </c>
      <c r="AY93" s="367"/>
      <c r="AZ93" s="367">
        <f t="shared" si="113"/>
        <v>416723.06375000003</v>
      </c>
      <c r="BA93" s="373">
        <f t="shared" si="85"/>
        <v>835588.93250000011</v>
      </c>
      <c r="BB93" s="374">
        <f t="shared" si="90"/>
        <v>83558.893250000023</v>
      </c>
      <c r="BC93" s="374">
        <f t="shared" si="91"/>
        <v>16711.778650000004</v>
      </c>
      <c r="BD93" s="374">
        <f t="shared" si="86"/>
        <v>67476.826060000021</v>
      </c>
      <c r="BE93" s="374">
        <f t="shared" si="92"/>
        <v>667841.43454000016</v>
      </c>
      <c r="BF93" s="374">
        <f t="shared" si="93"/>
        <v>10027067.190000001</v>
      </c>
      <c r="BG93" s="374">
        <f t="shared" si="87"/>
        <v>837731.73750000005</v>
      </c>
      <c r="BH93" s="374">
        <f t="shared" si="94"/>
        <v>10864798.927500002</v>
      </c>
      <c r="BI93" s="374">
        <f t="shared" si="88"/>
        <v>380267.96246250009</v>
      </c>
      <c r="BJ93" s="374">
        <f t="shared" si="89"/>
        <v>564639.59426699998</v>
      </c>
      <c r="BK93" s="374">
        <f t="shared" si="95"/>
        <v>488915.95173750009</v>
      </c>
      <c r="BL93" s="374">
        <f t="shared" si="96"/>
        <v>325943.96782500006</v>
      </c>
      <c r="BM93" s="373">
        <f t="shared" si="114"/>
        <v>12624566.403792001</v>
      </c>
      <c r="BN93" s="375"/>
      <c r="BO93" s="377"/>
      <c r="BP93" s="377"/>
      <c r="BQ93" s="377"/>
      <c r="BR93" s="377"/>
      <c r="BS93" s="377"/>
      <c r="BT93" s="377"/>
      <c r="BU93" s="377"/>
      <c r="BV93" s="377"/>
      <c r="BW93" s="377"/>
      <c r="BX93" s="377"/>
      <c r="BY93" s="377"/>
      <c r="BZ93" s="377"/>
      <c r="CA93" s="377"/>
      <c r="CB93" s="377"/>
      <c r="CC93" s="377"/>
      <c r="CD93" s="377"/>
      <c r="CE93" s="377"/>
      <c r="CF93" s="377"/>
      <c r="CG93" s="377"/>
      <c r="CH93" s="377"/>
      <c r="CI93" s="377"/>
    </row>
    <row r="94" spans="1:87" ht="31.5">
      <c r="A94" s="369">
        <f t="shared" si="115"/>
        <v>78</v>
      </c>
      <c r="B94" s="416">
        <f t="shared" si="115"/>
        <v>11</v>
      </c>
      <c r="C94" s="409" t="s">
        <v>1191</v>
      </c>
      <c r="D94" s="412" t="s">
        <v>1192</v>
      </c>
      <c r="E94" s="366" t="s">
        <v>998</v>
      </c>
      <c r="F94" s="508" t="s">
        <v>1011</v>
      </c>
      <c r="G94" s="366"/>
      <c r="H94" s="371" t="s">
        <v>1432</v>
      </c>
      <c r="I94" s="366">
        <v>17697</v>
      </c>
      <c r="J94" s="367">
        <v>11.4</v>
      </c>
      <c r="K94" s="367">
        <f t="shared" si="100"/>
        <v>201745.80000000002</v>
      </c>
      <c r="L94" s="380">
        <v>15</v>
      </c>
      <c r="M94" s="380">
        <v>6</v>
      </c>
      <c r="N94" s="380"/>
      <c r="O94" s="380"/>
      <c r="P94" s="380"/>
      <c r="Q94" s="368">
        <f t="shared" si="101"/>
        <v>21</v>
      </c>
      <c r="R94" s="380">
        <v>10</v>
      </c>
      <c r="S94" s="380">
        <v>4</v>
      </c>
      <c r="T94" s="380"/>
      <c r="U94" s="380"/>
      <c r="V94" s="380"/>
      <c r="W94" s="381">
        <f t="shared" si="102"/>
        <v>14</v>
      </c>
      <c r="X94" s="370">
        <f t="shared" si="103"/>
        <v>35</v>
      </c>
      <c r="Y94" s="367">
        <f t="shared" si="104"/>
        <v>441318.93750000006</v>
      </c>
      <c r="Z94" s="367">
        <f t="shared" si="105"/>
        <v>44131.89375000001</v>
      </c>
      <c r="AA94" s="366">
        <v>10</v>
      </c>
      <c r="AB94" s="367">
        <f t="shared" si="116"/>
        <v>5530.3125</v>
      </c>
      <c r="AC94" s="366">
        <v>25</v>
      </c>
      <c r="AD94" s="367">
        <f t="shared" si="117"/>
        <v>6912.890625</v>
      </c>
      <c r="AE94" s="366"/>
      <c r="AF94" s="366"/>
      <c r="AG94" s="367"/>
      <c r="AH94" s="366"/>
      <c r="AI94" s="367"/>
      <c r="AJ94" s="366">
        <f t="shared" si="118"/>
        <v>35</v>
      </c>
      <c r="AK94" s="367">
        <f t="shared" si="106"/>
        <v>15484.875</v>
      </c>
      <c r="AL94" s="366">
        <f t="shared" si="107"/>
        <v>35</v>
      </c>
      <c r="AM94" s="367">
        <f t="shared" si="108"/>
        <v>132395.68125000002</v>
      </c>
      <c r="AN94" s="366" t="str">
        <f t="shared" si="119"/>
        <v>Педагог-сарапшы</v>
      </c>
      <c r="AO94" s="367" t="str">
        <f t="shared" si="109"/>
        <v>0</v>
      </c>
      <c r="AP94" s="367" t="str">
        <f t="shared" si="110"/>
        <v>0</v>
      </c>
      <c r="AQ94" s="367">
        <f t="shared" si="111"/>
        <v>154461.62812500002</v>
      </c>
      <c r="AR94" s="367" t="str">
        <f t="shared" si="112"/>
        <v>0</v>
      </c>
      <c r="AS94" s="366"/>
      <c r="AT94" s="367"/>
      <c r="AU94" s="371"/>
      <c r="AV94" s="367"/>
      <c r="AW94" s="371"/>
      <c r="AX94" s="372"/>
      <c r="AY94" s="367"/>
      <c r="AZ94" s="367">
        <f t="shared" si="113"/>
        <v>358917.28125000006</v>
      </c>
      <c r="BA94" s="373">
        <f t="shared" si="85"/>
        <v>800236.21875000012</v>
      </c>
      <c r="BB94" s="374">
        <f t="shared" si="90"/>
        <v>80023.621875000012</v>
      </c>
      <c r="BC94" s="374">
        <f t="shared" si="91"/>
        <v>16004.724375000003</v>
      </c>
      <c r="BD94" s="374">
        <f t="shared" si="86"/>
        <v>64365.787250000008</v>
      </c>
      <c r="BE94" s="374">
        <f t="shared" si="92"/>
        <v>639842.08525</v>
      </c>
      <c r="BF94" s="374">
        <f t="shared" si="93"/>
        <v>9602834.6250000019</v>
      </c>
      <c r="BG94" s="374">
        <f t="shared" si="87"/>
        <v>882637.87500000012</v>
      </c>
      <c r="BH94" s="374">
        <f t="shared" si="94"/>
        <v>10485472.500000002</v>
      </c>
      <c r="BI94" s="374">
        <f t="shared" si="88"/>
        <v>366991.53750000009</v>
      </c>
      <c r="BJ94" s="374">
        <f t="shared" si="89"/>
        <v>545089.27882499993</v>
      </c>
      <c r="BK94" s="374">
        <f t="shared" si="95"/>
        <v>471846.26250000013</v>
      </c>
      <c r="BL94" s="374">
        <f t="shared" si="96"/>
        <v>314564.17500000005</v>
      </c>
      <c r="BM94" s="373">
        <f t="shared" si="114"/>
        <v>12183963.753825001</v>
      </c>
      <c r="BN94" s="375"/>
      <c r="BO94" s="377"/>
      <c r="BP94" s="377"/>
      <c r="BQ94" s="377"/>
      <c r="BR94" s="377"/>
      <c r="BS94" s="377"/>
      <c r="BT94" s="377"/>
      <c r="BU94" s="377"/>
      <c r="BV94" s="377"/>
      <c r="BW94" s="377"/>
      <c r="BX94" s="377"/>
      <c r="BY94" s="377"/>
      <c r="BZ94" s="377"/>
      <c r="CA94" s="377"/>
      <c r="CB94" s="377"/>
      <c r="CC94" s="377"/>
      <c r="CD94" s="377"/>
      <c r="CE94" s="377"/>
      <c r="CF94" s="377"/>
      <c r="CG94" s="377"/>
      <c r="CH94" s="377"/>
      <c r="CI94" s="377"/>
    </row>
    <row r="95" spans="1:87" ht="94.5">
      <c r="A95" s="369">
        <f t="shared" si="115"/>
        <v>79</v>
      </c>
      <c r="B95" s="416">
        <f t="shared" si="115"/>
        <v>12</v>
      </c>
      <c r="C95" s="473" t="s">
        <v>912</v>
      </c>
      <c r="D95" s="421" t="s">
        <v>1193</v>
      </c>
      <c r="E95" s="366" t="s">
        <v>998</v>
      </c>
      <c r="F95" s="1314" t="s">
        <v>254</v>
      </c>
      <c r="G95" s="393" t="s">
        <v>1190</v>
      </c>
      <c r="H95" s="478" t="s">
        <v>278</v>
      </c>
      <c r="I95" s="393">
        <v>17697</v>
      </c>
      <c r="J95" s="479">
        <v>10</v>
      </c>
      <c r="K95" s="479">
        <f t="shared" si="100"/>
        <v>176970</v>
      </c>
      <c r="L95" s="430"/>
      <c r="M95" s="430"/>
      <c r="N95" s="430">
        <v>6</v>
      </c>
      <c r="O95" s="430">
        <v>15</v>
      </c>
      <c r="P95" s="430"/>
      <c r="Q95" s="368">
        <f t="shared" si="101"/>
        <v>21</v>
      </c>
      <c r="R95" s="430"/>
      <c r="S95" s="430"/>
      <c r="T95" s="430">
        <v>4</v>
      </c>
      <c r="U95" s="430">
        <v>8</v>
      </c>
      <c r="V95" s="430"/>
      <c r="W95" s="381">
        <f t="shared" si="102"/>
        <v>12</v>
      </c>
      <c r="X95" s="370">
        <f t="shared" si="103"/>
        <v>33</v>
      </c>
      <c r="Y95" s="479">
        <f t="shared" si="104"/>
        <v>365000.625</v>
      </c>
      <c r="Z95" s="367">
        <f t="shared" si="105"/>
        <v>36500.0625</v>
      </c>
      <c r="AA95" s="366">
        <v>25</v>
      </c>
      <c r="AB95" s="367">
        <f t="shared" si="116"/>
        <v>13825.78125</v>
      </c>
      <c r="AC95" s="366">
        <v>4</v>
      </c>
      <c r="AD95" s="367">
        <f t="shared" si="117"/>
        <v>1106.0625</v>
      </c>
      <c r="AE95" s="393"/>
      <c r="AF95" s="366" t="s">
        <v>1194</v>
      </c>
      <c r="AG95" s="367">
        <f>17697*20%</f>
        <v>3539.4</v>
      </c>
      <c r="AH95" s="393"/>
      <c r="AI95" s="479"/>
      <c r="AJ95" s="366">
        <f t="shared" si="118"/>
        <v>33</v>
      </c>
      <c r="AK95" s="479">
        <f t="shared" si="106"/>
        <v>14600.025000000001</v>
      </c>
      <c r="AL95" s="393">
        <f t="shared" si="107"/>
        <v>33</v>
      </c>
      <c r="AM95" s="479">
        <f t="shared" si="108"/>
        <v>109500.1875</v>
      </c>
      <c r="AN95" s="393" t="str">
        <f t="shared" si="119"/>
        <v>Педагог-модератор</v>
      </c>
      <c r="AO95" s="479" t="str">
        <f t="shared" si="109"/>
        <v>0</v>
      </c>
      <c r="AP95" s="479" t="str">
        <f t="shared" si="110"/>
        <v>0</v>
      </c>
      <c r="AQ95" s="479" t="str">
        <f t="shared" si="111"/>
        <v>0</v>
      </c>
      <c r="AR95" s="479">
        <f t="shared" si="112"/>
        <v>109500.1875</v>
      </c>
      <c r="AS95" s="393"/>
      <c r="AT95" s="479"/>
      <c r="AU95" s="478"/>
      <c r="AV95" s="479"/>
      <c r="AW95" s="478" t="str">
        <f>G95</f>
        <v>Магистр-иностранный язык (два инностранных языка)</v>
      </c>
      <c r="AX95" s="372">
        <f>10*4325</f>
        <v>43250</v>
      </c>
      <c r="AY95" s="479"/>
      <c r="AZ95" s="367">
        <f t="shared" si="113"/>
        <v>331821.70624999999</v>
      </c>
      <c r="BA95" s="373">
        <f t="shared" si="85"/>
        <v>696822.33125000005</v>
      </c>
      <c r="BB95" s="374">
        <f t="shared" si="90"/>
        <v>69682.233125000013</v>
      </c>
      <c r="BC95" s="374">
        <f t="shared" si="91"/>
        <v>13936.446625</v>
      </c>
      <c r="BD95" s="374">
        <f t="shared" si="86"/>
        <v>55265.365150000005</v>
      </c>
      <c r="BE95" s="374">
        <f t="shared" si="92"/>
        <v>557938.28635000007</v>
      </c>
      <c r="BF95" s="374">
        <f t="shared" si="93"/>
        <v>8361867.9750000006</v>
      </c>
      <c r="BG95" s="374">
        <f t="shared" si="87"/>
        <v>730001.25</v>
      </c>
      <c r="BH95" s="374">
        <f t="shared" si="94"/>
        <v>9091869.2250000015</v>
      </c>
      <c r="BI95" s="374">
        <f t="shared" si="88"/>
        <v>318215.42287500011</v>
      </c>
      <c r="BJ95" s="374">
        <f t="shared" si="89"/>
        <v>472564.82860499999</v>
      </c>
      <c r="BK95" s="374">
        <f t="shared" si="95"/>
        <v>409134.11512500007</v>
      </c>
      <c r="BL95" s="374">
        <f t="shared" si="96"/>
        <v>272756.07675000001</v>
      </c>
      <c r="BM95" s="373">
        <f t="shared" si="114"/>
        <v>10564539.668355001</v>
      </c>
      <c r="BN95" s="480"/>
      <c r="BO95" s="481"/>
      <c r="BP95" s="481"/>
      <c r="BQ95" s="481"/>
      <c r="BR95" s="481"/>
      <c r="BS95" s="481"/>
      <c r="BT95" s="481"/>
      <c r="BU95" s="481"/>
      <c r="BV95" s="481"/>
      <c r="BW95" s="481"/>
      <c r="BX95" s="481"/>
      <c r="BY95" s="481"/>
      <c r="BZ95" s="481"/>
      <c r="CA95" s="481"/>
      <c r="CB95" s="481"/>
      <c r="CC95" s="481"/>
      <c r="CD95" s="481"/>
      <c r="CE95" s="481"/>
      <c r="CF95" s="481"/>
      <c r="CG95" s="481"/>
      <c r="CH95" s="481"/>
      <c r="CI95" s="481"/>
    </row>
    <row r="96" spans="1:87" ht="78.75">
      <c r="A96" s="369">
        <f t="shared" si="115"/>
        <v>80</v>
      </c>
      <c r="B96" s="416">
        <f t="shared" si="115"/>
        <v>13</v>
      </c>
      <c r="C96" s="473" t="s">
        <v>913</v>
      </c>
      <c r="D96" s="421" t="s">
        <v>1195</v>
      </c>
      <c r="E96" s="366" t="s">
        <v>998</v>
      </c>
      <c r="F96" s="1314" t="s">
        <v>254</v>
      </c>
      <c r="G96" s="393" t="s">
        <v>1196</v>
      </c>
      <c r="H96" s="478" t="s">
        <v>1433</v>
      </c>
      <c r="I96" s="393">
        <v>17697</v>
      </c>
      <c r="J96" s="479">
        <v>9.5</v>
      </c>
      <c r="K96" s="479">
        <f t="shared" si="100"/>
        <v>168121.5</v>
      </c>
      <c r="L96" s="430"/>
      <c r="M96" s="430">
        <v>12</v>
      </c>
      <c r="N96" s="430"/>
      <c r="O96" s="430">
        <v>6</v>
      </c>
      <c r="P96" s="430"/>
      <c r="Q96" s="368">
        <f t="shared" si="101"/>
        <v>18</v>
      </c>
      <c r="R96" s="430"/>
      <c r="S96" s="430">
        <v>8</v>
      </c>
      <c r="T96" s="430"/>
      <c r="U96" s="380">
        <v>2</v>
      </c>
      <c r="V96" s="430"/>
      <c r="W96" s="381">
        <f t="shared" si="102"/>
        <v>10</v>
      </c>
      <c r="X96" s="370">
        <f t="shared" si="103"/>
        <v>28</v>
      </c>
      <c r="Y96" s="479">
        <f t="shared" si="104"/>
        <v>294212.625</v>
      </c>
      <c r="Z96" s="367">
        <f t="shared" si="105"/>
        <v>29421.262500000001</v>
      </c>
      <c r="AA96" s="366">
        <v>17</v>
      </c>
      <c r="AB96" s="367">
        <f t="shared" si="116"/>
        <v>9401.53125</v>
      </c>
      <c r="AC96" s="366">
        <v>10</v>
      </c>
      <c r="AD96" s="367">
        <f t="shared" si="117"/>
        <v>2765.15625</v>
      </c>
      <c r="AE96" s="393"/>
      <c r="AF96" s="366"/>
      <c r="AG96" s="367"/>
      <c r="AH96" s="366" t="s">
        <v>258</v>
      </c>
      <c r="AI96" s="367">
        <f>I96*200%</f>
        <v>35394</v>
      </c>
      <c r="AJ96" s="366">
        <f t="shared" si="118"/>
        <v>28</v>
      </c>
      <c r="AK96" s="479">
        <f t="shared" si="106"/>
        <v>12387.900000000001</v>
      </c>
      <c r="AL96" s="393">
        <f t="shared" si="107"/>
        <v>28</v>
      </c>
      <c r="AM96" s="479">
        <f t="shared" si="108"/>
        <v>88263.787499999991</v>
      </c>
      <c r="AN96" s="393" t="str">
        <f t="shared" si="119"/>
        <v>Педагог-модератор</v>
      </c>
      <c r="AO96" s="479" t="str">
        <f t="shared" si="109"/>
        <v>0</v>
      </c>
      <c r="AP96" s="479" t="str">
        <f t="shared" si="110"/>
        <v>0</v>
      </c>
      <c r="AQ96" s="479" t="str">
        <f t="shared" si="111"/>
        <v>0</v>
      </c>
      <c r="AR96" s="479">
        <f t="shared" si="112"/>
        <v>88263.787499999991</v>
      </c>
      <c r="AS96" s="393"/>
      <c r="AT96" s="479"/>
      <c r="AU96" s="478"/>
      <c r="AV96" s="479"/>
      <c r="AW96" s="478" t="str">
        <f>G96</f>
        <v>Магистр по спец.управлении образованием</v>
      </c>
      <c r="AX96" s="372">
        <f>10*4325</f>
        <v>43250</v>
      </c>
      <c r="AY96" s="479"/>
      <c r="AZ96" s="367">
        <f t="shared" si="113"/>
        <v>309147.42499999999</v>
      </c>
      <c r="BA96" s="373">
        <f t="shared" si="85"/>
        <v>603360.05000000005</v>
      </c>
      <c r="BB96" s="374">
        <f t="shared" si="90"/>
        <v>60336.005000000005</v>
      </c>
      <c r="BC96" s="374">
        <f t="shared" si="91"/>
        <v>12067.201000000001</v>
      </c>
      <c r="BD96" s="374">
        <f t="shared" si="86"/>
        <v>47040.684400000006</v>
      </c>
      <c r="BE96" s="374">
        <f t="shared" si="92"/>
        <v>483916.15960000001</v>
      </c>
      <c r="BF96" s="374">
        <f t="shared" si="93"/>
        <v>7240320.6000000006</v>
      </c>
      <c r="BG96" s="374">
        <f t="shared" si="87"/>
        <v>588425.25</v>
      </c>
      <c r="BH96" s="374">
        <f t="shared" si="94"/>
        <v>7828745.8500000006</v>
      </c>
      <c r="BI96" s="374">
        <f t="shared" si="88"/>
        <v>274006.10475000006</v>
      </c>
      <c r="BJ96" s="374">
        <f t="shared" si="89"/>
        <v>406823.57058</v>
      </c>
      <c r="BK96" s="374">
        <f t="shared" si="95"/>
        <v>352293.56325000006</v>
      </c>
      <c r="BL96" s="374">
        <f t="shared" si="96"/>
        <v>234862.37549999999</v>
      </c>
      <c r="BM96" s="373">
        <f t="shared" si="114"/>
        <v>9096731.4640800003</v>
      </c>
      <c r="BN96" s="482">
        <v>0.25</v>
      </c>
      <c r="BO96" s="481"/>
      <c r="BP96" s="481"/>
      <c r="BQ96" s="481"/>
      <c r="BR96" s="481"/>
      <c r="BS96" s="481"/>
      <c r="BT96" s="481"/>
      <c r="BU96" s="481"/>
      <c r="BV96" s="481"/>
      <c r="BW96" s="481"/>
      <c r="BX96" s="481"/>
      <c r="BY96" s="481"/>
      <c r="BZ96" s="481"/>
      <c r="CA96" s="481"/>
      <c r="CB96" s="481"/>
      <c r="CC96" s="481"/>
      <c r="CD96" s="481"/>
      <c r="CE96" s="481"/>
      <c r="CF96" s="481"/>
      <c r="CG96" s="481"/>
      <c r="CH96" s="481"/>
      <c r="CI96" s="481"/>
    </row>
    <row r="97" spans="1:87" ht="31.5">
      <c r="A97" s="369">
        <f t="shared" si="115"/>
        <v>81</v>
      </c>
      <c r="B97" s="416">
        <f t="shared" si="115"/>
        <v>14</v>
      </c>
      <c r="C97" s="409" t="s">
        <v>1197</v>
      </c>
      <c r="D97" s="410" t="s">
        <v>1198</v>
      </c>
      <c r="E97" s="366" t="s">
        <v>998</v>
      </c>
      <c r="F97" s="508" t="s">
        <v>1005</v>
      </c>
      <c r="G97" s="366"/>
      <c r="H97" s="371" t="s">
        <v>1199</v>
      </c>
      <c r="I97" s="366">
        <v>17697</v>
      </c>
      <c r="J97" s="367">
        <v>11.4</v>
      </c>
      <c r="K97" s="367">
        <f t="shared" si="100"/>
        <v>201745.80000000002</v>
      </c>
      <c r="L97" s="380"/>
      <c r="M97" s="380"/>
      <c r="N97" s="380">
        <v>3</v>
      </c>
      <c r="O97" s="380"/>
      <c r="P97" s="380"/>
      <c r="Q97" s="368">
        <f t="shared" si="101"/>
        <v>3</v>
      </c>
      <c r="R97" s="380"/>
      <c r="S97" s="380"/>
      <c r="T97" s="380">
        <v>2</v>
      </c>
      <c r="U97" s="380"/>
      <c r="V97" s="380"/>
      <c r="W97" s="381">
        <f t="shared" si="102"/>
        <v>2</v>
      </c>
      <c r="X97" s="370">
        <f t="shared" si="103"/>
        <v>5</v>
      </c>
      <c r="Y97" s="367">
        <f t="shared" si="104"/>
        <v>63045.562500000007</v>
      </c>
      <c r="Z97" s="367">
        <f t="shared" si="105"/>
        <v>6304.5562500000015</v>
      </c>
      <c r="AA97" s="366">
        <v>5</v>
      </c>
      <c r="AB97" s="367">
        <f t="shared" si="116"/>
        <v>2765.15625</v>
      </c>
      <c r="AC97" s="366">
        <v>0</v>
      </c>
      <c r="AD97" s="367">
        <f t="shared" si="117"/>
        <v>0</v>
      </c>
      <c r="AE97" s="366"/>
      <c r="AF97" s="366"/>
      <c r="AG97" s="367"/>
      <c r="AH97" s="366"/>
      <c r="AI97" s="367"/>
      <c r="AJ97" s="366">
        <f t="shared" si="118"/>
        <v>5</v>
      </c>
      <c r="AK97" s="367">
        <f t="shared" si="106"/>
        <v>2212.125</v>
      </c>
      <c r="AL97" s="366">
        <f t="shared" si="107"/>
        <v>5</v>
      </c>
      <c r="AM97" s="367">
        <f t="shared" si="108"/>
        <v>18913.668750000001</v>
      </c>
      <c r="AN97" s="366" t="str">
        <f t="shared" si="119"/>
        <v>Педагог-зерттеуші</v>
      </c>
      <c r="AO97" s="367" t="str">
        <f t="shared" si="109"/>
        <v>0</v>
      </c>
      <c r="AP97" s="367">
        <f t="shared" si="110"/>
        <v>25218.225000000006</v>
      </c>
      <c r="AQ97" s="367" t="str">
        <f t="shared" si="111"/>
        <v>0</v>
      </c>
      <c r="AR97" s="367" t="str">
        <f t="shared" si="112"/>
        <v>0</v>
      </c>
      <c r="AS97" s="366"/>
      <c r="AT97" s="367"/>
      <c r="AU97" s="371"/>
      <c r="AV97" s="367"/>
      <c r="AW97" s="478"/>
      <c r="AX97" s="372"/>
      <c r="AY97" s="367"/>
      <c r="AZ97" s="367">
        <f t="shared" si="113"/>
        <v>55413.731250000012</v>
      </c>
      <c r="BA97" s="373">
        <f t="shared" si="85"/>
        <v>118459.29375000001</v>
      </c>
      <c r="BB97" s="374">
        <f t="shared" si="90"/>
        <v>11845.929375000002</v>
      </c>
      <c r="BC97" s="374">
        <f t="shared" si="91"/>
        <v>2369.1858750000001</v>
      </c>
      <c r="BD97" s="374">
        <f t="shared" si="86"/>
        <v>4369.4178500000007</v>
      </c>
      <c r="BE97" s="374">
        <f t="shared" si="92"/>
        <v>99874.760650000011</v>
      </c>
      <c r="BF97" s="374">
        <f t="shared" si="93"/>
        <v>1421511.5250000001</v>
      </c>
      <c r="BG97" s="374">
        <f t="shared" si="87"/>
        <v>126091.12500000001</v>
      </c>
      <c r="BH97" s="374">
        <f t="shared" si="94"/>
        <v>1547602.6500000001</v>
      </c>
      <c r="BI97" s="374">
        <f t="shared" si="88"/>
        <v>54166.092750000011</v>
      </c>
      <c r="BJ97" s="374">
        <f t="shared" si="89"/>
        <v>80443.217745000002</v>
      </c>
      <c r="BK97" s="374">
        <f t="shared" si="95"/>
        <v>69642.119250000018</v>
      </c>
      <c r="BL97" s="374">
        <f t="shared" si="96"/>
        <v>46428.0795</v>
      </c>
      <c r="BM97" s="373">
        <f t="shared" si="114"/>
        <v>1798282.1592450002</v>
      </c>
      <c r="BN97" s="385"/>
      <c r="BO97" s="377"/>
      <c r="BP97" s="377"/>
      <c r="BQ97" s="377"/>
      <c r="BR97" s="377"/>
      <c r="BS97" s="377"/>
      <c r="BT97" s="377"/>
      <c r="BU97" s="377"/>
      <c r="BV97" s="377"/>
      <c r="BW97" s="377"/>
      <c r="BX97" s="377"/>
      <c r="BY97" s="377"/>
      <c r="BZ97" s="377"/>
      <c r="CA97" s="377"/>
      <c r="CB97" s="377"/>
      <c r="CC97" s="377"/>
      <c r="CD97" s="377"/>
      <c r="CE97" s="377"/>
      <c r="CF97" s="377"/>
      <c r="CG97" s="377"/>
      <c r="CH97" s="377"/>
      <c r="CI97" s="377"/>
    </row>
    <row r="98" spans="1:87" ht="60">
      <c r="A98" s="369">
        <f t="shared" si="115"/>
        <v>82</v>
      </c>
      <c r="B98" s="416">
        <f t="shared" si="115"/>
        <v>15</v>
      </c>
      <c r="C98" s="409" t="s">
        <v>1200</v>
      </c>
      <c r="D98" s="412" t="s">
        <v>1201</v>
      </c>
      <c r="E98" s="366" t="s">
        <v>998</v>
      </c>
      <c r="F98" s="508" t="s">
        <v>1005</v>
      </c>
      <c r="G98" s="366" t="s">
        <v>1202</v>
      </c>
      <c r="H98" s="371" t="s">
        <v>1402</v>
      </c>
      <c r="I98" s="366">
        <v>17697</v>
      </c>
      <c r="J98" s="367">
        <v>10.4</v>
      </c>
      <c r="K98" s="367">
        <f t="shared" si="100"/>
        <v>184048.80000000002</v>
      </c>
      <c r="L98" s="380"/>
      <c r="M98" s="380"/>
      <c r="N98" s="380"/>
      <c r="O98" s="380">
        <v>3</v>
      </c>
      <c r="P98" s="380"/>
      <c r="Q98" s="368">
        <f t="shared" si="101"/>
        <v>3</v>
      </c>
      <c r="R98" s="380"/>
      <c r="S98" s="380"/>
      <c r="T98" s="380"/>
      <c r="U98" s="380"/>
      <c r="V98" s="380"/>
      <c r="W98" s="381">
        <f t="shared" si="102"/>
        <v>0</v>
      </c>
      <c r="X98" s="370">
        <f t="shared" si="103"/>
        <v>3</v>
      </c>
      <c r="Y98" s="367">
        <f t="shared" si="104"/>
        <v>34509.15</v>
      </c>
      <c r="Z98" s="367"/>
      <c r="AA98" s="393">
        <v>3</v>
      </c>
      <c r="AB98" s="367">
        <f t="shared" si="116"/>
        <v>1659.09375</v>
      </c>
      <c r="AC98" s="393"/>
      <c r="AD98" s="367">
        <f t="shared" si="117"/>
        <v>0</v>
      </c>
      <c r="AE98" s="366"/>
      <c r="AF98" s="366"/>
      <c r="AG98" s="367"/>
      <c r="AH98" s="366"/>
      <c r="AI98" s="367"/>
      <c r="AJ98" s="366">
        <f t="shared" si="118"/>
        <v>3</v>
      </c>
      <c r="AK98" s="367">
        <f t="shared" si="106"/>
        <v>1327.2750000000001</v>
      </c>
      <c r="AL98" s="366">
        <f t="shared" si="107"/>
        <v>3</v>
      </c>
      <c r="AM98" s="367">
        <f t="shared" si="108"/>
        <v>10352.745000000001</v>
      </c>
      <c r="AN98" s="366" t="str">
        <f t="shared" si="119"/>
        <v>Педагог-зерттеуші</v>
      </c>
      <c r="AO98" s="367" t="str">
        <f t="shared" si="109"/>
        <v>0</v>
      </c>
      <c r="AP98" s="367">
        <f t="shared" si="110"/>
        <v>13803.660000000002</v>
      </c>
      <c r="AQ98" s="367" t="str">
        <f t="shared" si="111"/>
        <v>0</v>
      </c>
      <c r="AR98" s="367" t="str">
        <f t="shared" si="112"/>
        <v>0</v>
      </c>
      <c r="AS98" s="366"/>
      <c r="AT98" s="367"/>
      <c r="AU98" s="371"/>
      <c r="AV98" s="367"/>
      <c r="AW98" s="478" t="str">
        <f>G98</f>
        <v>Магистр наук в области лингвистики</v>
      </c>
      <c r="AX98" s="372">
        <f>10*4325</f>
        <v>43250</v>
      </c>
      <c r="AY98" s="367"/>
      <c r="AZ98" s="367">
        <f t="shared" si="113"/>
        <v>70392.773749999993</v>
      </c>
      <c r="BA98" s="373">
        <f t="shared" si="85"/>
        <v>104901.92374999999</v>
      </c>
      <c r="BB98" s="374">
        <f t="shared" si="90"/>
        <v>10490.192374999999</v>
      </c>
      <c r="BC98" s="374">
        <f t="shared" si="91"/>
        <v>2098.0384749999998</v>
      </c>
      <c r="BD98" s="374">
        <f t="shared" si="86"/>
        <v>3176.3692899999996</v>
      </c>
      <c r="BE98" s="374">
        <f t="shared" si="92"/>
        <v>89137.323609999992</v>
      </c>
      <c r="BF98" s="374">
        <f t="shared" si="93"/>
        <v>1258823.085</v>
      </c>
      <c r="BG98" s="374">
        <f t="shared" si="87"/>
        <v>69018.3</v>
      </c>
      <c r="BH98" s="374">
        <f t="shared" si="94"/>
        <v>1327841.385</v>
      </c>
      <c r="BI98" s="374">
        <f t="shared" si="88"/>
        <v>46474.448475000005</v>
      </c>
      <c r="BJ98" s="374">
        <f t="shared" si="89"/>
        <v>68934.024002999999</v>
      </c>
      <c r="BK98" s="374">
        <f t="shared" si="95"/>
        <v>59752.862325000009</v>
      </c>
      <c r="BL98" s="374">
        <f t="shared" si="96"/>
        <v>39835.241549999999</v>
      </c>
      <c r="BM98" s="373">
        <f t="shared" si="114"/>
        <v>1542837.961353</v>
      </c>
      <c r="BN98" s="385">
        <v>1.25</v>
      </c>
      <c r="BO98" s="377"/>
      <c r="BP98" s="377"/>
      <c r="BQ98" s="377"/>
      <c r="BR98" s="377"/>
      <c r="BS98" s="377"/>
      <c r="BT98" s="377"/>
      <c r="BU98" s="377"/>
      <c r="BV98" s="377"/>
      <c r="BW98" s="377"/>
      <c r="BX98" s="377"/>
      <c r="BY98" s="377"/>
      <c r="BZ98" s="377"/>
      <c r="CA98" s="377"/>
      <c r="CB98" s="377"/>
      <c r="CC98" s="377"/>
      <c r="CD98" s="377"/>
      <c r="CE98" s="377"/>
      <c r="CF98" s="377"/>
      <c r="CG98" s="377"/>
      <c r="CH98" s="377"/>
      <c r="CI98" s="377"/>
    </row>
    <row r="99" spans="1:87" ht="47.25">
      <c r="A99" s="369">
        <f t="shared" si="115"/>
        <v>83</v>
      </c>
      <c r="B99" s="416">
        <f t="shared" si="115"/>
        <v>16</v>
      </c>
      <c r="C99" s="409" t="s">
        <v>1203</v>
      </c>
      <c r="D99" s="412" t="s">
        <v>1204</v>
      </c>
      <c r="E99" s="366" t="s">
        <v>998</v>
      </c>
      <c r="F99" s="508" t="s">
        <v>1005</v>
      </c>
      <c r="G99" s="366"/>
      <c r="H99" s="371" t="s">
        <v>1434</v>
      </c>
      <c r="I99" s="366">
        <v>17697</v>
      </c>
      <c r="J99" s="367">
        <v>11.18</v>
      </c>
      <c r="K99" s="367">
        <f t="shared" si="100"/>
        <v>197852.46</v>
      </c>
      <c r="L99" s="380"/>
      <c r="M99" s="380"/>
      <c r="N99" s="380"/>
      <c r="O99" s="380">
        <v>6</v>
      </c>
      <c r="P99" s="380"/>
      <c r="Q99" s="368">
        <f t="shared" si="101"/>
        <v>6</v>
      </c>
      <c r="R99" s="380"/>
      <c r="S99" s="380"/>
      <c r="T99" s="380"/>
      <c r="U99" s="380">
        <v>4</v>
      </c>
      <c r="V99" s="380"/>
      <c r="W99" s="381">
        <f t="shared" si="102"/>
        <v>4</v>
      </c>
      <c r="X99" s="370">
        <f t="shared" si="103"/>
        <v>10</v>
      </c>
      <c r="Y99" s="367">
        <f t="shared" si="104"/>
        <v>123657.78749999999</v>
      </c>
      <c r="Z99" s="367">
        <f t="shared" si="105"/>
        <v>12365.778749999999</v>
      </c>
      <c r="AA99" s="366">
        <v>5</v>
      </c>
      <c r="AB99" s="367">
        <f t="shared" si="116"/>
        <v>2765.15625</v>
      </c>
      <c r="AC99" s="366">
        <v>5</v>
      </c>
      <c r="AD99" s="367">
        <f t="shared" si="117"/>
        <v>1382.578125</v>
      </c>
      <c r="AE99" s="366"/>
      <c r="AF99" s="366"/>
      <c r="AG99" s="367"/>
      <c r="AH99" s="366"/>
      <c r="AI99" s="367"/>
      <c r="AJ99" s="366">
        <f t="shared" si="118"/>
        <v>10</v>
      </c>
      <c r="AK99" s="367">
        <f>I99/16*AJ99*40%</f>
        <v>4424.25</v>
      </c>
      <c r="AL99" s="366">
        <f t="shared" si="107"/>
        <v>10</v>
      </c>
      <c r="AM99" s="367">
        <f t="shared" si="108"/>
        <v>37097.336249999993</v>
      </c>
      <c r="AN99" s="366" t="str">
        <f t="shared" si="119"/>
        <v>Педагог-зерттеуші</v>
      </c>
      <c r="AO99" s="367" t="str">
        <f t="shared" si="109"/>
        <v>0</v>
      </c>
      <c r="AP99" s="367">
        <f t="shared" si="110"/>
        <v>49463.114999999998</v>
      </c>
      <c r="AQ99" s="367" t="str">
        <f t="shared" si="111"/>
        <v>0</v>
      </c>
      <c r="AR99" s="367" t="str">
        <f t="shared" si="112"/>
        <v>0</v>
      </c>
      <c r="AS99" s="366"/>
      <c r="AT99" s="367"/>
      <c r="AU99" s="371"/>
      <c r="AV99" s="367"/>
      <c r="AW99" s="478"/>
      <c r="AX99" s="372"/>
      <c r="AY99" s="367"/>
      <c r="AZ99" s="367">
        <f t="shared" si="113"/>
        <v>107498.21437499998</v>
      </c>
      <c r="BA99" s="373">
        <f t="shared" si="85"/>
        <v>231156.00187499996</v>
      </c>
      <c r="BB99" s="374">
        <f t="shared" si="90"/>
        <v>23115.600187499997</v>
      </c>
      <c r="BC99" s="374">
        <f t="shared" si="91"/>
        <v>4623.1200374999989</v>
      </c>
      <c r="BD99" s="374">
        <f t="shared" si="86"/>
        <v>14286.728164999997</v>
      </c>
      <c r="BE99" s="374">
        <f t="shared" si="92"/>
        <v>189130.55348499995</v>
      </c>
      <c r="BF99" s="374">
        <f t="shared" si="93"/>
        <v>2773872.0224999995</v>
      </c>
      <c r="BG99" s="374">
        <f t="shared" si="87"/>
        <v>247315.57499999998</v>
      </c>
      <c r="BH99" s="374">
        <f t="shared" si="94"/>
        <v>3021187.5974999997</v>
      </c>
      <c r="BI99" s="374">
        <f t="shared" si="88"/>
        <v>105741.56591249999</v>
      </c>
      <c r="BJ99" s="374">
        <f t="shared" si="89"/>
        <v>157041.61181550001</v>
      </c>
      <c r="BK99" s="374">
        <f t="shared" si="95"/>
        <v>135953.4418875</v>
      </c>
      <c r="BL99" s="374">
        <f t="shared" si="96"/>
        <v>90635.627924999993</v>
      </c>
      <c r="BM99" s="373">
        <f t="shared" si="114"/>
        <v>3510559.8450405002</v>
      </c>
      <c r="BN99" s="375"/>
      <c r="BO99" s="377"/>
      <c r="BP99" s="377"/>
      <c r="BQ99" s="377"/>
      <c r="BR99" s="377"/>
      <c r="BS99" s="377"/>
      <c r="BT99" s="377"/>
      <c r="BU99" s="377"/>
      <c r="BV99" s="377"/>
      <c r="BW99" s="377"/>
      <c r="BX99" s="377"/>
      <c r="BY99" s="377"/>
      <c r="BZ99" s="377"/>
      <c r="CA99" s="377"/>
      <c r="CB99" s="377"/>
      <c r="CC99" s="377"/>
      <c r="CD99" s="377"/>
      <c r="CE99" s="377"/>
      <c r="CF99" s="377"/>
      <c r="CG99" s="377"/>
      <c r="CH99" s="377"/>
      <c r="CI99" s="377"/>
    </row>
    <row r="100" spans="1:87" ht="45">
      <c r="A100" s="369">
        <f t="shared" si="115"/>
        <v>84</v>
      </c>
      <c r="B100" s="416">
        <f t="shared" si="115"/>
        <v>17</v>
      </c>
      <c r="C100" s="409" t="s">
        <v>1205</v>
      </c>
      <c r="D100" s="412" t="s">
        <v>1182</v>
      </c>
      <c r="E100" s="366" t="s">
        <v>998</v>
      </c>
      <c r="F100" s="366"/>
      <c r="G100" s="366" t="s">
        <v>1046</v>
      </c>
      <c r="H100" s="371" t="s">
        <v>1403</v>
      </c>
      <c r="I100" s="366">
        <v>17697</v>
      </c>
      <c r="J100" s="367">
        <v>9.5</v>
      </c>
      <c r="K100" s="367">
        <f t="shared" si="100"/>
        <v>168121.5</v>
      </c>
      <c r="L100" s="380">
        <v>15</v>
      </c>
      <c r="M100" s="380"/>
      <c r="N100" s="380"/>
      <c r="O100" s="380"/>
      <c r="P100" s="380"/>
      <c r="Q100" s="368">
        <f t="shared" si="101"/>
        <v>15</v>
      </c>
      <c r="R100" s="380">
        <v>10</v>
      </c>
      <c r="S100" s="380"/>
      <c r="T100" s="380"/>
      <c r="U100" s="380"/>
      <c r="V100" s="380"/>
      <c r="W100" s="381">
        <f t="shared" si="102"/>
        <v>10</v>
      </c>
      <c r="X100" s="370">
        <f t="shared" si="103"/>
        <v>25</v>
      </c>
      <c r="Y100" s="367">
        <f t="shared" si="104"/>
        <v>262689.84375</v>
      </c>
      <c r="Z100" s="367">
        <f t="shared" si="105"/>
        <v>26268.984375</v>
      </c>
      <c r="AA100" s="366">
        <v>0</v>
      </c>
      <c r="AB100" s="367">
        <f t="shared" si="116"/>
        <v>0</v>
      </c>
      <c r="AC100" s="366">
        <v>25</v>
      </c>
      <c r="AD100" s="367">
        <f t="shared" si="117"/>
        <v>6912.890625</v>
      </c>
      <c r="AE100" s="366"/>
      <c r="AF100" s="366"/>
      <c r="AG100" s="367"/>
      <c r="AH100" s="366"/>
      <c r="AI100" s="367"/>
      <c r="AJ100" s="366">
        <f t="shared" si="118"/>
        <v>25</v>
      </c>
      <c r="AK100" s="367">
        <f>I100/16*AJ100*40%</f>
        <v>11060.625</v>
      </c>
      <c r="AL100" s="366">
        <f t="shared" si="107"/>
        <v>25</v>
      </c>
      <c r="AM100" s="367">
        <f t="shared" si="108"/>
        <v>78806.953125</v>
      </c>
      <c r="AN100" s="366">
        <f t="shared" si="119"/>
        <v>0</v>
      </c>
      <c r="AO100" s="367" t="str">
        <f t="shared" si="109"/>
        <v>0</v>
      </c>
      <c r="AP100" s="367" t="str">
        <f t="shared" si="110"/>
        <v>0</v>
      </c>
      <c r="AQ100" s="367" t="str">
        <f t="shared" si="111"/>
        <v>0</v>
      </c>
      <c r="AR100" s="367" t="str">
        <f t="shared" si="112"/>
        <v>0</v>
      </c>
      <c r="AS100" s="366"/>
      <c r="AT100" s="367"/>
      <c r="AU100" s="371"/>
      <c r="AV100" s="367"/>
      <c r="AW100" s="478" t="str">
        <f>G100</f>
        <v>Магистр педагогических наук</v>
      </c>
      <c r="AX100" s="372">
        <f>10*4325</f>
        <v>43250</v>
      </c>
      <c r="AY100" s="367"/>
      <c r="AZ100" s="367">
        <f t="shared" si="113"/>
        <v>166299.453125</v>
      </c>
      <c r="BA100" s="373">
        <f t="shared" si="85"/>
        <v>428989.296875</v>
      </c>
      <c r="BB100" s="374">
        <f t="shared" si="90"/>
        <v>42898.9296875</v>
      </c>
      <c r="BC100" s="374">
        <f t="shared" si="91"/>
        <v>8579.7859375000007</v>
      </c>
      <c r="BD100" s="374">
        <f t="shared" si="86"/>
        <v>31696.058125</v>
      </c>
      <c r="BE100" s="374">
        <f t="shared" si="92"/>
        <v>345814.52312500001</v>
      </c>
      <c r="BF100" s="374">
        <f t="shared" si="93"/>
        <v>5147871.5625</v>
      </c>
      <c r="BG100" s="374">
        <f t="shared" si="87"/>
        <v>525379.6875</v>
      </c>
      <c r="BH100" s="374">
        <f t="shared" si="94"/>
        <v>5673251.25</v>
      </c>
      <c r="BI100" s="374">
        <f t="shared" si="88"/>
        <v>198563.79375000001</v>
      </c>
      <c r="BJ100" s="374">
        <f t="shared" si="89"/>
        <v>295030.25006249989</v>
      </c>
      <c r="BK100" s="374">
        <f t="shared" si="95"/>
        <v>255296.30625000002</v>
      </c>
      <c r="BL100" s="374">
        <f t="shared" si="96"/>
        <v>170197.53750000001</v>
      </c>
      <c r="BM100" s="373">
        <f t="shared" si="114"/>
        <v>6592339.1375625003</v>
      </c>
      <c r="BN100" s="375"/>
      <c r="BO100" s="377"/>
      <c r="BP100" s="377"/>
      <c r="BQ100" s="377"/>
      <c r="BR100" s="377"/>
      <c r="BS100" s="377"/>
      <c r="BT100" s="377"/>
      <c r="BU100" s="377"/>
      <c r="BV100" s="377"/>
      <c r="BW100" s="377"/>
      <c r="BX100" s="377"/>
      <c r="BY100" s="377"/>
      <c r="BZ100" s="377"/>
      <c r="CA100" s="377"/>
      <c r="CB100" s="377"/>
      <c r="CC100" s="377"/>
      <c r="CD100" s="377"/>
      <c r="CE100" s="377"/>
      <c r="CF100" s="377"/>
      <c r="CG100" s="377"/>
      <c r="CH100" s="377"/>
      <c r="CI100" s="377"/>
    </row>
    <row r="101" spans="1:87" ht="63">
      <c r="A101" s="369">
        <f t="shared" ref="A101:B103" si="120">A100+1</f>
        <v>85</v>
      </c>
      <c r="B101" s="416">
        <f t="shared" si="120"/>
        <v>18</v>
      </c>
      <c r="C101" s="409" t="s">
        <v>1206</v>
      </c>
      <c r="D101" s="475" t="s">
        <v>1207</v>
      </c>
      <c r="E101" s="366" t="s">
        <v>998</v>
      </c>
      <c r="F101" s="508" t="s">
        <v>1005</v>
      </c>
      <c r="G101" s="366" t="s">
        <v>1208</v>
      </c>
      <c r="H101" s="371" t="s">
        <v>1435</v>
      </c>
      <c r="I101" s="366">
        <v>17697</v>
      </c>
      <c r="J101" s="367">
        <v>10.82</v>
      </c>
      <c r="K101" s="367">
        <f t="shared" si="100"/>
        <v>191481.54</v>
      </c>
      <c r="L101" s="380"/>
      <c r="M101" s="380"/>
      <c r="N101" s="380"/>
      <c r="O101" s="380"/>
      <c r="P101" s="380">
        <v>21</v>
      </c>
      <c r="Q101" s="368">
        <f t="shared" si="101"/>
        <v>21</v>
      </c>
      <c r="R101" s="380"/>
      <c r="S101" s="380"/>
      <c r="T101" s="380"/>
      <c r="U101" s="380"/>
      <c r="V101" s="380">
        <v>14</v>
      </c>
      <c r="W101" s="381">
        <f t="shared" si="102"/>
        <v>14</v>
      </c>
      <c r="X101" s="370">
        <f t="shared" si="103"/>
        <v>35</v>
      </c>
      <c r="Y101" s="367">
        <f t="shared" si="104"/>
        <v>418865.86875000002</v>
      </c>
      <c r="Z101" s="367">
        <f t="shared" si="105"/>
        <v>41886.586875000008</v>
      </c>
      <c r="AA101" s="366">
        <v>16</v>
      </c>
      <c r="AB101" s="367">
        <f t="shared" si="116"/>
        <v>8848.5</v>
      </c>
      <c r="AC101" s="366">
        <v>12</v>
      </c>
      <c r="AD101" s="367">
        <f t="shared" si="117"/>
        <v>3318.1875</v>
      </c>
      <c r="AE101" s="366"/>
      <c r="AF101" s="366" t="s">
        <v>1209</v>
      </c>
      <c r="AG101" s="367">
        <f>17697*20%</f>
        <v>3539.4</v>
      </c>
      <c r="AH101" s="366"/>
      <c r="AI101" s="367"/>
      <c r="AJ101" s="366">
        <f t="shared" si="118"/>
        <v>35</v>
      </c>
      <c r="AK101" s="367">
        <f t="shared" si="106"/>
        <v>15484.875</v>
      </c>
      <c r="AL101" s="366">
        <f t="shared" si="107"/>
        <v>35</v>
      </c>
      <c r="AM101" s="367">
        <f t="shared" si="108"/>
        <v>125659.760625</v>
      </c>
      <c r="AN101" s="366" t="str">
        <f t="shared" si="119"/>
        <v>Педагог-зерттеуші</v>
      </c>
      <c r="AO101" s="367" t="str">
        <f t="shared" si="109"/>
        <v>0</v>
      </c>
      <c r="AP101" s="367">
        <f t="shared" si="110"/>
        <v>167546.34750000003</v>
      </c>
      <c r="AQ101" s="367" t="str">
        <f t="shared" si="111"/>
        <v>0</v>
      </c>
      <c r="AR101" s="367" t="str">
        <f t="shared" si="112"/>
        <v>0</v>
      </c>
      <c r="AS101" s="366"/>
      <c r="AT101" s="367"/>
      <c r="AU101" s="371"/>
      <c r="AV101" s="367"/>
      <c r="AW101" s="371" t="str">
        <f>G101</f>
        <v>Магистр-лингвистика и препод. англ. яз.</v>
      </c>
      <c r="AX101" s="372">
        <f>10*4325</f>
        <v>43250</v>
      </c>
      <c r="AY101" s="367"/>
      <c r="AZ101" s="367">
        <f t="shared" si="113"/>
        <v>409533.65750000003</v>
      </c>
      <c r="BA101" s="373">
        <f t="shared" si="85"/>
        <v>828399.52625000011</v>
      </c>
      <c r="BB101" s="374">
        <f t="shared" si="90"/>
        <v>82839.95262500002</v>
      </c>
      <c r="BC101" s="374">
        <f t="shared" si="91"/>
        <v>16567.990525000001</v>
      </c>
      <c r="BD101" s="374">
        <f t="shared" si="86"/>
        <v>66844.158310000013</v>
      </c>
      <c r="BE101" s="374">
        <f t="shared" si="92"/>
        <v>662147.42479000008</v>
      </c>
      <c r="BF101" s="374">
        <f t="shared" si="93"/>
        <v>9940794.3150000013</v>
      </c>
      <c r="BG101" s="374">
        <f t="shared" si="87"/>
        <v>837731.73750000005</v>
      </c>
      <c r="BH101" s="374">
        <f t="shared" si="94"/>
        <v>10778526.052500002</v>
      </c>
      <c r="BI101" s="374">
        <f t="shared" si="88"/>
        <v>377248.41183750011</v>
      </c>
      <c r="BJ101" s="374">
        <f t="shared" si="89"/>
        <v>560170.65934200026</v>
      </c>
      <c r="BK101" s="374">
        <f t="shared" si="95"/>
        <v>485033.67236250016</v>
      </c>
      <c r="BL101" s="374">
        <f t="shared" si="96"/>
        <v>323355.78157500003</v>
      </c>
      <c r="BM101" s="373">
        <f t="shared" si="114"/>
        <v>12524334.577617003</v>
      </c>
      <c r="BN101" s="375"/>
      <c r="BO101" s="377"/>
      <c r="BP101" s="377"/>
      <c r="BQ101" s="377"/>
      <c r="BR101" s="377"/>
      <c r="BS101" s="377"/>
      <c r="BT101" s="377"/>
      <c r="BU101" s="377"/>
      <c r="BV101" s="377"/>
      <c r="BW101" s="377"/>
      <c r="BX101" s="377"/>
      <c r="BY101" s="377"/>
      <c r="BZ101" s="377"/>
      <c r="CA101" s="377"/>
      <c r="CB101" s="377"/>
      <c r="CC101" s="377"/>
      <c r="CD101" s="377"/>
      <c r="CE101" s="377"/>
      <c r="CF101" s="377"/>
      <c r="CG101" s="377"/>
      <c r="CH101" s="377"/>
      <c r="CI101" s="377"/>
    </row>
    <row r="102" spans="1:87" ht="90.75" customHeight="1">
      <c r="A102" s="369">
        <f t="shared" si="120"/>
        <v>86</v>
      </c>
      <c r="B102" s="416">
        <f t="shared" si="120"/>
        <v>19</v>
      </c>
      <c r="C102" s="409" t="s">
        <v>1210</v>
      </c>
      <c r="D102" s="475" t="s">
        <v>1211</v>
      </c>
      <c r="E102" s="366" t="s">
        <v>998</v>
      </c>
      <c r="F102" s="1314" t="s">
        <v>254</v>
      </c>
      <c r="G102" s="366"/>
      <c r="H102" s="371" t="s">
        <v>278</v>
      </c>
      <c r="I102" s="366">
        <v>17697</v>
      </c>
      <c r="J102" s="367">
        <v>10</v>
      </c>
      <c r="K102" s="367">
        <f t="shared" si="100"/>
        <v>176970</v>
      </c>
      <c r="L102" s="380"/>
      <c r="M102" s="380"/>
      <c r="N102" s="380"/>
      <c r="O102" s="380"/>
      <c r="P102" s="380">
        <v>21</v>
      </c>
      <c r="Q102" s="368">
        <f t="shared" si="101"/>
        <v>21</v>
      </c>
      <c r="R102" s="380"/>
      <c r="S102" s="380">
        <v>3</v>
      </c>
      <c r="T102" s="380"/>
      <c r="U102" s="380"/>
      <c r="V102" s="380">
        <v>14</v>
      </c>
      <c r="W102" s="381">
        <f t="shared" si="102"/>
        <v>17</v>
      </c>
      <c r="X102" s="370">
        <f t="shared" si="103"/>
        <v>38</v>
      </c>
      <c r="Y102" s="367">
        <f t="shared" si="104"/>
        <v>420303.75</v>
      </c>
      <c r="Z102" s="367">
        <f t="shared" si="105"/>
        <v>42030.375</v>
      </c>
      <c r="AA102" s="393">
        <v>12</v>
      </c>
      <c r="AB102" s="367">
        <f t="shared" si="116"/>
        <v>6636.375</v>
      </c>
      <c r="AC102" s="366">
        <v>16</v>
      </c>
      <c r="AD102" s="367">
        <f t="shared" si="117"/>
        <v>4424.25</v>
      </c>
      <c r="AE102" s="366"/>
      <c r="AF102" s="366"/>
      <c r="AG102" s="367"/>
      <c r="AH102" s="366"/>
      <c r="AI102" s="367"/>
      <c r="AJ102" s="366">
        <f t="shared" si="118"/>
        <v>38</v>
      </c>
      <c r="AK102" s="367">
        <f t="shared" si="106"/>
        <v>16812.150000000001</v>
      </c>
      <c r="AL102" s="366">
        <f t="shared" si="107"/>
        <v>38</v>
      </c>
      <c r="AM102" s="367">
        <f t="shared" si="108"/>
        <v>126091.125</v>
      </c>
      <c r="AN102" s="366" t="str">
        <f t="shared" si="119"/>
        <v>Педагог-модератор</v>
      </c>
      <c r="AO102" s="367" t="str">
        <f t="shared" si="109"/>
        <v>0</v>
      </c>
      <c r="AP102" s="367" t="str">
        <f t="shared" si="110"/>
        <v>0</v>
      </c>
      <c r="AQ102" s="367" t="str">
        <f t="shared" si="111"/>
        <v>0</v>
      </c>
      <c r="AR102" s="367">
        <f t="shared" si="112"/>
        <v>126091.125</v>
      </c>
      <c r="AS102" s="366"/>
      <c r="AT102" s="367"/>
      <c r="AU102" s="371"/>
      <c r="AV102" s="367"/>
      <c r="AW102" s="371"/>
      <c r="AX102" s="372"/>
      <c r="AY102" s="367"/>
      <c r="AZ102" s="367">
        <f t="shared" si="113"/>
        <v>322085.40000000002</v>
      </c>
      <c r="BA102" s="373">
        <f t="shared" si="85"/>
        <v>742389.15</v>
      </c>
      <c r="BB102" s="374">
        <f t="shared" si="90"/>
        <v>74238.915000000008</v>
      </c>
      <c r="BC102" s="374">
        <f t="shared" si="91"/>
        <v>14847.783000000001</v>
      </c>
      <c r="BD102" s="374">
        <f t="shared" si="86"/>
        <v>59275.245199999998</v>
      </c>
      <c r="BE102" s="374">
        <f t="shared" si="92"/>
        <v>594027.20679999993</v>
      </c>
      <c r="BF102" s="374">
        <f t="shared" si="93"/>
        <v>8908669.8000000007</v>
      </c>
      <c r="BG102" s="374">
        <f t="shared" si="87"/>
        <v>840607.5</v>
      </c>
      <c r="BH102" s="374">
        <f t="shared" si="94"/>
        <v>9749277.3000000007</v>
      </c>
      <c r="BI102" s="374">
        <f t="shared" si="88"/>
        <v>341224.70550000004</v>
      </c>
      <c r="BJ102" s="374">
        <f t="shared" si="89"/>
        <v>506861.90064000007</v>
      </c>
      <c r="BK102" s="374">
        <f t="shared" si="95"/>
        <v>438717.47850000003</v>
      </c>
      <c r="BL102" s="374">
        <f t="shared" si="96"/>
        <v>292478.31900000002</v>
      </c>
      <c r="BM102" s="373">
        <f t="shared" si="114"/>
        <v>11328559.703639999</v>
      </c>
      <c r="BN102" s="483"/>
      <c r="BO102" s="481"/>
      <c r="BP102" s="481"/>
      <c r="BQ102" s="481"/>
      <c r="BR102" s="481"/>
      <c r="BS102" s="481"/>
      <c r="BT102" s="481"/>
      <c r="BU102" s="481"/>
      <c r="BV102" s="481"/>
      <c r="BW102" s="481"/>
      <c r="BX102" s="481"/>
      <c r="BY102" s="481"/>
      <c r="BZ102" s="481"/>
      <c r="CA102" s="481"/>
      <c r="CB102" s="481"/>
      <c r="CC102" s="481"/>
      <c r="CD102" s="481"/>
      <c r="CE102" s="481"/>
      <c r="CF102" s="481"/>
      <c r="CG102" s="481"/>
      <c r="CH102" s="481"/>
      <c r="CI102" s="484"/>
    </row>
    <row r="103" spans="1:87" ht="90.75" customHeight="1">
      <c r="A103" s="457">
        <f t="shared" si="120"/>
        <v>87</v>
      </c>
      <c r="B103" s="1321">
        <f t="shared" si="120"/>
        <v>20</v>
      </c>
      <c r="C103" s="697" t="s">
        <v>113</v>
      </c>
      <c r="D103" s="485" t="s">
        <v>1212</v>
      </c>
      <c r="E103" s="452" t="s">
        <v>998</v>
      </c>
      <c r="F103" s="698" t="s">
        <v>999</v>
      </c>
      <c r="G103" s="698" t="s">
        <v>1158</v>
      </c>
      <c r="H103" s="699" t="s">
        <v>273</v>
      </c>
      <c r="I103" s="698">
        <v>17697</v>
      </c>
      <c r="J103" s="700">
        <v>11.4</v>
      </c>
      <c r="K103" s="460">
        <f t="shared" si="100"/>
        <v>201745.80000000002</v>
      </c>
      <c r="L103" s="456"/>
      <c r="M103" s="456"/>
      <c r="N103" s="456"/>
      <c r="O103" s="456">
        <v>3</v>
      </c>
      <c r="P103" s="456"/>
      <c r="Q103" s="486">
        <f t="shared" si="101"/>
        <v>3</v>
      </c>
      <c r="R103" s="456"/>
      <c r="S103" s="456"/>
      <c r="T103" s="456"/>
      <c r="U103" s="456">
        <v>2</v>
      </c>
      <c r="V103" s="456"/>
      <c r="W103" s="487">
        <f t="shared" si="102"/>
        <v>2</v>
      </c>
      <c r="X103" s="370">
        <f t="shared" si="103"/>
        <v>5</v>
      </c>
      <c r="Y103" s="460">
        <f t="shared" si="104"/>
        <v>63045.562500000007</v>
      </c>
      <c r="Z103" s="460">
        <f t="shared" si="105"/>
        <v>6304.5562500000015</v>
      </c>
      <c r="AA103" s="488">
        <v>0</v>
      </c>
      <c r="AB103" s="460">
        <f t="shared" si="116"/>
        <v>0</v>
      </c>
      <c r="AC103" s="458">
        <v>4</v>
      </c>
      <c r="AD103" s="460">
        <f t="shared" si="117"/>
        <v>1106.0625</v>
      </c>
      <c r="AE103" s="458"/>
      <c r="AF103" s="458"/>
      <c r="AG103" s="460"/>
      <c r="AH103" s="458"/>
      <c r="AI103" s="460"/>
      <c r="AJ103" s="458">
        <f t="shared" si="118"/>
        <v>5</v>
      </c>
      <c r="AK103" s="460">
        <f t="shared" si="106"/>
        <v>2212.125</v>
      </c>
      <c r="AL103" s="458">
        <f t="shared" si="107"/>
        <v>5</v>
      </c>
      <c r="AM103" s="460">
        <f t="shared" si="108"/>
        <v>18913.668750000001</v>
      </c>
      <c r="AN103" s="458" t="str">
        <f t="shared" si="119"/>
        <v>Педагог-шебер</v>
      </c>
      <c r="AO103" s="460"/>
      <c r="AP103" s="460" t="str">
        <f t="shared" si="110"/>
        <v>0</v>
      </c>
      <c r="AQ103" s="460" t="str">
        <f t="shared" si="111"/>
        <v>0</v>
      </c>
      <c r="AR103" s="460" t="str">
        <f t="shared" si="112"/>
        <v>0</v>
      </c>
      <c r="AS103" s="458"/>
      <c r="AT103" s="460"/>
      <c r="AU103" s="461"/>
      <c r="AV103" s="460"/>
      <c r="AW103" s="461" t="str">
        <f>G103</f>
        <v>Магистр</v>
      </c>
      <c r="AX103" s="462"/>
      <c r="AY103" s="460"/>
      <c r="AZ103" s="460">
        <f t="shared" si="113"/>
        <v>28536.412500000002</v>
      </c>
      <c r="BA103" s="373">
        <f t="shared" si="85"/>
        <v>91581.975000000006</v>
      </c>
      <c r="BB103" s="374">
        <f t="shared" si="90"/>
        <v>9158.1975000000002</v>
      </c>
      <c r="BC103" s="374">
        <f t="shared" si="91"/>
        <v>1831.6395000000002</v>
      </c>
      <c r="BD103" s="374">
        <f t="shared" si="86"/>
        <v>2004.2138000000007</v>
      </c>
      <c r="BE103" s="374">
        <f t="shared" si="92"/>
        <v>78587.924200000009</v>
      </c>
      <c r="BF103" s="374">
        <f t="shared" si="93"/>
        <v>1098983.7000000002</v>
      </c>
      <c r="BG103" s="374">
        <f t="shared" si="87"/>
        <v>126091.12500000001</v>
      </c>
      <c r="BH103" s="374">
        <f t="shared" si="94"/>
        <v>1225074.8250000002</v>
      </c>
      <c r="BI103" s="374">
        <f t="shared" si="88"/>
        <v>42877.618875000007</v>
      </c>
      <c r="BJ103" s="374">
        <f t="shared" si="89"/>
        <v>63736.276409999991</v>
      </c>
      <c r="BK103" s="374">
        <f t="shared" si="95"/>
        <v>55128.367125000019</v>
      </c>
      <c r="BL103" s="374">
        <f t="shared" si="96"/>
        <v>36752.244750000005</v>
      </c>
      <c r="BM103" s="463">
        <f t="shared" si="114"/>
        <v>1423569.3321600002</v>
      </c>
      <c r="BN103" s="483"/>
      <c r="BO103" s="481"/>
      <c r="BP103" s="481"/>
      <c r="BQ103" s="481"/>
      <c r="BR103" s="481"/>
      <c r="BS103" s="481"/>
      <c r="BT103" s="481"/>
      <c r="BU103" s="481"/>
      <c r="BV103" s="481"/>
      <c r="BW103" s="481"/>
      <c r="BX103" s="481"/>
      <c r="BY103" s="481"/>
      <c r="BZ103" s="481"/>
      <c r="CA103" s="481"/>
      <c r="CB103" s="481"/>
      <c r="CC103" s="481"/>
      <c r="CD103" s="481"/>
      <c r="CE103" s="481"/>
      <c r="CF103" s="481"/>
      <c r="CG103" s="481"/>
      <c r="CH103" s="481"/>
      <c r="CI103" s="484"/>
    </row>
    <row r="104" spans="1:87" ht="20.100000000000001" customHeight="1">
      <c r="A104" s="489"/>
      <c r="B104" s="489"/>
      <c r="C104" s="490" t="s">
        <v>1162</v>
      </c>
      <c r="D104" s="490"/>
      <c r="E104" s="490"/>
      <c r="F104" s="490"/>
      <c r="G104" s="490"/>
      <c r="H104" s="491"/>
      <c r="I104" s="490"/>
      <c r="J104" s="490"/>
      <c r="K104" s="407">
        <f>SUM(K84:K103)</f>
        <v>3737252.46</v>
      </c>
      <c r="L104" s="407">
        <f t="shared" ref="L104:BN104" si="121">SUM(L84:L103)</f>
        <v>60</v>
      </c>
      <c r="M104" s="407">
        <f t="shared" si="121"/>
        <v>60</v>
      </c>
      <c r="N104" s="407">
        <f t="shared" si="121"/>
        <v>54</v>
      </c>
      <c r="O104" s="407">
        <f t="shared" si="121"/>
        <v>54</v>
      </c>
      <c r="P104" s="407">
        <f t="shared" si="121"/>
        <v>54</v>
      </c>
      <c r="Q104" s="407">
        <f t="shared" si="121"/>
        <v>282</v>
      </c>
      <c r="R104" s="407">
        <f t="shared" si="121"/>
        <v>40</v>
      </c>
      <c r="S104" s="407">
        <f t="shared" si="121"/>
        <v>46</v>
      </c>
      <c r="T104" s="407">
        <f t="shared" si="121"/>
        <v>36</v>
      </c>
      <c r="U104" s="407">
        <f t="shared" si="121"/>
        <v>28</v>
      </c>
      <c r="V104" s="407">
        <f t="shared" si="121"/>
        <v>36</v>
      </c>
      <c r="W104" s="407">
        <f t="shared" si="121"/>
        <v>186</v>
      </c>
      <c r="X104" s="407">
        <f t="shared" si="121"/>
        <v>468</v>
      </c>
      <c r="Y104" s="407">
        <f t="shared" si="121"/>
        <v>5385683.7675000001</v>
      </c>
      <c r="Z104" s="407">
        <f t="shared" si="121"/>
        <v>526074.29475</v>
      </c>
      <c r="AA104" s="407">
        <f t="shared" si="121"/>
        <v>237</v>
      </c>
      <c r="AB104" s="407">
        <f t="shared" si="121"/>
        <v>131068.40625</v>
      </c>
      <c r="AC104" s="407">
        <f t="shared" si="121"/>
        <v>195</v>
      </c>
      <c r="AD104" s="407">
        <f t="shared" si="121"/>
        <v>53920.546875</v>
      </c>
      <c r="AE104" s="407">
        <f t="shared" si="121"/>
        <v>196600</v>
      </c>
      <c r="AF104" s="407">
        <v>5</v>
      </c>
      <c r="AG104" s="407">
        <f t="shared" si="121"/>
        <v>17697</v>
      </c>
      <c r="AH104" s="407">
        <v>2</v>
      </c>
      <c r="AI104" s="407">
        <f t="shared" si="121"/>
        <v>70788</v>
      </c>
      <c r="AJ104" s="407">
        <f t="shared" si="121"/>
        <v>468</v>
      </c>
      <c r="AK104" s="407">
        <f t="shared" si="121"/>
        <v>207054.9</v>
      </c>
      <c r="AL104" s="407">
        <f t="shared" si="121"/>
        <v>468</v>
      </c>
      <c r="AM104" s="407">
        <f t="shared" si="121"/>
        <v>1615705.1302500002</v>
      </c>
      <c r="AN104" s="407">
        <f t="shared" si="121"/>
        <v>0</v>
      </c>
      <c r="AO104" s="407">
        <f t="shared" si="121"/>
        <v>0</v>
      </c>
      <c r="AP104" s="407">
        <f t="shared" si="121"/>
        <v>596698.59749999992</v>
      </c>
      <c r="AQ104" s="407">
        <f t="shared" si="121"/>
        <v>330989.203125</v>
      </c>
      <c r="AR104" s="407">
        <f t="shared" si="121"/>
        <v>583257.72600000002</v>
      </c>
      <c r="AS104" s="407">
        <f t="shared" si="121"/>
        <v>0</v>
      </c>
      <c r="AT104" s="407">
        <f t="shared" si="121"/>
        <v>0</v>
      </c>
      <c r="AU104" s="407">
        <f t="shared" si="121"/>
        <v>0</v>
      </c>
      <c r="AV104" s="407">
        <f t="shared" si="121"/>
        <v>0</v>
      </c>
      <c r="AW104" s="407">
        <v>12</v>
      </c>
      <c r="AX104" s="407">
        <f t="shared" si="121"/>
        <v>475750</v>
      </c>
      <c r="AY104" s="407">
        <f t="shared" si="121"/>
        <v>0</v>
      </c>
      <c r="AZ104" s="407">
        <f t="shared" si="121"/>
        <v>4805603.8047500001</v>
      </c>
      <c r="BA104" s="1318">
        <f>SUM(BA84:BA103)</f>
        <v>10191287.572250001</v>
      </c>
      <c r="BB104" s="1318">
        <f t="shared" ref="BB104:BL104" si="122">SUM(BB84:BB103)</f>
        <v>1019128.7572250001</v>
      </c>
      <c r="BC104" s="1318">
        <f t="shared" si="122"/>
        <v>203825.751445</v>
      </c>
      <c r="BD104" s="1318">
        <f t="shared" si="122"/>
        <v>775733.30635799991</v>
      </c>
      <c r="BE104" s="1318">
        <f t="shared" si="122"/>
        <v>8192599.7572219996</v>
      </c>
      <c r="BF104" s="1318">
        <f t="shared" si="122"/>
        <v>122295450.86699998</v>
      </c>
      <c r="BG104" s="1318">
        <f t="shared" si="122"/>
        <v>10771367.535</v>
      </c>
      <c r="BH104" s="1318">
        <f t="shared" si="122"/>
        <v>133066818.40200001</v>
      </c>
      <c r="BI104" s="1318">
        <f t="shared" si="122"/>
        <v>4657338.6440700004</v>
      </c>
      <c r="BJ104" s="1318">
        <f t="shared" si="122"/>
        <v>6916558.2018005997</v>
      </c>
      <c r="BK104" s="1318">
        <f t="shared" si="122"/>
        <v>5988006.8280900009</v>
      </c>
      <c r="BL104" s="1318">
        <f t="shared" si="122"/>
        <v>3992004.5520600001</v>
      </c>
      <c r="BM104" s="1318">
        <f t="shared" si="114"/>
        <v>154620726.62802061</v>
      </c>
      <c r="BN104" s="407">
        <f t="shared" si="121"/>
        <v>2.5</v>
      </c>
      <c r="BO104" s="355"/>
      <c r="BP104" s="355"/>
      <c r="BQ104" s="355"/>
      <c r="BR104" s="355"/>
      <c r="BS104" s="355"/>
      <c r="BT104" s="355"/>
      <c r="BU104" s="355"/>
      <c r="BV104" s="355"/>
      <c r="BW104" s="355"/>
      <c r="BX104" s="355"/>
      <c r="BY104" s="355"/>
      <c r="BZ104" s="355"/>
      <c r="CA104" s="355"/>
      <c r="CB104" s="355"/>
      <c r="CC104" s="355"/>
      <c r="CD104" s="355"/>
      <c r="CE104" s="355"/>
      <c r="CF104" s="355"/>
      <c r="CG104" s="355"/>
      <c r="CH104" s="355"/>
      <c r="CI104" s="356"/>
    </row>
    <row r="105" spans="1:87" ht="20.100000000000001" customHeight="1">
      <c r="A105" s="492"/>
      <c r="B105" s="492"/>
      <c r="C105" s="493" t="s">
        <v>1213</v>
      </c>
      <c r="D105" s="493"/>
      <c r="E105" s="493"/>
      <c r="F105" s="493"/>
      <c r="G105" s="493"/>
      <c r="H105" s="494"/>
      <c r="I105" s="493"/>
      <c r="J105" s="493"/>
      <c r="K105" s="495">
        <f>K45+K65+K83+K104</f>
        <v>16385298.359999999</v>
      </c>
      <c r="L105" s="495">
        <f t="shared" ref="L105:BN105" si="123">L104+L83+L65+L45</f>
        <v>360</v>
      </c>
      <c r="M105" s="495">
        <f t="shared" si="123"/>
        <v>360</v>
      </c>
      <c r="N105" s="495">
        <f t="shared" si="123"/>
        <v>324</v>
      </c>
      <c r="O105" s="495">
        <f t="shared" si="123"/>
        <v>321</v>
      </c>
      <c r="P105" s="495">
        <f t="shared" si="123"/>
        <v>324</v>
      </c>
      <c r="Q105" s="495">
        <f t="shared" si="123"/>
        <v>1689</v>
      </c>
      <c r="R105" s="495">
        <f t="shared" si="123"/>
        <v>125</v>
      </c>
      <c r="S105" s="495">
        <f t="shared" si="123"/>
        <v>119</v>
      </c>
      <c r="T105" s="495">
        <f t="shared" si="123"/>
        <v>115</v>
      </c>
      <c r="U105" s="495">
        <f t="shared" si="123"/>
        <v>132</v>
      </c>
      <c r="V105" s="495">
        <f t="shared" si="123"/>
        <v>73</v>
      </c>
      <c r="W105" s="495">
        <f t="shared" si="123"/>
        <v>564</v>
      </c>
      <c r="X105" s="495">
        <f t="shared" si="123"/>
        <v>2253</v>
      </c>
      <c r="Y105" s="495">
        <f t="shared" si="123"/>
        <v>26406910.368749999</v>
      </c>
      <c r="Z105" s="495">
        <f t="shared" si="123"/>
        <v>2599662.7545000003</v>
      </c>
      <c r="AA105" s="495">
        <f t="shared" si="123"/>
        <v>903</v>
      </c>
      <c r="AB105" s="495">
        <f t="shared" si="123"/>
        <v>425723.45624999999</v>
      </c>
      <c r="AC105" s="495">
        <f t="shared" si="123"/>
        <v>809</v>
      </c>
      <c r="AD105" s="495">
        <f t="shared" si="123"/>
        <v>189745.02187500003</v>
      </c>
      <c r="AE105" s="495">
        <f t="shared" si="123"/>
        <v>589800</v>
      </c>
      <c r="AF105" s="495">
        <f t="shared" si="123"/>
        <v>33</v>
      </c>
      <c r="AG105" s="495">
        <f t="shared" si="123"/>
        <v>116800.20000000001</v>
      </c>
      <c r="AH105" s="495">
        <f t="shared" si="123"/>
        <v>9</v>
      </c>
      <c r="AI105" s="495">
        <f t="shared" si="123"/>
        <v>318546</v>
      </c>
      <c r="AJ105" s="495">
        <f t="shared" si="123"/>
        <v>2253</v>
      </c>
      <c r="AK105" s="495">
        <f t="shared" si="123"/>
        <v>996783.52499999991</v>
      </c>
      <c r="AL105" s="495">
        <f t="shared" si="123"/>
        <v>2253</v>
      </c>
      <c r="AM105" s="495">
        <f t="shared" si="123"/>
        <v>7922073.1106250007</v>
      </c>
      <c r="AN105" s="495">
        <f t="shared" si="123"/>
        <v>0</v>
      </c>
      <c r="AO105" s="495">
        <f t="shared" si="123"/>
        <v>2685752.046875</v>
      </c>
      <c r="AP105" s="495">
        <f t="shared" si="123"/>
        <v>2996128.6455000001</v>
      </c>
      <c r="AQ105" s="495">
        <f t="shared" si="123"/>
        <v>807187.82156249997</v>
      </c>
      <c r="AR105" s="495">
        <f t="shared" si="123"/>
        <v>1677350.4176250002</v>
      </c>
      <c r="AS105" s="495">
        <f t="shared" si="123"/>
        <v>400</v>
      </c>
      <c r="AT105" s="495">
        <f t="shared" si="123"/>
        <v>1730000</v>
      </c>
      <c r="AU105" s="495">
        <f t="shared" si="123"/>
        <v>0</v>
      </c>
      <c r="AV105" s="495">
        <f t="shared" si="123"/>
        <v>0</v>
      </c>
      <c r="AW105" s="495">
        <f>AW45+AW65+AW83+AW104</f>
        <v>45</v>
      </c>
      <c r="AX105" s="495">
        <f t="shared" si="123"/>
        <v>1803525</v>
      </c>
      <c r="AY105" s="495">
        <f t="shared" si="123"/>
        <v>70788</v>
      </c>
      <c r="AZ105" s="495">
        <f t="shared" si="123"/>
        <v>24929865.999812499</v>
      </c>
      <c r="BA105" s="495">
        <f t="shared" si="123"/>
        <v>51336776.368562505</v>
      </c>
      <c r="BB105" s="495">
        <f t="shared" si="123"/>
        <v>5133677.6368562505</v>
      </c>
      <c r="BC105" s="495">
        <f t="shared" si="123"/>
        <v>1026735.5273712501</v>
      </c>
      <c r="BD105" s="495">
        <f t="shared" si="123"/>
        <v>3990851.3204335002</v>
      </c>
      <c r="BE105" s="495">
        <f t="shared" si="123"/>
        <v>41185511.883901507</v>
      </c>
      <c r="BF105" s="495">
        <f t="shared" si="123"/>
        <v>616041316.42275</v>
      </c>
      <c r="BG105" s="495">
        <f t="shared" si="123"/>
        <v>52813820.737499997</v>
      </c>
      <c r="BH105" s="495">
        <f t="shared" si="123"/>
        <v>668855137.16024995</v>
      </c>
      <c r="BI105" s="495">
        <f t="shared" si="123"/>
        <v>23409929.80060875</v>
      </c>
      <c r="BJ105" s="495">
        <f t="shared" si="123"/>
        <v>33524401.910523452</v>
      </c>
      <c r="BK105" s="495">
        <f t="shared" si="123"/>
        <v>30098481.172211256</v>
      </c>
      <c r="BL105" s="495">
        <f t="shared" si="123"/>
        <v>20065654.114807501</v>
      </c>
      <c r="BM105" s="495">
        <f t="shared" si="123"/>
        <v>775953604.15840101</v>
      </c>
      <c r="BN105" s="495">
        <f t="shared" si="123"/>
        <v>8</v>
      </c>
      <c r="BO105" s="355"/>
      <c r="BP105" s="355"/>
      <c r="BQ105" s="355"/>
      <c r="BR105" s="355"/>
      <c r="BS105" s="355"/>
      <c r="BT105" s="355"/>
      <c r="BU105" s="355"/>
      <c r="BV105" s="355"/>
      <c r="BW105" s="355"/>
      <c r="BX105" s="355"/>
      <c r="BY105" s="355"/>
      <c r="BZ105" s="355"/>
      <c r="CA105" s="355"/>
      <c r="CB105" s="355"/>
      <c r="CC105" s="355"/>
      <c r="CD105" s="355"/>
      <c r="CE105" s="355"/>
      <c r="CF105" s="355"/>
      <c r="CG105" s="355"/>
      <c r="CH105" s="355"/>
      <c r="CI105" s="356"/>
    </row>
    <row r="106" spans="1:87" ht="31.5">
      <c r="A106" s="369">
        <f>A103+1</f>
        <v>88</v>
      </c>
      <c r="B106" s="416">
        <v>1</v>
      </c>
      <c r="C106" s="409" t="s">
        <v>1214</v>
      </c>
      <c r="D106" s="412" t="s">
        <v>1215</v>
      </c>
      <c r="E106" s="366" t="s">
        <v>998</v>
      </c>
      <c r="F106" s="508" t="s">
        <v>1005</v>
      </c>
      <c r="G106" s="366"/>
      <c r="H106" s="371" t="s">
        <v>1216</v>
      </c>
      <c r="I106" s="366">
        <v>17697</v>
      </c>
      <c r="J106" s="367">
        <v>11.4</v>
      </c>
      <c r="K106" s="367">
        <f t="shared" ref="K106:K115" si="124">I106*J106</f>
        <v>201745.80000000002</v>
      </c>
      <c r="L106" s="496"/>
      <c r="M106" s="496">
        <v>3</v>
      </c>
      <c r="N106" s="496"/>
      <c r="O106" s="496">
        <v>12</v>
      </c>
      <c r="P106" s="496">
        <v>12</v>
      </c>
      <c r="Q106" s="368">
        <f t="shared" ref="Q106:Q115" si="125">SUM(L106:P106)</f>
        <v>27</v>
      </c>
      <c r="R106" s="496"/>
      <c r="S106" s="496"/>
      <c r="T106" s="496"/>
      <c r="U106" s="496"/>
      <c r="V106" s="496"/>
      <c r="W106" s="381">
        <f t="shared" ref="W106:W115" si="126">SUM(R106:V106)</f>
        <v>0</v>
      </c>
      <c r="X106" s="370">
        <f t="shared" ref="X106:X115" si="127">Q106+W106</f>
        <v>27</v>
      </c>
      <c r="Y106" s="367">
        <f t="shared" ref="Y106:Y115" si="128">K106/16*X106</f>
        <v>340446.03750000003</v>
      </c>
      <c r="Z106" s="367">
        <f t="shared" ref="Z106:Z115" si="129">Y106*10%</f>
        <v>34044.603750000002</v>
      </c>
      <c r="AA106" s="497">
        <v>24</v>
      </c>
      <c r="AB106" s="367">
        <f t="shared" ref="AB106:AB115" si="130">I106/16*AA106*50%</f>
        <v>13272.75</v>
      </c>
      <c r="AC106" s="497">
        <v>3</v>
      </c>
      <c r="AD106" s="367">
        <f t="shared" ref="AD106:AD115" si="131">I106/16*AC106*50%*50%</f>
        <v>829.546875</v>
      </c>
      <c r="AE106" s="366">
        <v>196600</v>
      </c>
      <c r="AF106" s="497"/>
      <c r="AG106" s="367"/>
      <c r="AH106" s="497"/>
      <c r="AI106" s="367"/>
      <c r="AJ106" s="372"/>
      <c r="AK106" s="367"/>
      <c r="AL106" s="366">
        <f t="shared" ref="AL106:AL115" si="132">X106</f>
        <v>27</v>
      </c>
      <c r="AM106" s="367">
        <f t="shared" ref="AM106:AM115" si="133">K106/16*AL106*30%</f>
        <v>102133.81125000001</v>
      </c>
      <c r="AN106" s="366" t="str">
        <f t="shared" ref="AN106:AN115" si="134">F106</f>
        <v>Педагог-зерттеуші</v>
      </c>
      <c r="AO106" s="367" t="str">
        <f t="shared" ref="AO106:AO115" si="135">IF(AN106="Педагог-зерттеуші", "0", IF(AN106="Педагог-шебер",K106/16*X106*50%, IF(AN106="Педагог-сарапшы", "0", IF(AN106="Педагог-модератор", "0", "0"))))</f>
        <v>0</v>
      </c>
      <c r="AP106" s="367">
        <f t="shared" ref="AP106:AP115" si="136">IF(AN106="Педагог-шебер", "0", IF(AN106="Педагог-зерттеуші",K106/16*X106*40%, IF(AN106="Педагог-сарапшы", "0", IF(AN106="Педагог-модератор", "0", "0"))))</f>
        <v>136178.41500000001</v>
      </c>
      <c r="AQ106" s="367" t="str">
        <f t="shared" ref="AQ106:AQ115" si="137">IF(AN106="Педагог-шебер", "0", IF(AN106="Педагог-сарапшы",K106/16*X106*35%, IF(AN106="Педагог-зерттеуші", "0", IF(AN106="Педагог-модератор", "0", "0"))))</f>
        <v>0</v>
      </c>
      <c r="AR106" s="367" t="str">
        <f t="shared" ref="AR106:AR115" si="138">IF(AN106="Педагог-шебер", "0", IF(AN106="Педагог-модератор",K106/16*X106*30%, IF(AN106="Педагог-зерттеуші", "0", IF(AN106="Педагог-сарапшы", "0", "0"))))</f>
        <v>0</v>
      </c>
      <c r="AS106" s="497"/>
      <c r="AT106" s="374"/>
      <c r="AU106" s="499"/>
      <c r="AV106" s="374"/>
      <c r="AW106" s="371"/>
      <c r="AX106" s="367"/>
      <c r="AY106" s="374"/>
      <c r="AZ106" s="367">
        <f t="shared" ref="AZ106:AZ115" si="139">Z106+AB106+AD106+AE106+AG106+AI106+AK106+AM106+AO106+AP106+AQ106++AR106+AT106+AV106+AX106+AY106</f>
        <v>483059.12687500007</v>
      </c>
      <c r="BA106" s="373">
        <f t="shared" si="85"/>
        <v>823505.16437500017</v>
      </c>
      <c r="BB106" s="374">
        <f t="shared" si="90"/>
        <v>82350.516437500017</v>
      </c>
      <c r="BC106" s="374">
        <f t="shared" si="91"/>
        <v>16470.103287500002</v>
      </c>
      <c r="BD106" s="374">
        <f t="shared" si="86"/>
        <v>66413.454465000017</v>
      </c>
      <c r="BE106" s="374">
        <f t="shared" si="92"/>
        <v>658271.0901850001</v>
      </c>
      <c r="BF106" s="374">
        <f t="shared" si="93"/>
        <v>9882061.972500002</v>
      </c>
      <c r="BG106" s="374">
        <f t="shared" si="87"/>
        <v>680892.07500000007</v>
      </c>
      <c r="BH106" s="374">
        <f t="shared" si="94"/>
        <v>10562954.047500001</v>
      </c>
      <c r="BI106" s="374">
        <f t="shared" si="88"/>
        <v>369703.3916625001</v>
      </c>
      <c r="BJ106" s="374">
        <f t="shared" si="89"/>
        <v>548658.98222550005</v>
      </c>
      <c r="BK106" s="374">
        <f t="shared" si="95"/>
        <v>475332.93213750003</v>
      </c>
      <c r="BL106" s="374">
        <f t="shared" si="96"/>
        <v>316888.62142500002</v>
      </c>
      <c r="BM106" s="373">
        <f t="shared" ref="BM106:BM115" si="140">BH106+BJ106+BK106+BL106+BI106</f>
        <v>12273537.974950504</v>
      </c>
      <c r="BN106" s="375"/>
      <c r="BO106" s="376"/>
      <c r="BP106" s="377"/>
      <c r="BQ106" s="377"/>
      <c r="BR106" s="377"/>
      <c r="BS106" s="377"/>
      <c r="BT106" s="377"/>
      <c r="BU106" s="377"/>
      <c r="BV106" s="377"/>
      <c r="BW106" s="377"/>
      <c r="BX106" s="377"/>
      <c r="BY106" s="377"/>
      <c r="BZ106" s="377"/>
      <c r="CA106" s="377"/>
      <c r="CB106" s="377"/>
      <c r="CC106" s="377"/>
      <c r="CD106" s="377"/>
      <c r="CE106" s="377"/>
      <c r="CF106" s="377"/>
      <c r="CG106" s="377"/>
      <c r="CH106" s="377"/>
      <c r="CI106" s="377"/>
    </row>
    <row r="107" spans="1:87" ht="47.25">
      <c r="A107" s="369">
        <f t="shared" ref="A107:B115" si="141">A106+1</f>
        <v>89</v>
      </c>
      <c r="B107" s="416">
        <f t="shared" si="141"/>
        <v>2</v>
      </c>
      <c r="C107" s="409" t="s">
        <v>1217</v>
      </c>
      <c r="D107" s="412" t="s">
        <v>1218</v>
      </c>
      <c r="E107" s="366" t="s">
        <v>998</v>
      </c>
      <c r="F107" s="508" t="s">
        <v>1005</v>
      </c>
      <c r="G107" s="366"/>
      <c r="H107" s="371" t="s">
        <v>1219</v>
      </c>
      <c r="I107" s="366">
        <v>17697</v>
      </c>
      <c r="J107" s="367">
        <v>11.4</v>
      </c>
      <c r="K107" s="367">
        <f t="shared" si="124"/>
        <v>201745.80000000002</v>
      </c>
      <c r="L107" s="496"/>
      <c r="M107" s="496">
        <v>3</v>
      </c>
      <c r="N107" s="496"/>
      <c r="O107" s="496">
        <v>12</v>
      </c>
      <c r="P107" s="496">
        <v>12</v>
      </c>
      <c r="Q107" s="368">
        <f t="shared" si="125"/>
        <v>27</v>
      </c>
      <c r="R107" s="496"/>
      <c r="S107" s="496"/>
      <c r="T107" s="496"/>
      <c r="U107" s="496"/>
      <c r="V107" s="496">
        <v>6</v>
      </c>
      <c r="W107" s="381">
        <f t="shared" si="126"/>
        <v>6</v>
      </c>
      <c r="X107" s="370">
        <f t="shared" si="127"/>
        <v>33</v>
      </c>
      <c r="Y107" s="367">
        <f t="shared" si="128"/>
        <v>416100.71250000002</v>
      </c>
      <c r="Z107" s="367">
        <f t="shared" si="129"/>
        <v>41610.071250000008</v>
      </c>
      <c r="AA107" s="497">
        <v>21</v>
      </c>
      <c r="AB107" s="367">
        <f t="shared" si="130"/>
        <v>11613.65625</v>
      </c>
      <c r="AC107" s="497">
        <v>6</v>
      </c>
      <c r="AD107" s="367">
        <f t="shared" si="131"/>
        <v>1659.09375</v>
      </c>
      <c r="AE107" s="497"/>
      <c r="AF107" s="497"/>
      <c r="AG107" s="367"/>
      <c r="AH107" s="497"/>
      <c r="AI107" s="374"/>
      <c r="AJ107" s="372"/>
      <c r="AK107" s="367"/>
      <c r="AL107" s="366">
        <f t="shared" si="132"/>
        <v>33</v>
      </c>
      <c r="AM107" s="367">
        <f t="shared" si="133"/>
        <v>124830.21375</v>
      </c>
      <c r="AN107" s="366" t="str">
        <f t="shared" si="134"/>
        <v>Педагог-зерттеуші</v>
      </c>
      <c r="AO107" s="367" t="str">
        <f t="shared" si="135"/>
        <v>0</v>
      </c>
      <c r="AP107" s="367">
        <f t="shared" si="136"/>
        <v>166440.28500000003</v>
      </c>
      <c r="AQ107" s="367" t="str">
        <f t="shared" si="137"/>
        <v>0</v>
      </c>
      <c r="AR107" s="367" t="str">
        <f t="shared" si="138"/>
        <v>0</v>
      </c>
      <c r="AS107" s="497"/>
      <c r="AT107" s="374"/>
      <c r="AU107" s="499"/>
      <c r="AV107" s="374"/>
      <c r="AW107" s="371"/>
      <c r="AX107" s="367"/>
      <c r="AY107" s="374"/>
      <c r="AZ107" s="367">
        <f t="shared" si="139"/>
        <v>346153.32000000007</v>
      </c>
      <c r="BA107" s="373">
        <f t="shared" si="85"/>
        <v>762254.03250000009</v>
      </c>
      <c r="BB107" s="374">
        <f t="shared" si="90"/>
        <v>76225.403250000018</v>
      </c>
      <c r="BC107" s="374">
        <f t="shared" si="91"/>
        <v>15245.080650000002</v>
      </c>
      <c r="BD107" s="374">
        <f t="shared" si="86"/>
        <v>61023.354860000014</v>
      </c>
      <c r="BE107" s="374">
        <f t="shared" si="92"/>
        <v>609760.19374000013</v>
      </c>
      <c r="BF107" s="374">
        <f t="shared" si="93"/>
        <v>9147048.3900000006</v>
      </c>
      <c r="BG107" s="374">
        <f t="shared" si="87"/>
        <v>832201.42500000005</v>
      </c>
      <c r="BH107" s="374">
        <f t="shared" si="94"/>
        <v>9979249.8150000013</v>
      </c>
      <c r="BI107" s="374">
        <f t="shared" si="88"/>
        <v>349273.74352500006</v>
      </c>
      <c r="BJ107" s="374">
        <f t="shared" si="89"/>
        <v>518755.98355199996</v>
      </c>
      <c r="BK107" s="374">
        <f t="shared" si="95"/>
        <v>449066.24167500011</v>
      </c>
      <c r="BL107" s="374">
        <f t="shared" si="96"/>
        <v>299377.49445000006</v>
      </c>
      <c r="BM107" s="373">
        <f t="shared" si="140"/>
        <v>11595723.278202001</v>
      </c>
      <c r="BN107" s="375"/>
      <c r="BO107" s="377"/>
      <c r="BP107" s="377"/>
      <c r="BQ107" s="377"/>
      <c r="BR107" s="377"/>
      <c r="BS107" s="377"/>
      <c r="BT107" s="377"/>
      <c r="BU107" s="377"/>
      <c r="BV107" s="377"/>
      <c r="BW107" s="377"/>
      <c r="BX107" s="377"/>
      <c r="BY107" s="377"/>
      <c r="BZ107" s="377"/>
      <c r="CA107" s="377"/>
      <c r="CB107" s="377"/>
      <c r="CC107" s="377"/>
      <c r="CD107" s="377"/>
      <c r="CE107" s="377"/>
      <c r="CF107" s="377"/>
      <c r="CG107" s="377"/>
      <c r="CH107" s="377"/>
      <c r="CI107" s="377"/>
    </row>
    <row r="108" spans="1:87" ht="31.5">
      <c r="A108" s="369">
        <f t="shared" si="141"/>
        <v>90</v>
      </c>
      <c r="B108" s="416">
        <f t="shared" si="141"/>
        <v>3</v>
      </c>
      <c r="C108" s="409" t="s">
        <v>1220</v>
      </c>
      <c r="D108" s="412" t="s">
        <v>1221</v>
      </c>
      <c r="E108" s="366" t="s">
        <v>998</v>
      </c>
      <c r="F108" s="508" t="s">
        <v>1011</v>
      </c>
      <c r="G108" s="500"/>
      <c r="H108" s="371" t="s">
        <v>1222</v>
      </c>
      <c r="I108" s="366">
        <v>17697</v>
      </c>
      <c r="J108" s="367">
        <v>11.4</v>
      </c>
      <c r="K108" s="367">
        <f t="shared" si="124"/>
        <v>201745.80000000002</v>
      </c>
      <c r="L108" s="496">
        <v>15</v>
      </c>
      <c r="M108" s="496">
        <v>3</v>
      </c>
      <c r="N108" s="496"/>
      <c r="O108" s="496"/>
      <c r="P108" s="496"/>
      <c r="Q108" s="368">
        <f t="shared" si="125"/>
        <v>18</v>
      </c>
      <c r="R108" s="496"/>
      <c r="S108" s="496"/>
      <c r="T108" s="496"/>
      <c r="U108" s="496"/>
      <c r="V108" s="496"/>
      <c r="W108" s="381">
        <f t="shared" si="126"/>
        <v>0</v>
      </c>
      <c r="X108" s="370">
        <f t="shared" si="127"/>
        <v>18</v>
      </c>
      <c r="Y108" s="367">
        <f t="shared" si="128"/>
        <v>226964.02500000002</v>
      </c>
      <c r="Z108" s="367">
        <f t="shared" si="129"/>
        <v>22696.402500000004</v>
      </c>
      <c r="AA108" s="497">
        <v>3</v>
      </c>
      <c r="AB108" s="367">
        <f t="shared" si="130"/>
        <v>1659.09375</v>
      </c>
      <c r="AC108" s="497">
        <v>15</v>
      </c>
      <c r="AD108" s="367">
        <f t="shared" si="131"/>
        <v>4147.734375</v>
      </c>
      <c r="AE108" s="497"/>
      <c r="AF108" s="497" t="s">
        <v>1223</v>
      </c>
      <c r="AG108" s="367">
        <f>17697*20%</f>
        <v>3539.4</v>
      </c>
      <c r="AH108" s="497"/>
      <c r="AI108" s="367"/>
      <c r="AJ108" s="372"/>
      <c r="AK108" s="367"/>
      <c r="AL108" s="366">
        <f t="shared" si="132"/>
        <v>18</v>
      </c>
      <c r="AM108" s="367">
        <f t="shared" si="133"/>
        <v>68089.207500000004</v>
      </c>
      <c r="AN108" s="366" t="str">
        <f t="shared" si="134"/>
        <v>Педагог-сарапшы</v>
      </c>
      <c r="AO108" s="367" t="str">
        <f t="shared" si="135"/>
        <v>0</v>
      </c>
      <c r="AP108" s="367" t="str">
        <f t="shared" si="136"/>
        <v>0</v>
      </c>
      <c r="AQ108" s="367">
        <f t="shared" si="137"/>
        <v>79437.408750000002</v>
      </c>
      <c r="AR108" s="367" t="str">
        <f t="shared" si="138"/>
        <v>0</v>
      </c>
      <c r="AS108" s="497"/>
      <c r="AT108" s="374"/>
      <c r="AU108" s="499"/>
      <c r="AV108" s="374"/>
      <c r="AW108" s="371"/>
      <c r="AX108" s="367"/>
      <c r="AY108" s="374"/>
      <c r="AZ108" s="367">
        <f t="shared" si="139"/>
        <v>179569.24687500001</v>
      </c>
      <c r="BA108" s="373">
        <f t="shared" si="85"/>
        <v>406533.27187500003</v>
      </c>
      <c r="BB108" s="374">
        <f t="shared" si="90"/>
        <v>40653.327187500006</v>
      </c>
      <c r="BC108" s="374">
        <f t="shared" si="91"/>
        <v>8130.6654375000007</v>
      </c>
      <c r="BD108" s="374">
        <f t="shared" si="86"/>
        <v>29719.927925000004</v>
      </c>
      <c r="BE108" s="374">
        <f t="shared" si="92"/>
        <v>328029.351325</v>
      </c>
      <c r="BF108" s="374">
        <f t="shared" si="93"/>
        <v>4878399.2625000002</v>
      </c>
      <c r="BG108" s="374">
        <f t="shared" si="87"/>
        <v>453928.05000000005</v>
      </c>
      <c r="BH108" s="374">
        <f t="shared" si="94"/>
        <v>5332327.3125</v>
      </c>
      <c r="BI108" s="374">
        <f t="shared" si="88"/>
        <v>186631.45593750002</v>
      </c>
      <c r="BJ108" s="374">
        <f t="shared" si="89"/>
        <v>277213.1964975</v>
      </c>
      <c r="BK108" s="374">
        <f t="shared" si="95"/>
        <v>239954.7290625</v>
      </c>
      <c r="BL108" s="374">
        <f t="shared" si="96"/>
        <v>159969.81937499999</v>
      </c>
      <c r="BM108" s="373">
        <f t="shared" si="140"/>
        <v>6196096.5133725004</v>
      </c>
      <c r="BN108" s="375"/>
      <c r="BO108" s="377"/>
      <c r="BP108" s="377"/>
      <c r="BQ108" s="377"/>
      <c r="BR108" s="377"/>
      <c r="BS108" s="377"/>
      <c r="BT108" s="377"/>
      <c r="BU108" s="377"/>
      <c r="BV108" s="377"/>
      <c r="BW108" s="377"/>
      <c r="BX108" s="377"/>
      <c r="BY108" s="377"/>
      <c r="BZ108" s="377"/>
      <c r="CA108" s="377"/>
      <c r="CB108" s="377"/>
      <c r="CC108" s="377"/>
      <c r="CD108" s="377"/>
      <c r="CE108" s="377"/>
      <c r="CF108" s="377"/>
      <c r="CG108" s="377"/>
      <c r="CH108" s="377"/>
      <c r="CI108" s="377"/>
    </row>
    <row r="109" spans="1:87" ht="110.25">
      <c r="A109" s="369">
        <f t="shared" si="141"/>
        <v>91</v>
      </c>
      <c r="B109" s="416">
        <f t="shared" si="141"/>
        <v>4</v>
      </c>
      <c r="C109" s="409" t="s">
        <v>1224</v>
      </c>
      <c r="D109" s="412" t="s">
        <v>1225</v>
      </c>
      <c r="E109" s="366" t="s">
        <v>998</v>
      </c>
      <c r="F109" s="508" t="s">
        <v>999</v>
      </c>
      <c r="G109" s="366" t="s">
        <v>1226</v>
      </c>
      <c r="H109" s="371" t="s">
        <v>1227</v>
      </c>
      <c r="I109" s="366">
        <v>17697</v>
      </c>
      <c r="J109" s="367">
        <v>11.4</v>
      </c>
      <c r="K109" s="367">
        <f t="shared" si="124"/>
        <v>201745.80000000002</v>
      </c>
      <c r="L109" s="496">
        <v>20</v>
      </c>
      <c r="M109" s="496"/>
      <c r="N109" s="496"/>
      <c r="O109" s="496">
        <v>9</v>
      </c>
      <c r="P109" s="496"/>
      <c r="Q109" s="368">
        <f t="shared" si="125"/>
        <v>29</v>
      </c>
      <c r="R109" s="496"/>
      <c r="S109" s="496">
        <v>1</v>
      </c>
      <c r="T109" s="496"/>
      <c r="U109" s="496"/>
      <c r="V109" s="496">
        <v>5</v>
      </c>
      <c r="W109" s="381">
        <f t="shared" si="126"/>
        <v>6</v>
      </c>
      <c r="X109" s="370">
        <f t="shared" si="127"/>
        <v>35</v>
      </c>
      <c r="Y109" s="367">
        <f t="shared" si="128"/>
        <v>441318.93750000006</v>
      </c>
      <c r="Z109" s="367">
        <f t="shared" si="129"/>
        <v>44131.89375000001</v>
      </c>
      <c r="AA109" s="501">
        <v>29</v>
      </c>
      <c r="AB109" s="367">
        <f t="shared" si="130"/>
        <v>16037.90625</v>
      </c>
      <c r="AC109" s="497"/>
      <c r="AD109" s="367">
        <f t="shared" si="131"/>
        <v>0</v>
      </c>
      <c r="AE109" s="497"/>
      <c r="AF109" s="497"/>
      <c r="AG109" s="367"/>
      <c r="AH109" s="497" t="s">
        <v>1228</v>
      </c>
      <c r="AI109" s="367">
        <f t="shared" ref="AI109:AI115" si="142">I109*200%</f>
        <v>35394</v>
      </c>
      <c r="AJ109" s="372"/>
      <c r="AK109" s="367"/>
      <c r="AL109" s="366">
        <f t="shared" si="132"/>
        <v>35</v>
      </c>
      <c r="AM109" s="367">
        <f t="shared" si="133"/>
        <v>132395.68125000002</v>
      </c>
      <c r="AN109" s="366" t="str">
        <f t="shared" si="134"/>
        <v>Педагог-шебер</v>
      </c>
      <c r="AO109" s="367">
        <f t="shared" si="135"/>
        <v>220659.46875000003</v>
      </c>
      <c r="AP109" s="367" t="str">
        <f t="shared" si="136"/>
        <v>0</v>
      </c>
      <c r="AQ109" s="367" t="str">
        <f t="shared" si="137"/>
        <v>0</v>
      </c>
      <c r="AR109" s="367" t="str">
        <f t="shared" si="138"/>
        <v>0</v>
      </c>
      <c r="AS109" s="497"/>
      <c r="AT109" s="374"/>
      <c r="AU109" s="499"/>
      <c r="AV109" s="374"/>
      <c r="AW109" s="371" t="str">
        <f>G109</f>
        <v>Магистр-педагогика</v>
      </c>
      <c r="AX109" s="372">
        <f>10*4325</f>
        <v>43250</v>
      </c>
      <c r="AY109" s="374"/>
      <c r="AZ109" s="367">
        <f t="shared" si="139"/>
        <v>491868.95000000007</v>
      </c>
      <c r="BA109" s="373">
        <f t="shared" si="85"/>
        <v>933187.88750000019</v>
      </c>
      <c r="BB109" s="374">
        <f t="shared" si="90"/>
        <v>93318.788750000022</v>
      </c>
      <c r="BC109" s="374">
        <f t="shared" si="91"/>
        <v>18663.757750000004</v>
      </c>
      <c r="BD109" s="374">
        <f t="shared" si="86"/>
        <v>76065.534100000019</v>
      </c>
      <c r="BE109" s="374">
        <f t="shared" si="92"/>
        <v>745139.80690000008</v>
      </c>
      <c r="BF109" s="374">
        <f t="shared" si="93"/>
        <v>11198254.650000002</v>
      </c>
      <c r="BG109" s="374">
        <f t="shared" si="87"/>
        <v>882637.87500000012</v>
      </c>
      <c r="BH109" s="374">
        <f t="shared" si="94"/>
        <v>12080892.525000002</v>
      </c>
      <c r="BI109" s="374">
        <f t="shared" si="88"/>
        <v>422831.23837500013</v>
      </c>
      <c r="BJ109" s="374">
        <f t="shared" si="89"/>
        <v>627732.03612000018</v>
      </c>
      <c r="BK109" s="374">
        <f t="shared" si="95"/>
        <v>543640.16362500016</v>
      </c>
      <c r="BL109" s="374">
        <f t="shared" si="96"/>
        <v>362426.77575000003</v>
      </c>
      <c r="BM109" s="373">
        <f t="shared" si="140"/>
        <v>14037522.738870002</v>
      </c>
      <c r="BN109" s="375"/>
      <c r="BO109" s="377"/>
      <c r="BP109" s="377"/>
      <c r="BQ109" s="377"/>
      <c r="BR109" s="377"/>
      <c r="BS109" s="377"/>
      <c r="BT109" s="377"/>
      <c r="BU109" s="377"/>
      <c r="BV109" s="377"/>
      <c r="BW109" s="377"/>
      <c r="BX109" s="377"/>
      <c r="BY109" s="377"/>
      <c r="BZ109" s="377"/>
      <c r="CA109" s="377"/>
      <c r="CB109" s="377"/>
      <c r="CC109" s="377"/>
      <c r="CD109" s="377"/>
      <c r="CE109" s="377"/>
      <c r="CF109" s="377"/>
      <c r="CG109" s="377"/>
      <c r="CH109" s="377"/>
      <c r="CI109" s="377"/>
    </row>
    <row r="110" spans="1:87" ht="30">
      <c r="A110" s="369">
        <f t="shared" si="141"/>
        <v>92</v>
      </c>
      <c r="B110" s="416">
        <f t="shared" si="141"/>
        <v>5</v>
      </c>
      <c r="C110" s="409" t="s">
        <v>511</v>
      </c>
      <c r="D110" s="412" t="s">
        <v>1229</v>
      </c>
      <c r="E110" s="366" t="s">
        <v>998</v>
      </c>
      <c r="F110" s="508" t="s">
        <v>1005</v>
      </c>
      <c r="G110" s="366"/>
      <c r="H110" s="371" t="s">
        <v>1436</v>
      </c>
      <c r="I110" s="366">
        <v>17697</v>
      </c>
      <c r="J110" s="367">
        <v>11.18</v>
      </c>
      <c r="K110" s="367">
        <f t="shared" si="124"/>
        <v>197852.46</v>
      </c>
      <c r="L110" s="496"/>
      <c r="M110" s="496">
        <v>6</v>
      </c>
      <c r="N110" s="496"/>
      <c r="O110" s="496"/>
      <c r="P110" s="496"/>
      <c r="Q110" s="368">
        <f t="shared" si="125"/>
        <v>6</v>
      </c>
      <c r="R110" s="496"/>
      <c r="S110" s="496"/>
      <c r="T110" s="496"/>
      <c r="U110" s="496"/>
      <c r="V110" s="496"/>
      <c r="W110" s="381">
        <f t="shared" si="126"/>
        <v>0</v>
      </c>
      <c r="X110" s="370">
        <f t="shared" si="127"/>
        <v>6</v>
      </c>
      <c r="Y110" s="367">
        <f t="shared" si="128"/>
        <v>74194.672500000001</v>
      </c>
      <c r="Z110" s="367"/>
      <c r="AA110" s="497">
        <v>3</v>
      </c>
      <c r="AB110" s="367">
        <f t="shared" si="130"/>
        <v>1659.09375</v>
      </c>
      <c r="AC110" s="497">
        <v>3</v>
      </c>
      <c r="AD110" s="367">
        <f t="shared" si="131"/>
        <v>829.546875</v>
      </c>
      <c r="AE110" s="497"/>
      <c r="AF110" s="497"/>
      <c r="AG110" s="367"/>
      <c r="AH110" s="501" t="s">
        <v>1230</v>
      </c>
      <c r="AI110" s="479">
        <f t="shared" si="142"/>
        <v>35394</v>
      </c>
      <c r="AJ110" s="372"/>
      <c r="AK110" s="367"/>
      <c r="AL110" s="366">
        <f t="shared" si="132"/>
        <v>6</v>
      </c>
      <c r="AM110" s="367">
        <f t="shared" si="133"/>
        <v>22258.401750000001</v>
      </c>
      <c r="AN110" s="366" t="str">
        <f t="shared" si="134"/>
        <v>Педагог-зерттеуші</v>
      </c>
      <c r="AO110" s="367" t="str">
        <f t="shared" si="135"/>
        <v>0</v>
      </c>
      <c r="AP110" s="367">
        <f t="shared" si="136"/>
        <v>29677.869000000002</v>
      </c>
      <c r="AQ110" s="367" t="str">
        <f t="shared" si="137"/>
        <v>0</v>
      </c>
      <c r="AR110" s="367" t="str">
        <f t="shared" si="138"/>
        <v>0</v>
      </c>
      <c r="AS110" s="497"/>
      <c r="AT110" s="374"/>
      <c r="AU110" s="499"/>
      <c r="AV110" s="374"/>
      <c r="AW110" s="371"/>
      <c r="AX110" s="367"/>
      <c r="AY110" s="374"/>
      <c r="AZ110" s="367">
        <f t="shared" si="139"/>
        <v>89818.911375000011</v>
      </c>
      <c r="BA110" s="373">
        <f t="shared" si="85"/>
        <v>164013.58387500001</v>
      </c>
      <c r="BB110" s="374">
        <f t="shared" si="90"/>
        <v>16401.3583875</v>
      </c>
      <c r="BC110" s="374">
        <f t="shared" si="91"/>
        <v>3280.2716775000004</v>
      </c>
      <c r="BD110" s="374">
        <f t="shared" si="86"/>
        <v>8378.1953810000032</v>
      </c>
      <c r="BE110" s="374">
        <f t="shared" si="92"/>
        <v>135953.75842900004</v>
      </c>
      <c r="BF110" s="374">
        <f t="shared" si="93"/>
        <v>1968163.0065000001</v>
      </c>
      <c r="BG110" s="374">
        <f t="shared" si="87"/>
        <v>148389.345</v>
      </c>
      <c r="BH110" s="374">
        <f t="shared" si="94"/>
        <v>2116552.3515000003</v>
      </c>
      <c r="BI110" s="374">
        <f t="shared" si="88"/>
        <v>74079.332302500014</v>
      </c>
      <c r="BJ110" s="374">
        <f t="shared" si="89"/>
        <v>109963.8683667</v>
      </c>
      <c r="BK110" s="374">
        <f t="shared" si="95"/>
        <v>95244.855817500022</v>
      </c>
      <c r="BL110" s="374">
        <f t="shared" si="96"/>
        <v>63496.57054500001</v>
      </c>
      <c r="BM110" s="373">
        <f t="shared" si="140"/>
        <v>2459336.9785317006</v>
      </c>
      <c r="BN110" s="375">
        <v>1</v>
      </c>
      <c r="BO110" s="377"/>
      <c r="BP110" s="377"/>
      <c r="BQ110" s="377"/>
      <c r="BR110" s="377"/>
      <c r="BS110" s="377"/>
      <c r="BT110" s="377"/>
      <c r="BU110" s="377"/>
      <c r="BV110" s="377"/>
      <c r="BW110" s="377"/>
      <c r="BX110" s="377"/>
      <c r="BY110" s="377"/>
      <c r="BZ110" s="377"/>
      <c r="CA110" s="377"/>
      <c r="CB110" s="377"/>
      <c r="CC110" s="377"/>
      <c r="CD110" s="377"/>
      <c r="CE110" s="377"/>
      <c r="CF110" s="377"/>
      <c r="CG110" s="377"/>
      <c r="CH110" s="377"/>
      <c r="CI110" s="377"/>
    </row>
    <row r="111" spans="1:87" ht="47.25">
      <c r="A111" s="369">
        <f t="shared" si="141"/>
        <v>93</v>
      </c>
      <c r="B111" s="416">
        <f t="shared" si="141"/>
        <v>6</v>
      </c>
      <c r="C111" s="409" t="s">
        <v>1231</v>
      </c>
      <c r="D111" s="412" t="s">
        <v>1232</v>
      </c>
      <c r="E111" s="366" t="s">
        <v>998</v>
      </c>
      <c r="F111" s="366"/>
      <c r="G111" s="366"/>
      <c r="H111" s="371" t="s">
        <v>1437</v>
      </c>
      <c r="I111" s="366">
        <v>17697</v>
      </c>
      <c r="J111" s="367">
        <v>9.66</v>
      </c>
      <c r="K111" s="367">
        <f t="shared" si="124"/>
        <v>170953.02</v>
      </c>
      <c r="L111" s="496"/>
      <c r="M111" s="496">
        <v>7</v>
      </c>
      <c r="N111" s="496">
        <v>3</v>
      </c>
      <c r="O111" s="496">
        <v>6</v>
      </c>
      <c r="P111" s="496"/>
      <c r="Q111" s="368">
        <f t="shared" si="125"/>
        <v>16</v>
      </c>
      <c r="R111" s="496"/>
      <c r="S111" s="496"/>
      <c r="T111" s="496"/>
      <c r="U111" s="496"/>
      <c r="V111" s="496"/>
      <c r="W111" s="381">
        <f t="shared" si="126"/>
        <v>0</v>
      </c>
      <c r="X111" s="370">
        <f t="shared" si="127"/>
        <v>16</v>
      </c>
      <c r="Y111" s="367">
        <f t="shared" si="128"/>
        <v>170953.02</v>
      </c>
      <c r="Z111" s="367">
        <f t="shared" si="129"/>
        <v>17095.302</v>
      </c>
      <c r="AA111" s="497">
        <v>16</v>
      </c>
      <c r="AB111" s="367">
        <f t="shared" si="130"/>
        <v>8848.5</v>
      </c>
      <c r="AC111" s="497"/>
      <c r="AD111" s="367">
        <f t="shared" si="131"/>
        <v>0</v>
      </c>
      <c r="AE111" s="497"/>
      <c r="AF111" s="497"/>
      <c r="AG111" s="367"/>
      <c r="AH111" s="501"/>
      <c r="AI111" s="479"/>
      <c r="AJ111" s="372"/>
      <c r="AK111" s="367"/>
      <c r="AL111" s="366">
        <f t="shared" si="132"/>
        <v>16</v>
      </c>
      <c r="AM111" s="367">
        <f t="shared" si="133"/>
        <v>51285.905999999995</v>
      </c>
      <c r="AN111" s="366">
        <f t="shared" si="134"/>
        <v>0</v>
      </c>
      <c r="AO111" s="367" t="str">
        <f t="shared" si="135"/>
        <v>0</v>
      </c>
      <c r="AP111" s="367" t="str">
        <f t="shared" si="136"/>
        <v>0</v>
      </c>
      <c r="AQ111" s="367" t="str">
        <f t="shared" si="137"/>
        <v>0</v>
      </c>
      <c r="AR111" s="367" t="str">
        <f t="shared" si="138"/>
        <v>0</v>
      </c>
      <c r="AS111" s="497"/>
      <c r="AT111" s="374"/>
      <c r="AU111" s="499"/>
      <c r="AV111" s="374"/>
      <c r="AW111" s="371"/>
      <c r="AX111" s="367"/>
      <c r="AY111" s="374"/>
      <c r="AZ111" s="367">
        <f t="shared" si="139"/>
        <v>77229.707999999999</v>
      </c>
      <c r="BA111" s="373">
        <f t="shared" si="85"/>
        <v>248182.728</v>
      </c>
      <c r="BB111" s="374">
        <f t="shared" si="90"/>
        <v>24818.272800000002</v>
      </c>
      <c r="BC111" s="374">
        <f t="shared" si="91"/>
        <v>4963.6545599999999</v>
      </c>
      <c r="BD111" s="374">
        <f t="shared" si="86"/>
        <v>15785.080064000002</v>
      </c>
      <c r="BE111" s="374">
        <f t="shared" si="92"/>
        <v>202615.72057599999</v>
      </c>
      <c r="BF111" s="374">
        <f t="shared" si="93"/>
        <v>2978192.736</v>
      </c>
      <c r="BG111" s="374">
        <f t="shared" si="87"/>
        <v>341906.04</v>
      </c>
      <c r="BH111" s="374">
        <f t="shared" si="94"/>
        <v>3320098.7760000001</v>
      </c>
      <c r="BI111" s="374">
        <f t="shared" si="88"/>
        <v>116203.45716000002</v>
      </c>
      <c r="BJ111" s="374">
        <f t="shared" si="89"/>
        <v>172733.30988480002</v>
      </c>
      <c r="BK111" s="374">
        <f t="shared" si="95"/>
        <v>149404.44492000001</v>
      </c>
      <c r="BL111" s="374">
        <f t="shared" si="96"/>
        <v>99602.963279999996</v>
      </c>
      <c r="BM111" s="373">
        <f t="shared" si="140"/>
        <v>3858042.9512448004</v>
      </c>
      <c r="BN111" s="375"/>
      <c r="BO111" s="377"/>
      <c r="BP111" s="377"/>
      <c r="BQ111" s="377"/>
      <c r="BR111" s="377"/>
      <c r="BS111" s="377"/>
      <c r="BT111" s="377"/>
      <c r="BU111" s="377"/>
      <c r="BV111" s="377"/>
      <c r="BW111" s="377"/>
      <c r="BX111" s="377"/>
      <c r="BY111" s="377"/>
      <c r="BZ111" s="377"/>
      <c r="CA111" s="377"/>
      <c r="CB111" s="377"/>
      <c r="CC111" s="377"/>
      <c r="CD111" s="377"/>
      <c r="CE111" s="377"/>
      <c r="CF111" s="377"/>
      <c r="CG111" s="377"/>
      <c r="CH111" s="377"/>
      <c r="CI111" s="377"/>
    </row>
    <row r="112" spans="1:87" ht="31.5">
      <c r="A112" s="369">
        <f t="shared" si="141"/>
        <v>94</v>
      </c>
      <c r="B112" s="416">
        <f t="shared" si="141"/>
        <v>7</v>
      </c>
      <c r="C112" s="409" t="s">
        <v>1233</v>
      </c>
      <c r="D112" s="502" t="s">
        <v>1234</v>
      </c>
      <c r="E112" s="366" t="s">
        <v>998</v>
      </c>
      <c r="F112" s="508" t="s">
        <v>1005</v>
      </c>
      <c r="G112" s="366"/>
      <c r="H112" s="371" t="s">
        <v>1438</v>
      </c>
      <c r="I112" s="366">
        <v>17697</v>
      </c>
      <c r="J112" s="367">
        <v>11.18</v>
      </c>
      <c r="K112" s="367">
        <f t="shared" si="124"/>
        <v>197852.46</v>
      </c>
      <c r="L112" s="496">
        <v>15</v>
      </c>
      <c r="M112" s="496"/>
      <c r="N112" s="496">
        <v>12</v>
      </c>
      <c r="O112" s="496"/>
      <c r="P112" s="496"/>
      <c r="Q112" s="368">
        <f t="shared" si="125"/>
        <v>27</v>
      </c>
      <c r="R112" s="496"/>
      <c r="S112" s="496"/>
      <c r="T112" s="496"/>
      <c r="U112" s="496"/>
      <c r="V112" s="496"/>
      <c r="W112" s="381">
        <f t="shared" si="126"/>
        <v>0</v>
      </c>
      <c r="X112" s="370">
        <f t="shared" si="127"/>
        <v>27</v>
      </c>
      <c r="Y112" s="367">
        <f t="shared" si="128"/>
        <v>333876.02625</v>
      </c>
      <c r="Z112" s="367">
        <f t="shared" si="129"/>
        <v>33387.602625</v>
      </c>
      <c r="AA112" s="497">
        <v>12</v>
      </c>
      <c r="AB112" s="367">
        <f t="shared" si="130"/>
        <v>6636.375</v>
      </c>
      <c r="AC112" s="497">
        <v>15</v>
      </c>
      <c r="AD112" s="367">
        <f t="shared" si="131"/>
        <v>4147.734375</v>
      </c>
      <c r="AE112" s="497"/>
      <c r="AF112" s="497" t="s">
        <v>1235</v>
      </c>
      <c r="AG112" s="367">
        <f>17697*20%</f>
        <v>3539.4</v>
      </c>
      <c r="AH112" s="497" t="s">
        <v>545</v>
      </c>
      <c r="AI112" s="479">
        <f t="shared" si="142"/>
        <v>35394</v>
      </c>
      <c r="AJ112" s="372"/>
      <c r="AK112" s="367"/>
      <c r="AL112" s="366">
        <f t="shared" si="132"/>
        <v>27</v>
      </c>
      <c r="AM112" s="367">
        <f t="shared" si="133"/>
        <v>100162.807875</v>
      </c>
      <c r="AN112" s="366" t="str">
        <f t="shared" si="134"/>
        <v>Педагог-зерттеуші</v>
      </c>
      <c r="AO112" s="367" t="str">
        <f t="shared" si="135"/>
        <v>0</v>
      </c>
      <c r="AP112" s="367">
        <f t="shared" si="136"/>
        <v>133550.4105</v>
      </c>
      <c r="AQ112" s="367" t="str">
        <f t="shared" si="137"/>
        <v>0</v>
      </c>
      <c r="AR112" s="367" t="str">
        <f t="shared" si="138"/>
        <v>0</v>
      </c>
      <c r="AS112" s="497"/>
      <c r="AT112" s="374"/>
      <c r="AU112" s="499"/>
      <c r="AV112" s="374"/>
      <c r="AW112" s="371"/>
      <c r="AX112" s="367"/>
      <c r="AY112" s="374"/>
      <c r="AZ112" s="367">
        <f t="shared" si="139"/>
        <v>316818.33037500002</v>
      </c>
      <c r="BA112" s="373">
        <f t="shared" si="85"/>
        <v>650694.35662500001</v>
      </c>
      <c r="BB112" s="374">
        <f t="shared" si="90"/>
        <v>65069.435662500007</v>
      </c>
      <c r="BC112" s="374">
        <f t="shared" si="91"/>
        <v>13013.8871325</v>
      </c>
      <c r="BD112" s="374">
        <f t="shared" si="86"/>
        <v>51206.103383000009</v>
      </c>
      <c r="BE112" s="374">
        <f t="shared" si="92"/>
        <v>521404.93044700008</v>
      </c>
      <c r="BF112" s="374">
        <f t="shared" si="93"/>
        <v>7808332.2795000002</v>
      </c>
      <c r="BG112" s="374">
        <f t="shared" si="87"/>
        <v>667752.05249999999</v>
      </c>
      <c r="BH112" s="374">
        <f t="shared" si="94"/>
        <v>8476084.3320000004</v>
      </c>
      <c r="BI112" s="374">
        <f t="shared" si="88"/>
        <v>296662.95162000007</v>
      </c>
      <c r="BJ112" s="374">
        <f t="shared" si="89"/>
        <v>440530.22291310003</v>
      </c>
      <c r="BK112" s="374">
        <f t="shared" si="95"/>
        <v>381423.79494000005</v>
      </c>
      <c r="BL112" s="374">
        <f t="shared" si="96"/>
        <v>254282.52996000001</v>
      </c>
      <c r="BM112" s="373">
        <f t="shared" si="140"/>
        <v>9848983.8314331006</v>
      </c>
      <c r="BN112" s="375"/>
      <c r="BO112" s="377"/>
      <c r="BP112" s="377"/>
      <c r="BQ112" s="377"/>
      <c r="BR112" s="377"/>
      <c r="BS112" s="377"/>
      <c r="BT112" s="377"/>
      <c r="BU112" s="377"/>
      <c r="BV112" s="377"/>
      <c r="BW112" s="377"/>
      <c r="BX112" s="377"/>
      <c r="BY112" s="377"/>
      <c r="BZ112" s="377"/>
      <c r="CA112" s="377"/>
      <c r="CB112" s="377"/>
      <c r="CC112" s="377"/>
      <c r="CD112" s="377"/>
      <c r="CE112" s="377"/>
      <c r="CF112" s="377"/>
      <c r="CG112" s="377"/>
      <c r="CH112" s="377"/>
      <c r="CI112" s="377"/>
    </row>
    <row r="113" spans="1:87" ht="45">
      <c r="A113" s="369">
        <f t="shared" si="141"/>
        <v>95</v>
      </c>
      <c r="B113" s="416">
        <f t="shared" si="141"/>
        <v>8</v>
      </c>
      <c r="C113" s="503" t="s">
        <v>904</v>
      </c>
      <c r="D113" s="502" t="s">
        <v>1236</v>
      </c>
      <c r="E113" s="366" t="s">
        <v>998</v>
      </c>
      <c r="F113" s="1314" t="s">
        <v>254</v>
      </c>
      <c r="G113" s="366" t="s">
        <v>1237</v>
      </c>
      <c r="H113" s="504" t="s">
        <v>1439</v>
      </c>
      <c r="I113" s="366">
        <v>17697</v>
      </c>
      <c r="J113" s="367">
        <v>10</v>
      </c>
      <c r="K113" s="367">
        <f t="shared" si="124"/>
        <v>176970</v>
      </c>
      <c r="L113" s="496"/>
      <c r="M113" s="496">
        <v>12</v>
      </c>
      <c r="N113" s="496">
        <v>12</v>
      </c>
      <c r="O113" s="496"/>
      <c r="P113" s="496"/>
      <c r="Q113" s="368">
        <f t="shared" si="125"/>
        <v>24</v>
      </c>
      <c r="R113" s="496"/>
      <c r="S113" s="496"/>
      <c r="T113" s="496"/>
      <c r="U113" s="496"/>
      <c r="V113" s="496"/>
      <c r="W113" s="381">
        <f t="shared" si="126"/>
        <v>0</v>
      </c>
      <c r="X113" s="370">
        <f t="shared" si="127"/>
        <v>24</v>
      </c>
      <c r="Y113" s="367">
        <f t="shared" si="128"/>
        <v>265455</v>
      </c>
      <c r="Z113" s="367">
        <f t="shared" si="129"/>
        <v>26545.5</v>
      </c>
      <c r="AA113" s="497">
        <v>21</v>
      </c>
      <c r="AB113" s="367">
        <f t="shared" si="130"/>
        <v>11613.65625</v>
      </c>
      <c r="AC113" s="497">
        <v>3</v>
      </c>
      <c r="AD113" s="367">
        <f t="shared" si="131"/>
        <v>829.546875</v>
      </c>
      <c r="AE113" s="497"/>
      <c r="AF113" s="497"/>
      <c r="AG113" s="367"/>
      <c r="AH113" s="497" t="s">
        <v>115</v>
      </c>
      <c r="AI113" s="479">
        <f t="shared" si="142"/>
        <v>35394</v>
      </c>
      <c r="AJ113" s="372"/>
      <c r="AK113" s="367"/>
      <c r="AL113" s="366">
        <f t="shared" si="132"/>
        <v>24</v>
      </c>
      <c r="AM113" s="367">
        <f t="shared" si="133"/>
        <v>79636.5</v>
      </c>
      <c r="AN113" s="366" t="str">
        <f t="shared" si="134"/>
        <v>Педагог-модератор</v>
      </c>
      <c r="AO113" s="367" t="str">
        <f t="shared" si="135"/>
        <v>0</v>
      </c>
      <c r="AP113" s="367" t="str">
        <f t="shared" si="136"/>
        <v>0</v>
      </c>
      <c r="AQ113" s="367" t="str">
        <f t="shared" si="137"/>
        <v>0</v>
      </c>
      <c r="AR113" s="367">
        <f t="shared" si="138"/>
        <v>79636.5</v>
      </c>
      <c r="AS113" s="497"/>
      <c r="AT113" s="374"/>
      <c r="AU113" s="499"/>
      <c r="AV113" s="374"/>
      <c r="AW113" s="371" t="str">
        <f>G113</f>
        <v>Магистр каз.филологии</v>
      </c>
      <c r="AX113" s="372">
        <f>10*4325</f>
        <v>43250</v>
      </c>
      <c r="AY113" s="374"/>
      <c r="AZ113" s="367">
        <f t="shared" si="139"/>
        <v>276905.703125</v>
      </c>
      <c r="BA113" s="373">
        <f t="shared" si="85"/>
        <v>542360.703125</v>
      </c>
      <c r="BB113" s="374">
        <f t="shared" si="90"/>
        <v>54236.0703125</v>
      </c>
      <c r="BC113" s="374">
        <f t="shared" si="91"/>
        <v>10847.214062500001</v>
      </c>
      <c r="BD113" s="374">
        <f t="shared" si="86"/>
        <v>41672.741875000007</v>
      </c>
      <c r="BE113" s="374">
        <f t="shared" si="92"/>
        <v>435604.676875</v>
      </c>
      <c r="BF113" s="374">
        <f t="shared" si="93"/>
        <v>6508328.4375</v>
      </c>
      <c r="BG113" s="374">
        <f t="shared" si="87"/>
        <v>530910</v>
      </c>
      <c r="BH113" s="374">
        <f t="shared" si="94"/>
        <v>7039238.4375</v>
      </c>
      <c r="BI113" s="374">
        <f t="shared" si="88"/>
        <v>246373.34531250002</v>
      </c>
      <c r="BJ113" s="374">
        <f t="shared" si="89"/>
        <v>365800.55306249997</v>
      </c>
      <c r="BK113" s="374">
        <f t="shared" si="95"/>
        <v>316765.72968750005</v>
      </c>
      <c r="BL113" s="374">
        <f t="shared" si="96"/>
        <v>211177.15312499998</v>
      </c>
      <c r="BM113" s="373">
        <f t="shared" si="140"/>
        <v>8179355.2186875008</v>
      </c>
      <c r="BN113" s="375"/>
      <c r="BO113" s="377"/>
      <c r="BP113" s="377"/>
      <c r="BQ113" s="377"/>
      <c r="BR113" s="377"/>
      <c r="BS113" s="377"/>
      <c r="BT113" s="377"/>
      <c r="BU113" s="377"/>
      <c r="BV113" s="377"/>
      <c r="BW113" s="377"/>
      <c r="BX113" s="377"/>
      <c r="BY113" s="377"/>
      <c r="BZ113" s="377"/>
      <c r="CA113" s="377"/>
      <c r="CB113" s="377"/>
      <c r="CC113" s="377"/>
      <c r="CD113" s="377"/>
      <c r="CE113" s="377"/>
      <c r="CF113" s="377"/>
      <c r="CG113" s="377"/>
      <c r="CH113" s="377"/>
      <c r="CI113" s="377"/>
    </row>
    <row r="114" spans="1:87" ht="31.5">
      <c r="A114" s="369">
        <f t="shared" si="141"/>
        <v>96</v>
      </c>
      <c r="B114" s="416">
        <f t="shared" si="141"/>
        <v>9</v>
      </c>
      <c r="C114" s="409" t="s">
        <v>1238</v>
      </c>
      <c r="D114" s="475" t="s">
        <v>1239</v>
      </c>
      <c r="E114" s="366" t="s">
        <v>998</v>
      </c>
      <c r="F114" s="508" t="s">
        <v>1005</v>
      </c>
      <c r="G114" s="366"/>
      <c r="H114" s="371" t="s">
        <v>1240</v>
      </c>
      <c r="I114" s="366">
        <v>17697</v>
      </c>
      <c r="J114" s="367">
        <v>11.4</v>
      </c>
      <c r="K114" s="367">
        <f t="shared" si="124"/>
        <v>201745.80000000002</v>
      </c>
      <c r="L114" s="496"/>
      <c r="M114" s="496">
        <v>16</v>
      </c>
      <c r="N114" s="496"/>
      <c r="O114" s="496"/>
      <c r="P114" s="496"/>
      <c r="Q114" s="368">
        <f t="shared" si="125"/>
        <v>16</v>
      </c>
      <c r="R114" s="496"/>
      <c r="S114" s="496"/>
      <c r="T114" s="496"/>
      <c r="U114" s="496"/>
      <c r="V114" s="496"/>
      <c r="W114" s="381">
        <f t="shared" si="126"/>
        <v>0</v>
      </c>
      <c r="X114" s="370">
        <f t="shared" si="127"/>
        <v>16</v>
      </c>
      <c r="Y114" s="367">
        <f t="shared" si="128"/>
        <v>201745.80000000002</v>
      </c>
      <c r="Z114" s="367">
        <f t="shared" si="129"/>
        <v>20174.580000000002</v>
      </c>
      <c r="AA114" s="497">
        <v>16</v>
      </c>
      <c r="AB114" s="367">
        <f t="shared" si="130"/>
        <v>8848.5</v>
      </c>
      <c r="AC114" s="497"/>
      <c r="AD114" s="367">
        <f t="shared" si="131"/>
        <v>0</v>
      </c>
      <c r="AE114" s="497"/>
      <c r="AF114" s="497" t="s">
        <v>1241</v>
      </c>
      <c r="AG114" s="367">
        <f>17697*20%</f>
        <v>3539.4</v>
      </c>
      <c r="AH114" s="497" t="s">
        <v>117</v>
      </c>
      <c r="AI114" s="479">
        <f t="shared" si="142"/>
        <v>35394</v>
      </c>
      <c r="AJ114" s="372"/>
      <c r="AK114" s="367"/>
      <c r="AL114" s="366">
        <f t="shared" si="132"/>
        <v>16</v>
      </c>
      <c r="AM114" s="367">
        <f t="shared" si="133"/>
        <v>60523.740000000005</v>
      </c>
      <c r="AN114" s="366" t="str">
        <f t="shared" si="134"/>
        <v>Педагог-зерттеуші</v>
      </c>
      <c r="AO114" s="367" t="str">
        <f t="shared" si="135"/>
        <v>0</v>
      </c>
      <c r="AP114" s="367">
        <f t="shared" si="136"/>
        <v>80698.320000000007</v>
      </c>
      <c r="AQ114" s="367" t="str">
        <f t="shared" si="137"/>
        <v>0</v>
      </c>
      <c r="AR114" s="367" t="str">
        <f t="shared" si="138"/>
        <v>0</v>
      </c>
      <c r="AS114" s="497"/>
      <c r="AT114" s="374"/>
      <c r="AU114" s="499"/>
      <c r="AV114" s="374"/>
      <c r="AW114" s="371"/>
      <c r="AX114" s="372"/>
      <c r="AY114" s="374"/>
      <c r="AZ114" s="367">
        <f t="shared" si="139"/>
        <v>209178.54000000004</v>
      </c>
      <c r="BA114" s="373">
        <f t="shared" si="85"/>
        <v>410924.34000000008</v>
      </c>
      <c r="BB114" s="374">
        <f t="shared" si="90"/>
        <v>41092.434000000008</v>
      </c>
      <c r="BC114" s="374">
        <f t="shared" si="91"/>
        <v>8218.4868000000024</v>
      </c>
      <c r="BD114" s="374">
        <f t="shared" si="86"/>
        <v>30106.341920000006</v>
      </c>
      <c r="BE114" s="374">
        <f t="shared" si="92"/>
        <v>331507.07728000009</v>
      </c>
      <c r="BF114" s="374">
        <f t="shared" si="93"/>
        <v>4931092.080000001</v>
      </c>
      <c r="BG114" s="374">
        <f t="shared" si="87"/>
        <v>403491.60000000003</v>
      </c>
      <c r="BH114" s="374">
        <f t="shared" si="94"/>
        <v>5334583.6800000006</v>
      </c>
      <c r="BI114" s="374">
        <f t="shared" si="88"/>
        <v>186710.42880000005</v>
      </c>
      <c r="BJ114" s="374">
        <f t="shared" si="89"/>
        <v>277219.11614400009</v>
      </c>
      <c r="BK114" s="374">
        <f t="shared" si="95"/>
        <v>240056.26560000004</v>
      </c>
      <c r="BL114" s="374">
        <f t="shared" si="96"/>
        <v>160037.5104</v>
      </c>
      <c r="BM114" s="373">
        <f t="shared" si="140"/>
        <v>6198607.0009440007</v>
      </c>
      <c r="BN114" s="375"/>
      <c r="BO114" s="377"/>
      <c r="BP114" s="377"/>
      <c r="BQ114" s="377"/>
      <c r="BR114" s="377"/>
      <c r="BS114" s="377"/>
      <c r="BT114" s="377"/>
      <c r="BU114" s="377"/>
      <c r="BV114" s="377"/>
      <c r="BW114" s="377"/>
      <c r="BX114" s="377"/>
      <c r="BY114" s="377"/>
      <c r="BZ114" s="377"/>
      <c r="CA114" s="377"/>
      <c r="CB114" s="377"/>
      <c r="CC114" s="377"/>
      <c r="CD114" s="377"/>
      <c r="CE114" s="377"/>
      <c r="CF114" s="377"/>
      <c r="CG114" s="377"/>
      <c r="CH114" s="377"/>
      <c r="CI114" s="377"/>
    </row>
    <row r="115" spans="1:87" ht="47.25">
      <c r="A115" s="369">
        <f t="shared" si="141"/>
        <v>97</v>
      </c>
      <c r="B115" s="416">
        <f t="shared" si="141"/>
        <v>10</v>
      </c>
      <c r="C115" s="409" t="s">
        <v>1242</v>
      </c>
      <c r="D115" s="475" t="s">
        <v>1243</v>
      </c>
      <c r="E115" s="366" t="s">
        <v>998</v>
      </c>
      <c r="F115" s="508" t="s">
        <v>1005</v>
      </c>
      <c r="G115" s="366" t="s">
        <v>1244</v>
      </c>
      <c r="H115" s="371" t="s">
        <v>1440</v>
      </c>
      <c r="I115" s="366">
        <v>17697</v>
      </c>
      <c r="J115" s="367">
        <v>11.18</v>
      </c>
      <c r="K115" s="367">
        <f t="shared" si="124"/>
        <v>197852.46</v>
      </c>
      <c r="L115" s="496"/>
      <c r="M115" s="496"/>
      <c r="N115" s="496">
        <v>12</v>
      </c>
      <c r="O115" s="496"/>
      <c r="P115" s="496">
        <v>15</v>
      </c>
      <c r="Q115" s="368">
        <f t="shared" si="125"/>
        <v>27</v>
      </c>
      <c r="R115" s="496"/>
      <c r="S115" s="496"/>
      <c r="T115" s="496"/>
      <c r="U115" s="496"/>
      <c r="V115" s="496">
        <v>6</v>
      </c>
      <c r="W115" s="381">
        <f t="shared" si="126"/>
        <v>6</v>
      </c>
      <c r="X115" s="370">
        <f t="shared" si="127"/>
        <v>33</v>
      </c>
      <c r="Y115" s="367">
        <f t="shared" si="128"/>
        <v>408070.69874999998</v>
      </c>
      <c r="Z115" s="367">
        <f t="shared" si="129"/>
        <v>40807.069875000001</v>
      </c>
      <c r="AA115" s="497">
        <v>27</v>
      </c>
      <c r="AB115" s="367">
        <f t="shared" si="130"/>
        <v>14931.84375</v>
      </c>
      <c r="AC115" s="497"/>
      <c r="AD115" s="367">
        <f t="shared" si="131"/>
        <v>0</v>
      </c>
      <c r="AE115" s="497"/>
      <c r="AF115" s="497" t="s">
        <v>1245</v>
      </c>
      <c r="AG115" s="367">
        <f>17697*20%</f>
        <v>3539.4</v>
      </c>
      <c r="AH115" s="501" t="s">
        <v>1246</v>
      </c>
      <c r="AI115" s="479">
        <f t="shared" si="142"/>
        <v>35394</v>
      </c>
      <c r="AJ115" s="372"/>
      <c r="AK115" s="367"/>
      <c r="AL115" s="366">
        <f t="shared" si="132"/>
        <v>33</v>
      </c>
      <c r="AM115" s="367">
        <f t="shared" si="133"/>
        <v>122421.20962499999</v>
      </c>
      <c r="AN115" s="366" t="str">
        <f t="shared" si="134"/>
        <v>Педагог-зерттеуші</v>
      </c>
      <c r="AO115" s="367" t="str">
        <f t="shared" si="135"/>
        <v>0</v>
      </c>
      <c r="AP115" s="367">
        <f t="shared" si="136"/>
        <v>163228.2795</v>
      </c>
      <c r="AQ115" s="367" t="str">
        <f t="shared" si="137"/>
        <v>0</v>
      </c>
      <c r="AR115" s="367" t="str">
        <f t="shared" si="138"/>
        <v>0</v>
      </c>
      <c r="AS115" s="497"/>
      <c r="AT115" s="374"/>
      <c r="AU115" s="499"/>
      <c r="AV115" s="374"/>
      <c r="AW115" s="371" t="str">
        <f>G115</f>
        <v>Магистр-филология</v>
      </c>
      <c r="AX115" s="372">
        <f>10*4325</f>
        <v>43250</v>
      </c>
      <c r="AY115" s="374"/>
      <c r="AZ115" s="367">
        <f t="shared" si="139"/>
        <v>423571.80275000003</v>
      </c>
      <c r="BA115" s="373">
        <f t="shared" si="85"/>
        <v>831642.50150000001</v>
      </c>
      <c r="BB115" s="374">
        <f t="shared" si="90"/>
        <v>83164.250150000007</v>
      </c>
      <c r="BC115" s="374">
        <f t="shared" si="91"/>
        <v>16632.850030000001</v>
      </c>
      <c r="BD115" s="374">
        <f t="shared" si="86"/>
        <v>67129.540132000009</v>
      </c>
      <c r="BE115" s="374">
        <f t="shared" si="92"/>
        <v>664715.86118800007</v>
      </c>
      <c r="BF115" s="374">
        <f t="shared" si="93"/>
        <v>9979710.0179999992</v>
      </c>
      <c r="BG115" s="374">
        <f t="shared" si="87"/>
        <v>816141.39749999996</v>
      </c>
      <c r="BH115" s="374">
        <f t="shared" si="94"/>
        <v>10795851.4155</v>
      </c>
      <c r="BI115" s="374">
        <f t="shared" si="88"/>
        <v>377854.79954250006</v>
      </c>
      <c r="BJ115" s="374">
        <f t="shared" si="89"/>
        <v>561020.61439740006</v>
      </c>
      <c r="BK115" s="374">
        <f t="shared" si="95"/>
        <v>485813.3136975001</v>
      </c>
      <c r="BL115" s="374">
        <f t="shared" si="96"/>
        <v>323875.54246500001</v>
      </c>
      <c r="BM115" s="373">
        <f t="shared" si="140"/>
        <v>12544415.685602399</v>
      </c>
      <c r="BN115" s="375"/>
      <c r="BO115" s="377"/>
      <c r="BP115" s="377"/>
      <c r="BQ115" s="377"/>
      <c r="BR115" s="377"/>
      <c r="BS115" s="377"/>
      <c r="BT115" s="377"/>
      <c r="BU115" s="377"/>
      <c r="BV115" s="377"/>
      <c r="BW115" s="377"/>
      <c r="BX115" s="377"/>
      <c r="BY115" s="377"/>
      <c r="BZ115" s="377"/>
      <c r="CA115" s="377"/>
      <c r="CB115" s="377"/>
      <c r="CC115" s="377"/>
      <c r="CD115" s="377"/>
      <c r="CE115" s="377"/>
      <c r="CF115" s="377"/>
      <c r="CG115" s="377"/>
      <c r="CH115" s="377"/>
      <c r="CI115" s="377"/>
    </row>
    <row r="116" spans="1:87" ht="15">
      <c r="A116" s="1515"/>
      <c r="B116" s="1508"/>
      <c r="C116" s="490" t="s">
        <v>1162</v>
      </c>
      <c r="D116" s="490"/>
      <c r="E116" s="490"/>
      <c r="F116" s="490"/>
      <c r="G116" s="490"/>
      <c r="H116" s="491"/>
      <c r="I116" s="490"/>
      <c r="J116" s="490"/>
      <c r="K116" s="407">
        <f t="shared" ref="K116:AE116" si="143">SUM(K106:K115)</f>
        <v>1950209.4</v>
      </c>
      <c r="L116" s="407">
        <f t="shared" si="143"/>
        <v>50</v>
      </c>
      <c r="M116" s="407">
        <f t="shared" si="143"/>
        <v>50</v>
      </c>
      <c r="N116" s="407">
        <f t="shared" si="143"/>
        <v>39</v>
      </c>
      <c r="O116" s="407">
        <f t="shared" si="143"/>
        <v>39</v>
      </c>
      <c r="P116" s="407">
        <f t="shared" si="143"/>
        <v>39</v>
      </c>
      <c r="Q116" s="407">
        <f t="shared" si="143"/>
        <v>217</v>
      </c>
      <c r="R116" s="407">
        <f t="shared" si="143"/>
        <v>0</v>
      </c>
      <c r="S116" s="407">
        <f t="shared" si="143"/>
        <v>1</v>
      </c>
      <c r="T116" s="407">
        <f t="shared" si="143"/>
        <v>0</v>
      </c>
      <c r="U116" s="407">
        <f t="shared" si="143"/>
        <v>0</v>
      </c>
      <c r="V116" s="407">
        <f t="shared" si="143"/>
        <v>17</v>
      </c>
      <c r="W116" s="407">
        <f t="shared" si="143"/>
        <v>18</v>
      </c>
      <c r="X116" s="505">
        <f t="shared" si="143"/>
        <v>235</v>
      </c>
      <c r="Y116" s="422">
        <f t="shared" si="143"/>
        <v>2879124.93</v>
      </c>
      <c r="Z116" s="422">
        <f t="shared" si="143"/>
        <v>280493.02575000003</v>
      </c>
      <c r="AA116" s="422">
        <f t="shared" si="143"/>
        <v>172</v>
      </c>
      <c r="AB116" s="422">
        <f t="shared" si="143"/>
        <v>95121.375</v>
      </c>
      <c r="AC116" s="422">
        <f t="shared" si="143"/>
        <v>45</v>
      </c>
      <c r="AD116" s="422">
        <f t="shared" si="143"/>
        <v>12443.203125</v>
      </c>
      <c r="AE116" s="422">
        <f t="shared" si="143"/>
        <v>196600</v>
      </c>
      <c r="AF116" s="505">
        <v>4</v>
      </c>
      <c r="AG116" s="422">
        <f>SUM(AG106:AG115)</f>
        <v>14157.6</v>
      </c>
      <c r="AH116" s="505">
        <v>6</v>
      </c>
      <c r="AI116" s="422">
        <f>SUM(AI106:AI115)</f>
        <v>212364</v>
      </c>
      <c r="AJ116" s="422">
        <f>SUM(AJ106:AJ115)</f>
        <v>0</v>
      </c>
      <c r="AK116" s="422">
        <f>SUM(AK106:AK115)</f>
        <v>0</v>
      </c>
      <c r="AL116" s="505">
        <f>SUM(AL106:AL115)</f>
        <v>235</v>
      </c>
      <c r="AM116" s="422">
        <f>SUM(AM106:AM115)</f>
        <v>863737.47900000017</v>
      </c>
      <c r="AN116" s="422"/>
      <c r="AO116" s="422">
        <f t="shared" ref="AO116:AV116" si="144">SUM(AO106:AO115)</f>
        <v>220659.46875000003</v>
      </c>
      <c r="AP116" s="422">
        <f t="shared" si="144"/>
        <v>709773.57900000014</v>
      </c>
      <c r="AQ116" s="422">
        <f t="shared" si="144"/>
        <v>79437.408750000002</v>
      </c>
      <c r="AR116" s="422">
        <f t="shared" si="144"/>
        <v>79636.5</v>
      </c>
      <c r="AS116" s="422">
        <f t="shared" si="144"/>
        <v>0</v>
      </c>
      <c r="AT116" s="422">
        <f t="shared" si="144"/>
        <v>0</v>
      </c>
      <c r="AU116" s="422">
        <f t="shared" si="144"/>
        <v>0</v>
      </c>
      <c r="AV116" s="422">
        <f t="shared" si="144"/>
        <v>0</v>
      </c>
      <c r="AW116" s="506" t="s">
        <v>237</v>
      </c>
      <c r="AX116" s="422">
        <f t="shared" ref="AX116:BN116" si="145">SUM(AX106:AX115)</f>
        <v>129750</v>
      </c>
      <c r="AY116" s="422">
        <f t="shared" si="145"/>
        <v>0</v>
      </c>
      <c r="AZ116" s="422">
        <f t="shared" si="145"/>
        <v>2894173.6393750003</v>
      </c>
      <c r="BA116" s="1318">
        <f>SUM(BA106:BA115)</f>
        <v>5773298.5693750009</v>
      </c>
      <c r="BB116" s="1318">
        <f t="shared" ref="BB116:BM116" si="146">SUM(BB106:BB115)</f>
        <v>577329.85693750007</v>
      </c>
      <c r="BC116" s="1318">
        <f t="shared" si="146"/>
        <v>115465.9713875</v>
      </c>
      <c r="BD116" s="1318">
        <f t="shared" si="146"/>
        <v>447500.27410500008</v>
      </c>
      <c r="BE116" s="1318">
        <f t="shared" si="146"/>
        <v>4633002.466945</v>
      </c>
      <c r="BF116" s="1318">
        <f t="shared" si="146"/>
        <v>69279582.832500011</v>
      </c>
      <c r="BG116" s="1318">
        <f t="shared" si="146"/>
        <v>5758249.8600000003</v>
      </c>
      <c r="BH116" s="1318">
        <f t="shared" si="146"/>
        <v>75037832.692499995</v>
      </c>
      <c r="BI116" s="1318">
        <f t="shared" si="146"/>
        <v>2626324.1442375001</v>
      </c>
      <c r="BJ116" s="1318">
        <f t="shared" si="146"/>
        <v>3899627.8831635001</v>
      </c>
      <c r="BK116" s="1318">
        <f t="shared" si="146"/>
        <v>3376702.4711625003</v>
      </c>
      <c r="BL116" s="1318">
        <f t="shared" si="146"/>
        <v>2251134.9807750001</v>
      </c>
      <c r="BM116" s="1318">
        <f t="shared" si="146"/>
        <v>87191622.171838522</v>
      </c>
      <c r="BN116" s="422">
        <f t="shared" si="145"/>
        <v>1</v>
      </c>
      <c r="BO116" s="355"/>
      <c r="BP116" s="355"/>
      <c r="BQ116" s="355"/>
      <c r="BR116" s="355"/>
      <c r="BS116" s="355"/>
      <c r="BT116" s="355"/>
      <c r="BU116" s="355"/>
      <c r="BV116" s="355"/>
      <c r="BW116" s="355"/>
      <c r="BX116" s="355"/>
      <c r="BY116" s="355"/>
      <c r="BZ116" s="355"/>
      <c r="CA116" s="355"/>
      <c r="CB116" s="355"/>
      <c r="CC116" s="355"/>
      <c r="CD116" s="355"/>
      <c r="CE116" s="355"/>
      <c r="CF116" s="355"/>
      <c r="CG116" s="355"/>
      <c r="CH116" s="355"/>
      <c r="CI116" s="356"/>
    </row>
    <row r="117" spans="1:87" ht="31.5">
      <c r="A117" s="369">
        <f>A115+1</f>
        <v>98</v>
      </c>
      <c r="B117" s="416">
        <f>1</f>
        <v>1</v>
      </c>
      <c r="C117" s="409" t="s">
        <v>1247</v>
      </c>
      <c r="D117" s="412" t="s">
        <v>1248</v>
      </c>
      <c r="E117" s="366" t="s">
        <v>998</v>
      </c>
      <c r="F117" s="508" t="s">
        <v>1005</v>
      </c>
      <c r="G117" s="366"/>
      <c r="H117" s="371" t="s">
        <v>1249</v>
      </c>
      <c r="I117" s="366">
        <v>17697</v>
      </c>
      <c r="J117" s="367">
        <v>11.4</v>
      </c>
      <c r="K117" s="367">
        <f t="shared" ref="K117:K123" si="147">I117*J117</f>
        <v>201745.80000000002</v>
      </c>
      <c r="L117" s="496">
        <v>15</v>
      </c>
      <c r="M117" s="496">
        <v>15</v>
      </c>
      <c r="N117" s="496"/>
      <c r="O117" s="496"/>
      <c r="P117" s="496"/>
      <c r="Q117" s="368">
        <f t="shared" ref="Q117:Q122" si="148">SUM(L117:P117)</f>
        <v>30</v>
      </c>
      <c r="R117" s="496"/>
      <c r="S117" s="496"/>
      <c r="T117" s="496"/>
      <c r="U117" s="496"/>
      <c r="V117" s="496"/>
      <c r="W117" s="381">
        <f t="shared" ref="W117:W123" si="149">SUM(R117:V117)</f>
        <v>0</v>
      </c>
      <c r="X117" s="370">
        <f t="shared" ref="X117:X123" si="150">Q117+W117</f>
        <v>30</v>
      </c>
      <c r="Y117" s="367">
        <f t="shared" ref="Y117:Y123" si="151">K117/16*X117</f>
        <v>378273.37500000006</v>
      </c>
      <c r="Z117" s="367">
        <f t="shared" ref="Z117:Z123" si="152">Y117*10%</f>
        <v>37827.337500000009</v>
      </c>
      <c r="AA117" s="497">
        <v>30</v>
      </c>
      <c r="AB117" s="367">
        <f t="shared" ref="AB117:AB123" si="153">I117/16*AA117*50%</f>
        <v>16590.9375</v>
      </c>
      <c r="AC117" s="497"/>
      <c r="AD117" s="367">
        <f t="shared" ref="AD117:AD123" si="154">I117/16*AC117*50%*50%</f>
        <v>0</v>
      </c>
      <c r="AE117" s="374"/>
      <c r="AF117" s="497" t="s">
        <v>1250</v>
      </c>
      <c r="AG117" s="367">
        <f>17697*20%</f>
        <v>3539.4</v>
      </c>
      <c r="AH117" s="497" t="s">
        <v>119</v>
      </c>
      <c r="AI117" s="367">
        <f>I117*200%</f>
        <v>35394</v>
      </c>
      <c r="AJ117" s="372"/>
      <c r="AK117" s="367"/>
      <c r="AL117" s="366">
        <f t="shared" ref="AL117:AL123" si="155">X117</f>
        <v>30</v>
      </c>
      <c r="AM117" s="367">
        <f t="shared" ref="AM117:AM123" si="156">K117/16*AL117*30%</f>
        <v>113482.01250000001</v>
      </c>
      <c r="AN117" s="366" t="str">
        <f t="shared" ref="AN117:AN123" si="157">F117</f>
        <v>Педагог-зерттеуші</v>
      </c>
      <c r="AO117" s="367" t="str">
        <f t="shared" ref="AO117:AO123" si="158">IF(AN117="Педагог-зерттеуші", "0", IF(AN117="Педагог-шебер",K117/16*X117*50%, IF(AN117="Педагог-сарапшы", "0", IF(AN117="Педагог-модератор", "0", "0"))))</f>
        <v>0</v>
      </c>
      <c r="AP117" s="367">
        <f t="shared" ref="AP117:AP123" si="159">IF(AN117="Педагог-шебер", "0", IF(AN117="Педагог-зерттеуші",K117/16*X117*40%, IF(AN117="Педагог-сарапшы", "0", IF(AN117="Педагог-модератор", "0", "0"))))</f>
        <v>151309.35000000003</v>
      </c>
      <c r="AQ117" s="367" t="str">
        <f t="shared" ref="AQ117:AQ123" si="160">IF(AN117="Педагог-шебер", "0", IF(AN117="Педагог-сарапшы",K117/16*X117*35%, IF(AN117="Педагог-зерттеуші", "0", IF(AN117="Педагог-модератор", "0", "0"))))</f>
        <v>0</v>
      </c>
      <c r="AR117" s="367" t="str">
        <f t="shared" ref="AR117:AR123" si="161">IF(AN117="Педагог-шебер", "0", IF(AN117="Педагог-модератор",K117/16*X117*30%, IF(AN117="Педагог-зерттеуші", "0", IF(AN117="Педагог-сарапшы", "0", "0"))))</f>
        <v>0</v>
      </c>
      <c r="AS117" s="497"/>
      <c r="AT117" s="374"/>
      <c r="AU117" s="499"/>
      <c r="AV117" s="374"/>
      <c r="AW117" s="371"/>
      <c r="AX117" s="367"/>
      <c r="AY117" s="374"/>
      <c r="AZ117" s="367">
        <f t="shared" ref="AZ117:AZ123" si="162">Z117+AB117+AD117+AE117+AG117+AI117+AK117+AM117+AO117+AP117+AQ117++AR117+AT117+AV117+AX117+AY117</f>
        <v>358143.03750000009</v>
      </c>
      <c r="BA117" s="373">
        <f t="shared" si="85"/>
        <v>736416.41250000009</v>
      </c>
      <c r="BB117" s="374">
        <f t="shared" si="90"/>
        <v>73641.641250000015</v>
      </c>
      <c r="BC117" s="374">
        <f t="shared" si="91"/>
        <v>14728.328250000002</v>
      </c>
      <c r="BD117" s="374">
        <f t="shared" si="86"/>
        <v>58749.644300000014</v>
      </c>
      <c r="BE117" s="374">
        <f t="shared" si="92"/>
        <v>589296.79870000004</v>
      </c>
      <c r="BF117" s="374">
        <f t="shared" si="93"/>
        <v>8836996.9500000011</v>
      </c>
      <c r="BG117" s="374">
        <f t="shared" si="87"/>
        <v>756546.75000000012</v>
      </c>
      <c r="BH117" s="374">
        <f t="shared" si="94"/>
        <v>9593543.7000000011</v>
      </c>
      <c r="BI117" s="374">
        <f t="shared" si="88"/>
        <v>335774.02950000006</v>
      </c>
      <c r="BJ117" s="374">
        <f t="shared" si="89"/>
        <v>498609.96651000017</v>
      </c>
      <c r="BK117" s="374">
        <f t="shared" si="95"/>
        <v>431709.4665000001</v>
      </c>
      <c r="BL117" s="374">
        <f t="shared" si="96"/>
        <v>287806.31100000005</v>
      </c>
      <c r="BM117" s="373">
        <f t="shared" ref="BM117:BM123" si="163">BH117+BJ117+BK117+BL117+BI117</f>
        <v>11147443.473510001</v>
      </c>
      <c r="BN117" s="375"/>
      <c r="BO117" s="376"/>
      <c r="BP117" s="377"/>
      <c r="BQ117" s="377"/>
      <c r="BR117" s="377"/>
      <c r="BS117" s="377"/>
      <c r="BT117" s="377"/>
      <c r="BU117" s="377"/>
      <c r="BV117" s="377"/>
      <c r="BW117" s="377"/>
      <c r="BX117" s="377"/>
      <c r="BY117" s="377"/>
      <c r="BZ117" s="377"/>
      <c r="CA117" s="377"/>
      <c r="CB117" s="377"/>
      <c r="CC117" s="377"/>
      <c r="CD117" s="377"/>
      <c r="CE117" s="377"/>
      <c r="CF117" s="377"/>
      <c r="CG117" s="377"/>
      <c r="CH117" s="377"/>
      <c r="CI117" s="377"/>
    </row>
    <row r="118" spans="1:87" ht="47.25">
      <c r="A118" s="369">
        <f>A117+1</f>
        <v>99</v>
      </c>
      <c r="B118" s="416">
        <f>B117+1</f>
        <v>2</v>
      </c>
      <c r="C118" s="409" t="s">
        <v>1251</v>
      </c>
      <c r="D118" s="412" t="s">
        <v>1252</v>
      </c>
      <c r="E118" s="366" t="s">
        <v>998</v>
      </c>
      <c r="F118" s="508" t="s">
        <v>1005</v>
      </c>
      <c r="G118" s="366"/>
      <c r="H118" s="371" t="s">
        <v>1253</v>
      </c>
      <c r="I118" s="366">
        <v>17697</v>
      </c>
      <c r="J118" s="367">
        <v>11.4</v>
      </c>
      <c r="K118" s="367">
        <f t="shared" si="147"/>
        <v>201745.80000000002</v>
      </c>
      <c r="L118" s="496"/>
      <c r="M118" s="496"/>
      <c r="N118" s="496"/>
      <c r="O118" s="496">
        <v>15</v>
      </c>
      <c r="P118" s="496">
        <v>15</v>
      </c>
      <c r="Q118" s="368">
        <f t="shared" si="148"/>
        <v>30</v>
      </c>
      <c r="R118" s="496"/>
      <c r="S118" s="496"/>
      <c r="T118" s="496"/>
      <c r="U118" s="496"/>
      <c r="V118" s="496">
        <v>4</v>
      </c>
      <c r="W118" s="381">
        <f>SUM(R118:V118)</f>
        <v>4</v>
      </c>
      <c r="X118" s="370">
        <f t="shared" si="150"/>
        <v>34</v>
      </c>
      <c r="Y118" s="367">
        <f t="shared" si="151"/>
        <v>428709.82500000001</v>
      </c>
      <c r="Z118" s="367">
        <f t="shared" si="152"/>
        <v>42870.982500000006</v>
      </c>
      <c r="AA118" s="501">
        <v>30</v>
      </c>
      <c r="AB118" s="367">
        <f t="shared" si="153"/>
        <v>16590.9375</v>
      </c>
      <c r="AC118" s="497"/>
      <c r="AD118" s="367">
        <f t="shared" si="154"/>
        <v>0</v>
      </c>
      <c r="AE118" s="497"/>
      <c r="AF118" s="497" t="s">
        <v>1254</v>
      </c>
      <c r="AG118" s="367">
        <f>17697*20%</f>
        <v>3539.4</v>
      </c>
      <c r="AH118" s="497" t="s">
        <v>1255</v>
      </c>
      <c r="AI118" s="367">
        <f>I118*200%</f>
        <v>35394</v>
      </c>
      <c r="AJ118" s="372"/>
      <c r="AK118" s="367"/>
      <c r="AL118" s="366">
        <f t="shared" si="155"/>
        <v>34</v>
      </c>
      <c r="AM118" s="367">
        <f t="shared" si="156"/>
        <v>128612.94749999999</v>
      </c>
      <c r="AN118" s="366" t="str">
        <f t="shared" si="157"/>
        <v>Педагог-зерттеуші</v>
      </c>
      <c r="AO118" s="367" t="str">
        <f t="shared" si="158"/>
        <v>0</v>
      </c>
      <c r="AP118" s="367">
        <f t="shared" si="159"/>
        <v>171483.93000000002</v>
      </c>
      <c r="AQ118" s="367" t="str">
        <f t="shared" si="160"/>
        <v>0</v>
      </c>
      <c r="AR118" s="367" t="str">
        <f t="shared" si="161"/>
        <v>0</v>
      </c>
      <c r="AS118" s="497"/>
      <c r="AT118" s="374"/>
      <c r="AU118" s="499"/>
      <c r="AV118" s="374"/>
      <c r="AW118" s="371"/>
      <c r="AX118" s="367"/>
      <c r="AY118" s="374"/>
      <c r="AZ118" s="367">
        <f t="shared" si="162"/>
        <v>398492.19750000001</v>
      </c>
      <c r="BA118" s="373">
        <f t="shared" si="85"/>
        <v>827202.02249999996</v>
      </c>
      <c r="BB118" s="374">
        <f t="shared" si="90"/>
        <v>82720.202250000002</v>
      </c>
      <c r="BC118" s="374">
        <f t="shared" si="91"/>
        <v>16544.04045</v>
      </c>
      <c r="BD118" s="374">
        <f t="shared" si="86"/>
        <v>66738.777979999999</v>
      </c>
      <c r="BE118" s="374">
        <f t="shared" si="92"/>
        <v>661199.00182</v>
      </c>
      <c r="BF118" s="374">
        <f t="shared" si="93"/>
        <v>9926424.2699999996</v>
      </c>
      <c r="BG118" s="374">
        <f t="shared" si="87"/>
        <v>857419.65</v>
      </c>
      <c r="BH118" s="374">
        <f t="shared" si="94"/>
        <v>10783843.92</v>
      </c>
      <c r="BI118" s="374">
        <f t="shared" si="88"/>
        <v>377434.53720000002</v>
      </c>
      <c r="BJ118" s="374">
        <f t="shared" si="89"/>
        <v>560489.43828600005</v>
      </c>
      <c r="BK118" s="374">
        <f t="shared" si="95"/>
        <v>485272.97640000004</v>
      </c>
      <c r="BL118" s="374">
        <f t="shared" si="96"/>
        <v>323515.31760000001</v>
      </c>
      <c r="BM118" s="373">
        <f t="shared" si="163"/>
        <v>12530556.189486001</v>
      </c>
      <c r="BN118" s="375"/>
      <c r="BO118" s="377"/>
      <c r="BP118" s="377"/>
      <c r="BQ118" s="377"/>
      <c r="BR118" s="377"/>
      <c r="BS118" s="377"/>
      <c r="BT118" s="377"/>
      <c r="BU118" s="377"/>
      <c r="BV118" s="377"/>
      <c r="BW118" s="377"/>
      <c r="BX118" s="377"/>
      <c r="BY118" s="377"/>
      <c r="BZ118" s="377"/>
      <c r="CA118" s="377"/>
      <c r="CB118" s="377"/>
      <c r="CC118" s="377"/>
      <c r="CD118" s="377"/>
      <c r="CE118" s="377"/>
      <c r="CF118" s="377"/>
      <c r="CG118" s="377"/>
      <c r="CH118" s="377"/>
      <c r="CI118" s="377"/>
    </row>
    <row r="119" spans="1:87" ht="31.5">
      <c r="A119" s="369">
        <f>A118+1</f>
        <v>100</v>
      </c>
      <c r="B119" s="416">
        <f>B118+1</f>
        <v>3</v>
      </c>
      <c r="C119" s="409" t="s">
        <v>1256</v>
      </c>
      <c r="D119" s="410" t="s">
        <v>1257</v>
      </c>
      <c r="E119" s="366" t="s">
        <v>998</v>
      </c>
      <c r="F119" s="366"/>
      <c r="G119" s="366"/>
      <c r="H119" s="371" t="s">
        <v>1258</v>
      </c>
      <c r="I119" s="366">
        <v>17697</v>
      </c>
      <c r="J119" s="367">
        <v>11.4</v>
      </c>
      <c r="K119" s="367">
        <f t="shared" si="147"/>
        <v>201745.80000000002</v>
      </c>
      <c r="L119" s="496"/>
      <c r="M119" s="496"/>
      <c r="N119" s="496">
        <v>12</v>
      </c>
      <c r="O119" s="496"/>
      <c r="P119" s="496"/>
      <c r="Q119" s="368">
        <f t="shared" si="148"/>
        <v>12</v>
      </c>
      <c r="R119" s="496"/>
      <c r="S119" s="496"/>
      <c r="T119" s="496"/>
      <c r="U119" s="496"/>
      <c r="V119" s="496"/>
      <c r="W119" s="381">
        <f t="shared" si="149"/>
        <v>0</v>
      </c>
      <c r="X119" s="370">
        <f t="shared" si="150"/>
        <v>12</v>
      </c>
      <c r="Y119" s="367">
        <f t="shared" si="151"/>
        <v>151309.35</v>
      </c>
      <c r="Z119" s="367">
        <f t="shared" si="152"/>
        <v>15130.935000000001</v>
      </c>
      <c r="AA119" s="497">
        <v>12</v>
      </c>
      <c r="AB119" s="367">
        <f t="shared" si="153"/>
        <v>6636.375</v>
      </c>
      <c r="AC119" s="497"/>
      <c r="AD119" s="367">
        <f t="shared" si="154"/>
        <v>0</v>
      </c>
      <c r="AE119" s="497"/>
      <c r="AF119" s="497"/>
      <c r="AG119" s="367"/>
      <c r="AH119" s="497"/>
      <c r="AI119" s="367"/>
      <c r="AJ119" s="372"/>
      <c r="AK119" s="367"/>
      <c r="AL119" s="366">
        <f t="shared" si="155"/>
        <v>12</v>
      </c>
      <c r="AM119" s="367">
        <f t="shared" si="156"/>
        <v>45392.805</v>
      </c>
      <c r="AN119" s="366">
        <f t="shared" si="157"/>
        <v>0</v>
      </c>
      <c r="AO119" s="367" t="str">
        <f t="shared" si="158"/>
        <v>0</v>
      </c>
      <c r="AP119" s="367" t="str">
        <f t="shared" si="159"/>
        <v>0</v>
      </c>
      <c r="AQ119" s="367" t="str">
        <f t="shared" si="160"/>
        <v>0</v>
      </c>
      <c r="AR119" s="367" t="str">
        <f t="shared" si="161"/>
        <v>0</v>
      </c>
      <c r="AS119" s="497"/>
      <c r="AT119" s="374"/>
      <c r="AU119" s="499"/>
      <c r="AV119" s="374"/>
      <c r="AW119" s="371"/>
      <c r="AX119" s="367"/>
      <c r="AY119" s="374"/>
      <c r="AZ119" s="367">
        <f t="shared" si="162"/>
        <v>67160.115000000005</v>
      </c>
      <c r="BA119" s="373">
        <f t="shared" si="85"/>
        <v>218469.46500000003</v>
      </c>
      <c r="BB119" s="374">
        <f t="shared" si="90"/>
        <v>21846.946500000005</v>
      </c>
      <c r="BC119" s="374">
        <f t="shared" si="91"/>
        <v>4369.3893000000007</v>
      </c>
      <c r="BD119" s="374">
        <f t="shared" si="86"/>
        <v>13170.31292</v>
      </c>
      <c r="BE119" s="374">
        <f t="shared" si="92"/>
        <v>179082.81628</v>
      </c>
      <c r="BF119" s="374">
        <f t="shared" si="93"/>
        <v>2621633.58</v>
      </c>
      <c r="BG119" s="374">
        <f t="shared" si="87"/>
        <v>302618.7</v>
      </c>
      <c r="BH119" s="374">
        <f t="shared" si="94"/>
        <v>2924252.2800000003</v>
      </c>
      <c r="BI119" s="374">
        <f t="shared" si="88"/>
        <v>102348.82980000002</v>
      </c>
      <c r="BJ119" s="374">
        <f t="shared" si="89"/>
        <v>152142.029244</v>
      </c>
      <c r="BK119" s="374">
        <f t="shared" si="95"/>
        <v>131591.35260000001</v>
      </c>
      <c r="BL119" s="374">
        <f t="shared" si="96"/>
        <v>87727.568400000004</v>
      </c>
      <c r="BM119" s="373">
        <f t="shared" si="163"/>
        <v>3398062.0600440004</v>
      </c>
      <c r="BN119" s="375"/>
      <c r="BO119" s="377"/>
      <c r="BP119" s="377"/>
      <c r="BQ119" s="377"/>
      <c r="BR119" s="377"/>
      <c r="BS119" s="377"/>
      <c r="BT119" s="377"/>
      <c r="BU119" s="377"/>
      <c r="BV119" s="377"/>
      <c r="BW119" s="377"/>
      <c r="BX119" s="377"/>
      <c r="BY119" s="377"/>
      <c r="BZ119" s="377"/>
      <c r="CA119" s="377"/>
      <c r="CB119" s="377"/>
      <c r="CC119" s="377"/>
      <c r="CD119" s="377"/>
      <c r="CE119" s="377"/>
      <c r="CF119" s="377"/>
      <c r="CG119" s="377"/>
      <c r="CH119" s="377"/>
      <c r="CI119" s="377"/>
    </row>
    <row r="120" spans="1:87" ht="31.5">
      <c r="A120" s="369">
        <f t="shared" ref="A120:B123" si="164">A119+1</f>
        <v>101</v>
      </c>
      <c r="B120" s="416">
        <f t="shared" si="164"/>
        <v>4</v>
      </c>
      <c r="C120" s="409" t="s">
        <v>1259</v>
      </c>
      <c r="D120" s="410" t="s">
        <v>1260</v>
      </c>
      <c r="E120" s="366" t="s">
        <v>998</v>
      </c>
      <c r="F120" s="366"/>
      <c r="G120" s="366"/>
      <c r="H120" s="371" t="s">
        <v>1261</v>
      </c>
      <c r="I120" s="366">
        <v>17697</v>
      </c>
      <c r="J120" s="367">
        <v>11.4</v>
      </c>
      <c r="K120" s="367">
        <f t="shared" si="147"/>
        <v>201745.80000000002</v>
      </c>
      <c r="L120" s="496"/>
      <c r="M120" s="496">
        <v>12</v>
      </c>
      <c r="N120" s="496"/>
      <c r="O120" s="496"/>
      <c r="P120" s="496">
        <v>6</v>
      </c>
      <c r="Q120" s="368">
        <f t="shared" si="148"/>
        <v>18</v>
      </c>
      <c r="R120" s="496"/>
      <c r="S120" s="496"/>
      <c r="T120" s="496"/>
      <c r="U120" s="496"/>
      <c r="V120" s="496"/>
      <c r="W120" s="381">
        <f t="shared" si="149"/>
        <v>0</v>
      </c>
      <c r="X120" s="370">
        <f t="shared" si="150"/>
        <v>18</v>
      </c>
      <c r="Y120" s="367">
        <f t="shared" si="151"/>
        <v>226964.02500000002</v>
      </c>
      <c r="Z120" s="367">
        <f t="shared" si="152"/>
        <v>22696.402500000004</v>
      </c>
      <c r="AA120" s="497">
        <v>18</v>
      </c>
      <c r="AB120" s="367">
        <f t="shared" si="153"/>
        <v>9954.5625</v>
      </c>
      <c r="AC120" s="497"/>
      <c r="AD120" s="367">
        <f t="shared" si="154"/>
        <v>0</v>
      </c>
      <c r="AE120" s="497"/>
      <c r="AF120" s="497" t="s">
        <v>1262</v>
      </c>
      <c r="AG120" s="367">
        <f>17697*20%</f>
        <v>3539.4</v>
      </c>
      <c r="AH120" s="497"/>
      <c r="AI120" s="367"/>
      <c r="AJ120" s="372"/>
      <c r="AK120" s="367"/>
      <c r="AL120" s="366">
        <f t="shared" si="155"/>
        <v>18</v>
      </c>
      <c r="AM120" s="367">
        <f t="shared" si="156"/>
        <v>68089.207500000004</v>
      </c>
      <c r="AN120" s="366">
        <f t="shared" si="157"/>
        <v>0</v>
      </c>
      <c r="AO120" s="367" t="str">
        <f t="shared" si="158"/>
        <v>0</v>
      </c>
      <c r="AP120" s="367" t="str">
        <f t="shared" si="159"/>
        <v>0</v>
      </c>
      <c r="AQ120" s="367" t="str">
        <f t="shared" si="160"/>
        <v>0</v>
      </c>
      <c r="AR120" s="367" t="str">
        <f t="shared" si="161"/>
        <v>0</v>
      </c>
      <c r="AS120" s="497"/>
      <c r="AT120" s="374"/>
      <c r="AU120" s="499"/>
      <c r="AV120" s="374"/>
      <c r="AW120" s="371"/>
      <c r="AX120" s="367"/>
      <c r="AY120" s="374"/>
      <c r="AZ120" s="367">
        <f t="shared" si="162"/>
        <v>104279.57250000001</v>
      </c>
      <c r="BA120" s="373">
        <f t="shared" si="85"/>
        <v>331243.59750000003</v>
      </c>
      <c r="BB120" s="374">
        <f t="shared" si="90"/>
        <v>33124.359750000003</v>
      </c>
      <c r="BC120" s="374">
        <f t="shared" si="91"/>
        <v>6624.8719500000007</v>
      </c>
      <c r="BD120" s="374">
        <f t="shared" si="86"/>
        <v>23094.436580000005</v>
      </c>
      <c r="BE120" s="374">
        <f t="shared" si="92"/>
        <v>268399.92922000005</v>
      </c>
      <c r="BF120" s="374">
        <f t="shared" si="93"/>
        <v>3974923.1700000004</v>
      </c>
      <c r="BG120" s="374">
        <f t="shared" si="87"/>
        <v>453928.05000000005</v>
      </c>
      <c r="BH120" s="374">
        <f t="shared" si="94"/>
        <v>4428851.2200000007</v>
      </c>
      <c r="BI120" s="374">
        <f t="shared" si="88"/>
        <v>155009.79270000005</v>
      </c>
      <c r="BJ120" s="374">
        <f t="shared" si="89"/>
        <v>230413.13490599999</v>
      </c>
      <c r="BK120" s="374">
        <f t="shared" si="95"/>
        <v>199298.30490000005</v>
      </c>
      <c r="BL120" s="374">
        <f t="shared" si="96"/>
        <v>132865.53660000002</v>
      </c>
      <c r="BM120" s="373">
        <f t="shared" si="163"/>
        <v>5146437.9891060004</v>
      </c>
      <c r="BN120" s="375"/>
      <c r="BO120" s="377"/>
      <c r="BP120" s="377"/>
      <c r="BQ120" s="377"/>
      <c r="BR120" s="377"/>
      <c r="BS120" s="377"/>
      <c r="BT120" s="377"/>
      <c r="BU120" s="377"/>
      <c r="BV120" s="377"/>
      <c r="BW120" s="377"/>
      <c r="BX120" s="377"/>
      <c r="BY120" s="377"/>
      <c r="BZ120" s="377"/>
      <c r="CA120" s="377"/>
      <c r="CB120" s="377"/>
      <c r="CC120" s="377"/>
      <c r="CD120" s="377"/>
      <c r="CE120" s="377"/>
      <c r="CF120" s="377"/>
      <c r="CG120" s="377"/>
      <c r="CH120" s="377"/>
      <c r="CI120" s="377"/>
    </row>
    <row r="121" spans="1:87" ht="45">
      <c r="A121" s="369">
        <f t="shared" si="164"/>
        <v>102</v>
      </c>
      <c r="B121" s="416">
        <f t="shared" si="164"/>
        <v>5</v>
      </c>
      <c r="C121" s="409" t="s">
        <v>1263</v>
      </c>
      <c r="D121" s="410" t="s">
        <v>1264</v>
      </c>
      <c r="E121" s="366" t="s">
        <v>998</v>
      </c>
      <c r="F121" s="1314" t="s">
        <v>254</v>
      </c>
      <c r="G121" s="366" t="s">
        <v>1265</v>
      </c>
      <c r="H121" s="371" t="s">
        <v>1403</v>
      </c>
      <c r="I121" s="366">
        <v>17697</v>
      </c>
      <c r="J121" s="367">
        <v>9.5</v>
      </c>
      <c r="K121" s="367">
        <f t="shared" si="147"/>
        <v>168121.5</v>
      </c>
      <c r="L121" s="496">
        <v>20</v>
      </c>
      <c r="M121" s="496">
        <v>8</v>
      </c>
      <c r="N121" s="496"/>
      <c r="O121" s="496"/>
      <c r="P121" s="496"/>
      <c r="Q121" s="368">
        <f t="shared" si="148"/>
        <v>28</v>
      </c>
      <c r="R121" s="496"/>
      <c r="S121" s="496"/>
      <c r="T121" s="496"/>
      <c r="U121" s="496"/>
      <c r="V121" s="496"/>
      <c r="W121" s="381">
        <f t="shared" si="149"/>
        <v>0</v>
      </c>
      <c r="X121" s="370">
        <f t="shared" si="150"/>
        <v>28</v>
      </c>
      <c r="Y121" s="367">
        <f t="shared" si="151"/>
        <v>294212.625</v>
      </c>
      <c r="Z121" s="367">
        <f t="shared" si="152"/>
        <v>29421.262500000001</v>
      </c>
      <c r="AA121" s="497">
        <v>28</v>
      </c>
      <c r="AB121" s="367">
        <f t="shared" si="153"/>
        <v>15484.875</v>
      </c>
      <c r="AC121" s="497"/>
      <c r="AD121" s="367">
        <f t="shared" si="154"/>
        <v>0</v>
      </c>
      <c r="AE121" s="497"/>
      <c r="AF121" s="497"/>
      <c r="AG121" s="367"/>
      <c r="AH121" s="497" t="s">
        <v>1266</v>
      </c>
      <c r="AI121" s="367">
        <f>I121*200%</f>
        <v>35394</v>
      </c>
      <c r="AJ121" s="372"/>
      <c r="AK121" s="367"/>
      <c r="AL121" s="366">
        <f t="shared" si="155"/>
        <v>28</v>
      </c>
      <c r="AM121" s="367">
        <f t="shared" si="156"/>
        <v>88263.787499999991</v>
      </c>
      <c r="AN121" s="366" t="str">
        <f t="shared" si="157"/>
        <v>Педагог-модератор</v>
      </c>
      <c r="AO121" s="367" t="str">
        <f t="shared" si="158"/>
        <v>0</v>
      </c>
      <c r="AP121" s="367" t="str">
        <f t="shared" si="159"/>
        <v>0</v>
      </c>
      <c r="AQ121" s="367" t="str">
        <f t="shared" si="160"/>
        <v>0</v>
      </c>
      <c r="AR121" s="367">
        <f t="shared" si="161"/>
        <v>88263.787499999991</v>
      </c>
      <c r="AS121" s="497"/>
      <c r="AT121" s="374"/>
      <c r="AU121" s="499"/>
      <c r="AV121" s="374"/>
      <c r="AW121" s="371" t="str">
        <f>G121</f>
        <v>Магистр филологических наук</v>
      </c>
      <c r="AX121" s="372">
        <f>10*4325</f>
        <v>43250</v>
      </c>
      <c r="AY121" s="374"/>
      <c r="AZ121" s="367">
        <f t="shared" si="162"/>
        <v>300077.71249999997</v>
      </c>
      <c r="BA121" s="373">
        <f t="shared" si="85"/>
        <v>594290.33749999991</v>
      </c>
      <c r="BB121" s="374">
        <f t="shared" si="90"/>
        <v>59429.033749999995</v>
      </c>
      <c r="BC121" s="374">
        <f t="shared" si="91"/>
        <v>11885.806749999998</v>
      </c>
      <c r="BD121" s="374">
        <f t="shared" si="86"/>
        <v>46242.549700000003</v>
      </c>
      <c r="BE121" s="374">
        <f t="shared" si="92"/>
        <v>476732.9473</v>
      </c>
      <c r="BF121" s="374">
        <f t="shared" si="93"/>
        <v>7131484.0499999989</v>
      </c>
      <c r="BG121" s="374">
        <f t="shared" si="87"/>
        <v>588425.25</v>
      </c>
      <c r="BH121" s="374">
        <f t="shared" si="94"/>
        <v>7719909.2999999989</v>
      </c>
      <c r="BI121" s="374">
        <f t="shared" si="88"/>
        <v>270196.82549999998</v>
      </c>
      <c r="BJ121" s="374">
        <f t="shared" si="89"/>
        <v>401185.83729</v>
      </c>
      <c r="BK121" s="374">
        <f t="shared" si="95"/>
        <v>347395.91849999997</v>
      </c>
      <c r="BL121" s="374">
        <f t="shared" si="96"/>
        <v>231597.27899999995</v>
      </c>
      <c r="BM121" s="373">
        <f t="shared" si="163"/>
        <v>8970285.1602899991</v>
      </c>
      <c r="BN121" s="375"/>
      <c r="BO121" s="377"/>
      <c r="BP121" s="377"/>
      <c r="BQ121" s="377"/>
      <c r="BR121" s="377"/>
      <c r="BS121" s="377"/>
      <c r="BT121" s="377"/>
      <c r="BU121" s="377"/>
      <c r="BV121" s="377"/>
      <c r="BW121" s="377"/>
      <c r="BX121" s="377"/>
      <c r="BY121" s="377"/>
      <c r="BZ121" s="377"/>
      <c r="CA121" s="377"/>
      <c r="CB121" s="377"/>
      <c r="CC121" s="377"/>
      <c r="CD121" s="377"/>
      <c r="CE121" s="377"/>
      <c r="CF121" s="377"/>
      <c r="CG121" s="377"/>
      <c r="CH121" s="377"/>
      <c r="CI121" s="377"/>
    </row>
    <row r="122" spans="1:87" ht="63">
      <c r="A122" s="369">
        <f t="shared" si="164"/>
        <v>103</v>
      </c>
      <c r="B122" s="416">
        <f t="shared" si="164"/>
        <v>6</v>
      </c>
      <c r="C122" s="409" t="s">
        <v>1267</v>
      </c>
      <c r="D122" s="410" t="s">
        <v>1268</v>
      </c>
      <c r="E122" s="366" t="s">
        <v>998</v>
      </c>
      <c r="F122" s="508" t="s">
        <v>1005</v>
      </c>
      <c r="G122" s="366"/>
      <c r="H122" s="371" t="s">
        <v>1269</v>
      </c>
      <c r="I122" s="366">
        <v>17697</v>
      </c>
      <c r="J122" s="367">
        <v>11.4</v>
      </c>
      <c r="K122" s="367">
        <f t="shared" si="147"/>
        <v>201745.80000000002</v>
      </c>
      <c r="L122" s="496"/>
      <c r="M122" s="496"/>
      <c r="N122" s="496">
        <v>3</v>
      </c>
      <c r="O122" s="496"/>
      <c r="P122" s="496">
        <v>6</v>
      </c>
      <c r="Q122" s="368">
        <f t="shared" si="148"/>
        <v>9</v>
      </c>
      <c r="R122" s="496"/>
      <c r="S122" s="496"/>
      <c r="T122" s="496"/>
      <c r="U122" s="496"/>
      <c r="V122" s="496">
        <v>4</v>
      </c>
      <c r="W122" s="381">
        <f t="shared" si="149"/>
        <v>4</v>
      </c>
      <c r="X122" s="370">
        <f t="shared" si="150"/>
        <v>13</v>
      </c>
      <c r="Y122" s="367">
        <f t="shared" si="151"/>
        <v>163918.46250000002</v>
      </c>
      <c r="Z122" s="367">
        <f t="shared" si="152"/>
        <v>16391.846250000002</v>
      </c>
      <c r="AA122" s="497">
        <v>9</v>
      </c>
      <c r="AB122" s="367">
        <f t="shared" si="153"/>
        <v>4977.28125</v>
      </c>
      <c r="AC122" s="497"/>
      <c r="AD122" s="367">
        <f t="shared" si="154"/>
        <v>0</v>
      </c>
      <c r="AE122" s="497"/>
      <c r="AF122" s="497" t="s">
        <v>1270</v>
      </c>
      <c r="AG122" s="367">
        <f>17697*20%</f>
        <v>3539.4</v>
      </c>
      <c r="AH122" s="497"/>
      <c r="AI122" s="367"/>
      <c r="AJ122" s="372"/>
      <c r="AK122" s="367"/>
      <c r="AL122" s="366">
        <f t="shared" si="155"/>
        <v>13</v>
      </c>
      <c r="AM122" s="367">
        <f t="shared" si="156"/>
        <v>49175.538750000007</v>
      </c>
      <c r="AN122" s="366" t="str">
        <f t="shared" si="157"/>
        <v>Педагог-зерттеуші</v>
      </c>
      <c r="AO122" s="367" t="str">
        <f t="shared" si="158"/>
        <v>0</v>
      </c>
      <c r="AP122" s="367">
        <f t="shared" si="159"/>
        <v>65567.385000000009</v>
      </c>
      <c r="AQ122" s="367" t="str">
        <f t="shared" si="160"/>
        <v>0</v>
      </c>
      <c r="AR122" s="367" t="str">
        <f t="shared" si="161"/>
        <v>0</v>
      </c>
      <c r="AS122" s="497"/>
      <c r="AT122" s="374"/>
      <c r="AU122" s="499"/>
      <c r="AV122" s="374"/>
      <c r="AW122" s="371"/>
      <c r="AX122" s="367"/>
      <c r="AY122" s="374"/>
      <c r="AZ122" s="367">
        <f t="shared" si="162"/>
        <v>139651.45125000001</v>
      </c>
      <c r="BA122" s="373">
        <f t="shared" si="85"/>
        <v>303569.91375000007</v>
      </c>
      <c r="BB122" s="374">
        <f t="shared" si="90"/>
        <v>30356.991375000009</v>
      </c>
      <c r="BC122" s="374">
        <f t="shared" si="91"/>
        <v>6071.3982750000014</v>
      </c>
      <c r="BD122" s="374">
        <f t="shared" si="86"/>
        <v>20659.15241000001</v>
      </c>
      <c r="BE122" s="374">
        <f t="shared" si="92"/>
        <v>246482.37169000009</v>
      </c>
      <c r="BF122" s="374">
        <f t="shared" si="93"/>
        <v>3642838.9650000008</v>
      </c>
      <c r="BG122" s="374">
        <f t="shared" si="87"/>
        <v>327836.92500000005</v>
      </c>
      <c r="BH122" s="374">
        <f t="shared" si="94"/>
        <v>3970675.8900000006</v>
      </c>
      <c r="BI122" s="374">
        <f t="shared" si="88"/>
        <v>138973.65615000002</v>
      </c>
      <c r="BJ122" s="374">
        <f t="shared" si="89"/>
        <v>206402.25233700001</v>
      </c>
      <c r="BK122" s="374">
        <f t="shared" si="95"/>
        <v>178680.41505000004</v>
      </c>
      <c r="BL122" s="374">
        <f t="shared" si="96"/>
        <v>119120.27670000002</v>
      </c>
      <c r="BM122" s="373">
        <f t="shared" si="163"/>
        <v>4613852.4902370013</v>
      </c>
      <c r="BN122" s="375"/>
      <c r="BO122" s="377"/>
      <c r="BP122" s="377"/>
      <c r="BQ122" s="377"/>
      <c r="BR122" s="377"/>
      <c r="BS122" s="377"/>
      <c r="BT122" s="377"/>
      <c r="BU122" s="377"/>
      <c r="BV122" s="377"/>
      <c r="BW122" s="377"/>
      <c r="BX122" s="377"/>
      <c r="BY122" s="377"/>
      <c r="BZ122" s="377"/>
      <c r="CA122" s="377"/>
      <c r="CB122" s="377"/>
      <c r="CC122" s="377"/>
      <c r="CD122" s="377"/>
      <c r="CE122" s="377"/>
      <c r="CF122" s="377"/>
      <c r="CG122" s="377"/>
      <c r="CH122" s="377"/>
      <c r="CI122" s="377"/>
    </row>
    <row r="123" spans="1:87" ht="45">
      <c r="A123" s="369">
        <f t="shared" si="164"/>
        <v>104</v>
      </c>
      <c r="B123" s="416">
        <f t="shared" si="164"/>
        <v>7</v>
      </c>
      <c r="C123" s="409" t="s">
        <v>1271</v>
      </c>
      <c r="D123" s="410" t="s">
        <v>1272</v>
      </c>
      <c r="E123" s="366" t="s">
        <v>998</v>
      </c>
      <c r="F123" s="508" t="s">
        <v>1011</v>
      </c>
      <c r="G123" s="366" t="s">
        <v>1273</v>
      </c>
      <c r="H123" s="371" t="s">
        <v>1274</v>
      </c>
      <c r="I123" s="366">
        <v>17697</v>
      </c>
      <c r="J123" s="367">
        <v>11.4</v>
      </c>
      <c r="K123" s="367">
        <f t="shared" si="147"/>
        <v>201745.80000000002</v>
      </c>
      <c r="L123" s="496"/>
      <c r="M123" s="496"/>
      <c r="N123" s="496">
        <v>12</v>
      </c>
      <c r="O123" s="496">
        <v>12</v>
      </c>
      <c r="P123" s="496"/>
      <c r="Q123" s="368">
        <f>SUM(L123:P123)</f>
        <v>24</v>
      </c>
      <c r="R123" s="496"/>
      <c r="S123" s="496"/>
      <c r="T123" s="496"/>
      <c r="U123" s="496"/>
      <c r="V123" s="496"/>
      <c r="W123" s="381">
        <f t="shared" si="149"/>
        <v>0</v>
      </c>
      <c r="X123" s="370">
        <f t="shared" si="150"/>
        <v>24</v>
      </c>
      <c r="Y123" s="367">
        <f t="shared" si="151"/>
        <v>302618.7</v>
      </c>
      <c r="Z123" s="367">
        <f t="shared" si="152"/>
        <v>30261.870000000003</v>
      </c>
      <c r="AA123" s="497">
        <v>24</v>
      </c>
      <c r="AB123" s="367">
        <f t="shared" si="153"/>
        <v>13272.75</v>
      </c>
      <c r="AC123" s="497"/>
      <c r="AD123" s="367">
        <f t="shared" si="154"/>
        <v>0</v>
      </c>
      <c r="AE123" s="497"/>
      <c r="AF123" s="497"/>
      <c r="AG123" s="367"/>
      <c r="AH123" s="497"/>
      <c r="AI123" s="367"/>
      <c r="AJ123" s="372"/>
      <c r="AK123" s="367"/>
      <c r="AL123" s="366">
        <f t="shared" si="155"/>
        <v>24</v>
      </c>
      <c r="AM123" s="367">
        <f t="shared" si="156"/>
        <v>90785.61</v>
      </c>
      <c r="AN123" s="366" t="str">
        <f t="shared" si="157"/>
        <v>Педагог-сарапшы</v>
      </c>
      <c r="AO123" s="367" t="str">
        <f t="shared" si="158"/>
        <v>0</v>
      </c>
      <c r="AP123" s="367" t="str">
        <f t="shared" si="159"/>
        <v>0</v>
      </c>
      <c r="AQ123" s="367">
        <f t="shared" si="160"/>
        <v>105916.545</v>
      </c>
      <c r="AR123" s="367" t="str">
        <f t="shared" si="161"/>
        <v>0</v>
      </c>
      <c r="AS123" s="497"/>
      <c r="AT123" s="374"/>
      <c r="AU123" s="499"/>
      <c r="AV123" s="374"/>
      <c r="AW123" s="371" t="str">
        <f>G123</f>
        <v>Магистр педагогика и психология</v>
      </c>
      <c r="AX123" s="372">
        <f>10*4325</f>
        <v>43250</v>
      </c>
      <c r="AY123" s="367"/>
      <c r="AZ123" s="367">
        <f t="shared" si="162"/>
        <v>283486.77500000002</v>
      </c>
      <c r="BA123" s="373">
        <f t="shared" si="85"/>
        <v>586105.47500000009</v>
      </c>
      <c r="BB123" s="374">
        <f t="shared" si="90"/>
        <v>58610.547500000015</v>
      </c>
      <c r="BC123" s="374">
        <f t="shared" si="91"/>
        <v>11722.109500000002</v>
      </c>
      <c r="BD123" s="374">
        <f t="shared" si="86"/>
        <v>45522.281800000012</v>
      </c>
      <c r="BE123" s="374">
        <f t="shared" si="92"/>
        <v>470250.53620000009</v>
      </c>
      <c r="BF123" s="374">
        <f t="shared" si="93"/>
        <v>7033265.7000000011</v>
      </c>
      <c r="BG123" s="374">
        <f t="shared" si="87"/>
        <v>605237.4</v>
      </c>
      <c r="BH123" s="374">
        <f t="shared" si="94"/>
        <v>7638503.1000000015</v>
      </c>
      <c r="BI123" s="374">
        <f t="shared" si="88"/>
        <v>267347.60850000009</v>
      </c>
      <c r="BJ123" s="374">
        <f t="shared" si="89"/>
        <v>397005.98286000005</v>
      </c>
      <c r="BK123" s="374">
        <f t="shared" si="95"/>
        <v>343732.63950000011</v>
      </c>
      <c r="BL123" s="374">
        <f t="shared" si="96"/>
        <v>229155.09300000002</v>
      </c>
      <c r="BM123" s="373">
        <f t="shared" si="163"/>
        <v>8875744.4238600023</v>
      </c>
      <c r="BN123" s="375"/>
      <c r="BO123" s="377"/>
      <c r="BP123" s="377"/>
      <c r="BQ123" s="377"/>
      <c r="BR123" s="377"/>
      <c r="BS123" s="377"/>
      <c r="BT123" s="377"/>
      <c r="BU123" s="377"/>
      <c r="BV123" s="377"/>
      <c r="BW123" s="377"/>
      <c r="BX123" s="377"/>
      <c r="BY123" s="377"/>
      <c r="BZ123" s="377"/>
      <c r="CA123" s="377"/>
      <c r="CB123" s="377"/>
      <c r="CC123" s="377"/>
      <c r="CD123" s="377"/>
      <c r="CE123" s="377"/>
      <c r="CF123" s="377"/>
      <c r="CG123" s="377"/>
      <c r="CH123" s="377"/>
      <c r="CI123" s="377"/>
    </row>
    <row r="124" spans="1:87" ht="15">
      <c r="A124" s="1515"/>
      <c r="B124" s="1508"/>
      <c r="C124" s="490" t="s">
        <v>1162</v>
      </c>
      <c r="D124" s="490"/>
      <c r="E124" s="490"/>
      <c r="F124" s="490"/>
      <c r="G124" s="490"/>
      <c r="H124" s="491"/>
      <c r="I124" s="490"/>
      <c r="J124" s="490"/>
      <c r="K124" s="422">
        <f t="shared" ref="K124:AE124" si="165">SUM(K117:K123)</f>
        <v>1378596.3</v>
      </c>
      <c r="L124" s="407">
        <f t="shared" si="165"/>
        <v>35</v>
      </c>
      <c r="M124" s="407">
        <f t="shared" si="165"/>
        <v>35</v>
      </c>
      <c r="N124" s="407">
        <f t="shared" si="165"/>
        <v>27</v>
      </c>
      <c r="O124" s="407">
        <f t="shared" si="165"/>
        <v>27</v>
      </c>
      <c r="P124" s="407">
        <f t="shared" si="165"/>
        <v>27</v>
      </c>
      <c r="Q124" s="407">
        <f t="shared" si="165"/>
        <v>151</v>
      </c>
      <c r="R124" s="407">
        <f t="shared" si="165"/>
        <v>0</v>
      </c>
      <c r="S124" s="407">
        <f t="shared" si="165"/>
        <v>0</v>
      </c>
      <c r="T124" s="407">
        <f t="shared" si="165"/>
        <v>0</v>
      </c>
      <c r="U124" s="407">
        <f t="shared" si="165"/>
        <v>0</v>
      </c>
      <c r="V124" s="407">
        <f t="shared" si="165"/>
        <v>8</v>
      </c>
      <c r="W124" s="407">
        <f t="shared" si="165"/>
        <v>8</v>
      </c>
      <c r="X124" s="407">
        <f t="shared" si="165"/>
        <v>159</v>
      </c>
      <c r="Y124" s="407">
        <f t="shared" si="165"/>
        <v>1946006.3625</v>
      </c>
      <c r="Z124" s="407">
        <f t="shared" si="165"/>
        <v>194600.63625000001</v>
      </c>
      <c r="AA124" s="407">
        <f t="shared" si="165"/>
        <v>151</v>
      </c>
      <c r="AB124" s="407">
        <f t="shared" si="165"/>
        <v>83507.71875</v>
      </c>
      <c r="AC124" s="407">
        <f t="shared" si="165"/>
        <v>0</v>
      </c>
      <c r="AD124" s="407">
        <f t="shared" si="165"/>
        <v>0</v>
      </c>
      <c r="AE124" s="407">
        <f t="shared" si="165"/>
        <v>0</v>
      </c>
      <c r="AF124" s="407">
        <v>4</v>
      </c>
      <c r="AG124" s="407">
        <f>SUM(AG117:AG123)</f>
        <v>14157.6</v>
      </c>
      <c r="AH124" s="407">
        <v>3</v>
      </c>
      <c r="AI124" s="407">
        <f t="shared" ref="AI124:BN124" si="166">SUM(AI117:AI123)</f>
        <v>106182</v>
      </c>
      <c r="AJ124" s="407">
        <f t="shared" si="166"/>
        <v>0</v>
      </c>
      <c r="AK124" s="407">
        <f t="shared" si="166"/>
        <v>0</v>
      </c>
      <c r="AL124" s="407">
        <f t="shared" si="166"/>
        <v>159</v>
      </c>
      <c r="AM124" s="407">
        <f t="shared" si="166"/>
        <v>583801.90875000006</v>
      </c>
      <c r="AN124" s="407">
        <f t="shared" si="166"/>
        <v>0</v>
      </c>
      <c r="AO124" s="407">
        <f t="shared" si="166"/>
        <v>0</v>
      </c>
      <c r="AP124" s="407">
        <f t="shared" si="166"/>
        <v>388360.66500000004</v>
      </c>
      <c r="AQ124" s="407">
        <f t="shared" si="166"/>
        <v>105916.545</v>
      </c>
      <c r="AR124" s="407">
        <f t="shared" si="166"/>
        <v>88263.787499999991</v>
      </c>
      <c r="AS124" s="407">
        <f t="shared" si="166"/>
        <v>0</v>
      </c>
      <c r="AT124" s="407">
        <f t="shared" si="166"/>
        <v>0</v>
      </c>
      <c r="AU124" s="407">
        <f t="shared" si="166"/>
        <v>0</v>
      </c>
      <c r="AV124" s="407">
        <f t="shared" si="166"/>
        <v>0</v>
      </c>
      <c r="AW124" s="407">
        <v>2</v>
      </c>
      <c r="AX124" s="407">
        <f t="shared" si="166"/>
        <v>86500</v>
      </c>
      <c r="AY124" s="407">
        <f t="shared" si="166"/>
        <v>0</v>
      </c>
      <c r="AZ124" s="407">
        <f t="shared" si="166"/>
        <v>1651290.8612500001</v>
      </c>
      <c r="BA124" s="1318">
        <f>SUM(BA117:BA123)</f>
        <v>3597297.2237500004</v>
      </c>
      <c r="BB124" s="1318">
        <f t="shared" ref="BB124:BM124" si="167">SUM(BB117:BB123)</f>
        <v>359729.72237500001</v>
      </c>
      <c r="BC124" s="1318">
        <f t="shared" si="167"/>
        <v>71945.944474999997</v>
      </c>
      <c r="BD124" s="1318">
        <f t="shared" si="167"/>
        <v>274177.15569000004</v>
      </c>
      <c r="BE124" s="1318">
        <f t="shared" si="167"/>
        <v>2891444.4012099998</v>
      </c>
      <c r="BF124" s="1318">
        <f t="shared" si="167"/>
        <v>43167566.685000002</v>
      </c>
      <c r="BG124" s="1318">
        <f t="shared" si="167"/>
        <v>3892012.7250000001</v>
      </c>
      <c r="BH124" s="1318">
        <f t="shared" si="167"/>
        <v>47059579.410000004</v>
      </c>
      <c r="BI124" s="1318">
        <f t="shared" si="167"/>
        <v>1647085.2793500002</v>
      </c>
      <c r="BJ124" s="1318">
        <f t="shared" si="167"/>
        <v>2446248.6414330001</v>
      </c>
      <c r="BK124" s="1318">
        <f t="shared" si="167"/>
        <v>2117681.07345</v>
      </c>
      <c r="BL124" s="1318">
        <f t="shared" si="167"/>
        <v>1411787.3823000002</v>
      </c>
      <c r="BM124" s="1318">
        <f t="shared" si="167"/>
        <v>54682381.786532998</v>
      </c>
      <c r="BN124" s="407">
        <f t="shared" si="166"/>
        <v>0</v>
      </c>
      <c r="BO124" s="355"/>
      <c r="BP124" s="355"/>
      <c r="BQ124" s="355"/>
      <c r="BR124" s="355"/>
      <c r="BS124" s="355"/>
      <c r="BT124" s="355"/>
      <c r="BU124" s="355"/>
      <c r="BV124" s="355"/>
      <c r="BW124" s="355"/>
      <c r="BX124" s="355"/>
      <c r="BY124" s="355"/>
      <c r="BZ124" s="355"/>
      <c r="CA124" s="355"/>
      <c r="CB124" s="355"/>
      <c r="CC124" s="355"/>
      <c r="CD124" s="355"/>
      <c r="CE124" s="355"/>
      <c r="CF124" s="355"/>
      <c r="CG124" s="355"/>
      <c r="CH124" s="355"/>
      <c r="CI124" s="356"/>
    </row>
    <row r="125" spans="1:87" ht="78.75">
      <c r="A125" s="369">
        <f>A123+1</f>
        <v>105</v>
      </c>
      <c r="B125" s="416">
        <v>1</v>
      </c>
      <c r="C125" s="409" t="s">
        <v>1275</v>
      </c>
      <c r="D125" s="412" t="s">
        <v>1276</v>
      </c>
      <c r="E125" s="366" t="s">
        <v>998</v>
      </c>
      <c r="F125" s="1314" t="s">
        <v>254</v>
      </c>
      <c r="G125" s="366" t="s">
        <v>1277</v>
      </c>
      <c r="H125" s="371" t="s">
        <v>1441</v>
      </c>
      <c r="I125" s="366">
        <v>17697</v>
      </c>
      <c r="J125" s="367">
        <v>11.18</v>
      </c>
      <c r="K125" s="367">
        <f t="shared" ref="K125:K132" si="168">I125*J125</f>
        <v>197852.46</v>
      </c>
      <c r="L125" s="380">
        <v>3</v>
      </c>
      <c r="M125" s="380"/>
      <c r="N125" s="380">
        <v>20</v>
      </c>
      <c r="O125" s="380"/>
      <c r="P125" s="380">
        <v>8</v>
      </c>
      <c r="Q125" s="368">
        <f t="shared" ref="Q125:Q132" si="169">SUM(L125:P125)</f>
        <v>31</v>
      </c>
      <c r="R125" s="380"/>
      <c r="S125" s="380"/>
      <c r="T125" s="380"/>
      <c r="U125" s="380"/>
      <c r="V125" s="380"/>
      <c r="W125" s="381">
        <f t="shared" ref="W125:W132" si="170">SUM(R125:V125)</f>
        <v>0</v>
      </c>
      <c r="X125" s="370">
        <f t="shared" ref="X125:X132" si="171">Q125+W125</f>
        <v>31</v>
      </c>
      <c r="Y125" s="367">
        <f t="shared" ref="Y125:Y132" si="172">K125/16*X125</f>
        <v>383339.14124999999</v>
      </c>
      <c r="Z125" s="367">
        <f t="shared" ref="Z125:Z131" si="173">Y125*10%</f>
        <v>38333.914125000003</v>
      </c>
      <c r="AA125" s="497"/>
      <c r="AB125" s="367">
        <f t="shared" ref="AB125:AB132" si="174">I125/16*AA125*40%</f>
        <v>0</v>
      </c>
      <c r="AC125" s="497"/>
      <c r="AD125" s="367">
        <f t="shared" ref="AD125:AD132" si="175">I125/16*AC125*40%*50%</f>
        <v>0</v>
      </c>
      <c r="AE125" s="497"/>
      <c r="AF125" s="497" t="s">
        <v>1278</v>
      </c>
      <c r="AG125" s="367">
        <f t="shared" ref="AG125:AG131" si="176">17697*20%</f>
        <v>3539.4</v>
      </c>
      <c r="AH125" s="497" t="s">
        <v>1279</v>
      </c>
      <c r="AI125" s="367">
        <f>I125*200%</f>
        <v>35394</v>
      </c>
      <c r="AJ125" s="372"/>
      <c r="AK125" s="367"/>
      <c r="AL125" s="366">
        <f t="shared" ref="AL125:AL132" si="177">X125</f>
        <v>31</v>
      </c>
      <c r="AM125" s="367">
        <f t="shared" ref="AM125:AM132" si="178">K125/16*AL125*30%</f>
        <v>115001.74237499999</v>
      </c>
      <c r="AN125" s="366" t="str">
        <f t="shared" ref="AN125:AN132" si="179">F125</f>
        <v>Педагог-модератор</v>
      </c>
      <c r="AO125" s="367" t="str">
        <f t="shared" ref="AO125:AO132" si="180">IF(AN125="Педагог-зерттеуші", "0", IF(AN125="Педагог-шебер",K125/16*X125*50%, IF(AN125="Педагог-сарапшы", "0", IF(AN125="Педагог-модератор", "0", "0"))))</f>
        <v>0</v>
      </c>
      <c r="AP125" s="367" t="str">
        <f t="shared" ref="AP125:AP132" si="181">IF(AN125="Педагог-шебер", "0", IF(AN125="Педагог-зерттеуші",K125/16*X125*40%, IF(AN125="Педагог-сарапшы", "0", IF(AN125="Педагог-модератор", "0", "0"))))</f>
        <v>0</v>
      </c>
      <c r="AQ125" s="367" t="str">
        <f t="shared" ref="AQ125:AQ132" si="182">IF(AN125="Педагог-шебер", "0", IF(AN125="Педагог-сарапшы",K125/16*X125*35%, IF(AN125="Педагог-зерттеуші", "0", IF(AN125="Педагог-модератор", "0", "0"))))</f>
        <v>0</v>
      </c>
      <c r="AR125" s="367">
        <f t="shared" ref="AR125:AR132" si="183">IF(AN125="Педагог-шебер", "0", IF(AN125="Педагог-модератор",K125/16*X125*30%, IF(AN125="Педагог-зерттеуші", "0", IF(AN125="Педагог-сарапшы", "0", "0"))))</f>
        <v>115001.74237499999</v>
      </c>
      <c r="AS125" s="497"/>
      <c r="AT125" s="374"/>
      <c r="AU125" s="499"/>
      <c r="AV125" s="374"/>
      <c r="AW125" s="371" t="str">
        <f>G125</f>
        <v>Магистр-история</v>
      </c>
      <c r="AX125" s="372">
        <f>10*4325</f>
        <v>43250</v>
      </c>
      <c r="AY125" s="367"/>
      <c r="AZ125" s="367">
        <f t="shared" ref="AZ125:AZ132" si="184">Z125+AB125+AD125+AE125+AG125+AI125+AK125+AM125+AO125+AP125+AQ125++AR125+AT125+AV125+AX125+AY125</f>
        <v>350520.79887499998</v>
      </c>
      <c r="BA125" s="373">
        <f t="shared" si="85"/>
        <v>733859.94012499996</v>
      </c>
      <c r="BB125" s="374">
        <f t="shared" si="90"/>
        <v>73385.994012499999</v>
      </c>
      <c r="BC125" s="374">
        <f t="shared" si="91"/>
        <v>14677.198802499999</v>
      </c>
      <c r="BD125" s="374">
        <f t="shared" si="86"/>
        <v>58524.674730999992</v>
      </c>
      <c r="BE125" s="374">
        <f t="shared" si="92"/>
        <v>587272.07257899991</v>
      </c>
      <c r="BF125" s="374">
        <f t="shared" si="93"/>
        <v>8806319.2815000005</v>
      </c>
      <c r="BG125" s="374">
        <f t="shared" si="87"/>
        <v>766678.28249999997</v>
      </c>
      <c r="BH125" s="374">
        <f t="shared" si="94"/>
        <v>9572997.5640000012</v>
      </c>
      <c r="BI125" s="374">
        <f t="shared" si="88"/>
        <v>335054.91474000009</v>
      </c>
      <c r="BJ125" s="374">
        <f t="shared" si="89"/>
        <v>497567.9660367</v>
      </c>
      <c r="BK125" s="374">
        <f t="shared" si="95"/>
        <v>430784.89038000006</v>
      </c>
      <c r="BL125" s="374">
        <f t="shared" si="96"/>
        <v>287189.92692</v>
      </c>
      <c r="BM125" s="373">
        <f t="shared" ref="BM125:BM132" si="185">BH125+BJ125+BK125+BL125+BI125</f>
        <v>11123595.262076702</v>
      </c>
      <c r="BN125" s="375"/>
      <c r="BO125" s="377"/>
      <c r="BP125" s="377"/>
      <c r="BQ125" s="377"/>
      <c r="BR125" s="377"/>
      <c r="BS125" s="377"/>
      <c r="BT125" s="377"/>
      <c r="BU125" s="377"/>
      <c r="BV125" s="377"/>
      <c r="BW125" s="377"/>
      <c r="BX125" s="377"/>
      <c r="BY125" s="377"/>
      <c r="BZ125" s="377"/>
      <c r="CA125" s="377"/>
      <c r="CB125" s="377"/>
      <c r="CC125" s="377"/>
      <c r="CD125" s="377"/>
      <c r="CE125" s="377"/>
      <c r="CF125" s="377"/>
      <c r="CG125" s="377"/>
      <c r="CH125" s="377"/>
      <c r="CI125" s="377"/>
    </row>
    <row r="126" spans="1:87" ht="78.75">
      <c r="A126" s="369">
        <f>A125+1</f>
        <v>106</v>
      </c>
      <c r="B126" s="416">
        <f>B125+1</f>
        <v>2</v>
      </c>
      <c r="C126" s="409" t="s">
        <v>1280</v>
      </c>
      <c r="D126" s="412" t="s">
        <v>1281</v>
      </c>
      <c r="E126" s="366" t="s">
        <v>998</v>
      </c>
      <c r="F126" s="508" t="s">
        <v>999</v>
      </c>
      <c r="G126" s="366"/>
      <c r="H126" s="371" t="s">
        <v>1282</v>
      </c>
      <c r="I126" s="366">
        <v>17697</v>
      </c>
      <c r="J126" s="367">
        <v>11.4</v>
      </c>
      <c r="K126" s="367">
        <f t="shared" si="168"/>
        <v>201745.80000000002</v>
      </c>
      <c r="L126" s="380"/>
      <c r="M126" s="380"/>
      <c r="N126" s="380"/>
      <c r="O126" s="380">
        <v>20</v>
      </c>
      <c r="P126" s="380">
        <v>12</v>
      </c>
      <c r="Q126" s="368">
        <f t="shared" si="169"/>
        <v>32</v>
      </c>
      <c r="R126" s="380"/>
      <c r="S126" s="380"/>
      <c r="T126" s="380"/>
      <c r="U126" s="380"/>
      <c r="V126" s="380">
        <v>4</v>
      </c>
      <c r="W126" s="381">
        <f t="shared" si="170"/>
        <v>4</v>
      </c>
      <c r="X126" s="370">
        <f t="shared" si="171"/>
        <v>36</v>
      </c>
      <c r="Y126" s="367">
        <f t="shared" si="172"/>
        <v>453928.05000000005</v>
      </c>
      <c r="Z126" s="367">
        <f t="shared" si="173"/>
        <v>45392.805000000008</v>
      </c>
      <c r="AA126" s="497"/>
      <c r="AB126" s="367">
        <f t="shared" si="174"/>
        <v>0</v>
      </c>
      <c r="AC126" s="497"/>
      <c r="AD126" s="367">
        <f t="shared" si="175"/>
        <v>0</v>
      </c>
      <c r="AE126" s="498"/>
      <c r="AF126" s="497" t="s">
        <v>1283</v>
      </c>
      <c r="AG126" s="367">
        <f t="shared" si="176"/>
        <v>3539.4</v>
      </c>
      <c r="AH126" s="497" t="s">
        <v>1284</v>
      </c>
      <c r="AI126" s="367">
        <f>I126*200%</f>
        <v>35394</v>
      </c>
      <c r="AJ126" s="372"/>
      <c r="AK126" s="367"/>
      <c r="AL126" s="366">
        <f t="shared" si="177"/>
        <v>36</v>
      </c>
      <c r="AM126" s="367">
        <f t="shared" si="178"/>
        <v>136178.41500000001</v>
      </c>
      <c r="AN126" s="366" t="str">
        <f t="shared" si="179"/>
        <v>Педагог-шебер</v>
      </c>
      <c r="AO126" s="367">
        <f t="shared" si="180"/>
        <v>226964.02500000002</v>
      </c>
      <c r="AP126" s="367" t="str">
        <f t="shared" si="181"/>
        <v>0</v>
      </c>
      <c r="AQ126" s="367" t="str">
        <f t="shared" si="182"/>
        <v>0</v>
      </c>
      <c r="AR126" s="367" t="str">
        <f t="shared" si="183"/>
        <v>0</v>
      </c>
      <c r="AS126" s="497"/>
      <c r="AT126" s="374"/>
      <c r="AU126" s="499"/>
      <c r="AV126" s="374"/>
      <c r="AW126" s="371">
        <f t="shared" ref="AW126:AW132" si="186">G126</f>
        <v>0</v>
      </c>
      <c r="AX126" s="367"/>
      <c r="AY126" s="367"/>
      <c r="AZ126" s="367">
        <f t="shared" si="184"/>
        <v>447468.64500000002</v>
      </c>
      <c r="BA126" s="373">
        <f t="shared" si="85"/>
        <v>901396.69500000007</v>
      </c>
      <c r="BB126" s="374">
        <f t="shared" si="90"/>
        <v>90139.669500000018</v>
      </c>
      <c r="BC126" s="374">
        <f t="shared" si="91"/>
        <v>18027.9339</v>
      </c>
      <c r="BD126" s="374">
        <f t="shared" si="86"/>
        <v>73267.90916000001</v>
      </c>
      <c r="BE126" s="374">
        <f t="shared" si="92"/>
        <v>719961.18244</v>
      </c>
      <c r="BF126" s="374">
        <f t="shared" si="93"/>
        <v>10816760.34</v>
      </c>
      <c r="BG126" s="374">
        <f t="shared" si="87"/>
        <v>907856.10000000009</v>
      </c>
      <c r="BH126" s="374">
        <f t="shared" si="94"/>
        <v>11724616.439999999</v>
      </c>
      <c r="BI126" s="374">
        <f t="shared" si="88"/>
        <v>410361.57540000003</v>
      </c>
      <c r="BJ126" s="374">
        <f t="shared" si="89"/>
        <v>609332.41501200001</v>
      </c>
      <c r="BK126" s="374">
        <f t="shared" si="95"/>
        <v>527607.73979999998</v>
      </c>
      <c r="BL126" s="374">
        <f t="shared" si="96"/>
        <v>351738.49319999997</v>
      </c>
      <c r="BM126" s="373">
        <f t="shared" si="185"/>
        <v>13623656.663412001</v>
      </c>
      <c r="BN126" s="375"/>
      <c r="BO126" s="377"/>
      <c r="BP126" s="377"/>
      <c r="BQ126" s="377"/>
      <c r="BR126" s="377"/>
      <c r="BS126" s="377"/>
      <c r="BT126" s="377"/>
      <c r="BU126" s="377"/>
      <c r="BV126" s="377"/>
      <c r="BW126" s="377"/>
      <c r="BX126" s="377"/>
      <c r="BY126" s="377"/>
      <c r="BZ126" s="377"/>
      <c r="CA126" s="377"/>
      <c r="CB126" s="377"/>
      <c r="CC126" s="377"/>
      <c r="CD126" s="377"/>
      <c r="CE126" s="377"/>
      <c r="CF126" s="377"/>
      <c r="CG126" s="377"/>
      <c r="CH126" s="377"/>
      <c r="CI126" s="377"/>
    </row>
    <row r="127" spans="1:87" ht="78.75">
      <c r="A127" s="369">
        <f t="shared" ref="A127:B132" si="187">A126+1</f>
        <v>107</v>
      </c>
      <c r="B127" s="416">
        <f t="shared" si="187"/>
        <v>3</v>
      </c>
      <c r="C127" s="409" t="s">
        <v>1285</v>
      </c>
      <c r="D127" s="412" t="s">
        <v>1286</v>
      </c>
      <c r="E127" s="366" t="s">
        <v>998</v>
      </c>
      <c r="F127" s="508" t="s">
        <v>1005</v>
      </c>
      <c r="G127" s="366" t="s">
        <v>1226</v>
      </c>
      <c r="H127" s="371" t="s">
        <v>1442</v>
      </c>
      <c r="I127" s="366">
        <v>17697</v>
      </c>
      <c r="J127" s="367">
        <v>11.18</v>
      </c>
      <c r="K127" s="367">
        <f t="shared" si="168"/>
        <v>197852.46</v>
      </c>
      <c r="L127" s="380"/>
      <c r="M127" s="380"/>
      <c r="N127" s="380">
        <v>16</v>
      </c>
      <c r="O127" s="380">
        <v>16</v>
      </c>
      <c r="P127" s="380"/>
      <c r="Q127" s="368">
        <f t="shared" si="169"/>
        <v>32</v>
      </c>
      <c r="R127" s="380"/>
      <c r="S127" s="380"/>
      <c r="T127" s="380"/>
      <c r="U127" s="380"/>
      <c r="V127" s="380">
        <v>4</v>
      </c>
      <c r="W127" s="381">
        <f t="shared" si="170"/>
        <v>4</v>
      </c>
      <c r="X127" s="370">
        <f t="shared" si="171"/>
        <v>36</v>
      </c>
      <c r="Y127" s="367">
        <f t="shared" si="172"/>
        <v>445168.03499999997</v>
      </c>
      <c r="Z127" s="367">
        <f t="shared" si="173"/>
        <v>44516.803500000002</v>
      </c>
      <c r="AA127" s="497"/>
      <c r="AB127" s="367">
        <f t="shared" si="174"/>
        <v>0</v>
      </c>
      <c r="AC127" s="497"/>
      <c r="AD127" s="367">
        <f t="shared" si="175"/>
        <v>0</v>
      </c>
      <c r="AE127" s="497"/>
      <c r="AF127" s="497" t="s">
        <v>1287</v>
      </c>
      <c r="AG127" s="367">
        <f t="shared" si="176"/>
        <v>3539.4</v>
      </c>
      <c r="AH127" s="497"/>
      <c r="AI127" s="367"/>
      <c r="AJ127" s="372"/>
      <c r="AK127" s="367"/>
      <c r="AL127" s="366">
        <f t="shared" si="177"/>
        <v>36</v>
      </c>
      <c r="AM127" s="367">
        <f t="shared" si="178"/>
        <v>133550.4105</v>
      </c>
      <c r="AN127" s="366" t="str">
        <f t="shared" si="179"/>
        <v>Педагог-зерттеуші</v>
      </c>
      <c r="AO127" s="367" t="str">
        <f t="shared" si="180"/>
        <v>0</v>
      </c>
      <c r="AP127" s="367">
        <f t="shared" si="181"/>
        <v>178067.21400000001</v>
      </c>
      <c r="AQ127" s="367" t="str">
        <f t="shared" si="182"/>
        <v>0</v>
      </c>
      <c r="AR127" s="367" t="str">
        <f t="shared" si="183"/>
        <v>0</v>
      </c>
      <c r="AS127" s="497"/>
      <c r="AT127" s="374"/>
      <c r="AU127" s="499"/>
      <c r="AV127" s="374"/>
      <c r="AW127" s="371" t="str">
        <f t="shared" si="186"/>
        <v>Магистр-педагогика</v>
      </c>
      <c r="AX127" s="372">
        <f>10*4325</f>
        <v>43250</v>
      </c>
      <c r="AY127" s="367"/>
      <c r="AZ127" s="367">
        <f t="shared" si="184"/>
        <v>402923.82799999998</v>
      </c>
      <c r="BA127" s="373">
        <f t="shared" si="85"/>
        <v>848091.8629999999</v>
      </c>
      <c r="BB127" s="374">
        <f t="shared" si="90"/>
        <v>84809.186300000001</v>
      </c>
      <c r="BC127" s="374">
        <f t="shared" si="91"/>
        <v>16961.837259999997</v>
      </c>
      <c r="BD127" s="374">
        <f t="shared" si="86"/>
        <v>68577.083943999998</v>
      </c>
      <c r="BE127" s="374">
        <f t="shared" si="92"/>
        <v>677743.75549600006</v>
      </c>
      <c r="BF127" s="374">
        <f t="shared" si="93"/>
        <v>10177102.355999999</v>
      </c>
      <c r="BG127" s="374">
        <f t="shared" si="87"/>
        <v>890336.07</v>
      </c>
      <c r="BH127" s="374">
        <f t="shared" si="94"/>
        <v>11067438.425999999</v>
      </c>
      <c r="BI127" s="374">
        <f t="shared" si="88"/>
        <v>387360.34490999999</v>
      </c>
      <c r="BJ127" s="374">
        <f t="shared" si="89"/>
        <v>575252.04982080008</v>
      </c>
      <c r="BK127" s="374">
        <f t="shared" si="95"/>
        <v>498034.72917000001</v>
      </c>
      <c r="BL127" s="374">
        <f t="shared" si="96"/>
        <v>332023.15277999995</v>
      </c>
      <c r="BM127" s="373">
        <f t="shared" si="185"/>
        <v>12860108.702680798</v>
      </c>
      <c r="BN127" s="375"/>
      <c r="BO127" s="377"/>
      <c r="BP127" s="377"/>
      <c r="BQ127" s="377"/>
      <c r="BR127" s="377"/>
      <c r="BS127" s="377"/>
      <c r="BT127" s="377"/>
      <c r="BU127" s="377"/>
      <c r="BV127" s="377"/>
      <c r="BW127" s="377"/>
      <c r="BX127" s="377"/>
      <c r="BY127" s="377"/>
      <c r="BZ127" s="377"/>
      <c r="CA127" s="377"/>
      <c r="CB127" s="377"/>
      <c r="CC127" s="377"/>
      <c r="CD127" s="377"/>
      <c r="CE127" s="377"/>
      <c r="CF127" s="377"/>
      <c r="CG127" s="377"/>
      <c r="CH127" s="377"/>
      <c r="CI127" s="377"/>
    </row>
    <row r="128" spans="1:87" ht="47.25">
      <c r="A128" s="369">
        <f t="shared" si="187"/>
        <v>108</v>
      </c>
      <c r="B128" s="416">
        <f t="shared" si="187"/>
        <v>4</v>
      </c>
      <c r="C128" s="409" t="s">
        <v>1288</v>
      </c>
      <c r="D128" s="502" t="s">
        <v>1289</v>
      </c>
      <c r="E128" s="366" t="s">
        <v>998</v>
      </c>
      <c r="F128" s="508" t="s">
        <v>1005</v>
      </c>
      <c r="G128" s="366"/>
      <c r="H128" s="371" t="s">
        <v>1443</v>
      </c>
      <c r="I128" s="366">
        <v>17697</v>
      </c>
      <c r="J128" s="367">
        <v>10.6</v>
      </c>
      <c r="K128" s="367">
        <f t="shared" si="168"/>
        <v>187588.19999999998</v>
      </c>
      <c r="L128" s="380">
        <v>3</v>
      </c>
      <c r="M128" s="380">
        <v>15</v>
      </c>
      <c r="N128" s="380"/>
      <c r="O128" s="380"/>
      <c r="P128" s="380"/>
      <c r="Q128" s="368">
        <f t="shared" si="169"/>
        <v>18</v>
      </c>
      <c r="R128" s="380"/>
      <c r="S128" s="380"/>
      <c r="T128" s="380"/>
      <c r="U128" s="380"/>
      <c r="V128" s="380"/>
      <c r="W128" s="381">
        <f t="shared" si="170"/>
        <v>0</v>
      </c>
      <c r="X128" s="370">
        <f t="shared" si="171"/>
        <v>18</v>
      </c>
      <c r="Y128" s="367">
        <f t="shared" si="172"/>
        <v>211036.72499999998</v>
      </c>
      <c r="Z128" s="367">
        <f t="shared" si="173"/>
        <v>21103.672500000001</v>
      </c>
      <c r="AA128" s="497"/>
      <c r="AB128" s="367">
        <f t="shared" si="174"/>
        <v>0</v>
      </c>
      <c r="AC128" s="497"/>
      <c r="AD128" s="367">
        <f t="shared" si="175"/>
        <v>0</v>
      </c>
      <c r="AE128" s="497"/>
      <c r="AF128" s="497"/>
      <c r="AG128" s="367"/>
      <c r="AH128" s="497" t="s">
        <v>1290</v>
      </c>
      <c r="AI128" s="367">
        <f>I128*200%</f>
        <v>35394</v>
      </c>
      <c r="AJ128" s="372"/>
      <c r="AK128" s="367"/>
      <c r="AL128" s="366">
        <f t="shared" si="177"/>
        <v>18</v>
      </c>
      <c r="AM128" s="367">
        <f t="shared" si="178"/>
        <v>63311.017499999987</v>
      </c>
      <c r="AN128" s="366" t="str">
        <f t="shared" si="179"/>
        <v>Педагог-зерттеуші</v>
      </c>
      <c r="AO128" s="367" t="str">
        <f t="shared" si="180"/>
        <v>0</v>
      </c>
      <c r="AP128" s="367">
        <f t="shared" si="181"/>
        <v>84414.69</v>
      </c>
      <c r="AQ128" s="367" t="str">
        <f t="shared" si="182"/>
        <v>0</v>
      </c>
      <c r="AR128" s="367" t="str">
        <f t="shared" si="183"/>
        <v>0</v>
      </c>
      <c r="AS128" s="497"/>
      <c r="AT128" s="374"/>
      <c r="AU128" s="499"/>
      <c r="AV128" s="374"/>
      <c r="AW128" s="371">
        <f t="shared" si="186"/>
        <v>0</v>
      </c>
      <c r="AX128" s="372"/>
      <c r="AY128" s="367"/>
      <c r="AZ128" s="367">
        <f t="shared" si="184"/>
        <v>204223.38</v>
      </c>
      <c r="BA128" s="373">
        <f t="shared" si="85"/>
        <v>415260.10499999998</v>
      </c>
      <c r="BB128" s="374">
        <f t="shared" si="90"/>
        <v>41526.010500000004</v>
      </c>
      <c r="BC128" s="374">
        <f t="shared" si="91"/>
        <v>8305.2021000000004</v>
      </c>
      <c r="BD128" s="374">
        <f t="shared" si="86"/>
        <v>30487.889240000004</v>
      </c>
      <c r="BE128" s="374">
        <f t="shared" si="92"/>
        <v>334941.00316000002</v>
      </c>
      <c r="BF128" s="374">
        <f t="shared" si="93"/>
        <v>4983121.26</v>
      </c>
      <c r="BG128" s="374">
        <f t="shared" si="87"/>
        <v>422073.44999999995</v>
      </c>
      <c r="BH128" s="374">
        <f t="shared" si="94"/>
        <v>5405194.71</v>
      </c>
      <c r="BI128" s="374">
        <f t="shared" si="88"/>
        <v>189181.81485000002</v>
      </c>
      <c r="BJ128" s="374">
        <f t="shared" si="89"/>
        <v>280917.64756799996</v>
      </c>
      <c r="BK128" s="374">
        <f t="shared" si="95"/>
        <v>243233.76195000001</v>
      </c>
      <c r="BL128" s="374">
        <f t="shared" si="96"/>
        <v>162155.8413</v>
      </c>
      <c r="BM128" s="373">
        <f t="shared" si="185"/>
        <v>6280683.7756679999</v>
      </c>
      <c r="BN128" s="375"/>
      <c r="BO128" s="377"/>
      <c r="BP128" s="377"/>
      <c r="BQ128" s="377"/>
      <c r="BR128" s="377"/>
      <c r="BS128" s="377"/>
      <c r="BT128" s="377"/>
      <c r="BU128" s="377"/>
      <c r="BV128" s="377"/>
      <c r="BW128" s="377"/>
      <c r="BX128" s="377"/>
      <c r="BY128" s="377"/>
      <c r="BZ128" s="377"/>
      <c r="CA128" s="377"/>
      <c r="CB128" s="377"/>
      <c r="CC128" s="377"/>
      <c r="CD128" s="377"/>
      <c r="CE128" s="377"/>
      <c r="CF128" s="377"/>
      <c r="CG128" s="377"/>
      <c r="CH128" s="377"/>
      <c r="CI128" s="377"/>
    </row>
    <row r="129" spans="1:87" ht="47.25">
      <c r="A129" s="369">
        <f t="shared" si="187"/>
        <v>109</v>
      </c>
      <c r="B129" s="416">
        <f t="shared" si="187"/>
        <v>5</v>
      </c>
      <c r="C129" s="409" t="s">
        <v>1291</v>
      </c>
      <c r="D129" s="502" t="s">
        <v>1292</v>
      </c>
      <c r="E129" s="366" t="s">
        <v>998</v>
      </c>
      <c r="F129" s="1314" t="s">
        <v>254</v>
      </c>
      <c r="G129" s="366"/>
      <c r="H129" s="371" t="s">
        <v>1444</v>
      </c>
      <c r="I129" s="366">
        <v>17697</v>
      </c>
      <c r="J129" s="367">
        <v>11.02</v>
      </c>
      <c r="K129" s="367">
        <f t="shared" si="168"/>
        <v>195020.94</v>
      </c>
      <c r="L129" s="380"/>
      <c r="M129" s="380">
        <v>9</v>
      </c>
      <c r="N129" s="380"/>
      <c r="O129" s="380"/>
      <c r="P129" s="380"/>
      <c r="Q129" s="368">
        <f t="shared" si="169"/>
        <v>9</v>
      </c>
      <c r="R129" s="380"/>
      <c r="S129" s="380"/>
      <c r="T129" s="380"/>
      <c r="U129" s="380"/>
      <c r="V129" s="380"/>
      <c r="W129" s="381">
        <f t="shared" si="170"/>
        <v>0</v>
      </c>
      <c r="X129" s="370">
        <f t="shared" si="171"/>
        <v>9</v>
      </c>
      <c r="Y129" s="367">
        <f t="shared" si="172"/>
        <v>109699.27875</v>
      </c>
      <c r="Z129" s="367">
        <f t="shared" si="173"/>
        <v>10969.927875000001</v>
      </c>
      <c r="AA129" s="497"/>
      <c r="AB129" s="367">
        <f t="shared" si="174"/>
        <v>0</v>
      </c>
      <c r="AC129" s="497"/>
      <c r="AD129" s="367">
        <f t="shared" si="175"/>
        <v>0</v>
      </c>
      <c r="AE129" s="497"/>
      <c r="AF129" s="497"/>
      <c r="AG129" s="367"/>
      <c r="AH129" s="497"/>
      <c r="AI129" s="367"/>
      <c r="AJ129" s="372"/>
      <c r="AK129" s="367"/>
      <c r="AL129" s="366">
        <f t="shared" si="177"/>
        <v>9</v>
      </c>
      <c r="AM129" s="367">
        <f t="shared" si="178"/>
        <v>32909.783624999996</v>
      </c>
      <c r="AN129" s="366" t="str">
        <f t="shared" si="179"/>
        <v>Педагог-модератор</v>
      </c>
      <c r="AO129" s="367" t="str">
        <f t="shared" si="180"/>
        <v>0</v>
      </c>
      <c r="AP129" s="367" t="str">
        <f t="shared" si="181"/>
        <v>0</v>
      </c>
      <c r="AQ129" s="367" t="str">
        <f t="shared" si="182"/>
        <v>0</v>
      </c>
      <c r="AR129" s="367">
        <f t="shared" si="183"/>
        <v>32909.783624999996</v>
      </c>
      <c r="AS129" s="497"/>
      <c r="AT129" s="374"/>
      <c r="AU129" s="499"/>
      <c r="AV129" s="374"/>
      <c r="AW129" s="371">
        <f t="shared" si="186"/>
        <v>0</v>
      </c>
      <c r="AX129" s="372"/>
      <c r="AY129" s="367"/>
      <c r="AZ129" s="367">
        <f t="shared" si="184"/>
        <v>76789.495124999987</v>
      </c>
      <c r="BA129" s="373">
        <f t="shared" si="85"/>
        <v>186488.77387499998</v>
      </c>
      <c r="BB129" s="374">
        <f t="shared" si="90"/>
        <v>18648.877387500001</v>
      </c>
      <c r="BC129" s="374">
        <f t="shared" si="91"/>
        <v>3729.7754774999999</v>
      </c>
      <c r="BD129" s="374">
        <f t="shared" si="86"/>
        <v>10356.012101</v>
      </c>
      <c r="BE129" s="374">
        <f t="shared" si="92"/>
        <v>153754.108909</v>
      </c>
      <c r="BF129" s="374">
        <f t="shared" si="93"/>
        <v>2237865.2864999999</v>
      </c>
      <c r="BG129" s="374">
        <f t="shared" si="87"/>
        <v>219398.5575</v>
      </c>
      <c r="BH129" s="374">
        <f t="shared" si="94"/>
        <v>2457263.844</v>
      </c>
      <c r="BI129" s="374">
        <f t="shared" si="88"/>
        <v>86004.234540000005</v>
      </c>
      <c r="BJ129" s="374">
        <f t="shared" si="89"/>
        <v>127768.94394569998</v>
      </c>
      <c r="BK129" s="374">
        <f t="shared" si="95"/>
        <v>110576.87298000001</v>
      </c>
      <c r="BL129" s="374">
        <f t="shared" si="96"/>
        <v>73717.91532</v>
      </c>
      <c r="BM129" s="373">
        <f t="shared" si="185"/>
        <v>2855331.8107857001</v>
      </c>
      <c r="BN129" s="375"/>
      <c r="BO129" s="377"/>
      <c r="BP129" s="377"/>
      <c r="BQ129" s="377"/>
      <c r="BR129" s="377"/>
      <c r="BS129" s="377"/>
      <c r="BT129" s="377"/>
      <c r="BU129" s="377"/>
      <c r="BV129" s="377"/>
      <c r="BW129" s="377"/>
      <c r="BX129" s="377"/>
      <c r="BY129" s="377"/>
      <c r="BZ129" s="377"/>
      <c r="CA129" s="377"/>
      <c r="CB129" s="377"/>
      <c r="CC129" s="377"/>
      <c r="CD129" s="377"/>
      <c r="CE129" s="377"/>
      <c r="CF129" s="377"/>
      <c r="CG129" s="377"/>
      <c r="CH129" s="377"/>
      <c r="CI129" s="377"/>
    </row>
    <row r="130" spans="1:87" ht="31.5">
      <c r="A130" s="369">
        <f t="shared" si="187"/>
        <v>110</v>
      </c>
      <c r="B130" s="416">
        <f t="shared" si="187"/>
        <v>6</v>
      </c>
      <c r="C130" s="409" t="s">
        <v>1293</v>
      </c>
      <c r="D130" s="412" t="s">
        <v>1294</v>
      </c>
      <c r="E130" s="366" t="s">
        <v>998</v>
      </c>
      <c r="F130" s="508" t="s">
        <v>1011</v>
      </c>
      <c r="G130" s="366"/>
      <c r="H130" s="371" t="s">
        <v>121</v>
      </c>
      <c r="I130" s="366">
        <v>17697</v>
      </c>
      <c r="J130" s="367">
        <v>11.18</v>
      </c>
      <c r="K130" s="367">
        <v>195020.94</v>
      </c>
      <c r="L130" s="380">
        <v>9</v>
      </c>
      <c r="M130" s="380"/>
      <c r="N130" s="380"/>
      <c r="O130" s="380"/>
      <c r="P130" s="380"/>
      <c r="Q130" s="368">
        <v>9</v>
      </c>
      <c r="R130" s="380"/>
      <c r="S130" s="380"/>
      <c r="T130" s="380"/>
      <c r="U130" s="380"/>
      <c r="V130" s="380"/>
      <c r="W130" s="381">
        <v>0</v>
      </c>
      <c r="X130" s="370">
        <v>9</v>
      </c>
      <c r="Y130" s="367">
        <v>109699.27875</v>
      </c>
      <c r="Z130" s="367">
        <v>10969.927875000001</v>
      </c>
      <c r="AA130" s="497"/>
      <c r="AB130" s="367">
        <v>0</v>
      </c>
      <c r="AC130" s="497"/>
      <c r="AD130" s="367">
        <v>0</v>
      </c>
      <c r="AE130" s="497"/>
      <c r="AF130" s="497"/>
      <c r="AG130" s="367"/>
      <c r="AH130" s="497"/>
      <c r="AI130" s="367"/>
      <c r="AJ130" s="372"/>
      <c r="AK130" s="367"/>
      <c r="AL130" s="366">
        <v>9</v>
      </c>
      <c r="AM130" s="367">
        <v>32909.783624999996</v>
      </c>
      <c r="AN130" s="366" t="str">
        <f t="shared" si="179"/>
        <v>Педагог-сарапшы</v>
      </c>
      <c r="AO130" s="367" t="str">
        <f t="shared" si="180"/>
        <v>0</v>
      </c>
      <c r="AP130" s="367" t="str">
        <f t="shared" si="181"/>
        <v>0</v>
      </c>
      <c r="AQ130" s="367">
        <f t="shared" si="182"/>
        <v>38394.747562499993</v>
      </c>
      <c r="AR130" s="367" t="str">
        <f t="shared" si="183"/>
        <v>0</v>
      </c>
      <c r="AS130" s="497"/>
      <c r="AT130" s="374"/>
      <c r="AU130" s="499"/>
      <c r="AV130" s="374"/>
      <c r="AW130" s="371">
        <f t="shared" si="186"/>
        <v>0</v>
      </c>
      <c r="AX130" s="372"/>
      <c r="AY130" s="367"/>
      <c r="AZ130" s="367">
        <f t="shared" si="184"/>
        <v>82274.459062499984</v>
      </c>
      <c r="BA130" s="373">
        <f t="shared" si="85"/>
        <v>191973.73781249998</v>
      </c>
      <c r="BB130" s="374">
        <f t="shared" si="90"/>
        <v>19197.37378125</v>
      </c>
      <c r="BC130" s="374">
        <f t="shared" si="91"/>
        <v>3839.4747562499997</v>
      </c>
      <c r="BD130" s="374">
        <f t="shared" si="86"/>
        <v>10838.688927499998</v>
      </c>
      <c r="BE130" s="374">
        <f t="shared" si="92"/>
        <v>158098.20034749998</v>
      </c>
      <c r="BF130" s="374">
        <f t="shared" si="93"/>
        <v>2303684.8537499998</v>
      </c>
      <c r="BG130" s="374">
        <f t="shared" si="87"/>
        <v>219398.5575</v>
      </c>
      <c r="BH130" s="374">
        <f t="shared" si="94"/>
        <v>2523083.4112499999</v>
      </c>
      <c r="BI130" s="374">
        <f t="shared" si="88"/>
        <v>88307.919393750009</v>
      </c>
      <c r="BJ130" s="374">
        <f t="shared" si="89"/>
        <v>131178.39752925001</v>
      </c>
      <c r="BK130" s="374">
        <f t="shared" si="95"/>
        <v>113538.75350625001</v>
      </c>
      <c r="BL130" s="374">
        <f t="shared" si="96"/>
        <v>75692.502337499987</v>
      </c>
      <c r="BM130" s="373">
        <f t="shared" si="185"/>
        <v>2931800.98401675</v>
      </c>
      <c r="BN130" s="375"/>
      <c r="BO130" s="377"/>
      <c r="BP130" s="377"/>
      <c r="BQ130" s="377"/>
      <c r="BR130" s="377"/>
      <c r="BS130" s="377"/>
      <c r="BT130" s="377"/>
      <c r="BU130" s="377"/>
      <c r="BV130" s="377"/>
      <c r="BW130" s="377"/>
      <c r="BX130" s="377"/>
      <c r="BY130" s="377"/>
      <c r="BZ130" s="377"/>
      <c r="CA130" s="377"/>
      <c r="CB130" s="377"/>
      <c r="CC130" s="377"/>
      <c r="CD130" s="377"/>
      <c r="CE130" s="377"/>
      <c r="CF130" s="377"/>
      <c r="CG130" s="377"/>
      <c r="CH130" s="377"/>
      <c r="CI130" s="377"/>
    </row>
    <row r="131" spans="1:87" ht="78.75">
      <c r="A131" s="369">
        <f t="shared" si="187"/>
        <v>111</v>
      </c>
      <c r="B131" s="416">
        <f t="shared" si="187"/>
        <v>7</v>
      </c>
      <c r="C131" s="409" t="s">
        <v>1295</v>
      </c>
      <c r="D131" s="410" t="s">
        <v>1296</v>
      </c>
      <c r="E131" s="366" t="s">
        <v>998</v>
      </c>
      <c r="F131" s="508" t="s">
        <v>1005</v>
      </c>
      <c r="G131" s="366"/>
      <c r="H131" s="507" t="s">
        <v>1297</v>
      </c>
      <c r="I131" s="508">
        <v>17697</v>
      </c>
      <c r="J131" s="509">
        <v>11.4</v>
      </c>
      <c r="K131" s="367">
        <f t="shared" si="168"/>
        <v>201745.80000000002</v>
      </c>
      <c r="L131" s="380">
        <v>15</v>
      </c>
      <c r="M131" s="380"/>
      <c r="N131" s="380"/>
      <c r="O131" s="380"/>
      <c r="P131" s="380">
        <v>16</v>
      </c>
      <c r="Q131" s="368">
        <f t="shared" si="169"/>
        <v>31</v>
      </c>
      <c r="R131" s="380"/>
      <c r="S131" s="380"/>
      <c r="T131" s="380"/>
      <c r="U131" s="380"/>
      <c r="V131" s="380"/>
      <c r="W131" s="381">
        <f t="shared" si="170"/>
        <v>0</v>
      </c>
      <c r="X131" s="370">
        <f t="shared" si="171"/>
        <v>31</v>
      </c>
      <c r="Y131" s="367">
        <f t="shared" si="172"/>
        <v>390882.48750000005</v>
      </c>
      <c r="Z131" s="367">
        <f t="shared" si="173"/>
        <v>39088.248750000006</v>
      </c>
      <c r="AA131" s="497"/>
      <c r="AB131" s="367">
        <f t="shared" si="174"/>
        <v>0</v>
      </c>
      <c r="AC131" s="497"/>
      <c r="AD131" s="367">
        <f t="shared" si="175"/>
        <v>0</v>
      </c>
      <c r="AE131" s="497"/>
      <c r="AF131" s="497" t="s">
        <v>1298</v>
      </c>
      <c r="AG131" s="367">
        <f t="shared" si="176"/>
        <v>3539.4</v>
      </c>
      <c r="AH131" s="497" t="s">
        <v>1299</v>
      </c>
      <c r="AI131" s="367">
        <f>I131*200%</f>
        <v>35394</v>
      </c>
      <c r="AJ131" s="372"/>
      <c r="AK131" s="367"/>
      <c r="AL131" s="366">
        <f t="shared" si="177"/>
        <v>31</v>
      </c>
      <c r="AM131" s="367">
        <f t="shared" si="178"/>
        <v>117264.74625000001</v>
      </c>
      <c r="AN131" s="366" t="str">
        <f t="shared" si="179"/>
        <v>Педагог-зерттеуші</v>
      </c>
      <c r="AO131" s="367" t="str">
        <f t="shared" si="180"/>
        <v>0</v>
      </c>
      <c r="AP131" s="367">
        <f t="shared" si="181"/>
        <v>156352.99500000002</v>
      </c>
      <c r="AQ131" s="367" t="str">
        <f t="shared" si="182"/>
        <v>0</v>
      </c>
      <c r="AR131" s="367" t="str">
        <f t="shared" si="183"/>
        <v>0</v>
      </c>
      <c r="AS131" s="497"/>
      <c r="AT131" s="374"/>
      <c r="AU131" s="499"/>
      <c r="AV131" s="374"/>
      <c r="AW131" s="371">
        <f t="shared" si="186"/>
        <v>0</v>
      </c>
      <c r="AX131" s="367"/>
      <c r="AY131" s="367"/>
      <c r="AZ131" s="367">
        <f t="shared" si="184"/>
        <v>351639.39</v>
      </c>
      <c r="BA131" s="373">
        <f t="shared" si="85"/>
        <v>742521.87750000006</v>
      </c>
      <c r="BB131" s="374">
        <f t="shared" si="90"/>
        <v>74252.187750000012</v>
      </c>
      <c r="BC131" s="374">
        <f t="shared" si="91"/>
        <v>14850.437550000002</v>
      </c>
      <c r="BD131" s="374">
        <f t="shared" si="86"/>
        <v>59286.925220000005</v>
      </c>
      <c r="BE131" s="374">
        <f t="shared" si="92"/>
        <v>594132.32698000001</v>
      </c>
      <c r="BF131" s="374">
        <f t="shared" si="93"/>
        <v>8910262.5300000012</v>
      </c>
      <c r="BG131" s="374">
        <f t="shared" si="87"/>
        <v>781764.97500000009</v>
      </c>
      <c r="BH131" s="374">
        <f t="shared" si="94"/>
        <v>9692027.5050000008</v>
      </c>
      <c r="BI131" s="374">
        <f t="shared" si="88"/>
        <v>339220.96267500008</v>
      </c>
      <c r="BJ131" s="374">
        <f t="shared" si="89"/>
        <v>503766.90770400001</v>
      </c>
      <c r="BK131" s="374">
        <f t="shared" si="95"/>
        <v>436141.23772500013</v>
      </c>
      <c r="BL131" s="374">
        <f t="shared" si="96"/>
        <v>290760.82514999999</v>
      </c>
      <c r="BM131" s="373">
        <f t="shared" si="185"/>
        <v>11261917.438254001</v>
      </c>
      <c r="BN131" s="375"/>
      <c r="BO131" s="377"/>
      <c r="BP131" s="377"/>
      <c r="BQ131" s="377"/>
      <c r="BR131" s="377"/>
      <c r="BS131" s="377"/>
      <c r="BT131" s="377"/>
      <c r="BU131" s="377"/>
      <c r="BV131" s="377"/>
      <c r="BW131" s="377"/>
      <c r="BX131" s="377"/>
      <c r="BY131" s="377"/>
      <c r="BZ131" s="377"/>
      <c r="CA131" s="377"/>
      <c r="CB131" s="377"/>
      <c r="CC131" s="377"/>
      <c r="CD131" s="377"/>
      <c r="CE131" s="377"/>
      <c r="CF131" s="377"/>
      <c r="CG131" s="377"/>
      <c r="CH131" s="377"/>
      <c r="CI131" s="377"/>
    </row>
    <row r="132" spans="1:87" ht="45">
      <c r="A132" s="369">
        <f t="shared" si="187"/>
        <v>112</v>
      </c>
      <c r="B132" s="416">
        <f t="shared" si="187"/>
        <v>8</v>
      </c>
      <c r="C132" s="409" t="s">
        <v>1300</v>
      </c>
      <c r="D132" s="412" t="s">
        <v>1301</v>
      </c>
      <c r="E132" s="366" t="s">
        <v>998</v>
      </c>
      <c r="F132" s="1314" t="s">
        <v>254</v>
      </c>
      <c r="G132" s="366" t="s">
        <v>1302</v>
      </c>
      <c r="H132" s="371" t="s">
        <v>1445</v>
      </c>
      <c r="I132" s="366">
        <v>17697</v>
      </c>
      <c r="J132" s="367">
        <v>10.4</v>
      </c>
      <c r="K132" s="367">
        <f t="shared" si="168"/>
        <v>184048.80000000002</v>
      </c>
      <c r="L132" s="380"/>
      <c r="M132" s="380">
        <v>6</v>
      </c>
      <c r="N132" s="380"/>
      <c r="O132" s="380"/>
      <c r="P132" s="380"/>
      <c r="Q132" s="368">
        <f t="shared" si="169"/>
        <v>6</v>
      </c>
      <c r="R132" s="380"/>
      <c r="S132" s="380"/>
      <c r="T132" s="380"/>
      <c r="U132" s="380"/>
      <c r="V132" s="380"/>
      <c r="W132" s="381">
        <f t="shared" si="170"/>
        <v>0</v>
      </c>
      <c r="X132" s="370">
        <f t="shared" si="171"/>
        <v>6</v>
      </c>
      <c r="Y132" s="367">
        <f t="shared" si="172"/>
        <v>69018.3</v>
      </c>
      <c r="Z132" s="367"/>
      <c r="AA132" s="497"/>
      <c r="AB132" s="367">
        <f t="shared" si="174"/>
        <v>0</v>
      </c>
      <c r="AC132" s="497"/>
      <c r="AD132" s="367">
        <f t="shared" si="175"/>
        <v>0</v>
      </c>
      <c r="AE132" s="497"/>
      <c r="AF132" s="497"/>
      <c r="AG132" s="367"/>
      <c r="AH132" s="497"/>
      <c r="AI132" s="367"/>
      <c r="AJ132" s="372"/>
      <c r="AK132" s="367"/>
      <c r="AL132" s="366">
        <f t="shared" si="177"/>
        <v>6</v>
      </c>
      <c r="AM132" s="367">
        <f t="shared" si="178"/>
        <v>20705.490000000002</v>
      </c>
      <c r="AN132" s="366" t="str">
        <f t="shared" si="179"/>
        <v>Педагог-модератор</v>
      </c>
      <c r="AO132" s="367" t="str">
        <f t="shared" si="180"/>
        <v>0</v>
      </c>
      <c r="AP132" s="367" t="str">
        <f t="shared" si="181"/>
        <v>0</v>
      </c>
      <c r="AQ132" s="367" t="str">
        <f t="shared" si="182"/>
        <v>0</v>
      </c>
      <c r="AR132" s="367">
        <f t="shared" si="183"/>
        <v>20705.490000000002</v>
      </c>
      <c r="AS132" s="497"/>
      <c r="AT132" s="374"/>
      <c r="AU132" s="499"/>
      <c r="AV132" s="374"/>
      <c r="AW132" s="371" t="str">
        <f t="shared" si="186"/>
        <v>Магистр археология и этнология</v>
      </c>
      <c r="AX132" s="372">
        <f>10*4325</f>
        <v>43250</v>
      </c>
      <c r="AY132" s="367"/>
      <c r="AZ132" s="367">
        <f t="shared" si="184"/>
        <v>84660.98000000001</v>
      </c>
      <c r="BA132" s="373">
        <f t="shared" si="85"/>
        <v>153679.28000000003</v>
      </c>
      <c r="BB132" s="374">
        <f t="shared" si="90"/>
        <v>15367.928000000004</v>
      </c>
      <c r="BC132" s="374">
        <f t="shared" si="91"/>
        <v>3073.5856000000008</v>
      </c>
      <c r="BD132" s="374">
        <f t="shared" si="86"/>
        <v>7468.7766400000028</v>
      </c>
      <c r="BE132" s="374">
        <f t="shared" si="92"/>
        <v>127768.98976000003</v>
      </c>
      <c r="BF132" s="374">
        <f t="shared" si="93"/>
        <v>1844151.3600000003</v>
      </c>
      <c r="BG132" s="374">
        <f t="shared" si="87"/>
        <v>138036.6</v>
      </c>
      <c r="BH132" s="374">
        <f t="shared" si="94"/>
        <v>1982187.9600000004</v>
      </c>
      <c r="BI132" s="374">
        <f t="shared" si="88"/>
        <v>69376.578600000023</v>
      </c>
      <c r="BJ132" s="374">
        <f t="shared" si="89"/>
        <v>102981.01684800003</v>
      </c>
      <c r="BK132" s="374">
        <f t="shared" si="95"/>
        <v>89198.458200000023</v>
      </c>
      <c r="BL132" s="374">
        <f t="shared" si="96"/>
        <v>59465.638800000008</v>
      </c>
      <c r="BM132" s="373">
        <f t="shared" si="185"/>
        <v>2303209.6524480004</v>
      </c>
      <c r="BN132" s="375">
        <v>1</v>
      </c>
      <c r="BO132" s="377"/>
      <c r="BP132" s="377"/>
      <c r="BQ132" s="377"/>
      <c r="BR132" s="377"/>
      <c r="BS132" s="377"/>
      <c r="BT132" s="377"/>
      <c r="BU132" s="377"/>
      <c r="BV132" s="377"/>
      <c r="BW132" s="377"/>
      <c r="BX132" s="377"/>
      <c r="BY132" s="377"/>
      <c r="BZ132" s="377"/>
      <c r="CA132" s="377"/>
      <c r="CB132" s="377"/>
      <c r="CC132" s="377"/>
      <c r="CD132" s="377"/>
      <c r="CE132" s="377"/>
      <c r="CF132" s="377"/>
      <c r="CG132" s="377"/>
      <c r="CH132" s="377"/>
      <c r="CI132" s="377"/>
    </row>
    <row r="133" spans="1:87" ht="14.25">
      <c r="A133" s="489"/>
      <c r="B133" s="489"/>
      <c r="C133" s="490" t="s">
        <v>1162</v>
      </c>
      <c r="D133" s="490"/>
      <c r="E133" s="490"/>
      <c r="F133" s="490"/>
      <c r="G133" s="490"/>
      <c r="H133" s="491"/>
      <c r="I133" s="490"/>
      <c r="J133" s="490"/>
      <c r="K133" s="422">
        <f t="shared" ref="K133:AE133" si="188">SUM(K125:K132)</f>
        <v>1560875.4</v>
      </c>
      <c r="L133" s="407">
        <f t="shared" si="188"/>
        <v>30</v>
      </c>
      <c r="M133" s="407">
        <f t="shared" si="188"/>
        <v>30</v>
      </c>
      <c r="N133" s="407">
        <f t="shared" si="188"/>
        <v>36</v>
      </c>
      <c r="O133" s="407">
        <f t="shared" si="188"/>
        <v>36</v>
      </c>
      <c r="P133" s="407">
        <f t="shared" si="188"/>
        <v>36</v>
      </c>
      <c r="Q133" s="407">
        <f t="shared" si="188"/>
        <v>168</v>
      </c>
      <c r="R133" s="407">
        <f t="shared" si="188"/>
        <v>0</v>
      </c>
      <c r="S133" s="407">
        <f t="shared" si="188"/>
        <v>0</v>
      </c>
      <c r="T133" s="407">
        <f t="shared" si="188"/>
        <v>0</v>
      </c>
      <c r="U133" s="407">
        <f t="shared" si="188"/>
        <v>0</v>
      </c>
      <c r="V133" s="407">
        <f t="shared" si="188"/>
        <v>8</v>
      </c>
      <c r="W133" s="407">
        <f t="shared" si="188"/>
        <v>8</v>
      </c>
      <c r="X133" s="505">
        <f t="shared" si="188"/>
        <v>176</v>
      </c>
      <c r="Y133" s="422">
        <f t="shared" si="188"/>
        <v>2172771.2962499997</v>
      </c>
      <c r="Z133" s="422">
        <f t="shared" si="188"/>
        <v>210375.29962500001</v>
      </c>
      <c r="AA133" s="422">
        <f t="shared" si="188"/>
        <v>0</v>
      </c>
      <c r="AB133" s="422">
        <f t="shared" si="188"/>
        <v>0</v>
      </c>
      <c r="AC133" s="422">
        <f t="shared" si="188"/>
        <v>0</v>
      </c>
      <c r="AD133" s="422">
        <f t="shared" si="188"/>
        <v>0</v>
      </c>
      <c r="AE133" s="422">
        <f t="shared" si="188"/>
        <v>0</v>
      </c>
      <c r="AF133" s="505">
        <v>4</v>
      </c>
      <c r="AG133" s="422">
        <f>SUM(AG125:AG132)</f>
        <v>14157.6</v>
      </c>
      <c r="AH133" s="505">
        <v>4</v>
      </c>
      <c r="AI133" s="422">
        <f>SUM(AI125:AI132)</f>
        <v>141576</v>
      </c>
      <c r="AJ133" s="422">
        <f>SUM(AJ125:AJ132)</f>
        <v>0</v>
      </c>
      <c r="AK133" s="422">
        <f>SUM(AK125:AK132)</f>
        <v>0</v>
      </c>
      <c r="AL133" s="505">
        <f>SUM(AL125:AL132)</f>
        <v>176</v>
      </c>
      <c r="AM133" s="422">
        <f>SUM(AM125:AM132)</f>
        <v>651831.38887499995</v>
      </c>
      <c r="AN133" s="422"/>
      <c r="AO133" s="422">
        <f t="shared" ref="AO133:AV133" si="189">SUM(AO125:AO132)</f>
        <v>226964.02500000002</v>
      </c>
      <c r="AP133" s="422">
        <f t="shared" si="189"/>
        <v>418834.89899999998</v>
      </c>
      <c r="AQ133" s="422">
        <f t="shared" si="189"/>
        <v>38394.747562499993</v>
      </c>
      <c r="AR133" s="422">
        <f t="shared" si="189"/>
        <v>168617.01599999997</v>
      </c>
      <c r="AS133" s="422">
        <f t="shared" si="189"/>
        <v>0</v>
      </c>
      <c r="AT133" s="422">
        <f t="shared" si="189"/>
        <v>0</v>
      </c>
      <c r="AU133" s="422">
        <f t="shared" si="189"/>
        <v>0</v>
      </c>
      <c r="AV133" s="422">
        <f t="shared" si="189"/>
        <v>0</v>
      </c>
      <c r="AW133" s="506" t="s">
        <v>237</v>
      </c>
      <c r="AX133" s="422">
        <f t="shared" ref="AX133:BN133" si="190">SUM(AX125:AX132)</f>
        <v>129750</v>
      </c>
      <c r="AY133" s="422">
        <f t="shared" si="190"/>
        <v>0</v>
      </c>
      <c r="AZ133" s="422">
        <f t="shared" si="190"/>
        <v>2000500.9760624999</v>
      </c>
      <c r="BA133" s="1318">
        <f>SUM(BA125:BA132)</f>
        <v>4173272.2723124996</v>
      </c>
      <c r="BB133" s="1318">
        <f t="shared" ref="BB133:BM133" si="191">SUM(BB125:BB132)</f>
        <v>417327.22723125009</v>
      </c>
      <c r="BC133" s="1318">
        <f t="shared" si="191"/>
        <v>83465.44544625</v>
      </c>
      <c r="BD133" s="1318">
        <f t="shared" si="191"/>
        <v>318807.95996349998</v>
      </c>
      <c r="BE133" s="1318">
        <f t="shared" si="191"/>
        <v>3353671.6396714998</v>
      </c>
      <c r="BF133" s="1318">
        <f t="shared" si="191"/>
        <v>50079267.267749995</v>
      </c>
      <c r="BG133" s="1318">
        <f t="shared" si="191"/>
        <v>4345542.5924999993</v>
      </c>
      <c r="BH133" s="1318">
        <f t="shared" si="191"/>
        <v>54424809.860250004</v>
      </c>
      <c r="BI133" s="1318">
        <f t="shared" si="191"/>
        <v>1904868.3451087503</v>
      </c>
      <c r="BJ133" s="1318">
        <f t="shared" si="191"/>
        <v>2828765.3444644501</v>
      </c>
      <c r="BK133" s="1318">
        <f t="shared" si="191"/>
        <v>2449116.4437112501</v>
      </c>
      <c r="BL133" s="1318">
        <f t="shared" si="191"/>
        <v>1632744.2958074997</v>
      </c>
      <c r="BM133" s="1318">
        <f t="shared" si="191"/>
        <v>63240304.289341956</v>
      </c>
      <c r="BN133" s="422">
        <f t="shared" si="190"/>
        <v>1</v>
      </c>
      <c r="BO133" s="355"/>
      <c r="BP133" s="355"/>
      <c r="BQ133" s="355"/>
      <c r="BR133" s="355"/>
      <c r="BS133" s="355"/>
      <c r="BT133" s="355"/>
      <c r="BU133" s="355"/>
      <c r="BV133" s="355"/>
      <c r="BW133" s="355"/>
      <c r="BX133" s="355"/>
      <c r="BY133" s="355"/>
      <c r="BZ133" s="355"/>
      <c r="CA133" s="355"/>
      <c r="CB133" s="355"/>
      <c r="CC133" s="355"/>
      <c r="CD133" s="355"/>
      <c r="CE133" s="355"/>
      <c r="CF133" s="355"/>
      <c r="CG133" s="355"/>
      <c r="CH133" s="355"/>
      <c r="CI133" s="356"/>
    </row>
    <row r="134" spans="1:87" ht="94.5">
      <c r="A134" s="369">
        <f>A132+1</f>
        <v>113</v>
      </c>
      <c r="B134" s="416">
        <f>1</f>
        <v>1</v>
      </c>
      <c r="C134" s="409" t="s">
        <v>1293</v>
      </c>
      <c r="D134" s="502" t="s">
        <v>1303</v>
      </c>
      <c r="E134" s="366" t="s">
        <v>998</v>
      </c>
      <c r="F134" s="508" t="s">
        <v>1011</v>
      </c>
      <c r="G134" s="366" t="s">
        <v>270</v>
      </c>
      <c r="H134" s="371" t="s">
        <v>121</v>
      </c>
      <c r="I134" s="366">
        <v>17697</v>
      </c>
      <c r="J134" s="367">
        <v>11.18</v>
      </c>
      <c r="K134" s="367">
        <f>I134*J134</f>
        <v>197852.46</v>
      </c>
      <c r="L134" s="380">
        <v>5</v>
      </c>
      <c r="M134" s="380">
        <v>5</v>
      </c>
      <c r="N134" s="380">
        <v>5</v>
      </c>
      <c r="O134" s="380">
        <v>5</v>
      </c>
      <c r="P134" s="380">
        <v>5</v>
      </c>
      <c r="Q134" s="368">
        <f>SUM(L134:P134)</f>
        <v>25</v>
      </c>
      <c r="R134" s="380"/>
      <c r="S134" s="380"/>
      <c r="T134" s="380"/>
      <c r="U134" s="380"/>
      <c r="V134" s="380">
        <v>4</v>
      </c>
      <c r="W134" s="381">
        <f>SUM(R134:V134)</f>
        <v>4</v>
      </c>
      <c r="X134" s="370">
        <f>Q134+W134</f>
        <v>29</v>
      </c>
      <c r="Y134" s="367">
        <f>K134/16*X134</f>
        <v>358607.58374999999</v>
      </c>
      <c r="Z134" s="367">
        <f>Y134*10%</f>
        <v>35860.758374999998</v>
      </c>
      <c r="AA134" s="372"/>
      <c r="AB134" s="367">
        <f>I134/16*AA134*40%</f>
        <v>0</v>
      </c>
      <c r="AC134" s="372"/>
      <c r="AD134" s="367">
        <f>I134/16*AC134*40%*50%</f>
        <v>0</v>
      </c>
      <c r="AE134" s="366">
        <v>196600</v>
      </c>
      <c r="AF134" s="366" t="s">
        <v>1304</v>
      </c>
      <c r="AG134" s="367">
        <f>17697*20%</f>
        <v>3539.4</v>
      </c>
      <c r="AH134" s="372" t="s">
        <v>1305</v>
      </c>
      <c r="AI134" s="367">
        <f>I134*200%</f>
        <v>35394</v>
      </c>
      <c r="AJ134" s="372"/>
      <c r="AK134" s="367"/>
      <c r="AL134" s="366">
        <f>X134</f>
        <v>29</v>
      </c>
      <c r="AM134" s="367">
        <f>K134/16*AL134*30%</f>
        <v>107582.275125</v>
      </c>
      <c r="AN134" s="366" t="str">
        <f>F134</f>
        <v>Педагог-сарапшы</v>
      </c>
      <c r="AO134" s="367" t="str">
        <f>IF(AN134="Педагог-зерттеуші", "0", IF(AN134="Педагог-шебер",K134/16*X134*50%, IF(AN134="Педагог-сарапшы", "0", IF(AN134="Педагог-модератор", "0", "0"))))</f>
        <v>0</v>
      </c>
      <c r="AP134" s="367" t="str">
        <f>IF(AN134="Педагог-шебер", "0", IF(AN134="Педагог-зерттеуші",K134/16*X134*40%, IF(AN134="Педагог-сарапшы", "0", IF(AN134="Педагог-модератор", "0", "0"))))</f>
        <v>0</v>
      </c>
      <c r="AQ134" s="367">
        <f>IF(AN134="Педагог-шебер", "0", IF(AN134="Педагог-сарапшы",K134/16*X134*35%, IF(AN134="Педагог-зерттеуші", "0", IF(AN134="Педагог-модератор", "0", "0"))))</f>
        <v>125512.65431249999</v>
      </c>
      <c r="AR134" s="367" t="str">
        <f>IF(AN134="Педагог-шебер", "0", IF(AN134="Педагог-модератор",K134/16*X134*30%, IF(AN134="Педагог-зерттеуші", "0", IF(AN134="Педагог-сарапшы", "0", "0"))))</f>
        <v>0</v>
      </c>
      <c r="AS134" s="366"/>
      <c r="AT134" s="367"/>
      <c r="AU134" s="372"/>
      <c r="AV134" s="367"/>
      <c r="AW134" s="371" t="str">
        <f>G134</f>
        <v>Магистр-естественных наук</v>
      </c>
      <c r="AX134" s="372">
        <f>10*4325</f>
        <v>43250</v>
      </c>
      <c r="AY134" s="367"/>
      <c r="AZ134" s="367">
        <f>Z134+AB134+AD134+AE134+AG134+AI134+AK134+AM134+AO134+AP134+AQ134++AR134+AT134+AV134+AX134+AY134</f>
        <v>547739.08781249996</v>
      </c>
      <c r="BA134" s="373">
        <f t="shared" si="85"/>
        <v>906346.67156249995</v>
      </c>
      <c r="BB134" s="374">
        <f t="shared" si="90"/>
        <v>90634.667156249998</v>
      </c>
      <c r="BC134" s="374">
        <f t="shared" si="91"/>
        <v>18126.93343125</v>
      </c>
      <c r="BD134" s="374">
        <f t="shared" si="86"/>
        <v>73703.507097499998</v>
      </c>
      <c r="BE134" s="374">
        <f t="shared" si="92"/>
        <v>723881.5638774999</v>
      </c>
      <c r="BF134" s="374">
        <f t="shared" si="93"/>
        <v>10876160.05875</v>
      </c>
      <c r="BG134" s="374">
        <f t="shared" si="87"/>
        <v>717215.16749999998</v>
      </c>
      <c r="BH134" s="374">
        <f t="shared" si="94"/>
        <v>11593375.22625</v>
      </c>
      <c r="BI134" s="374">
        <f t="shared" si="88"/>
        <v>405768.13291875005</v>
      </c>
      <c r="BJ134" s="374">
        <f t="shared" si="89"/>
        <v>602114.71008824999</v>
      </c>
      <c r="BK134" s="374">
        <f t="shared" si="95"/>
        <v>521701.88518125005</v>
      </c>
      <c r="BL134" s="374">
        <f t="shared" si="96"/>
        <v>347801.25678749999</v>
      </c>
      <c r="BM134" s="373">
        <f>BH134+BJ134+BK134+BL134+BI134</f>
        <v>13470761.21122575</v>
      </c>
      <c r="BN134" s="375"/>
      <c r="BO134" s="377"/>
      <c r="BP134" s="377"/>
      <c r="BQ134" s="377"/>
      <c r="BR134" s="377"/>
      <c r="BS134" s="377"/>
      <c r="BT134" s="377"/>
      <c r="BU134" s="377"/>
      <c r="BV134" s="377"/>
      <c r="BW134" s="377"/>
      <c r="BX134" s="377"/>
      <c r="BY134" s="377"/>
      <c r="BZ134" s="377"/>
      <c r="CA134" s="377"/>
      <c r="CB134" s="377"/>
      <c r="CC134" s="377"/>
      <c r="CD134" s="377"/>
      <c r="CE134" s="377"/>
      <c r="CF134" s="377"/>
      <c r="CG134" s="377"/>
      <c r="CH134" s="377"/>
      <c r="CI134" s="377"/>
    </row>
    <row r="135" spans="1:87" ht="47.25">
      <c r="A135" s="369">
        <f>A134+1</f>
        <v>114</v>
      </c>
      <c r="B135" s="416">
        <f>B134+1</f>
        <v>2</v>
      </c>
      <c r="C135" s="409" t="s">
        <v>1306</v>
      </c>
      <c r="D135" s="502" t="s">
        <v>1307</v>
      </c>
      <c r="E135" s="366" t="s">
        <v>998</v>
      </c>
      <c r="F135" s="508" t="s">
        <v>1005</v>
      </c>
      <c r="G135" s="366"/>
      <c r="H135" s="371" t="s">
        <v>1308</v>
      </c>
      <c r="I135" s="366">
        <v>17697</v>
      </c>
      <c r="J135" s="367">
        <v>11.4</v>
      </c>
      <c r="K135" s="367">
        <f>I135*J135</f>
        <v>201745.80000000002</v>
      </c>
      <c r="L135" s="380">
        <v>5</v>
      </c>
      <c r="M135" s="380">
        <v>5</v>
      </c>
      <c r="N135" s="380">
        <v>4</v>
      </c>
      <c r="O135" s="380">
        <v>4</v>
      </c>
      <c r="P135" s="380">
        <v>4</v>
      </c>
      <c r="Q135" s="368">
        <f>SUM(L135:P135)</f>
        <v>22</v>
      </c>
      <c r="R135" s="380"/>
      <c r="S135" s="380"/>
      <c r="T135" s="380"/>
      <c r="U135" s="380"/>
      <c r="V135" s="380"/>
      <c r="W135" s="381">
        <f>SUM(R135:V135)</f>
        <v>0</v>
      </c>
      <c r="X135" s="370">
        <f>Q135+W135</f>
        <v>22</v>
      </c>
      <c r="Y135" s="367">
        <f>K135/16*X135</f>
        <v>277400.47500000003</v>
      </c>
      <c r="Z135" s="367">
        <f>Y135*10%</f>
        <v>27740.047500000004</v>
      </c>
      <c r="AA135" s="372"/>
      <c r="AB135" s="367">
        <f>I135/16*AA135*40%</f>
        <v>0</v>
      </c>
      <c r="AC135" s="372"/>
      <c r="AD135" s="367">
        <f>I135/16*AC135*40%*50%</f>
        <v>0</v>
      </c>
      <c r="AE135" s="366"/>
      <c r="AF135" s="366" t="s">
        <v>1309</v>
      </c>
      <c r="AG135" s="367">
        <f>17697*20%</f>
        <v>3539.4</v>
      </c>
      <c r="AH135" s="372" t="s">
        <v>1310</v>
      </c>
      <c r="AI135" s="367">
        <f>I135*200%</f>
        <v>35394</v>
      </c>
      <c r="AJ135" s="372"/>
      <c r="AK135" s="367"/>
      <c r="AL135" s="366">
        <f>X135</f>
        <v>22</v>
      </c>
      <c r="AM135" s="367">
        <f>K135/16*AL135*30%</f>
        <v>83220.142500000002</v>
      </c>
      <c r="AN135" s="366" t="str">
        <f>F135</f>
        <v>Педагог-зерттеуші</v>
      </c>
      <c r="AO135" s="367" t="str">
        <f>IF(AN135="Педагог-зерттеуші", "0", IF(AN135="Педагог-шебер",K135/16*X135*50%, IF(AN135="Педагог-сарапшы", "0", IF(AN135="Педагог-модератор", "0", "0"))))</f>
        <v>0</v>
      </c>
      <c r="AP135" s="367">
        <f>IF(AN135="Педагог-шебер", "0", IF(AN135="Педагог-зерттеуші",K135/16*X135*40%, IF(AN135="Педагог-сарапшы", "0", IF(AN135="Педагог-модератор", "0", "0"))))</f>
        <v>110960.19000000002</v>
      </c>
      <c r="AQ135" s="367" t="str">
        <f>IF(AN135="Педагог-шебер", "0", IF(AN135="Педагог-сарапшы",K135/16*X135*35%, IF(AN135="Педагог-зерттеуші", "0", IF(AN135="Педагог-модератор", "0", "0"))))</f>
        <v>0</v>
      </c>
      <c r="AR135" s="367" t="str">
        <f>IF(AN135="Педагог-шебер", "0", IF(AN135="Педагог-модератор",K135/16*X135*30%, IF(AN135="Педагог-зерттеуші", "0", IF(AN135="Педагог-сарапшы", "0", "0"))))</f>
        <v>0</v>
      </c>
      <c r="AS135" s="366"/>
      <c r="AT135" s="367"/>
      <c r="AU135" s="372"/>
      <c r="AV135" s="367"/>
      <c r="AW135" s="371"/>
      <c r="AX135" s="367"/>
      <c r="AY135" s="367"/>
      <c r="AZ135" s="367">
        <f>Z135+AB135+AD135+AE135+AG135+AI135+AK135+AM135+AO135+AP135+AQ135++AR135+AT135+AV135+AX135+AY135</f>
        <v>260853.78000000003</v>
      </c>
      <c r="BA135" s="373">
        <f t="shared" si="85"/>
        <v>538254.25500000012</v>
      </c>
      <c r="BB135" s="374">
        <f t="shared" si="90"/>
        <v>53825.425500000012</v>
      </c>
      <c r="BC135" s="374">
        <f t="shared" si="91"/>
        <v>10765.085100000002</v>
      </c>
      <c r="BD135" s="374">
        <f t="shared" si="86"/>
        <v>41311.374440000014</v>
      </c>
      <c r="BE135" s="374">
        <f t="shared" si="92"/>
        <v>432352.36996000004</v>
      </c>
      <c r="BF135" s="374">
        <f t="shared" si="93"/>
        <v>6459051.0600000015</v>
      </c>
      <c r="BG135" s="374">
        <f t="shared" si="87"/>
        <v>554800.95000000007</v>
      </c>
      <c r="BH135" s="374">
        <f t="shared" si="94"/>
        <v>7013852.0100000016</v>
      </c>
      <c r="BI135" s="374">
        <f t="shared" si="88"/>
        <v>245484.82035000008</v>
      </c>
      <c r="BJ135" s="374">
        <f t="shared" si="89"/>
        <v>364538.09620800003</v>
      </c>
      <c r="BK135" s="374">
        <f t="shared" si="95"/>
        <v>315623.34045000008</v>
      </c>
      <c r="BL135" s="374">
        <f t="shared" si="96"/>
        <v>210415.56030000004</v>
      </c>
      <c r="BM135" s="373">
        <f>BH135+BJ135+BK135+BL135+BI135</f>
        <v>8149913.827308001</v>
      </c>
      <c r="BN135" s="375"/>
      <c r="BO135" s="377"/>
      <c r="BP135" s="377"/>
      <c r="BQ135" s="377"/>
      <c r="BR135" s="377"/>
      <c r="BS135" s="377"/>
      <c r="BT135" s="377"/>
      <c r="BU135" s="377"/>
      <c r="BV135" s="377"/>
      <c r="BW135" s="377"/>
      <c r="BX135" s="377"/>
      <c r="BY135" s="377"/>
      <c r="BZ135" s="377"/>
      <c r="CA135" s="377"/>
      <c r="CB135" s="377"/>
      <c r="CC135" s="377"/>
      <c r="CD135" s="377"/>
      <c r="CE135" s="377"/>
      <c r="CF135" s="377"/>
      <c r="CG135" s="377"/>
      <c r="CH135" s="377"/>
      <c r="CI135" s="377"/>
    </row>
    <row r="136" spans="1:87" ht="47.25">
      <c r="A136" s="457">
        <f>A135+1</f>
        <v>115</v>
      </c>
      <c r="B136" s="1321">
        <f>B135+1</f>
        <v>3</v>
      </c>
      <c r="C136" s="697" t="s">
        <v>113</v>
      </c>
      <c r="D136" s="510" t="s">
        <v>1311</v>
      </c>
      <c r="E136" s="366" t="s">
        <v>998</v>
      </c>
      <c r="F136" s="698" t="s">
        <v>999</v>
      </c>
      <c r="G136" s="698" t="s">
        <v>1158</v>
      </c>
      <c r="H136" s="699" t="s">
        <v>273</v>
      </c>
      <c r="I136" s="698">
        <v>17697</v>
      </c>
      <c r="J136" s="700">
        <v>11.4</v>
      </c>
      <c r="K136" s="460">
        <f>I136*J136</f>
        <v>201745.80000000002</v>
      </c>
      <c r="L136" s="456"/>
      <c r="M136" s="456"/>
      <c r="N136" s="456"/>
      <c r="O136" s="456"/>
      <c r="P136" s="456"/>
      <c r="Q136" s="486">
        <f>SUM(L136:P136)</f>
        <v>0</v>
      </c>
      <c r="R136" s="456"/>
      <c r="S136" s="456"/>
      <c r="T136" s="456"/>
      <c r="U136" s="456"/>
      <c r="V136" s="456">
        <v>4</v>
      </c>
      <c r="W136" s="487">
        <f>SUM(R136:V136)</f>
        <v>4</v>
      </c>
      <c r="X136" s="370">
        <f>Q136+W136</f>
        <v>4</v>
      </c>
      <c r="Y136" s="460">
        <f>K136/16*X136</f>
        <v>50436.450000000004</v>
      </c>
      <c r="Z136" s="460">
        <f>Y136*10%</f>
        <v>5043.6450000000004</v>
      </c>
      <c r="AA136" s="462"/>
      <c r="AB136" s="460">
        <f>I136/16*AA136*40%</f>
        <v>0</v>
      </c>
      <c r="AC136" s="462"/>
      <c r="AD136" s="460">
        <f>I136/16*AC136*40%*50%</f>
        <v>0</v>
      </c>
      <c r="AE136" s="458"/>
      <c r="AF136" s="458"/>
      <c r="AG136" s="460"/>
      <c r="AH136" s="462"/>
      <c r="AI136" s="460"/>
      <c r="AJ136" s="462"/>
      <c r="AK136" s="460"/>
      <c r="AL136" s="458">
        <f>X136</f>
        <v>4</v>
      </c>
      <c r="AM136" s="460">
        <f>K136/16*AL136*30%</f>
        <v>15130.935000000001</v>
      </c>
      <c r="AN136" s="458" t="str">
        <f>F136</f>
        <v>Педагог-шебер</v>
      </c>
      <c r="AO136" s="460"/>
      <c r="AP136" s="460" t="str">
        <f>IF(AN136="Педагог-шебер", "0", IF(AN136="Педагог-зерттеуші",K136/16*X136*40%, IF(AN136="Педагог-сарапшы", "0", IF(AN136="Педагог-модератор", "0", "0"))))</f>
        <v>0</v>
      </c>
      <c r="AQ136" s="460" t="str">
        <f>IF(AN136="Педагог-шебер", "0", IF(AN136="Педагог-сарапшы",K136/16*X136*35%, IF(AN136="Педагог-зерттеуші", "0", IF(AN136="Педагог-модератор", "0", "0"))))</f>
        <v>0</v>
      </c>
      <c r="AR136" s="460" t="str">
        <f>IF(AN136="Педагог-шебер", "0", IF(AN136="Педагог-модератор",K136/16*X136*30%, IF(AN136="Педагог-зерттеуші", "0", IF(AN136="Педагог-сарапшы", "0", "0"))))</f>
        <v>0</v>
      </c>
      <c r="AS136" s="458"/>
      <c r="AT136" s="460"/>
      <c r="AU136" s="462"/>
      <c r="AV136" s="460"/>
      <c r="AW136" s="461" t="str">
        <f>G136</f>
        <v>Магистр</v>
      </c>
      <c r="AX136" s="462"/>
      <c r="AY136" s="460"/>
      <c r="AZ136" s="460">
        <f>Z136+AB136+AD136+AE136+AG136+AI136+AK136+AM136+AO136+AP136+AQ136++AR136+AT136+AV136+AX136+AY136</f>
        <v>20174.580000000002</v>
      </c>
      <c r="BA136" s="373">
        <f t="shared" si="85"/>
        <v>70611.03</v>
      </c>
      <c r="BB136" s="374">
        <f t="shared" si="90"/>
        <v>7061.1030000000001</v>
      </c>
      <c r="BC136" s="374">
        <f t="shared" si="91"/>
        <v>1412.2206000000001</v>
      </c>
      <c r="BD136" s="374">
        <f t="shared" si="86"/>
        <v>158.77063999999956</v>
      </c>
      <c r="BE136" s="374">
        <f t="shared" si="92"/>
        <v>61978.935759999993</v>
      </c>
      <c r="BF136" s="374">
        <f t="shared" si="93"/>
        <v>847332.36</v>
      </c>
      <c r="BG136" s="374">
        <f t="shared" si="87"/>
        <v>100872.90000000001</v>
      </c>
      <c r="BH136" s="374">
        <f t="shared" si="94"/>
        <v>948205.26</v>
      </c>
      <c r="BI136" s="374">
        <f t="shared" si="88"/>
        <v>33187.184100000006</v>
      </c>
      <c r="BJ136" s="374">
        <f t="shared" si="89"/>
        <v>49338.952848000001</v>
      </c>
      <c r="BK136" s="374">
        <f t="shared" si="95"/>
        <v>42669.236700000009</v>
      </c>
      <c r="BL136" s="374">
        <f t="shared" si="96"/>
        <v>28446.157800000001</v>
      </c>
      <c r="BM136" s="463">
        <f>BH136+BJ136+BK136+BL136+BI136</f>
        <v>1101846.7914479999</v>
      </c>
      <c r="BN136" s="465"/>
      <c r="BO136" s="377"/>
      <c r="BP136" s="377"/>
      <c r="BQ136" s="377"/>
      <c r="BR136" s="377"/>
      <c r="BS136" s="377"/>
      <c r="BT136" s="377"/>
      <c r="BU136" s="377"/>
      <c r="BV136" s="377"/>
      <c r="BW136" s="377"/>
      <c r="BX136" s="377"/>
      <c r="BY136" s="377"/>
      <c r="BZ136" s="377"/>
      <c r="CA136" s="377"/>
      <c r="CB136" s="377"/>
      <c r="CC136" s="377"/>
      <c r="CD136" s="377"/>
      <c r="CE136" s="377"/>
      <c r="CF136" s="377"/>
      <c r="CG136" s="377"/>
      <c r="CH136" s="377"/>
      <c r="CI136" s="377"/>
    </row>
    <row r="137" spans="1:87" ht="14.25">
      <c r="A137" s="489"/>
      <c r="B137" s="489"/>
      <c r="C137" s="490" t="s">
        <v>1162</v>
      </c>
      <c r="D137" s="490"/>
      <c r="E137" s="490"/>
      <c r="F137" s="490"/>
      <c r="G137" s="490"/>
      <c r="H137" s="491"/>
      <c r="I137" s="490"/>
      <c r="J137" s="490"/>
      <c r="K137" s="422">
        <f>SUM(K134:K136)</f>
        <v>601344.06000000006</v>
      </c>
      <c r="L137" s="422">
        <f t="shared" ref="L137:BN137" si="192">SUM(L134:L136)</f>
        <v>10</v>
      </c>
      <c r="M137" s="422">
        <f t="shared" si="192"/>
        <v>10</v>
      </c>
      <c r="N137" s="422">
        <f t="shared" si="192"/>
        <v>9</v>
      </c>
      <c r="O137" s="422">
        <f t="shared" si="192"/>
        <v>9</v>
      </c>
      <c r="P137" s="422">
        <f t="shared" si="192"/>
        <v>9</v>
      </c>
      <c r="Q137" s="422">
        <f t="shared" si="192"/>
        <v>47</v>
      </c>
      <c r="R137" s="422">
        <f t="shared" si="192"/>
        <v>0</v>
      </c>
      <c r="S137" s="422">
        <f t="shared" si="192"/>
        <v>0</v>
      </c>
      <c r="T137" s="422">
        <f t="shared" si="192"/>
        <v>0</v>
      </c>
      <c r="U137" s="422">
        <f t="shared" si="192"/>
        <v>0</v>
      </c>
      <c r="V137" s="422">
        <f t="shared" si="192"/>
        <v>8</v>
      </c>
      <c r="W137" s="422">
        <f t="shared" si="192"/>
        <v>8</v>
      </c>
      <c r="X137" s="422">
        <f t="shared" si="192"/>
        <v>55</v>
      </c>
      <c r="Y137" s="422">
        <f t="shared" si="192"/>
        <v>686444.50875000004</v>
      </c>
      <c r="Z137" s="422">
        <f t="shared" si="192"/>
        <v>68644.45087500001</v>
      </c>
      <c r="AA137" s="422">
        <f t="shared" si="192"/>
        <v>0</v>
      </c>
      <c r="AB137" s="422">
        <f t="shared" si="192"/>
        <v>0</v>
      </c>
      <c r="AC137" s="422">
        <f t="shared" si="192"/>
        <v>0</v>
      </c>
      <c r="AD137" s="422">
        <f t="shared" si="192"/>
        <v>0</v>
      </c>
      <c r="AE137" s="422">
        <f t="shared" si="192"/>
        <v>196600</v>
      </c>
      <c r="AF137" s="422">
        <v>2</v>
      </c>
      <c r="AG137" s="422">
        <f t="shared" si="192"/>
        <v>7078.8</v>
      </c>
      <c r="AH137" s="422">
        <v>2</v>
      </c>
      <c r="AI137" s="422">
        <f t="shared" si="192"/>
        <v>70788</v>
      </c>
      <c r="AJ137" s="422">
        <f t="shared" si="192"/>
        <v>0</v>
      </c>
      <c r="AK137" s="422">
        <f t="shared" si="192"/>
        <v>0</v>
      </c>
      <c r="AL137" s="422">
        <f t="shared" si="192"/>
        <v>55</v>
      </c>
      <c r="AM137" s="422">
        <f t="shared" si="192"/>
        <v>205933.352625</v>
      </c>
      <c r="AN137" s="422">
        <f t="shared" si="192"/>
        <v>0</v>
      </c>
      <c r="AO137" s="422">
        <f t="shared" si="192"/>
        <v>0</v>
      </c>
      <c r="AP137" s="422">
        <f t="shared" si="192"/>
        <v>110960.19000000002</v>
      </c>
      <c r="AQ137" s="422">
        <f t="shared" si="192"/>
        <v>125512.65431249999</v>
      </c>
      <c r="AR137" s="422">
        <f t="shared" si="192"/>
        <v>0</v>
      </c>
      <c r="AS137" s="422">
        <f t="shared" si="192"/>
        <v>0</v>
      </c>
      <c r="AT137" s="422">
        <f t="shared" si="192"/>
        <v>0</v>
      </c>
      <c r="AU137" s="422">
        <f t="shared" si="192"/>
        <v>0</v>
      </c>
      <c r="AV137" s="422">
        <f t="shared" si="192"/>
        <v>0</v>
      </c>
      <c r="AW137" s="422">
        <v>2</v>
      </c>
      <c r="AX137" s="422">
        <f t="shared" si="192"/>
        <v>43250</v>
      </c>
      <c r="AY137" s="422">
        <f t="shared" si="192"/>
        <v>0</v>
      </c>
      <c r="AZ137" s="422">
        <f t="shared" si="192"/>
        <v>828767.44781249994</v>
      </c>
      <c r="BA137" s="1318">
        <f>SUM(BA134:BA136)</f>
        <v>1515211.9565625002</v>
      </c>
      <c r="BB137" s="1318">
        <f t="shared" ref="BB137:BM137" si="193">SUM(BB134:BB136)</f>
        <v>151521.19565625</v>
      </c>
      <c r="BC137" s="1318">
        <f t="shared" si="193"/>
        <v>30304.239131250004</v>
      </c>
      <c r="BD137" s="1318">
        <f t="shared" si="193"/>
        <v>115173.65217750001</v>
      </c>
      <c r="BE137" s="1318">
        <f t="shared" si="193"/>
        <v>1218212.8695975</v>
      </c>
      <c r="BF137" s="1318">
        <f t="shared" si="193"/>
        <v>18182543.478750002</v>
      </c>
      <c r="BG137" s="1318">
        <f t="shared" si="193"/>
        <v>1372889.0175000001</v>
      </c>
      <c r="BH137" s="1318">
        <f t="shared" si="193"/>
        <v>19555432.496250004</v>
      </c>
      <c r="BI137" s="1318">
        <f t="shared" si="193"/>
        <v>684440.13736875006</v>
      </c>
      <c r="BJ137" s="1318">
        <f t="shared" si="193"/>
        <v>1015991.7591442501</v>
      </c>
      <c r="BK137" s="1318">
        <f t="shared" si="193"/>
        <v>879994.46233125008</v>
      </c>
      <c r="BL137" s="1318">
        <f t="shared" si="193"/>
        <v>586662.97488750005</v>
      </c>
      <c r="BM137" s="1318">
        <f t="shared" si="193"/>
        <v>22722521.829981752</v>
      </c>
      <c r="BN137" s="422">
        <f t="shared" si="192"/>
        <v>0</v>
      </c>
      <c r="BO137" s="511"/>
      <c r="BP137" s="355"/>
      <c r="BQ137" s="355"/>
      <c r="BR137" s="355"/>
      <c r="BS137" s="355"/>
      <c r="BT137" s="355"/>
      <c r="BU137" s="355"/>
      <c r="BV137" s="355"/>
      <c r="BW137" s="355"/>
      <c r="BX137" s="355"/>
      <c r="BY137" s="355"/>
      <c r="BZ137" s="355"/>
      <c r="CA137" s="355"/>
      <c r="CB137" s="355"/>
      <c r="CC137" s="355"/>
      <c r="CD137" s="355"/>
      <c r="CE137" s="355"/>
      <c r="CF137" s="355"/>
      <c r="CG137" s="355"/>
      <c r="CH137" s="355"/>
      <c r="CI137" s="356"/>
    </row>
    <row r="138" spans="1:87" ht="31.5">
      <c r="A138" s="369">
        <f>A136+1</f>
        <v>116</v>
      </c>
      <c r="B138" s="416">
        <v>1</v>
      </c>
      <c r="C138" s="512" t="s">
        <v>188</v>
      </c>
      <c r="D138" s="412" t="s">
        <v>1312</v>
      </c>
      <c r="E138" s="366" t="s">
        <v>998</v>
      </c>
      <c r="F138" s="508" t="s">
        <v>1005</v>
      </c>
      <c r="G138" s="366"/>
      <c r="H138" s="371" t="s">
        <v>1313</v>
      </c>
      <c r="I138" s="366">
        <v>17697</v>
      </c>
      <c r="J138" s="367">
        <v>11.4</v>
      </c>
      <c r="K138" s="367">
        <f>I138*J138</f>
        <v>201745.80000000002</v>
      </c>
      <c r="L138" s="380"/>
      <c r="M138" s="380"/>
      <c r="N138" s="380"/>
      <c r="O138" s="380">
        <v>5</v>
      </c>
      <c r="P138" s="380">
        <v>5</v>
      </c>
      <c r="Q138" s="368">
        <f>SUM(L138:P138)</f>
        <v>10</v>
      </c>
      <c r="R138" s="380"/>
      <c r="S138" s="380"/>
      <c r="T138" s="380"/>
      <c r="U138" s="380"/>
      <c r="V138" s="380"/>
      <c r="W138" s="381">
        <f>SUM(R138:V138)</f>
        <v>0</v>
      </c>
      <c r="X138" s="370">
        <f>Q138+W138</f>
        <v>10</v>
      </c>
      <c r="Y138" s="367">
        <f>K138/16*X138</f>
        <v>126091.12500000001</v>
      </c>
      <c r="Z138" s="367"/>
      <c r="AA138" s="366">
        <v>10</v>
      </c>
      <c r="AB138" s="367">
        <f>I138/16*AA138*40%</f>
        <v>4424.25</v>
      </c>
      <c r="AC138" s="366"/>
      <c r="AD138" s="367">
        <f>I138/16*AC138*40%*50%</f>
        <v>0</v>
      </c>
      <c r="AE138" s="366"/>
      <c r="AF138" s="366"/>
      <c r="AG138" s="367"/>
      <c r="AH138" s="372"/>
      <c r="AI138" s="367"/>
      <c r="AJ138" s="372"/>
      <c r="AK138" s="367"/>
      <c r="AL138" s="366">
        <f>X138</f>
        <v>10</v>
      </c>
      <c r="AM138" s="367">
        <f>K138/16*AL138*30%</f>
        <v>37827.337500000001</v>
      </c>
      <c r="AN138" s="366" t="str">
        <f>F138</f>
        <v>Педагог-зерттеуші</v>
      </c>
      <c r="AO138" s="367" t="str">
        <f>IF(AN138="Педагог-зерттеуші", "0", IF(AN138="Педагог-шебер",K138/16*X138*50%, IF(AN138="Педагог-сарапшы", "0", IF(AN138="Педагог-модератор", "0", "0"))))</f>
        <v>0</v>
      </c>
      <c r="AP138" s="367">
        <f>IF(AN138="Педагог-шебер", "0", IF(AN138="Педагог-зерттеуші",K138/16*X138*40%, IF(AN138="Педагог-сарапшы", "0", IF(AN138="Педагог-модератор", "0", "0"))))</f>
        <v>50436.450000000012</v>
      </c>
      <c r="AQ138" s="367" t="str">
        <f>IF(AN138="Педагог-шебер", "0", IF(AN138="Педагог-сарапшы",K138/16*X138*35%, IF(AN138="Педагог-зерттеуші", "0", IF(AN138="Педагог-модератор", "0", "0"))))</f>
        <v>0</v>
      </c>
      <c r="AR138" s="367" t="str">
        <f>IF(AN138="Педагог-шебер", "0", IF(AN138="Педагог-модератор",K138/16*X138*30%, IF(AN138="Педагог-зерттеуші", "0", IF(AN138="Педагог-сарапшы", "0", "0"))))</f>
        <v>0</v>
      </c>
      <c r="AS138" s="366"/>
      <c r="AT138" s="367"/>
      <c r="AU138" s="366"/>
      <c r="AV138" s="367"/>
      <c r="AW138" s="371"/>
      <c r="AX138" s="367"/>
      <c r="AY138" s="367"/>
      <c r="AZ138" s="367">
        <f>Z138+AB138+AD138+AE138+AG138+AI138+AK138+AM138+AO138+AP138+AQ138++AR138+AT138+AV138+AX138+AY138</f>
        <v>92688.037500000006</v>
      </c>
      <c r="BA138" s="373">
        <f t="shared" si="85"/>
        <v>218779.16250000003</v>
      </c>
      <c r="BB138" s="374">
        <f t="shared" si="90"/>
        <v>21877.916250000006</v>
      </c>
      <c r="BC138" s="374">
        <f t="shared" si="91"/>
        <v>4375.5832500000006</v>
      </c>
      <c r="BD138" s="374">
        <f t="shared" si="86"/>
        <v>13197.566300000004</v>
      </c>
      <c r="BE138" s="374">
        <f t="shared" si="92"/>
        <v>179328.09670000002</v>
      </c>
      <c r="BF138" s="374">
        <f t="shared" si="93"/>
        <v>2625349.9500000002</v>
      </c>
      <c r="BG138" s="374">
        <f t="shared" si="87"/>
        <v>252182.25000000003</v>
      </c>
      <c r="BH138" s="374">
        <f t="shared" si="94"/>
        <v>2877532.2</v>
      </c>
      <c r="BI138" s="374">
        <f t="shared" si="88"/>
        <v>100713.62700000002</v>
      </c>
      <c r="BJ138" s="374">
        <f t="shared" si="89"/>
        <v>149610.96891000005</v>
      </c>
      <c r="BK138" s="374">
        <f t="shared" si="95"/>
        <v>129488.94900000002</v>
      </c>
      <c r="BL138" s="374">
        <f t="shared" si="96"/>
        <v>86325.966</v>
      </c>
      <c r="BM138" s="373">
        <f>BH138+BJ138+BK138+BL138+BI138</f>
        <v>3343671.7109100004</v>
      </c>
      <c r="BN138" s="375">
        <v>1</v>
      </c>
      <c r="BO138" s="377"/>
      <c r="BP138" s="377"/>
      <c r="BQ138" s="377"/>
      <c r="BR138" s="377"/>
      <c r="BS138" s="377"/>
      <c r="BT138" s="377"/>
      <c r="BU138" s="377"/>
      <c r="BV138" s="377"/>
      <c r="BW138" s="377"/>
      <c r="BX138" s="377"/>
      <c r="BY138" s="377"/>
      <c r="BZ138" s="377"/>
      <c r="CA138" s="377"/>
      <c r="CB138" s="377"/>
      <c r="CC138" s="377"/>
      <c r="CD138" s="377"/>
      <c r="CE138" s="377"/>
      <c r="CF138" s="377"/>
      <c r="CG138" s="377"/>
      <c r="CH138" s="377"/>
      <c r="CI138" s="377"/>
    </row>
    <row r="139" spans="1:87" ht="30">
      <c r="A139" s="369">
        <f t="shared" ref="A139:B141" si="194">A138+1</f>
        <v>117</v>
      </c>
      <c r="B139" s="416">
        <f t="shared" si="194"/>
        <v>2</v>
      </c>
      <c r="C139" s="409" t="s">
        <v>1306</v>
      </c>
      <c r="D139" s="414" t="s">
        <v>1314</v>
      </c>
      <c r="E139" s="366" t="s">
        <v>998</v>
      </c>
      <c r="F139" s="508" t="s">
        <v>1005</v>
      </c>
      <c r="G139" s="366"/>
      <c r="H139" s="371" t="s">
        <v>1308</v>
      </c>
      <c r="I139" s="366">
        <v>17697</v>
      </c>
      <c r="J139" s="367">
        <v>11.4</v>
      </c>
      <c r="K139" s="367">
        <f>I139*J139</f>
        <v>201745.80000000002</v>
      </c>
      <c r="L139" s="380">
        <v>5</v>
      </c>
      <c r="M139" s="380">
        <v>5</v>
      </c>
      <c r="N139" s="380"/>
      <c r="O139" s="380"/>
      <c r="P139" s="380"/>
      <c r="Q139" s="368">
        <f>SUM(L139:P139)</f>
        <v>10</v>
      </c>
      <c r="R139" s="380"/>
      <c r="S139" s="380"/>
      <c r="T139" s="380"/>
      <c r="U139" s="380"/>
      <c r="V139" s="380"/>
      <c r="W139" s="381">
        <f>SUM(R139:V139)</f>
        <v>0</v>
      </c>
      <c r="X139" s="370">
        <f>Q139+W139</f>
        <v>10</v>
      </c>
      <c r="Y139" s="367">
        <f>K139/16*X139</f>
        <v>126091.12500000001</v>
      </c>
      <c r="Z139" s="367">
        <f>Y139*10%</f>
        <v>12609.112500000003</v>
      </c>
      <c r="AA139" s="366">
        <v>10</v>
      </c>
      <c r="AB139" s="367">
        <f>I139/16*AA139*40%</f>
        <v>4424.25</v>
      </c>
      <c r="AC139" s="366"/>
      <c r="AD139" s="367">
        <f>I139/16*AC139*40%*50%</f>
        <v>0</v>
      </c>
      <c r="AE139" s="366"/>
      <c r="AF139" s="366"/>
      <c r="AG139" s="367"/>
      <c r="AH139" s="372"/>
      <c r="AI139" s="367"/>
      <c r="AJ139" s="372"/>
      <c r="AK139" s="367"/>
      <c r="AL139" s="366">
        <f>X139</f>
        <v>10</v>
      </c>
      <c r="AM139" s="367">
        <f>K139/16*AL139*30%</f>
        <v>37827.337500000001</v>
      </c>
      <c r="AN139" s="366" t="str">
        <f>F139</f>
        <v>Педагог-зерттеуші</v>
      </c>
      <c r="AO139" s="367" t="str">
        <f>IF(AN139="Педагог-зерттеуші", "0", IF(AN139="Педагог-шебер",K139/16*X139*50%, IF(AN139="Педагог-сарапшы", "0", IF(AN139="Педагог-модератор", "0", "0"))))</f>
        <v>0</v>
      </c>
      <c r="AP139" s="367">
        <f>IF(AN139="Педагог-шебер", "0", IF(AN139="Педагог-зерттеуші",K139/16*X139*40%, IF(AN139="Педагог-сарапшы", "0", IF(AN139="Педагог-модератор", "0", "0"))))</f>
        <v>50436.450000000012</v>
      </c>
      <c r="AQ139" s="367" t="str">
        <f>IF(AN139="Педагог-шебер", "0", IF(AN139="Педагог-сарапшы",K139/16*X139*35%, IF(AN139="Педагог-зерттеуші", "0", IF(AN139="Педагог-модератор", "0", "0"))))</f>
        <v>0</v>
      </c>
      <c r="AR139" s="367" t="str">
        <f>IF(AN139="Педагог-шебер", "0", IF(AN139="Педагог-модератор",K139/16*X139*30%, IF(AN139="Педагог-зерттеуші", "0", IF(AN139="Педагог-сарапшы", "0", "0"))))</f>
        <v>0</v>
      </c>
      <c r="AS139" s="366"/>
      <c r="AT139" s="367"/>
      <c r="AU139" s="366"/>
      <c r="AV139" s="367"/>
      <c r="AW139" s="371"/>
      <c r="AX139" s="367"/>
      <c r="AY139" s="367"/>
      <c r="AZ139" s="367">
        <f>Z139+AB139+AD139+AE139+AG139+AI139+AK139+AM139+AO139+AP139+AQ139++AR139+AT139+AV139+AX139+AY139</f>
        <v>105297.15000000002</v>
      </c>
      <c r="BA139" s="373">
        <f t="shared" si="85"/>
        <v>231388.27500000002</v>
      </c>
      <c r="BB139" s="374">
        <f t="shared" si="90"/>
        <v>23138.827500000003</v>
      </c>
      <c r="BC139" s="374">
        <f t="shared" si="91"/>
        <v>4627.7655000000004</v>
      </c>
      <c r="BD139" s="374">
        <f t="shared" si="86"/>
        <v>14307.1682</v>
      </c>
      <c r="BE139" s="374">
        <f t="shared" si="92"/>
        <v>189314.51380000002</v>
      </c>
      <c r="BF139" s="374">
        <f t="shared" si="93"/>
        <v>2776659.3000000003</v>
      </c>
      <c r="BG139" s="374">
        <f t="shared" si="87"/>
        <v>252182.25000000003</v>
      </c>
      <c r="BH139" s="374">
        <f t="shared" si="94"/>
        <v>3028841.5500000003</v>
      </c>
      <c r="BI139" s="374">
        <f t="shared" si="88"/>
        <v>106009.45425000002</v>
      </c>
      <c r="BJ139" s="374">
        <f t="shared" si="89"/>
        <v>157448.79324</v>
      </c>
      <c r="BK139" s="374">
        <f t="shared" si="95"/>
        <v>136297.86975000004</v>
      </c>
      <c r="BL139" s="374">
        <f t="shared" si="96"/>
        <v>90865.246500000008</v>
      </c>
      <c r="BM139" s="373">
        <f>BH139+BJ139+BK139+BL139+BI139</f>
        <v>3519462.9137400002</v>
      </c>
      <c r="BN139" s="375"/>
      <c r="BO139" s="377"/>
      <c r="BP139" s="377"/>
      <c r="BQ139" s="377"/>
      <c r="BR139" s="377"/>
      <c r="BS139" s="377"/>
      <c r="BT139" s="377"/>
      <c r="BU139" s="377"/>
      <c r="BV139" s="377"/>
      <c r="BW139" s="377"/>
      <c r="BX139" s="377"/>
      <c r="BY139" s="377"/>
      <c r="BZ139" s="377"/>
      <c r="CA139" s="377"/>
      <c r="CB139" s="377"/>
      <c r="CC139" s="377"/>
      <c r="CD139" s="377"/>
      <c r="CE139" s="377"/>
      <c r="CF139" s="377"/>
      <c r="CG139" s="377"/>
      <c r="CH139" s="377"/>
      <c r="CI139" s="377"/>
    </row>
    <row r="140" spans="1:87" ht="110.25">
      <c r="A140" s="369">
        <f t="shared" si="194"/>
        <v>118</v>
      </c>
      <c r="B140" s="416">
        <f t="shared" si="194"/>
        <v>3</v>
      </c>
      <c r="C140" s="513" t="s">
        <v>917</v>
      </c>
      <c r="D140" s="514" t="s">
        <v>1315</v>
      </c>
      <c r="E140" s="392" t="s">
        <v>998</v>
      </c>
      <c r="F140" s="508" t="s">
        <v>1005</v>
      </c>
      <c r="G140" s="366" t="s">
        <v>1316</v>
      </c>
      <c r="H140" s="371" t="s">
        <v>1446</v>
      </c>
      <c r="I140" s="366">
        <v>17697</v>
      </c>
      <c r="J140" s="367">
        <v>10.4</v>
      </c>
      <c r="K140" s="367">
        <f>I140*J140</f>
        <v>184048.80000000002</v>
      </c>
      <c r="L140" s="380"/>
      <c r="M140" s="380"/>
      <c r="N140" s="380">
        <v>4</v>
      </c>
      <c r="O140" s="380">
        <v>4</v>
      </c>
      <c r="P140" s="380">
        <v>4</v>
      </c>
      <c r="Q140" s="368">
        <f>SUM(L140:P140)</f>
        <v>12</v>
      </c>
      <c r="R140" s="380"/>
      <c r="S140" s="380">
        <v>9</v>
      </c>
      <c r="T140" s="380"/>
      <c r="U140" s="380"/>
      <c r="V140" s="380">
        <v>15</v>
      </c>
      <c r="W140" s="381">
        <f>SUM(R140:V140)</f>
        <v>24</v>
      </c>
      <c r="X140" s="370">
        <f>Q140+W140</f>
        <v>36</v>
      </c>
      <c r="Y140" s="367">
        <f>K140/16*X140</f>
        <v>414109.80000000005</v>
      </c>
      <c r="Z140" s="367">
        <f>Y140*10%</f>
        <v>41410.98000000001</v>
      </c>
      <c r="AA140" s="366">
        <v>12</v>
      </c>
      <c r="AB140" s="367">
        <f>I140/16*AA140*40%</f>
        <v>5309.1</v>
      </c>
      <c r="AC140" s="366"/>
      <c r="AD140" s="367">
        <f>I140/16*AC140*40%*50%</f>
        <v>0</v>
      </c>
      <c r="AE140" s="366"/>
      <c r="AF140" s="366" t="s">
        <v>1317</v>
      </c>
      <c r="AG140" s="367">
        <f>17697*20%</f>
        <v>3539.4</v>
      </c>
      <c r="AH140" s="366"/>
      <c r="AI140" s="367"/>
      <c r="AJ140" s="372"/>
      <c r="AK140" s="367"/>
      <c r="AL140" s="366">
        <f>X140</f>
        <v>36</v>
      </c>
      <c r="AM140" s="367">
        <f>K140/16*AL140*30%</f>
        <v>124232.94</v>
      </c>
      <c r="AN140" s="366" t="str">
        <f>F140</f>
        <v>Педагог-зерттеуші</v>
      </c>
      <c r="AO140" s="367" t="str">
        <f>IF(AN140="Педагог-зерттеуші", "0", IF(AN140="Педагог-шебер",K140/16*X140*50%, IF(AN140="Педагог-сарапшы", "0", IF(AN140="Педагог-модератор", "0", "0"))))</f>
        <v>0</v>
      </c>
      <c r="AP140" s="367">
        <f>IF(AN140="Педагог-шебер", "0", IF(AN140="Педагог-зерттеуші",K140/16*X140*40%, IF(AN140="Педагог-сарапшы", "0", IF(AN140="Педагог-модератор", "0", "0"))))</f>
        <v>165643.92000000004</v>
      </c>
      <c r="AQ140" s="367" t="str">
        <f>IF(AN140="Педагог-шебер", "0", IF(AN140="Педагог-сарапшы",K140/16*X140*35%, IF(AN140="Педагог-зерттеуші", "0", IF(AN140="Педагог-модератор", "0", "0"))))</f>
        <v>0</v>
      </c>
      <c r="AR140" s="367" t="str">
        <f>IF(AN140="Педагог-шебер", "0", IF(AN140="Педагог-модератор",K140/16*X140*30%, IF(AN140="Педагог-зерттеуші", "0", IF(AN140="Педагог-сарапшы", "0", "0"))))</f>
        <v>0</v>
      </c>
      <c r="AS140" s="366"/>
      <c r="AT140" s="367"/>
      <c r="AU140" s="366"/>
      <c r="AV140" s="367"/>
      <c r="AW140" s="371" t="str">
        <f>G140</f>
        <v>Магистр-биотехнология</v>
      </c>
      <c r="AX140" s="372">
        <f>10*4325</f>
        <v>43250</v>
      </c>
      <c r="AY140" s="367"/>
      <c r="AZ140" s="367">
        <f>Z140+AB140+AD140+AE140+AG140+AI140+AK140+AM140+AO140+AP140+AQ140++AR140+AT140+AV140+AX140+AY140</f>
        <v>383386.34000000008</v>
      </c>
      <c r="BA140" s="373">
        <f t="shared" si="85"/>
        <v>797496.14000000013</v>
      </c>
      <c r="BB140" s="374">
        <f t="shared" si="90"/>
        <v>79749.614000000016</v>
      </c>
      <c r="BC140" s="374">
        <f t="shared" si="91"/>
        <v>15949.922800000002</v>
      </c>
      <c r="BD140" s="374">
        <f t="shared" si="86"/>
        <v>64124.660320000003</v>
      </c>
      <c r="BE140" s="374">
        <f t="shared" si="92"/>
        <v>637671.94287999999</v>
      </c>
      <c r="BF140" s="374">
        <f t="shared" si="93"/>
        <v>9569953.6800000016</v>
      </c>
      <c r="BG140" s="374">
        <f t="shared" si="87"/>
        <v>828219.60000000009</v>
      </c>
      <c r="BH140" s="374">
        <f t="shared" si="94"/>
        <v>10398173.280000001</v>
      </c>
      <c r="BI140" s="374">
        <f t="shared" si="88"/>
        <v>363936.06480000005</v>
      </c>
      <c r="BJ140" s="374">
        <f t="shared" si="89"/>
        <v>540447.45902399998</v>
      </c>
      <c r="BK140" s="374">
        <f t="shared" si="95"/>
        <v>467917.79760000011</v>
      </c>
      <c r="BL140" s="374">
        <f t="shared" si="96"/>
        <v>311945.19840000005</v>
      </c>
      <c r="BM140" s="373">
        <f>BH140+BJ140+BK140+BL140+BI140</f>
        <v>12082419.799824001</v>
      </c>
      <c r="BN140" s="375"/>
      <c r="BO140" s="377"/>
      <c r="BP140" s="377"/>
      <c r="BQ140" s="377"/>
      <c r="BR140" s="377"/>
      <c r="BS140" s="377"/>
      <c r="BT140" s="377"/>
      <c r="BU140" s="377"/>
      <c r="BV140" s="377"/>
      <c r="BW140" s="377"/>
      <c r="BX140" s="377"/>
      <c r="BY140" s="377"/>
      <c r="BZ140" s="377"/>
      <c r="CA140" s="377"/>
      <c r="CB140" s="377"/>
      <c r="CC140" s="377"/>
      <c r="CD140" s="377"/>
      <c r="CE140" s="377"/>
      <c r="CF140" s="377"/>
      <c r="CG140" s="377"/>
      <c r="CH140" s="377"/>
      <c r="CI140" s="377"/>
    </row>
    <row r="141" spans="1:87" ht="31.5">
      <c r="A141" s="457">
        <f t="shared" si="194"/>
        <v>119</v>
      </c>
      <c r="B141" s="1321">
        <f t="shared" si="194"/>
        <v>4</v>
      </c>
      <c r="C141" s="701" t="s">
        <v>113</v>
      </c>
      <c r="D141" s="515" t="s">
        <v>1318</v>
      </c>
      <c r="E141" s="458" t="s">
        <v>998</v>
      </c>
      <c r="F141" s="698" t="s">
        <v>999</v>
      </c>
      <c r="G141" s="698" t="s">
        <v>1158</v>
      </c>
      <c r="H141" s="699" t="s">
        <v>273</v>
      </c>
      <c r="I141" s="698">
        <v>17697</v>
      </c>
      <c r="J141" s="700">
        <v>11.4</v>
      </c>
      <c r="K141" s="460">
        <f>I141*J141</f>
        <v>201745.80000000002</v>
      </c>
      <c r="L141" s="456">
        <v>5</v>
      </c>
      <c r="M141" s="456">
        <v>5</v>
      </c>
      <c r="N141" s="456">
        <v>5</v>
      </c>
      <c r="O141" s="456"/>
      <c r="P141" s="456"/>
      <c r="Q141" s="486">
        <f>SUM(L141:P141)</f>
        <v>15</v>
      </c>
      <c r="R141" s="456"/>
      <c r="S141" s="456"/>
      <c r="T141" s="456"/>
      <c r="U141" s="456"/>
      <c r="V141" s="456"/>
      <c r="W141" s="487">
        <f>SUM(R141:V141)</f>
        <v>0</v>
      </c>
      <c r="X141" s="370">
        <f>Q141+W141</f>
        <v>15</v>
      </c>
      <c r="Y141" s="460">
        <f>K141/16*X141</f>
        <v>189136.68750000003</v>
      </c>
      <c r="Z141" s="460">
        <f>Y141*10%</f>
        <v>18913.668750000004</v>
      </c>
      <c r="AA141" s="458">
        <v>15</v>
      </c>
      <c r="AB141" s="460">
        <f>I141/16*AA141*40%</f>
        <v>6636.375</v>
      </c>
      <c r="AC141" s="458"/>
      <c r="AD141" s="460">
        <f>I141/16*AC141*40%*50%</f>
        <v>0</v>
      </c>
      <c r="AE141" s="458"/>
      <c r="AF141" s="458"/>
      <c r="AG141" s="460"/>
      <c r="AH141" s="458"/>
      <c r="AI141" s="460"/>
      <c r="AJ141" s="462"/>
      <c r="AK141" s="460"/>
      <c r="AL141" s="458">
        <f>X141</f>
        <v>15</v>
      </c>
      <c r="AM141" s="460">
        <f>K141/16*AL141*30%</f>
        <v>56741.006250000006</v>
      </c>
      <c r="AN141" s="458" t="str">
        <f>F141</f>
        <v>Педагог-шебер</v>
      </c>
      <c r="AO141" s="460"/>
      <c r="AP141" s="460" t="str">
        <f>IF(AN141="Педагог-шебер", "0", IF(AN141="Педагог-зерттеуші",K141/16*X141*40%, IF(AN141="Педагог-сарапшы", "0", IF(AN141="Педагог-модератор", "0", "0"))))</f>
        <v>0</v>
      </c>
      <c r="AQ141" s="460" t="str">
        <f>IF(AN141="Педагог-шебер", "0", IF(AN141="Педагог-сарапшы",K141/16*X141*35%, IF(AN141="Педагог-зерттеуші", "0", IF(AN141="Педагог-модератор", "0", "0"))))</f>
        <v>0</v>
      </c>
      <c r="AR141" s="460" t="str">
        <f>IF(AN141="Педагог-шебер", "0", IF(AN141="Педагог-модератор",K141/16*X141*30%, IF(AN141="Педагог-зерттеуші", "0", IF(AN141="Педагог-сарапшы", "0", "0"))))</f>
        <v>0</v>
      </c>
      <c r="AS141" s="458"/>
      <c r="AT141" s="460"/>
      <c r="AU141" s="458"/>
      <c r="AV141" s="460"/>
      <c r="AW141" s="461" t="str">
        <f>G141</f>
        <v>Магистр</v>
      </c>
      <c r="AX141" s="462"/>
      <c r="AY141" s="460"/>
      <c r="AZ141" s="460">
        <f>Z141+AB141+AD141+AE141+AG141+AI141+AK141+AM141+AO141+AP141+AQ141++AR141+AT141+AV141+AX141+AY141</f>
        <v>82291.050000000017</v>
      </c>
      <c r="BA141" s="463">
        <f t="shared" si="85"/>
        <v>271427.73750000005</v>
      </c>
      <c r="BB141" s="464">
        <f t="shared" si="90"/>
        <v>27142.773750000008</v>
      </c>
      <c r="BC141" s="464">
        <f t="shared" si="91"/>
        <v>5428.5547500000011</v>
      </c>
      <c r="BD141" s="464">
        <f t="shared" si="86"/>
        <v>17830.640900000006</v>
      </c>
      <c r="BE141" s="464">
        <f t="shared" si="92"/>
        <v>221025.76810000004</v>
      </c>
      <c r="BF141" s="464">
        <f t="shared" si="93"/>
        <v>3257132.8500000006</v>
      </c>
      <c r="BG141" s="464">
        <f t="shared" si="87"/>
        <v>378273.37500000006</v>
      </c>
      <c r="BH141" s="464">
        <f t="shared" si="94"/>
        <v>3635406.2250000006</v>
      </c>
      <c r="BI141" s="464">
        <f t="shared" si="88"/>
        <v>127239.21787500003</v>
      </c>
      <c r="BJ141" s="464">
        <f t="shared" si="89"/>
        <v>189146.24388000002</v>
      </c>
      <c r="BK141" s="464">
        <f t="shared" si="95"/>
        <v>163593.28012500005</v>
      </c>
      <c r="BL141" s="464">
        <f t="shared" si="96"/>
        <v>109062.18675000001</v>
      </c>
      <c r="BM141" s="463">
        <f>BH141+BJ141+BK141+BL141+BI141</f>
        <v>4224447.1536300005</v>
      </c>
      <c r="BN141" s="465"/>
      <c r="BO141" s="377"/>
      <c r="BP141" s="377"/>
      <c r="BQ141" s="377"/>
      <c r="BR141" s="377"/>
      <c r="BS141" s="377"/>
      <c r="BT141" s="377"/>
      <c r="BU141" s="377"/>
      <c r="BV141" s="377"/>
      <c r="BW141" s="377"/>
      <c r="BX141" s="377"/>
      <c r="BY141" s="377"/>
      <c r="BZ141" s="377"/>
      <c r="CA141" s="377"/>
      <c r="CB141" s="377"/>
      <c r="CC141" s="377"/>
      <c r="CD141" s="377"/>
      <c r="CE141" s="377"/>
      <c r="CF141" s="377"/>
      <c r="CG141" s="377"/>
      <c r="CH141" s="377"/>
      <c r="CI141" s="377"/>
    </row>
    <row r="142" spans="1:87" ht="14.25">
      <c r="A142" s="489"/>
      <c r="B142" s="489"/>
      <c r="C142" s="516" t="s">
        <v>1162</v>
      </c>
      <c r="D142" s="517" t="s">
        <v>549</v>
      </c>
      <c r="E142" s="490"/>
      <c r="F142" s="490"/>
      <c r="G142" s="490"/>
      <c r="H142" s="491"/>
      <c r="I142" s="490"/>
      <c r="J142" s="490"/>
      <c r="K142" s="422">
        <f>SUM(K138:K141)</f>
        <v>789286.20000000007</v>
      </c>
      <c r="L142" s="422">
        <f t="shared" ref="L142:BN142" si="195">SUM(L138:L141)</f>
        <v>10</v>
      </c>
      <c r="M142" s="422">
        <f t="shared" si="195"/>
        <v>10</v>
      </c>
      <c r="N142" s="422">
        <f t="shared" si="195"/>
        <v>9</v>
      </c>
      <c r="O142" s="422">
        <f t="shared" si="195"/>
        <v>9</v>
      </c>
      <c r="P142" s="422">
        <f t="shared" si="195"/>
        <v>9</v>
      </c>
      <c r="Q142" s="422">
        <f t="shared" si="195"/>
        <v>47</v>
      </c>
      <c r="R142" s="422">
        <f t="shared" si="195"/>
        <v>0</v>
      </c>
      <c r="S142" s="422">
        <f t="shared" si="195"/>
        <v>9</v>
      </c>
      <c r="T142" s="422">
        <f t="shared" si="195"/>
        <v>0</v>
      </c>
      <c r="U142" s="422">
        <f t="shared" si="195"/>
        <v>0</v>
      </c>
      <c r="V142" s="422">
        <f t="shared" si="195"/>
        <v>15</v>
      </c>
      <c r="W142" s="422">
        <f t="shared" si="195"/>
        <v>24</v>
      </c>
      <c r="X142" s="422">
        <f t="shared" si="195"/>
        <v>71</v>
      </c>
      <c r="Y142" s="422">
        <f t="shared" si="195"/>
        <v>855428.73750000005</v>
      </c>
      <c r="Z142" s="422">
        <f t="shared" si="195"/>
        <v>72933.76125000001</v>
      </c>
      <c r="AA142" s="422">
        <f t="shared" si="195"/>
        <v>47</v>
      </c>
      <c r="AB142" s="422">
        <f t="shared" si="195"/>
        <v>20793.974999999999</v>
      </c>
      <c r="AC142" s="422">
        <f t="shared" si="195"/>
        <v>0</v>
      </c>
      <c r="AD142" s="422">
        <f t="shared" si="195"/>
        <v>0</v>
      </c>
      <c r="AE142" s="422">
        <f t="shared" si="195"/>
        <v>0</v>
      </c>
      <c r="AF142" s="422">
        <v>1</v>
      </c>
      <c r="AG142" s="422">
        <f t="shared" si="195"/>
        <v>3539.4</v>
      </c>
      <c r="AH142" s="422">
        <f t="shared" si="195"/>
        <v>0</v>
      </c>
      <c r="AI142" s="422">
        <f t="shared" si="195"/>
        <v>0</v>
      </c>
      <c r="AJ142" s="422">
        <f t="shared" si="195"/>
        <v>0</v>
      </c>
      <c r="AK142" s="422">
        <f t="shared" si="195"/>
        <v>0</v>
      </c>
      <c r="AL142" s="422">
        <f t="shared" si="195"/>
        <v>71</v>
      </c>
      <c r="AM142" s="422">
        <f t="shared" si="195"/>
        <v>256628.62125</v>
      </c>
      <c r="AN142" s="422">
        <f t="shared" si="195"/>
        <v>0</v>
      </c>
      <c r="AO142" s="422">
        <f t="shared" si="195"/>
        <v>0</v>
      </c>
      <c r="AP142" s="422">
        <f t="shared" si="195"/>
        <v>266516.82000000007</v>
      </c>
      <c r="AQ142" s="422">
        <f t="shared" si="195"/>
        <v>0</v>
      </c>
      <c r="AR142" s="422">
        <f t="shared" si="195"/>
        <v>0</v>
      </c>
      <c r="AS142" s="422">
        <f t="shared" si="195"/>
        <v>0</v>
      </c>
      <c r="AT142" s="422">
        <f t="shared" si="195"/>
        <v>0</v>
      </c>
      <c r="AU142" s="422">
        <f t="shared" si="195"/>
        <v>0</v>
      </c>
      <c r="AV142" s="422">
        <f t="shared" si="195"/>
        <v>0</v>
      </c>
      <c r="AW142" s="422">
        <v>2</v>
      </c>
      <c r="AX142" s="422">
        <f t="shared" si="195"/>
        <v>43250</v>
      </c>
      <c r="AY142" s="422">
        <f t="shared" si="195"/>
        <v>0</v>
      </c>
      <c r="AZ142" s="422">
        <f t="shared" si="195"/>
        <v>663662.57750000013</v>
      </c>
      <c r="BA142" s="1318">
        <f>SUM(BA138:BA141)</f>
        <v>1519091.3150000002</v>
      </c>
      <c r="BB142" s="1318">
        <f t="shared" ref="BB142:BM142" si="196">SUM(BB138:BB141)</f>
        <v>151909.13150000002</v>
      </c>
      <c r="BC142" s="1318">
        <f t="shared" si="196"/>
        <v>30381.826300000008</v>
      </c>
      <c r="BD142" s="1318">
        <f t="shared" si="196"/>
        <v>109460.03572000001</v>
      </c>
      <c r="BE142" s="1318">
        <f t="shared" si="196"/>
        <v>1227340.3214800002</v>
      </c>
      <c r="BF142" s="1318">
        <f t="shared" si="196"/>
        <v>18229095.780000001</v>
      </c>
      <c r="BG142" s="1318">
        <f t="shared" si="196"/>
        <v>1710857.4750000001</v>
      </c>
      <c r="BH142" s="1318">
        <f t="shared" si="196"/>
        <v>19939953.255000003</v>
      </c>
      <c r="BI142" s="1318">
        <f t="shared" si="196"/>
        <v>697898.36392500019</v>
      </c>
      <c r="BJ142" s="1318">
        <f t="shared" si="196"/>
        <v>1036653.465054</v>
      </c>
      <c r="BK142" s="1318">
        <f t="shared" si="196"/>
        <v>897297.89647500031</v>
      </c>
      <c r="BL142" s="1318">
        <f t="shared" si="196"/>
        <v>598198.59765000013</v>
      </c>
      <c r="BM142" s="1318">
        <f t="shared" si="196"/>
        <v>23170001.578104001</v>
      </c>
      <c r="BN142" s="422">
        <f t="shared" si="195"/>
        <v>1</v>
      </c>
      <c r="BO142" s="355"/>
      <c r="BP142" s="355"/>
      <c r="BQ142" s="355"/>
      <c r="BR142" s="355"/>
      <c r="BS142" s="355"/>
      <c r="BT142" s="355"/>
      <c r="BU142" s="355"/>
      <c r="BV142" s="355"/>
      <c r="BW142" s="355"/>
      <c r="BX142" s="355"/>
      <c r="BY142" s="355"/>
      <c r="BZ142" s="355"/>
      <c r="CA142" s="355"/>
      <c r="CB142" s="355"/>
      <c r="CC142" s="355"/>
      <c r="CD142" s="355"/>
      <c r="CE142" s="355"/>
      <c r="CF142" s="355"/>
      <c r="CG142" s="355"/>
      <c r="CH142" s="355"/>
      <c r="CI142" s="356"/>
    </row>
    <row r="143" spans="1:87" ht="47.25">
      <c r="A143" s="369">
        <f>A141+1</f>
        <v>120</v>
      </c>
      <c r="B143" s="428">
        <v>1</v>
      </c>
      <c r="C143" s="415" t="s">
        <v>1319</v>
      </c>
      <c r="D143" s="382" t="s">
        <v>1320</v>
      </c>
      <c r="E143" s="392" t="s">
        <v>998</v>
      </c>
      <c r="F143" s="508" t="s">
        <v>1005</v>
      </c>
      <c r="G143" s="366" t="s">
        <v>1321</v>
      </c>
      <c r="H143" s="371" t="s">
        <v>1447</v>
      </c>
      <c r="I143" s="366">
        <v>17697</v>
      </c>
      <c r="J143" s="367">
        <v>10.4</v>
      </c>
      <c r="K143" s="367">
        <f>I143*J143</f>
        <v>184048.80000000002</v>
      </c>
      <c r="L143" s="380"/>
      <c r="M143" s="380">
        <v>8</v>
      </c>
      <c r="N143" s="380">
        <v>8</v>
      </c>
      <c r="O143" s="380">
        <v>4</v>
      </c>
      <c r="P143" s="380">
        <v>4</v>
      </c>
      <c r="Q143" s="368">
        <f>SUM(L143:P143)</f>
        <v>24</v>
      </c>
      <c r="R143" s="380"/>
      <c r="S143" s="380"/>
      <c r="T143" s="380"/>
      <c r="U143" s="380"/>
      <c r="V143" s="380"/>
      <c r="W143" s="381">
        <f>SUM(R143:V143)</f>
        <v>0</v>
      </c>
      <c r="X143" s="370">
        <f>Q143+W143</f>
        <v>24</v>
      </c>
      <c r="Y143" s="367">
        <f>K143/16*X143</f>
        <v>276073.2</v>
      </c>
      <c r="Z143" s="367">
        <f>Y143*10%</f>
        <v>27607.320000000003</v>
      </c>
      <c r="AA143" s="366">
        <v>24</v>
      </c>
      <c r="AB143" s="367">
        <f>I143/16*AA143*40%</f>
        <v>10618.2</v>
      </c>
      <c r="AC143" s="372"/>
      <c r="AD143" s="367">
        <f>I143/16*AC143*40%*50%</f>
        <v>0</v>
      </c>
      <c r="AE143" s="367"/>
      <c r="AF143" s="366" t="s">
        <v>1322</v>
      </c>
      <c r="AG143" s="367">
        <f>17697*20%</f>
        <v>3539.4</v>
      </c>
      <c r="AH143" s="372"/>
      <c r="AI143" s="367"/>
      <c r="AJ143" s="372"/>
      <c r="AK143" s="367"/>
      <c r="AL143" s="366">
        <f>X143</f>
        <v>24</v>
      </c>
      <c r="AM143" s="367">
        <f>K143/16*AL143*30%</f>
        <v>82821.960000000006</v>
      </c>
      <c r="AN143" s="366" t="str">
        <f>F143</f>
        <v>Педагог-зерттеуші</v>
      </c>
      <c r="AO143" s="367" t="str">
        <f>IF(AN143="Педагог-зерттеуші", "0", IF(AN143="Педагог-шебер",K143/16*X143*50%, IF(AN143="Педагог-сарапшы", "0", IF(AN143="Педагог-модератор", "0", "0"))))</f>
        <v>0</v>
      </c>
      <c r="AP143" s="367">
        <f>IF(AN143="Педагог-шебер", "0", IF(AN143="Педагог-зерттеуші",K143/16*X143*40%, IF(AN143="Педагог-сарапшы", "0", IF(AN143="Педагог-модератор", "0", "0"))))</f>
        <v>110429.28000000001</v>
      </c>
      <c r="AQ143" s="367" t="str">
        <f>IF(AN143="Педагог-шебер", "0", IF(AN143="Педагог-сарапшы",K143/16*X143*35%, IF(AN143="Педагог-зерттеуші", "0", IF(AN143="Педагог-модератор", "0", "0"))))</f>
        <v>0</v>
      </c>
      <c r="AR143" s="367" t="str">
        <f>IF(AN143="Педагог-шебер", "0", IF(AN143="Педагог-модератор",K143/16*X143*30%, IF(AN143="Педагог-зерттеуші", "0", IF(AN143="Педагог-сарапшы", "0", "0"))))</f>
        <v>0</v>
      </c>
      <c r="AS143" s="366"/>
      <c r="AT143" s="367"/>
      <c r="AU143" s="372"/>
      <c r="AV143" s="367"/>
      <c r="AW143" s="366" t="str">
        <f>G143</f>
        <v>Магистр-химия, доктор PhD</v>
      </c>
      <c r="AX143" s="372">
        <f>(10*4325)+(17*4325)</f>
        <v>116775</v>
      </c>
      <c r="AY143" s="427"/>
      <c r="AZ143" s="367">
        <f>Z143+AB143+AD143+AE143+AG143+AI143+AK143+AM143+AO143+AP143+AQ143++AR143+AT143+AV143+AX143+AY143</f>
        <v>351791.16000000003</v>
      </c>
      <c r="BA143" s="373">
        <f t="shared" ref="BA143:BA159" si="197">Y143+AZ143</f>
        <v>627864.3600000001</v>
      </c>
      <c r="BB143" s="374">
        <f t="shared" ref="BB143:BB159" si="198">BA143*10%</f>
        <v>62786.436000000016</v>
      </c>
      <c r="BC143" s="374">
        <f t="shared" ref="BC143:BC159" si="199">BA143*2%</f>
        <v>12557.287200000002</v>
      </c>
      <c r="BD143" s="374">
        <f t="shared" ref="BD143:BD159" si="200">(BA143-BB143-BC143-(14*4325))*10%</f>
        <v>49197.063680000014</v>
      </c>
      <c r="BE143" s="374">
        <f t="shared" ref="BE143:BE159" si="201">BA143-BB143-BC143-BD143</f>
        <v>503323.57312000007</v>
      </c>
      <c r="BF143" s="374">
        <f t="shared" ref="BF143:BF159" si="202">BA143*12</f>
        <v>7534372.3200000012</v>
      </c>
      <c r="BG143" s="374">
        <f t="shared" ref="BG143:BG159" si="203">Y143*2</f>
        <v>552146.4</v>
      </c>
      <c r="BH143" s="374">
        <f t="shared" ref="BH143:BH159" si="204">BF143+BG143</f>
        <v>8086518.7200000016</v>
      </c>
      <c r="BI143" s="374">
        <f t="shared" ref="BI143:BI159" si="205">BH143*3.5%</f>
        <v>283028.1552000001</v>
      </c>
      <c r="BJ143" s="374">
        <f t="shared" ref="BJ143:BJ159" si="206">(BH143*0.9-(BC143*12))*11%-BK143</f>
        <v>420096.39177600003</v>
      </c>
      <c r="BK143" s="374">
        <f t="shared" ref="BK143:BK159" si="207">BH143*0.9*5%</f>
        <v>363893.34240000008</v>
      </c>
      <c r="BL143" s="374">
        <f t="shared" ref="BL143:BL159" si="208">BH143*3%</f>
        <v>242595.56160000004</v>
      </c>
      <c r="BM143" s="373">
        <f>BH143+BJ143+BK143+BL143+BI143</f>
        <v>9396132.1709760018</v>
      </c>
      <c r="BN143" s="375"/>
      <c r="BO143" s="377"/>
      <c r="BP143" s="377"/>
      <c r="BQ143" s="377"/>
      <c r="BR143" s="377"/>
      <c r="BS143" s="377"/>
      <c r="BT143" s="377"/>
      <c r="BU143" s="377"/>
      <c r="BV143" s="377"/>
      <c r="BW143" s="377"/>
      <c r="BX143" s="377"/>
      <c r="BY143" s="377"/>
      <c r="BZ143" s="377"/>
      <c r="CA143" s="377"/>
      <c r="CB143" s="377"/>
      <c r="CC143" s="377"/>
      <c r="CD143" s="377"/>
      <c r="CE143" s="377"/>
      <c r="CF143" s="377"/>
      <c r="CG143" s="377"/>
      <c r="CH143" s="377"/>
      <c r="CI143" s="377"/>
    </row>
    <row r="144" spans="1:87" ht="47.25">
      <c r="A144" s="369">
        <f t="shared" ref="A144:B146" si="209">A143+1</f>
        <v>121</v>
      </c>
      <c r="B144" s="416">
        <f t="shared" si="209"/>
        <v>2</v>
      </c>
      <c r="C144" s="518" t="s">
        <v>1323</v>
      </c>
      <c r="D144" s="519" t="s">
        <v>1324</v>
      </c>
      <c r="E144" s="366" t="s">
        <v>998</v>
      </c>
      <c r="F144" s="508" t="s">
        <v>1005</v>
      </c>
      <c r="G144" s="366" t="s">
        <v>1325</v>
      </c>
      <c r="H144" s="371" t="s">
        <v>1448</v>
      </c>
      <c r="I144" s="366">
        <v>17697</v>
      </c>
      <c r="J144" s="367">
        <v>10.82</v>
      </c>
      <c r="K144" s="367">
        <f>I144*J144</f>
        <v>191481.54</v>
      </c>
      <c r="L144" s="380"/>
      <c r="M144" s="380"/>
      <c r="N144" s="380">
        <v>8</v>
      </c>
      <c r="O144" s="380">
        <v>5</v>
      </c>
      <c r="P144" s="380">
        <v>5</v>
      </c>
      <c r="Q144" s="368">
        <f>SUM(L144:P144)</f>
        <v>18</v>
      </c>
      <c r="R144" s="380"/>
      <c r="S144" s="380"/>
      <c r="T144" s="380"/>
      <c r="U144" s="380"/>
      <c r="V144" s="380"/>
      <c r="W144" s="381">
        <f>SUM(R144:V144)</f>
        <v>0</v>
      </c>
      <c r="X144" s="370">
        <f>Q144+W144</f>
        <v>18</v>
      </c>
      <c r="Y144" s="367">
        <f>K144/16*X144</f>
        <v>215416.73250000001</v>
      </c>
      <c r="Z144" s="367">
        <f>Y144*10%</f>
        <v>21541.673250000003</v>
      </c>
      <c r="AA144" s="366">
        <v>18</v>
      </c>
      <c r="AB144" s="367">
        <f>I144/16*AA144*40%</f>
        <v>7963.6500000000005</v>
      </c>
      <c r="AC144" s="366"/>
      <c r="AD144" s="367">
        <f>I144/16*AC144*40%*50%</f>
        <v>0</v>
      </c>
      <c r="AE144" s="366"/>
      <c r="AF144" s="366" t="s">
        <v>1326</v>
      </c>
      <c r="AG144" s="367">
        <f>17697*20%</f>
        <v>3539.4</v>
      </c>
      <c r="AH144" s="366"/>
      <c r="AI144" s="367"/>
      <c r="AJ144" s="372"/>
      <c r="AK144" s="367"/>
      <c r="AL144" s="366">
        <f>X144</f>
        <v>18</v>
      </c>
      <c r="AM144" s="367">
        <f>K144/16*AL144*30%</f>
        <v>64625.019749999999</v>
      </c>
      <c r="AN144" s="366" t="str">
        <f>F144</f>
        <v>Педагог-зерттеуші</v>
      </c>
      <c r="AO144" s="367" t="str">
        <f>IF(AN144="Педагог-зерттеуші", "0", IF(AN144="Педагог-шебер",K144/16*X144*50%, IF(AN144="Педагог-сарапшы", "0", IF(AN144="Педагог-модератор", "0", "0"))))</f>
        <v>0</v>
      </c>
      <c r="AP144" s="367">
        <f>IF(AN144="Педагог-шебер", "0", IF(AN144="Педагог-зерттеуші",K144/16*X144*40%, IF(AN144="Педагог-сарапшы", "0", IF(AN144="Педагог-модератор", "0", "0"))))</f>
        <v>86166.693000000014</v>
      </c>
      <c r="AQ144" s="367" t="str">
        <f>IF(AN144="Педагог-шебер", "0", IF(AN144="Педагог-сарапшы",K144/16*X144*35%, IF(AN144="Педагог-зерттеуші", "0", IF(AN144="Педагог-модератор", "0", "0"))))</f>
        <v>0</v>
      </c>
      <c r="AR144" s="367" t="str">
        <f>IF(AN144="Педагог-шебер", "0", IF(AN144="Педагог-модератор",K144/16*X144*30%, IF(AN144="Педагог-зерттеуші", "0", IF(AN144="Педагог-сарапшы", "0", "0"))))</f>
        <v>0</v>
      </c>
      <c r="AS144" s="366"/>
      <c r="AT144" s="367"/>
      <c r="AU144" s="371"/>
      <c r="AV144" s="367"/>
      <c r="AW144" s="366" t="str">
        <f>G144</f>
        <v>Магистр-химия</v>
      </c>
      <c r="AX144" s="520">
        <f>10*4325</f>
        <v>43250</v>
      </c>
      <c r="AY144" s="521"/>
      <c r="AZ144" s="367">
        <f>Z144+AB144+AD144+AE144+AG144+AI144+AK144+AM144+AO144+AP144+AQ144++AR144+AT144+AV144+AX144+AY144</f>
        <v>227086.43600000002</v>
      </c>
      <c r="BA144" s="373">
        <f t="shared" si="197"/>
        <v>442503.16850000003</v>
      </c>
      <c r="BB144" s="374">
        <f t="shared" si="198"/>
        <v>44250.316850000003</v>
      </c>
      <c r="BC144" s="374">
        <f t="shared" si="199"/>
        <v>8850.0633700000017</v>
      </c>
      <c r="BD144" s="374">
        <f t="shared" si="200"/>
        <v>32885.278828000002</v>
      </c>
      <c r="BE144" s="374">
        <f t="shared" si="201"/>
        <v>356517.50945200003</v>
      </c>
      <c r="BF144" s="374">
        <f t="shared" si="202"/>
        <v>5310038.0219999999</v>
      </c>
      <c r="BG144" s="374">
        <f t="shared" si="203"/>
        <v>430833.46500000003</v>
      </c>
      <c r="BH144" s="374">
        <f t="shared" si="204"/>
        <v>5740871.4869999997</v>
      </c>
      <c r="BI144" s="374">
        <f t="shared" si="205"/>
        <v>200930.502045</v>
      </c>
      <c r="BJ144" s="374">
        <f t="shared" si="206"/>
        <v>298324.97664959996</v>
      </c>
      <c r="BK144" s="374">
        <f t="shared" si="207"/>
        <v>258339.216915</v>
      </c>
      <c r="BL144" s="374">
        <f t="shared" si="208"/>
        <v>172226.14460999999</v>
      </c>
      <c r="BM144" s="373">
        <f>BH144+BJ144+BK144+BL144+BI144</f>
        <v>6670692.3272195999</v>
      </c>
      <c r="BN144" s="375"/>
      <c r="BO144" s="377"/>
      <c r="BP144" s="377"/>
      <c r="BQ144" s="377"/>
      <c r="BR144" s="377"/>
      <c r="BS144" s="377"/>
      <c r="BT144" s="377"/>
      <c r="BU144" s="377"/>
      <c r="BV144" s="377"/>
      <c r="BW144" s="377"/>
      <c r="BX144" s="377"/>
      <c r="BY144" s="377"/>
      <c r="BZ144" s="377"/>
      <c r="CA144" s="377"/>
      <c r="CB144" s="377"/>
      <c r="CC144" s="377"/>
      <c r="CD144" s="377"/>
      <c r="CE144" s="377"/>
      <c r="CF144" s="377"/>
      <c r="CG144" s="377"/>
      <c r="CH144" s="377"/>
      <c r="CI144" s="377"/>
    </row>
    <row r="145" spans="1:87" ht="94.5">
      <c r="A145" s="369">
        <f t="shared" si="209"/>
        <v>122</v>
      </c>
      <c r="B145" s="416">
        <f t="shared" si="209"/>
        <v>3</v>
      </c>
      <c r="C145" s="702" t="s">
        <v>1327</v>
      </c>
      <c r="D145" s="522" t="s">
        <v>1328</v>
      </c>
      <c r="E145" s="392" t="s">
        <v>998</v>
      </c>
      <c r="F145" s="1314" t="s">
        <v>254</v>
      </c>
      <c r="G145" s="366" t="s">
        <v>1325</v>
      </c>
      <c r="H145" s="371" t="s">
        <v>1449</v>
      </c>
      <c r="I145" s="366">
        <v>17697</v>
      </c>
      <c r="J145" s="367">
        <v>9.66</v>
      </c>
      <c r="K145" s="367">
        <f>I145*J145</f>
        <v>170953.02</v>
      </c>
      <c r="L145" s="380"/>
      <c r="M145" s="380">
        <v>8</v>
      </c>
      <c r="N145" s="380"/>
      <c r="O145" s="380"/>
      <c r="P145" s="380"/>
      <c r="Q145" s="368">
        <f>SUM(L145:P145)</f>
        <v>8</v>
      </c>
      <c r="R145" s="380"/>
      <c r="S145" s="380">
        <v>1</v>
      </c>
      <c r="T145" s="380"/>
      <c r="U145" s="380"/>
      <c r="V145" s="380">
        <v>15</v>
      </c>
      <c r="W145" s="381">
        <f>SUM(R145:V145)</f>
        <v>16</v>
      </c>
      <c r="X145" s="370">
        <f>Q145+W145</f>
        <v>24</v>
      </c>
      <c r="Y145" s="367">
        <f>K145/16*X145</f>
        <v>256429.52999999997</v>
      </c>
      <c r="Z145" s="367">
        <f>Y145*10%</f>
        <v>25642.952999999998</v>
      </c>
      <c r="AA145" s="366">
        <v>24</v>
      </c>
      <c r="AB145" s="367">
        <f>I145/16*AA145*40%</f>
        <v>10618.2</v>
      </c>
      <c r="AC145" s="366"/>
      <c r="AD145" s="367">
        <f>I145/16*AC145*40%*50%</f>
        <v>0</v>
      </c>
      <c r="AE145" s="366"/>
      <c r="AF145" s="366"/>
      <c r="AG145" s="367"/>
      <c r="AH145" s="366"/>
      <c r="AI145" s="367"/>
      <c r="AJ145" s="372"/>
      <c r="AK145" s="367"/>
      <c r="AL145" s="366">
        <f>X145</f>
        <v>24</v>
      </c>
      <c r="AM145" s="367">
        <f>K145/16*AL145*30%</f>
        <v>76928.858999999982</v>
      </c>
      <c r="AN145" s="366" t="str">
        <f>F145</f>
        <v>Педагог-модератор</v>
      </c>
      <c r="AO145" s="367" t="str">
        <f>IF(AN145="Педагог-зерттеуші", "0", IF(AN145="Педагог-шебер",K145/16*X145*50%, IF(AN145="Педагог-сарапшы", "0", IF(AN145="Педагог-модератор", "0", "0"))))</f>
        <v>0</v>
      </c>
      <c r="AP145" s="367" t="str">
        <f>IF(AN145="Педагог-шебер", "0", IF(AN145="Педагог-зерттеуші",K145/16*X145*40%, IF(AN145="Педагог-сарапшы", "0", IF(AN145="Педагог-модератор", "0", "0"))))</f>
        <v>0</v>
      </c>
      <c r="AQ145" s="367" t="str">
        <f>IF(AN145="Педагог-шебер", "0", IF(AN145="Педагог-сарапшы",K145/16*X145*35%, IF(AN145="Педагог-зерттеуші", "0", IF(AN145="Педагог-модератор", "0", "0"))))</f>
        <v>0</v>
      </c>
      <c r="AR145" s="367">
        <f>IF(AN145="Педагог-шебер", "0", IF(AN145="Педагог-модератор",K145/16*X145*30%, IF(AN145="Педагог-зерттеуші", "0", IF(AN145="Педагог-сарапшы", "0", "0"))))</f>
        <v>76928.858999999982</v>
      </c>
      <c r="AS145" s="366"/>
      <c r="AT145" s="367"/>
      <c r="AU145" s="366"/>
      <c r="AV145" s="367"/>
      <c r="AW145" s="366" t="str">
        <f>G145</f>
        <v>Магистр-химия</v>
      </c>
      <c r="AX145" s="520">
        <f>10*4325</f>
        <v>43250</v>
      </c>
      <c r="AY145" s="521"/>
      <c r="AZ145" s="367">
        <f>Z145+AB145+AD145+AE145+AG145+AI145+AK145+AM145+AO145+AP145+AQ145++AR145+AT145+AV145+AX145+AY145</f>
        <v>233368.87099999998</v>
      </c>
      <c r="BA145" s="373">
        <f t="shared" si="197"/>
        <v>489798.40099999995</v>
      </c>
      <c r="BB145" s="374">
        <f t="shared" si="198"/>
        <v>48979.840100000001</v>
      </c>
      <c r="BC145" s="374">
        <f t="shared" si="199"/>
        <v>9795.9680199999984</v>
      </c>
      <c r="BD145" s="374">
        <f t="shared" si="200"/>
        <v>37047.259287999994</v>
      </c>
      <c r="BE145" s="374">
        <f t="shared" si="201"/>
        <v>393975.33359199995</v>
      </c>
      <c r="BF145" s="374">
        <f t="shared" si="202"/>
        <v>5877580.811999999</v>
      </c>
      <c r="BG145" s="374">
        <f t="shared" si="203"/>
        <v>512859.05999999994</v>
      </c>
      <c r="BH145" s="374">
        <f t="shared" si="204"/>
        <v>6390439.8719999986</v>
      </c>
      <c r="BI145" s="374">
        <f t="shared" si="205"/>
        <v>223665.39551999996</v>
      </c>
      <c r="BJ145" s="374">
        <f t="shared" si="206"/>
        <v>332153.07530159992</v>
      </c>
      <c r="BK145" s="374">
        <f t="shared" si="207"/>
        <v>287569.79423999996</v>
      </c>
      <c r="BL145" s="374">
        <f t="shared" si="208"/>
        <v>191713.19615999996</v>
      </c>
      <c r="BM145" s="373">
        <f>BH145+BJ145+BK145+BL145+BI145</f>
        <v>7425541.3332215976</v>
      </c>
      <c r="BN145" s="375"/>
      <c r="BO145" s="377"/>
      <c r="BP145" s="377"/>
      <c r="BQ145" s="377"/>
      <c r="BR145" s="377"/>
      <c r="BS145" s="377"/>
      <c r="BT145" s="377"/>
      <c r="BU145" s="377"/>
      <c r="BV145" s="377"/>
      <c r="BW145" s="377"/>
      <c r="BX145" s="377"/>
      <c r="BY145" s="377"/>
      <c r="BZ145" s="377"/>
      <c r="CA145" s="377"/>
      <c r="CB145" s="377"/>
      <c r="CC145" s="377"/>
      <c r="CD145" s="377"/>
      <c r="CE145" s="377"/>
      <c r="CF145" s="377"/>
      <c r="CG145" s="377"/>
      <c r="CH145" s="377"/>
      <c r="CI145" s="377"/>
    </row>
    <row r="146" spans="1:87" ht="47.25">
      <c r="A146" s="457">
        <f t="shared" si="209"/>
        <v>123</v>
      </c>
      <c r="B146" s="1321">
        <f t="shared" si="209"/>
        <v>4</v>
      </c>
      <c r="C146" s="701" t="s">
        <v>113</v>
      </c>
      <c r="D146" s="515" t="s">
        <v>1329</v>
      </c>
      <c r="E146" s="458" t="s">
        <v>998</v>
      </c>
      <c r="F146" s="698" t="s">
        <v>999</v>
      </c>
      <c r="G146" s="698" t="s">
        <v>1158</v>
      </c>
      <c r="H146" s="699" t="s">
        <v>273</v>
      </c>
      <c r="I146" s="698">
        <v>17697</v>
      </c>
      <c r="J146" s="700">
        <v>11.4</v>
      </c>
      <c r="K146" s="460">
        <f>I146*J146</f>
        <v>201745.80000000002</v>
      </c>
      <c r="L146" s="456">
        <v>10</v>
      </c>
      <c r="M146" s="456">
        <v>4</v>
      </c>
      <c r="N146" s="456">
        <v>2</v>
      </c>
      <c r="O146" s="456"/>
      <c r="P146" s="456"/>
      <c r="Q146" s="486">
        <f>SUM(L146:P146)</f>
        <v>16</v>
      </c>
      <c r="R146" s="456"/>
      <c r="S146" s="456"/>
      <c r="T146" s="456"/>
      <c r="U146" s="456"/>
      <c r="V146" s="456"/>
      <c r="W146" s="487">
        <f>SUM(R146:V146)</f>
        <v>0</v>
      </c>
      <c r="X146" s="370">
        <f>Q146+W146</f>
        <v>16</v>
      </c>
      <c r="Y146" s="460">
        <f>K146/16*X146</f>
        <v>201745.80000000002</v>
      </c>
      <c r="Z146" s="460">
        <f>Y146*10%</f>
        <v>20174.580000000002</v>
      </c>
      <c r="AA146" s="458">
        <v>16</v>
      </c>
      <c r="AB146" s="460">
        <f>I146/16*AA146*40%</f>
        <v>7078.8</v>
      </c>
      <c r="AC146" s="458"/>
      <c r="AD146" s="460">
        <f>I146/16*AC146*40%*50%</f>
        <v>0</v>
      </c>
      <c r="AE146" s="458"/>
      <c r="AF146" s="458"/>
      <c r="AG146" s="460"/>
      <c r="AH146" s="458"/>
      <c r="AI146" s="460"/>
      <c r="AJ146" s="462"/>
      <c r="AK146" s="460"/>
      <c r="AL146" s="458">
        <f>X146</f>
        <v>16</v>
      </c>
      <c r="AM146" s="460">
        <f>K146/16*AL146*30%</f>
        <v>60523.740000000005</v>
      </c>
      <c r="AN146" s="458" t="str">
        <f>F146</f>
        <v>Педагог-шебер</v>
      </c>
      <c r="AO146" s="460"/>
      <c r="AP146" s="460" t="str">
        <f>IF(AN146="Педагог-шебер", "0", IF(AN146="Педагог-зерттеуші",K146/16*X146*40%, IF(AN146="Педагог-сарапшы", "0", IF(AN146="Педагог-модератор", "0", "0"))))</f>
        <v>0</v>
      </c>
      <c r="AQ146" s="460" t="str">
        <f>IF(AN146="Педагог-шебер", "0", IF(AN146="Педагог-сарапшы",K146/16*X146*35%, IF(AN146="Педагог-зерттеуші", "0", IF(AN146="Педагог-модератор", "0", "0"))))</f>
        <v>0</v>
      </c>
      <c r="AR146" s="460" t="str">
        <f>IF(AN146="Педагог-шебер", "0", IF(AN146="Педагог-модератор",K146/16*X146*30%, IF(AN146="Педагог-зерттеуші", "0", IF(AN146="Педагог-сарапшы", "0", "0"))))</f>
        <v>0</v>
      </c>
      <c r="AS146" s="458"/>
      <c r="AT146" s="460"/>
      <c r="AU146" s="458"/>
      <c r="AV146" s="460"/>
      <c r="AW146" s="458" t="str">
        <f>G146</f>
        <v>Магистр</v>
      </c>
      <c r="AX146" s="523"/>
      <c r="AY146" s="460"/>
      <c r="AZ146" s="460">
        <f>Z146+AB146+AD146+AE146+AG146+AI146+AK146+AM146+AO146+AP146+AQ146++AR146+AT146+AV146+AX146+AY146</f>
        <v>87777.12000000001</v>
      </c>
      <c r="BA146" s="463">
        <f t="shared" si="197"/>
        <v>289522.92000000004</v>
      </c>
      <c r="BB146" s="464">
        <f t="shared" si="198"/>
        <v>28952.292000000005</v>
      </c>
      <c r="BC146" s="464">
        <f t="shared" si="199"/>
        <v>5790.4584000000013</v>
      </c>
      <c r="BD146" s="464">
        <f t="shared" si="200"/>
        <v>19423.016960000004</v>
      </c>
      <c r="BE146" s="464">
        <f t="shared" si="201"/>
        <v>235357.15264000001</v>
      </c>
      <c r="BF146" s="464">
        <f t="shared" si="202"/>
        <v>3474275.0400000005</v>
      </c>
      <c r="BG146" s="464">
        <f t="shared" si="203"/>
        <v>403491.60000000003</v>
      </c>
      <c r="BH146" s="464">
        <f t="shared" si="204"/>
        <v>3877766.6400000006</v>
      </c>
      <c r="BI146" s="464">
        <f t="shared" si="205"/>
        <v>135721.83240000004</v>
      </c>
      <c r="BJ146" s="464">
        <f t="shared" si="206"/>
        <v>201755.993472</v>
      </c>
      <c r="BK146" s="464">
        <f t="shared" si="207"/>
        <v>174499.49880000006</v>
      </c>
      <c r="BL146" s="464">
        <f t="shared" si="208"/>
        <v>116332.99920000002</v>
      </c>
      <c r="BM146" s="463">
        <f>BH146+BJ146+BK146+BL146+BI146</f>
        <v>4506076.9638720006</v>
      </c>
      <c r="BN146" s="465"/>
      <c r="BO146" s="377"/>
      <c r="BP146" s="377"/>
      <c r="BQ146" s="377"/>
      <c r="BR146" s="377"/>
      <c r="BS146" s="377"/>
      <c r="BT146" s="377"/>
      <c r="BU146" s="377"/>
      <c r="BV146" s="377"/>
      <c r="BW146" s="377"/>
      <c r="BX146" s="377"/>
      <c r="BY146" s="377"/>
      <c r="BZ146" s="377"/>
      <c r="CA146" s="377"/>
      <c r="CB146" s="377"/>
      <c r="CC146" s="377"/>
      <c r="CD146" s="377"/>
      <c r="CE146" s="377"/>
      <c r="CF146" s="377"/>
      <c r="CG146" s="377"/>
      <c r="CH146" s="377"/>
      <c r="CI146" s="377"/>
    </row>
    <row r="147" spans="1:87" ht="14.25">
      <c r="A147" s="489"/>
      <c r="B147" s="489"/>
      <c r="C147" s="490" t="s">
        <v>1162</v>
      </c>
      <c r="D147" s="524"/>
      <c r="E147" s="490"/>
      <c r="F147" s="490"/>
      <c r="G147" s="490"/>
      <c r="H147" s="491"/>
      <c r="I147" s="490"/>
      <c r="J147" s="490"/>
      <c r="K147" s="422">
        <f>SUM(K143:K146)</f>
        <v>748229.16</v>
      </c>
      <c r="L147" s="422">
        <f t="shared" ref="L147:BN147" si="210">SUM(L143:L146)</f>
        <v>10</v>
      </c>
      <c r="M147" s="422">
        <f t="shared" si="210"/>
        <v>20</v>
      </c>
      <c r="N147" s="422">
        <f t="shared" si="210"/>
        <v>18</v>
      </c>
      <c r="O147" s="422">
        <f t="shared" si="210"/>
        <v>9</v>
      </c>
      <c r="P147" s="422">
        <f t="shared" si="210"/>
        <v>9</v>
      </c>
      <c r="Q147" s="422">
        <f t="shared" si="210"/>
        <v>66</v>
      </c>
      <c r="R147" s="422">
        <f t="shared" si="210"/>
        <v>0</v>
      </c>
      <c r="S147" s="422">
        <f t="shared" si="210"/>
        <v>1</v>
      </c>
      <c r="T147" s="422">
        <f t="shared" si="210"/>
        <v>0</v>
      </c>
      <c r="U147" s="422">
        <f t="shared" si="210"/>
        <v>0</v>
      </c>
      <c r="V147" s="422">
        <f t="shared" si="210"/>
        <v>15</v>
      </c>
      <c r="W147" s="422">
        <f t="shared" si="210"/>
        <v>16</v>
      </c>
      <c r="X147" s="422">
        <f t="shared" si="210"/>
        <v>82</v>
      </c>
      <c r="Y147" s="422">
        <f t="shared" si="210"/>
        <v>949665.26249999995</v>
      </c>
      <c r="Z147" s="422">
        <f t="shared" si="210"/>
        <v>94966.52625000001</v>
      </c>
      <c r="AA147" s="422">
        <f t="shared" si="210"/>
        <v>82</v>
      </c>
      <c r="AB147" s="422">
        <f t="shared" si="210"/>
        <v>36278.850000000006</v>
      </c>
      <c r="AC147" s="422">
        <f t="shared" si="210"/>
        <v>0</v>
      </c>
      <c r="AD147" s="422">
        <f t="shared" si="210"/>
        <v>0</v>
      </c>
      <c r="AE147" s="422">
        <f t="shared" si="210"/>
        <v>0</v>
      </c>
      <c r="AF147" s="422">
        <v>2</v>
      </c>
      <c r="AG147" s="422">
        <f t="shared" si="210"/>
        <v>7078.8</v>
      </c>
      <c r="AH147" s="422">
        <f t="shared" si="210"/>
        <v>0</v>
      </c>
      <c r="AI147" s="422">
        <f t="shared" si="210"/>
        <v>0</v>
      </c>
      <c r="AJ147" s="422">
        <f t="shared" si="210"/>
        <v>0</v>
      </c>
      <c r="AK147" s="422">
        <f t="shared" si="210"/>
        <v>0</v>
      </c>
      <c r="AL147" s="422">
        <f t="shared" si="210"/>
        <v>82</v>
      </c>
      <c r="AM147" s="422">
        <f t="shared" si="210"/>
        <v>284899.57874999999</v>
      </c>
      <c r="AN147" s="422">
        <f t="shared" si="210"/>
        <v>0</v>
      </c>
      <c r="AO147" s="422">
        <f t="shared" si="210"/>
        <v>0</v>
      </c>
      <c r="AP147" s="422">
        <f t="shared" si="210"/>
        <v>196595.97300000003</v>
      </c>
      <c r="AQ147" s="422">
        <f t="shared" si="210"/>
        <v>0</v>
      </c>
      <c r="AR147" s="422">
        <f t="shared" si="210"/>
        <v>76928.858999999982</v>
      </c>
      <c r="AS147" s="422">
        <f t="shared" si="210"/>
        <v>0</v>
      </c>
      <c r="AT147" s="422">
        <f t="shared" si="210"/>
        <v>0</v>
      </c>
      <c r="AU147" s="422">
        <f t="shared" si="210"/>
        <v>0</v>
      </c>
      <c r="AV147" s="422">
        <f t="shared" si="210"/>
        <v>0</v>
      </c>
      <c r="AW147" s="422">
        <v>4</v>
      </c>
      <c r="AX147" s="422">
        <f t="shared" si="210"/>
        <v>203275</v>
      </c>
      <c r="AY147" s="422">
        <f t="shared" si="210"/>
        <v>0</v>
      </c>
      <c r="AZ147" s="422">
        <f t="shared" si="210"/>
        <v>900023.58699999994</v>
      </c>
      <c r="BA147" s="1318">
        <f>SUM(BA143:BA146)</f>
        <v>1849688.8495</v>
      </c>
      <c r="BB147" s="1318">
        <f t="shared" ref="BB147:BM147" si="211">SUM(BB143:BB146)</f>
        <v>184968.88495000004</v>
      </c>
      <c r="BC147" s="1318">
        <f t="shared" si="211"/>
        <v>36993.776990000006</v>
      </c>
      <c r="BD147" s="1318">
        <f t="shared" si="211"/>
        <v>138552.61875600001</v>
      </c>
      <c r="BE147" s="1318">
        <f t="shared" si="211"/>
        <v>1489173.568804</v>
      </c>
      <c r="BF147" s="1318">
        <f t="shared" si="211"/>
        <v>22196266.193999998</v>
      </c>
      <c r="BG147" s="1318">
        <f t="shared" si="211"/>
        <v>1899330.5249999999</v>
      </c>
      <c r="BH147" s="1318">
        <f t="shared" si="211"/>
        <v>24095596.719000001</v>
      </c>
      <c r="BI147" s="1318">
        <f t="shared" si="211"/>
        <v>843345.88516500022</v>
      </c>
      <c r="BJ147" s="1318">
        <f t="shared" si="211"/>
        <v>1252330.4371992</v>
      </c>
      <c r="BK147" s="1318">
        <f t="shared" si="211"/>
        <v>1084301.8523550001</v>
      </c>
      <c r="BL147" s="1318">
        <f t="shared" si="211"/>
        <v>722867.90156999999</v>
      </c>
      <c r="BM147" s="1318">
        <f t="shared" si="211"/>
        <v>27998442.7952892</v>
      </c>
      <c r="BN147" s="422">
        <f t="shared" si="210"/>
        <v>0</v>
      </c>
      <c r="BO147" s="355"/>
      <c r="BP147" s="355"/>
      <c r="BQ147" s="355"/>
      <c r="BR147" s="355"/>
      <c r="BS147" s="355"/>
      <c r="BT147" s="355"/>
      <c r="BU147" s="355"/>
      <c r="BV147" s="355"/>
      <c r="BW147" s="355"/>
      <c r="BX147" s="355"/>
      <c r="BY147" s="355"/>
      <c r="BZ147" s="355"/>
      <c r="CA147" s="355"/>
      <c r="CB147" s="355"/>
      <c r="CC147" s="355"/>
      <c r="CD147" s="355"/>
      <c r="CE147" s="355"/>
      <c r="CF147" s="355"/>
      <c r="CG147" s="355"/>
      <c r="CH147" s="355"/>
      <c r="CI147" s="356"/>
    </row>
    <row r="148" spans="1:87" ht="33" customHeight="1">
      <c r="A148" s="547">
        <f>A146+1</f>
        <v>124</v>
      </c>
      <c r="B148" s="383">
        <v>1</v>
      </c>
      <c r="C148" s="548" t="s">
        <v>906</v>
      </c>
      <c r="D148" s="558" t="s">
        <v>1367</v>
      </c>
      <c r="E148" s="549" t="s">
        <v>57</v>
      </c>
      <c r="F148" s="549"/>
      <c r="G148" s="549"/>
      <c r="H148" s="550" t="s">
        <v>1016</v>
      </c>
      <c r="I148" s="366">
        <v>17697</v>
      </c>
      <c r="J148" s="367">
        <v>9.66</v>
      </c>
      <c r="K148" s="479">
        <f t="shared" ref="K148:K159" si="212">I148*J148</f>
        <v>170953.02</v>
      </c>
      <c r="L148" s="430"/>
      <c r="M148" s="430"/>
      <c r="N148" s="551"/>
      <c r="O148" s="430"/>
      <c r="P148" s="430"/>
      <c r="Q148" s="368">
        <f t="shared" ref="Q148:Q159" si="213">SUM(L148:P148)</f>
        <v>0</v>
      </c>
      <c r="R148" s="430"/>
      <c r="S148" s="430"/>
      <c r="T148" s="430"/>
      <c r="U148" s="430"/>
      <c r="V148" s="430"/>
      <c r="W148" s="381">
        <f t="shared" ref="W148:W159" si="214">SUM(R148:V148)</f>
        <v>0</v>
      </c>
      <c r="X148" s="370">
        <f t="shared" ref="X148:X159" si="215">Q148+W148</f>
        <v>0</v>
      </c>
      <c r="Y148" s="479">
        <f t="shared" ref="Y148:Y159" si="216">K148/16*X148</f>
        <v>0</v>
      </c>
      <c r="Z148" s="367">
        <f t="shared" ref="Z148:Z158" si="217">Y148*10%</f>
        <v>0</v>
      </c>
      <c r="AA148" s="501"/>
      <c r="AB148" s="479">
        <f t="shared" ref="AB148:AB158" si="218">I148/16*AA148*40%</f>
        <v>0</v>
      </c>
      <c r="AC148" s="501"/>
      <c r="AD148" s="479">
        <f t="shared" ref="AD148:AD158" si="219">I148/16*AC148*40%*50%</f>
        <v>0</v>
      </c>
      <c r="AE148" s="501"/>
      <c r="AF148" s="501"/>
      <c r="AG148" s="479"/>
      <c r="AH148" s="501" t="s">
        <v>1368</v>
      </c>
      <c r="AI148" s="479">
        <f>I148*200%*2</f>
        <v>70788</v>
      </c>
      <c r="AJ148" s="552"/>
      <c r="AK148" s="479"/>
      <c r="AL148" s="393">
        <f t="shared" ref="AL148:AL159" si="220">X148</f>
        <v>0</v>
      </c>
      <c r="AM148" s="479">
        <f t="shared" ref="AM148:AM159" si="221">K148/16*AL148*30%</f>
        <v>0</v>
      </c>
      <c r="AN148" s="393">
        <f>F148</f>
        <v>0</v>
      </c>
      <c r="AO148" s="479" t="str">
        <f t="shared" ref="AO148:AO159" si="222">IF(AN148="Педагог-зерттеуші", "0", IF(AN148="Педагог-шебер",K148/16*X148*50%, IF(AN148="Педагог-сарапшы", "0", IF(AN148="Педагог-модератор", "0", "0"))))</f>
        <v>0</v>
      </c>
      <c r="AP148" s="479" t="str">
        <f t="shared" ref="AP148:AP159" si="223">IF(AN148="Педагог-шебер", "0", IF(AN148="Педагог-зерттеуші",K148/16*X148*40%, IF(AN148="Педагог-сарапшы", "0", IF(AN148="Педагог-модератор", "0", "0"))))</f>
        <v>0</v>
      </c>
      <c r="AQ148" s="479" t="str">
        <f t="shared" ref="AQ148:AQ159" si="224">IF(AN148="Педагог-шебер", "0", IF(AN148="Педагог-сарапшы",K148/16*X148*35%, IF(AN148="Педагог-зерттеуші", "0", IF(AN148="Педагог-модератор", "0", "0"))))</f>
        <v>0</v>
      </c>
      <c r="AR148" s="479" t="str">
        <f t="shared" ref="AR148:AR159" si="225">IF(AN148="Педагог-шебер", "0", IF(AN148="Педагог-модератор",K148/16*X148*30%, IF(AN148="Педагог-зерттеуші", "0", IF(AN148="Педагог-сарапшы", "0", "0"))))</f>
        <v>0</v>
      </c>
      <c r="AS148" s="501"/>
      <c r="AT148" s="553"/>
      <c r="AU148" s="554"/>
      <c r="AV148" s="553"/>
      <c r="AW148" s="371"/>
      <c r="AX148" s="367"/>
      <c r="AY148" s="479"/>
      <c r="AZ148" s="367">
        <f t="shared" ref="AZ148:AZ159" si="226">Z148+AB148+AD148+AE148+AG148+AI148+AK148+AM148+AO148+AP148+AQ148++AR148+AT148+AV148+AX148+AY148</f>
        <v>70788</v>
      </c>
      <c r="BA148" s="373">
        <f t="shared" si="197"/>
        <v>70788</v>
      </c>
      <c r="BB148" s="374">
        <f t="shared" si="198"/>
        <v>7078.8</v>
      </c>
      <c r="BC148" s="374">
        <f t="shared" si="199"/>
        <v>1415.76</v>
      </c>
      <c r="BD148" s="374">
        <f t="shared" si="200"/>
        <v>174.34399999999951</v>
      </c>
      <c r="BE148" s="374">
        <f t="shared" si="201"/>
        <v>62119.095999999998</v>
      </c>
      <c r="BF148" s="374">
        <f t="shared" si="202"/>
        <v>849456</v>
      </c>
      <c r="BG148" s="374">
        <f t="shared" si="203"/>
        <v>0</v>
      </c>
      <c r="BH148" s="374">
        <f t="shared" si="204"/>
        <v>849456</v>
      </c>
      <c r="BI148" s="374">
        <f t="shared" si="205"/>
        <v>29730.960000000003</v>
      </c>
      <c r="BJ148" s="374">
        <f t="shared" si="206"/>
        <v>44001.820800000001</v>
      </c>
      <c r="BK148" s="374">
        <f t="shared" si="207"/>
        <v>38225.520000000004</v>
      </c>
      <c r="BL148" s="374">
        <f t="shared" si="208"/>
        <v>25483.68</v>
      </c>
      <c r="BM148" s="373">
        <f t="shared" ref="BM148:BM159" si="227">BH148+BJ148+BK148+BL148+BI148</f>
        <v>986897.98080000002</v>
      </c>
      <c r="BN148" s="555">
        <v>1</v>
      </c>
      <c r="BO148" s="377"/>
      <c r="BP148" s="377"/>
      <c r="BQ148" s="377"/>
      <c r="BR148" s="377"/>
      <c r="BS148" s="377"/>
      <c r="BT148" s="377"/>
      <c r="BU148" s="377"/>
      <c r="BV148" s="377"/>
      <c r="BW148" s="377"/>
      <c r="BX148" s="377"/>
      <c r="BY148" s="377"/>
      <c r="BZ148" s="377"/>
      <c r="CA148" s="377"/>
      <c r="CB148" s="377"/>
      <c r="CC148" s="377"/>
      <c r="CD148" s="377"/>
      <c r="CE148" s="377"/>
      <c r="CF148" s="377"/>
      <c r="CG148" s="377"/>
      <c r="CH148" s="377"/>
      <c r="CI148" s="377"/>
    </row>
    <row r="149" spans="1:87" ht="30">
      <c r="A149" s="547">
        <f t="shared" ref="A149:B159" si="228">A148+1</f>
        <v>125</v>
      </c>
      <c r="B149" s="383">
        <f t="shared" si="228"/>
        <v>2</v>
      </c>
      <c r="C149" s="378" t="s">
        <v>1369</v>
      </c>
      <c r="D149" s="556" t="s">
        <v>1370</v>
      </c>
      <c r="E149" s="549" t="s">
        <v>57</v>
      </c>
      <c r="F149" s="362"/>
      <c r="G149" s="549"/>
      <c r="H149" s="550" t="s">
        <v>1371</v>
      </c>
      <c r="I149" s="393">
        <v>17697</v>
      </c>
      <c r="J149" s="367">
        <v>11.4</v>
      </c>
      <c r="K149" s="479">
        <f t="shared" si="212"/>
        <v>201745.80000000002</v>
      </c>
      <c r="L149" s="430"/>
      <c r="M149" s="430"/>
      <c r="N149" s="551"/>
      <c r="O149" s="430"/>
      <c r="P149" s="430"/>
      <c r="Q149" s="368">
        <f t="shared" si="213"/>
        <v>0</v>
      </c>
      <c r="R149" s="430"/>
      <c r="S149" s="430"/>
      <c r="T149" s="430"/>
      <c r="U149" s="430"/>
      <c r="V149" s="430"/>
      <c r="W149" s="381">
        <f t="shared" si="214"/>
        <v>0</v>
      </c>
      <c r="X149" s="370">
        <f t="shared" si="215"/>
        <v>0</v>
      </c>
      <c r="Y149" s="479">
        <f t="shared" si="216"/>
        <v>0</v>
      </c>
      <c r="Z149" s="367">
        <f t="shared" si="217"/>
        <v>0</v>
      </c>
      <c r="AA149" s="501"/>
      <c r="AB149" s="479">
        <f t="shared" si="218"/>
        <v>0</v>
      </c>
      <c r="AC149" s="501"/>
      <c r="AD149" s="479">
        <f t="shared" si="219"/>
        <v>0</v>
      </c>
      <c r="AE149" s="501"/>
      <c r="AF149" s="501"/>
      <c r="AG149" s="479"/>
      <c r="AH149" s="501" t="s">
        <v>1372</v>
      </c>
      <c r="AI149" s="479">
        <f>I149*200%</f>
        <v>35394</v>
      </c>
      <c r="AJ149" s="552"/>
      <c r="AK149" s="479"/>
      <c r="AL149" s="393">
        <f t="shared" si="220"/>
        <v>0</v>
      </c>
      <c r="AM149" s="479">
        <f t="shared" si="221"/>
        <v>0</v>
      </c>
      <c r="AN149" s="393">
        <f t="shared" ref="AN149:AN159" si="229">F149</f>
        <v>0</v>
      </c>
      <c r="AO149" s="367" t="str">
        <f t="shared" si="222"/>
        <v>0</v>
      </c>
      <c r="AP149" s="367" t="str">
        <f t="shared" si="223"/>
        <v>0</v>
      </c>
      <c r="AQ149" s="367" t="str">
        <f t="shared" si="224"/>
        <v>0</v>
      </c>
      <c r="AR149" s="367" t="str">
        <f t="shared" si="225"/>
        <v>0</v>
      </c>
      <c r="AS149" s="501"/>
      <c r="AT149" s="553"/>
      <c r="AU149" s="554"/>
      <c r="AV149" s="553"/>
      <c r="AW149" s="371"/>
      <c r="AX149" s="367"/>
      <c r="AY149" s="479"/>
      <c r="AZ149" s="367">
        <f t="shared" si="226"/>
        <v>35394</v>
      </c>
      <c r="BA149" s="373">
        <f t="shared" si="197"/>
        <v>35394</v>
      </c>
      <c r="BB149" s="374">
        <f t="shared" si="198"/>
        <v>3539.4</v>
      </c>
      <c r="BC149" s="374">
        <f t="shared" si="199"/>
        <v>707.88</v>
      </c>
      <c r="BD149" s="374">
        <f t="shared" si="200"/>
        <v>-2940.3280000000004</v>
      </c>
      <c r="BE149" s="374">
        <f t="shared" si="201"/>
        <v>34087.047999999995</v>
      </c>
      <c r="BF149" s="374">
        <f t="shared" si="202"/>
        <v>424728</v>
      </c>
      <c r="BG149" s="374">
        <f t="shared" si="203"/>
        <v>0</v>
      </c>
      <c r="BH149" s="374">
        <f t="shared" si="204"/>
        <v>424728</v>
      </c>
      <c r="BI149" s="374">
        <f t="shared" si="205"/>
        <v>14865.480000000001</v>
      </c>
      <c r="BJ149" s="374">
        <f t="shared" si="206"/>
        <v>22000.910400000001</v>
      </c>
      <c r="BK149" s="374">
        <f t="shared" si="207"/>
        <v>19112.760000000002</v>
      </c>
      <c r="BL149" s="374">
        <f t="shared" si="208"/>
        <v>12741.84</v>
      </c>
      <c r="BM149" s="373">
        <f t="shared" si="227"/>
        <v>493448.99040000001</v>
      </c>
      <c r="BN149" s="555">
        <v>1</v>
      </c>
      <c r="BO149" s="377"/>
      <c r="BP149" s="377"/>
      <c r="BQ149" s="377"/>
      <c r="BR149" s="377"/>
      <c r="BS149" s="377"/>
      <c r="BT149" s="377"/>
      <c r="BU149" s="377"/>
      <c r="BV149" s="377"/>
      <c r="BW149" s="377"/>
      <c r="BX149" s="377"/>
      <c r="BY149" s="377"/>
      <c r="BZ149" s="377"/>
      <c r="CA149" s="377"/>
      <c r="CB149" s="377"/>
      <c r="CC149" s="377"/>
      <c r="CD149" s="377"/>
      <c r="CE149" s="377"/>
      <c r="CF149" s="377"/>
      <c r="CG149" s="377"/>
      <c r="CH149" s="377"/>
      <c r="CI149" s="377"/>
    </row>
    <row r="150" spans="1:87" ht="30.75" customHeight="1">
      <c r="A150" s="547">
        <f t="shared" si="228"/>
        <v>126</v>
      </c>
      <c r="B150" s="383">
        <f t="shared" si="228"/>
        <v>3</v>
      </c>
      <c r="C150" s="378" t="s">
        <v>1373</v>
      </c>
      <c r="D150" s="556" t="s">
        <v>1374</v>
      </c>
      <c r="E150" s="549" t="s">
        <v>57</v>
      </c>
      <c r="F150" s="549"/>
      <c r="G150" s="549"/>
      <c r="H150" s="550" t="s">
        <v>1375</v>
      </c>
      <c r="I150" s="393">
        <v>17697</v>
      </c>
      <c r="J150" s="367">
        <v>10.4</v>
      </c>
      <c r="K150" s="479">
        <f t="shared" si="212"/>
        <v>184048.80000000002</v>
      </c>
      <c r="L150" s="430"/>
      <c r="M150" s="430"/>
      <c r="N150" s="430"/>
      <c r="O150" s="430"/>
      <c r="P150" s="430"/>
      <c r="Q150" s="368">
        <f t="shared" si="213"/>
        <v>0</v>
      </c>
      <c r="R150" s="430"/>
      <c r="S150" s="430"/>
      <c r="T150" s="430"/>
      <c r="U150" s="430"/>
      <c r="V150" s="430"/>
      <c r="W150" s="381">
        <f t="shared" si="214"/>
        <v>0</v>
      </c>
      <c r="X150" s="370">
        <f t="shared" si="215"/>
        <v>0</v>
      </c>
      <c r="Y150" s="479">
        <f t="shared" si="216"/>
        <v>0</v>
      </c>
      <c r="Z150" s="367">
        <f t="shared" si="217"/>
        <v>0</v>
      </c>
      <c r="AA150" s="501"/>
      <c r="AB150" s="479">
        <f t="shared" si="218"/>
        <v>0</v>
      </c>
      <c r="AC150" s="501"/>
      <c r="AD150" s="479">
        <f t="shared" si="219"/>
        <v>0</v>
      </c>
      <c r="AE150" s="501"/>
      <c r="AF150" s="501"/>
      <c r="AG150" s="479"/>
      <c r="AH150" s="501" t="s">
        <v>1376</v>
      </c>
      <c r="AI150" s="479">
        <f>I150*200%*2</f>
        <v>70788</v>
      </c>
      <c r="AJ150" s="552"/>
      <c r="AK150" s="479"/>
      <c r="AL150" s="393">
        <f t="shared" si="220"/>
        <v>0</v>
      </c>
      <c r="AM150" s="479">
        <f t="shared" si="221"/>
        <v>0</v>
      </c>
      <c r="AN150" s="393">
        <f t="shared" si="229"/>
        <v>0</v>
      </c>
      <c r="AO150" s="479" t="str">
        <f t="shared" si="222"/>
        <v>0</v>
      </c>
      <c r="AP150" s="479" t="str">
        <f t="shared" si="223"/>
        <v>0</v>
      </c>
      <c r="AQ150" s="479" t="str">
        <f t="shared" si="224"/>
        <v>0</v>
      </c>
      <c r="AR150" s="479" t="str">
        <f t="shared" si="225"/>
        <v>0</v>
      </c>
      <c r="AS150" s="501"/>
      <c r="AT150" s="553"/>
      <c r="AU150" s="554"/>
      <c r="AV150" s="553"/>
      <c r="AW150" s="371"/>
      <c r="AX150" s="367"/>
      <c r="AY150" s="479"/>
      <c r="AZ150" s="367">
        <f t="shared" si="226"/>
        <v>70788</v>
      </c>
      <c r="BA150" s="373">
        <f t="shared" si="197"/>
        <v>70788</v>
      </c>
      <c r="BB150" s="374">
        <f t="shared" si="198"/>
        <v>7078.8</v>
      </c>
      <c r="BC150" s="374">
        <f t="shared" si="199"/>
        <v>1415.76</v>
      </c>
      <c r="BD150" s="374">
        <f t="shared" si="200"/>
        <v>174.34399999999951</v>
      </c>
      <c r="BE150" s="374">
        <f t="shared" si="201"/>
        <v>62119.095999999998</v>
      </c>
      <c r="BF150" s="374">
        <f t="shared" si="202"/>
        <v>849456</v>
      </c>
      <c r="BG150" s="374">
        <f t="shared" si="203"/>
        <v>0</v>
      </c>
      <c r="BH150" s="374">
        <f t="shared" si="204"/>
        <v>849456</v>
      </c>
      <c r="BI150" s="374">
        <f t="shared" si="205"/>
        <v>29730.960000000003</v>
      </c>
      <c r="BJ150" s="374">
        <f t="shared" si="206"/>
        <v>44001.820800000001</v>
      </c>
      <c r="BK150" s="374">
        <f t="shared" si="207"/>
        <v>38225.520000000004</v>
      </c>
      <c r="BL150" s="374">
        <f t="shared" si="208"/>
        <v>25483.68</v>
      </c>
      <c r="BM150" s="373">
        <f t="shared" si="227"/>
        <v>986897.98080000002</v>
      </c>
      <c r="BN150" s="555">
        <v>1</v>
      </c>
      <c r="BO150" s="377"/>
      <c r="BP150" s="377"/>
      <c r="BQ150" s="377"/>
      <c r="BR150" s="377"/>
      <c r="BS150" s="377"/>
      <c r="BT150" s="377"/>
      <c r="BU150" s="377"/>
      <c r="BV150" s="377"/>
      <c r="BW150" s="377"/>
      <c r="BX150" s="377"/>
      <c r="BY150" s="377"/>
      <c r="BZ150" s="377"/>
      <c r="CA150" s="377"/>
      <c r="CB150" s="377"/>
      <c r="CC150" s="377"/>
      <c r="CD150" s="377"/>
      <c r="CE150" s="377"/>
      <c r="CF150" s="377"/>
      <c r="CG150" s="377"/>
      <c r="CH150" s="377"/>
      <c r="CI150" s="377"/>
    </row>
    <row r="151" spans="1:87" ht="33.75" customHeight="1">
      <c r="A151" s="547">
        <f t="shared" si="228"/>
        <v>127</v>
      </c>
      <c r="B151" s="383">
        <f t="shared" si="228"/>
        <v>4</v>
      </c>
      <c r="C151" s="559" t="s">
        <v>450</v>
      </c>
      <c r="D151" s="558" t="s">
        <v>1367</v>
      </c>
      <c r="E151" s="549" t="s">
        <v>57</v>
      </c>
      <c r="F151" s="549"/>
      <c r="G151" s="549"/>
      <c r="H151" s="550" t="s">
        <v>1042</v>
      </c>
      <c r="I151" s="393">
        <v>17697</v>
      </c>
      <c r="J151" s="367">
        <v>9.84</v>
      </c>
      <c r="K151" s="479">
        <f t="shared" si="212"/>
        <v>174138.48</v>
      </c>
      <c r="L151" s="430"/>
      <c r="M151" s="430"/>
      <c r="N151" s="430"/>
      <c r="O151" s="430"/>
      <c r="P151" s="430"/>
      <c r="Q151" s="368">
        <f t="shared" si="213"/>
        <v>0</v>
      </c>
      <c r="R151" s="430"/>
      <c r="S151" s="430"/>
      <c r="T151" s="430"/>
      <c r="U151" s="430"/>
      <c r="V151" s="430"/>
      <c r="W151" s="381">
        <f t="shared" si="214"/>
        <v>0</v>
      </c>
      <c r="X151" s="370">
        <f t="shared" si="215"/>
        <v>0</v>
      </c>
      <c r="Y151" s="479">
        <f t="shared" si="216"/>
        <v>0</v>
      </c>
      <c r="Z151" s="367">
        <f t="shared" si="217"/>
        <v>0</v>
      </c>
      <c r="AA151" s="501"/>
      <c r="AB151" s="479">
        <f t="shared" si="218"/>
        <v>0</v>
      </c>
      <c r="AC151" s="501"/>
      <c r="AD151" s="479">
        <f t="shared" si="219"/>
        <v>0</v>
      </c>
      <c r="AE151" s="501"/>
      <c r="AF151" s="501"/>
      <c r="AG151" s="479"/>
      <c r="AH151" s="501" t="s">
        <v>1377</v>
      </c>
      <c r="AI151" s="479">
        <f>I151*200%*2</f>
        <v>70788</v>
      </c>
      <c r="AJ151" s="552"/>
      <c r="AK151" s="479"/>
      <c r="AL151" s="393">
        <f t="shared" si="220"/>
        <v>0</v>
      </c>
      <c r="AM151" s="479">
        <f t="shared" si="221"/>
        <v>0</v>
      </c>
      <c r="AN151" s="393">
        <f t="shared" si="229"/>
        <v>0</v>
      </c>
      <c r="AO151" s="479" t="str">
        <f t="shared" si="222"/>
        <v>0</v>
      </c>
      <c r="AP151" s="479" t="str">
        <f t="shared" si="223"/>
        <v>0</v>
      </c>
      <c r="AQ151" s="479" t="str">
        <f t="shared" si="224"/>
        <v>0</v>
      </c>
      <c r="AR151" s="479" t="str">
        <f t="shared" si="225"/>
        <v>0</v>
      </c>
      <c r="AS151" s="501"/>
      <c r="AT151" s="553"/>
      <c r="AU151" s="554"/>
      <c r="AV151" s="553"/>
      <c r="AW151" s="371"/>
      <c r="AX151" s="367"/>
      <c r="AY151" s="479"/>
      <c r="AZ151" s="367">
        <f t="shared" si="226"/>
        <v>70788</v>
      </c>
      <c r="BA151" s="373">
        <f t="shared" si="197"/>
        <v>70788</v>
      </c>
      <c r="BB151" s="374">
        <f t="shared" si="198"/>
        <v>7078.8</v>
      </c>
      <c r="BC151" s="374">
        <f t="shared" si="199"/>
        <v>1415.76</v>
      </c>
      <c r="BD151" s="374">
        <f t="shared" si="200"/>
        <v>174.34399999999951</v>
      </c>
      <c r="BE151" s="374">
        <f t="shared" si="201"/>
        <v>62119.095999999998</v>
      </c>
      <c r="BF151" s="374">
        <f t="shared" si="202"/>
        <v>849456</v>
      </c>
      <c r="BG151" s="374">
        <f t="shared" si="203"/>
        <v>0</v>
      </c>
      <c r="BH151" s="374">
        <f t="shared" si="204"/>
        <v>849456</v>
      </c>
      <c r="BI151" s="374">
        <f t="shared" si="205"/>
        <v>29730.960000000003</v>
      </c>
      <c r="BJ151" s="374">
        <f t="shared" si="206"/>
        <v>44001.820800000001</v>
      </c>
      <c r="BK151" s="374">
        <f t="shared" si="207"/>
        <v>38225.520000000004</v>
      </c>
      <c r="BL151" s="374">
        <f t="shared" si="208"/>
        <v>25483.68</v>
      </c>
      <c r="BM151" s="373">
        <f t="shared" si="227"/>
        <v>986897.98080000002</v>
      </c>
      <c r="BN151" s="555">
        <v>1</v>
      </c>
      <c r="BO151" s="377"/>
      <c r="BP151" s="377"/>
      <c r="BQ151" s="377"/>
      <c r="BR151" s="377"/>
      <c r="BS151" s="377"/>
      <c r="BT151" s="377"/>
      <c r="BU151" s="377"/>
      <c r="BV151" s="377"/>
      <c r="BW151" s="377"/>
      <c r="BX151" s="377"/>
      <c r="BY151" s="377"/>
      <c r="BZ151" s="377"/>
      <c r="CA151" s="377"/>
      <c r="CB151" s="377"/>
      <c r="CC151" s="377"/>
      <c r="CD151" s="377"/>
      <c r="CE151" s="377"/>
      <c r="CF151" s="377"/>
      <c r="CG151" s="377"/>
      <c r="CH151" s="377"/>
      <c r="CI151" s="377"/>
    </row>
    <row r="152" spans="1:87" ht="30">
      <c r="A152" s="547">
        <f t="shared" si="228"/>
        <v>128</v>
      </c>
      <c r="B152" s="383">
        <f t="shared" si="228"/>
        <v>5</v>
      </c>
      <c r="C152" s="378" t="s">
        <v>1378</v>
      </c>
      <c r="D152" s="556" t="s">
        <v>1379</v>
      </c>
      <c r="E152" s="549" t="s">
        <v>57</v>
      </c>
      <c r="F152" s="549"/>
      <c r="G152" s="549"/>
      <c r="H152" s="550" t="s">
        <v>1338</v>
      </c>
      <c r="I152" s="393">
        <v>17697</v>
      </c>
      <c r="J152" s="367">
        <v>10.6</v>
      </c>
      <c r="K152" s="479">
        <f t="shared" si="212"/>
        <v>187588.19999999998</v>
      </c>
      <c r="L152" s="430"/>
      <c r="M152" s="430"/>
      <c r="N152" s="551"/>
      <c r="O152" s="430"/>
      <c r="P152" s="430"/>
      <c r="Q152" s="368">
        <f t="shared" si="213"/>
        <v>0</v>
      </c>
      <c r="R152" s="430"/>
      <c r="S152" s="430"/>
      <c r="T152" s="430"/>
      <c r="U152" s="430"/>
      <c r="V152" s="430"/>
      <c r="W152" s="381">
        <f t="shared" si="214"/>
        <v>0</v>
      </c>
      <c r="X152" s="370">
        <f t="shared" si="215"/>
        <v>0</v>
      </c>
      <c r="Y152" s="479">
        <f t="shared" si="216"/>
        <v>0</v>
      </c>
      <c r="Z152" s="367">
        <f t="shared" si="217"/>
        <v>0</v>
      </c>
      <c r="AA152" s="501"/>
      <c r="AB152" s="479">
        <f t="shared" si="218"/>
        <v>0</v>
      </c>
      <c r="AC152" s="501"/>
      <c r="AD152" s="479">
        <f t="shared" si="219"/>
        <v>0</v>
      </c>
      <c r="AE152" s="501"/>
      <c r="AF152" s="501"/>
      <c r="AG152" s="479"/>
      <c r="AH152" s="501" t="s">
        <v>118</v>
      </c>
      <c r="AI152" s="479">
        <f>I152*200%</f>
        <v>35394</v>
      </c>
      <c r="AJ152" s="552"/>
      <c r="AK152" s="479"/>
      <c r="AL152" s="393">
        <f t="shared" si="220"/>
        <v>0</v>
      </c>
      <c r="AM152" s="479">
        <f t="shared" si="221"/>
        <v>0</v>
      </c>
      <c r="AN152" s="393">
        <f t="shared" si="229"/>
        <v>0</v>
      </c>
      <c r="AO152" s="479" t="str">
        <f t="shared" si="222"/>
        <v>0</v>
      </c>
      <c r="AP152" s="393" t="str">
        <f t="shared" si="223"/>
        <v>0</v>
      </c>
      <c r="AQ152" s="479" t="str">
        <f t="shared" si="224"/>
        <v>0</v>
      </c>
      <c r="AR152" s="479" t="str">
        <f t="shared" si="225"/>
        <v>0</v>
      </c>
      <c r="AS152" s="501"/>
      <c r="AT152" s="553"/>
      <c r="AU152" s="554"/>
      <c r="AV152" s="553"/>
      <c r="AW152" s="371"/>
      <c r="AX152" s="367"/>
      <c r="AY152" s="479"/>
      <c r="AZ152" s="367">
        <f t="shared" si="226"/>
        <v>35394</v>
      </c>
      <c r="BA152" s="373">
        <f t="shared" si="197"/>
        <v>35394</v>
      </c>
      <c r="BB152" s="374">
        <f t="shared" si="198"/>
        <v>3539.4</v>
      </c>
      <c r="BC152" s="374">
        <f t="shared" si="199"/>
        <v>707.88</v>
      </c>
      <c r="BD152" s="374">
        <f t="shared" si="200"/>
        <v>-2940.3280000000004</v>
      </c>
      <c r="BE152" s="374">
        <f t="shared" si="201"/>
        <v>34087.047999999995</v>
      </c>
      <c r="BF152" s="374">
        <f t="shared" si="202"/>
        <v>424728</v>
      </c>
      <c r="BG152" s="374">
        <f t="shared" si="203"/>
        <v>0</v>
      </c>
      <c r="BH152" s="374">
        <f t="shared" si="204"/>
        <v>424728</v>
      </c>
      <c r="BI152" s="374">
        <f t="shared" si="205"/>
        <v>14865.480000000001</v>
      </c>
      <c r="BJ152" s="374">
        <f t="shared" si="206"/>
        <v>22000.910400000001</v>
      </c>
      <c r="BK152" s="374">
        <f t="shared" si="207"/>
        <v>19112.760000000002</v>
      </c>
      <c r="BL152" s="374">
        <f t="shared" si="208"/>
        <v>12741.84</v>
      </c>
      <c r="BM152" s="373">
        <f t="shared" si="227"/>
        <v>493448.99040000001</v>
      </c>
      <c r="BN152" s="555">
        <v>1</v>
      </c>
      <c r="BO152" s="377"/>
      <c r="BP152" s="377"/>
      <c r="BQ152" s="377"/>
      <c r="BR152" s="377"/>
      <c r="BS152" s="377"/>
      <c r="BT152" s="377"/>
      <c r="BU152" s="377"/>
      <c r="BV152" s="377"/>
      <c r="BW152" s="377"/>
      <c r="BX152" s="377"/>
      <c r="BY152" s="377"/>
      <c r="BZ152" s="377"/>
      <c r="CA152" s="377"/>
      <c r="CB152" s="377"/>
      <c r="CC152" s="377"/>
      <c r="CD152" s="377"/>
      <c r="CE152" s="377"/>
      <c r="CF152" s="377"/>
      <c r="CG152" s="377"/>
      <c r="CH152" s="377"/>
      <c r="CI152" s="377"/>
    </row>
    <row r="153" spans="1:87" ht="30">
      <c r="A153" s="547">
        <f t="shared" si="228"/>
        <v>129</v>
      </c>
      <c r="B153" s="383">
        <f t="shared" si="228"/>
        <v>6</v>
      </c>
      <c r="C153" s="560" t="s">
        <v>829</v>
      </c>
      <c r="D153" s="558" t="s">
        <v>1367</v>
      </c>
      <c r="E153" s="549" t="s">
        <v>57</v>
      </c>
      <c r="F153" s="549"/>
      <c r="G153" s="549" t="s">
        <v>1380</v>
      </c>
      <c r="H153" s="550" t="s">
        <v>1381</v>
      </c>
      <c r="I153" s="393">
        <v>17697</v>
      </c>
      <c r="J153" s="367">
        <v>9.66</v>
      </c>
      <c r="K153" s="479">
        <f t="shared" si="212"/>
        <v>170953.02</v>
      </c>
      <c r="L153" s="430"/>
      <c r="M153" s="430"/>
      <c r="N153" s="551"/>
      <c r="O153" s="430"/>
      <c r="P153" s="430"/>
      <c r="Q153" s="368">
        <f t="shared" si="213"/>
        <v>0</v>
      </c>
      <c r="R153" s="430"/>
      <c r="S153" s="430"/>
      <c r="T153" s="430"/>
      <c r="U153" s="430"/>
      <c r="V153" s="430"/>
      <c r="W153" s="381">
        <f t="shared" si="214"/>
        <v>0</v>
      </c>
      <c r="X153" s="370">
        <f t="shared" si="215"/>
        <v>0</v>
      </c>
      <c r="Y153" s="479">
        <f t="shared" si="216"/>
        <v>0</v>
      </c>
      <c r="Z153" s="367">
        <f t="shared" si="217"/>
        <v>0</v>
      </c>
      <c r="AA153" s="501"/>
      <c r="AB153" s="479">
        <f t="shared" si="218"/>
        <v>0</v>
      </c>
      <c r="AC153" s="501"/>
      <c r="AD153" s="479">
        <f t="shared" si="219"/>
        <v>0</v>
      </c>
      <c r="AE153" s="501"/>
      <c r="AF153" s="501"/>
      <c r="AG153" s="479"/>
      <c r="AH153" s="393" t="s">
        <v>1382</v>
      </c>
      <c r="AI153" s="479">
        <f>I153*200%*3</f>
        <v>106182</v>
      </c>
      <c r="AJ153" s="552"/>
      <c r="AK153" s="479"/>
      <c r="AL153" s="393">
        <f t="shared" si="220"/>
        <v>0</v>
      </c>
      <c r="AM153" s="479">
        <f t="shared" si="221"/>
        <v>0</v>
      </c>
      <c r="AN153" s="393">
        <f t="shared" si="229"/>
        <v>0</v>
      </c>
      <c r="AO153" s="479" t="str">
        <f t="shared" si="222"/>
        <v>0</v>
      </c>
      <c r="AP153" s="393" t="str">
        <f t="shared" si="223"/>
        <v>0</v>
      </c>
      <c r="AQ153" s="479" t="str">
        <f t="shared" si="224"/>
        <v>0</v>
      </c>
      <c r="AR153" s="479" t="str">
        <f t="shared" si="225"/>
        <v>0</v>
      </c>
      <c r="AS153" s="501"/>
      <c r="AT153" s="553"/>
      <c r="AU153" s="554"/>
      <c r="AV153" s="553"/>
      <c r="AW153" s="371" t="str">
        <f>G153</f>
        <v>Магистр филологии</v>
      </c>
      <c r="AX153" s="372">
        <f>10*4325</f>
        <v>43250</v>
      </c>
      <c r="AY153" s="479"/>
      <c r="AZ153" s="367">
        <f t="shared" si="226"/>
        <v>149432</v>
      </c>
      <c r="BA153" s="373">
        <f t="shared" si="197"/>
        <v>149432</v>
      </c>
      <c r="BB153" s="374">
        <f t="shared" si="198"/>
        <v>14943.2</v>
      </c>
      <c r="BC153" s="374">
        <f t="shared" si="199"/>
        <v>2988.64</v>
      </c>
      <c r="BD153" s="374">
        <f t="shared" si="200"/>
        <v>7095.0159999999978</v>
      </c>
      <c r="BE153" s="374">
        <f t="shared" si="201"/>
        <v>124405.14399999997</v>
      </c>
      <c r="BF153" s="374">
        <f t="shared" si="202"/>
        <v>1793184</v>
      </c>
      <c r="BG153" s="374">
        <f t="shared" si="203"/>
        <v>0</v>
      </c>
      <c r="BH153" s="374">
        <f t="shared" si="204"/>
        <v>1793184</v>
      </c>
      <c r="BI153" s="374">
        <f t="shared" si="205"/>
        <v>62761.44000000001</v>
      </c>
      <c r="BJ153" s="374">
        <f t="shared" si="206"/>
        <v>92886.931200000006</v>
      </c>
      <c r="BK153" s="374">
        <f t="shared" si="207"/>
        <v>80693.280000000013</v>
      </c>
      <c r="BL153" s="374">
        <f t="shared" si="208"/>
        <v>53795.519999999997</v>
      </c>
      <c r="BM153" s="373">
        <f t="shared" si="227"/>
        <v>2083321.1712</v>
      </c>
      <c r="BN153" s="555">
        <v>1</v>
      </c>
      <c r="BO153" s="377"/>
      <c r="BP153" s="377"/>
      <c r="BQ153" s="377"/>
      <c r="BR153" s="377"/>
      <c r="BS153" s="377"/>
      <c r="BT153" s="377"/>
      <c r="BU153" s="377"/>
      <c r="BV153" s="377"/>
      <c r="BW153" s="377"/>
      <c r="BX153" s="377"/>
      <c r="BY153" s="377"/>
      <c r="BZ153" s="377"/>
      <c r="CA153" s="377"/>
      <c r="CB153" s="377"/>
      <c r="CC153" s="377"/>
      <c r="CD153" s="377"/>
      <c r="CE153" s="377"/>
      <c r="CF153" s="377"/>
      <c r="CG153" s="377"/>
      <c r="CH153" s="377"/>
      <c r="CI153" s="377"/>
    </row>
    <row r="154" spans="1:87" ht="30">
      <c r="A154" s="547">
        <f t="shared" si="228"/>
        <v>130</v>
      </c>
      <c r="B154" s="383">
        <f t="shared" si="228"/>
        <v>7</v>
      </c>
      <c r="C154" s="559" t="s">
        <v>1383</v>
      </c>
      <c r="D154" s="558" t="s">
        <v>1367</v>
      </c>
      <c r="E154" s="549" t="s">
        <v>57</v>
      </c>
      <c r="F154" s="549"/>
      <c r="G154" s="549"/>
      <c r="H154" s="550" t="s">
        <v>1384</v>
      </c>
      <c r="I154" s="393">
        <v>17697</v>
      </c>
      <c r="J154" s="367">
        <v>11.4</v>
      </c>
      <c r="K154" s="479">
        <f t="shared" si="212"/>
        <v>201745.80000000002</v>
      </c>
      <c r="L154" s="430"/>
      <c r="M154" s="430"/>
      <c r="N154" s="430"/>
      <c r="O154" s="430"/>
      <c r="P154" s="430"/>
      <c r="Q154" s="368">
        <f t="shared" si="213"/>
        <v>0</v>
      </c>
      <c r="R154" s="430"/>
      <c r="S154" s="430"/>
      <c r="T154" s="430"/>
      <c r="U154" s="430"/>
      <c r="V154" s="430"/>
      <c r="W154" s="381">
        <f t="shared" si="214"/>
        <v>0</v>
      </c>
      <c r="X154" s="370">
        <f t="shared" si="215"/>
        <v>0</v>
      </c>
      <c r="Y154" s="479">
        <f t="shared" si="216"/>
        <v>0</v>
      </c>
      <c r="Z154" s="367">
        <f t="shared" si="217"/>
        <v>0</v>
      </c>
      <c r="AA154" s="501"/>
      <c r="AB154" s="479">
        <f t="shared" si="218"/>
        <v>0</v>
      </c>
      <c r="AC154" s="501"/>
      <c r="AD154" s="479">
        <f t="shared" si="219"/>
        <v>0</v>
      </c>
      <c r="AE154" s="501"/>
      <c r="AF154" s="501"/>
      <c r="AG154" s="479"/>
      <c r="AH154" s="393" t="s">
        <v>1385</v>
      </c>
      <c r="AI154" s="479">
        <f>I154*200%*3</f>
        <v>106182</v>
      </c>
      <c r="AJ154" s="552"/>
      <c r="AK154" s="479"/>
      <c r="AL154" s="393">
        <f t="shared" si="220"/>
        <v>0</v>
      </c>
      <c r="AM154" s="479">
        <f t="shared" si="221"/>
        <v>0</v>
      </c>
      <c r="AN154" s="393">
        <f t="shared" si="229"/>
        <v>0</v>
      </c>
      <c r="AO154" s="479" t="str">
        <f t="shared" si="222"/>
        <v>0</v>
      </c>
      <c r="AP154" s="393" t="str">
        <f t="shared" si="223"/>
        <v>0</v>
      </c>
      <c r="AQ154" s="479" t="str">
        <f t="shared" si="224"/>
        <v>0</v>
      </c>
      <c r="AR154" s="479" t="str">
        <f t="shared" si="225"/>
        <v>0</v>
      </c>
      <c r="AS154" s="501"/>
      <c r="AT154" s="553"/>
      <c r="AU154" s="554"/>
      <c r="AV154" s="553"/>
      <c r="AW154" s="371"/>
      <c r="AX154" s="372"/>
      <c r="AY154" s="479"/>
      <c r="AZ154" s="367">
        <f t="shared" si="226"/>
        <v>106182</v>
      </c>
      <c r="BA154" s="373">
        <f t="shared" si="197"/>
        <v>106182</v>
      </c>
      <c r="BB154" s="374">
        <f t="shared" si="198"/>
        <v>10618.2</v>
      </c>
      <c r="BC154" s="374">
        <f t="shared" si="199"/>
        <v>2123.64</v>
      </c>
      <c r="BD154" s="374">
        <f t="shared" si="200"/>
        <v>3289.0160000000005</v>
      </c>
      <c r="BE154" s="374">
        <f t="shared" si="201"/>
        <v>90151.144</v>
      </c>
      <c r="BF154" s="374">
        <f t="shared" si="202"/>
        <v>1274184</v>
      </c>
      <c r="BG154" s="374">
        <f t="shared" si="203"/>
        <v>0</v>
      </c>
      <c r="BH154" s="374">
        <f t="shared" si="204"/>
        <v>1274184</v>
      </c>
      <c r="BI154" s="374">
        <f t="shared" si="205"/>
        <v>44596.44</v>
      </c>
      <c r="BJ154" s="374">
        <f t="shared" si="206"/>
        <v>66002.731200000009</v>
      </c>
      <c r="BK154" s="374">
        <f t="shared" si="207"/>
        <v>57338.280000000006</v>
      </c>
      <c r="BL154" s="374">
        <f t="shared" si="208"/>
        <v>38225.519999999997</v>
      </c>
      <c r="BM154" s="373">
        <f t="shared" si="227"/>
        <v>1480346.9712</v>
      </c>
      <c r="BN154" s="555">
        <v>1</v>
      </c>
      <c r="BO154" s="377"/>
      <c r="BP154" s="377"/>
      <c r="BQ154" s="377"/>
      <c r="BR154" s="377"/>
      <c r="BS154" s="377"/>
      <c r="BT154" s="377"/>
      <c r="BU154" s="377"/>
      <c r="BV154" s="377"/>
      <c r="BW154" s="377"/>
      <c r="BX154" s="377"/>
      <c r="BY154" s="377"/>
      <c r="BZ154" s="377"/>
      <c r="CA154" s="377"/>
      <c r="CB154" s="377"/>
      <c r="CC154" s="377"/>
      <c r="CD154" s="377"/>
      <c r="CE154" s="377"/>
      <c r="CF154" s="377"/>
      <c r="CG154" s="377"/>
      <c r="CH154" s="377"/>
      <c r="CI154" s="377"/>
    </row>
    <row r="155" spans="1:87" ht="30">
      <c r="A155" s="547">
        <f t="shared" si="228"/>
        <v>131</v>
      </c>
      <c r="B155" s="383">
        <f t="shared" si="228"/>
        <v>8</v>
      </c>
      <c r="C155" s="561" t="s">
        <v>907</v>
      </c>
      <c r="D155" s="558" t="s">
        <v>1367</v>
      </c>
      <c r="E155" s="549" t="s">
        <v>57</v>
      </c>
      <c r="F155" s="549"/>
      <c r="G155" s="549"/>
      <c r="H155" s="550" t="s">
        <v>1386</v>
      </c>
      <c r="I155" s="393">
        <v>17697</v>
      </c>
      <c r="J155" s="367">
        <v>9.66</v>
      </c>
      <c r="K155" s="479">
        <f t="shared" si="212"/>
        <v>170953.02</v>
      </c>
      <c r="L155" s="430"/>
      <c r="M155" s="430"/>
      <c r="N155" s="430"/>
      <c r="O155" s="430"/>
      <c r="P155" s="430"/>
      <c r="Q155" s="368">
        <f t="shared" si="213"/>
        <v>0</v>
      </c>
      <c r="R155" s="430"/>
      <c r="S155" s="430"/>
      <c r="T155" s="430"/>
      <c r="U155" s="430"/>
      <c r="V155" s="430"/>
      <c r="W155" s="381">
        <f t="shared" si="214"/>
        <v>0</v>
      </c>
      <c r="X155" s="370">
        <f t="shared" si="215"/>
        <v>0</v>
      </c>
      <c r="Y155" s="479">
        <f t="shared" si="216"/>
        <v>0</v>
      </c>
      <c r="Z155" s="367">
        <f t="shared" si="217"/>
        <v>0</v>
      </c>
      <c r="AA155" s="501"/>
      <c r="AB155" s="479">
        <f t="shared" si="218"/>
        <v>0</v>
      </c>
      <c r="AC155" s="501"/>
      <c r="AD155" s="479">
        <f t="shared" si="219"/>
        <v>0</v>
      </c>
      <c r="AE155" s="501"/>
      <c r="AF155" s="501"/>
      <c r="AG155" s="479"/>
      <c r="AH155" s="501" t="s">
        <v>1387</v>
      </c>
      <c r="AI155" s="479">
        <f>I155*200%*3</f>
        <v>106182</v>
      </c>
      <c r="AJ155" s="552"/>
      <c r="AK155" s="479"/>
      <c r="AL155" s="393">
        <f t="shared" si="220"/>
        <v>0</v>
      </c>
      <c r="AM155" s="479">
        <f t="shared" si="221"/>
        <v>0</v>
      </c>
      <c r="AN155" s="393">
        <f t="shared" si="229"/>
        <v>0</v>
      </c>
      <c r="AO155" s="479" t="str">
        <f t="shared" si="222"/>
        <v>0</v>
      </c>
      <c r="AP155" s="393" t="str">
        <f t="shared" si="223"/>
        <v>0</v>
      </c>
      <c r="AQ155" s="479" t="str">
        <f t="shared" si="224"/>
        <v>0</v>
      </c>
      <c r="AR155" s="479" t="str">
        <f t="shared" si="225"/>
        <v>0</v>
      </c>
      <c r="AS155" s="501"/>
      <c r="AT155" s="553"/>
      <c r="AU155" s="554"/>
      <c r="AV155" s="553"/>
      <c r="AW155" s="371"/>
      <c r="AX155" s="372"/>
      <c r="AY155" s="479"/>
      <c r="AZ155" s="367">
        <f t="shared" si="226"/>
        <v>106182</v>
      </c>
      <c r="BA155" s="373">
        <f t="shared" si="197"/>
        <v>106182</v>
      </c>
      <c r="BB155" s="374">
        <f t="shared" si="198"/>
        <v>10618.2</v>
      </c>
      <c r="BC155" s="374">
        <f t="shared" si="199"/>
        <v>2123.64</v>
      </c>
      <c r="BD155" s="374">
        <f t="shared" si="200"/>
        <v>3289.0160000000005</v>
      </c>
      <c r="BE155" s="374">
        <f t="shared" si="201"/>
        <v>90151.144</v>
      </c>
      <c r="BF155" s="374">
        <f t="shared" si="202"/>
        <v>1274184</v>
      </c>
      <c r="BG155" s="374">
        <f t="shared" si="203"/>
        <v>0</v>
      </c>
      <c r="BH155" s="374">
        <f t="shared" si="204"/>
        <v>1274184</v>
      </c>
      <c r="BI155" s="374">
        <f t="shared" si="205"/>
        <v>44596.44</v>
      </c>
      <c r="BJ155" s="374">
        <f t="shared" si="206"/>
        <v>66002.731200000009</v>
      </c>
      <c r="BK155" s="374">
        <f t="shared" si="207"/>
        <v>57338.280000000006</v>
      </c>
      <c r="BL155" s="374">
        <f t="shared" si="208"/>
        <v>38225.519999999997</v>
      </c>
      <c r="BM155" s="373">
        <f t="shared" si="227"/>
        <v>1480346.9712</v>
      </c>
      <c r="BN155" s="555">
        <v>1</v>
      </c>
      <c r="BO155" s="377"/>
      <c r="BP155" s="377"/>
      <c r="BQ155" s="377"/>
      <c r="BR155" s="377"/>
      <c r="BS155" s="377"/>
      <c r="BT155" s="377"/>
      <c r="BU155" s="377"/>
      <c r="BV155" s="377"/>
      <c r="BW155" s="377"/>
      <c r="BX155" s="377"/>
      <c r="BY155" s="377"/>
      <c r="BZ155" s="377"/>
      <c r="CA155" s="377"/>
      <c r="CB155" s="377"/>
      <c r="CC155" s="377"/>
      <c r="CD155" s="377"/>
      <c r="CE155" s="377"/>
      <c r="CF155" s="377"/>
      <c r="CG155" s="377"/>
      <c r="CH155" s="377"/>
      <c r="CI155" s="377"/>
    </row>
    <row r="156" spans="1:87" ht="30">
      <c r="A156" s="547">
        <f t="shared" si="228"/>
        <v>132</v>
      </c>
      <c r="B156" s="383">
        <f t="shared" si="228"/>
        <v>9</v>
      </c>
      <c r="C156" s="559" t="s">
        <v>908</v>
      </c>
      <c r="D156" s="558" t="s">
        <v>1367</v>
      </c>
      <c r="E156" s="549" t="s">
        <v>57</v>
      </c>
      <c r="F156" s="549"/>
      <c r="G156" s="549"/>
      <c r="H156" s="550" t="s">
        <v>1388</v>
      </c>
      <c r="I156" s="393">
        <v>17697</v>
      </c>
      <c r="J156" s="367">
        <v>10</v>
      </c>
      <c r="K156" s="479">
        <f t="shared" si="212"/>
        <v>176970</v>
      </c>
      <c r="L156" s="430"/>
      <c r="M156" s="430"/>
      <c r="N156" s="430"/>
      <c r="O156" s="430"/>
      <c r="P156" s="430"/>
      <c r="Q156" s="368">
        <f t="shared" si="213"/>
        <v>0</v>
      </c>
      <c r="R156" s="430"/>
      <c r="S156" s="430"/>
      <c r="T156" s="430"/>
      <c r="U156" s="430"/>
      <c r="V156" s="430"/>
      <c r="W156" s="381">
        <f t="shared" si="214"/>
        <v>0</v>
      </c>
      <c r="X156" s="370">
        <f t="shared" si="215"/>
        <v>0</v>
      </c>
      <c r="Y156" s="479">
        <f t="shared" si="216"/>
        <v>0</v>
      </c>
      <c r="Z156" s="367">
        <f t="shared" si="217"/>
        <v>0</v>
      </c>
      <c r="AA156" s="501"/>
      <c r="AB156" s="479">
        <f t="shared" si="218"/>
        <v>0</v>
      </c>
      <c r="AC156" s="501"/>
      <c r="AD156" s="479">
        <f t="shared" si="219"/>
        <v>0</v>
      </c>
      <c r="AE156" s="501"/>
      <c r="AF156" s="501"/>
      <c r="AG156" s="479"/>
      <c r="AH156" s="501" t="s">
        <v>1389</v>
      </c>
      <c r="AI156" s="479">
        <f>I156*200%*3</f>
        <v>106182</v>
      </c>
      <c r="AJ156" s="552"/>
      <c r="AK156" s="479"/>
      <c r="AL156" s="393">
        <f t="shared" si="220"/>
        <v>0</v>
      </c>
      <c r="AM156" s="479">
        <f t="shared" si="221"/>
        <v>0</v>
      </c>
      <c r="AN156" s="393">
        <f t="shared" si="229"/>
        <v>0</v>
      </c>
      <c r="AO156" s="479" t="str">
        <f t="shared" si="222"/>
        <v>0</v>
      </c>
      <c r="AP156" s="393" t="str">
        <f t="shared" si="223"/>
        <v>0</v>
      </c>
      <c r="AQ156" s="479" t="str">
        <f t="shared" si="224"/>
        <v>0</v>
      </c>
      <c r="AR156" s="479" t="str">
        <f t="shared" si="225"/>
        <v>0</v>
      </c>
      <c r="AS156" s="501"/>
      <c r="AT156" s="553"/>
      <c r="AU156" s="554"/>
      <c r="AV156" s="553"/>
      <c r="AW156" s="371"/>
      <c r="AX156" s="372"/>
      <c r="AY156" s="479"/>
      <c r="AZ156" s="367">
        <f t="shared" si="226"/>
        <v>106182</v>
      </c>
      <c r="BA156" s="373">
        <f t="shared" si="197"/>
        <v>106182</v>
      </c>
      <c r="BB156" s="374">
        <f t="shared" si="198"/>
        <v>10618.2</v>
      </c>
      <c r="BC156" s="374">
        <f t="shared" si="199"/>
        <v>2123.64</v>
      </c>
      <c r="BD156" s="374">
        <f t="shared" si="200"/>
        <v>3289.0160000000005</v>
      </c>
      <c r="BE156" s="374">
        <f t="shared" si="201"/>
        <v>90151.144</v>
      </c>
      <c r="BF156" s="374">
        <f t="shared" si="202"/>
        <v>1274184</v>
      </c>
      <c r="BG156" s="374">
        <f t="shared" si="203"/>
        <v>0</v>
      </c>
      <c r="BH156" s="374">
        <f t="shared" si="204"/>
        <v>1274184</v>
      </c>
      <c r="BI156" s="374">
        <f t="shared" si="205"/>
        <v>44596.44</v>
      </c>
      <c r="BJ156" s="374">
        <f t="shared" si="206"/>
        <v>66002.731200000009</v>
      </c>
      <c r="BK156" s="374">
        <f t="shared" si="207"/>
        <v>57338.280000000006</v>
      </c>
      <c r="BL156" s="374">
        <f t="shared" si="208"/>
        <v>38225.519999999997</v>
      </c>
      <c r="BM156" s="373">
        <f t="shared" si="227"/>
        <v>1480346.9712</v>
      </c>
      <c r="BN156" s="555">
        <v>1</v>
      </c>
      <c r="BO156" s="377"/>
      <c r="BP156" s="377"/>
      <c r="BQ156" s="377"/>
      <c r="BR156" s="377"/>
      <c r="BS156" s="377"/>
      <c r="BT156" s="377"/>
      <c r="BU156" s="377"/>
      <c r="BV156" s="377"/>
      <c r="BW156" s="377"/>
      <c r="BX156" s="377"/>
      <c r="BY156" s="377"/>
      <c r="BZ156" s="377"/>
      <c r="CA156" s="377"/>
      <c r="CB156" s="377"/>
      <c r="CC156" s="377"/>
      <c r="CD156" s="377"/>
      <c r="CE156" s="377"/>
      <c r="CF156" s="377"/>
      <c r="CG156" s="377"/>
      <c r="CH156" s="377"/>
      <c r="CI156" s="377"/>
    </row>
    <row r="157" spans="1:87" ht="30">
      <c r="A157" s="547">
        <f t="shared" si="228"/>
        <v>133</v>
      </c>
      <c r="B157" s="383">
        <f t="shared" si="228"/>
        <v>10</v>
      </c>
      <c r="C157" s="562" t="s">
        <v>452</v>
      </c>
      <c r="D157" s="558" t="s">
        <v>1367</v>
      </c>
      <c r="E157" s="549" t="s">
        <v>57</v>
      </c>
      <c r="F157" s="549"/>
      <c r="G157" s="549"/>
      <c r="H157" s="550" t="s">
        <v>1390</v>
      </c>
      <c r="I157" s="393">
        <v>17697</v>
      </c>
      <c r="J157" s="367">
        <v>10.82</v>
      </c>
      <c r="K157" s="479">
        <f t="shared" si="212"/>
        <v>191481.54</v>
      </c>
      <c r="L157" s="430"/>
      <c r="M157" s="430"/>
      <c r="N157" s="430"/>
      <c r="O157" s="430"/>
      <c r="P157" s="430"/>
      <c r="Q157" s="368">
        <f t="shared" si="213"/>
        <v>0</v>
      </c>
      <c r="R157" s="430"/>
      <c r="S157" s="430"/>
      <c r="T157" s="430"/>
      <c r="U157" s="430"/>
      <c r="V157" s="430"/>
      <c r="W157" s="381">
        <f t="shared" si="214"/>
        <v>0</v>
      </c>
      <c r="X157" s="370">
        <f t="shared" si="215"/>
        <v>0</v>
      </c>
      <c r="Y157" s="479">
        <f t="shared" si="216"/>
        <v>0</v>
      </c>
      <c r="Z157" s="367">
        <f t="shared" si="217"/>
        <v>0</v>
      </c>
      <c r="AA157" s="501"/>
      <c r="AB157" s="479">
        <f t="shared" si="218"/>
        <v>0</v>
      </c>
      <c r="AC157" s="501"/>
      <c r="AD157" s="479">
        <f t="shared" si="219"/>
        <v>0</v>
      </c>
      <c r="AE157" s="501"/>
      <c r="AF157" s="501"/>
      <c r="AG157" s="479"/>
      <c r="AH157" s="393" t="s">
        <v>1391</v>
      </c>
      <c r="AI157" s="479">
        <f>I157*200%</f>
        <v>35394</v>
      </c>
      <c r="AJ157" s="552"/>
      <c r="AK157" s="479"/>
      <c r="AL157" s="393">
        <f t="shared" si="220"/>
        <v>0</v>
      </c>
      <c r="AM157" s="479">
        <f t="shared" si="221"/>
        <v>0</v>
      </c>
      <c r="AN157" s="393">
        <f t="shared" si="229"/>
        <v>0</v>
      </c>
      <c r="AO157" s="479" t="str">
        <f t="shared" si="222"/>
        <v>0</v>
      </c>
      <c r="AP157" s="393" t="str">
        <f t="shared" si="223"/>
        <v>0</v>
      </c>
      <c r="AQ157" s="479" t="str">
        <f t="shared" si="224"/>
        <v>0</v>
      </c>
      <c r="AR157" s="479" t="str">
        <f t="shared" si="225"/>
        <v>0</v>
      </c>
      <c r="AS157" s="501"/>
      <c r="AT157" s="553"/>
      <c r="AU157" s="554"/>
      <c r="AV157" s="553"/>
      <c r="AW157" s="371"/>
      <c r="AX157" s="372"/>
      <c r="AY157" s="479"/>
      <c r="AZ157" s="367">
        <f t="shared" si="226"/>
        <v>35394</v>
      </c>
      <c r="BA157" s="373">
        <f t="shared" si="197"/>
        <v>35394</v>
      </c>
      <c r="BB157" s="374">
        <f t="shared" si="198"/>
        <v>3539.4</v>
      </c>
      <c r="BC157" s="374">
        <f t="shared" si="199"/>
        <v>707.88</v>
      </c>
      <c r="BD157" s="374">
        <f t="shared" si="200"/>
        <v>-2940.3280000000004</v>
      </c>
      <c r="BE157" s="374">
        <f t="shared" si="201"/>
        <v>34087.047999999995</v>
      </c>
      <c r="BF157" s="374">
        <f t="shared" si="202"/>
        <v>424728</v>
      </c>
      <c r="BG157" s="374">
        <f t="shared" si="203"/>
        <v>0</v>
      </c>
      <c r="BH157" s="374">
        <f t="shared" si="204"/>
        <v>424728</v>
      </c>
      <c r="BI157" s="374">
        <f t="shared" si="205"/>
        <v>14865.480000000001</v>
      </c>
      <c r="BJ157" s="374">
        <f t="shared" si="206"/>
        <v>22000.910400000001</v>
      </c>
      <c r="BK157" s="374">
        <f t="shared" si="207"/>
        <v>19112.760000000002</v>
      </c>
      <c r="BL157" s="374">
        <f t="shared" si="208"/>
        <v>12741.84</v>
      </c>
      <c r="BM157" s="373">
        <f t="shared" si="227"/>
        <v>493448.99040000001</v>
      </c>
      <c r="BN157" s="555">
        <v>1</v>
      </c>
      <c r="BO157" s="377"/>
      <c r="BP157" s="377"/>
      <c r="BQ157" s="377"/>
      <c r="BR157" s="377"/>
      <c r="BS157" s="377"/>
      <c r="BT157" s="377"/>
      <c r="BU157" s="377"/>
      <c r="BV157" s="377"/>
      <c r="BW157" s="377"/>
      <c r="BX157" s="377"/>
      <c r="BY157" s="377"/>
      <c r="BZ157" s="377"/>
      <c r="CA157" s="377"/>
      <c r="CB157" s="377"/>
      <c r="CC157" s="377"/>
      <c r="CD157" s="377"/>
      <c r="CE157" s="377"/>
      <c r="CF157" s="377"/>
      <c r="CG157" s="377"/>
      <c r="CH157" s="377"/>
      <c r="CI157" s="377"/>
    </row>
    <row r="158" spans="1:87" ht="28.5" customHeight="1">
      <c r="A158" s="547">
        <f t="shared" si="228"/>
        <v>134</v>
      </c>
      <c r="B158" s="383">
        <f t="shared" si="228"/>
        <v>11</v>
      </c>
      <c r="C158" s="562" t="s">
        <v>458</v>
      </c>
      <c r="D158" s="556" t="s">
        <v>1370</v>
      </c>
      <c r="E158" s="549" t="s">
        <v>57</v>
      </c>
      <c r="F158" s="549"/>
      <c r="G158" s="549"/>
      <c r="H158" s="550" t="s">
        <v>1392</v>
      </c>
      <c r="I158" s="393">
        <v>17697</v>
      </c>
      <c r="J158" s="367">
        <v>9.84</v>
      </c>
      <c r="K158" s="479">
        <f t="shared" si="212"/>
        <v>174138.48</v>
      </c>
      <c r="L158" s="430"/>
      <c r="M158" s="430"/>
      <c r="N158" s="430"/>
      <c r="O158" s="430"/>
      <c r="P158" s="430"/>
      <c r="Q158" s="368">
        <f t="shared" si="213"/>
        <v>0</v>
      </c>
      <c r="R158" s="430"/>
      <c r="S158" s="430"/>
      <c r="T158" s="430"/>
      <c r="U158" s="430"/>
      <c r="V158" s="430"/>
      <c r="W158" s="381">
        <f t="shared" si="214"/>
        <v>0</v>
      </c>
      <c r="X158" s="370">
        <f t="shared" si="215"/>
        <v>0</v>
      </c>
      <c r="Y158" s="479">
        <f t="shared" si="216"/>
        <v>0</v>
      </c>
      <c r="Z158" s="367">
        <f t="shared" si="217"/>
        <v>0</v>
      </c>
      <c r="AA158" s="501"/>
      <c r="AB158" s="479">
        <f t="shared" si="218"/>
        <v>0</v>
      </c>
      <c r="AC158" s="501"/>
      <c r="AD158" s="479">
        <f t="shared" si="219"/>
        <v>0</v>
      </c>
      <c r="AE158" s="501"/>
      <c r="AF158" s="501"/>
      <c r="AG158" s="479"/>
      <c r="AH158" s="393" t="s">
        <v>1393</v>
      </c>
      <c r="AI158" s="479">
        <f>I158*200%</f>
        <v>35394</v>
      </c>
      <c r="AJ158" s="552"/>
      <c r="AK158" s="479"/>
      <c r="AL158" s="393">
        <f t="shared" si="220"/>
        <v>0</v>
      </c>
      <c r="AM158" s="479">
        <f t="shared" si="221"/>
        <v>0</v>
      </c>
      <c r="AN158" s="393">
        <f t="shared" si="229"/>
        <v>0</v>
      </c>
      <c r="AO158" s="479" t="str">
        <f t="shared" si="222"/>
        <v>0</v>
      </c>
      <c r="AP158" s="393" t="str">
        <f t="shared" si="223"/>
        <v>0</v>
      </c>
      <c r="AQ158" s="479" t="str">
        <f t="shared" si="224"/>
        <v>0</v>
      </c>
      <c r="AR158" s="479" t="str">
        <f t="shared" si="225"/>
        <v>0</v>
      </c>
      <c r="AS158" s="501"/>
      <c r="AT158" s="553"/>
      <c r="AU158" s="554"/>
      <c r="AV158" s="553"/>
      <c r="AW158" s="371"/>
      <c r="AX158" s="372"/>
      <c r="AY158" s="479"/>
      <c r="AZ158" s="367">
        <f t="shared" si="226"/>
        <v>35394</v>
      </c>
      <c r="BA158" s="373">
        <f t="shared" si="197"/>
        <v>35394</v>
      </c>
      <c r="BB158" s="374">
        <f t="shared" si="198"/>
        <v>3539.4</v>
      </c>
      <c r="BC158" s="374">
        <f t="shared" si="199"/>
        <v>707.88</v>
      </c>
      <c r="BD158" s="374">
        <f t="shared" si="200"/>
        <v>-2940.3280000000004</v>
      </c>
      <c r="BE158" s="374">
        <f t="shared" si="201"/>
        <v>34087.047999999995</v>
      </c>
      <c r="BF158" s="374">
        <f t="shared" si="202"/>
        <v>424728</v>
      </c>
      <c r="BG158" s="374">
        <f t="shared" si="203"/>
        <v>0</v>
      </c>
      <c r="BH158" s="374">
        <f t="shared" si="204"/>
        <v>424728</v>
      </c>
      <c r="BI158" s="374">
        <f t="shared" si="205"/>
        <v>14865.480000000001</v>
      </c>
      <c r="BJ158" s="374">
        <f t="shared" si="206"/>
        <v>22000.910400000001</v>
      </c>
      <c r="BK158" s="374">
        <f t="shared" si="207"/>
        <v>19112.760000000002</v>
      </c>
      <c r="BL158" s="374">
        <f t="shared" si="208"/>
        <v>12741.84</v>
      </c>
      <c r="BM158" s="373">
        <f t="shared" si="227"/>
        <v>493448.99040000001</v>
      </c>
      <c r="BN158" s="555">
        <v>1</v>
      </c>
      <c r="BO158" s="377"/>
      <c r="BP158" s="377"/>
      <c r="BQ158" s="377"/>
      <c r="BR158" s="377"/>
      <c r="BS158" s="377"/>
      <c r="BT158" s="377"/>
      <c r="BU158" s="377"/>
      <c r="BV158" s="377"/>
      <c r="BW158" s="377"/>
      <c r="BX158" s="377"/>
      <c r="BY158" s="377"/>
      <c r="BZ158" s="377"/>
      <c r="CA158" s="377"/>
      <c r="CB158" s="377"/>
      <c r="CC158" s="377"/>
      <c r="CD158" s="377"/>
      <c r="CE158" s="377"/>
      <c r="CF158" s="377"/>
      <c r="CG158" s="377"/>
      <c r="CH158" s="377"/>
      <c r="CI158" s="377"/>
    </row>
    <row r="159" spans="1:87" ht="33" customHeight="1">
      <c r="A159" s="547">
        <f t="shared" si="228"/>
        <v>135</v>
      </c>
      <c r="B159" s="383">
        <f t="shared" si="228"/>
        <v>12</v>
      </c>
      <c r="C159" s="563" t="s">
        <v>522</v>
      </c>
      <c r="D159" s="379" t="s">
        <v>1394</v>
      </c>
      <c r="E159" s="556" t="s">
        <v>57</v>
      </c>
      <c r="F159" s="549"/>
      <c r="G159" s="557"/>
      <c r="H159" s="550"/>
      <c r="I159" s="393"/>
      <c r="J159" s="479"/>
      <c r="K159" s="479">
        <f t="shared" si="212"/>
        <v>0</v>
      </c>
      <c r="L159" s="430"/>
      <c r="M159" s="430"/>
      <c r="N159" s="430"/>
      <c r="O159" s="430"/>
      <c r="P159" s="430"/>
      <c r="Q159" s="564">
        <f t="shared" si="213"/>
        <v>0</v>
      </c>
      <c r="R159" s="430"/>
      <c r="S159" s="430"/>
      <c r="T159" s="430"/>
      <c r="U159" s="430"/>
      <c r="V159" s="430"/>
      <c r="W159" s="381">
        <f t="shared" si="214"/>
        <v>0</v>
      </c>
      <c r="X159" s="370">
        <f t="shared" si="215"/>
        <v>0</v>
      </c>
      <c r="Y159" s="479">
        <f t="shared" si="216"/>
        <v>0</v>
      </c>
      <c r="Z159" s="367">
        <v>0</v>
      </c>
      <c r="AA159" s="565"/>
      <c r="AB159" s="479"/>
      <c r="AC159" s="565"/>
      <c r="AD159" s="479"/>
      <c r="AE159" s="366">
        <v>196600</v>
      </c>
      <c r="AF159" s="565"/>
      <c r="AG159" s="479"/>
      <c r="AH159" s="565"/>
      <c r="AI159" s="479"/>
      <c r="AJ159" s="552"/>
      <c r="AK159" s="479"/>
      <c r="AL159" s="393">
        <f t="shared" si="220"/>
        <v>0</v>
      </c>
      <c r="AM159" s="479">
        <f t="shared" si="221"/>
        <v>0</v>
      </c>
      <c r="AN159" s="393">
        <f t="shared" si="229"/>
        <v>0</v>
      </c>
      <c r="AO159" s="479" t="str">
        <f t="shared" si="222"/>
        <v>0</v>
      </c>
      <c r="AP159" s="393" t="str">
        <f t="shared" si="223"/>
        <v>0</v>
      </c>
      <c r="AQ159" s="479" t="str">
        <f t="shared" si="224"/>
        <v>0</v>
      </c>
      <c r="AR159" s="479" t="str">
        <f t="shared" si="225"/>
        <v>0</v>
      </c>
      <c r="AS159" s="393"/>
      <c r="AT159" s="479"/>
      <c r="AU159" s="565"/>
      <c r="AV159" s="479"/>
      <c r="AW159" s="371"/>
      <c r="AX159" s="372"/>
      <c r="AY159" s="479"/>
      <c r="AZ159" s="367">
        <f t="shared" si="226"/>
        <v>196600</v>
      </c>
      <c r="BA159" s="373">
        <f t="shared" si="197"/>
        <v>196600</v>
      </c>
      <c r="BB159" s="374">
        <f t="shared" si="198"/>
        <v>19660</v>
      </c>
      <c r="BC159" s="374">
        <f t="shared" si="199"/>
        <v>3932</v>
      </c>
      <c r="BD159" s="374">
        <f t="shared" si="200"/>
        <v>11245.800000000001</v>
      </c>
      <c r="BE159" s="374">
        <f t="shared" si="201"/>
        <v>161762.20000000001</v>
      </c>
      <c r="BF159" s="374">
        <f t="shared" si="202"/>
        <v>2359200</v>
      </c>
      <c r="BG159" s="374">
        <f t="shared" si="203"/>
        <v>0</v>
      </c>
      <c r="BH159" s="374">
        <f t="shared" si="204"/>
        <v>2359200</v>
      </c>
      <c r="BI159" s="374">
        <f t="shared" si="205"/>
        <v>82572.000000000015</v>
      </c>
      <c r="BJ159" s="374">
        <f t="shared" si="206"/>
        <v>122206.56</v>
      </c>
      <c r="BK159" s="374">
        <f t="shared" si="207"/>
        <v>106164</v>
      </c>
      <c r="BL159" s="374">
        <f t="shared" si="208"/>
        <v>70776</v>
      </c>
      <c r="BM159" s="373">
        <f t="shared" si="227"/>
        <v>2740918.56</v>
      </c>
      <c r="BN159" s="555">
        <v>1</v>
      </c>
      <c r="BO159" s="377"/>
      <c r="BP159" s="377"/>
      <c r="BQ159" s="377"/>
      <c r="BR159" s="377"/>
      <c r="BS159" s="377"/>
      <c r="BT159" s="377"/>
      <c r="BU159" s="377"/>
      <c r="BV159" s="377"/>
      <c r="BW159" s="377"/>
      <c r="BX159" s="377"/>
      <c r="BY159" s="377"/>
      <c r="BZ159" s="377"/>
      <c r="CA159" s="377"/>
      <c r="CB159" s="377"/>
      <c r="CC159" s="377"/>
      <c r="CD159" s="377"/>
      <c r="CE159" s="377"/>
      <c r="CF159" s="377"/>
      <c r="CG159" s="377"/>
      <c r="CH159" s="377"/>
      <c r="CI159" s="377"/>
    </row>
    <row r="160" spans="1:87" ht="14.25">
      <c r="A160" s="566"/>
      <c r="B160" s="567"/>
      <c r="C160" s="568" t="s">
        <v>1162</v>
      </c>
      <c r="D160" s="569"/>
      <c r="E160" s="524"/>
      <c r="F160" s="524"/>
      <c r="G160" s="524"/>
      <c r="H160" s="491"/>
      <c r="I160" s="490"/>
      <c r="J160" s="490"/>
      <c r="K160" s="422">
        <f t="shared" ref="K160:AG160" si="230">SUM(K148:K159)</f>
        <v>2004716.16</v>
      </c>
      <c r="L160" s="422">
        <f t="shared" si="230"/>
        <v>0</v>
      </c>
      <c r="M160" s="422">
        <f t="shared" si="230"/>
        <v>0</v>
      </c>
      <c r="N160" s="422">
        <f t="shared" si="230"/>
        <v>0</v>
      </c>
      <c r="O160" s="422">
        <f t="shared" si="230"/>
        <v>0</v>
      </c>
      <c r="P160" s="422">
        <f t="shared" si="230"/>
        <v>0</v>
      </c>
      <c r="Q160" s="422">
        <f t="shared" si="230"/>
        <v>0</v>
      </c>
      <c r="R160" s="422">
        <f t="shared" si="230"/>
        <v>0</v>
      </c>
      <c r="S160" s="422">
        <f t="shared" si="230"/>
        <v>0</v>
      </c>
      <c r="T160" s="422">
        <f t="shared" si="230"/>
        <v>0</v>
      </c>
      <c r="U160" s="422">
        <f t="shared" si="230"/>
        <v>0</v>
      </c>
      <c r="V160" s="422">
        <f t="shared" si="230"/>
        <v>0</v>
      </c>
      <c r="W160" s="422">
        <f t="shared" si="230"/>
        <v>0</v>
      </c>
      <c r="X160" s="422">
        <f t="shared" si="230"/>
        <v>0</v>
      </c>
      <c r="Y160" s="422">
        <f t="shared" si="230"/>
        <v>0</v>
      </c>
      <c r="Z160" s="422">
        <f t="shared" si="230"/>
        <v>0</v>
      </c>
      <c r="AA160" s="422">
        <f t="shared" si="230"/>
        <v>0</v>
      </c>
      <c r="AB160" s="422">
        <f t="shared" si="230"/>
        <v>0</v>
      </c>
      <c r="AC160" s="422">
        <f t="shared" si="230"/>
        <v>0</v>
      </c>
      <c r="AD160" s="422">
        <f t="shared" si="230"/>
        <v>0</v>
      </c>
      <c r="AE160" s="422">
        <f t="shared" si="230"/>
        <v>196600</v>
      </c>
      <c r="AF160" s="422">
        <f t="shared" si="230"/>
        <v>0</v>
      </c>
      <c r="AG160" s="422">
        <f t="shared" si="230"/>
        <v>0</v>
      </c>
      <c r="AH160" s="422">
        <v>22</v>
      </c>
      <c r="AI160" s="422">
        <f t="shared" ref="AI160:AV160" si="231">SUM(AI148:AI159)</f>
        <v>778668</v>
      </c>
      <c r="AJ160" s="422">
        <f t="shared" si="231"/>
        <v>0</v>
      </c>
      <c r="AK160" s="422">
        <f t="shared" si="231"/>
        <v>0</v>
      </c>
      <c r="AL160" s="422">
        <f t="shared" si="231"/>
        <v>0</v>
      </c>
      <c r="AM160" s="422">
        <f t="shared" si="231"/>
        <v>0</v>
      </c>
      <c r="AN160" s="422">
        <f t="shared" si="231"/>
        <v>0</v>
      </c>
      <c r="AO160" s="422">
        <f t="shared" si="231"/>
        <v>0</v>
      </c>
      <c r="AP160" s="422">
        <f t="shared" si="231"/>
        <v>0</v>
      </c>
      <c r="AQ160" s="422">
        <f t="shared" si="231"/>
        <v>0</v>
      </c>
      <c r="AR160" s="422">
        <f t="shared" si="231"/>
        <v>0</v>
      </c>
      <c r="AS160" s="422">
        <f t="shared" si="231"/>
        <v>0</v>
      </c>
      <c r="AT160" s="422">
        <f t="shared" si="231"/>
        <v>0</v>
      </c>
      <c r="AU160" s="422">
        <f t="shared" si="231"/>
        <v>0</v>
      </c>
      <c r="AV160" s="422">
        <f t="shared" si="231"/>
        <v>0</v>
      </c>
      <c r="AW160" s="422">
        <v>2</v>
      </c>
      <c r="AX160" s="422">
        <f t="shared" ref="AX160:BN160" si="232">SUM(AX148:AX159)</f>
        <v>43250</v>
      </c>
      <c r="AY160" s="422">
        <f t="shared" si="232"/>
        <v>0</v>
      </c>
      <c r="AZ160" s="422">
        <f t="shared" si="232"/>
        <v>1018518</v>
      </c>
      <c r="BA160" s="1318">
        <f t="shared" si="232"/>
        <v>1018518</v>
      </c>
      <c r="BB160" s="1318">
        <f t="shared" si="232"/>
        <v>101851.79999999999</v>
      </c>
      <c r="BC160" s="1318">
        <f t="shared" si="232"/>
        <v>20370.359999999997</v>
      </c>
      <c r="BD160" s="1318">
        <f t="shared" si="232"/>
        <v>16969.583999999999</v>
      </c>
      <c r="BE160" s="1318">
        <f t="shared" si="232"/>
        <v>879326.25599999982</v>
      </c>
      <c r="BF160" s="1318">
        <f t="shared" si="232"/>
        <v>12222216</v>
      </c>
      <c r="BG160" s="1318">
        <f t="shared" si="232"/>
        <v>0</v>
      </c>
      <c r="BH160" s="1318">
        <f t="shared" si="232"/>
        <v>12222216</v>
      </c>
      <c r="BI160" s="1318">
        <f t="shared" si="232"/>
        <v>427777.56</v>
      </c>
      <c r="BJ160" s="1318">
        <f t="shared" si="232"/>
        <v>633110.78879999998</v>
      </c>
      <c r="BK160" s="1318">
        <f t="shared" si="232"/>
        <v>549999.7200000002</v>
      </c>
      <c r="BL160" s="1318">
        <f t="shared" si="232"/>
        <v>366666.48000000004</v>
      </c>
      <c r="BM160" s="1318">
        <f t="shared" si="232"/>
        <v>14199770.548800001</v>
      </c>
      <c r="BN160" s="422">
        <f t="shared" si="232"/>
        <v>12</v>
      </c>
      <c r="BO160" s="355"/>
      <c r="BP160" s="355"/>
      <c r="BQ160" s="355"/>
      <c r="BR160" s="355"/>
      <c r="BS160" s="355"/>
      <c r="BT160" s="355"/>
      <c r="BU160" s="355"/>
      <c r="BV160" s="355"/>
      <c r="BW160" s="355"/>
      <c r="BX160" s="355"/>
      <c r="BY160" s="355"/>
      <c r="BZ160" s="355"/>
      <c r="CA160" s="355"/>
      <c r="CB160" s="355"/>
      <c r="CC160" s="355"/>
      <c r="CD160" s="355"/>
      <c r="CE160" s="355"/>
      <c r="CF160" s="355"/>
      <c r="CG160" s="355"/>
      <c r="CH160" s="355"/>
      <c r="CI160" s="355"/>
    </row>
    <row r="161" spans="1:90" ht="28.5">
      <c r="A161" s="1536"/>
      <c r="B161" s="1537"/>
      <c r="C161" s="570" t="s">
        <v>230</v>
      </c>
      <c r="D161" s="570"/>
      <c r="E161" s="570"/>
      <c r="F161" s="570"/>
      <c r="G161" s="570"/>
      <c r="H161" s="494"/>
      <c r="I161" s="570"/>
      <c r="J161" s="570"/>
      <c r="K161" s="571">
        <f>K105+K116+K124+K133+K137+K142+K147+K160</f>
        <v>25418555.039999995</v>
      </c>
      <c r="L161" s="571">
        <f t="shared" ref="L161:BN161" si="233">L105+L116+L124+L133+L137+L142+L147+L160</f>
        <v>505</v>
      </c>
      <c r="M161" s="571">
        <f t="shared" si="233"/>
        <v>515</v>
      </c>
      <c r="N161" s="571">
        <f t="shared" si="233"/>
        <v>462</v>
      </c>
      <c r="O161" s="571">
        <f t="shared" si="233"/>
        <v>450</v>
      </c>
      <c r="P161" s="571">
        <f t="shared" si="233"/>
        <v>453</v>
      </c>
      <c r="Q161" s="571">
        <f t="shared" si="233"/>
        <v>2385</v>
      </c>
      <c r="R161" s="571">
        <f t="shared" si="233"/>
        <v>125</v>
      </c>
      <c r="S161" s="571">
        <f t="shared" si="233"/>
        <v>130</v>
      </c>
      <c r="T161" s="571">
        <f t="shared" si="233"/>
        <v>115</v>
      </c>
      <c r="U161" s="571">
        <f t="shared" si="233"/>
        <v>132</v>
      </c>
      <c r="V161" s="571">
        <f t="shared" si="233"/>
        <v>144</v>
      </c>
      <c r="W161" s="571">
        <f t="shared" si="233"/>
        <v>646</v>
      </c>
      <c r="X161" s="571">
        <f t="shared" si="233"/>
        <v>3031</v>
      </c>
      <c r="Y161" s="571">
        <f t="shared" si="233"/>
        <v>35896351.466250002</v>
      </c>
      <c r="Z161" s="571">
        <f t="shared" si="233"/>
        <v>3521676.4545000005</v>
      </c>
      <c r="AA161" s="571">
        <f t="shared" si="233"/>
        <v>1355</v>
      </c>
      <c r="AB161" s="571">
        <f t="shared" si="233"/>
        <v>661425.375</v>
      </c>
      <c r="AC161" s="571">
        <f t="shared" si="233"/>
        <v>854</v>
      </c>
      <c r="AD161" s="571">
        <f t="shared" si="233"/>
        <v>202188.22500000003</v>
      </c>
      <c r="AE161" s="571">
        <f t="shared" si="233"/>
        <v>1179600</v>
      </c>
      <c r="AF161" s="571">
        <f t="shared" si="233"/>
        <v>50</v>
      </c>
      <c r="AG161" s="571">
        <f t="shared" si="233"/>
        <v>176970</v>
      </c>
      <c r="AH161" s="571">
        <f t="shared" si="233"/>
        <v>46</v>
      </c>
      <c r="AI161" s="571">
        <f t="shared" si="233"/>
        <v>1628124</v>
      </c>
      <c r="AJ161" s="571">
        <f t="shared" si="233"/>
        <v>2253</v>
      </c>
      <c r="AK161" s="571">
        <f t="shared" si="233"/>
        <v>996783.52499999991</v>
      </c>
      <c r="AL161" s="571">
        <f t="shared" si="233"/>
        <v>3031</v>
      </c>
      <c r="AM161" s="571">
        <f t="shared" si="233"/>
        <v>10768905.439874999</v>
      </c>
      <c r="AN161" s="571">
        <f t="shared" si="233"/>
        <v>0</v>
      </c>
      <c r="AO161" s="571">
        <f t="shared" si="233"/>
        <v>3133375.5406249999</v>
      </c>
      <c r="AP161" s="571">
        <f t="shared" si="233"/>
        <v>5087170.7715000017</v>
      </c>
      <c r="AQ161" s="571">
        <f t="shared" si="233"/>
        <v>1156449.1771874998</v>
      </c>
      <c r="AR161" s="571">
        <f t="shared" si="233"/>
        <v>2090796.5801250003</v>
      </c>
      <c r="AS161" s="571">
        <f t="shared" si="233"/>
        <v>400</v>
      </c>
      <c r="AT161" s="571">
        <f t="shared" si="233"/>
        <v>1730000</v>
      </c>
      <c r="AU161" s="571">
        <f t="shared" si="233"/>
        <v>0</v>
      </c>
      <c r="AV161" s="571">
        <f t="shared" si="233"/>
        <v>0</v>
      </c>
      <c r="AW161" s="571">
        <f t="shared" si="233"/>
        <v>63</v>
      </c>
      <c r="AX161" s="571">
        <f t="shared" si="233"/>
        <v>2482550</v>
      </c>
      <c r="AY161" s="571">
        <f t="shared" si="233"/>
        <v>70788</v>
      </c>
      <c r="AZ161" s="571">
        <f t="shared" si="233"/>
        <v>34886803.0888125</v>
      </c>
      <c r="BA161" s="571">
        <f t="shared" si="233"/>
        <v>70783154.555062503</v>
      </c>
      <c r="BB161" s="571">
        <f t="shared" si="233"/>
        <v>7078315.4555062503</v>
      </c>
      <c r="BC161" s="571">
        <f t="shared" si="233"/>
        <v>1415663.0911012501</v>
      </c>
      <c r="BD161" s="571">
        <f t="shared" si="233"/>
        <v>5411492.6008454999</v>
      </c>
      <c r="BE161" s="571">
        <f t="shared" si="233"/>
        <v>56877683.407609507</v>
      </c>
      <c r="BF161" s="571">
        <f t="shared" si="233"/>
        <v>849397854.66074991</v>
      </c>
      <c r="BG161" s="571">
        <f t="shared" si="233"/>
        <v>71792702.932500005</v>
      </c>
      <c r="BH161" s="571">
        <f t="shared" si="233"/>
        <v>921190557.59324992</v>
      </c>
      <c r="BI161" s="571">
        <f t="shared" si="233"/>
        <v>32241669.515763748</v>
      </c>
      <c r="BJ161" s="571">
        <f t="shared" si="233"/>
        <v>46637130.229781844</v>
      </c>
      <c r="BK161" s="571">
        <f t="shared" si="233"/>
        <v>41453575.091696262</v>
      </c>
      <c r="BL161" s="571">
        <f t="shared" si="233"/>
        <v>27635716.727797501</v>
      </c>
      <c r="BM161" s="571">
        <f t="shared" si="233"/>
        <v>1069158649.1582894</v>
      </c>
      <c r="BN161" s="571">
        <f t="shared" si="233"/>
        <v>23</v>
      </c>
      <c r="BO161" s="511"/>
      <c r="BP161" s="355"/>
      <c r="BQ161" s="355"/>
      <c r="BR161" s="355"/>
      <c r="BS161" s="355"/>
      <c r="BT161" s="355"/>
      <c r="BU161" s="355"/>
      <c r="BV161" s="355"/>
      <c r="BW161" s="355"/>
      <c r="BX161" s="355"/>
      <c r="BY161" s="355"/>
      <c r="BZ161" s="355"/>
      <c r="CA161" s="355"/>
      <c r="CB161" s="355"/>
      <c r="CC161" s="355"/>
      <c r="CD161" s="355"/>
      <c r="CE161" s="355"/>
      <c r="CF161" s="355"/>
      <c r="CG161" s="355"/>
      <c r="CH161" s="355"/>
      <c r="CI161" s="355"/>
    </row>
    <row r="162" spans="1:90" ht="15">
      <c r="A162" s="377"/>
      <c r="B162" s="377"/>
      <c r="C162" s="572"/>
      <c r="D162" s="377"/>
      <c r="E162" s="377"/>
      <c r="F162" s="377"/>
      <c r="G162" s="377"/>
      <c r="H162" s="573"/>
      <c r="I162" s="377"/>
      <c r="J162" s="377"/>
      <c r="K162" s="377"/>
      <c r="L162" s="377"/>
      <c r="M162" s="377"/>
      <c r="N162" s="377"/>
      <c r="O162" s="377"/>
      <c r="P162" s="377"/>
      <c r="Q162" s="377"/>
      <c r="R162" s="377"/>
      <c r="S162" s="377"/>
      <c r="T162" s="377"/>
      <c r="U162" s="377"/>
      <c r="V162" s="377"/>
      <c r="W162" s="377"/>
      <c r="X162" s="574"/>
      <c r="Y162" s="377"/>
      <c r="Z162" s="377"/>
      <c r="AA162" s="377"/>
      <c r="AB162" s="377"/>
      <c r="AC162" s="377"/>
      <c r="AD162" s="377"/>
      <c r="AE162" s="377"/>
      <c r="AF162" s="377"/>
      <c r="AG162" s="377"/>
      <c r="AH162" s="377"/>
      <c r="AI162" s="377"/>
      <c r="AJ162" s="377"/>
      <c r="AK162" s="377"/>
      <c r="AL162" s="574"/>
      <c r="AM162" s="377"/>
      <c r="AN162" s="377"/>
      <c r="AO162" s="377"/>
      <c r="AP162" s="377"/>
      <c r="AQ162" s="377"/>
      <c r="AR162" s="377"/>
      <c r="AS162" s="377"/>
      <c r="AT162" s="377"/>
      <c r="AU162" s="377"/>
      <c r="AV162" s="377"/>
      <c r="AW162" s="575"/>
      <c r="AX162" s="377"/>
      <c r="AY162" s="377"/>
      <c r="AZ162" s="377"/>
      <c r="BA162" s="377"/>
      <c r="BB162" s="377"/>
      <c r="BC162" s="377"/>
      <c r="BD162" s="377"/>
      <c r="BE162" s="377"/>
      <c r="BF162" s="377"/>
      <c r="BG162" s="377"/>
      <c r="BH162" s="377"/>
      <c r="BI162" s="377"/>
      <c r="BJ162" s="377"/>
      <c r="BK162" s="377"/>
      <c r="BL162" s="377"/>
      <c r="BM162" s="377"/>
      <c r="BN162" s="576"/>
      <c r="BO162" s="376"/>
      <c r="BP162" s="377"/>
      <c r="BQ162" s="377"/>
      <c r="BR162" s="377"/>
      <c r="BS162" s="376"/>
      <c r="BT162" s="377"/>
      <c r="BU162" s="376"/>
      <c r="BV162" s="377"/>
      <c r="BW162" s="377"/>
      <c r="BX162" s="377"/>
      <c r="BY162" s="377"/>
      <c r="BZ162" s="377"/>
      <c r="CA162" s="377"/>
      <c r="CB162" s="377"/>
      <c r="CC162" s="377"/>
      <c r="CD162" s="377"/>
      <c r="CE162" s="377"/>
      <c r="CF162" s="377"/>
      <c r="CG162" s="377"/>
      <c r="CH162" s="377"/>
      <c r="CI162" s="377"/>
      <c r="CJ162" s="377"/>
      <c r="CK162" s="377"/>
      <c r="CL162" s="377"/>
    </row>
    <row r="163" spans="1:90" ht="15">
      <c r="A163" s="377"/>
      <c r="B163" s="377"/>
      <c r="C163" s="572"/>
      <c r="D163" s="377"/>
      <c r="E163" s="377"/>
      <c r="F163" s="377"/>
      <c r="G163" s="377"/>
      <c r="H163" s="573"/>
      <c r="I163" s="377"/>
      <c r="J163" s="377"/>
      <c r="K163" s="377"/>
      <c r="L163" s="377"/>
      <c r="M163" s="377"/>
      <c r="N163" s="377"/>
      <c r="O163" s="377"/>
      <c r="P163" s="377"/>
      <c r="Q163" s="377"/>
      <c r="R163" s="377"/>
      <c r="S163" s="377"/>
      <c r="T163" s="377"/>
      <c r="U163" s="377"/>
      <c r="V163" s="377"/>
      <c r="W163" s="377"/>
      <c r="X163" s="574"/>
      <c r="Y163" s="377"/>
      <c r="Z163" s="377"/>
      <c r="AA163" s="377"/>
      <c r="AB163" s="377"/>
      <c r="AC163" s="377"/>
      <c r="AD163" s="377"/>
      <c r="AE163" s="377"/>
      <c r="AF163" s="377"/>
      <c r="AG163" s="377"/>
      <c r="AH163" s="377"/>
      <c r="AI163" s="377"/>
      <c r="AJ163" s="377"/>
      <c r="AK163" s="377"/>
      <c r="AL163" s="574"/>
      <c r="AM163" s="377"/>
      <c r="AN163" s="377"/>
      <c r="AO163" s="376"/>
      <c r="AP163" s="377"/>
      <c r="AQ163" s="377"/>
      <c r="AR163" s="377"/>
      <c r="AS163" s="377"/>
      <c r="AT163" s="377"/>
      <c r="AU163" s="377"/>
      <c r="AV163" s="377"/>
      <c r="AW163" s="575"/>
      <c r="AX163" s="377"/>
      <c r="AY163" s="377"/>
      <c r="AZ163" s="377"/>
      <c r="BA163" s="377"/>
      <c r="BB163" s="377"/>
      <c r="BC163" s="377"/>
      <c r="BD163" s="377"/>
      <c r="BE163" s="377"/>
      <c r="BF163" s="377"/>
      <c r="BG163" s="377"/>
      <c r="BH163" s="377"/>
      <c r="BI163" s="377"/>
      <c r="BJ163" s="377"/>
      <c r="BK163" s="377"/>
      <c r="BL163" s="377"/>
      <c r="BM163" s="577"/>
      <c r="BP163" s="377"/>
      <c r="BQ163" s="377"/>
      <c r="BR163" s="377"/>
      <c r="BS163" s="376"/>
      <c r="BT163" s="376"/>
      <c r="BU163" s="376"/>
      <c r="BV163" s="377"/>
      <c r="BW163" s="377"/>
      <c r="BX163" s="377"/>
      <c r="BY163" s="377"/>
      <c r="BZ163" s="377"/>
      <c r="CA163" s="377"/>
      <c r="CB163" s="377"/>
      <c r="CC163" s="377"/>
      <c r="CD163" s="377"/>
      <c r="CE163" s="377"/>
      <c r="CF163" s="377"/>
      <c r="CG163" s="377"/>
      <c r="CH163" s="377"/>
      <c r="CI163" s="377"/>
      <c r="CJ163" s="377"/>
      <c r="CK163" s="377"/>
      <c r="CL163" s="377"/>
    </row>
    <row r="164" spans="1:90" ht="15">
      <c r="A164" s="377"/>
      <c r="B164" s="377"/>
      <c r="C164" s="572"/>
      <c r="D164" s="377"/>
      <c r="E164" s="377"/>
      <c r="F164" s="377"/>
      <c r="G164" s="377"/>
      <c r="H164" s="573"/>
      <c r="I164" s="377"/>
      <c r="J164" s="377"/>
      <c r="K164" s="377"/>
      <c r="L164" s="377"/>
      <c r="M164" s="377"/>
      <c r="N164" s="377"/>
      <c r="O164" s="377"/>
      <c r="P164" s="377"/>
      <c r="Q164" s="377"/>
      <c r="R164" s="377"/>
      <c r="S164" s="377"/>
      <c r="T164" s="377"/>
      <c r="U164" s="377"/>
      <c r="V164" s="377"/>
      <c r="W164" s="377"/>
      <c r="X164" s="574"/>
      <c r="Y164" s="377"/>
      <c r="Z164" s="377"/>
      <c r="AA164" s="377"/>
      <c r="AB164" s="377"/>
      <c r="AC164" s="377"/>
      <c r="AD164" s="377"/>
      <c r="AE164" s="377"/>
      <c r="AF164" s="377"/>
      <c r="AG164" s="377"/>
      <c r="AH164" s="377"/>
      <c r="AI164" s="377"/>
      <c r="AJ164" s="377"/>
      <c r="AK164" s="377"/>
      <c r="AL164" s="574"/>
      <c r="AM164" s="377"/>
      <c r="AN164" s="377"/>
      <c r="AO164" s="377"/>
      <c r="AP164" s="377"/>
      <c r="AQ164" s="377"/>
      <c r="AR164" s="377"/>
      <c r="AS164" s="377"/>
      <c r="AT164" s="377"/>
      <c r="AU164" s="377"/>
      <c r="AV164" s="377"/>
      <c r="AW164" s="575"/>
      <c r="AX164" s="377"/>
      <c r="AY164" s="377"/>
      <c r="AZ164" s="377"/>
      <c r="BA164" s="377"/>
      <c r="BB164" s="377"/>
      <c r="BC164" s="377"/>
      <c r="BD164" s="377"/>
      <c r="BE164" s="377"/>
      <c r="BF164" s="377"/>
      <c r="BG164" s="377"/>
      <c r="BH164" s="377"/>
      <c r="BI164" s="377"/>
      <c r="BJ164" s="377"/>
      <c r="BK164" s="377"/>
      <c r="BL164" s="377"/>
      <c r="BM164" s="577"/>
      <c r="BO164" s="579"/>
      <c r="BP164" s="377"/>
      <c r="BQ164" s="377"/>
      <c r="BR164" s="377"/>
      <c r="BS164" s="580"/>
      <c r="BT164" s="581"/>
      <c r="BU164" s="376"/>
      <c r="BV164" s="377"/>
      <c r="BW164" s="377"/>
      <c r="BX164" s="377"/>
      <c r="BY164" s="377"/>
      <c r="BZ164" s="377"/>
      <c r="CA164" s="377"/>
      <c r="CB164" s="377"/>
      <c r="CC164" s="377"/>
      <c r="CD164" s="377"/>
      <c r="CE164" s="377"/>
      <c r="CF164" s="377"/>
      <c r="CG164" s="377"/>
      <c r="CH164" s="377"/>
      <c r="CI164" s="377"/>
      <c r="CJ164" s="377"/>
      <c r="CK164" s="377"/>
      <c r="CL164" s="377"/>
    </row>
    <row r="165" spans="1:90" ht="15">
      <c r="A165" s="377"/>
      <c r="B165" s="377"/>
      <c r="C165" s="1533" t="s">
        <v>276</v>
      </c>
      <c r="D165" s="1534"/>
      <c r="E165" s="1534"/>
      <c r="F165" s="582"/>
      <c r="G165" s="1533" t="s">
        <v>225</v>
      </c>
      <c r="H165" s="1534"/>
      <c r="I165" s="1534"/>
      <c r="J165" s="1534"/>
      <c r="K165" s="377"/>
      <c r="L165" s="377"/>
      <c r="M165" s="377"/>
      <c r="N165" s="377"/>
      <c r="O165" s="377"/>
      <c r="P165" s="377"/>
      <c r="Q165" s="377"/>
      <c r="R165" s="377"/>
      <c r="S165" s="377"/>
      <c r="T165" s="377"/>
      <c r="U165" s="377"/>
      <c r="V165" s="377"/>
      <c r="W165" s="377"/>
      <c r="X165" s="574"/>
      <c r="Y165" s="377"/>
      <c r="Z165" s="377"/>
      <c r="AA165" s="377"/>
      <c r="AB165" s="377"/>
      <c r="AC165" s="377"/>
      <c r="AD165" s="377"/>
      <c r="AE165" s="377"/>
      <c r="AF165" s="377"/>
      <c r="AG165" s="377"/>
      <c r="AH165" s="377"/>
      <c r="AI165" s="377"/>
      <c r="AJ165" s="377"/>
      <c r="AK165" s="377"/>
      <c r="AL165" s="574"/>
      <c r="AM165" s="377"/>
      <c r="AN165" s="377"/>
      <c r="AO165" s="377"/>
      <c r="AP165" s="377"/>
      <c r="AQ165" s="377"/>
      <c r="AR165" s="377"/>
      <c r="AS165" s="377"/>
      <c r="AT165" s="377"/>
      <c r="AU165" s="377"/>
      <c r="AV165" s="377"/>
      <c r="AW165" s="575"/>
      <c r="AX165" s="377"/>
      <c r="AY165" s="377"/>
      <c r="AZ165" s="377"/>
      <c r="BA165" s="377"/>
      <c r="BB165" s="377"/>
      <c r="BC165" s="377"/>
      <c r="BD165" s="377"/>
      <c r="BE165" s="377"/>
      <c r="BF165" s="377"/>
      <c r="BG165" s="377"/>
      <c r="BH165" s="377"/>
      <c r="BI165" s="377"/>
      <c r="BJ165" s="377"/>
      <c r="BK165" s="377"/>
      <c r="BL165" s="377"/>
      <c r="BM165" s="577"/>
      <c r="BO165" s="579"/>
      <c r="BP165" s="377"/>
      <c r="BQ165" s="376"/>
      <c r="BR165" s="377"/>
      <c r="BS165" s="583"/>
      <c r="BT165" s="377"/>
      <c r="BU165" s="376"/>
      <c r="BV165" s="377"/>
      <c r="BW165" s="377"/>
      <c r="BX165" s="377"/>
      <c r="BY165" s="377"/>
      <c r="BZ165" s="377"/>
      <c r="CA165" s="377"/>
      <c r="CB165" s="377"/>
      <c r="CC165" s="377"/>
      <c r="CD165" s="377"/>
      <c r="CE165" s="377"/>
      <c r="CF165" s="377"/>
      <c r="CG165" s="377"/>
      <c r="CH165" s="377"/>
      <c r="CI165" s="377"/>
      <c r="CJ165" s="377"/>
      <c r="CK165" s="377"/>
      <c r="CL165" s="377"/>
    </row>
    <row r="166" spans="1:90" ht="15">
      <c r="A166" s="377"/>
      <c r="B166" s="377"/>
      <c r="C166" s="1106"/>
      <c r="D166" s="1106"/>
      <c r="E166" s="584"/>
      <c r="F166" s="582"/>
      <c r="G166" s="1106"/>
      <c r="H166" s="585"/>
      <c r="I166" s="1106"/>
      <c r="J166" s="1106"/>
      <c r="K166" s="377"/>
      <c r="L166" s="377"/>
      <c r="M166" s="377"/>
      <c r="N166" s="377"/>
      <c r="O166" s="377"/>
      <c r="P166" s="377"/>
      <c r="Q166" s="377"/>
      <c r="R166" s="377"/>
      <c r="S166" s="1323"/>
      <c r="T166" s="1323"/>
      <c r="U166" s="1323" t="s">
        <v>2464</v>
      </c>
      <c r="V166" s="1323"/>
      <c r="W166" s="1324" t="s">
        <v>2465</v>
      </c>
      <c r="X166" s="1325" t="s">
        <v>2466</v>
      </c>
      <c r="Y166" s="377"/>
      <c r="Z166" s="377"/>
      <c r="AA166" s="377"/>
      <c r="AB166" s="377"/>
      <c r="AC166" s="377"/>
      <c r="AD166" s="377"/>
      <c r="AE166" s="377"/>
      <c r="AF166" s="377"/>
      <c r="AG166" s="377"/>
      <c r="AH166" s="377"/>
      <c r="AI166" s="377"/>
      <c r="AJ166" s="377"/>
      <c r="AK166" s="377"/>
      <c r="AL166" s="574"/>
      <c r="AM166" s="377"/>
      <c r="AN166" s="377"/>
      <c r="AO166" s="377"/>
      <c r="AP166" s="377"/>
      <c r="AQ166" s="377"/>
      <c r="AR166" s="377"/>
      <c r="AS166" s="377"/>
      <c r="AT166" s="377"/>
      <c r="AU166" s="377"/>
      <c r="AV166" s="377"/>
      <c r="AW166" s="575"/>
      <c r="AX166" s="377"/>
      <c r="AY166" s="377"/>
      <c r="AZ166" s="377"/>
      <c r="BA166" s="376"/>
      <c r="BB166" s="377"/>
      <c r="BC166" s="377"/>
      <c r="BD166" s="377"/>
      <c r="BE166" s="377"/>
      <c r="BF166" s="377"/>
      <c r="BG166" s="376"/>
      <c r="BH166" s="586"/>
      <c r="BI166" s="586"/>
      <c r="BJ166" s="586"/>
      <c r="BK166" s="376"/>
      <c r="BL166" s="377"/>
      <c r="BM166" s="577"/>
      <c r="BO166" s="577"/>
      <c r="BP166" s="377"/>
      <c r="BQ166" s="377"/>
      <c r="BR166" s="377"/>
      <c r="BS166" s="583"/>
      <c r="BT166" s="466"/>
      <c r="BU166" s="587"/>
      <c r="BV166" s="377"/>
      <c r="BW166" s="377"/>
      <c r="BX166" s="377"/>
      <c r="BY166" s="377"/>
      <c r="BZ166" s="377"/>
      <c r="CA166" s="377"/>
      <c r="CB166" s="377"/>
      <c r="CC166" s="377"/>
      <c r="CD166" s="377"/>
      <c r="CE166" s="377"/>
      <c r="CF166" s="377"/>
      <c r="CG166" s="377"/>
      <c r="CH166" s="377"/>
      <c r="CI166" s="377"/>
      <c r="CJ166" s="377"/>
      <c r="CK166" s="377"/>
      <c r="CL166" s="377"/>
    </row>
    <row r="167" spans="1:90" ht="15">
      <c r="A167" s="377"/>
      <c r="B167" s="377"/>
      <c r="C167" s="1533" t="s">
        <v>276</v>
      </c>
      <c r="D167" s="1534"/>
      <c r="E167" s="1534"/>
      <c r="F167" s="582"/>
      <c r="G167" s="1533" t="s">
        <v>188</v>
      </c>
      <c r="H167" s="1534"/>
      <c r="I167" s="1534"/>
      <c r="J167" s="1534"/>
      <c r="K167" s="377"/>
      <c r="L167" s="377"/>
      <c r="M167" s="377"/>
      <c r="N167" s="377"/>
      <c r="O167" s="377"/>
      <c r="P167" s="377"/>
      <c r="Q167" s="377"/>
      <c r="R167" s="377"/>
      <c r="S167" s="1323"/>
      <c r="T167" s="1323"/>
      <c r="U167" s="1323" t="s">
        <v>2464</v>
      </c>
      <c r="V167" s="1323"/>
      <c r="W167" s="1326">
        <f>18</f>
        <v>18</v>
      </c>
      <c r="X167" s="1325">
        <f>X14+X22+X24+X27+X31+X41+X42+X43+X47+X50+X56+X58+X61+X68+X69+X72+X109+X126</f>
        <v>468</v>
      </c>
      <c r="Y167" s="377"/>
      <c r="Z167" s="377"/>
      <c r="AA167" s="377"/>
      <c r="AB167" s="377"/>
      <c r="AC167" s="377"/>
      <c r="AD167" s="377"/>
      <c r="AE167" s="377"/>
      <c r="AF167" s="377"/>
      <c r="AG167" s="377"/>
      <c r="AH167" s="377"/>
      <c r="AI167" s="377"/>
      <c r="AJ167" s="377"/>
      <c r="AK167" s="377"/>
      <c r="AL167" s="574"/>
      <c r="AM167" s="377"/>
      <c r="AN167" s="377"/>
      <c r="AO167" s="377"/>
      <c r="AP167" s="377"/>
      <c r="AQ167" s="377"/>
      <c r="AR167" s="377"/>
      <c r="AS167" s="377"/>
      <c r="AT167" s="377"/>
      <c r="AU167" s="377"/>
      <c r="AV167" s="377"/>
      <c r="AW167" s="575"/>
      <c r="AX167" s="377"/>
      <c r="AY167" s="377"/>
      <c r="AZ167" s="577"/>
      <c r="BA167" s="577"/>
      <c r="BB167" s="577"/>
      <c r="BC167" s="577"/>
      <c r="BD167" s="577"/>
      <c r="BE167" s="577"/>
      <c r="BF167" s="577"/>
      <c r="BG167" s="577"/>
      <c r="BH167" s="577"/>
      <c r="BI167" s="577"/>
      <c r="BJ167" s="577"/>
      <c r="BK167" s="577"/>
      <c r="BL167" s="577"/>
      <c r="BM167" s="577"/>
      <c r="BO167" s="588"/>
      <c r="BP167" s="587"/>
      <c r="BQ167" s="466"/>
      <c r="BR167" s="377"/>
      <c r="BS167" s="587"/>
      <c r="BT167" s="587"/>
      <c r="BU167" s="589"/>
      <c r="BV167" s="377"/>
      <c r="BW167" s="377"/>
      <c r="BX167" s="377"/>
      <c r="BY167" s="377"/>
      <c r="BZ167" s="377"/>
      <c r="CA167" s="377"/>
      <c r="CB167" s="377"/>
      <c r="CC167" s="377"/>
      <c r="CD167" s="377"/>
      <c r="CE167" s="377"/>
      <c r="CF167" s="377"/>
      <c r="CG167" s="377"/>
      <c r="CH167" s="377"/>
      <c r="CI167" s="377"/>
      <c r="CJ167" s="377"/>
      <c r="CK167" s="377"/>
      <c r="CL167" s="377"/>
    </row>
    <row r="168" spans="1:90" ht="15">
      <c r="A168" s="377"/>
      <c r="B168" s="377"/>
      <c r="C168" s="1106"/>
      <c r="D168" s="1106"/>
      <c r="E168" s="584"/>
      <c r="F168" s="582"/>
      <c r="G168" s="1106"/>
      <c r="H168" s="585"/>
      <c r="I168" s="1106"/>
      <c r="J168" s="1106"/>
      <c r="K168" s="377"/>
      <c r="L168" s="377"/>
      <c r="M168" s="377"/>
      <c r="N168" s="377"/>
      <c r="O168" s="377"/>
      <c r="P168" s="377"/>
      <c r="Q168" s="377"/>
      <c r="R168" s="377"/>
      <c r="S168" s="1323" t="s">
        <v>2467</v>
      </c>
      <c r="T168" s="1323"/>
      <c r="U168" s="1323" t="s">
        <v>2464</v>
      </c>
      <c r="V168" s="1323"/>
      <c r="W168" s="1325">
        <v>9</v>
      </c>
      <c r="X168" s="1325" t="e">
        <f>X79+X80+X81+X82+X103+X136+X141+#REF!</f>
        <v>#REF!</v>
      </c>
      <c r="Y168" s="377"/>
      <c r="Z168" s="377"/>
      <c r="AA168" s="377"/>
      <c r="AB168" s="377"/>
      <c r="AC168" s="377"/>
      <c r="AD168" s="377"/>
      <c r="AE168" s="377"/>
      <c r="AF168" s="377"/>
      <c r="AG168" s="377"/>
      <c r="AH168" s="377"/>
      <c r="AI168" s="377"/>
      <c r="AJ168" s="377"/>
      <c r="AK168" s="377"/>
      <c r="AL168" s="574"/>
      <c r="AM168" s="377"/>
      <c r="AN168" s="377"/>
      <c r="AO168" s="377"/>
      <c r="AP168" s="377"/>
      <c r="AQ168" s="377"/>
      <c r="AR168" s="377"/>
      <c r="AS168" s="377"/>
      <c r="AT168" s="377"/>
      <c r="AU168" s="377"/>
      <c r="AV168" s="377"/>
      <c r="AW168" s="575"/>
      <c r="AX168" s="377"/>
      <c r="AY168" s="377"/>
      <c r="AZ168" s="377"/>
      <c r="BA168" s="377"/>
      <c r="BB168" s="377"/>
      <c r="BC168" s="377"/>
      <c r="BD168" s="377"/>
      <c r="BE168" s="377"/>
      <c r="BF168" s="377"/>
      <c r="BG168" s="376"/>
      <c r="BH168" s="377"/>
      <c r="BI168" s="377"/>
      <c r="BJ168" s="377"/>
      <c r="BK168" s="376"/>
      <c r="BL168" s="377"/>
      <c r="BM168" s="577"/>
      <c r="BO168" s="588"/>
      <c r="BP168" s="587"/>
      <c r="BQ168" s="466"/>
      <c r="BR168" s="377"/>
      <c r="BS168" s="587"/>
      <c r="BT168" s="466"/>
      <c r="BU168" s="587"/>
      <c r="BV168" s="377"/>
      <c r="BW168" s="377"/>
      <c r="BX168" s="377"/>
      <c r="BY168" s="377"/>
      <c r="BZ168" s="377"/>
      <c r="CA168" s="377"/>
      <c r="CB168" s="377"/>
      <c r="CC168" s="377"/>
      <c r="CD168" s="377"/>
      <c r="CE168" s="377"/>
      <c r="CF168" s="377"/>
      <c r="CG168" s="377"/>
      <c r="CH168" s="377"/>
      <c r="CI168" s="377"/>
      <c r="CJ168" s="377"/>
      <c r="CK168" s="377"/>
      <c r="CL168" s="377"/>
    </row>
    <row r="169" spans="1:90" ht="15">
      <c r="A169" s="377"/>
      <c r="B169" s="377"/>
      <c r="C169" s="1533" t="s">
        <v>843</v>
      </c>
      <c r="D169" s="1534"/>
      <c r="E169" s="1534"/>
      <c r="F169" s="582"/>
      <c r="G169" s="1533" t="s">
        <v>190</v>
      </c>
      <c r="H169" s="1534"/>
      <c r="I169" s="1534"/>
      <c r="J169" s="1534"/>
      <c r="K169" s="377"/>
      <c r="L169" s="377"/>
      <c r="M169" s="377"/>
      <c r="N169" s="377"/>
      <c r="O169" s="377"/>
      <c r="P169" s="377"/>
      <c r="Q169" s="377"/>
      <c r="R169" s="377"/>
      <c r="S169" s="1323"/>
      <c r="T169" s="1323"/>
      <c r="U169" s="1323" t="s">
        <v>44</v>
      </c>
      <c r="V169" s="1323"/>
      <c r="W169" s="1327">
        <f>W167+W168</f>
        <v>27</v>
      </c>
      <c r="X169" s="1327" t="e">
        <f>X167+X168</f>
        <v>#REF!</v>
      </c>
      <c r="Y169" s="377"/>
      <c r="Z169" s="377"/>
      <c r="AA169" s="377"/>
      <c r="AB169" s="377"/>
      <c r="AC169" s="377"/>
      <c r="AD169" s="377"/>
      <c r="AE169" s="377"/>
      <c r="AF169" s="377"/>
      <c r="AG169" s="377"/>
      <c r="AH169" s="377"/>
      <c r="AI169" s="377"/>
      <c r="AJ169" s="377"/>
      <c r="AK169" s="377"/>
      <c r="AL169" s="574"/>
      <c r="AM169" s="377"/>
      <c r="AN169" s="377"/>
      <c r="AO169" s="377"/>
      <c r="AP169" s="377"/>
      <c r="AQ169" s="377"/>
      <c r="AR169" s="377"/>
      <c r="AS169" s="377"/>
      <c r="AT169" s="377"/>
      <c r="AU169" s="377"/>
      <c r="AV169" s="377"/>
      <c r="AW169" s="575"/>
      <c r="AX169" s="377"/>
      <c r="AY169" s="377"/>
      <c r="AZ169" s="377"/>
      <c r="BA169" s="376"/>
      <c r="BB169" s="376"/>
      <c r="BC169" s="376"/>
      <c r="BD169" s="376"/>
      <c r="BE169" s="376"/>
      <c r="BF169" s="376"/>
      <c r="BG169" s="376"/>
      <c r="BH169" s="376"/>
      <c r="BI169" s="376"/>
      <c r="BJ169" s="376"/>
      <c r="BK169" s="376"/>
      <c r="BL169" s="376"/>
      <c r="BM169" s="577"/>
      <c r="BP169" s="587"/>
      <c r="BQ169" s="466"/>
      <c r="BR169" s="377"/>
      <c r="BS169" s="590"/>
      <c r="BT169" s="466"/>
      <c r="BU169" s="466"/>
      <c r="BV169" s="377"/>
      <c r="BW169" s="377"/>
      <c r="BX169" s="377"/>
      <c r="BY169" s="377"/>
      <c r="BZ169" s="377"/>
      <c r="CA169" s="377"/>
      <c r="CB169" s="377"/>
      <c r="CC169" s="377"/>
      <c r="CD169" s="377"/>
      <c r="CE169" s="377"/>
      <c r="CF169" s="377"/>
      <c r="CG169" s="377"/>
      <c r="CH169" s="377"/>
      <c r="CI169" s="377"/>
      <c r="CJ169" s="377"/>
      <c r="CK169" s="377"/>
      <c r="CL169" s="377"/>
    </row>
    <row r="170" spans="1:90" ht="15">
      <c r="A170" s="377"/>
      <c r="B170" s="377"/>
      <c r="C170" s="1106"/>
      <c r="D170" s="582"/>
      <c r="E170" s="355"/>
      <c r="F170" s="582"/>
      <c r="G170" s="1106"/>
      <c r="H170" s="585"/>
      <c r="I170" s="1106"/>
      <c r="J170" s="1106"/>
      <c r="K170" s="377"/>
      <c r="L170" s="377"/>
      <c r="M170" s="377"/>
      <c r="N170" s="377"/>
      <c r="O170" s="377"/>
      <c r="P170" s="377"/>
      <c r="Q170" s="377"/>
      <c r="R170" s="377"/>
      <c r="S170" s="1328"/>
      <c r="T170" s="1328"/>
      <c r="U170" s="1328"/>
      <c r="V170" s="1328"/>
      <c r="W170" s="1328"/>
      <c r="X170" s="1328"/>
      <c r="Y170" s="377"/>
      <c r="Z170" s="377"/>
      <c r="AA170" s="377"/>
      <c r="AB170" s="377"/>
      <c r="AC170" s="377"/>
      <c r="AD170" s="377"/>
      <c r="AE170" s="377"/>
      <c r="AF170" s="377"/>
      <c r="AG170" s="377"/>
      <c r="AH170" s="377"/>
      <c r="AI170" s="377"/>
      <c r="AJ170" s="377"/>
      <c r="AK170" s="377"/>
      <c r="AL170" s="574"/>
      <c r="AM170" s="377"/>
      <c r="AN170" s="377"/>
      <c r="AO170" s="377"/>
      <c r="AP170" s="377"/>
      <c r="AQ170" s="377"/>
      <c r="AR170" s="377"/>
      <c r="AS170" s="377"/>
      <c r="AT170" s="377"/>
      <c r="AU170" s="377"/>
      <c r="AV170" s="377"/>
      <c r="AW170" s="575"/>
      <c r="AX170" s="377"/>
      <c r="AY170" s="377"/>
      <c r="AZ170" s="377"/>
      <c r="BA170" s="377"/>
      <c r="BB170" s="377"/>
      <c r="BC170" s="377"/>
      <c r="BD170" s="377"/>
      <c r="BE170" s="377"/>
      <c r="BF170" s="377"/>
      <c r="BG170" s="377"/>
      <c r="BH170" s="377"/>
      <c r="BI170" s="377"/>
      <c r="BJ170" s="377"/>
      <c r="BK170" s="377"/>
      <c r="BL170" s="377"/>
      <c r="BO170" s="577"/>
      <c r="BP170" s="587"/>
      <c r="BQ170" s="466"/>
      <c r="BR170" s="377"/>
      <c r="BS170" s="466"/>
      <c r="BT170" s="466"/>
      <c r="BU170" s="466"/>
      <c r="BV170" s="377"/>
      <c r="BW170" s="377"/>
      <c r="BX170" s="377"/>
      <c r="BY170" s="377"/>
      <c r="BZ170" s="377"/>
      <c r="CA170" s="377"/>
      <c r="CB170" s="377"/>
      <c r="CC170" s="377"/>
      <c r="CD170" s="377"/>
      <c r="CE170" s="377"/>
      <c r="CF170" s="377"/>
      <c r="CG170" s="377"/>
      <c r="CH170" s="377"/>
      <c r="CI170" s="377"/>
      <c r="CJ170" s="377"/>
      <c r="CK170" s="377"/>
      <c r="CL170" s="377"/>
    </row>
    <row r="171" spans="1:90" ht="15">
      <c r="A171" s="377"/>
      <c r="B171" s="377"/>
      <c r="C171" s="1533" t="s">
        <v>52</v>
      </c>
      <c r="D171" s="1534"/>
      <c r="E171" s="1534"/>
      <c r="F171" s="582"/>
      <c r="G171" s="1533" t="s">
        <v>281</v>
      </c>
      <c r="H171" s="1534"/>
      <c r="I171" s="1534"/>
      <c r="J171" s="1534"/>
      <c r="K171" s="377"/>
      <c r="L171" s="377"/>
      <c r="M171" s="377"/>
      <c r="N171" s="377"/>
      <c r="O171" s="377"/>
      <c r="P171" s="377"/>
      <c r="Q171" s="377"/>
      <c r="R171" s="377"/>
      <c r="S171" s="1323"/>
      <c r="T171" s="1323"/>
      <c r="U171" s="1323" t="s">
        <v>2468</v>
      </c>
      <c r="V171" s="1323"/>
      <c r="W171" s="1323">
        <v>36</v>
      </c>
      <c r="X171" s="1327" t="e">
        <f>X17+X26+X35+X37+X38+X49+X53+X54+X55+X57+X63+X67+X71+X73+X77+X78+X84+X93+X97+X98+X106+X107+X110+X112+X118+X122+X127+X128+X135+X139+X140+X143+X144+#REF!+#REF!+#REF!</f>
        <v>#REF!</v>
      </c>
      <c r="Y171" s="377"/>
      <c r="Z171" s="377"/>
      <c r="AA171" s="377"/>
      <c r="AB171" s="377"/>
      <c r="AC171" s="377"/>
      <c r="AD171" s="377"/>
      <c r="AE171" s="377"/>
      <c r="AF171" s="377"/>
      <c r="AG171" s="377"/>
      <c r="AH171" s="377"/>
      <c r="AI171" s="377"/>
      <c r="AJ171" s="377"/>
      <c r="AK171" s="377"/>
      <c r="AL171" s="574"/>
      <c r="AM171" s="377"/>
      <c r="AN171" s="377"/>
      <c r="AO171" s="377"/>
      <c r="AP171" s="377"/>
      <c r="AQ171" s="377"/>
      <c r="AR171" s="377"/>
      <c r="AS171" s="377"/>
      <c r="AT171" s="377"/>
      <c r="AU171" s="377"/>
      <c r="AV171" s="377"/>
      <c r="AW171" s="575"/>
      <c r="AX171" s="377"/>
      <c r="AY171" s="377"/>
      <c r="AZ171" s="377"/>
      <c r="BA171" s="377"/>
      <c r="BB171" s="377"/>
      <c r="BC171" s="377"/>
      <c r="BD171" s="377"/>
      <c r="BE171" s="377"/>
      <c r="BF171" s="377"/>
      <c r="BG171" s="376"/>
      <c r="BH171" s="377"/>
      <c r="BI171" s="377"/>
      <c r="BJ171" s="377"/>
      <c r="BK171" s="377"/>
      <c r="BL171" s="377"/>
      <c r="BP171" s="466"/>
      <c r="BQ171" s="466"/>
      <c r="BR171" s="377"/>
      <c r="BS171" s="377"/>
      <c r="BT171" s="377"/>
      <c r="BU171" s="377"/>
      <c r="BV171" s="377"/>
      <c r="BW171" s="377"/>
      <c r="BX171" s="377"/>
      <c r="BY171" s="377"/>
      <c r="BZ171" s="377"/>
      <c r="CA171" s="377"/>
      <c r="CB171" s="377"/>
      <c r="CC171" s="377"/>
      <c r="CD171" s="377"/>
      <c r="CE171" s="377"/>
      <c r="CF171" s="377"/>
      <c r="CG171" s="377"/>
      <c r="CH171" s="377"/>
      <c r="CI171" s="377"/>
    </row>
    <row r="172" spans="1:90" ht="15">
      <c r="A172" s="377"/>
      <c r="B172" s="377"/>
      <c r="C172" s="584"/>
      <c r="D172" s="355"/>
      <c r="E172" s="355"/>
      <c r="F172" s="355"/>
      <c r="G172" s="355"/>
      <c r="H172" s="591"/>
      <c r="I172" s="355"/>
      <c r="J172" s="355"/>
      <c r="K172" s="377"/>
      <c r="L172" s="377"/>
      <c r="M172" s="377"/>
      <c r="N172" s="377"/>
      <c r="O172" s="377"/>
      <c r="P172" s="377"/>
      <c r="Q172" s="377"/>
      <c r="R172" s="377"/>
      <c r="S172" s="1323"/>
      <c r="T172" s="1323"/>
      <c r="U172" s="1323" t="s">
        <v>2469</v>
      </c>
      <c r="V172" s="1323"/>
      <c r="W172" s="1323">
        <v>10</v>
      </c>
      <c r="X172" s="1327">
        <f>X19+X31+X40+X44+X76+X85+X94+X123+X130+X134</f>
        <v>215</v>
      </c>
      <c r="Y172" s="377"/>
      <c r="Z172" s="377"/>
      <c r="AA172" s="377"/>
      <c r="AB172" s="377"/>
      <c r="AC172" s="377"/>
      <c r="AD172" s="377"/>
      <c r="AE172" s="377"/>
      <c r="AF172" s="377"/>
      <c r="AG172" s="377"/>
      <c r="AH172" s="377"/>
      <c r="AI172" s="377"/>
      <c r="AJ172" s="377"/>
      <c r="AK172" s="377"/>
      <c r="AL172" s="574"/>
      <c r="AM172" s="377"/>
      <c r="AN172" s="377"/>
      <c r="AO172" s="377"/>
      <c r="AP172" s="377"/>
      <c r="AQ172" s="377"/>
      <c r="AR172" s="377"/>
      <c r="AS172" s="377"/>
      <c r="AT172" s="377"/>
      <c r="AU172" s="377"/>
      <c r="AV172" s="377"/>
      <c r="AW172" s="575"/>
      <c r="AX172" s="377"/>
      <c r="AY172" s="377"/>
      <c r="AZ172" s="377"/>
      <c r="BA172" s="377"/>
      <c r="BB172" s="377"/>
      <c r="BC172" s="377"/>
      <c r="BD172" s="377"/>
      <c r="BE172" s="377"/>
      <c r="BF172" s="377"/>
      <c r="BG172" s="377"/>
      <c r="BH172" s="377"/>
      <c r="BI172" s="377"/>
      <c r="BJ172" s="377"/>
      <c r="BK172" s="377"/>
      <c r="BL172" s="377"/>
      <c r="BM172" s="590"/>
      <c r="BN172" s="592"/>
      <c r="BO172" s="587"/>
      <c r="BP172" s="466"/>
      <c r="BQ172" s="466"/>
      <c r="BR172" s="377"/>
      <c r="BS172" s="377"/>
      <c r="BT172" s="377"/>
      <c r="BU172" s="377"/>
      <c r="BV172" s="377"/>
      <c r="BW172" s="377"/>
      <c r="BX172" s="377"/>
      <c r="BY172" s="377"/>
      <c r="BZ172" s="377"/>
      <c r="CA172" s="377"/>
      <c r="CB172" s="377"/>
      <c r="CC172" s="377"/>
      <c r="CD172" s="377"/>
      <c r="CE172" s="377"/>
      <c r="CF172" s="377"/>
      <c r="CG172" s="377"/>
      <c r="CH172" s="377"/>
      <c r="CI172" s="377"/>
    </row>
    <row r="173" spans="1:90" ht="15">
      <c r="A173" s="377"/>
      <c r="B173" s="377"/>
      <c r="C173" s="572"/>
      <c r="D173" s="377"/>
      <c r="E173" s="377"/>
      <c r="F173" s="377"/>
      <c r="G173" s="377"/>
      <c r="H173" s="573"/>
      <c r="I173" s="377"/>
      <c r="J173" s="377"/>
      <c r="K173" s="377"/>
      <c r="L173" s="377"/>
      <c r="M173" s="377"/>
      <c r="N173" s="377"/>
      <c r="O173" s="377"/>
      <c r="P173" s="377"/>
      <c r="Q173" s="377"/>
      <c r="R173" s="377"/>
      <c r="S173" s="1323"/>
      <c r="T173" s="1323"/>
      <c r="U173" s="1323" t="s">
        <v>2470</v>
      </c>
      <c r="V173" s="1323"/>
      <c r="W173" s="1323">
        <v>24</v>
      </c>
      <c r="X173" s="1327" t="e">
        <f>X15+X16+X23+X25+X29+X33+X36+X46+X48+X51+X88+X89+X91+X95+X96+X102+X113+X121+X125+X129+X132+X145+#REF!+#REF!</f>
        <v>#REF!</v>
      </c>
      <c r="Y173" s="377"/>
      <c r="Z173" s="377"/>
      <c r="AA173" s="377"/>
      <c r="AB173" s="377"/>
      <c r="AC173" s="377"/>
      <c r="AD173" s="377"/>
      <c r="AE173" s="377"/>
      <c r="AF173" s="377"/>
      <c r="AG173" s="377"/>
      <c r="AH173" s="377"/>
      <c r="AI173" s="377"/>
      <c r="AJ173" s="377"/>
      <c r="AK173" s="377"/>
      <c r="AL173" s="574"/>
      <c r="AM173" s="377"/>
      <c r="AN173" s="377"/>
      <c r="AO173" s="377"/>
      <c r="AP173" s="377"/>
      <c r="AQ173" s="377"/>
      <c r="AR173" s="377"/>
      <c r="AS173" s="377"/>
      <c r="AT173" s="377"/>
      <c r="AU173" s="377"/>
      <c r="AV173" s="377"/>
      <c r="AW173" s="575"/>
      <c r="AX173" s="377"/>
      <c r="AY173" s="377"/>
      <c r="AZ173" s="377"/>
      <c r="BA173" s="377"/>
      <c r="BB173" s="377"/>
      <c r="BC173" s="377"/>
      <c r="BD173" s="377"/>
      <c r="BE173" s="377"/>
      <c r="BF173" s="377"/>
      <c r="BG173" s="377"/>
      <c r="BH173" s="377"/>
      <c r="BI173" s="377"/>
      <c r="BJ173" s="377"/>
      <c r="BK173" s="377"/>
      <c r="BL173" s="377"/>
      <c r="BM173" s="466"/>
      <c r="BN173" s="592"/>
      <c r="BO173" s="466"/>
      <c r="BP173" s="466"/>
      <c r="BQ173" s="466"/>
      <c r="BR173" s="377"/>
      <c r="BS173" s="377"/>
      <c r="BT173" s="377"/>
      <c r="BU173" s="377"/>
      <c r="BV173" s="377"/>
      <c r="BW173" s="377"/>
      <c r="BX173" s="377"/>
      <c r="BY173" s="377"/>
      <c r="BZ173" s="377"/>
      <c r="CA173" s="377"/>
      <c r="CB173" s="377"/>
      <c r="CC173" s="377"/>
      <c r="CD173" s="377"/>
      <c r="CE173" s="377"/>
      <c r="CF173" s="377"/>
      <c r="CG173" s="377"/>
      <c r="CH173" s="377"/>
      <c r="CI173" s="377"/>
    </row>
    <row r="174" spans="1:90" ht="15">
      <c r="A174" s="377"/>
      <c r="B174" s="377"/>
      <c r="C174" s="572"/>
      <c r="D174" s="377"/>
      <c r="E174" s="377"/>
      <c r="F174" s="377"/>
      <c r="G174" s="377"/>
      <c r="H174" s="573"/>
      <c r="I174" s="377"/>
      <c r="J174" s="377"/>
      <c r="K174" s="377"/>
      <c r="L174" s="377"/>
      <c r="M174" s="377"/>
      <c r="N174" s="377"/>
      <c r="O174" s="377"/>
      <c r="P174" s="377"/>
      <c r="Q174" s="377"/>
      <c r="R174" s="377"/>
      <c r="S174" s="1323"/>
      <c r="T174" s="1323"/>
      <c r="U174" s="1323"/>
      <c r="V174" s="1323"/>
      <c r="W174" s="1327">
        <f>W169+W171+W172+W173</f>
        <v>97</v>
      </c>
      <c r="X174" s="1327" t="e">
        <f>X169+X171+X172+X173</f>
        <v>#REF!</v>
      </c>
      <c r="Y174" s="377"/>
      <c r="Z174" s="377"/>
      <c r="AA174" s="377"/>
      <c r="AB174" s="377"/>
      <c r="AC174" s="377"/>
      <c r="AD174" s="377"/>
      <c r="AE174" s="377"/>
      <c r="AF174" s="377"/>
      <c r="AG174" s="377"/>
      <c r="AH174" s="377"/>
      <c r="AI174" s="377"/>
      <c r="AJ174" s="377"/>
      <c r="AK174" s="377"/>
      <c r="AL174" s="574"/>
      <c r="AM174" s="377"/>
      <c r="AN174" s="377"/>
      <c r="AO174" s="377"/>
      <c r="AP174" s="377"/>
      <c r="AQ174" s="377"/>
      <c r="AR174" s="377"/>
      <c r="AS174" s="377"/>
      <c r="AT174" s="377"/>
      <c r="AU174" s="377"/>
      <c r="AV174" s="377"/>
      <c r="AW174" s="575"/>
      <c r="AX174" s="377"/>
      <c r="AY174" s="377"/>
      <c r="AZ174" s="377"/>
      <c r="BA174" s="377"/>
      <c r="BB174" s="377"/>
      <c r="BC174" s="377"/>
      <c r="BD174" s="377"/>
      <c r="BE174" s="377"/>
      <c r="BF174" s="377"/>
      <c r="BG174" s="377"/>
      <c r="BH174" s="377"/>
      <c r="BI174" s="377"/>
      <c r="BJ174" s="377"/>
      <c r="BK174" s="377"/>
      <c r="BL174" s="377"/>
      <c r="BM174" s="466"/>
      <c r="BN174" s="592"/>
      <c r="BO174" s="466"/>
      <c r="BP174" s="466"/>
      <c r="BQ174" s="466"/>
      <c r="BR174" s="377"/>
      <c r="BS174" s="377"/>
      <c r="BT174" s="377"/>
      <c r="BU174" s="377"/>
      <c r="BV174" s="377"/>
      <c r="BW174" s="377"/>
      <c r="BX174" s="377"/>
      <c r="BY174" s="377"/>
      <c r="BZ174" s="377"/>
      <c r="CA174" s="377"/>
      <c r="CB174" s="377"/>
      <c r="CC174" s="377"/>
      <c r="CD174" s="377"/>
      <c r="CE174" s="377"/>
      <c r="CF174" s="377"/>
      <c r="CG174" s="377"/>
      <c r="CH174" s="377"/>
      <c r="CI174" s="377"/>
    </row>
    <row r="175" spans="1:90" ht="15">
      <c r="A175" s="377"/>
      <c r="B175" s="377"/>
      <c r="C175" s="572"/>
      <c r="D175" s="377"/>
      <c r="E175" s="377"/>
      <c r="F175" s="377"/>
      <c r="G175" s="377"/>
      <c r="H175" s="573"/>
      <c r="I175" s="377"/>
      <c r="J175" s="377"/>
      <c r="K175" s="377"/>
      <c r="L175" s="377"/>
      <c r="M175" s="377"/>
      <c r="N175" s="377"/>
      <c r="O175" s="377"/>
      <c r="P175" s="377"/>
      <c r="Q175" s="377"/>
      <c r="R175" s="377"/>
      <c r="S175" s="1535" t="s">
        <v>2471</v>
      </c>
      <c r="T175" s="1535"/>
      <c r="U175" s="1535"/>
      <c r="V175" s="1535"/>
      <c r="W175" s="1329">
        <v>57</v>
      </c>
      <c r="X175" s="1330" t="e">
        <f>X161-X174</f>
        <v>#REF!</v>
      </c>
      <c r="Y175" s="377"/>
      <c r="Z175" s="377"/>
      <c r="AA175" s="377"/>
      <c r="AB175" s="377"/>
      <c r="AC175" s="377"/>
      <c r="AD175" s="377"/>
      <c r="AE175" s="377"/>
      <c r="AF175" s="377"/>
      <c r="AG175" s="377"/>
      <c r="AH175" s="377"/>
      <c r="AI175" s="377"/>
      <c r="AJ175" s="377"/>
      <c r="AK175" s="377"/>
      <c r="AL175" s="574"/>
      <c r="AM175" s="377"/>
      <c r="AN175" s="377"/>
      <c r="AO175" s="377"/>
      <c r="AP175" s="377"/>
      <c r="AQ175" s="377"/>
      <c r="AR175" s="377"/>
      <c r="AS175" s="377"/>
      <c r="AT175" s="377"/>
      <c r="AU175" s="377"/>
      <c r="AV175" s="377"/>
      <c r="AW175" s="575"/>
      <c r="AX175" s="377"/>
      <c r="AY175" s="377"/>
      <c r="AZ175" s="377"/>
      <c r="BA175" s="377"/>
      <c r="BB175" s="377"/>
      <c r="BC175" s="377"/>
      <c r="BD175" s="377"/>
      <c r="BE175" s="377"/>
      <c r="BF175" s="377"/>
      <c r="BG175" s="377"/>
      <c r="BH175" s="377"/>
      <c r="BI175" s="377"/>
      <c r="BJ175" s="377"/>
      <c r="BK175" s="377"/>
      <c r="BL175" s="377"/>
      <c r="BM175" s="466"/>
      <c r="BN175" s="592"/>
      <c r="BO175" s="466"/>
      <c r="BP175" s="466"/>
      <c r="BQ175" s="466"/>
      <c r="BR175" s="377"/>
      <c r="BS175" s="377"/>
      <c r="BT175" s="377"/>
      <c r="BU175" s="377"/>
      <c r="BV175" s="377"/>
      <c r="BW175" s="377"/>
      <c r="BX175" s="377"/>
      <c r="BY175" s="377"/>
      <c r="BZ175" s="377"/>
      <c r="CA175" s="377"/>
      <c r="CB175" s="377"/>
      <c r="CC175" s="377"/>
      <c r="CD175" s="377"/>
      <c r="CE175" s="377"/>
      <c r="CF175" s="377"/>
      <c r="CG175" s="377"/>
      <c r="CH175" s="377"/>
      <c r="CI175" s="377"/>
    </row>
    <row r="176" spans="1:90" ht="15">
      <c r="A176" s="377"/>
      <c r="B176" s="377"/>
      <c r="C176" s="572"/>
      <c r="D176" s="377"/>
      <c r="E176" s="377"/>
      <c r="F176" s="377"/>
      <c r="G176" s="377"/>
      <c r="H176" s="573"/>
      <c r="I176" s="377"/>
      <c r="J176" s="377"/>
      <c r="K176" s="377"/>
      <c r="L176" s="377"/>
      <c r="M176" s="377"/>
      <c r="N176" s="377"/>
      <c r="O176" s="377"/>
      <c r="P176" s="377"/>
      <c r="Q176" s="377"/>
      <c r="R176" s="377"/>
      <c r="T176" s="1331"/>
      <c r="U176" s="1331" t="s">
        <v>2472</v>
      </c>
      <c r="V176" s="1331"/>
      <c r="W176" s="1332">
        <f>W174+W175</f>
        <v>154</v>
      </c>
      <c r="X176" s="1332" t="e">
        <f>X174+X175</f>
        <v>#REF!</v>
      </c>
      <c r="Y176" s="377"/>
      <c r="Z176" s="377"/>
      <c r="AA176" s="377"/>
      <c r="AB176" s="377"/>
      <c r="AC176" s="377"/>
      <c r="AD176" s="377"/>
      <c r="AE176" s="377"/>
      <c r="AF176" s="377"/>
      <c r="AG176" s="377"/>
      <c r="AH176" s="377"/>
      <c r="AI176" s="377"/>
      <c r="AJ176" s="377"/>
      <c r="AK176" s="377"/>
      <c r="AL176" s="574"/>
      <c r="AM176" s="377"/>
      <c r="AN176" s="377"/>
      <c r="AO176" s="377"/>
      <c r="AP176" s="377"/>
      <c r="AQ176" s="377"/>
      <c r="AR176" s="377"/>
      <c r="AS176" s="377"/>
      <c r="AT176" s="377"/>
      <c r="AU176" s="377"/>
      <c r="AV176" s="377"/>
      <c r="AW176" s="575"/>
      <c r="AX176" s="377"/>
      <c r="AY176" s="377"/>
      <c r="AZ176" s="377"/>
      <c r="BA176" s="377"/>
      <c r="BB176" s="377"/>
      <c r="BC176" s="377"/>
      <c r="BD176" s="377"/>
      <c r="BE176" s="377"/>
      <c r="BF176" s="377"/>
      <c r="BG176" s="377"/>
      <c r="BH176" s="377"/>
      <c r="BI176" s="377"/>
      <c r="BJ176" s="377"/>
      <c r="BK176" s="377"/>
      <c r="BL176" s="377"/>
      <c r="BM176" s="587"/>
      <c r="BN176" s="592"/>
      <c r="BO176" s="466"/>
      <c r="BP176" s="466"/>
      <c r="BQ176" s="466"/>
      <c r="BR176" s="377"/>
      <c r="BS176" s="377"/>
      <c r="BT176" s="377"/>
      <c r="BU176" s="377"/>
      <c r="BV176" s="377"/>
      <c r="BW176" s="377"/>
      <c r="BX176" s="377"/>
      <c r="BY176" s="377"/>
      <c r="BZ176" s="377"/>
      <c r="CA176" s="377"/>
      <c r="CB176" s="377"/>
      <c r="CC176" s="377"/>
      <c r="CD176" s="377"/>
      <c r="CE176" s="377"/>
      <c r="CF176" s="377"/>
      <c r="CG176" s="377"/>
      <c r="CH176" s="377"/>
      <c r="CI176" s="377"/>
    </row>
    <row r="177" spans="1:87" ht="15">
      <c r="A177" s="377"/>
      <c r="B177" s="377"/>
      <c r="C177" s="572"/>
      <c r="D177" s="377"/>
      <c r="E177" s="377"/>
      <c r="F177" s="377"/>
      <c r="G177" s="377"/>
      <c r="H177" s="573"/>
      <c r="I177" s="377"/>
      <c r="J177" s="377"/>
      <c r="K177" s="377"/>
      <c r="L177" s="377"/>
      <c r="M177" s="377"/>
      <c r="N177" s="377"/>
      <c r="O177" s="377"/>
      <c r="P177" s="377"/>
      <c r="Q177" s="377"/>
      <c r="R177" s="377"/>
      <c r="S177" s="377"/>
      <c r="T177" s="377"/>
      <c r="U177" s="377"/>
      <c r="V177" s="377"/>
      <c r="W177" s="377"/>
      <c r="X177" s="574"/>
      <c r="Y177" s="377"/>
      <c r="Z177" s="377"/>
      <c r="AA177" s="377"/>
      <c r="AB177" s="377"/>
      <c r="AC177" s="377"/>
      <c r="AD177" s="377"/>
      <c r="AE177" s="377"/>
      <c r="AF177" s="377"/>
      <c r="AG177" s="377"/>
      <c r="AH177" s="377"/>
      <c r="AI177" s="377"/>
      <c r="AJ177" s="377"/>
      <c r="AK177" s="377"/>
      <c r="AL177" s="574"/>
      <c r="AM177" s="377"/>
      <c r="AN177" s="377"/>
      <c r="AO177" s="377"/>
      <c r="AP177" s="377"/>
      <c r="AQ177" s="377"/>
      <c r="AR177" s="377"/>
      <c r="AS177" s="377"/>
      <c r="AT177" s="377"/>
      <c r="AU177" s="377"/>
      <c r="AV177" s="377"/>
      <c r="AW177" s="575"/>
      <c r="AX177" s="377"/>
      <c r="AY177" s="377"/>
      <c r="AZ177" s="377"/>
      <c r="BA177" s="377"/>
      <c r="BB177" s="377"/>
      <c r="BC177" s="377"/>
      <c r="BD177" s="377"/>
      <c r="BE177" s="377"/>
      <c r="BF177" s="377"/>
      <c r="BG177" s="377"/>
      <c r="BH177" s="377"/>
      <c r="BI177" s="377"/>
      <c r="BJ177" s="377"/>
      <c r="BK177" s="377"/>
      <c r="BL177" s="377"/>
      <c r="BM177" s="466"/>
      <c r="BN177" s="592"/>
      <c r="BO177" s="587"/>
      <c r="BP177" s="466"/>
      <c r="BQ177" s="466"/>
      <c r="BR177" s="377"/>
      <c r="BS177" s="377"/>
      <c r="BT177" s="377"/>
      <c r="BU177" s="377"/>
      <c r="BV177" s="377"/>
      <c r="BW177" s="377"/>
      <c r="BX177" s="377"/>
      <c r="BY177" s="377"/>
      <c r="BZ177" s="377"/>
      <c r="CA177" s="377"/>
      <c r="CB177" s="377"/>
      <c r="CC177" s="377"/>
      <c r="CD177" s="377"/>
      <c r="CE177" s="377"/>
      <c r="CF177" s="377"/>
      <c r="CG177" s="377"/>
      <c r="CH177" s="377"/>
      <c r="CI177" s="377"/>
    </row>
    <row r="178" spans="1:87" ht="15">
      <c r="A178" s="377"/>
      <c r="B178" s="377"/>
      <c r="C178" s="572"/>
      <c r="D178" s="377"/>
      <c r="E178" s="377"/>
      <c r="F178" s="377"/>
      <c r="G178" s="377"/>
      <c r="H178" s="573"/>
      <c r="I178" s="377"/>
      <c r="J178" s="377"/>
      <c r="K178" s="377"/>
      <c r="L178" s="377"/>
      <c r="M178" s="377"/>
      <c r="N178" s="377"/>
      <c r="O178" s="377"/>
      <c r="P178" s="377"/>
      <c r="Q178" s="377"/>
      <c r="R178" s="377"/>
      <c r="S178" s="377"/>
      <c r="T178" s="377"/>
      <c r="U178" s="377"/>
      <c r="V178" s="377"/>
      <c r="W178" s="377"/>
      <c r="X178" s="574"/>
      <c r="Y178" s="377"/>
      <c r="Z178" s="377"/>
      <c r="AA178" s="377"/>
      <c r="AB178" s="377"/>
      <c r="AC178" s="377"/>
      <c r="AD178" s="377"/>
      <c r="AE178" s="377"/>
      <c r="AF178" s="377"/>
      <c r="AG178" s="377"/>
      <c r="AH178" s="377"/>
      <c r="AI178" s="377"/>
      <c r="AJ178" s="377"/>
      <c r="AK178" s="377"/>
      <c r="AL178" s="574"/>
      <c r="AM178" s="377"/>
      <c r="AN178" s="377"/>
      <c r="AO178" s="377"/>
      <c r="AP178" s="377"/>
      <c r="AQ178" s="377"/>
      <c r="AR178" s="377"/>
      <c r="AS178" s="377"/>
      <c r="AT178" s="377"/>
      <c r="AU178" s="377"/>
      <c r="AV178" s="377"/>
      <c r="AW178" s="575"/>
      <c r="AX178" s="377"/>
      <c r="AY178" s="377"/>
      <c r="AZ178" s="377"/>
      <c r="BA178" s="377"/>
      <c r="BB178" s="377"/>
      <c r="BC178" s="377"/>
      <c r="BD178" s="377"/>
      <c r="BE178" s="377"/>
      <c r="BF178" s="377"/>
      <c r="BG178" s="377"/>
      <c r="BH178" s="377"/>
      <c r="BI178" s="377"/>
      <c r="BJ178" s="377"/>
      <c r="BK178" s="377"/>
      <c r="BL178" s="377"/>
      <c r="BM178" s="587"/>
      <c r="BN178" s="592"/>
      <c r="BO178" s="587"/>
      <c r="BP178" s="466"/>
      <c r="BQ178" s="466"/>
      <c r="BR178" s="377"/>
      <c r="BS178" s="377"/>
      <c r="BT178" s="377"/>
      <c r="BU178" s="377"/>
      <c r="BV178" s="377"/>
      <c r="BW178" s="377"/>
      <c r="BX178" s="377"/>
      <c r="BY178" s="377"/>
      <c r="BZ178" s="377"/>
      <c r="CA178" s="377"/>
      <c r="CB178" s="377"/>
      <c r="CC178" s="377"/>
      <c r="CD178" s="377"/>
      <c r="CE178" s="377"/>
      <c r="CF178" s="377"/>
      <c r="CG178" s="377"/>
      <c r="CH178" s="377"/>
      <c r="CI178" s="377"/>
    </row>
    <row r="179" spans="1:87" ht="15">
      <c r="A179" s="377"/>
      <c r="B179" s="377"/>
      <c r="C179" s="572"/>
      <c r="D179" s="377"/>
      <c r="E179" s="377"/>
      <c r="F179" s="377"/>
      <c r="G179" s="377"/>
      <c r="H179" s="573"/>
      <c r="I179" s="377"/>
      <c r="J179" s="377"/>
      <c r="K179" s="377"/>
      <c r="L179" s="377"/>
      <c r="M179" s="377"/>
      <c r="N179" s="377"/>
      <c r="O179" s="377"/>
      <c r="P179" s="377"/>
      <c r="Q179" s="377"/>
      <c r="R179" s="377"/>
      <c r="S179" s="377"/>
      <c r="T179" s="377"/>
      <c r="U179" s="377"/>
      <c r="V179" s="377"/>
      <c r="W179" s="377"/>
      <c r="X179" s="574"/>
      <c r="Y179" s="377"/>
      <c r="Z179" s="377"/>
      <c r="AA179" s="377"/>
      <c r="AB179" s="377"/>
      <c r="AC179" s="377"/>
      <c r="AD179" s="377"/>
      <c r="AE179" s="377"/>
      <c r="AF179" s="377"/>
      <c r="AG179" s="377"/>
      <c r="AH179" s="377"/>
      <c r="AI179" s="377"/>
      <c r="AJ179" s="377"/>
      <c r="AK179" s="377"/>
      <c r="AL179" s="574"/>
      <c r="AM179" s="377"/>
      <c r="AN179" s="377"/>
      <c r="AO179" s="377"/>
      <c r="AP179" s="377"/>
      <c r="AQ179" s="377"/>
      <c r="AR179" s="377"/>
      <c r="AS179" s="377"/>
      <c r="AT179" s="377"/>
      <c r="AU179" s="377"/>
      <c r="AV179" s="377"/>
      <c r="AW179" s="575"/>
      <c r="AX179" s="377"/>
      <c r="AY179" s="377"/>
      <c r="AZ179" s="377"/>
      <c r="BA179" s="377"/>
      <c r="BB179" s="377"/>
      <c r="BC179" s="377"/>
      <c r="BD179" s="377"/>
      <c r="BE179" s="377"/>
      <c r="BF179" s="377"/>
      <c r="BG179" s="377"/>
      <c r="BH179" s="377"/>
      <c r="BI179" s="377"/>
      <c r="BJ179" s="377"/>
      <c r="BK179" s="377"/>
      <c r="BL179" s="377"/>
      <c r="BM179" s="587"/>
      <c r="BN179" s="592"/>
      <c r="BO179" s="587"/>
      <c r="BP179" s="466"/>
      <c r="BQ179" s="466"/>
      <c r="BR179" s="377"/>
      <c r="BS179" s="377"/>
      <c r="BT179" s="377"/>
      <c r="BU179" s="377"/>
      <c r="BV179" s="377"/>
      <c r="BW179" s="377"/>
      <c r="BX179" s="377"/>
      <c r="BY179" s="377"/>
      <c r="BZ179" s="377"/>
      <c r="CA179" s="377"/>
      <c r="CB179" s="377"/>
      <c r="CC179" s="377"/>
      <c r="CD179" s="377"/>
      <c r="CE179" s="377"/>
      <c r="CF179" s="377"/>
      <c r="CG179" s="377"/>
      <c r="CH179" s="377"/>
      <c r="CI179" s="377"/>
    </row>
    <row r="180" spans="1:87" ht="15">
      <c r="A180" s="377"/>
      <c r="B180" s="377"/>
      <c r="C180" s="572"/>
      <c r="D180" s="377"/>
      <c r="E180" s="377"/>
      <c r="F180" s="377"/>
      <c r="G180" s="377"/>
      <c r="H180" s="573"/>
      <c r="I180" s="377"/>
      <c r="J180" s="377"/>
      <c r="K180" s="377"/>
      <c r="L180" s="377"/>
      <c r="M180" s="377"/>
      <c r="N180" s="377"/>
      <c r="O180" s="377"/>
      <c r="P180" s="377"/>
      <c r="Q180" s="377"/>
      <c r="R180" s="377"/>
      <c r="S180" s="377"/>
      <c r="T180" s="377"/>
      <c r="U180" s="377"/>
      <c r="V180" s="377"/>
      <c r="W180" s="377"/>
      <c r="X180" s="574"/>
      <c r="Y180" s="377"/>
      <c r="Z180" s="377"/>
      <c r="AA180" s="377"/>
      <c r="AB180" s="377"/>
      <c r="AC180" s="377"/>
      <c r="AD180" s="377"/>
      <c r="AE180" s="377"/>
      <c r="AF180" s="377"/>
      <c r="AG180" s="377"/>
      <c r="AH180" s="377"/>
      <c r="AI180" s="377"/>
      <c r="AJ180" s="377"/>
      <c r="AK180" s="377"/>
      <c r="AL180" s="574"/>
      <c r="AM180" s="377"/>
      <c r="AN180" s="377"/>
      <c r="AO180" s="377"/>
      <c r="AP180" s="377"/>
      <c r="AQ180" s="377"/>
      <c r="AR180" s="377"/>
      <c r="AS180" s="377"/>
      <c r="AT180" s="377"/>
      <c r="AU180" s="377"/>
      <c r="AV180" s="377"/>
      <c r="AW180" s="575"/>
      <c r="AX180" s="377"/>
      <c r="AY180" s="377"/>
      <c r="AZ180" s="377"/>
      <c r="BA180" s="377"/>
      <c r="BB180" s="377"/>
      <c r="BC180" s="377"/>
      <c r="BD180" s="377"/>
      <c r="BE180" s="377"/>
      <c r="BF180" s="377"/>
      <c r="BG180" s="377"/>
      <c r="BH180" s="377"/>
      <c r="BI180" s="377"/>
      <c r="BJ180" s="377"/>
      <c r="BK180" s="377"/>
      <c r="BL180" s="377"/>
      <c r="BM180" s="593"/>
      <c r="BN180" s="592"/>
      <c r="BO180" s="587"/>
      <c r="BP180" s="466"/>
      <c r="BQ180" s="466"/>
      <c r="BR180" s="377"/>
      <c r="BS180" s="377"/>
      <c r="BT180" s="377"/>
      <c r="BU180" s="377"/>
      <c r="BV180" s="377"/>
      <c r="BW180" s="377"/>
      <c r="BX180" s="377"/>
      <c r="BY180" s="377"/>
      <c r="BZ180" s="377"/>
      <c r="CA180" s="377"/>
      <c r="CB180" s="377"/>
      <c r="CC180" s="377"/>
      <c r="CD180" s="377"/>
      <c r="CE180" s="377"/>
      <c r="CF180" s="377"/>
      <c r="CG180" s="377"/>
      <c r="CH180" s="377"/>
      <c r="CI180" s="377"/>
    </row>
    <row r="181" spans="1:87" ht="15">
      <c r="A181" s="377"/>
      <c r="B181" s="377"/>
      <c r="C181" s="572"/>
      <c r="D181" s="377"/>
      <c r="E181" s="377"/>
      <c r="F181" s="377"/>
      <c r="G181" s="377"/>
      <c r="H181" s="573"/>
      <c r="I181" s="377"/>
      <c r="J181" s="377"/>
      <c r="K181" s="377"/>
      <c r="L181" s="377"/>
      <c r="M181" s="377"/>
      <c r="N181" s="377"/>
      <c r="O181" s="377"/>
      <c r="P181" s="377"/>
      <c r="Q181" s="377"/>
      <c r="R181" s="377"/>
      <c r="S181" s="377"/>
      <c r="T181" s="377"/>
      <c r="U181" s="377"/>
      <c r="V181" s="377"/>
      <c r="W181" s="377"/>
      <c r="X181" s="574"/>
      <c r="Y181" s="377"/>
      <c r="Z181" s="377"/>
      <c r="AA181" s="377"/>
      <c r="AB181" s="377"/>
      <c r="AC181" s="377"/>
      <c r="AD181" s="377"/>
      <c r="AE181" s="377"/>
      <c r="AF181" s="377"/>
      <c r="AG181" s="377"/>
      <c r="AH181" s="377"/>
      <c r="AI181" s="377"/>
      <c r="AJ181" s="377"/>
      <c r="AK181" s="377"/>
      <c r="AL181" s="574"/>
      <c r="AM181" s="377"/>
      <c r="AN181" s="377"/>
      <c r="AO181" s="377"/>
      <c r="AP181" s="377"/>
      <c r="AQ181" s="377"/>
      <c r="AR181" s="377"/>
      <c r="AS181" s="377"/>
      <c r="AT181" s="377"/>
      <c r="AU181" s="377"/>
      <c r="AV181" s="377"/>
      <c r="AW181" s="575"/>
      <c r="AX181" s="377"/>
      <c r="AY181" s="377"/>
      <c r="AZ181" s="377"/>
      <c r="BA181" s="377"/>
      <c r="BB181" s="377"/>
      <c r="BC181" s="377"/>
      <c r="BD181" s="377"/>
      <c r="BE181" s="377"/>
      <c r="BF181" s="377"/>
      <c r="BG181" s="377"/>
      <c r="BH181" s="377"/>
      <c r="BI181" s="377"/>
      <c r="BJ181" s="377"/>
      <c r="BK181" s="377"/>
      <c r="BL181" s="377"/>
      <c r="BM181" s="583"/>
      <c r="BN181" s="592"/>
      <c r="BO181" s="587"/>
      <c r="BP181" s="466"/>
      <c r="BQ181" s="466"/>
      <c r="BR181" s="377"/>
      <c r="BS181" s="377"/>
      <c r="BT181" s="377"/>
      <c r="BU181" s="377"/>
      <c r="BV181" s="377"/>
      <c r="BW181" s="377"/>
      <c r="BX181" s="377"/>
      <c r="BY181" s="377"/>
      <c r="BZ181" s="377"/>
      <c r="CA181" s="377"/>
      <c r="CB181" s="377"/>
      <c r="CC181" s="377"/>
      <c r="CD181" s="377"/>
      <c r="CE181" s="377"/>
      <c r="CF181" s="377"/>
      <c r="CG181" s="377"/>
      <c r="CH181" s="377"/>
      <c r="CI181" s="377"/>
    </row>
    <row r="182" spans="1:87" ht="15">
      <c r="A182" s="377"/>
      <c r="B182" s="377"/>
      <c r="C182" s="572"/>
      <c r="D182" s="377"/>
      <c r="E182" s="377"/>
      <c r="F182" s="377"/>
      <c r="G182" s="377"/>
      <c r="H182" s="573"/>
      <c r="I182" s="377"/>
      <c r="J182" s="377"/>
      <c r="K182" s="377"/>
      <c r="L182" s="377"/>
      <c r="M182" s="377"/>
      <c r="N182" s="377"/>
      <c r="O182" s="377"/>
      <c r="P182" s="377"/>
      <c r="Q182" s="377"/>
      <c r="R182" s="377"/>
      <c r="S182" s="377"/>
      <c r="T182" s="377"/>
      <c r="U182" s="377"/>
      <c r="V182" s="377"/>
      <c r="W182" s="377"/>
      <c r="X182" s="574"/>
      <c r="Y182" s="377"/>
      <c r="Z182" s="377"/>
      <c r="AA182" s="377"/>
      <c r="AB182" s="377"/>
      <c r="AC182" s="377"/>
      <c r="AD182" s="377"/>
      <c r="AE182" s="377"/>
      <c r="AF182" s="377"/>
      <c r="AG182" s="377"/>
      <c r="AH182" s="377"/>
      <c r="AI182" s="377"/>
      <c r="AJ182" s="377"/>
      <c r="AK182" s="377"/>
      <c r="AL182" s="574"/>
      <c r="AM182" s="377"/>
      <c r="AN182" s="377"/>
      <c r="AO182" s="377"/>
      <c r="AP182" s="377"/>
      <c r="AQ182" s="377"/>
      <c r="AR182" s="377"/>
      <c r="AS182" s="377"/>
      <c r="AT182" s="377"/>
      <c r="AU182" s="377"/>
      <c r="AV182" s="377"/>
      <c r="AW182" s="575"/>
      <c r="AX182" s="377"/>
      <c r="AY182" s="377"/>
      <c r="AZ182" s="377"/>
      <c r="BA182" s="377"/>
      <c r="BB182" s="377"/>
      <c r="BC182" s="377"/>
      <c r="BD182" s="377"/>
      <c r="BE182" s="377"/>
      <c r="BF182" s="377"/>
      <c r="BG182" s="377"/>
      <c r="BH182" s="377"/>
      <c r="BI182" s="377"/>
      <c r="BJ182" s="377"/>
      <c r="BK182" s="377"/>
      <c r="BL182" s="377"/>
      <c r="BM182" s="583"/>
      <c r="BN182" s="592"/>
      <c r="BO182" s="587"/>
      <c r="BP182" s="466"/>
      <c r="BQ182" s="466"/>
      <c r="BR182" s="377"/>
      <c r="BS182" s="377"/>
      <c r="BT182" s="377"/>
      <c r="BU182" s="377"/>
      <c r="BV182" s="377"/>
      <c r="BW182" s="377"/>
      <c r="BX182" s="377"/>
      <c r="BY182" s="377"/>
      <c r="BZ182" s="377"/>
      <c r="CA182" s="377"/>
      <c r="CB182" s="377"/>
      <c r="CC182" s="377"/>
      <c r="CD182" s="377"/>
      <c r="CE182" s="377"/>
      <c r="CF182" s="377"/>
      <c r="CG182" s="377"/>
      <c r="CH182" s="377"/>
      <c r="CI182" s="377"/>
    </row>
    <row r="183" spans="1:87" ht="15">
      <c r="A183" s="377"/>
      <c r="B183" s="377"/>
      <c r="C183" s="572"/>
      <c r="D183" s="377"/>
      <c r="E183" s="377"/>
      <c r="F183" s="377"/>
      <c r="G183" s="377"/>
      <c r="H183" s="573"/>
      <c r="I183" s="377"/>
      <c r="J183" s="377"/>
      <c r="K183" s="377"/>
      <c r="L183" s="377"/>
      <c r="M183" s="377"/>
      <c r="N183" s="377"/>
      <c r="O183" s="377"/>
      <c r="P183" s="377"/>
      <c r="Q183" s="377"/>
      <c r="R183" s="377"/>
      <c r="S183" s="377"/>
      <c r="T183" s="377"/>
      <c r="U183" s="377"/>
      <c r="V183" s="377"/>
      <c r="W183" s="377"/>
      <c r="X183" s="574"/>
      <c r="Y183" s="377"/>
      <c r="Z183" s="377"/>
      <c r="AA183" s="377"/>
      <c r="AB183" s="377"/>
      <c r="AC183" s="377"/>
      <c r="AD183" s="377"/>
      <c r="AE183" s="377"/>
      <c r="AF183" s="377"/>
      <c r="AG183" s="377"/>
      <c r="AH183" s="377"/>
      <c r="AI183" s="377"/>
      <c r="AJ183" s="377"/>
      <c r="AK183" s="377"/>
      <c r="AL183" s="574"/>
      <c r="AM183" s="377"/>
      <c r="AN183" s="377"/>
      <c r="AO183" s="377"/>
      <c r="AP183" s="377"/>
      <c r="AQ183" s="377"/>
      <c r="AR183" s="377"/>
      <c r="AS183" s="377"/>
      <c r="AT183" s="377"/>
      <c r="AU183" s="377"/>
      <c r="AV183" s="377"/>
      <c r="AW183" s="575"/>
      <c r="AX183" s="377"/>
      <c r="AY183" s="377"/>
      <c r="AZ183" s="377"/>
      <c r="BA183" s="377"/>
      <c r="BB183" s="377"/>
      <c r="BC183" s="377"/>
      <c r="BD183" s="377"/>
      <c r="BE183" s="377"/>
      <c r="BF183" s="377"/>
      <c r="BG183" s="377"/>
      <c r="BH183" s="377"/>
      <c r="BI183" s="377"/>
      <c r="BJ183" s="377"/>
      <c r="BK183" s="377"/>
      <c r="BL183" s="377"/>
      <c r="BM183" s="376"/>
      <c r="BN183" s="576"/>
      <c r="BO183" s="376"/>
      <c r="BP183" s="377"/>
      <c r="BQ183" s="377"/>
      <c r="BR183" s="377"/>
      <c r="BS183" s="377"/>
      <c r="BT183" s="377"/>
      <c r="BU183" s="377"/>
      <c r="BV183" s="377"/>
      <c r="BW183" s="377"/>
      <c r="BX183" s="377"/>
      <c r="BY183" s="377"/>
      <c r="BZ183" s="377"/>
      <c r="CA183" s="377"/>
      <c r="CB183" s="377"/>
      <c r="CC183" s="377"/>
      <c r="CD183" s="377"/>
      <c r="CE183" s="377"/>
      <c r="CF183" s="377"/>
      <c r="CG183" s="377"/>
      <c r="CH183" s="377"/>
      <c r="CI183" s="377"/>
    </row>
    <row r="184" spans="1:87" ht="15">
      <c r="A184" s="377"/>
      <c r="B184" s="377"/>
      <c r="C184" s="572"/>
      <c r="D184" s="377"/>
      <c r="E184" s="377"/>
      <c r="F184" s="377"/>
      <c r="G184" s="377"/>
      <c r="H184" s="573"/>
      <c r="I184" s="377"/>
      <c r="J184" s="377"/>
      <c r="K184" s="377"/>
      <c r="L184" s="377"/>
      <c r="M184" s="377"/>
      <c r="N184" s="377"/>
      <c r="O184" s="377"/>
      <c r="P184" s="377"/>
      <c r="Q184" s="377"/>
      <c r="R184" s="377"/>
      <c r="S184" s="377"/>
      <c r="T184" s="377"/>
      <c r="U184" s="377"/>
      <c r="V184" s="377"/>
      <c r="W184" s="377"/>
      <c r="X184" s="574"/>
      <c r="Y184" s="377"/>
      <c r="Z184" s="377"/>
      <c r="AA184" s="377"/>
      <c r="AB184" s="377"/>
      <c r="AC184" s="377"/>
      <c r="AD184" s="377"/>
      <c r="AE184" s="377"/>
      <c r="AF184" s="377"/>
      <c r="AG184" s="377"/>
      <c r="AH184" s="377"/>
      <c r="AI184" s="377"/>
      <c r="AJ184" s="377"/>
      <c r="AK184" s="377"/>
      <c r="AL184" s="574"/>
      <c r="AM184" s="377"/>
      <c r="AN184" s="377"/>
      <c r="AO184" s="377"/>
      <c r="AP184" s="377"/>
      <c r="AQ184" s="377"/>
      <c r="AR184" s="377"/>
      <c r="AS184" s="377"/>
      <c r="AT184" s="377"/>
      <c r="AU184" s="377"/>
      <c r="AV184" s="377"/>
      <c r="AW184" s="575"/>
      <c r="AX184" s="377"/>
      <c r="AY184" s="377"/>
      <c r="AZ184" s="377"/>
      <c r="BA184" s="377"/>
      <c r="BB184" s="377"/>
      <c r="BC184" s="377"/>
      <c r="BD184" s="377"/>
      <c r="BE184" s="377"/>
      <c r="BF184" s="377"/>
      <c r="BG184" s="377"/>
      <c r="BH184" s="377"/>
      <c r="BI184" s="377"/>
      <c r="BJ184" s="377"/>
      <c r="BK184" s="377"/>
      <c r="BL184" s="377"/>
      <c r="BM184" s="377"/>
      <c r="BN184" s="576"/>
      <c r="BO184" s="377"/>
      <c r="BP184" s="377"/>
      <c r="BQ184" s="377"/>
      <c r="BR184" s="377"/>
      <c r="BS184" s="377"/>
      <c r="BT184" s="377"/>
      <c r="BU184" s="377"/>
      <c r="BV184" s="377"/>
      <c r="BW184" s="377"/>
      <c r="BX184" s="377"/>
      <c r="BY184" s="377"/>
      <c r="BZ184" s="377"/>
      <c r="CA184" s="377"/>
      <c r="CB184" s="377"/>
      <c r="CC184" s="377"/>
      <c r="CD184" s="377"/>
      <c r="CE184" s="377"/>
      <c r="CF184" s="377"/>
      <c r="CG184" s="377"/>
      <c r="CH184" s="377"/>
      <c r="CI184" s="377"/>
    </row>
    <row r="185" spans="1:87" ht="15">
      <c r="A185" s="377"/>
      <c r="B185" s="377"/>
      <c r="C185" s="572"/>
      <c r="D185" s="377"/>
      <c r="E185" s="377"/>
      <c r="F185" s="377"/>
      <c r="G185" s="377"/>
      <c r="H185" s="573"/>
      <c r="I185" s="377"/>
      <c r="J185" s="377"/>
      <c r="K185" s="377"/>
      <c r="L185" s="377"/>
      <c r="M185" s="377"/>
      <c r="N185" s="377"/>
      <c r="O185" s="377"/>
      <c r="P185" s="377"/>
      <c r="Q185" s="377"/>
      <c r="R185" s="377"/>
      <c r="S185" s="377"/>
      <c r="T185" s="377"/>
      <c r="U185" s="377"/>
      <c r="V185" s="377"/>
      <c r="W185" s="377"/>
      <c r="X185" s="574"/>
      <c r="Y185" s="377"/>
      <c r="Z185" s="377"/>
      <c r="AA185" s="377"/>
      <c r="AB185" s="377"/>
      <c r="AC185" s="377"/>
      <c r="AD185" s="377"/>
      <c r="AE185" s="377"/>
      <c r="AF185" s="377"/>
      <c r="AG185" s="377"/>
      <c r="AH185" s="377"/>
      <c r="AI185" s="377"/>
      <c r="AJ185" s="377"/>
      <c r="AK185" s="377"/>
      <c r="AL185" s="574"/>
      <c r="AM185" s="377"/>
      <c r="AN185" s="377"/>
      <c r="AO185" s="377"/>
      <c r="AP185" s="377"/>
      <c r="AQ185" s="377"/>
      <c r="AR185" s="377"/>
      <c r="AS185" s="377"/>
      <c r="AT185" s="377"/>
      <c r="AU185" s="377"/>
      <c r="AV185" s="377"/>
      <c r="AW185" s="575"/>
      <c r="AX185" s="377"/>
      <c r="AY185" s="377"/>
      <c r="AZ185" s="377"/>
      <c r="BA185" s="377"/>
      <c r="BB185" s="377"/>
      <c r="BC185" s="377"/>
      <c r="BD185" s="377"/>
      <c r="BE185" s="377"/>
      <c r="BF185" s="377"/>
      <c r="BG185" s="377"/>
      <c r="BH185" s="377"/>
      <c r="BI185" s="377"/>
      <c r="BJ185" s="377"/>
      <c r="BK185" s="377"/>
      <c r="BL185" s="377"/>
      <c r="BM185" s="377"/>
      <c r="BN185" s="576"/>
      <c r="BO185" s="377"/>
      <c r="BP185" s="377"/>
      <c r="BQ185" s="377"/>
      <c r="BR185" s="377"/>
      <c r="BS185" s="377"/>
      <c r="BT185" s="377"/>
      <c r="BU185" s="377"/>
      <c r="BV185" s="377"/>
      <c r="BW185" s="377"/>
      <c r="BX185" s="377"/>
      <c r="BY185" s="377"/>
      <c r="BZ185" s="377"/>
      <c r="CA185" s="377"/>
      <c r="CB185" s="377"/>
      <c r="CC185" s="377"/>
      <c r="CD185" s="377"/>
      <c r="CE185" s="377"/>
      <c r="CF185" s="377"/>
      <c r="CG185" s="377"/>
      <c r="CH185" s="377"/>
      <c r="CI185" s="377"/>
    </row>
    <row r="186" spans="1:87" ht="15">
      <c r="A186" s="377"/>
      <c r="B186" s="377"/>
      <c r="C186" s="572"/>
      <c r="D186" s="377"/>
      <c r="E186" s="377"/>
      <c r="F186" s="377"/>
      <c r="G186" s="377"/>
      <c r="H186" s="573"/>
      <c r="I186" s="377"/>
      <c r="J186" s="377"/>
      <c r="K186" s="377"/>
      <c r="L186" s="377"/>
      <c r="M186" s="377"/>
      <c r="N186" s="377"/>
      <c r="O186" s="377"/>
      <c r="P186" s="377"/>
      <c r="Q186" s="377"/>
      <c r="R186" s="377"/>
      <c r="S186" s="377"/>
      <c r="T186" s="377"/>
      <c r="U186" s="377"/>
      <c r="V186" s="377"/>
      <c r="W186" s="377"/>
      <c r="X186" s="574"/>
      <c r="Y186" s="377"/>
      <c r="Z186" s="377"/>
      <c r="AA186" s="377"/>
      <c r="AB186" s="377"/>
      <c r="AC186" s="377"/>
      <c r="AD186" s="377"/>
      <c r="AE186" s="377"/>
      <c r="AF186" s="377"/>
      <c r="AG186" s="377"/>
      <c r="AH186" s="377"/>
      <c r="AI186" s="377"/>
      <c r="AJ186" s="377"/>
      <c r="AK186" s="377"/>
      <c r="AL186" s="574"/>
      <c r="AM186" s="377"/>
      <c r="AN186" s="377"/>
      <c r="AO186" s="377"/>
      <c r="AP186" s="377"/>
      <c r="AQ186" s="377"/>
      <c r="AR186" s="377"/>
      <c r="AS186" s="377"/>
      <c r="AT186" s="377"/>
      <c r="AU186" s="377"/>
      <c r="AV186" s="377"/>
      <c r="AW186" s="575"/>
      <c r="AX186" s="377"/>
      <c r="AY186" s="377"/>
      <c r="AZ186" s="377"/>
      <c r="BA186" s="377"/>
      <c r="BB186" s="377"/>
      <c r="BC186" s="377"/>
      <c r="BD186" s="377"/>
      <c r="BE186" s="377"/>
      <c r="BF186" s="377"/>
      <c r="BG186" s="377"/>
      <c r="BH186" s="377"/>
      <c r="BI186" s="377"/>
      <c r="BJ186" s="377"/>
      <c r="BK186" s="377"/>
      <c r="BL186" s="377"/>
      <c r="BM186" s="377"/>
      <c r="BN186" s="576"/>
      <c r="BO186" s="377"/>
      <c r="BP186" s="377"/>
      <c r="BQ186" s="377"/>
      <c r="BR186" s="377"/>
      <c r="BS186" s="377"/>
      <c r="BT186" s="377"/>
      <c r="BU186" s="377"/>
      <c r="BV186" s="377"/>
      <c r="BW186" s="377"/>
      <c r="BX186" s="377"/>
      <c r="BY186" s="377"/>
      <c r="BZ186" s="377"/>
      <c r="CA186" s="377"/>
      <c r="CB186" s="377"/>
      <c r="CC186" s="377"/>
      <c r="CD186" s="377"/>
      <c r="CE186" s="377"/>
      <c r="CF186" s="377"/>
      <c r="CG186" s="377"/>
      <c r="CH186" s="377"/>
      <c r="CI186" s="377"/>
    </row>
    <row r="187" spans="1:87" ht="15">
      <c r="A187" s="377"/>
      <c r="B187" s="377"/>
      <c r="C187" s="572"/>
      <c r="D187" s="377"/>
      <c r="E187" s="377"/>
      <c r="F187" s="377"/>
      <c r="G187" s="377"/>
      <c r="H187" s="573"/>
      <c r="I187" s="377"/>
      <c r="J187" s="377"/>
      <c r="K187" s="377"/>
      <c r="L187" s="377"/>
      <c r="M187" s="377"/>
      <c r="N187" s="377"/>
      <c r="O187" s="377"/>
      <c r="P187" s="377"/>
      <c r="Q187" s="377"/>
      <c r="R187" s="377"/>
      <c r="S187" s="377"/>
      <c r="T187" s="377"/>
      <c r="U187" s="377"/>
      <c r="V187" s="377"/>
      <c r="W187" s="377"/>
      <c r="X187" s="574"/>
      <c r="Y187" s="377"/>
      <c r="Z187" s="377"/>
      <c r="AA187" s="377"/>
      <c r="AB187" s="377"/>
      <c r="AC187" s="377"/>
      <c r="AD187" s="377"/>
      <c r="AE187" s="377"/>
      <c r="AF187" s="377"/>
      <c r="AG187" s="377"/>
      <c r="AH187" s="377"/>
      <c r="AI187" s="377"/>
      <c r="AJ187" s="377"/>
      <c r="AK187" s="377"/>
      <c r="AL187" s="574"/>
      <c r="AM187" s="377"/>
      <c r="AN187" s="377"/>
      <c r="AO187" s="377"/>
      <c r="AP187" s="377"/>
      <c r="AQ187" s="377"/>
      <c r="AR187" s="377"/>
      <c r="AS187" s="377"/>
      <c r="AT187" s="377"/>
      <c r="AU187" s="377"/>
      <c r="AV187" s="377"/>
      <c r="AW187" s="575"/>
      <c r="AX187" s="377"/>
      <c r="AY187" s="377"/>
      <c r="AZ187" s="377"/>
      <c r="BA187" s="377"/>
      <c r="BB187" s="377"/>
      <c r="BC187" s="377"/>
      <c r="BD187" s="377"/>
      <c r="BE187" s="377"/>
      <c r="BF187" s="377"/>
      <c r="BG187" s="377"/>
      <c r="BH187" s="377"/>
      <c r="BI187" s="377"/>
      <c r="BJ187" s="377"/>
      <c r="BK187" s="377"/>
      <c r="BL187" s="377"/>
      <c r="BM187" s="377"/>
      <c r="BN187" s="576"/>
      <c r="BO187" s="377"/>
      <c r="BP187" s="377"/>
      <c r="BQ187" s="377"/>
      <c r="BR187" s="377"/>
      <c r="BS187" s="377"/>
      <c r="BT187" s="377"/>
      <c r="BU187" s="377"/>
      <c r="BV187" s="377"/>
      <c r="BW187" s="377"/>
      <c r="BX187" s="377"/>
      <c r="BY187" s="377"/>
      <c r="BZ187" s="377"/>
      <c r="CA187" s="377"/>
      <c r="CB187" s="377"/>
      <c r="CC187" s="377"/>
      <c r="CD187" s="377"/>
      <c r="CE187" s="377"/>
      <c r="CF187" s="377"/>
      <c r="CG187" s="377"/>
      <c r="CH187" s="377"/>
      <c r="CI187" s="377"/>
    </row>
    <row r="188" spans="1:87" ht="15">
      <c r="A188" s="377"/>
      <c r="B188" s="377"/>
      <c r="C188" s="572"/>
      <c r="D188" s="377"/>
      <c r="E188" s="377"/>
      <c r="F188" s="377"/>
      <c r="G188" s="377"/>
      <c r="H188" s="573"/>
      <c r="I188" s="377"/>
      <c r="J188" s="377"/>
      <c r="K188" s="377"/>
      <c r="L188" s="377"/>
      <c r="M188" s="377"/>
      <c r="N188" s="377"/>
      <c r="O188" s="377"/>
      <c r="P188" s="377"/>
      <c r="Q188" s="377"/>
      <c r="R188" s="377"/>
      <c r="S188" s="377"/>
      <c r="T188" s="377"/>
      <c r="U188" s="377"/>
      <c r="V188" s="377"/>
      <c r="W188" s="377"/>
      <c r="X188" s="574"/>
      <c r="Y188" s="377"/>
      <c r="Z188" s="377"/>
      <c r="AA188" s="377"/>
      <c r="AB188" s="377"/>
      <c r="AC188" s="377"/>
      <c r="AD188" s="377"/>
      <c r="AE188" s="377"/>
      <c r="AF188" s="377"/>
      <c r="AG188" s="377"/>
      <c r="AH188" s="377"/>
      <c r="AI188" s="377"/>
      <c r="AJ188" s="377"/>
      <c r="AK188" s="377"/>
      <c r="AL188" s="574"/>
      <c r="AM188" s="377"/>
      <c r="AN188" s="377"/>
      <c r="AO188" s="377"/>
      <c r="AP188" s="377"/>
      <c r="AQ188" s="377"/>
      <c r="AR188" s="377"/>
      <c r="AS188" s="377"/>
      <c r="AT188" s="377"/>
      <c r="AU188" s="377"/>
      <c r="AV188" s="377"/>
      <c r="AW188" s="575"/>
      <c r="AX188" s="377"/>
      <c r="AY188" s="377"/>
      <c r="AZ188" s="377"/>
      <c r="BA188" s="377"/>
      <c r="BB188" s="377"/>
      <c r="BC188" s="377"/>
      <c r="BD188" s="377"/>
      <c r="BE188" s="377"/>
      <c r="BF188" s="377"/>
      <c r="BG188" s="377"/>
      <c r="BH188" s="377"/>
      <c r="BI188" s="377"/>
      <c r="BJ188" s="377"/>
      <c r="BK188" s="377"/>
      <c r="BL188" s="377"/>
      <c r="BM188" s="377"/>
      <c r="BN188" s="576"/>
      <c r="BO188" s="377"/>
      <c r="BP188" s="377"/>
      <c r="BQ188" s="377"/>
      <c r="BR188" s="377"/>
      <c r="BS188" s="377"/>
      <c r="BT188" s="377"/>
      <c r="BU188" s="377"/>
      <c r="BV188" s="377"/>
      <c r="BW188" s="377"/>
      <c r="BX188" s="377"/>
      <c r="BY188" s="377"/>
      <c r="BZ188" s="377"/>
      <c r="CA188" s="377"/>
      <c r="CB188" s="377"/>
      <c r="CC188" s="377"/>
      <c r="CD188" s="377"/>
      <c r="CE188" s="377"/>
      <c r="CF188" s="377"/>
      <c r="CG188" s="377"/>
      <c r="CH188" s="377"/>
      <c r="CI188" s="377"/>
    </row>
    <row r="189" spans="1:87" ht="15">
      <c r="A189" s="377"/>
      <c r="B189" s="377"/>
      <c r="C189" s="572"/>
      <c r="D189" s="377"/>
      <c r="E189" s="377"/>
      <c r="F189" s="377"/>
      <c r="G189" s="377"/>
      <c r="H189" s="573"/>
      <c r="I189" s="377"/>
      <c r="J189" s="377"/>
      <c r="K189" s="377"/>
      <c r="L189" s="377"/>
      <c r="M189" s="377"/>
      <c r="N189" s="377"/>
      <c r="O189" s="377"/>
      <c r="P189" s="377"/>
      <c r="Q189" s="377"/>
      <c r="R189" s="377"/>
      <c r="S189" s="377"/>
      <c r="T189" s="377"/>
      <c r="U189" s="377"/>
      <c r="V189" s="377"/>
      <c r="W189" s="377"/>
      <c r="X189" s="574"/>
      <c r="Y189" s="377"/>
      <c r="Z189" s="377"/>
      <c r="AA189" s="377"/>
      <c r="AB189" s="377"/>
      <c r="AC189" s="377"/>
      <c r="AD189" s="377"/>
      <c r="AE189" s="377"/>
      <c r="AF189" s="377"/>
      <c r="AG189" s="377"/>
      <c r="AH189" s="377"/>
      <c r="AI189" s="377"/>
      <c r="AJ189" s="377"/>
      <c r="AK189" s="377"/>
      <c r="AL189" s="574"/>
      <c r="AM189" s="377"/>
      <c r="AN189" s="377"/>
      <c r="AO189" s="377"/>
      <c r="AP189" s="377"/>
      <c r="AQ189" s="377"/>
      <c r="AR189" s="377"/>
      <c r="AS189" s="377"/>
      <c r="AT189" s="377"/>
      <c r="AU189" s="377"/>
      <c r="AV189" s="377"/>
      <c r="AW189" s="575"/>
      <c r="AX189" s="377"/>
      <c r="AY189" s="377"/>
      <c r="AZ189" s="377"/>
      <c r="BA189" s="377"/>
      <c r="BB189" s="377"/>
      <c r="BC189" s="377"/>
      <c r="BD189" s="377"/>
      <c r="BE189" s="377"/>
      <c r="BF189" s="377"/>
      <c r="BG189" s="377"/>
      <c r="BH189" s="377"/>
      <c r="BI189" s="377"/>
      <c r="BJ189" s="377"/>
      <c r="BK189" s="377"/>
      <c r="BL189" s="377"/>
      <c r="BM189" s="377"/>
      <c r="BN189" s="576"/>
      <c r="BO189" s="377"/>
      <c r="BP189" s="377"/>
      <c r="BQ189" s="377"/>
      <c r="BR189" s="377"/>
      <c r="BS189" s="377"/>
      <c r="BT189" s="377"/>
      <c r="BU189" s="377"/>
      <c r="BV189" s="377"/>
      <c r="BW189" s="377"/>
      <c r="BX189" s="377"/>
      <c r="BY189" s="377"/>
      <c r="BZ189" s="377"/>
      <c r="CA189" s="377"/>
      <c r="CB189" s="377"/>
      <c r="CC189" s="377"/>
      <c r="CD189" s="377"/>
      <c r="CE189" s="377"/>
      <c r="CF189" s="377"/>
      <c r="CG189" s="377"/>
      <c r="CH189" s="377"/>
      <c r="CI189" s="377"/>
    </row>
    <row r="190" spans="1:87" ht="15">
      <c r="A190" s="377"/>
      <c r="B190" s="377"/>
      <c r="C190" s="572"/>
      <c r="D190" s="377"/>
      <c r="E190" s="377"/>
      <c r="F190" s="377"/>
      <c r="G190" s="377"/>
      <c r="H190" s="573"/>
      <c r="I190" s="377"/>
      <c r="J190" s="377"/>
      <c r="K190" s="377"/>
      <c r="L190" s="377"/>
      <c r="M190" s="377"/>
      <c r="N190" s="377"/>
      <c r="O190" s="377"/>
      <c r="P190" s="377"/>
      <c r="Q190" s="377"/>
      <c r="R190" s="377"/>
      <c r="S190" s="377"/>
      <c r="T190" s="377"/>
      <c r="U190" s="377"/>
      <c r="V190" s="377"/>
      <c r="W190" s="377"/>
      <c r="X190" s="574"/>
      <c r="Y190" s="377"/>
      <c r="Z190" s="377"/>
      <c r="AA190" s="377"/>
      <c r="AB190" s="377"/>
      <c r="AC190" s="377"/>
      <c r="AD190" s="377"/>
      <c r="AE190" s="377"/>
      <c r="AF190" s="377"/>
      <c r="AG190" s="377"/>
      <c r="AH190" s="377"/>
      <c r="AI190" s="377"/>
      <c r="AJ190" s="377"/>
      <c r="AK190" s="377"/>
      <c r="AL190" s="574"/>
      <c r="AM190" s="377"/>
      <c r="AN190" s="377"/>
      <c r="AO190" s="377"/>
      <c r="AP190" s="377"/>
      <c r="AQ190" s="377"/>
      <c r="AR190" s="377"/>
      <c r="AS190" s="377"/>
      <c r="AT190" s="377"/>
      <c r="AU190" s="377"/>
      <c r="AV190" s="377"/>
      <c r="AW190" s="575"/>
      <c r="AX190" s="377"/>
      <c r="AY190" s="377"/>
      <c r="AZ190" s="377"/>
      <c r="BA190" s="377"/>
      <c r="BB190" s="377"/>
      <c r="BC190" s="377"/>
      <c r="BD190" s="377"/>
      <c r="BE190" s="377"/>
      <c r="BF190" s="377"/>
      <c r="BG190" s="377"/>
      <c r="BH190" s="377"/>
      <c r="BI190" s="377"/>
      <c r="BJ190" s="377"/>
      <c r="BK190" s="377"/>
      <c r="BL190" s="377"/>
      <c r="BM190" s="377"/>
      <c r="BN190" s="576"/>
      <c r="BO190" s="377"/>
      <c r="BP190" s="377"/>
      <c r="BQ190" s="377"/>
      <c r="BR190" s="377"/>
      <c r="BS190" s="377"/>
      <c r="BT190" s="377"/>
      <c r="BU190" s="377"/>
      <c r="BV190" s="377"/>
      <c r="BW190" s="377"/>
      <c r="BX190" s="377"/>
      <c r="BY190" s="377"/>
      <c r="BZ190" s="377"/>
      <c r="CA190" s="377"/>
      <c r="CB190" s="377"/>
      <c r="CC190" s="377"/>
      <c r="CD190" s="377"/>
      <c r="CE190" s="377"/>
      <c r="CF190" s="377"/>
      <c r="CG190" s="377"/>
      <c r="CH190" s="377"/>
      <c r="CI190" s="377"/>
    </row>
    <row r="191" spans="1:87" ht="15">
      <c r="A191" s="377"/>
      <c r="B191" s="377"/>
      <c r="C191" s="572"/>
      <c r="D191" s="377"/>
      <c r="E191" s="377"/>
      <c r="F191" s="377"/>
      <c r="G191" s="377"/>
      <c r="H191" s="573"/>
      <c r="I191" s="377"/>
      <c r="J191" s="377"/>
      <c r="K191" s="377"/>
      <c r="L191" s="377"/>
      <c r="M191" s="377"/>
      <c r="N191" s="377"/>
      <c r="O191" s="377"/>
      <c r="P191" s="377"/>
      <c r="Q191" s="377"/>
      <c r="R191" s="377"/>
      <c r="S191" s="377"/>
      <c r="T191" s="377"/>
      <c r="U191" s="377"/>
      <c r="V191" s="377"/>
      <c r="W191" s="377"/>
      <c r="X191" s="574"/>
      <c r="Y191" s="377"/>
      <c r="Z191" s="377"/>
      <c r="AA191" s="377"/>
      <c r="AB191" s="377"/>
      <c r="AC191" s="377"/>
      <c r="AD191" s="377"/>
      <c r="AE191" s="377"/>
      <c r="AF191" s="377"/>
      <c r="AG191" s="377"/>
      <c r="AH191" s="377"/>
      <c r="AI191" s="377"/>
      <c r="AJ191" s="377"/>
      <c r="AK191" s="377"/>
      <c r="AL191" s="574"/>
      <c r="AM191" s="377"/>
      <c r="AN191" s="377"/>
      <c r="AO191" s="377"/>
      <c r="AP191" s="377"/>
      <c r="AQ191" s="377"/>
      <c r="AR191" s="377"/>
      <c r="AS191" s="377"/>
      <c r="AT191" s="377"/>
      <c r="AU191" s="377"/>
      <c r="AV191" s="377"/>
      <c r="AW191" s="575"/>
      <c r="AX191" s="377"/>
      <c r="AY191" s="377"/>
      <c r="AZ191" s="377"/>
      <c r="BA191" s="377"/>
      <c r="BB191" s="377"/>
      <c r="BC191" s="377"/>
      <c r="BD191" s="377"/>
      <c r="BE191" s="377"/>
      <c r="BF191" s="377"/>
      <c r="BG191" s="377"/>
      <c r="BH191" s="377"/>
      <c r="BI191" s="377"/>
      <c r="BJ191" s="377"/>
      <c r="BK191" s="377"/>
      <c r="BL191" s="377"/>
      <c r="BM191" s="377"/>
      <c r="BN191" s="576"/>
      <c r="BO191" s="377"/>
      <c r="BP191" s="377"/>
      <c r="BQ191" s="377"/>
      <c r="BR191" s="377"/>
      <c r="BS191" s="377"/>
      <c r="BT191" s="377"/>
      <c r="BU191" s="377"/>
      <c r="BV191" s="377"/>
      <c r="BW191" s="377"/>
      <c r="BX191" s="377"/>
      <c r="BY191" s="377"/>
      <c r="BZ191" s="377"/>
      <c r="CA191" s="377"/>
      <c r="CB191" s="377"/>
      <c r="CC191" s="377"/>
      <c r="CD191" s="377"/>
      <c r="CE191" s="377"/>
      <c r="CF191" s="377"/>
      <c r="CG191" s="377"/>
      <c r="CH191" s="377"/>
      <c r="CI191" s="377"/>
    </row>
    <row r="192" spans="1:87" ht="15">
      <c r="A192" s="377"/>
      <c r="B192" s="377"/>
      <c r="C192" s="572"/>
      <c r="D192" s="377"/>
      <c r="E192" s="377"/>
      <c r="F192" s="377"/>
      <c r="G192" s="377"/>
      <c r="H192" s="573"/>
      <c r="I192" s="377"/>
      <c r="J192" s="377"/>
      <c r="K192" s="377"/>
      <c r="L192" s="377"/>
      <c r="M192" s="377"/>
      <c r="N192" s="377"/>
      <c r="O192" s="377"/>
      <c r="P192" s="377"/>
      <c r="Q192" s="377"/>
      <c r="R192" s="377"/>
      <c r="S192" s="377"/>
      <c r="T192" s="377"/>
      <c r="U192" s="377"/>
      <c r="V192" s="377"/>
      <c r="W192" s="377"/>
      <c r="X192" s="574"/>
      <c r="Y192" s="377"/>
      <c r="Z192" s="377"/>
      <c r="AA192" s="377"/>
      <c r="AB192" s="377"/>
      <c r="AC192" s="377"/>
      <c r="AD192" s="377"/>
      <c r="AE192" s="377"/>
      <c r="AF192" s="377"/>
      <c r="AG192" s="377"/>
      <c r="AH192" s="377"/>
      <c r="AI192" s="377"/>
      <c r="AJ192" s="377"/>
      <c r="AK192" s="377"/>
      <c r="AL192" s="574"/>
      <c r="AM192" s="377"/>
      <c r="AN192" s="377"/>
      <c r="AO192" s="377"/>
      <c r="AP192" s="377"/>
      <c r="AQ192" s="377"/>
      <c r="AR192" s="377"/>
      <c r="AS192" s="377"/>
      <c r="AT192" s="377"/>
      <c r="AU192" s="377"/>
      <c r="AV192" s="377"/>
      <c r="AW192" s="575"/>
      <c r="AX192" s="377"/>
      <c r="AY192" s="377"/>
      <c r="AZ192" s="377"/>
      <c r="BA192" s="377"/>
      <c r="BB192" s="377"/>
      <c r="BC192" s="377"/>
      <c r="BD192" s="377"/>
      <c r="BE192" s="377"/>
      <c r="BF192" s="377"/>
      <c r="BG192" s="377"/>
      <c r="BH192" s="377"/>
      <c r="BI192" s="377"/>
      <c r="BJ192" s="377"/>
      <c r="BK192" s="377"/>
      <c r="BL192" s="377"/>
      <c r="BM192" s="377"/>
      <c r="BN192" s="576"/>
      <c r="BO192" s="377"/>
      <c r="BP192" s="377"/>
      <c r="BQ192" s="377"/>
      <c r="BR192" s="377"/>
      <c r="BS192" s="377"/>
      <c r="BT192" s="377"/>
      <c r="BU192" s="377"/>
      <c r="BV192" s="377"/>
      <c r="BW192" s="377"/>
      <c r="BX192" s="377"/>
      <c r="BY192" s="377"/>
      <c r="BZ192" s="377"/>
      <c r="CA192" s="377"/>
      <c r="CB192" s="377"/>
      <c r="CC192" s="377"/>
      <c r="CD192" s="377"/>
      <c r="CE192" s="377"/>
      <c r="CF192" s="377"/>
      <c r="CG192" s="377"/>
      <c r="CH192" s="377"/>
      <c r="CI192" s="377"/>
    </row>
    <row r="193" spans="1:87" ht="15">
      <c r="A193" s="377"/>
      <c r="B193" s="377"/>
      <c r="C193" s="572"/>
      <c r="D193" s="377"/>
      <c r="E193" s="377"/>
      <c r="F193" s="377"/>
      <c r="G193" s="377"/>
      <c r="H193" s="573"/>
      <c r="I193" s="377"/>
      <c r="J193" s="377"/>
      <c r="K193" s="377"/>
      <c r="L193" s="377"/>
      <c r="M193" s="377"/>
      <c r="N193" s="377"/>
      <c r="O193" s="377"/>
      <c r="P193" s="377"/>
      <c r="Q193" s="377"/>
      <c r="R193" s="377"/>
      <c r="S193" s="377"/>
      <c r="T193" s="377"/>
      <c r="U193" s="377"/>
      <c r="V193" s="377"/>
      <c r="W193" s="377"/>
      <c r="X193" s="574"/>
      <c r="Y193" s="377"/>
      <c r="Z193" s="377"/>
      <c r="AA193" s="377"/>
      <c r="AB193" s="377"/>
      <c r="AC193" s="377"/>
      <c r="AD193" s="377"/>
      <c r="AE193" s="377"/>
      <c r="AF193" s="377"/>
      <c r="AG193" s="377"/>
      <c r="AH193" s="377"/>
      <c r="AI193" s="377"/>
      <c r="AJ193" s="377"/>
      <c r="AK193" s="377"/>
      <c r="AL193" s="574"/>
      <c r="AM193" s="377"/>
      <c r="AN193" s="377"/>
      <c r="AO193" s="377"/>
      <c r="AP193" s="377"/>
      <c r="AQ193" s="377"/>
      <c r="AR193" s="377"/>
      <c r="AS193" s="377"/>
      <c r="AT193" s="377"/>
      <c r="AU193" s="377"/>
      <c r="AV193" s="377"/>
      <c r="AW193" s="575"/>
      <c r="AX193" s="377"/>
      <c r="AY193" s="377"/>
      <c r="AZ193" s="377"/>
      <c r="BA193" s="377"/>
      <c r="BB193" s="377"/>
      <c r="BC193" s="377"/>
      <c r="BD193" s="377"/>
      <c r="BE193" s="377"/>
      <c r="BF193" s="377"/>
      <c r="BG193" s="377"/>
      <c r="BH193" s="377"/>
      <c r="BI193" s="377"/>
      <c r="BJ193" s="377"/>
      <c r="BK193" s="377"/>
      <c r="BL193" s="377"/>
      <c r="BM193" s="377"/>
      <c r="BN193" s="576"/>
      <c r="BO193" s="377"/>
      <c r="BP193" s="377"/>
      <c r="BQ193" s="377"/>
      <c r="BR193" s="377"/>
      <c r="BS193" s="377"/>
      <c r="BT193" s="377"/>
      <c r="BU193" s="377"/>
      <c r="BV193" s="377"/>
      <c r="BW193" s="377"/>
      <c r="BX193" s="377"/>
      <c r="BY193" s="377"/>
      <c r="BZ193" s="377"/>
      <c r="CA193" s="377"/>
      <c r="CB193" s="377"/>
      <c r="CC193" s="377"/>
      <c r="CD193" s="377"/>
      <c r="CE193" s="377"/>
      <c r="CF193" s="377"/>
      <c r="CG193" s="377"/>
      <c r="CH193" s="377"/>
      <c r="CI193" s="377"/>
    </row>
    <row r="194" spans="1:87" ht="15">
      <c r="A194" s="377"/>
      <c r="B194" s="377"/>
      <c r="C194" s="572"/>
      <c r="D194" s="377"/>
      <c r="E194" s="377"/>
      <c r="F194" s="377"/>
      <c r="G194" s="377"/>
      <c r="H194" s="573"/>
      <c r="I194" s="377"/>
      <c r="J194" s="377"/>
      <c r="K194" s="377"/>
      <c r="L194" s="377"/>
      <c r="M194" s="377"/>
      <c r="N194" s="377"/>
      <c r="O194" s="377"/>
      <c r="P194" s="377"/>
      <c r="Q194" s="377"/>
      <c r="R194" s="377"/>
      <c r="S194" s="377"/>
      <c r="T194" s="377"/>
      <c r="U194" s="377"/>
      <c r="V194" s="377"/>
      <c r="W194" s="377"/>
      <c r="X194" s="574"/>
      <c r="Y194" s="377"/>
      <c r="Z194" s="377"/>
      <c r="AA194" s="377"/>
      <c r="AB194" s="377"/>
      <c r="AC194" s="377"/>
      <c r="AD194" s="377"/>
      <c r="AE194" s="377"/>
      <c r="AF194" s="377"/>
      <c r="AG194" s="377"/>
      <c r="AH194" s="377"/>
      <c r="AI194" s="377"/>
      <c r="AJ194" s="377"/>
      <c r="AK194" s="377"/>
      <c r="AL194" s="574"/>
      <c r="AM194" s="377"/>
      <c r="AN194" s="377"/>
      <c r="AO194" s="377"/>
      <c r="AP194" s="377"/>
      <c r="AQ194" s="377"/>
      <c r="AR194" s="377"/>
      <c r="AS194" s="377"/>
      <c r="AT194" s="377"/>
      <c r="AU194" s="377"/>
      <c r="AV194" s="377"/>
      <c r="AW194" s="575"/>
      <c r="AX194" s="377"/>
      <c r="AY194" s="377"/>
      <c r="AZ194" s="377"/>
      <c r="BA194" s="377"/>
      <c r="BB194" s="377"/>
      <c r="BC194" s="377"/>
      <c r="BD194" s="377"/>
      <c r="BE194" s="377"/>
      <c r="BF194" s="377"/>
      <c r="BG194" s="377"/>
      <c r="BH194" s="377"/>
      <c r="BI194" s="377"/>
      <c r="BJ194" s="377"/>
      <c r="BK194" s="377"/>
      <c r="BL194" s="377"/>
      <c r="BM194" s="377"/>
      <c r="BN194" s="576"/>
      <c r="BO194" s="377"/>
      <c r="BP194" s="377"/>
      <c r="BQ194" s="377"/>
      <c r="BR194" s="377"/>
      <c r="BS194" s="377"/>
      <c r="BT194" s="377"/>
      <c r="BU194" s="377"/>
      <c r="BV194" s="377"/>
      <c r="BW194" s="377"/>
      <c r="BX194" s="377"/>
      <c r="BY194" s="377"/>
      <c r="BZ194" s="377"/>
      <c r="CA194" s="377"/>
      <c r="CB194" s="377"/>
      <c r="CC194" s="377"/>
      <c r="CD194" s="377"/>
      <c r="CE194" s="377"/>
      <c r="CF194" s="377"/>
      <c r="CG194" s="377"/>
      <c r="CH194" s="377"/>
      <c r="CI194" s="377"/>
    </row>
    <row r="195" spans="1:87" ht="15">
      <c r="A195" s="377"/>
      <c r="B195" s="377"/>
      <c r="C195" s="572"/>
      <c r="D195" s="377"/>
      <c r="E195" s="377"/>
      <c r="F195" s="377"/>
      <c r="G195" s="377"/>
      <c r="H195" s="573"/>
      <c r="I195" s="377"/>
      <c r="J195" s="377"/>
      <c r="K195" s="377"/>
      <c r="L195" s="377"/>
      <c r="M195" s="377"/>
      <c r="N195" s="377"/>
      <c r="O195" s="377"/>
      <c r="P195" s="377"/>
      <c r="Q195" s="377"/>
      <c r="R195" s="377"/>
      <c r="S195" s="377"/>
      <c r="T195" s="377"/>
      <c r="U195" s="377"/>
      <c r="V195" s="377"/>
      <c r="W195" s="377"/>
      <c r="X195" s="574"/>
      <c r="Y195" s="377"/>
      <c r="Z195" s="377"/>
      <c r="AA195" s="377"/>
      <c r="AB195" s="377"/>
      <c r="AC195" s="377"/>
      <c r="AD195" s="377"/>
      <c r="AE195" s="377"/>
      <c r="AF195" s="377"/>
      <c r="AG195" s="377"/>
      <c r="AH195" s="377"/>
      <c r="AI195" s="377"/>
      <c r="AJ195" s="377"/>
      <c r="AK195" s="377"/>
      <c r="AL195" s="574"/>
      <c r="AM195" s="377"/>
      <c r="AN195" s="377"/>
      <c r="AO195" s="377"/>
      <c r="AP195" s="377"/>
      <c r="AQ195" s="377"/>
      <c r="AR195" s="377"/>
      <c r="AS195" s="377"/>
      <c r="AT195" s="377"/>
      <c r="AU195" s="377"/>
      <c r="AV195" s="377"/>
      <c r="AW195" s="575"/>
      <c r="AX195" s="377"/>
      <c r="AY195" s="377"/>
      <c r="AZ195" s="377"/>
      <c r="BA195" s="377"/>
      <c r="BB195" s="377"/>
      <c r="BC195" s="377"/>
      <c r="BD195" s="377"/>
      <c r="BE195" s="377"/>
      <c r="BF195" s="377"/>
      <c r="BG195" s="377"/>
      <c r="BH195" s="377"/>
      <c r="BI195" s="377"/>
      <c r="BJ195" s="377"/>
      <c r="BK195" s="377"/>
      <c r="BL195" s="377"/>
      <c r="BM195" s="377"/>
      <c r="BN195" s="576"/>
      <c r="BO195" s="377"/>
      <c r="BP195" s="377"/>
      <c r="BQ195" s="377"/>
      <c r="BR195" s="377"/>
      <c r="BS195" s="377"/>
      <c r="BT195" s="377"/>
      <c r="BU195" s="377"/>
      <c r="BV195" s="377"/>
      <c r="BW195" s="377"/>
      <c r="BX195" s="377"/>
      <c r="BY195" s="377"/>
      <c r="BZ195" s="377"/>
      <c r="CA195" s="377"/>
      <c r="CB195" s="377"/>
      <c r="CC195" s="377"/>
      <c r="CD195" s="377"/>
      <c r="CE195" s="377"/>
      <c r="CF195" s="377"/>
      <c r="CG195" s="377"/>
      <c r="CH195" s="377"/>
      <c r="CI195" s="377"/>
    </row>
    <row r="196" spans="1:87" ht="15">
      <c r="A196" s="377"/>
      <c r="B196" s="377"/>
      <c r="C196" s="572"/>
      <c r="D196" s="377"/>
      <c r="E196" s="377"/>
      <c r="F196" s="377"/>
      <c r="G196" s="377"/>
      <c r="H196" s="573"/>
      <c r="I196" s="377"/>
      <c r="J196" s="377"/>
      <c r="K196" s="377"/>
      <c r="L196" s="377"/>
      <c r="M196" s="377"/>
      <c r="N196" s="377"/>
      <c r="O196" s="377"/>
      <c r="P196" s="377"/>
      <c r="Q196" s="377"/>
      <c r="R196" s="377"/>
      <c r="S196" s="377"/>
      <c r="T196" s="377"/>
      <c r="U196" s="377"/>
      <c r="V196" s="377"/>
      <c r="W196" s="377"/>
      <c r="X196" s="574"/>
      <c r="Y196" s="377"/>
      <c r="Z196" s="377"/>
      <c r="AA196" s="377"/>
      <c r="AB196" s="377"/>
      <c r="AC196" s="377"/>
      <c r="AD196" s="377"/>
      <c r="AE196" s="377"/>
      <c r="AF196" s="377"/>
      <c r="AG196" s="377"/>
      <c r="AH196" s="377"/>
      <c r="AI196" s="377"/>
      <c r="AJ196" s="377"/>
      <c r="AK196" s="377"/>
      <c r="AL196" s="574"/>
      <c r="AM196" s="377"/>
      <c r="AN196" s="377"/>
      <c r="AO196" s="377"/>
      <c r="AP196" s="377"/>
      <c r="AQ196" s="377"/>
      <c r="AR196" s="377"/>
      <c r="AS196" s="377"/>
      <c r="AT196" s="377"/>
      <c r="AU196" s="377"/>
      <c r="AV196" s="377"/>
      <c r="AW196" s="575"/>
      <c r="AX196" s="377"/>
      <c r="AY196" s="377"/>
      <c r="AZ196" s="377"/>
      <c r="BA196" s="377"/>
      <c r="BB196" s="377"/>
      <c r="BC196" s="377"/>
      <c r="BD196" s="377"/>
      <c r="BE196" s="377"/>
      <c r="BF196" s="377"/>
      <c r="BG196" s="377"/>
      <c r="BH196" s="377"/>
      <c r="BI196" s="377"/>
      <c r="BJ196" s="377"/>
      <c r="BK196" s="377"/>
      <c r="BL196" s="377"/>
      <c r="BM196" s="377"/>
      <c r="BN196" s="576"/>
      <c r="BO196" s="377"/>
      <c r="BP196" s="377"/>
      <c r="BQ196" s="377"/>
      <c r="BR196" s="377"/>
      <c r="BS196" s="377"/>
      <c r="BT196" s="377"/>
      <c r="BU196" s="377"/>
      <c r="BV196" s="377"/>
      <c r="BW196" s="377"/>
      <c r="BX196" s="377"/>
      <c r="BY196" s="377"/>
      <c r="BZ196" s="377"/>
      <c r="CA196" s="377"/>
      <c r="CB196" s="377"/>
      <c r="CC196" s="377"/>
      <c r="CD196" s="377"/>
      <c r="CE196" s="377"/>
      <c r="CF196" s="377"/>
      <c r="CG196" s="377"/>
      <c r="CH196" s="377"/>
      <c r="CI196" s="377"/>
    </row>
    <row r="197" spans="1:87" ht="15">
      <c r="A197" s="377"/>
      <c r="B197" s="377"/>
      <c r="C197" s="572"/>
      <c r="D197" s="377"/>
      <c r="E197" s="377"/>
      <c r="F197" s="377"/>
      <c r="G197" s="377"/>
      <c r="H197" s="573"/>
      <c r="I197" s="377"/>
      <c r="J197" s="377"/>
      <c r="K197" s="377"/>
      <c r="L197" s="377"/>
      <c r="M197" s="377"/>
      <c r="N197" s="377"/>
      <c r="O197" s="377"/>
      <c r="P197" s="377"/>
      <c r="Q197" s="377"/>
      <c r="R197" s="377"/>
      <c r="S197" s="377"/>
      <c r="T197" s="377"/>
      <c r="U197" s="377"/>
      <c r="V197" s="377"/>
      <c r="W197" s="377"/>
      <c r="X197" s="574"/>
      <c r="Y197" s="377"/>
      <c r="Z197" s="377"/>
      <c r="AA197" s="377"/>
      <c r="AB197" s="377"/>
      <c r="AC197" s="377"/>
      <c r="AD197" s="377"/>
      <c r="AE197" s="377"/>
      <c r="AF197" s="377"/>
      <c r="AG197" s="377"/>
      <c r="AH197" s="377"/>
      <c r="AI197" s="377"/>
      <c r="AJ197" s="377"/>
      <c r="AK197" s="377"/>
      <c r="AL197" s="574"/>
      <c r="AM197" s="377"/>
      <c r="AN197" s="377"/>
      <c r="AO197" s="377"/>
      <c r="AP197" s="377"/>
      <c r="AQ197" s="377"/>
      <c r="AR197" s="377"/>
      <c r="AS197" s="377"/>
      <c r="AT197" s="377"/>
      <c r="AU197" s="377"/>
      <c r="AV197" s="377"/>
      <c r="AW197" s="575"/>
      <c r="AX197" s="377"/>
      <c r="AY197" s="377"/>
      <c r="AZ197" s="377"/>
      <c r="BA197" s="377"/>
      <c r="BB197" s="377"/>
      <c r="BC197" s="377"/>
      <c r="BD197" s="377"/>
      <c r="BE197" s="377"/>
      <c r="BF197" s="377"/>
      <c r="BG197" s="377"/>
      <c r="BH197" s="377"/>
      <c r="BI197" s="377"/>
      <c r="BJ197" s="377"/>
      <c r="BK197" s="377"/>
      <c r="BL197" s="377"/>
      <c r="BM197" s="377"/>
      <c r="BN197" s="576"/>
      <c r="BO197" s="377"/>
      <c r="BP197" s="377"/>
      <c r="BQ197" s="377"/>
      <c r="BR197" s="377"/>
      <c r="BS197" s="377"/>
      <c r="BT197" s="377"/>
      <c r="BU197" s="377"/>
      <c r="BV197" s="377"/>
      <c r="BW197" s="377"/>
      <c r="BX197" s="377"/>
      <c r="BY197" s="377"/>
      <c r="BZ197" s="377"/>
      <c r="CA197" s="377"/>
      <c r="CB197" s="377"/>
      <c r="CC197" s="377"/>
      <c r="CD197" s="377"/>
      <c r="CE197" s="377"/>
      <c r="CF197" s="377"/>
      <c r="CG197" s="377"/>
      <c r="CH197" s="377"/>
      <c r="CI197" s="377"/>
    </row>
    <row r="198" spans="1:87" ht="15">
      <c r="A198" s="377"/>
      <c r="B198" s="377"/>
      <c r="C198" s="572"/>
      <c r="D198" s="377"/>
      <c r="E198" s="377"/>
      <c r="F198" s="377"/>
      <c r="G198" s="377"/>
      <c r="H198" s="573"/>
      <c r="I198" s="377"/>
      <c r="J198" s="377"/>
      <c r="K198" s="377"/>
      <c r="L198" s="377"/>
      <c r="M198" s="377"/>
      <c r="N198" s="377"/>
      <c r="O198" s="377"/>
      <c r="P198" s="377"/>
      <c r="Q198" s="377"/>
      <c r="R198" s="377"/>
      <c r="S198" s="377"/>
      <c r="T198" s="377"/>
      <c r="U198" s="377"/>
      <c r="V198" s="377"/>
      <c r="W198" s="377"/>
      <c r="X198" s="574"/>
      <c r="Y198" s="377"/>
      <c r="Z198" s="377"/>
      <c r="AA198" s="377"/>
      <c r="AB198" s="377"/>
      <c r="AC198" s="377"/>
      <c r="AD198" s="377"/>
      <c r="AE198" s="377"/>
      <c r="AF198" s="377"/>
      <c r="AG198" s="377"/>
      <c r="AH198" s="377"/>
      <c r="AI198" s="377"/>
      <c r="AJ198" s="377"/>
      <c r="AK198" s="377"/>
      <c r="AL198" s="574"/>
      <c r="AM198" s="377"/>
      <c r="AN198" s="377"/>
      <c r="AO198" s="377"/>
      <c r="AP198" s="377"/>
      <c r="AQ198" s="377"/>
      <c r="AR198" s="377"/>
      <c r="AS198" s="377"/>
      <c r="AT198" s="377"/>
      <c r="AU198" s="377"/>
      <c r="AV198" s="377"/>
      <c r="AW198" s="575"/>
      <c r="AX198" s="377"/>
      <c r="AY198" s="377"/>
      <c r="AZ198" s="377"/>
      <c r="BA198" s="377"/>
      <c r="BB198" s="377"/>
      <c r="BC198" s="377"/>
      <c r="BD198" s="377"/>
      <c r="BE198" s="377"/>
      <c r="BF198" s="377"/>
      <c r="BG198" s="377"/>
      <c r="BH198" s="377"/>
      <c r="BI198" s="377"/>
      <c r="BJ198" s="377"/>
      <c r="BK198" s="377"/>
      <c r="BL198" s="377"/>
      <c r="BM198" s="377"/>
      <c r="BN198" s="576"/>
      <c r="BO198" s="377"/>
      <c r="BP198" s="377"/>
      <c r="BQ198" s="377"/>
      <c r="BR198" s="377"/>
      <c r="BS198" s="377"/>
      <c r="BT198" s="377"/>
      <c r="BU198" s="377"/>
      <c r="BV198" s="377"/>
      <c r="BW198" s="377"/>
      <c r="BX198" s="377"/>
      <c r="BY198" s="377"/>
      <c r="BZ198" s="377"/>
      <c r="CA198" s="377"/>
      <c r="CB198" s="377"/>
      <c r="CC198" s="377"/>
      <c r="CD198" s="377"/>
      <c r="CE198" s="377"/>
      <c r="CF198" s="377"/>
      <c r="CG198" s="377"/>
      <c r="CH198" s="377"/>
      <c r="CI198" s="377"/>
    </row>
    <row r="199" spans="1:87" ht="15">
      <c r="A199" s="377"/>
      <c r="B199" s="377"/>
      <c r="C199" s="572"/>
      <c r="D199" s="377"/>
      <c r="E199" s="377"/>
      <c r="F199" s="377"/>
      <c r="G199" s="377"/>
      <c r="H199" s="573"/>
      <c r="I199" s="377"/>
      <c r="J199" s="377"/>
      <c r="K199" s="377"/>
      <c r="L199" s="377"/>
      <c r="M199" s="377"/>
      <c r="N199" s="377"/>
      <c r="O199" s="377"/>
      <c r="P199" s="377"/>
      <c r="Q199" s="377"/>
      <c r="R199" s="377"/>
      <c r="S199" s="377"/>
      <c r="T199" s="377"/>
      <c r="U199" s="377"/>
      <c r="V199" s="377"/>
      <c r="W199" s="377"/>
      <c r="X199" s="574"/>
      <c r="Y199" s="377"/>
      <c r="Z199" s="377"/>
      <c r="AA199" s="377"/>
      <c r="AB199" s="377"/>
      <c r="AC199" s="377"/>
      <c r="AD199" s="377"/>
      <c r="AE199" s="377"/>
      <c r="AF199" s="377"/>
      <c r="AG199" s="377"/>
      <c r="AH199" s="377"/>
      <c r="AI199" s="377"/>
      <c r="AJ199" s="377"/>
      <c r="AK199" s="377"/>
      <c r="AL199" s="574"/>
      <c r="AM199" s="377"/>
      <c r="AN199" s="377"/>
      <c r="AO199" s="377"/>
      <c r="AP199" s="377"/>
      <c r="AQ199" s="377"/>
      <c r="AR199" s="377"/>
      <c r="AS199" s="377"/>
      <c r="AT199" s="377"/>
      <c r="AU199" s="377"/>
      <c r="AV199" s="377"/>
      <c r="AW199" s="575"/>
      <c r="AX199" s="377"/>
      <c r="AY199" s="377"/>
      <c r="AZ199" s="377"/>
      <c r="BA199" s="377"/>
      <c r="BB199" s="377"/>
      <c r="BC199" s="377"/>
      <c r="BD199" s="377"/>
      <c r="BE199" s="377"/>
      <c r="BF199" s="377"/>
      <c r="BG199" s="377"/>
      <c r="BH199" s="377"/>
      <c r="BI199" s="377"/>
      <c r="BJ199" s="377"/>
      <c r="BK199" s="377"/>
      <c r="BL199" s="377"/>
      <c r="BM199" s="377"/>
      <c r="BN199" s="576"/>
      <c r="BO199" s="377"/>
      <c r="BP199" s="377"/>
      <c r="BQ199" s="377"/>
      <c r="BR199" s="377"/>
      <c r="BS199" s="377"/>
      <c r="BT199" s="377"/>
      <c r="BU199" s="377"/>
      <c r="BV199" s="377"/>
      <c r="BW199" s="377"/>
      <c r="BX199" s="377"/>
      <c r="BY199" s="377"/>
      <c r="BZ199" s="377"/>
      <c r="CA199" s="377"/>
      <c r="CB199" s="377"/>
      <c r="CC199" s="377"/>
      <c r="CD199" s="377"/>
      <c r="CE199" s="377"/>
      <c r="CF199" s="377"/>
      <c r="CG199" s="377"/>
      <c r="CH199" s="377"/>
      <c r="CI199" s="377"/>
    </row>
    <row r="200" spans="1:87" ht="15">
      <c r="A200" s="377"/>
      <c r="B200" s="377"/>
      <c r="C200" s="572"/>
      <c r="D200" s="377"/>
      <c r="E200" s="377"/>
      <c r="F200" s="377"/>
      <c r="G200" s="377"/>
      <c r="H200" s="573"/>
      <c r="I200" s="377"/>
      <c r="J200" s="377"/>
      <c r="K200" s="377"/>
      <c r="L200" s="377"/>
      <c r="M200" s="377"/>
      <c r="N200" s="377"/>
      <c r="O200" s="377"/>
      <c r="P200" s="377"/>
      <c r="Q200" s="377"/>
      <c r="R200" s="377"/>
      <c r="S200" s="377"/>
      <c r="T200" s="377"/>
      <c r="U200" s="377"/>
      <c r="V200" s="377"/>
      <c r="W200" s="377"/>
      <c r="X200" s="574"/>
      <c r="Y200" s="377"/>
      <c r="Z200" s="377"/>
      <c r="AA200" s="377"/>
      <c r="AB200" s="377"/>
      <c r="AC200" s="377"/>
      <c r="AD200" s="377"/>
      <c r="AE200" s="377"/>
      <c r="AF200" s="377"/>
      <c r="AG200" s="377"/>
      <c r="AH200" s="377"/>
      <c r="AI200" s="377"/>
      <c r="AJ200" s="377"/>
      <c r="AK200" s="377"/>
      <c r="AL200" s="574"/>
      <c r="AM200" s="377"/>
      <c r="AN200" s="377"/>
      <c r="AO200" s="377"/>
      <c r="AP200" s="377"/>
      <c r="AQ200" s="377"/>
      <c r="AR200" s="377"/>
      <c r="AS200" s="377"/>
      <c r="AT200" s="377"/>
      <c r="AU200" s="377"/>
      <c r="AV200" s="377"/>
      <c r="AW200" s="575"/>
      <c r="AX200" s="377"/>
      <c r="AY200" s="377"/>
      <c r="AZ200" s="377"/>
      <c r="BA200" s="377"/>
      <c r="BB200" s="377"/>
      <c r="BC200" s="377"/>
      <c r="BD200" s="377"/>
      <c r="BE200" s="377"/>
      <c r="BF200" s="377"/>
      <c r="BG200" s="377"/>
      <c r="BH200" s="377"/>
      <c r="BI200" s="377"/>
      <c r="BJ200" s="377"/>
      <c r="BK200" s="377"/>
      <c r="BL200" s="377"/>
      <c r="BM200" s="377"/>
      <c r="BN200" s="576"/>
      <c r="BO200" s="377"/>
      <c r="BP200" s="377"/>
      <c r="BQ200" s="377"/>
      <c r="BR200" s="377"/>
      <c r="BS200" s="377"/>
      <c r="BT200" s="377"/>
      <c r="BU200" s="377"/>
      <c r="BV200" s="377"/>
      <c r="BW200" s="377"/>
      <c r="BX200" s="377"/>
      <c r="BY200" s="377"/>
      <c r="BZ200" s="377"/>
      <c r="CA200" s="377"/>
      <c r="CB200" s="377"/>
      <c r="CC200" s="377"/>
      <c r="CD200" s="377"/>
      <c r="CE200" s="377"/>
      <c r="CF200" s="377"/>
      <c r="CG200" s="377"/>
      <c r="CH200" s="377"/>
      <c r="CI200" s="377"/>
    </row>
    <row r="201" spans="1:87" ht="15">
      <c r="A201" s="377"/>
      <c r="B201" s="377"/>
      <c r="C201" s="572"/>
      <c r="D201" s="377"/>
      <c r="E201" s="377"/>
      <c r="F201" s="377"/>
      <c r="G201" s="377"/>
      <c r="H201" s="573"/>
      <c r="I201" s="377"/>
      <c r="J201" s="377"/>
      <c r="K201" s="377"/>
      <c r="L201" s="377"/>
      <c r="M201" s="377"/>
      <c r="N201" s="377"/>
      <c r="O201" s="377"/>
      <c r="P201" s="377"/>
      <c r="Q201" s="377"/>
      <c r="R201" s="377"/>
      <c r="S201" s="377"/>
      <c r="T201" s="377"/>
      <c r="U201" s="377"/>
      <c r="V201" s="377"/>
      <c r="W201" s="377"/>
      <c r="X201" s="574"/>
      <c r="Y201" s="377"/>
      <c r="Z201" s="377"/>
      <c r="AA201" s="377"/>
      <c r="AB201" s="377"/>
      <c r="AC201" s="377"/>
      <c r="AD201" s="377"/>
      <c r="AE201" s="377"/>
      <c r="AF201" s="377"/>
      <c r="AG201" s="377"/>
      <c r="AH201" s="377"/>
      <c r="AI201" s="377"/>
      <c r="AJ201" s="377"/>
      <c r="AK201" s="377"/>
      <c r="AL201" s="574"/>
      <c r="AM201" s="377"/>
      <c r="AN201" s="377"/>
      <c r="AO201" s="377"/>
      <c r="AP201" s="377"/>
      <c r="AQ201" s="377"/>
      <c r="AR201" s="377"/>
      <c r="AS201" s="377"/>
      <c r="AT201" s="377"/>
      <c r="AU201" s="377"/>
      <c r="AV201" s="377"/>
      <c r="AW201" s="575"/>
      <c r="AX201" s="377"/>
      <c r="AY201" s="377"/>
      <c r="AZ201" s="377"/>
      <c r="BA201" s="377"/>
      <c r="BB201" s="377"/>
      <c r="BC201" s="377"/>
      <c r="BD201" s="377"/>
      <c r="BE201" s="377"/>
      <c r="BF201" s="377"/>
      <c r="BG201" s="377"/>
      <c r="BH201" s="377"/>
      <c r="BI201" s="377"/>
      <c r="BJ201" s="377"/>
      <c r="BK201" s="377"/>
      <c r="BL201" s="377"/>
      <c r="BM201" s="377"/>
      <c r="BN201" s="576"/>
      <c r="BO201" s="377"/>
      <c r="BP201" s="377"/>
      <c r="BQ201" s="377"/>
      <c r="BR201" s="377"/>
      <c r="BS201" s="377"/>
      <c r="BT201" s="377"/>
      <c r="BU201" s="377"/>
      <c r="BV201" s="377"/>
      <c r="BW201" s="377"/>
      <c r="BX201" s="377"/>
      <c r="BY201" s="377"/>
      <c r="BZ201" s="377"/>
      <c r="CA201" s="377"/>
      <c r="CB201" s="377"/>
      <c r="CC201" s="377"/>
      <c r="CD201" s="377"/>
      <c r="CE201" s="377"/>
      <c r="CF201" s="377"/>
      <c r="CG201" s="377"/>
      <c r="CH201" s="377"/>
      <c r="CI201" s="377"/>
    </row>
    <row r="202" spans="1:87" ht="15">
      <c r="A202" s="377"/>
      <c r="B202" s="377"/>
      <c r="C202" s="572"/>
      <c r="D202" s="377"/>
      <c r="E202" s="377"/>
      <c r="F202" s="377"/>
      <c r="G202" s="377"/>
      <c r="H202" s="573"/>
      <c r="I202" s="377"/>
      <c r="J202" s="377"/>
      <c r="K202" s="377"/>
      <c r="L202" s="377"/>
      <c r="M202" s="377"/>
      <c r="N202" s="377"/>
      <c r="O202" s="377"/>
      <c r="P202" s="377"/>
      <c r="Q202" s="377"/>
      <c r="R202" s="377"/>
      <c r="S202" s="377"/>
      <c r="T202" s="377"/>
      <c r="U202" s="377"/>
      <c r="V202" s="377"/>
      <c r="W202" s="377"/>
      <c r="X202" s="574"/>
      <c r="Y202" s="377"/>
      <c r="Z202" s="377"/>
      <c r="AA202" s="377"/>
      <c r="AB202" s="377"/>
      <c r="AC202" s="377"/>
      <c r="AD202" s="377"/>
      <c r="AE202" s="377"/>
      <c r="AF202" s="377"/>
      <c r="AG202" s="377"/>
      <c r="AH202" s="377"/>
      <c r="AI202" s="377"/>
      <c r="AJ202" s="377"/>
      <c r="AK202" s="377"/>
      <c r="AL202" s="574"/>
      <c r="AM202" s="377"/>
      <c r="AN202" s="377"/>
      <c r="AO202" s="377"/>
      <c r="AP202" s="377"/>
      <c r="AQ202" s="377"/>
      <c r="AR202" s="377"/>
      <c r="AS202" s="377"/>
      <c r="AT202" s="377"/>
      <c r="AU202" s="377"/>
      <c r="AV202" s="377"/>
      <c r="AW202" s="575"/>
      <c r="AX202" s="377"/>
      <c r="AY202" s="377"/>
      <c r="AZ202" s="377"/>
      <c r="BA202" s="377"/>
      <c r="BB202" s="377"/>
      <c r="BC202" s="377"/>
      <c r="BD202" s="377"/>
      <c r="BE202" s="377"/>
      <c r="BF202" s="377"/>
      <c r="BG202" s="377"/>
      <c r="BH202" s="377"/>
      <c r="BI202" s="377"/>
      <c r="BJ202" s="377"/>
      <c r="BK202" s="377"/>
      <c r="BL202" s="377"/>
      <c r="BM202" s="377"/>
      <c r="BN202" s="576"/>
      <c r="BO202" s="377"/>
      <c r="BP202" s="377"/>
      <c r="BQ202" s="377"/>
      <c r="BR202" s="377"/>
      <c r="BS202" s="377"/>
      <c r="BT202" s="377"/>
      <c r="BU202" s="377"/>
      <c r="BV202" s="377"/>
      <c r="BW202" s="377"/>
      <c r="BX202" s="377"/>
      <c r="BY202" s="377"/>
      <c r="BZ202" s="377"/>
      <c r="CA202" s="377"/>
      <c r="CB202" s="377"/>
      <c r="CC202" s="377"/>
      <c r="CD202" s="377"/>
      <c r="CE202" s="377"/>
      <c r="CF202" s="377"/>
      <c r="CG202" s="377"/>
      <c r="CH202" s="377"/>
      <c r="CI202" s="377"/>
    </row>
    <row r="203" spans="1:87" ht="15">
      <c r="A203" s="377"/>
      <c r="B203" s="377"/>
      <c r="C203" s="572"/>
      <c r="D203" s="377"/>
      <c r="E203" s="377"/>
      <c r="F203" s="377"/>
      <c r="G203" s="377"/>
      <c r="H203" s="573"/>
      <c r="I203" s="377"/>
      <c r="J203" s="377"/>
      <c r="K203" s="377"/>
      <c r="L203" s="377"/>
      <c r="M203" s="377"/>
      <c r="N203" s="377"/>
      <c r="O203" s="377"/>
      <c r="P203" s="377"/>
      <c r="Q203" s="377"/>
      <c r="R203" s="377"/>
      <c r="S203" s="377"/>
      <c r="T203" s="377"/>
      <c r="U203" s="377"/>
      <c r="V203" s="377"/>
      <c r="W203" s="377"/>
      <c r="X203" s="574"/>
      <c r="Y203" s="377"/>
      <c r="Z203" s="377"/>
      <c r="AA203" s="377"/>
      <c r="AB203" s="377"/>
      <c r="AC203" s="377"/>
      <c r="AD203" s="377"/>
      <c r="AE203" s="377"/>
      <c r="AF203" s="377"/>
      <c r="AG203" s="377"/>
      <c r="AH203" s="377"/>
      <c r="AI203" s="377"/>
      <c r="AJ203" s="377"/>
      <c r="AK203" s="377"/>
      <c r="AL203" s="574"/>
      <c r="AM203" s="377"/>
      <c r="AN203" s="377"/>
      <c r="AO203" s="377"/>
      <c r="AP203" s="377"/>
      <c r="AQ203" s="377"/>
      <c r="AR203" s="377"/>
      <c r="AS203" s="377"/>
      <c r="AT203" s="377"/>
      <c r="AU203" s="377"/>
      <c r="AV203" s="377"/>
      <c r="AW203" s="575"/>
      <c r="AX203" s="377"/>
      <c r="AY203" s="377"/>
      <c r="AZ203" s="377"/>
      <c r="BA203" s="377"/>
      <c r="BB203" s="377"/>
      <c r="BC203" s="377"/>
      <c r="BD203" s="377"/>
      <c r="BE203" s="377"/>
      <c r="BF203" s="377"/>
      <c r="BG203" s="377"/>
      <c r="BH203" s="377"/>
      <c r="BI203" s="377"/>
      <c r="BJ203" s="377"/>
      <c r="BK203" s="377"/>
      <c r="BL203" s="377"/>
      <c r="BM203" s="377"/>
      <c r="BN203" s="576"/>
      <c r="BO203" s="377"/>
      <c r="BP203" s="377"/>
      <c r="BQ203" s="377"/>
      <c r="BR203" s="377"/>
      <c r="BS203" s="377"/>
      <c r="BT203" s="377"/>
      <c r="BU203" s="377"/>
      <c r="BV203" s="377"/>
      <c r="BW203" s="377"/>
      <c r="BX203" s="377"/>
      <c r="BY203" s="377"/>
      <c r="BZ203" s="377"/>
      <c r="CA203" s="377"/>
      <c r="CB203" s="377"/>
      <c r="CC203" s="377"/>
      <c r="CD203" s="377"/>
      <c r="CE203" s="377"/>
      <c r="CF203" s="377"/>
      <c r="CG203" s="377"/>
      <c r="CH203" s="377"/>
      <c r="CI203" s="377"/>
    </row>
    <row r="204" spans="1:87" ht="15">
      <c r="A204" s="377"/>
      <c r="B204" s="377"/>
      <c r="C204" s="572"/>
      <c r="D204" s="377"/>
      <c r="E204" s="377"/>
      <c r="F204" s="377"/>
      <c r="G204" s="377"/>
      <c r="H204" s="573"/>
      <c r="I204" s="377"/>
      <c r="J204" s="377"/>
      <c r="K204" s="377"/>
      <c r="L204" s="377"/>
      <c r="M204" s="377"/>
      <c r="N204" s="377"/>
      <c r="O204" s="377"/>
      <c r="P204" s="377"/>
      <c r="Q204" s="377"/>
      <c r="R204" s="377"/>
      <c r="S204" s="377"/>
      <c r="T204" s="377"/>
      <c r="U204" s="377"/>
      <c r="V204" s="377"/>
      <c r="W204" s="377"/>
      <c r="X204" s="574"/>
      <c r="Y204" s="377"/>
      <c r="Z204" s="377"/>
      <c r="AA204" s="377"/>
      <c r="AB204" s="377"/>
      <c r="AC204" s="377"/>
      <c r="AD204" s="377"/>
      <c r="AE204" s="377"/>
      <c r="AF204" s="377"/>
      <c r="AG204" s="377"/>
      <c r="AH204" s="377"/>
      <c r="AI204" s="377"/>
      <c r="AJ204" s="377"/>
      <c r="AK204" s="377"/>
      <c r="AL204" s="574"/>
      <c r="AM204" s="377"/>
      <c r="AN204" s="377"/>
      <c r="AO204" s="377"/>
      <c r="AP204" s="377"/>
      <c r="AQ204" s="377"/>
      <c r="AR204" s="377"/>
      <c r="AS204" s="377"/>
      <c r="AT204" s="377"/>
      <c r="AU204" s="377"/>
      <c r="AV204" s="377"/>
      <c r="AW204" s="575"/>
      <c r="AX204" s="377"/>
      <c r="AY204" s="377"/>
      <c r="AZ204" s="377"/>
      <c r="BA204" s="377"/>
      <c r="BB204" s="377"/>
      <c r="BC204" s="377"/>
      <c r="BD204" s="377"/>
      <c r="BE204" s="377"/>
      <c r="BF204" s="377"/>
      <c r="BG204" s="377"/>
      <c r="BH204" s="377"/>
      <c r="BI204" s="377"/>
      <c r="BJ204" s="377"/>
      <c r="BK204" s="377"/>
      <c r="BL204" s="377"/>
      <c r="BM204" s="377"/>
      <c r="BN204" s="576"/>
      <c r="BO204" s="377"/>
      <c r="BP204" s="377"/>
      <c r="BQ204" s="377"/>
      <c r="BR204" s="377"/>
      <c r="BS204" s="377"/>
      <c r="BT204" s="377"/>
      <c r="BU204" s="377"/>
      <c r="BV204" s="377"/>
      <c r="BW204" s="377"/>
      <c r="BX204" s="377"/>
      <c r="BY204" s="377"/>
      <c r="BZ204" s="377"/>
      <c r="CA204" s="377"/>
      <c r="CB204" s="377"/>
      <c r="CC204" s="377"/>
      <c r="CD204" s="377"/>
      <c r="CE204" s="377"/>
      <c r="CF204" s="377"/>
      <c r="CG204" s="377"/>
      <c r="CH204" s="377"/>
      <c r="CI204" s="377"/>
    </row>
    <row r="205" spans="1:87" ht="15">
      <c r="A205" s="377"/>
      <c r="B205" s="377"/>
      <c r="C205" s="572"/>
      <c r="D205" s="377"/>
      <c r="E205" s="377"/>
      <c r="F205" s="377"/>
      <c r="G205" s="377"/>
      <c r="H205" s="573"/>
      <c r="I205" s="377"/>
      <c r="J205" s="377"/>
      <c r="K205" s="377"/>
      <c r="L205" s="377"/>
      <c r="M205" s="377"/>
      <c r="N205" s="377"/>
      <c r="O205" s="377"/>
      <c r="P205" s="377"/>
      <c r="Q205" s="377"/>
      <c r="R205" s="377"/>
      <c r="S205" s="377"/>
      <c r="T205" s="377"/>
      <c r="U205" s="377"/>
      <c r="V205" s="377"/>
      <c r="W205" s="377"/>
      <c r="X205" s="574"/>
      <c r="Y205" s="377"/>
      <c r="Z205" s="377"/>
      <c r="AA205" s="377"/>
      <c r="AB205" s="377"/>
      <c r="AC205" s="377"/>
      <c r="AD205" s="377"/>
      <c r="AE205" s="377"/>
      <c r="AF205" s="377"/>
      <c r="AG205" s="377"/>
      <c r="AH205" s="377"/>
      <c r="AI205" s="377"/>
      <c r="AJ205" s="377"/>
      <c r="AK205" s="377"/>
      <c r="AL205" s="574"/>
      <c r="AM205" s="377"/>
      <c r="AN205" s="377"/>
      <c r="AO205" s="377"/>
      <c r="AP205" s="377"/>
      <c r="AQ205" s="377"/>
      <c r="AR205" s="377"/>
      <c r="AS205" s="377"/>
      <c r="AT205" s="377"/>
      <c r="AU205" s="377"/>
      <c r="AV205" s="377"/>
      <c r="AW205" s="575"/>
      <c r="AX205" s="377"/>
      <c r="AY205" s="377"/>
      <c r="AZ205" s="377"/>
      <c r="BA205" s="377"/>
      <c r="BB205" s="377"/>
      <c r="BC205" s="377"/>
      <c r="BD205" s="377"/>
      <c r="BE205" s="377"/>
      <c r="BF205" s="377"/>
      <c r="BG205" s="377"/>
      <c r="BH205" s="377"/>
      <c r="BI205" s="377"/>
      <c r="BJ205" s="377"/>
      <c r="BK205" s="377"/>
      <c r="BL205" s="377"/>
      <c r="BM205" s="377"/>
      <c r="BN205" s="576"/>
      <c r="BO205" s="377"/>
      <c r="BP205" s="377"/>
      <c r="BQ205" s="377"/>
      <c r="BR205" s="377"/>
      <c r="BS205" s="377"/>
      <c r="BT205" s="377"/>
      <c r="BU205" s="377"/>
      <c r="BV205" s="377"/>
      <c r="BW205" s="377"/>
      <c r="BX205" s="377"/>
      <c r="BY205" s="377"/>
      <c r="BZ205" s="377"/>
      <c r="CA205" s="377"/>
      <c r="CB205" s="377"/>
      <c r="CC205" s="377"/>
      <c r="CD205" s="377"/>
      <c r="CE205" s="377"/>
      <c r="CF205" s="377"/>
      <c r="CG205" s="377"/>
      <c r="CH205" s="377"/>
      <c r="CI205" s="377"/>
    </row>
    <row r="206" spans="1:87" ht="15">
      <c r="A206" s="377"/>
      <c r="B206" s="377"/>
      <c r="C206" s="572"/>
      <c r="D206" s="377"/>
      <c r="E206" s="377"/>
      <c r="F206" s="377"/>
      <c r="G206" s="377"/>
      <c r="H206" s="573"/>
      <c r="I206" s="377"/>
      <c r="J206" s="377"/>
      <c r="K206" s="377"/>
      <c r="L206" s="377"/>
      <c r="M206" s="377"/>
      <c r="N206" s="377"/>
      <c r="O206" s="377"/>
      <c r="P206" s="377"/>
      <c r="Q206" s="377"/>
      <c r="R206" s="377"/>
      <c r="S206" s="377"/>
      <c r="T206" s="377"/>
      <c r="U206" s="377"/>
      <c r="V206" s="377"/>
      <c r="W206" s="377"/>
      <c r="X206" s="574"/>
      <c r="Y206" s="377"/>
      <c r="Z206" s="377"/>
      <c r="AA206" s="377"/>
      <c r="AB206" s="377"/>
      <c r="AC206" s="377"/>
      <c r="AD206" s="377"/>
      <c r="AE206" s="377"/>
      <c r="AF206" s="377"/>
      <c r="AG206" s="377"/>
      <c r="AH206" s="377"/>
      <c r="AI206" s="377"/>
      <c r="AJ206" s="377"/>
      <c r="AK206" s="377"/>
      <c r="AL206" s="574"/>
      <c r="AM206" s="377"/>
      <c r="AN206" s="377"/>
      <c r="AO206" s="377"/>
      <c r="AP206" s="377"/>
      <c r="AQ206" s="377"/>
      <c r="AR206" s="377"/>
      <c r="AS206" s="377"/>
      <c r="AT206" s="377"/>
      <c r="AU206" s="377"/>
      <c r="AV206" s="377"/>
      <c r="AW206" s="575"/>
      <c r="AX206" s="377"/>
      <c r="AY206" s="377"/>
      <c r="AZ206" s="377"/>
      <c r="BA206" s="377"/>
      <c r="BB206" s="377"/>
      <c r="BC206" s="377"/>
      <c r="BD206" s="377"/>
      <c r="BE206" s="377"/>
      <c r="BF206" s="377"/>
      <c r="BG206" s="377"/>
      <c r="BH206" s="377"/>
      <c r="BI206" s="377"/>
      <c r="BJ206" s="377"/>
      <c r="BK206" s="377"/>
      <c r="BL206" s="377"/>
      <c r="BM206" s="377"/>
      <c r="BN206" s="576"/>
      <c r="BO206" s="377"/>
      <c r="BP206" s="377"/>
      <c r="BQ206" s="377"/>
      <c r="BR206" s="377"/>
      <c r="BS206" s="377"/>
      <c r="BT206" s="377"/>
      <c r="BU206" s="377"/>
      <c r="BV206" s="377"/>
      <c r="BW206" s="377"/>
      <c r="BX206" s="377"/>
      <c r="BY206" s="377"/>
      <c r="BZ206" s="377"/>
      <c r="CA206" s="377"/>
      <c r="CB206" s="377"/>
      <c r="CC206" s="377"/>
      <c r="CD206" s="377"/>
      <c r="CE206" s="377"/>
      <c r="CF206" s="377"/>
      <c r="CG206" s="377"/>
      <c r="CH206" s="377"/>
      <c r="CI206" s="377"/>
    </row>
    <row r="207" spans="1:87" ht="15">
      <c r="A207" s="377"/>
      <c r="B207" s="377"/>
      <c r="C207" s="572"/>
      <c r="D207" s="377"/>
      <c r="E207" s="377"/>
      <c r="F207" s="377"/>
      <c r="G207" s="377"/>
      <c r="H207" s="573"/>
      <c r="I207" s="377"/>
      <c r="J207" s="377"/>
      <c r="K207" s="377"/>
      <c r="L207" s="377"/>
      <c r="M207" s="377"/>
      <c r="N207" s="377"/>
      <c r="O207" s="377"/>
      <c r="P207" s="377"/>
      <c r="Q207" s="377"/>
      <c r="R207" s="377"/>
      <c r="S207" s="377"/>
      <c r="T207" s="377"/>
      <c r="U207" s="377"/>
      <c r="V207" s="377"/>
      <c r="W207" s="377"/>
      <c r="X207" s="574"/>
      <c r="Y207" s="377"/>
      <c r="Z207" s="377"/>
      <c r="AA207" s="377"/>
      <c r="AB207" s="377"/>
      <c r="AC207" s="377"/>
      <c r="AD207" s="377"/>
      <c r="AE207" s="377"/>
      <c r="AF207" s="377"/>
      <c r="AG207" s="377"/>
      <c r="AH207" s="377"/>
      <c r="AI207" s="377"/>
      <c r="AJ207" s="377"/>
      <c r="AK207" s="377"/>
      <c r="AL207" s="574"/>
      <c r="AM207" s="377"/>
      <c r="AN207" s="377"/>
      <c r="AO207" s="377"/>
      <c r="AP207" s="377"/>
      <c r="AQ207" s="377"/>
      <c r="AR207" s="377"/>
      <c r="AS207" s="377"/>
      <c r="AT207" s="377"/>
      <c r="AU207" s="377"/>
      <c r="AV207" s="377"/>
      <c r="AW207" s="575"/>
      <c r="AX207" s="377"/>
      <c r="AY207" s="377"/>
      <c r="AZ207" s="377"/>
      <c r="BA207" s="377"/>
      <c r="BB207" s="377"/>
      <c r="BC207" s="377"/>
      <c r="BD207" s="377"/>
      <c r="BE207" s="377"/>
      <c r="BF207" s="377"/>
      <c r="BG207" s="377"/>
      <c r="BH207" s="377"/>
      <c r="BI207" s="377"/>
      <c r="BJ207" s="377"/>
      <c r="BK207" s="377"/>
      <c r="BL207" s="377"/>
      <c r="BM207" s="377"/>
      <c r="BN207" s="576"/>
      <c r="BO207" s="377"/>
      <c r="BP207" s="377"/>
      <c r="BQ207" s="377"/>
      <c r="BR207" s="377"/>
      <c r="BS207" s="377"/>
      <c r="BT207" s="377"/>
      <c r="BU207" s="377"/>
      <c r="BV207" s="377"/>
      <c r="BW207" s="377"/>
      <c r="BX207" s="377"/>
      <c r="BY207" s="377"/>
      <c r="BZ207" s="377"/>
      <c r="CA207" s="377"/>
      <c r="CB207" s="377"/>
      <c r="CC207" s="377"/>
      <c r="CD207" s="377"/>
      <c r="CE207" s="377"/>
      <c r="CF207" s="377"/>
      <c r="CG207" s="377"/>
      <c r="CH207" s="377"/>
      <c r="CI207" s="377"/>
    </row>
    <row r="208" spans="1:87" ht="15">
      <c r="A208" s="377"/>
      <c r="B208" s="377"/>
      <c r="C208" s="572"/>
      <c r="D208" s="377"/>
      <c r="E208" s="377"/>
      <c r="F208" s="377"/>
      <c r="G208" s="377"/>
      <c r="H208" s="573"/>
      <c r="I208" s="377"/>
      <c r="J208" s="377"/>
      <c r="K208" s="377"/>
      <c r="L208" s="377"/>
      <c r="M208" s="377"/>
      <c r="N208" s="377"/>
      <c r="O208" s="377"/>
      <c r="P208" s="377"/>
      <c r="Q208" s="377"/>
      <c r="R208" s="377"/>
      <c r="S208" s="377"/>
      <c r="T208" s="377"/>
      <c r="U208" s="377"/>
      <c r="V208" s="377"/>
      <c r="W208" s="377"/>
      <c r="X208" s="574"/>
      <c r="Y208" s="377"/>
      <c r="Z208" s="377"/>
      <c r="AA208" s="377"/>
      <c r="AB208" s="377"/>
      <c r="AC208" s="377"/>
      <c r="AD208" s="377"/>
      <c r="AE208" s="377"/>
      <c r="AF208" s="377"/>
      <c r="AG208" s="377"/>
      <c r="AH208" s="377"/>
      <c r="AI208" s="377"/>
      <c r="AJ208" s="377"/>
      <c r="AK208" s="377"/>
      <c r="AL208" s="574"/>
      <c r="AM208" s="377"/>
      <c r="AN208" s="377"/>
      <c r="AO208" s="377"/>
      <c r="AP208" s="377"/>
      <c r="AQ208" s="377"/>
      <c r="AR208" s="377"/>
      <c r="AS208" s="377"/>
      <c r="AT208" s="377"/>
      <c r="AU208" s="377"/>
      <c r="AV208" s="377"/>
      <c r="AW208" s="575"/>
      <c r="AX208" s="377"/>
      <c r="AY208" s="377"/>
      <c r="AZ208" s="377"/>
      <c r="BA208" s="377"/>
      <c r="BB208" s="377"/>
      <c r="BC208" s="377"/>
      <c r="BD208" s="377"/>
      <c r="BE208" s="377"/>
      <c r="BF208" s="377"/>
      <c r="BG208" s="377"/>
      <c r="BH208" s="377"/>
      <c r="BI208" s="377"/>
      <c r="BJ208" s="377"/>
      <c r="BK208" s="377"/>
      <c r="BL208" s="377"/>
      <c r="BM208" s="377"/>
      <c r="BN208" s="576"/>
      <c r="BO208" s="377"/>
      <c r="BP208" s="377"/>
      <c r="BQ208" s="377"/>
      <c r="BR208" s="377"/>
      <c r="BS208" s="377"/>
      <c r="BT208" s="377"/>
      <c r="BU208" s="377"/>
      <c r="BV208" s="377"/>
      <c r="BW208" s="377"/>
      <c r="BX208" s="377"/>
      <c r="BY208" s="377"/>
      <c r="BZ208" s="377"/>
      <c r="CA208" s="377"/>
      <c r="CB208" s="377"/>
      <c r="CC208" s="377"/>
      <c r="CD208" s="377"/>
      <c r="CE208" s="377"/>
      <c r="CF208" s="377"/>
      <c r="CG208" s="377"/>
      <c r="CH208" s="377"/>
      <c r="CI208" s="377"/>
    </row>
    <row r="209" spans="1:87" ht="15">
      <c r="A209" s="377"/>
      <c r="B209" s="377"/>
      <c r="C209" s="572"/>
      <c r="D209" s="377"/>
      <c r="E209" s="377"/>
      <c r="F209" s="377"/>
      <c r="G209" s="377"/>
      <c r="H209" s="573"/>
      <c r="I209" s="377"/>
      <c r="J209" s="377"/>
      <c r="K209" s="377"/>
      <c r="L209" s="377"/>
      <c r="M209" s="377"/>
      <c r="N209" s="377"/>
      <c r="O209" s="377"/>
      <c r="P209" s="377"/>
      <c r="Q209" s="377"/>
      <c r="R209" s="377"/>
      <c r="S209" s="377"/>
      <c r="T209" s="377"/>
      <c r="U209" s="377"/>
      <c r="V209" s="377"/>
      <c r="W209" s="377"/>
      <c r="X209" s="574"/>
      <c r="Y209" s="377"/>
      <c r="Z209" s="377"/>
      <c r="AA209" s="377"/>
      <c r="AB209" s="377"/>
      <c r="AC209" s="377"/>
      <c r="AD209" s="377"/>
      <c r="AE209" s="377"/>
      <c r="AF209" s="377"/>
      <c r="AG209" s="377"/>
      <c r="AH209" s="377"/>
      <c r="AI209" s="377"/>
      <c r="AJ209" s="377"/>
      <c r="AK209" s="377"/>
      <c r="AL209" s="574"/>
      <c r="AM209" s="377"/>
      <c r="AN209" s="377"/>
      <c r="AO209" s="377"/>
      <c r="AP209" s="377"/>
      <c r="AQ209" s="377"/>
      <c r="AR209" s="377"/>
      <c r="AS209" s="377"/>
      <c r="AT209" s="377"/>
      <c r="AU209" s="377"/>
      <c r="AV209" s="377"/>
      <c r="AW209" s="575"/>
      <c r="AX209" s="377"/>
      <c r="AY209" s="377"/>
      <c r="AZ209" s="377"/>
      <c r="BA209" s="377"/>
      <c r="BB209" s="377"/>
      <c r="BC209" s="377"/>
      <c r="BD209" s="377"/>
      <c r="BE209" s="377"/>
      <c r="BF209" s="377"/>
      <c r="BG209" s="377"/>
      <c r="BH209" s="377"/>
      <c r="BI209" s="377"/>
      <c r="BJ209" s="377"/>
      <c r="BK209" s="377"/>
      <c r="BL209" s="377"/>
      <c r="BM209" s="377"/>
      <c r="BN209" s="576"/>
      <c r="BO209" s="377"/>
      <c r="BP209" s="377"/>
      <c r="BQ209" s="377"/>
      <c r="BR209" s="377"/>
      <c r="BS209" s="377"/>
      <c r="BT209" s="377"/>
      <c r="BU209" s="377"/>
      <c r="BV209" s="377"/>
      <c r="BW209" s="377"/>
      <c r="BX209" s="377"/>
      <c r="BY209" s="377"/>
      <c r="BZ209" s="377"/>
      <c r="CA209" s="377"/>
      <c r="CB209" s="377"/>
      <c r="CC209" s="377"/>
      <c r="CD209" s="377"/>
      <c r="CE209" s="377"/>
      <c r="CF209" s="377"/>
      <c r="CG209" s="377"/>
      <c r="CH209" s="377"/>
      <c r="CI209" s="377"/>
    </row>
    <row r="210" spans="1:87" ht="15">
      <c r="A210" s="377"/>
      <c r="B210" s="377"/>
      <c r="C210" s="572"/>
      <c r="D210" s="377"/>
      <c r="E210" s="377"/>
      <c r="F210" s="377"/>
      <c r="G210" s="377"/>
      <c r="H210" s="573"/>
      <c r="I210" s="377"/>
      <c r="J210" s="377"/>
      <c r="K210" s="377"/>
      <c r="L210" s="377"/>
      <c r="M210" s="377"/>
      <c r="N210" s="377"/>
      <c r="O210" s="377"/>
      <c r="P210" s="377"/>
      <c r="Q210" s="377"/>
      <c r="R210" s="377"/>
      <c r="S210" s="377"/>
      <c r="T210" s="377"/>
      <c r="U210" s="377"/>
      <c r="V210" s="377"/>
      <c r="W210" s="377"/>
      <c r="X210" s="574"/>
      <c r="Y210" s="377"/>
      <c r="Z210" s="377"/>
      <c r="AA210" s="377"/>
      <c r="AB210" s="377"/>
      <c r="AC210" s="377"/>
      <c r="AD210" s="377"/>
      <c r="AE210" s="377"/>
      <c r="AF210" s="377"/>
      <c r="AG210" s="377"/>
      <c r="AH210" s="377"/>
      <c r="AI210" s="377"/>
      <c r="AJ210" s="377"/>
      <c r="AK210" s="377"/>
      <c r="AL210" s="574"/>
      <c r="AM210" s="377"/>
      <c r="AN210" s="377"/>
      <c r="AO210" s="377"/>
      <c r="AP210" s="377"/>
      <c r="AQ210" s="377"/>
      <c r="AR210" s="377"/>
      <c r="AS210" s="377"/>
      <c r="AT210" s="377"/>
      <c r="AU210" s="377"/>
      <c r="AV210" s="377"/>
      <c r="AW210" s="575"/>
      <c r="AX210" s="377"/>
      <c r="AY210" s="377"/>
      <c r="AZ210" s="377"/>
      <c r="BA210" s="377"/>
      <c r="BB210" s="377"/>
      <c r="BC210" s="377"/>
      <c r="BD210" s="377"/>
      <c r="BE210" s="377"/>
      <c r="BF210" s="377"/>
      <c r="BG210" s="377"/>
      <c r="BH210" s="377"/>
      <c r="BI210" s="377"/>
      <c r="BJ210" s="377"/>
      <c r="BK210" s="377"/>
      <c r="BL210" s="377"/>
      <c r="BM210" s="377"/>
      <c r="BN210" s="576"/>
      <c r="BO210" s="377"/>
      <c r="BP210" s="377"/>
      <c r="BQ210" s="377"/>
      <c r="BR210" s="377"/>
      <c r="BS210" s="377"/>
      <c r="BT210" s="377"/>
      <c r="BU210" s="377"/>
      <c r="BV210" s="377"/>
      <c r="BW210" s="377"/>
      <c r="BX210" s="377"/>
      <c r="BY210" s="377"/>
      <c r="BZ210" s="377"/>
      <c r="CA210" s="377"/>
      <c r="CB210" s="377"/>
      <c r="CC210" s="377"/>
      <c r="CD210" s="377"/>
      <c r="CE210" s="377"/>
      <c r="CF210" s="377"/>
      <c r="CG210" s="377"/>
      <c r="CH210" s="377"/>
      <c r="CI210" s="377"/>
    </row>
    <row r="211" spans="1:87" ht="15">
      <c r="A211" s="377"/>
      <c r="B211" s="377"/>
      <c r="C211" s="572"/>
      <c r="D211" s="377"/>
      <c r="E211" s="377"/>
      <c r="F211" s="377"/>
      <c r="G211" s="377"/>
      <c r="H211" s="573"/>
      <c r="I211" s="377"/>
      <c r="J211" s="377"/>
      <c r="K211" s="377"/>
      <c r="L211" s="377"/>
      <c r="M211" s="377"/>
      <c r="N211" s="377"/>
      <c r="O211" s="377"/>
      <c r="P211" s="377"/>
      <c r="Q211" s="377"/>
      <c r="R211" s="377"/>
      <c r="S211" s="377"/>
      <c r="T211" s="377"/>
      <c r="U211" s="377"/>
      <c r="V211" s="377"/>
      <c r="W211" s="377"/>
      <c r="X211" s="574"/>
      <c r="Y211" s="377"/>
      <c r="Z211" s="377"/>
      <c r="AA211" s="377"/>
      <c r="AB211" s="377"/>
      <c r="AC211" s="377"/>
      <c r="AD211" s="377"/>
      <c r="AE211" s="377"/>
      <c r="AF211" s="377"/>
      <c r="AG211" s="377"/>
      <c r="AH211" s="377"/>
      <c r="AI211" s="377"/>
      <c r="AJ211" s="377"/>
      <c r="AK211" s="377"/>
      <c r="AL211" s="574"/>
      <c r="AM211" s="377"/>
      <c r="AN211" s="377"/>
      <c r="AO211" s="377"/>
      <c r="AP211" s="377"/>
      <c r="AQ211" s="377"/>
      <c r="AR211" s="377"/>
      <c r="AS211" s="377"/>
      <c r="AT211" s="377"/>
      <c r="AU211" s="377"/>
      <c r="AV211" s="377"/>
      <c r="AW211" s="575"/>
      <c r="AX211" s="377"/>
      <c r="AY211" s="377"/>
      <c r="AZ211" s="377"/>
      <c r="BA211" s="377"/>
      <c r="BB211" s="377"/>
      <c r="BC211" s="377"/>
      <c r="BD211" s="377"/>
      <c r="BE211" s="377"/>
      <c r="BF211" s="377"/>
      <c r="BG211" s="377"/>
      <c r="BH211" s="377"/>
      <c r="BI211" s="377"/>
      <c r="BJ211" s="377"/>
      <c r="BK211" s="377"/>
      <c r="BL211" s="377"/>
      <c r="BM211" s="377"/>
      <c r="BN211" s="576"/>
      <c r="BO211" s="377"/>
      <c r="BP211" s="377"/>
      <c r="BQ211" s="377"/>
      <c r="BR211" s="377"/>
      <c r="BS211" s="377"/>
      <c r="BT211" s="377"/>
      <c r="BU211" s="377"/>
      <c r="BV211" s="377"/>
      <c r="BW211" s="377"/>
      <c r="BX211" s="377"/>
      <c r="BY211" s="377"/>
      <c r="BZ211" s="377"/>
      <c r="CA211" s="377"/>
      <c r="CB211" s="377"/>
      <c r="CC211" s="377"/>
      <c r="CD211" s="377"/>
      <c r="CE211" s="377"/>
      <c r="CF211" s="377"/>
      <c r="CG211" s="377"/>
      <c r="CH211" s="377"/>
      <c r="CI211" s="377"/>
    </row>
    <row r="212" spans="1:87" ht="15">
      <c r="A212" s="377"/>
      <c r="B212" s="377"/>
      <c r="C212" s="572"/>
      <c r="D212" s="377"/>
      <c r="E212" s="377"/>
      <c r="F212" s="377"/>
      <c r="G212" s="377"/>
      <c r="H212" s="573"/>
      <c r="I212" s="377"/>
      <c r="J212" s="377"/>
      <c r="K212" s="377"/>
      <c r="L212" s="377"/>
      <c r="M212" s="377"/>
      <c r="N212" s="377"/>
      <c r="O212" s="377"/>
      <c r="P212" s="377"/>
      <c r="Q212" s="377"/>
      <c r="R212" s="377"/>
      <c r="S212" s="377"/>
      <c r="T212" s="377"/>
      <c r="U212" s="377"/>
      <c r="V212" s="377"/>
      <c r="W212" s="377"/>
      <c r="X212" s="574"/>
      <c r="Y212" s="377"/>
      <c r="Z212" s="377"/>
      <c r="AA212" s="377"/>
      <c r="AB212" s="377"/>
      <c r="AC212" s="377"/>
      <c r="AD212" s="377"/>
      <c r="AE212" s="377"/>
      <c r="AF212" s="377"/>
      <c r="AG212" s="377"/>
      <c r="AH212" s="377"/>
      <c r="AI212" s="377"/>
      <c r="AJ212" s="377"/>
      <c r="AK212" s="377"/>
      <c r="AL212" s="574"/>
      <c r="AM212" s="377"/>
      <c r="AN212" s="377"/>
      <c r="AO212" s="377"/>
      <c r="AP212" s="377"/>
      <c r="AQ212" s="377"/>
      <c r="AR212" s="377"/>
      <c r="AS212" s="377"/>
      <c r="AT212" s="377"/>
      <c r="AU212" s="377"/>
      <c r="AV212" s="377"/>
      <c r="AW212" s="575"/>
      <c r="AX212" s="377"/>
      <c r="AY212" s="377"/>
      <c r="AZ212" s="377"/>
      <c r="BA212" s="377"/>
      <c r="BB212" s="377"/>
      <c r="BC212" s="377"/>
      <c r="BD212" s="377"/>
      <c r="BE212" s="377"/>
      <c r="BF212" s="377"/>
      <c r="BG212" s="377"/>
      <c r="BH212" s="377"/>
      <c r="BI212" s="377"/>
      <c r="BJ212" s="377"/>
      <c r="BK212" s="377"/>
      <c r="BL212" s="377"/>
      <c r="BM212" s="377"/>
      <c r="BN212" s="576"/>
      <c r="BO212" s="377"/>
      <c r="BP212" s="377"/>
      <c r="BQ212" s="377"/>
      <c r="BR212" s="377"/>
      <c r="BS212" s="377"/>
      <c r="BT212" s="377"/>
      <c r="BU212" s="377"/>
      <c r="BV212" s="377"/>
      <c r="BW212" s="377"/>
      <c r="BX212" s="377"/>
      <c r="BY212" s="377"/>
      <c r="BZ212" s="377"/>
      <c r="CA212" s="377"/>
      <c r="CB212" s="377"/>
      <c r="CC212" s="377"/>
      <c r="CD212" s="377"/>
      <c r="CE212" s="377"/>
      <c r="CF212" s="377"/>
      <c r="CG212" s="377"/>
      <c r="CH212" s="377"/>
      <c r="CI212" s="377"/>
    </row>
    <row r="213" spans="1:87" ht="15">
      <c r="A213" s="377"/>
      <c r="B213" s="377"/>
      <c r="C213" s="572"/>
      <c r="D213" s="377"/>
      <c r="E213" s="377"/>
      <c r="F213" s="377"/>
      <c r="G213" s="377"/>
      <c r="H213" s="573"/>
      <c r="I213" s="377"/>
      <c r="J213" s="377"/>
      <c r="K213" s="377"/>
      <c r="L213" s="377"/>
      <c r="M213" s="377"/>
      <c r="N213" s="377"/>
      <c r="O213" s="377"/>
      <c r="P213" s="377"/>
      <c r="Q213" s="377"/>
      <c r="R213" s="377"/>
      <c r="S213" s="377"/>
      <c r="T213" s="377"/>
      <c r="U213" s="377"/>
      <c r="V213" s="377"/>
      <c r="W213" s="377"/>
      <c r="X213" s="574"/>
      <c r="Y213" s="377"/>
      <c r="Z213" s="377"/>
      <c r="AA213" s="377"/>
      <c r="AB213" s="377"/>
      <c r="AC213" s="377"/>
      <c r="AD213" s="377"/>
      <c r="AE213" s="377"/>
      <c r="AF213" s="377"/>
      <c r="AG213" s="377"/>
      <c r="AH213" s="377"/>
      <c r="AI213" s="377"/>
      <c r="AJ213" s="377"/>
      <c r="AK213" s="377"/>
      <c r="AL213" s="574"/>
      <c r="AM213" s="377"/>
      <c r="AN213" s="377"/>
      <c r="AO213" s="377"/>
      <c r="AP213" s="377"/>
      <c r="AQ213" s="377"/>
      <c r="AR213" s="377"/>
      <c r="AS213" s="377"/>
      <c r="AT213" s="377"/>
      <c r="AU213" s="377"/>
      <c r="AV213" s="377"/>
      <c r="AW213" s="575"/>
      <c r="AX213" s="377"/>
      <c r="AY213" s="377"/>
      <c r="AZ213" s="377"/>
      <c r="BA213" s="377"/>
      <c r="BB213" s="377"/>
      <c r="BC213" s="377"/>
      <c r="BD213" s="377"/>
      <c r="BE213" s="377"/>
      <c r="BF213" s="377"/>
      <c r="BG213" s="377"/>
      <c r="BH213" s="377"/>
      <c r="BI213" s="377"/>
      <c r="BJ213" s="377"/>
      <c r="BK213" s="377"/>
      <c r="BL213" s="377"/>
      <c r="BM213" s="377"/>
      <c r="BN213" s="576"/>
      <c r="BO213" s="377"/>
      <c r="BP213" s="377"/>
      <c r="BQ213" s="377"/>
      <c r="BR213" s="377"/>
      <c r="BS213" s="377"/>
      <c r="BT213" s="377"/>
      <c r="BU213" s="377"/>
      <c r="BV213" s="377"/>
      <c r="BW213" s="377"/>
      <c r="BX213" s="377"/>
      <c r="BY213" s="377"/>
      <c r="BZ213" s="377"/>
      <c r="CA213" s="377"/>
      <c r="CB213" s="377"/>
      <c r="CC213" s="377"/>
      <c r="CD213" s="377"/>
      <c r="CE213" s="377"/>
      <c r="CF213" s="377"/>
      <c r="CG213" s="377"/>
      <c r="CH213" s="377"/>
      <c r="CI213" s="377"/>
    </row>
    <row r="214" spans="1:87" ht="15">
      <c r="A214" s="377"/>
      <c r="B214" s="377"/>
      <c r="C214" s="572"/>
      <c r="D214" s="377"/>
      <c r="E214" s="377"/>
      <c r="F214" s="377"/>
      <c r="G214" s="377"/>
      <c r="H214" s="573"/>
      <c r="I214" s="377"/>
      <c r="J214" s="377"/>
      <c r="K214" s="377"/>
      <c r="L214" s="377"/>
      <c r="M214" s="377"/>
      <c r="N214" s="377"/>
      <c r="O214" s="377"/>
      <c r="P214" s="377"/>
      <c r="Q214" s="377"/>
      <c r="R214" s="377"/>
      <c r="S214" s="377"/>
      <c r="T214" s="377"/>
      <c r="U214" s="377"/>
      <c r="V214" s="377"/>
      <c r="W214" s="377"/>
      <c r="X214" s="574"/>
      <c r="Y214" s="377"/>
      <c r="Z214" s="377"/>
      <c r="AA214" s="377"/>
      <c r="AB214" s="377"/>
      <c r="AC214" s="377"/>
      <c r="AD214" s="377"/>
      <c r="AE214" s="377"/>
      <c r="AF214" s="377"/>
      <c r="AG214" s="377"/>
      <c r="AH214" s="377"/>
      <c r="AI214" s="377"/>
      <c r="AJ214" s="377"/>
      <c r="AK214" s="377"/>
      <c r="AL214" s="574"/>
      <c r="AM214" s="377"/>
      <c r="AN214" s="377"/>
      <c r="AO214" s="377"/>
      <c r="AP214" s="377"/>
      <c r="AQ214" s="377"/>
      <c r="AR214" s="377"/>
      <c r="AS214" s="377"/>
      <c r="AT214" s="377"/>
      <c r="AU214" s="377"/>
      <c r="AV214" s="377"/>
      <c r="AW214" s="575"/>
      <c r="AX214" s="377"/>
      <c r="AY214" s="377"/>
      <c r="AZ214" s="377"/>
      <c r="BA214" s="377"/>
      <c r="BB214" s="377"/>
      <c r="BC214" s="377"/>
      <c r="BD214" s="377"/>
      <c r="BE214" s="377"/>
      <c r="BF214" s="377"/>
      <c r="BG214" s="377"/>
      <c r="BH214" s="377"/>
      <c r="BI214" s="377"/>
      <c r="BJ214" s="377"/>
      <c r="BK214" s="377"/>
      <c r="BL214" s="377"/>
      <c r="BM214" s="377"/>
      <c r="BN214" s="576"/>
      <c r="BO214" s="377"/>
      <c r="BP214" s="377"/>
      <c r="BQ214" s="377"/>
      <c r="BR214" s="377"/>
      <c r="BS214" s="377"/>
      <c r="BT214" s="377"/>
      <c r="BU214" s="377"/>
      <c r="BV214" s="377"/>
      <c r="BW214" s="377"/>
      <c r="BX214" s="377"/>
      <c r="BY214" s="377"/>
      <c r="BZ214" s="377"/>
      <c r="CA214" s="377"/>
      <c r="CB214" s="377"/>
      <c r="CC214" s="377"/>
      <c r="CD214" s="377"/>
      <c r="CE214" s="377"/>
      <c r="CF214" s="377"/>
      <c r="CG214" s="377"/>
      <c r="CH214" s="377"/>
      <c r="CI214" s="377"/>
    </row>
    <row r="215" spans="1:87" ht="15">
      <c r="A215" s="377"/>
      <c r="B215" s="377"/>
      <c r="C215" s="572"/>
      <c r="D215" s="377"/>
      <c r="E215" s="377"/>
      <c r="F215" s="377"/>
      <c r="G215" s="377"/>
      <c r="H215" s="573"/>
      <c r="I215" s="377"/>
      <c r="J215" s="377"/>
      <c r="K215" s="377"/>
      <c r="L215" s="377"/>
      <c r="M215" s="377"/>
      <c r="N215" s="377"/>
      <c r="O215" s="377"/>
      <c r="P215" s="377"/>
      <c r="Q215" s="377"/>
      <c r="R215" s="377"/>
      <c r="S215" s="377"/>
      <c r="T215" s="377"/>
      <c r="U215" s="377"/>
      <c r="V215" s="377"/>
      <c r="W215" s="377"/>
      <c r="X215" s="574"/>
      <c r="Y215" s="377"/>
      <c r="Z215" s="377"/>
      <c r="AA215" s="377"/>
      <c r="AB215" s="377"/>
      <c r="AC215" s="377"/>
      <c r="AD215" s="377"/>
      <c r="AE215" s="377"/>
      <c r="AF215" s="377"/>
      <c r="AG215" s="377"/>
      <c r="AH215" s="377"/>
      <c r="AI215" s="377"/>
      <c r="AJ215" s="377"/>
      <c r="AK215" s="377"/>
      <c r="AL215" s="574"/>
      <c r="AM215" s="377"/>
      <c r="AN215" s="377"/>
      <c r="AO215" s="377"/>
      <c r="AP215" s="377"/>
      <c r="AQ215" s="377"/>
      <c r="AR215" s="377"/>
      <c r="AS215" s="377"/>
      <c r="AT215" s="377"/>
      <c r="AU215" s="377"/>
      <c r="AV215" s="377"/>
      <c r="AW215" s="575"/>
      <c r="AX215" s="377"/>
      <c r="AY215" s="377"/>
      <c r="AZ215" s="377"/>
      <c r="BA215" s="377"/>
      <c r="BB215" s="377"/>
      <c r="BC215" s="377"/>
      <c r="BD215" s="377"/>
      <c r="BE215" s="377"/>
      <c r="BF215" s="377"/>
      <c r="BG215" s="377"/>
      <c r="BH215" s="377"/>
      <c r="BI215" s="377"/>
      <c r="BJ215" s="377"/>
      <c r="BK215" s="377"/>
      <c r="BL215" s="377"/>
      <c r="BM215" s="377"/>
      <c r="BN215" s="576"/>
      <c r="BO215" s="377"/>
      <c r="BP215" s="377"/>
      <c r="BQ215" s="377"/>
      <c r="BR215" s="377"/>
      <c r="BS215" s="377"/>
      <c r="BT215" s="377"/>
      <c r="BU215" s="377"/>
      <c r="BV215" s="377"/>
      <c r="BW215" s="377"/>
      <c r="BX215" s="377"/>
      <c r="BY215" s="377"/>
      <c r="BZ215" s="377"/>
      <c r="CA215" s="377"/>
      <c r="CB215" s="377"/>
      <c r="CC215" s="377"/>
      <c r="CD215" s="377"/>
      <c r="CE215" s="377"/>
      <c r="CF215" s="377"/>
      <c r="CG215" s="377"/>
      <c r="CH215" s="377"/>
      <c r="CI215" s="377"/>
    </row>
    <row r="216" spans="1:87" ht="15">
      <c r="A216" s="377"/>
      <c r="B216" s="377"/>
      <c r="C216" s="572"/>
      <c r="D216" s="377"/>
      <c r="E216" s="377"/>
      <c r="F216" s="377"/>
      <c r="G216" s="377"/>
      <c r="H216" s="573"/>
      <c r="I216" s="377"/>
      <c r="J216" s="377"/>
      <c r="K216" s="377"/>
      <c r="L216" s="377"/>
      <c r="M216" s="377"/>
      <c r="N216" s="377"/>
      <c r="O216" s="377"/>
      <c r="P216" s="377"/>
      <c r="Q216" s="377"/>
      <c r="R216" s="377"/>
      <c r="S216" s="377"/>
      <c r="T216" s="377"/>
      <c r="U216" s="377"/>
      <c r="V216" s="377"/>
      <c r="W216" s="377"/>
      <c r="X216" s="574"/>
      <c r="Y216" s="377"/>
      <c r="Z216" s="377"/>
      <c r="AA216" s="377"/>
      <c r="AB216" s="377"/>
      <c r="AC216" s="377"/>
      <c r="AD216" s="377"/>
      <c r="AE216" s="377"/>
      <c r="AF216" s="377"/>
      <c r="AG216" s="377"/>
      <c r="AH216" s="377"/>
      <c r="AI216" s="377"/>
      <c r="AJ216" s="377"/>
      <c r="AK216" s="377"/>
      <c r="AL216" s="574"/>
      <c r="AM216" s="377"/>
      <c r="AN216" s="377"/>
      <c r="AO216" s="377"/>
      <c r="AP216" s="377"/>
      <c r="AQ216" s="377"/>
      <c r="AR216" s="377"/>
      <c r="AS216" s="377"/>
      <c r="AT216" s="377"/>
      <c r="AU216" s="377"/>
      <c r="AV216" s="377"/>
      <c r="AW216" s="575"/>
      <c r="AX216" s="377"/>
      <c r="AY216" s="377"/>
      <c r="AZ216" s="377"/>
      <c r="BA216" s="377"/>
      <c r="BB216" s="377"/>
      <c r="BC216" s="377"/>
      <c r="BD216" s="377"/>
      <c r="BE216" s="377"/>
      <c r="BF216" s="377"/>
      <c r="BG216" s="377"/>
      <c r="BH216" s="377"/>
      <c r="BI216" s="377"/>
      <c r="BJ216" s="377"/>
      <c r="BK216" s="377"/>
      <c r="BL216" s="377"/>
      <c r="BM216" s="377"/>
      <c r="BN216" s="576"/>
      <c r="BO216" s="377"/>
      <c r="BP216" s="377"/>
      <c r="BQ216" s="377"/>
      <c r="BR216" s="377"/>
      <c r="BS216" s="377"/>
      <c r="BT216" s="377"/>
      <c r="BU216" s="377"/>
      <c r="BV216" s="377"/>
      <c r="BW216" s="377"/>
      <c r="BX216" s="377"/>
      <c r="BY216" s="377"/>
      <c r="BZ216" s="377"/>
      <c r="CA216" s="377"/>
      <c r="CB216" s="377"/>
      <c r="CC216" s="377"/>
      <c r="CD216" s="377"/>
      <c r="CE216" s="377"/>
      <c r="CF216" s="377"/>
      <c r="CG216" s="377"/>
      <c r="CH216" s="377"/>
      <c r="CI216" s="377"/>
    </row>
    <row r="217" spans="1:87" ht="15">
      <c r="A217" s="377"/>
      <c r="B217" s="377"/>
      <c r="C217" s="572"/>
      <c r="D217" s="377"/>
      <c r="E217" s="377"/>
      <c r="F217" s="377"/>
      <c r="G217" s="377"/>
      <c r="H217" s="573"/>
      <c r="I217" s="377"/>
      <c r="J217" s="377"/>
      <c r="K217" s="377"/>
      <c r="L217" s="377"/>
      <c r="M217" s="377"/>
      <c r="N217" s="377"/>
      <c r="O217" s="377"/>
      <c r="P217" s="377"/>
      <c r="Q217" s="377"/>
      <c r="R217" s="377"/>
      <c r="S217" s="377"/>
      <c r="T217" s="377"/>
      <c r="U217" s="377"/>
      <c r="V217" s="377"/>
      <c r="W217" s="377"/>
      <c r="X217" s="574"/>
      <c r="Y217" s="377"/>
      <c r="Z217" s="377"/>
      <c r="AA217" s="377"/>
      <c r="AB217" s="377"/>
      <c r="AC217" s="377"/>
      <c r="AD217" s="377"/>
      <c r="AE217" s="377"/>
      <c r="AF217" s="377"/>
      <c r="AG217" s="377"/>
      <c r="AH217" s="377"/>
      <c r="AI217" s="377"/>
      <c r="AJ217" s="377"/>
      <c r="AK217" s="377"/>
      <c r="AL217" s="574"/>
      <c r="AM217" s="377"/>
      <c r="AN217" s="377"/>
      <c r="AO217" s="377"/>
      <c r="AP217" s="377"/>
      <c r="AQ217" s="377"/>
      <c r="AR217" s="377"/>
      <c r="AS217" s="377"/>
      <c r="AT217" s="377"/>
      <c r="AU217" s="377"/>
      <c r="AV217" s="377"/>
      <c r="AW217" s="575"/>
      <c r="AX217" s="377"/>
      <c r="AY217" s="377"/>
      <c r="AZ217" s="377"/>
      <c r="BA217" s="377"/>
      <c r="BB217" s="377"/>
      <c r="BC217" s="377"/>
      <c r="BD217" s="377"/>
      <c r="BE217" s="377"/>
      <c r="BF217" s="377"/>
      <c r="BG217" s="377"/>
      <c r="BH217" s="377"/>
      <c r="BI217" s="377"/>
      <c r="BJ217" s="377"/>
      <c r="BK217" s="377"/>
      <c r="BL217" s="377"/>
      <c r="BM217" s="377"/>
      <c r="BN217" s="576"/>
      <c r="BO217" s="377"/>
      <c r="BP217" s="377"/>
      <c r="BQ217" s="377"/>
      <c r="BR217" s="377"/>
      <c r="BS217" s="377"/>
      <c r="BT217" s="377"/>
      <c r="BU217" s="377"/>
      <c r="BV217" s="377"/>
      <c r="BW217" s="377"/>
      <c r="BX217" s="377"/>
      <c r="BY217" s="377"/>
      <c r="BZ217" s="377"/>
      <c r="CA217" s="377"/>
      <c r="CB217" s="377"/>
      <c r="CC217" s="377"/>
      <c r="CD217" s="377"/>
      <c r="CE217" s="377"/>
      <c r="CF217" s="377"/>
      <c r="CG217" s="377"/>
      <c r="CH217" s="377"/>
      <c r="CI217" s="377"/>
    </row>
    <row r="218" spans="1:87" ht="15">
      <c r="A218" s="377"/>
      <c r="B218" s="377"/>
      <c r="C218" s="572"/>
      <c r="D218" s="377"/>
      <c r="E218" s="377"/>
      <c r="F218" s="377"/>
      <c r="G218" s="377"/>
      <c r="H218" s="573"/>
      <c r="I218" s="377"/>
      <c r="J218" s="377"/>
      <c r="K218" s="377"/>
      <c r="L218" s="377"/>
      <c r="M218" s="377"/>
      <c r="N218" s="377"/>
      <c r="O218" s="377"/>
      <c r="P218" s="377"/>
      <c r="Q218" s="377"/>
      <c r="R218" s="377"/>
      <c r="S218" s="377"/>
      <c r="T218" s="377"/>
      <c r="U218" s="377"/>
      <c r="V218" s="377"/>
      <c r="W218" s="377"/>
      <c r="X218" s="574"/>
      <c r="Y218" s="377"/>
      <c r="Z218" s="377"/>
      <c r="AA218" s="377"/>
      <c r="AB218" s="377"/>
      <c r="AC218" s="377"/>
      <c r="AD218" s="377"/>
      <c r="AE218" s="377"/>
      <c r="AF218" s="377"/>
      <c r="AG218" s="377"/>
      <c r="AH218" s="377"/>
      <c r="AI218" s="377"/>
      <c r="AJ218" s="377"/>
      <c r="AK218" s="377"/>
      <c r="AL218" s="574"/>
      <c r="AM218" s="377"/>
      <c r="AN218" s="377"/>
      <c r="AO218" s="377"/>
      <c r="AP218" s="377"/>
      <c r="AQ218" s="377"/>
      <c r="AR218" s="377"/>
      <c r="AS218" s="377"/>
      <c r="AT218" s="377"/>
      <c r="AU218" s="377"/>
      <c r="AV218" s="377"/>
      <c r="AW218" s="575"/>
      <c r="AX218" s="377"/>
      <c r="AY218" s="377"/>
      <c r="AZ218" s="377"/>
      <c r="BA218" s="377"/>
      <c r="BB218" s="377"/>
      <c r="BC218" s="377"/>
      <c r="BD218" s="377"/>
      <c r="BE218" s="377"/>
      <c r="BF218" s="377"/>
      <c r="BG218" s="377"/>
      <c r="BH218" s="377"/>
      <c r="BI218" s="377"/>
      <c r="BJ218" s="377"/>
      <c r="BK218" s="377"/>
      <c r="BL218" s="377"/>
      <c r="BM218" s="377"/>
      <c r="BN218" s="576"/>
      <c r="BO218" s="377"/>
      <c r="BP218" s="377"/>
      <c r="BQ218" s="377"/>
      <c r="BR218" s="377"/>
      <c r="BS218" s="377"/>
      <c r="BT218" s="377"/>
      <c r="BU218" s="377"/>
      <c r="BV218" s="377"/>
      <c r="BW218" s="377"/>
      <c r="BX218" s="377"/>
      <c r="BY218" s="377"/>
      <c r="BZ218" s="377"/>
      <c r="CA218" s="377"/>
      <c r="CB218" s="377"/>
      <c r="CC218" s="377"/>
      <c r="CD218" s="377"/>
      <c r="CE218" s="377"/>
      <c r="CF218" s="377"/>
      <c r="CG218" s="377"/>
      <c r="CH218" s="377"/>
      <c r="CI218" s="377"/>
    </row>
    <row r="219" spans="1:87" ht="15">
      <c r="A219" s="377"/>
      <c r="B219" s="377"/>
      <c r="C219" s="572"/>
      <c r="D219" s="377"/>
      <c r="E219" s="377"/>
      <c r="F219" s="377"/>
      <c r="G219" s="377"/>
      <c r="H219" s="573"/>
      <c r="I219" s="377"/>
      <c r="J219" s="377"/>
      <c r="K219" s="377"/>
      <c r="L219" s="377"/>
      <c r="M219" s="377"/>
      <c r="N219" s="377"/>
      <c r="O219" s="377"/>
      <c r="P219" s="377"/>
      <c r="Q219" s="377"/>
      <c r="R219" s="377"/>
      <c r="S219" s="377"/>
      <c r="T219" s="377"/>
      <c r="U219" s="377"/>
      <c r="V219" s="377"/>
      <c r="W219" s="377"/>
      <c r="X219" s="574"/>
      <c r="Y219" s="377"/>
      <c r="Z219" s="377"/>
      <c r="AA219" s="377"/>
      <c r="AB219" s="377"/>
      <c r="AC219" s="377"/>
      <c r="AD219" s="377"/>
      <c r="AE219" s="377"/>
      <c r="AF219" s="377"/>
      <c r="AG219" s="377"/>
      <c r="AH219" s="377"/>
      <c r="AI219" s="377"/>
      <c r="AJ219" s="377"/>
      <c r="AK219" s="377"/>
      <c r="AL219" s="574"/>
      <c r="AM219" s="377"/>
      <c r="AN219" s="377"/>
      <c r="AO219" s="377"/>
      <c r="AP219" s="377"/>
      <c r="AQ219" s="377"/>
      <c r="AR219" s="377"/>
      <c r="AS219" s="377"/>
      <c r="AT219" s="377"/>
      <c r="AU219" s="377"/>
      <c r="AV219" s="377"/>
      <c r="AW219" s="575"/>
      <c r="AX219" s="377"/>
      <c r="AY219" s="377"/>
      <c r="AZ219" s="377"/>
      <c r="BA219" s="377"/>
      <c r="BB219" s="377"/>
      <c r="BC219" s="377"/>
      <c r="BD219" s="377"/>
      <c r="BE219" s="377"/>
      <c r="BF219" s="377"/>
      <c r="BG219" s="377"/>
      <c r="BH219" s="377"/>
      <c r="BI219" s="377"/>
      <c r="BJ219" s="377"/>
      <c r="BK219" s="377"/>
      <c r="BL219" s="377"/>
      <c r="BM219" s="377"/>
      <c r="BN219" s="576"/>
      <c r="BO219" s="377"/>
      <c r="BP219" s="377"/>
      <c r="BQ219" s="377"/>
      <c r="BR219" s="377"/>
      <c r="BS219" s="377"/>
      <c r="BT219" s="377"/>
      <c r="BU219" s="377"/>
      <c r="BV219" s="377"/>
      <c r="BW219" s="377"/>
      <c r="BX219" s="377"/>
      <c r="BY219" s="377"/>
      <c r="BZ219" s="377"/>
      <c r="CA219" s="377"/>
      <c r="CB219" s="377"/>
      <c r="CC219" s="377"/>
      <c r="CD219" s="377"/>
      <c r="CE219" s="377"/>
      <c r="CF219" s="377"/>
      <c r="CG219" s="377"/>
      <c r="CH219" s="377"/>
      <c r="CI219" s="377"/>
    </row>
    <row r="220" spans="1:87" ht="15">
      <c r="A220" s="377"/>
      <c r="B220" s="377"/>
      <c r="C220" s="572"/>
      <c r="D220" s="377"/>
      <c r="E220" s="377"/>
      <c r="F220" s="377"/>
      <c r="G220" s="377"/>
      <c r="H220" s="573"/>
      <c r="I220" s="377"/>
      <c r="J220" s="377"/>
      <c r="K220" s="377"/>
      <c r="L220" s="377"/>
      <c r="M220" s="377"/>
      <c r="N220" s="377"/>
      <c r="O220" s="377"/>
      <c r="P220" s="377"/>
      <c r="Q220" s="377"/>
      <c r="R220" s="377"/>
      <c r="S220" s="377"/>
      <c r="T220" s="377"/>
      <c r="U220" s="377"/>
      <c r="V220" s="377"/>
      <c r="W220" s="377"/>
      <c r="X220" s="574"/>
      <c r="Y220" s="377"/>
      <c r="Z220" s="377"/>
      <c r="AA220" s="377"/>
      <c r="AB220" s="377"/>
      <c r="AC220" s="377"/>
      <c r="AD220" s="377"/>
      <c r="AE220" s="377"/>
      <c r="AF220" s="377"/>
      <c r="AG220" s="377"/>
      <c r="AH220" s="377"/>
      <c r="AI220" s="377"/>
      <c r="AJ220" s="377"/>
      <c r="AK220" s="377"/>
      <c r="AL220" s="574"/>
      <c r="AM220" s="377"/>
      <c r="AN220" s="377"/>
      <c r="AO220" s="377"/>
      <c r="AP220" s="377"/>
      <c r="AQ220" s="377"/>
      <c r="AR220" s="377"/>
      <c r="AS220" s="377"/>
      <c r="AT220" s="377"/>
      <c r="AU220" s="377"/>
      <c r="AV220" s="377"/>
      <c r="AW220" s="575"/>
      <c r="AX220" s="377"/>
      <c r="AY220" s="377"/>
      <c r="AZ220" s="377"/>
      <c r="BA220" s="377"/>
      <c r="BB220" s="377"/>
      <c r="BC220" s="377"/>
      <c r="BD220" s="377"/>
      <c r="BE220" s="377"/>
      <c r="BF220" s="377"/>
      <c r="BG220" s="377"/>
      <c r="BH220" s="377"/>
      <c r="BI220" s="377"/>
      <c r="BJ220" s="377"/>
      <c r="BK220" s="377"/>
      <c r="BL220" s="377"/>
      <c r="BM220" s="377"/>
      <c r="BN220" s="576"/>
      <c r="BO220" s="377"/>
      <c r="BP220" s="377"/>
      <c r="BQ220" s="377"/>
      <c r="BR220" s="377"/>
      <c r="BS220" s="377"/>
      <c r="BT220" s="377"/>
      <c r="BU220" s="377"/>
      <c r="BV220" s="377"/>
      <c r="BW220" s="377"/>
      <c r="BX220" s="377"/>
      <c r="BY220" s="377"/>
      <c r="BZ220" s="377"/>
      <c r="CA220" s="377"/>
      <c r="CB220" s="377"/>
      <c r="CC220" s="377"/>
      <c r="CD220" s="377"/>
      <c r="CE220" s="377"/>
      <c r="CF220" s="377"/>
      <c r="CG220" s="377"/>
      <c r="CH220" s="377"/>
      <c r="CI220" s="377"/>
    </row>
    <row r="221" spans="1:87" ht="15">
      <c r="A221" s="377"/>
      <c r="B221" s="377"/>
      <c r="C221" s="572"/>
      <c r="D221" s="377"/>
      <c r="E221" s="377"/>
      <c r="F221" s="377"/>
      <c r="G221" s="377"/>
      <c r="H221" s="573"/>
      <c r="I221" s="377"/>
      <c r="J221" s="377"/>
      <c r="K221" s="377"/>
      <c r="L221" s="377"/>
      <c r="M221" s="377"/>
      <c r="N221" s="377"/>
      <c r="O221" s="377"/>
      <c r="P221" s="377"/>
      <c r="Q221" s="377"/>
      <c r="R221" s="377"/>
      <c r="S221" s="377"/>
      <c r="T221" s="377"/>
      <c r="U221" s="377"/>
      <c r="V221" s="377"/>
      <c r="W221" s="377"/>
      <c r="X221" s="574"/>
      <c r="Y221" s="377"/>
      <c r="Z221" s="377"/>
      <c r="AA221" s="377"/>
      <c r="AB221" s="377"/>
      <c r="AC221" s="377"/>
      <c r="AD221" s="377"/>
      <c r="AE221" s="377"/>
      <c r="AF221" s="377"/>
      <c r="AG221" s="377"/>
      <c r="AH221" s="377"/>
      <c r="AI221" s="377"/>
      <c r="AJ221" s="377"/>
      <c r="AK221" s="377"/>
      <c r="AL221" s="574"/>
      <c r="AM221" s="377"/>
      <c r="AN221" s="377"/>
      <c r="AO221" s="377"/>
      <c r="AP221" s="377"/>
      <c r="AQ221" s="377"/>
      <c r="AR221" s="377"/>
      <c r="AS221" s="377"/>
      <c r="AT221" s="377"/>
      <c r="AU221" s="377"/>
      <c r="AV221" s="377"/>
      <c r="AW221" s="575"/>
      <c r="AX221" s="377"/>
      <c r="AY221" s="377"/>
      <c r="AZ221" s="377"/>
      <c r="BA221" s="377"/>
      <c r="BB221" s="377"/>
      <c r="BC221" s="377"/>
      <c r="BD221" s="377"/>
      <c r="BE221" s="377"/>
      <c r="BF221" s="377"/>
      <c r="BG221" s="377"/>
      <c r="BH221" s="377"/>
      <c r="BI221" s="377"/>
      <c r="BJ221" s="377"/>
      <c r="BK221" s="377"/>
      <c r="BL221" s="377"/>
      <c r="BM221" s="377"/>
      <c r="BN221" s="576"/>
      <c r="BO221" s="377"/>
      <c r="BP221" s="377"/>
      <c r="BQ221" s="377"/>
      <c r="BR221" s="377"/>
      <c r="BS221" s="377"/>
      <c r="BT221" s="377"/>
      <c r="BU221" s="377"/>
      <c r="BV221" s="377"/>
      <c r="BW221" s="377"/>
      <c r="BX221" s="377"/>
      <c r="BY221" s="377"/>
      <c r="BZ221" s="377"/>
      <c r="CA221" s="377"/>
      <c r="CB221" s="377"/>
      <c r="CC221" s="377"/>
      <c r="CD221" s="377"/>
      <c r="CE221" s="377"/>
      <c r="CF221" s="377"/>
      <c r="CG221" s="377"/>
      <c r="CH221" s="377"/>
      <c r="CI221" s="377"/>
    </row>
    <row r="222" spans="1:87" ht="15">
      <c r="A222" s="377"/>
      <c r="B222" s="377"/>
      <c r="C222" s="572"/>
      <c r="D222" s="377"/>
      <c r="E222" s="377"/>
      <c r="F222" s="377"/>
      <c r="G222" s="377"/>
      <c r="H222" s="573"/>
      <c r="I222" s="377"/>
      <c r="J222" s="377"/>
      <c r="K222" s="377"/>
      <c r="L222" s="377"/>
      <c r="M222" s="377"/>
      <c r="N222" s="377"/>
      <c r="O222" s="377"/>
      <c r="P222" s="377"/>
      <c r="Q222" s="377"/>
      <c r="R222" s="377"/>
      <c r="S222" s="377"/>
      <c r="T222" s="377"/>
      <c r="U222" s="377"/>
      <c r="V222" s="377"/>
      <c r="W222" s="377"/>
      <c r="X222" s="574"/>
      <c r="Y222" s="377"/>
      <c r="Z222" s="377"/>
      <c r="AA222" s="377"/>
      <c r="AB222" s="377"/>
      <c r="AC222" s="377"/>
      <c r="AD222" s="377"/>
      <c r="AE222" s="377"/>
      <c r="AF222" s="377"/>
      <c r="AG222" s="377"/>
      <c r="AH222" s="377"/>
      <c r="AI222" s="377"/>
      <c r="AJ222" s="377"/>
      <c r="AK222" s="377"/>
      <c r="AL222" s="574"/>
      <c r="AM222" s="377"/>
      <c r="AN222" s="377"/>
      <c r="AO222" s="377"/>
      <c r="AP222" s="377"/>
      <c r="AQ222" s="377"/>
      <c r="AR222" s="377"/>
      <c r="AS222" s="377"/>
      <c r="AT222" s="377"/>
      <c r="AU222" s="377"/>
      <c r="AV222" s="377"/>
      <c r="AW222" s="575"/>
      <c r="AX222" s="377"/>
      <c r="AY222" s="377"/>
      <c r="AZ222" s="377"/>
      <c r="BA222" s="377"/>
      <c r="BB222" s="377"/>
      <c r="BC222" s="377"/>
      <c r="BD222" s="377"/>
      <c r="BE222" s="377"/>
      <c r="BF222" s="377"/>
      <c r="BG222" s="377"/>
      <c r="BH222" s="377"/>
      <c r="BI222" s="377"/>
      <c r="BJ222" s="377"/>
      <c r="BK222" s="377"/>
      <c r="BL222" s="377"/>
      <c r="BM222" s="377"/>
      <c r="BN222" s="576"/>
      <c r="BO222" s="377"/>
      <c r="BP222" s="377"/>
      <c r="BQ222" s="377"/>
      <c r="BR222" s="377"/>
      <c r="BS222" s="377"/>
      <c r="BT222" s="377"/>
      <c r="BU222" s="377"/>
      <c r="BV222" s="377"/>
      <c r="BW222" s="377"/>
      <c r="BX222" s="377"/>
      <c r="BY222" s="377"/>
      <c r="BZ222" s="377"/>
      <c r="CA222" s="377"/>
      <c r="CB222" s="377"/>
      <c r="CC222" s="377"/>
      <c r="CD222" s="377"/>
      <c r="CE222" s="377"/>
      <c r="CF222" s="377"/>
      <c r="CG222" s="377"/>
      <c r="CH222" s="377"/>
      <c r="CI222" s="377"/>
    </row>
    <row r="223" spans="1:87" ht="15">
      <c r="A223" s="377"/>
      <c r="B223" s="377"/>
      <c r="C223" s="572"/>
      <c r="D223" s="377"/>
      <c r="E223" s="377"/>
      <c r="F223" s="377"/>
      <c r="G223" s="377"/>
      <c r="H223" s="573"/>
      <c r="I223" s="377"/>
      <c r="J223" s="377"/>
      <c r="K223" s="377"/>
      <c r="L223" s="377"/>
      <c r="M223" s="377"/>
      <c r="N223" s="377"/>
      <c r="O223" s="377"/>
      <c r="P223" s="377"/>
      <c r="Q223" s="377"/>
      <c r="R223" s="377"/>
      <c r="S223" s="377"/>
      <c r="T223" s="377"/>
      <c r="U223" s="377"/>
      <c r="V223" s="377"/>
      <c r="W223" s="377"/>
      <c r="X223" s="574"/>
      <c r="Y223" s="377"/>
      <c r="Z223" s="377"/>
      <c r="AA223" s="377"/>
      <c r="AB223" s="377"/>
      <c r="AC223" s="377"/>
      <c r="AD223" s="377"/>
      <c r="AE223" s="377"/>
      <c r="AF223" s="377"/>
      <c r="AG223" s="377"/>
      <c r="AH223" s="377"/>
      <c r="AI223" s="377"/>
      <c r="AJ223" s="377"/>
      <c r="AK223" s="377"/>
      <c r="AL223" s="574"/>
      <c r="AM223" s="377"/>
      <c r="AN223" s="377"/>
      <c r="AO223" s="377"/>
      <c r="AP223" s="377"/>
      <c r="AQ223" s="377"/>
      <c r="AR223" s="377"/>
      <c r="AS223" s="377"/>
      <c r="AT223" s="377"/>
      <c r="AU223" s="377"/>
      <c r="AV223" s="377"/>
      <c r="AW223" s="575"/>
      <c r="AX223" s="377"/>
      <c r="AY223" s="377"/>
      <c r="AZ223" s="377"/>
      <c r="BA223" s="377"/>
      <c r="BB223" s="377"/>
      <c r="BC223" s="377"/>
      <c r="BD223" s="377"/>
      <c r="BE223" s="377"/>
      <c r="BF223" s="377"/>
      <c r="BG223" s="377"/>
      <c r="BH223" s="377"/>
      <c r="BI223" s="377"/>
      <c r="BJ223" s="377"/>
      <c r="BK223" s="377"/>
      <c r="BL223" s="377"/>
      <c r="BM223" s="377"/>
      <c r="BN223" s="576"/>
      <c r="BO223" s="377"/>
      <c r="BP223" s="377"/>
      <c r="BQ223" s="377"/>
      <c r="BR223" s="377"/>
      <c r="BS223" s="377"/>
      <c r="BT223" s="377"/>
      <c r="BU223" s="377"/>
      <c r="BV223" s="377"/>
      <c r="BW223" s="377"/>
      <c r="BX223" s="377"/>
      <c r="BY223" s="377"/>
      <c r="BZ223" s="377"/>
      <c r="CA223" s="377"/>
      <c r="CB223" s="377"/>
      <c r="CC223" s="377"/>
      <c r="CD223" s="377"/>
      <c r="CE223" s="377"/>
      <c r="CF223" s="377"/>
      <c r="CG223" s="377"/>
      <c r="CH223" s="377"/>
      <c r="CI223" s="377"/>
    </row>
    <row r="224" spans="1:87" ht="15">
      <c r="A224" s="377"/>
      <c r="B224" s="377"/>
      <c r="C224" s="572"/>
      <c r="D224" s="377"/>
      <c r="E224" s="377"/>
      <c r="F224" s="377"/>
      <c r="G224" s="377"/>
      <c r="H224" s="573"/>
      <c r="I224" s="377"/>
      <c r="J224" s="377"/>
      <c r="K224" s="377"/>
      <c r="L224" s="377"/>
      <c r="M224" s="377"/>
      <c r="N224" s="377"/>
      <c r="O224" s="377"/>
      <c r="P224" s="377"/>
      <c r="Q224" s="377"/>
      <c r="R224" s="377"/>
      <c r="S224" s="377"/>
      <c r="T224" s="377"/>
      <c r="U224" s="377"/>
      <c r="V224" s="377"/>
      <c r="W224" s="377"/>
      <c r="X224" s="574"/>
      <c r="Y224" s="377"/>
      <c r="Z224" s="377"/>
      <c r="AA224" s="377"/>
      <c r="AB224" s="377"/>
      <c r="AC224" s="377"/>
      <c r="AD224" s="377"/>
      <c r="AE224" s="377"/>
      <c r="AF224" s="377"/>
      <c r="AG224" s="377"/>
      <c r="AH224" s="377"/>
      <c r="AI224" s="377"/>
      <c r="AJ224" s="377"/>
      <c r="AK224" s="377"/>
      <c r="AL224" s="574"/>
      <c r="AM224" s="377"/>
      <c r="AN224" s="377"/>
      <c r="AO224" s="377"/>
      <c r="AP224" s="377"/>
      <c r="AQ224" s="377"/>
      <c r="AR224" s="377"/>
      <c r="AS224" s="377"/>
      <c r="AT224" s="377"/>
      <c r="AU224" s="377"/>
      <c r="AV224" s="377"/>
      <c r="AW224" s="575"/>
      <c r="AX224" s="377"/>
      <c r="AY224" s="377"/>
      <c r="AZ224" s="377"/>
      <c r="BA224" s="377"/>
      <c r="BB224" s="377"/>
      <c r="BC224" s="377"/>
      <c r="BD224" s="377"/>
      <c r="BE224" s="377"/>
      <c r="BF224" s="377"/>
      <c r="BG224" s="377"/>
      <c r="BH224" s="377"/>
      <c r="BI224" s="377"/>
      <c r="BJ224" s="377"/>
      <c r="BK224" s="377"/>
      <c r="BL224" s="377"/>
      <c r="BM224" s="377"/>
      <c r="BN224" s="576"/>
      <c r="BO224" s="377"/>
      <c r="BP224" s="377"/>
      <c r="BQ224" s="377"/>
      <c r="BR224" s="377"/>
      <c r="BS224" s="377"/>
      <c r="BT224" s="377"/>
      <c r="BU224" s="377"/>
      <c r="BV224" s="377"/>
      <c r="BW224" s="377"/>
      <c r="BX224" s="377"/>
      <c r="BY224" s="377"/>
      <c r="BZ224" s="377"/>
      <c r="CA224" s="377"/>
      <c r="CB224" s="377"/>
      <c r="CC224" s="377"/>
      <c r="CD224" s="377"/>
      <c r="CE224" s="377"/>
      <c r="CF224" s="377"/>
      <c r="CG224" s="377"/>
      <c r="CH224" s="377"/>
      <c r="CI224" s="377"/>
    </row>
    <row r="225" spans="1:87" ht="15">
      <c r="A225" s="377"/>
      <c r="B225" s="377"/>
      <c r="C225" s="572"/>
      <c r="D225" s="377"/>
      <c r="E225" s="377"/>
      <c r="F225" s="377"/>
      <c r="G225" s="377"/>
      <c r="H225" s="573"/>
      <c r="I225" s="377"/>
      <c r="J225" s="377"/>
      <c r="K225" s="377"/>
      <c r="L225" s="377"/>
      <c r="M225" s="377"/>
      <c r="N225" s="377"/>
      <c r="O225" s="377"/>
      <c r="P225" s="377"/>
      <c r="Q225" s="377"/>
      <c r="R225" s="377"/>
      <c r="S225" s="377"/>
      <c r="T225" s="377"/>
      <c r="U225" s="377"/>
      <c r="V225" s="377"/>
      <c r="W225" s="377"/>
      <c r="X225" s="574"/>
      <c r="Y225" s="377"/>
      <c r="Z225" s="377"/>
      <c r="AA225" s="377"/>
      <c r="AB225" s="377"/>
      <c r="AC225" s="377"/>
      <c r="AD225" s="377"/>
      <c r="AE225" s="377"/>
      <c r="AF225" s="377"/>
      <c r="AG225" s="377"/>
      <c r="AH225" s="377"/>
      <c r="AI225" s="377"/>
      <c r="AJ225" s="377"/>
      <c r="AK225" s="377"/>
      <c r="AL225" s="574"/>
      <c r="AM225" s="377"/>
      <c r="AN225" s="377"/>
      <c r="AO225" s="377"/>
      <c r="AP225" s="377"/>
      <c r="AQ225" s="377"/>
      <c r="AR225" s="377"/>
      <c r="AS225" s="377"/>
      <c r="AT225" s="377"/>
      <c r="AU225" s="377"/>
      <c r="AV225" s="377"/>
      <c r="AW225" s="575"/>
      <c r="AX225" s="377"/>
      <c r="AY225" s="377"/>
      <c r="AZ225" s="377"/>
      <c r="BA225" s="377"/>
      <c r="BB225" s="377"/>
      <c r="BC225" s="377"/>
      <c r="BD225" s="377"/>
      <c r="BE225" s="377"/>
      <c r="BF225" s="377"/>
      <c r="BG225" s="377"/>
      <c r="BH225" s="377"/>
      <c r="BI225" s="377"/>
      <c r="BJ225" s="377"/>
      <c r="BK225" s="377"/>
      <c r="BL225" s="377"/>
      <c r="BM225" s="377"/>
      <c r="BN225" s="576"/>
      <c r="BO225" s="377"/>
      <c r="BP225" s="377"/>
      <c r="BQ225" s="377"/>
      <c r="BR225" s="377"/>
      <c r="BS225" s="377"/>
      <c r="BT225" s="377"/>
      <c r="BU225" s="377"/>
      <c r="BV225" s="377"/>
      <c r="BW225" s="377"/>
      <c r="BX225" s="377"/>
      <c r="BY225" s="377"/>
      <c r="BZ225" s="377"/>
      <c r="CA225" s="377"/>
      <c r="CB225" s="377"/>
      <c r="CC225" s="377"/>
      <c r="CD225" s="377"/>
      <c r="CE225" s="377"/>
      <c r="CF225" s="377"/>
      <c r="CG225" s="377"/>
      <c r="CH225" s="377"/>
      <c r="CI225" s="377"/>
    </row>
    <row r="226" spans="1:87" ht="15">
      <c r="A226" s="377"/>
      <c r="B226" s="377"/>
      <c r="C226" s="572"/>
      <c r="D226" s="377"/>
      <c r="E226" s="377"/>
      <c r="F226" s="377"/>
      <c r="G226" s="377"/>
      <c r="H226" s="573"/>
      <c r="I226" s="377"/>
      <c r="J226" s="377"/>
      <c r="K226" s="377"/>
      <c r="L226" s="377"/>
      <c r="M226" s="377"/>
      <c r="N226" s="377"/>
      <c r="O226" s="377"/>
      <c r="P226" s="377"/>
      <c r="Q226" s="377"/>
      <c r="R226" s="377"/>
      <c r="S226" s="377"/>
      <c r="T226" s="377"/>
      <c r="U226" s="377"/>
      <c r="V226" s="377"/>
      <c r="W226" s="377"/>
      <c r="X226" s="574"/>
      <c r="Y226" s="377"/>
      <c r="Z226" s="377"/>
      <c r="AA226" s="377"/>
      <c r="AB226" s="377"/>
      <c r="AC226" s="377"/>
      <c r="AD226" s="377"/>
      <c r="AE226" s="377"/>
      <c r="AF226" s="377"/>
      <c r="AG226" s="377"/>
      <c r="AH226" s="377"/>
      <c r="AI226" s="377"/>
      <c r="AJ226" s="377"/>
      <c r="AK226" s="377"/>
      <c r="AL226" s="574"/>
      <c r="AM226" s="377"/>
      <c r="AN226" s="377"/>
      <c r="AO226" s="377"/>
      <c r="AP226" s="377"/>
      <c r="AQ226" s="377"/>
      <c r="AR226" s="377"/>
      <c r="AS226" s="377"/>
      <c r="AT226" s="377"/>
      <c r="AU226" s="377"/>
      <c r="AV226" s="377"/>
      <c r="AW226" s="575"/>
      <c r="AX226" s="377"/>
      <c r="AY226" s="377"/>
      <c r="AZ226" s="377"/>
      <c r="BA226" s="377"/>
      <c r="BB226" s="377"/>
      <c r="BC226" s="377"/>
      <c r="BD226" s="377"/>
      <c r="BE226" s="377"/>
      <c r="BF226" s="377"/>
      <c r="BG226" s="377"/>
      <c r="BH226" s="377"/>
      <c r="BI226" s="377"/>
      <c r="BJ226" s="377"/>
      <c r="BK226" s="377"/>
      <c r="BL226" s="377"/>
      <c r="BM226" s="377"/>
      <c r="BN226" s="576"/>
      <c r="BO226" s="377"/>
      <c r="BP226" s="377"/>
      <c r="BQ226" s="377"/>
      <c r="BR226" s="377"/>
      <c r="BS226" s="377"/>
      <c r="BT226" s="377"/>
      <c r="BU226" s="377"/>
      <c r="BV226" s="377"/>
      <c r="BW226" s="377"/>
      <c r="BX226" s="377"/>
      <c r="BY226" s="377"/>
      <c r="BZ226" s="377"/>
      <c r="CA226" s="377"/>
      <c r="CB226" s="377"/>
      <c r="CC226" s="377"/>
      <c r="CD226" s="377"/>
      <c r="CE226" s="377"/>
      <c r="CF226" s="377"/>
      <c r="CG226" s="377"/>
      <c r="CH226" s="377"/>
      <c r="CI226" s="377"/>
    </row>
    <row r="227" spans="1:87" ht="15">
      <c r="A227" s="377"/>
      <c r="B227" s="377"/>
      <c r="C227" s="572"/>
      <c r="D227" s="377"/>
      <c r="E227" s="377"/>
      <c r="F227" s="377"/>
      <c r="G227" s="377"/>
      <c r="H227" s="573"/>
      <c r="I227" s="377"/>
      <c r="J227" s="377"/>
      <c r="K227" s="377"/>
      <c r="L227" s="377"/>
      <c r="M227" s="377"/>
      <c r="N227" s="377"/>
      <c r="O227" s="377"/>
      <c r="P227" s="377"/>
      <c r="Q227" s="377"/>
      <c r="R227" s="377"/>
      <c r="S227" s="377"/>
      <c r="T227" s="377"/>
      <c r="U227" s="377"/>
      <c r="V227" s="377"/>
      <c r="W227" s="377"/>
      <c r="X227" s="574"/>
      <c r="Y227" s="377"/>
      <c r="Z227" s="377"/>
      <c r="AA227" s="377"/>
      <c r="AB227" s="377"/>
      <c r="AC227" s="377"/>
      <c r="AD227" s="377"/>
      <c r="AE227" s="377"/>
      <c r="AF227" s="377"/>
      <c r="AG227" s="377"/>
      <c r="AH227" s="377"/>
      <c r="AI227" s="377"/>
      <c r="AJ227" s="377"/>
      <c r="AK227" s="377"/>
      <c r="AL227" s="574"/>
      <c r="AM227" s="377"/>
      <c r="AN227" s="377"/>
      <c r="AO227" s="377"/>
      <c r="AP227" s="377"/>
      <c r="AQ227" s="377"/>
      <c r="AR227" s="377"/>
      <c r="AS227" s="377"/>
      <c r="AT227" s="377"/>
      <c r="AU227" s="377"/>
      <c r="AV227" s="377"/>
      <c r="AW227" s="575"/>
      <c r="AX227" s="377"/>
      <c r="AY227" s="377"/>
      <c r="AZ227" s="377"/>
      <c r="BA227" s="377"/>
      <c r="BB227" s="377"/>
      <c r="BC227" s="377"/>
      <c r="BD227" s="377"/>
      <c r="BE227" s="377"/>
      <c r="BF227" s="377"/>
      <c r="BG227" s="377"/>
      <c r="BH227" s="377"/>
      <c r="BI227" s="377"/>
      <c r="BJ227" s="377"/>
      <c r="BK227" s="377"/>
      <c r="BL227" s="377"/>
      <c r="BM227" s="377"/>
      <c r="BN227" s="576"/>
      <c r="BO227" s="377"/>
      <c r="BP227" s="377"/>
      <c r="BQ227" s="377"/>
      <c r="BR227" s="377"/>
      <c r="BS227" s="377"/>
      <c r="BT227" s="377"/>
      <c r="BU227" s="377"/>
      <c r="BV227" s="377"/>
      <c r="BW227" s="377"/>
      <c r="BX227" s="377"/>
      <c r="BY227" s="377"/>
      <c r="BZ227" s="377"/>
      <c r="CA227" s="377"/>
      <c r="CB227" s="377"/>
      <c r="CC227" s="377"/>
      <c r="CD227" s="377"/>
      <c r="CE227" s="377"/>
      <c r="CF227" s="377"/>
      <c r="CG227" s="377"/>
      <c r="CH227" s="377"/>
      <c r="CI227" s="377"/>
    </row>
    <row r="228" spans="1:87" ht="15">
      <c r="A228" s="377"/>
      <c r="B228" s="377"/>
      <c r="C228" s="572"/>
      <c r="D228" s="377"/>
      <c r="E228" s="377"/>
      <c r="F228" s="377"/>
      <c r="G228" s="377"/>
      <c r="H228" s="573"/>
      <c r="I228" s="377"/>
      <c r="J228" s="377"/>
      <c r="K228" s="377"/>
      <c r="L228" s="377"/>
      <c r="M228" s="377"/>
      <c r="N228" s="377"/>
      <c r="O228" s="377"/>
      <c r="P228" s="377"/>
      <c r="Q228" s="377"/>
      <c r="R228" s="377"/>
      <c r="S228" s="377"/>
      <c r="T228" s="377"/>
      <c r="U228" s="377"/>
      <c r="V228" s="377"/>
      <c r="W228" s="377"/>
      <c r="X228" s="574"/>
      <c r="Y228" s="377"/>
      <c r="Z228" s="377"/>
      <c r="AA228" s="377"/>
      <c r="AB228" s="377"/>
      <c r="AC228" s="377"/>
      <c r="AD228" s="377"/>
      <c r="AE228" s="377"/>
      <c r="AF228" s="377"/>
      <c r="AG228" s="377"/>
      <c r="AH228" s="377"/>
      <c r="AI228" s="377"/>
      <c r="AJ228" s="377"/>
      <c r="AK228" s="377"/>
      <c r="AL228" s="574"/>
      <c r="AM228" s="377"/>
      <c r="AN228" s="377"/>
      <c r="AO228" s="377"/>
      <c r="AP228" s="377"/>
      <c r="AQ228" s="377"/>
      <c r="AR228" s="377"/>
      <c r="AS228" s="377"/>
      <c r="AT228" s="377"/>
      <c r="AU228" s="377"/>
      <c r="AV228" s="377"/>
      <c r="AW228" s="575"/>
      <c r="AX228" s="377"/>
      <c r="AY228" s="377"/>
      <c r="AZ228" s="377"/>
      <c r="BA228" s="377"/>
      <c r="BB228" s="377"/>
      <c r="BC228" s="377"/>
      <c r="BD228" s="377"/>
      <c r="BE228" s="377"/>
      <c r="BF228" s="377"/>
      <c r="BG228" s="377"/>
      <c r="BH228" s="377"/>
      <c r="BI228" s="377"/>
      <c r="BJ228" s="377"/>
      <c r="BK228" s="377"/>
      <c r="BL228" s="377"/>
      <c r="BM228" s="377"/>
      <c r="BN228" s="576"/>
      <c r="BO228" s="377"/>
      <c r="BP228" s="377"/>
      <c r="BQ228" s="377"/>
      <c r="BR228" s="377"/>
      <c r="BS228" s="377"/>
      <c r="BT228" s="377"/>
      <c r="BU228" s="377"/>
      <c r="BV228" s="377"/>
      <c r="BW228" s="377"/>
      <c r="BX228" s="377"/>
      <c r="BY228" s="377"/>
      <c r="BZ228" s="377"/>
      <c r="CA228" s="377"/>
      <c r="CB228" s="377"/>
      <c r="CC228" s="377"/>
      <c r="CD228" s="377"/>
      <c r="CE228" s="377"/>
      <c r="CF228" s="377"/>
      <c r="CG228" s="377"/>
      <c r="CH228" s="377"/>
      <c r="CI228" s="377"/>
    </row>
    <row r="229" spans="1:87" ht="15">
      <c r="A229" s="377"/>
      <c r="B229" s="377"/>
      <c r="C229" s="572"/>
      <c r="D229" s="377"/>
      <c r="E229" s="377"/>
      <c r="F229" s="377"/>
      <c r="G229" s="377"/>
      <c r="H229" s="573"/>
      <c r="I229" s="377"/>
      <c r="J229" s="377"/>
      <c r="K229" s="377"/>
      <c r="L229" s="377"/>
      <c r="M229" s="377"/>
      <c r="N229" s="377"/>
      <c r="O229" s="377"/>
      <c r="P229" s="377"/>
      <c r="Q229" s="377"/>
      <c r="R229" s="377"/>
      <c r="S229" s="377"/>
      <c r="T229" s="377"/>
      <c r="U229" s="377"/>
      <c r="V229" s="377"/>
      <c r="W229" s="377"/>
      <c r="X229" s="574"/>
      <c r="Y229" s="377"/>
      <c r="Z229" s="377"/>
      <c r="AA229" s="377"/>
      <c r="AB229" s="377"/>
      <c r="AC229" s="377"/>
      <c r="AD229" s="377"/>
      <c r="AE229" s="377"/>
      <c r="AF229" s="377"/>
      <c r="AG229" s="377"/>
      <c r="AH229" s="377"/>
      <c r="AI229" s="377"/>
      <c r="AJ229" s="377"/>
      <c r="AK229" s="377"/>
      <c r="AL229" s="574"/>
      <c r="AM229" s="377"/>
      <c r="AN229" s="377"/>
      <c r="AO229" s="377"/>
      <c r="AP229" s="377"/>
      <c r="AQ229" s="377"/>
      <c r="AR229" s="377"/>
      <c r="AS229" s="377"/>
      <c r="AT229" s="377"/>
      <c r="AU229" s="377"/>
      <c r="AV229" s="377"/>
      <c r="AW229" s="575"/>
      <c r="AX229" s="377"/>
      <c r="AY229" s="377"/>
      <c r="AZ229" s="377"/>
      <c r="BA229" s="377"/>
      <c r="BB229" s="377"/>
      <c r="BC229" s="377"/>
      <c r="BD229" s="377"/>
      <c r="BE229" s="377"/>
      <c r="BF229" s="377"/>
      <c r="BG229" s="377"/>
      <c r="BH229" s="377"/>
      <c r="BI229" s="377"/>
      <c r="BJ229" s="377"/>
      <c r="BK229" s="377"/>
      <c r="BL229" s="377"/>
      <c r="BM229" s="377"/>
      <c r="BN229" s="576"/>
      <c r="BO229" s="377"/>
      <c r="BP229" s="377"/>
      <c r="BQ229" s="377"/>
      <c r="BR229" s="377"/>
      <c r="BS229" s="377"/>
      <c r="BT229" s="377"/>
      <c r="BU229" s="377"/>
      <c r="BV229" s="377"/>
      <c r="BW229" s="377"/>
      <c r="BX229" s="377"/>
      <c r="BY229" s="377"/>
      <c r="BZ229" s="377"/>
      <c r="CA229" s="377"/>
      <c r="CB229" s="377"/>
      <c r="CC229" s="377"/>
      <c r="CD229" s="377"/>
      <c r="CE229" s="377"/>
      <c r="CF229" s="377"/>
      <c r="CG229" s="377"/>
      <c r="CH229" s="377"/>
      <c r="CI229" s="377"/>
    </row>
    <row r="230" spans="1:87" ht="15">
      <c r="A230" s="377"/>
      <c r="B230" s="377"/>
      <c r="C230" s="572"/>
      <c r="D230" s="377"/>
      <c r="E230" s="377"/>
      <c r="F230" s="377"/>
      <c r="G230" s="377"/>
      <c r="H230" s="573"/>
      <c r="I230" s="377"/>
      <c r="J230" s="377"/>
      <c r="K230" s="377"/>
      <c r="L230" s="377"/>
      <c r="M230" s="377"/>
      <c r="N230" s="377"/>
      <c r="O230" s="377"/>
      <c r="P230" s="377"/>
      <c r="Q230" s="377"/>
      <c r="R230" s="377"/>
      <c r="S230" s="377"/>
      <c r="T230" s="377"/>
      <c r="U230" s="377"/>
      <c r="V230" s="377"/>
      <c r="W230" s="377"/>
      <c r="X230" s="574"/>
      <c r="Y230" s="377"/>
      <c r="Z230" s="377"/>
      <c r="AA230" s="377"/>
      <c r="AB230" s="377"/>
      <c r="AC230" s="377"/>
      <c r="AD230" s="377"/>
      <c r="AE230" s="377"/>
      <c r="AF230" s="377"/>
      <c r="AG230" s="377"/>
      <c r="AH230" s="377"/>
      <c r="AI230" s="377"/>
      <c r="AJ230" s="377"/>
      <c r="AK230" s="377"/>
      <c r="AL230" s="574"/>
      <c r="AM230" s="377"/>
      <c r="AN230" s="377"/>
      <c r="AO230" s="377"/>
      <c r="AP230" s="377"/>
      <c r="AQ230" s="377"/>
      <c r="AR230" s="377"/>
      <c r="AS230" s="377"/>
      <c r="AT230" s="377"/>
      <c r="AU230" s="377"/>
      <c r="AV230" s="377"/>
      <c r="AW230" s="575"/>
      <c r="AX230" s="377"/>
      <c r="AY230" s="377"/>
      <c r="AZ230" s="377"/>
      <c r="BA230" s="377"/>
      <c r="BB230" s="377"/>
      <c r="BC230" s="377"/>
      <c r="BD230" s="377"/>
      <c r="BE230" s="377"/>
      <c r="BF230" s="377"/>
      <c r="BG230" s="377"/>
      <c r="BH230" s="377"/>
      <c r="BI230" s="377"/>
      <c r="BJ230" s="377"/>
      <c r="BK230" s="377"/>
      <c r="BL230" s="377"/>
      <c r="BM230" s="377"/>
      <c r="BN230" s="576"/>
      <c r="BO230" s="377"/>
      <c r="BP230" s="377"/>
      <c r="BQ230" s="377"/>
      <c r="BR230" s="377"/>
      <c r="BS230" s="377"/>
      <c r="BT230" s="377"/>
      <c r="BU230" s="377"/>
      <c r="BV230" s="377"/>
      <c r="BW230" s="377"/>
      <c r="BX230" s="377"/>
      <c r="BY230" s="377"/>
      <c r="BZ230" s="377"/>
      <c r="CA230" s="377"/>
      <c r="CB230" s="377"/>
      <c r="CC230" s="377"/>
      <c r="CD230" s="377"/>
      <c r="CE230" s="377"/>
      <c r="CF230" s="377"/>
      <c r="CG230" s="377"/>
      <c r="CH230" s="377"/>
      <c r="CI230" s="377"/>
    </row>
    <row r="231" spans="1:87" ht="15">
      <c r="A231" s="377"/>
      <c r="B231" s="377"/>
      <c r="C231" s="572"/>
      <c r="D231" s="377"/>
      <c r="E231" s="377"/>
      <c r="F231" s="377"/>
      <c r="G231" s="377"/>
      <c r="H231" s="573"/>
      <c r="I231" s="377"/>
      <c r="J231" s="377"/>
      <c r="K231" s="377"/>
      <c r="L231" s="377"/>
      <c r="M231" s="377"/>
      <c r="N231" s="377"/>
      <c r="O231" s="377"/>
      <c r="P231" s="377"/>
      <c r="Q231" s="377"/>
      <c r="R231" s="377"/>
      <c r="S231" s="377"/>
      <c r="T231" s="377"/>
      <c r="U231" s="377"/>
      <c r="V231" s="377"/>
      <c r="W231" s="377"/>
      <c r="X231" s="574"/>
      <c r="Y231" s="377"/>
      <c r="Z231" s="377"/>
      <c r="AA231" s="377"/>
      <c r="AB231" s="377"/>
      <c r="AC231" s="377"/>
      <c r="AD231" s="377"/>
      <c r="AE231" s="377"/>
      <c r="AF231" s="377"/>
      <c r="AG231" s="377"/>
      <c r="AH231" s="377"/>
      <c r="AI231" s="377"/>
      <c r="AJ231" s="377"/>
      <c r="AK231" s="377"/>
      <c r="AL231" s="574"/>
      <c r="AM231" s="377"/>
      <c r="AN231" s="377"/>
      <c r="AO231" s="377"/>
      <c r="AP231" s="377"/>
      <c r="AQ231" s="377"/>
      <c r="AR231" s="377"/>
      <c r="AS231" s="377"/>
      <c r="AT231" s="377"/>
      <c r="AU231" s="377"/>
      <c r="AV231" s="377"/>
      <c r="AW231" s="575"/>
      <c r="AX231" s="377"/>
      <c r="AY231" s="377"/>
      <c r="AZ231" s="377"/>
      <c r="BA231" s="377"/>
      <c r="BB231" s="377"/>
      <c r="BC231" s="377"/>
      <c r="BD231" s="377"/>
      <c r="BE231" s="377"/>
      <c r="BF231" s="377"/>
      <c r="BG231" s="377"/>
      <c r="BH231" s="377"/>
      <c r="BI231" s="377"/>
      <c r="BJ231" s="377"/>
      <c r="BK231" s="377"/>
      <c r="BL231" s="377"/>
      <c r="BM231" s="377"/>
      <c r="BN231" s="576"/>
      <c r="BO231" s="377"/>
      <c r="BP231" s="377"/>
      <c r="BQ231" s="377"/>
      <c r="BR231" s="377"/>
      <c r="BS231" s="377"/>
      <c r="BT231" s="377"/>
      <c r="BU231" s="377"/>
      <c r="BV231" s="377"/>
      <c r="BW231" s="377"/>
      <c r="BX231" s="377"/>
      <c r="BY231" s="377"/>
      <c r="BZ231" s="377"/>
      <c r="CA231" s="377"/>
      <c r="CB231" s="377"/>
      <c r="CC231" s="377"/>
      <c r="CD231" s="377"/>
      <c r="CE231" s="377"/>
      <c r="CF231" s="377"/>
      <c r="CG231" s="377"/>
      <c r="CH231" s="377"/>
      <c r="CI231" s="377"/>
    </row>
    <row r="232" spans="1:87" ht="15">
      <c r="A232" s="377"/>
      <c r="B232" s="377"/>
      <c r="C232" s="572"/>
      <c r="D232" s="377"/>
      <c r="E232" s="377"/>
      <c r="F232" s="377"/>
      <c r="G232" s="377"/>
      <c r="H232" s="573"/>
      <c r="I232" s="377"/>
      <c r="J232" s="377"/>
      <c r="K232" s="377"/>
      <c r="L232" s="377"/>
      <c r="M232" s="377"/>
      <c r="N232" s="377"/>
      <c r="O232" s="377"/>
      <c r="P232" s="377"/>
      <c r="Q232" s="377"/>
      <c r="R232" s="377"/>
      <c r="S232" s="377"/>
      <c r="T232" s="377"/>
      <c r="U232" s="377"/>
      <c r="V232" s="377"/>
      <c r="W232" s="377"/>
      <c r="X232" s="574"/>
      <c r="Y232" s="377"/>
      <c r="Z232" s="377"/>
      <c r="AA232" s="377"/>
      <c r="AB232" s="377"/>
      <c r="AC232" s="377"/>
      <c r="AD232" s="377"/>
      <c r="AE232" s="377"/>
      <c r="AF232" s="377"/>
      <c r="AG232" s="377"/>
      <c r="AH232" s="377"/>
      <c r="AI232" s="377"/>
      <c r="AJ232" s="377"/>
      <c r="AK232" s="377"/>
      <c r="AL232" s="574"/>
      <c r="AM232" s="377"/>
      <c r="AN232" s="377"/>
      <c r="AO232" s="377"/>
      <c r="AP232" s="377"/>
      <c r="AQ232" s="377"/>
      <c r="AR232" s="377"/>
      <c r="AS232" s="377"/>
      <c r="AT232" s="377"/>
      <c r="AU232" s="377"/>
      <c r="AV232" s="377"/>
      <c r="AW232" s="575"/>
      <c r="AX232" s="377"/>
      <c r="AY232" s="377"/>
      <c r="AZ232" s="377"/>
      <c r="BA232" s="377"/>
      <c r="BB232" s="377"/>
      <c r="BC232" s="377"/>
      <c r="BD232" s="377"/>
      <c r="BE232" s="377"/>
      <c r="BF232" s="377"/>
      <c r="BG232" s="377"/>
      <c r="BH232" s="377"/>
      <c r="BI232" s="377"/>
      <c r="BJ232" s="377"/>
      <c r="BK232" s="377"/>
      <c r="BL232" s="377"/>
      <c r="BM232" s="377"/>
      <c r="BN232" s="576"/>
      <c r="BO232" s="377"/>
      <c r="BP232" s="377"/>
      <c r="BQ232" s="377"/>
      <c r="BR232" s="377"/>
      <c r="BS232" s="377"/>
      <c r="BT232" s="377"/>
      <c r="BU232" s="377"/>
      <c r="BV232" s="377"/>
      <c r="BW232" s="377"/>
      <c r="BX232" s="377"/>
      <c r="BY232" s="377"/>
      <c r="BZ232" s="377"/>
      <c r="CA232" s="377"/>
      <c r="CB232" s="377"/>
      <c r="CC232" s="377"/>
      <c r="CD232" s="377"/>
      <c r="CE232" s="377"/>
      <c r="CF232" s="377"/>
      <c r="CG232" s="377"/>
      <c r="CH232" s="377"/>
      <c r="CI232" s="377"/>
    </row>
    <row r="233" spans="1:87" ht="15">
      <c r="A233" s="377"/>
      <c r="B233" s="377"/>
      <c r="C233" s="572"/>
      <c r="D233" s="377"/>
      <c r="E233" s="377"/>
      <c r="F233" s="377"/>
      <c r="G233" s="377"/>
      <c r="H233" s="573"/>
      <c r="I233" s="377"/>
      <c r="J233" s="377"/>
      <c r="K233" s="377"/>
      <c r="L233" s="377"/>
      <c r="M233" s="377"/>
      <c r="N233" s="377"/>
      <c r="O233" s="377"/>
      <c r="P233" s="377"/>
      <c r="Q233" s="377"/>
      <c r="R233" s="377"/>
      <c r="S233" s="377"/>
      <c r="T233" s="377"/>
      <c r="U233" s="377"/>
      <c r="V233" s="377"/>
      <c r="W233" s="377"/>
      <c r="X233" s="574"/>
      <c r="Y233" s="377"/>
      <c r="Z233" s="377"/>
      <c r="AA233" s="377"/>
      <c r="AB233" s="377"/>
      <c r="AC233" s="377"/>
      <c r="AD233" s="377"/>
      <c r="AE233" s="377"/>
      <c r="AF233" s="377"/>
      <c r="AG233" s="377"/>
      <c r="AH233" s="377"/>
      <c r="AI233" s="377"/>
      <c r="AJ233" s="377"/>
      <c r="AK233" s="377"/>
      <c r="AL233" s="574"/>
      <c r="AM233" s="377"/>
      <c r="AN233" s="377"/>
      <c r="AO233" s="377"/>
      <c r="AP233" s="377"/>
      <c r="AQ233" s="377"/>
      <c r="AR233" s="377"/>
      <c r="AS233" s="377"/>
      <c r="AT233" s="377"/>
      <c r="AU233" s="377"/>
      <c r="AV233" s="377"/>
      <c r="AW233" s="575"/>
      <c r="AX233" s="377"/>
      <c r="AY233" s="377"/>
      <c r="AZ233" s="377"/>
      <c r="BA233" s="377"/>
      <c r="BB233" s="377"/>
      <c r="BC233" s="377"/>
      <c r="BD233" s="377"/>
      <c r="BE233" s="377"/>
      <c r="BF233" s="377"/>
      <c r="BG233" s="377"/>
      <c r="BH233" s="377"/>
      <c r="BI233" s="377"/>
      <c r="BJ233" s="377"/>
      <c r="BK233" s="377"/>
      <c r="BL233" s="377"/>
      <c r="BM233" s="377"/>
      <c r="BN233" s="576"/>
      <c r="BO233" s="377"/>
      <c r="BP233" s="377"/>
      <c r="BQ233" s="377"/>
      <c r="BR233" s="377"/>
      <c r="BS233" s="377"/>
      <c r="BT233" s="377"/>
      <c r="BU233" s="377"/>
      <c r="BV233" s="377"/>
      <c r="BW233" s="377"/>
      <c r="BX233" s="377"/>
      <c r="BY233" s="377"/>
      <c r="BZ233" s="377"/>
      <c r="CA233" s="377"/>
      <c r="CB233" s="377"/>
      <c r="CC233" s="377"/>
      <c r="CD233" s="377"/>
      <c r="CE233" s="377"/>
      <c r="CF233" s="377"/>
      <c r="CG233" s="377"/>
      <c r="CH233" s="377"/>
      <c r="CI233" s="377"/>
    </row>
    <row r="234" spans="1:87" ht="15">
      <c r="A234" s="377"/>
      <c r="B234" s="377"/>
      <c r="C234" s="572"/>
      <c r="D234" s="377"/>
      <c r="E234" s="377"/>
      <c r="F234" s="377"/>
      <c r="G234" s="377"/>
      <c r="H234" s="573"/>
      <c r="I234" s="377"/>
      <c r="J234" s="377"/>
      <c r="K234" s="377"/>
      <c r="L234" s="377"/>
      <c r="M234" s="377"/>
      <c r="N234" s="377"/>
      <c r="O234" s="377"/>
      <c r="P234" s="377"/>
      <c r="Q234" s="377"/>
      <c r="R234" s="377"/>
      <c r="S234" s="377"/>
      <c r="T234" s="377"/>
      <c r="U234" s="377"/>
      <c r="V234" s="377"/>
      <c r="W234" s="377"/>
      <c r="X234" s="574"/>
      <c r="Y234" s="377"/>
      <c r="Z234" s="377"/>
      <c r="AA234" s="377"/>
      <c r="AB234" s="377"/>
      <c r="AC234" s="377"/>
      <c r="AD234" s="377"/>
      <c r="AE234" s="377"/>
      <c r="AF234" s="377"/>
      <c r="AG234" s="377"/>
      <c r="AH234" s="377"/>
      <c r="AI234" s="377"/>
      <c r="AJ234" s="377"/>
      <c r="AK234" s="377"/>
      <c r="AL234" s="574"/>
      <c r="AM234" s="377"/>
      <c r="AN234" s="377"/>
      <c r="AO234" s="377"/>
      <c r="AP234" s="377"/>
      <c r="AQ234" s="377"/>
      <c r="AR234" s="377"/>
      <c r="AS234" s="377"/>
      <c r="AT234" s="377"/>
      <c r="AU234" s="377"/>
      <c r="AV234" s="377"/>
      <c r="AW234" s="575"/>
      <c r="AX234" s="377"/>
      <c r="AY234" s="377"/>
      <c r="AZ234" s="377"/>
      <c r="BA234" s="377"/>
      <c r="BB234" s="377"/>
      <c r="BC234" s="377"/>
      <c r="BD234" s="377"/>
      <c r="BE234" s="377"/>
      <c r="BF234" s="377"/>
      <c r="BG234" s="377"/>
      <c r="BH234" s="377"/>
      <c r="BI234" s="377"/>
      <c r="BJ234" s="377"/>
      <c r="BK234" s="377"/>
      <c r="BL234" s="377"/>
      <c r="BM234" s="377"/>
      <c r="BN234" s="576"/>
      <c r="BO234" s="377"/>
      <c r="BP234" s="377"/>
      <c r="BQ234" s="377"/>
      <c r="BR234" s="377"/>
      <c r="BS234" s="377"/>
      <c r="BT234" s="377"/>
      <c r="BU234" s="377"/>
      <c r="BV234" s="377"/>
      <c r="BW234" s="377"/>
      <c r="BX234" s="377"/>
      <c r="BY234" s="377"/>
      <c r="BZ234" s="377"/>
      <c r="CA234" s="377"/>
      <c r="CB234" s="377"/>
      <c r="CC234" s="377"/>
      <c r="CD234" s="377"/>
      <c r="CE234" s="377"/>
      <c r="CF234" s="377"/>
      <c r="CG234" s="377"/>
      <c r="CH234" s="377"/>
      <c r="CI234" s="377"/>
    </row>
    <row r="235" spans="1:87" ht="15">
      <c r="A235" s="377"/>
      <c r="B235" s="377"/>
      <c r="C235" s="572"/>
      <c r="D235" s="377"/>
      <c r="E235" s="377"/>
      <c r="F235" s="377"/>
      <c r="G235" s="377"/>
      <c r="H235" s="573"/>
      <c r="I235" s="377"/>
      <c r="J235" s="377"/>
      <c r="K235" s="377"/>
      <c r="L235" s="377"/>
      <c r="M235" s="377"/>
      <c r="N235" s="377"/>
      <c r="O235" s="377"/>
      <c r="P235" s="377"/>
      <c r="Q235" s="377"/>
      <c r="R235" s="377"/>
      <c r="S235" s="377"/>
      <c r="T235" s="377"/>
      <c r="U235" s="377"/>
      <c r="V235" s="377"/>
      <c r="W235" s="377"/>
      <c r="X235" s="574"/>
      <c r="Y235" s="377"/>
      <c r="Z235" s="377"/>
      <c r="AA235" s="377"/>
      <c r="AB235" s="377"/>
      <c r="AC235" s="377"/>
      <c r="AD235" s="377"/>
      <c r="AE235" s="377"/>
      <c r="AF235" s="377"/>
      <c r="AG235" s="377"/>
      <c r="AH235" s="377"/>
      <c r="AI235" s="377"/>
      <c r="AJ235" s="377"/>
      <c r="AK235" s="377"/>
      <c r="AL235" s="574"/>
      <c r="AM235" s="377"/>
      <c r="AN235" s="377"/>
      <c r="AO235" s="377"/>
      <c r="AP235" s="377"/>
      <c r="AQ235" s="377"/>
      <c r="AR235" s="377"/>
      <c r="AS235" s="377"/>
      <c r="AT235" s="377"/>
      <c r="AU235" s="377"/>
      <c r="AV235" s="377"/>
      <c r="AW235" s="575"/>
      <c r="AX235" s="377"/>
      <c r="AY235" s="377"/>
      <c r="AZ235" s="377"/>
      <c r="BA235" s="377"/>
      <c r="BB235" s="377"/>
      <c r="BC235" s="377"/>
      <c r="BD235" s="377"/>
      <c r="BE235" s="377"/>
      <c r="BF235" s="377"/>
      <c r="BG235" s="377"/>
      <c r="BH235" s="377"/>
      <c r="BI235" s="377"/>
      <c r="BJ235" s="377"/>
      <c r="BK235" s="377"/>
      <c r="BL235" s="377"/>
      <c r="BM235" s="377"/>
      <c r="BN235" s="576"/>
      <c r="BO235" s="377"/>
      <c r="BP235" s="377"/>
      <c r="BQ235" s="377"/>
      <c r="BR235" s="377"/>
      <c r="BS235" s="377"/>
      <c r="BT235" s="377"/>
      <c r="BU235" s="377"/>
      <c r="BV235" s="377"/>
      <c r="BW235" s="377"/>
      <c r="BX235" s="377"/>
      <c r="BY235" s="377"/>
      <c r="BZ235" s="377"/>
      <c r="CA235" s="377"/>
      <c r="CB235" s="377"/>
      <c r="CC235" s="377"/>
      <c r="CD235" s="377"/>
      <c r="CE235" s="377"/>
      <c r="CF235" s="377"/>
      <c r="CG235" s="377"/>
      <c r="CH235" s="377"/>
      <c r="CI235" s="377"/>
    </row>
    <row r="236" spans="1:87" ht="15">
      <c r="A236" s="377"/>
      <c r="B236" s="377"/>
      <c r="C236" s="572"/>
      <c r="D236" s="377"/>
      <c r="E236" s="377"/>
      <c r="F236" s="377"/>
      <c r="G236" s="377"/>
      <c r="H236" s="573"/>
      <c r="I236" s="377"/>
      <c r="J236" s="377"/>
      <c r="K236" s="377"/>
      <c r="L236" s="377"/>
      <c r="M236" s="377"/>
      <c r="N236" s="377"/>
      <c r="O236" s="377"/>
      <c r="P236" s="377"/>
      <c r="Q236" s="377"/>
      <c r="R236" s="377"/>
      <c r="S236" s="377"/>
      <c r="T236" s="377"/>
      <c r="U236" s="377"/>
      <c r="V236" s="377"/>
      <c r="W236" s="377"/>
      <c r="X236" s="574"/>
      <c r="Y236" s="377"/>
      <c r="Z236" s="377"/>
      <c r="AA236" s="377"/>
      <c r="AB236" s="377"/>
      <c r="AC236" s="377"/>
      <c r="AD236" s="377"/>
      <c r="AE236" s="377"/>
      <c r="AF236" s="377"/>
      <c r="AG236" s="377"/>
      <c r="AH236" s="377"/>
      <c r="AI236" s="377"/>
      <c r="AJ236" s="377"/>
      <c r="AK236" s="377"/>
      <c r="AL236" s="574"/>
      <c r="AM236" s="377"/>
      <c r="AN236" s="377"/>
      <c r="AO236" s="377"/>
      <c r="AP236" s="377"/>
      <c r="AQ236" s="377"/>
      <c r="AR236" s="377"/>
      <c r="AS236" s="377"/>
      <c r="AT236" s="377"/>
      <c r="AU236" s="377"/>
      <c r="AV236" s="377"/>
      <c r="AW236" s="575"/>
      <c r="AX236" s="377"/>
      <c r="AY236" s="377"/>
      <c r="AZ236" s="377"/>
      <c r="BA236" s="377"/>
      <c r="BB236" s="377"/>
      <c r="BC236" s="377"/>
      <c r="BD236" s="377"/>
      <c r="BE236" s="377"/>
      <c r="BF236" s="377"/>
      <c r="BG236" s="377"/>
      <c r="BH236" s="377"/>
      <c r="BI236" s="377"/>
      <c r="BJ236" s="377"/>
      <c r="BK236" s="377"/>
      <c r="BL236" s="377"/>
      <c r="BM236" s="377"/>
      <c r="BN236" s="576"/>
      <c r="BO236" s="377"/>
      <c r="BP236" s="377"/>
      <c r="BQ236" s="377"/>
      <c r="BR236" s="377"/>
      <c r="BS236" s="377"/>
      <c r="BT236" s="377"/>
      <c r="BU236" s="377"/>
      <c r="BV236" s="377"/>
      <c r="BW236" s="377"/>
      <c r="BX236" s="377"/>
      <c r="BY236" s="377"/>
      <c r="BZ236" s="377"/>
      <c r="CA236" s="377"/>
      <c r="CB236" s="377"/>
      <c r="CC236" s="377"/>
      <c r="CD236" s="377"/>
      <c r="CE236" s="377"/>
      <c r="CF236" s="377"/>
      <c r="CG236" s="377"/>
      <c r="CH236" s="377"/>
      <c r="CI236" s="377"/>
    </row>
    <row r="237" spans="1:87" ht="15">
      <c r="A237" s="377"/>
      <c r="B237" s="377"/>
      <c r="C237" s="572"/>
      <c r="D237" s="377"/>
      <c r="E237" s="377"/>
      <c r="F237" s="377"/>
      <c r="G237" s="377"/>
      <c r="H237" s="573"/>
      <c r="I237" s="377"/>
      <c r="J237" s="377"/>
      <c r="K237" s="377"/>
      <c r="L237" s="377"/>
      <c r="M237" s="377"/>
      <c r="N237" s="377"/>
      <c r="O237" s="377"/>
      <c r="P237" s="377"/>
      <c r="Q237" s="377"/>
      <c r="R237" s="377"/>
      <c r="S237" s="377"/>
      <c r="T237" s="377"/>
      <c r="U237" s="377"/>
      <c r="V237" s="377"/>
      <c r="W237" s="377"/>
      <c r="X237" s="574"/>
      <c r="Y237" s="377"/>
      <c r="Z237" s="377"/>
      <c r="AA237" s="377"/>
      <c r="AB237" s="377"/>
      <c r="AC237" s="377"/>
      <c r="AD237" s="377"/>
      <c r="AE237" s="377"/>
      <c r="AF237" s="377"/>
      <c r="AG237" s="377"/>
      <c r="AH237" s="377"/>
      <c r="AI237" s="377"/>
      <c r="AJ237" s="377"/>
      <c r="AK237" s="377"/>
      <c r="AL237" s="574"/>
      <c r="AM237" s="377"/>
      <c r="AN237" s="377"/>
      <c r="AO237" s="377"/>
      <c r="AP237" s="377"/>
      <c r="AQ237" s="377"/>
      <c r="AR237" s="377"/>
      <c r="AS237" s="377"/>
      <c r="AT237" s="377"/>
      <c r="AU237" s="377"/>
      <c r="AV237" s="377"/>
      <c r="AW237" s="575"/>
      <c r="AX237" s="377"/>
      <c r="AY237" s="377"/>
      <c r="AZ237" s="377"/>
      <c r="BA237" s="377"/>
      <c r="BB237" s="377"/>
      <c r="BC237" s="377"/>
      <c r="BD237" s="377"/>
      <c r="BE237" s="377"/>
      <c r="BF237" s="377"/>
      <c r="BG237" s="377"/>
      <c r="BH237" s="377"/>
      <c r="BI237" s="377"/>
      <c r="BJ237" s="377"/>
      <c r="BK237" s="377"/>
      <c r="BL237" s="377"/>
      <c r="BM237" s="377"/>
      <c r="BN237" s="576"/>
      <c r="BO237" s="377"/>
      <c r="BP237" s="377"/>
      <c r="BQ237" s="377"/>
      <c r="BR237" s="377"/>
      <c r="BS237" s="377"/>
      <c r="BT237" s="377"/>
      <c r="BU237" s="377"/>
      <c r="BV237" s="377"/>
      <c r="BW237" s="377"/>
      <c r="BX237" s="377"/>
      <c r="BY237" s="377"/>
      <c r="BZ237" s="377"/>
      <c r="CA237" s="377"/>
      <c r="CB237" s="377"/>
      <c r="CC237" s="377"/>
      <c r="CD237" s="377"/>
      <c r="CE237" s="377"/>
      <c r="CF237" s="377"/>
      <c r="CG237" s="377"/>
      <c r="CH237" s="377"/>
      <c r="CI237" s="377"/>
    </row>
    <row r="238" spans="1:87" ht="15">
      <c r="A238" s="377"/>
      <c r="B238" s="377"/>
      <c r="C238" s="572"/>
      <c r="D238" s="377"/>
      <c r="E238" s="377"/>
      <c r="F238" s="377"/>
      <c r="G238" s="377"/>
      <c r="H238" s="573"/>
      <c r="I238" s="377"/>
      <c r="J238" s="377"/>
      <c r="K238" s="377"/>
      <c r="L238" s="377"/>
      <c r="M238" s="377"/>
      <c r="N238" s="377"/>
      <c r="O238" s="377"/>
      <c r="P238" s="377"/>
      <c r="Q238" s="377"/>
      <c r="R238" s="377"/>
      <c r="S238" s="377"/>
      <c r="T238" s="377"/>
      <c r="U238" s="377"/>
      <c r="V238" s="377"/>
      <c r="W238" s="377"/>
      <c r="X238" s="574"/>
      <c r="Y238" s="377"/>
      <c r="Z238" s="377"/>
      <c r="AA238" s="377"/>
      <c r="AB238" s="377"/>
      <c r="AC238" s="377"/>
      <c r="AD238" s="377"/>
      <c r="AE238" s="377"/>
      <c r="AF238" s="377"/>
      <c r="AG238" s="377"/>
      <c r="AH238" s="377"/>
      <c r="AI238" s="377"/>
      <c r="AJ238" s="377"/>
      <c r="AK238" s="377"/>
      <c r="AL238" s="574"/>
      <c r="AM238" s="377"/>
      <c r="AN238" s="377"/>
      <c r="AO238" s="377"/>
      <c r="AP238" s="377"/>
      <c r="AQ238" s="377"/>
      <c r="AR238" s="377"/>
      <c r="AS238" s="377"/>
      <c r="AT238" s="377"/>
      <c r="AU238" s="377"/>
      <c r="AV238" s="377"/>
      <c r="AW238" s="575"/>
      <c r="AX238" s="377"/>
      <c r="AY238" s="377"/>
      <c r="AZ238" s="377"/>
      <c r="BA238" s="377"/>
      <c r="BB238" s="377"/>
      <c r="BC238" s="377"/>
      <c r="BD238" s="377"/>
      <c r="BE238" s="377"/>
      <c r="BF238" s="377"/>
      <c r="BG238" s="377"/>
      <c r="BH238" s="377"/>
      <c r="BI238" s="377"/>
      <c r="BJ238" s="377"/>
      <c r="BK238" s="377"/>
      <c r="BL238" s="377"/>
      <c r="BM238" s="377"/>
      <c r="BN238" s="576"/>
      <c r="BO238" s="377"/>
      <c r="BP238" s="377"/>
      <c r="BQ238" s="377"/>
      <c r="BR238" s="377"/>
      <c r="BS238" s="377"/>
      <c r="BT238" s="377"/>
      <c r="BU238" s="377"/>
      <c r="BV238" s="377"/>
      <c r="BW238" s="377"/>
      <c r="BX238" s="377"/>
      <c r="BY238" s="377"/>
      <c r="BZ238" s="377"/>
      <c r="CA238" s="377"/>
      <c r="CB238" s="377"/>
      <c r="CC238" s="377"/>
      <c r="CD238" s="377"/>
      <c r="CE238" s="377"/>
      <c r="CF238" s="377"/>
      <c r="CG238" s="377"/>
      <c r="CH238" s="377"/>
      <c r="CI238" s="377"/>
    </row>
    <row r="239" spans="1:87" ht="15">
      <c r="A239" s="377"/>
      <c r="B239" s="377"/>
      <c r="C239" s="572"/>
      <c r="D239" s="377"/>
      <c r="E239" s="377"/>
      <c r="F239" s="377"/>
      <c r="G239" s="377"/>
      <c r="H239" s="573"/>
      <c r="I239" s="377"/>
      <c r="J239" s="377"/>
      <c r="K239" s="377"/>
      <c r="L239" s="377"/>
      <c r="M239" s="377"/>
      <c r="N239" s="377"/>
      <c r="O239" s="377"/>
      <c r="P239" s="377"/>
      <c r="Q239" s="377"/>
      <c r="R239" s="377"/>
      <c r="S239" s="377"/>
      <c r="T239" s="377"/>
      <c r="U239" s="377"/>
      <c r="V239" s="377"/>
      <c r="W239" s="377"/>
      <c r="X239" s="574"/>
      <c r="Y239" s="377"/>
      <c r="Z239" s="377"/>
      <c r="AA239" s="377"/>
      <c r="AB239" s="377"/>
      <c r="AC239" s="377"/>
      <c r="AD239" s="377"/>
      <c r="AE239" s="377"/>
      <c r="AF239" s="377"/>
      <c r="AG239" s="377"/>
      <c r="AH239" s="377"/>
      <c r="AI239" s="377"/>
      <c r="AJ239" s="377"/>
      <c r="AK239" s="377"/>
      <c r="AL239" s="574"/>
      <c r="AM239" s="377"/>
      <c r="AN239" s="377"/>
      <c r="AO239" s="377"/>
      <c r="AP239" s="377"/>
      <c r="AQ239" s="377"/>
      <c r="AR239" s="377"/>
      <c r="AS239" s="377"/>
      <c r="AT239" s="377"/>
      <c r="AU239" s="377"/>
      <c r="AV239" s="377"/>
      <c r="AW239" s="575"/>
      <c r="AX239" s="377"/>
      <c r="AY239" s="377"/>
      <c r="AZ239" s="377"/>
      <c r="BA239" s="377"/>
      <c r="BB239" s="377"/>
      <c r="BC239" s="377"/>
      <c r="BD239" s="377"/>
      <c r="BE239" s="377"/>
      <c r="BF239" s="377"/>
      <c r="BG239" s="377"/>
      <c r="BH239" s="377"/>
      <c r="BI239" s="377"/>
      <c r="BJ239" s="377"/>
      <c r="BK239" s="377"/>
      <c r="BL239" s="377"/>
      <c r="BM239" s="377"/>
      <c r="BN239" s="576"/>
      <c r="BO239" s="377"/>
      <c r="BP239" s="377"/>
      <c r="BQ239" s="377"/>
      <c r="BR239" s="377"/>
      <c r="BS239" s="377"/>
      <c r="BT239" s="377"/>
      <c r="BU239" s="377"/>
      <c r="BV239" s="377"/>
      <c r="BW239" s="377"/>
      <c r="BX239" s="377"/>
      <c r="BY239" s="377"/>
      <c r="BZ239" s="377"/>
      <c r="CA239" s="377"/>
      <c r="CB239" s="377"/>
      <c r="CC239" s="377"/>
      <c r="CD239" s="377"/>
      <c r="CE239" s="377"/>
      <c r="CF239" s="377"/>
      <c r="CG239" s="377"/>
      <c r="CH239" s="377"/>
      <c r="CI239" s="377"/>
    </row>
    <row r="240" spans="1:87" ht="15">
      <c r="A240" s="377"/>
      <c r="B240" s="377"/>
      <c r="C240" s="572"/>
      <c r="D240" s="377"/>
      <c r="E240" s="377"/>
      <c r="F240" s="377"/>
      <c r="G240" s="377"/>
      <c r="H240" s="573"/>
      <c r="I240" s="377"/>
      <c r="J240" s="377"/>
      <c r="K240" s="377"/>
      <c r="L240" s="377"/>
      <c r="M240" s="377"/>
      <c r="N240" s="377"/>
      <c r="O240" s="377"/>
      <c r="P240" s="377"/>
      <c r="Q240" s="377"/>
      <c r="R240" s="377"/>
      <c r="S240" s="377"/>
      <c r="T240" s="377"/>
      <c r="U240" s="377"/>
      <c r="V240" s="377"/>
      <c r="W240" s="377"/>
      <c r="X240" s="574"/>
      <c r="Y240" s="377"/>
      <c r="Z240" s="377"/>
      <c r="AA240" s="377"/>
      <c r="AB240" s="377"/>
      <c r="AC240" s="377"/>
      <c r="AD240" s="377"/>
      <c r="AE240" s="377"/>
      <c r="AF240" s="377"/>
      <c r="AG240" s="377"/>
      <c r="AH240" s="377"/>
      <c r="AI240" s="377"/>
      <c r="AJ240" s="377"/>
      <c r="AK240" s="377"/>
      <c r="AL240" s="574"/>
      <c r="AM240" s="377"/>
      <c r="AN240" s="377"/>
      <c r="AO240" s="377"/>
      <c r="AP240" s="377"/>
      <c r="AQ240" s="377"/>
      <c r="AR240" s="377"/>
      <c r="AS240" s="377"/>
      <c r="AT240" s="377"/>
      <c r="AU240" s="377"/>
      <c r="AV240" s="377"/>
      <c r="AW240" s="575"/>
      <c r="AX240" s="377"/>
      <c r="AY240" s="377"/>
      <c r="AZ240" s="377"/>
      <c r="BA240" s="377"/>
      <c r="BB240" s="377"/>
      <c r="BC240" s="377"/>
      <c r="BD240" s="377"/>
      <c r="BE240" s="377"/>
      <c r="BF240" s="377"/>
      <c r="BG240" s="377"/>
      <c r="BH240" s="377"/>
      <c r="BI240" s="377"/>
      <c r="BJ240" s="377"/>
      <c r="BK240" s="377"/>
      <c r="BL240" s="377"/>
      <c r="BM240" s="377"/>
      <c r="BN240" s="576"/>
      <c r="BO240" s="377"/>
      <c r="BP240" s="377"/>
      <c r="BQ240" s="377"/>
      <c r="BR240" s="377"/>
      <c r="BS240" s="377"/>
      <c r="BT240" s="377"/>
      <c r="BU240" s="377"/>
      <c r="BV240" s="377"/>
      <c r="BW240" s="377"/>
      <c r="BX240" s="377"/>
      <c r="BY240" s="377"/>
      <c r="BZ240" s="377"/>
      <c r="CA240" s="377"/>
      <c r="CB240" s="377"/>
      <c r="CC240" s="377"/>
      <c r="CD240" s="377"/>
      <c r="CE240" s="377"/>
      <c r="CF240" s="377"/>
      <c r="CG240" s="377"/>
      <c r="CH240" s="377"/>
      <c r="CI240" s="377"/>
    </row>
    <row r="241" spans="1:87" ht="15">
      <c r="A241" s="377"/>
      <c r="B241" s="377"/>
      <c r="C241" s="572"/>
      <c r="D241" s="377"/>
      <c r="E241" s="377"/>
      <c r="F241" s="377"/>
      <c r="G241" s="377"/>
      <c r="H241" s="573"/>
      <c r="I241" s="377"/>
      <c r="J241" s="377"/>
      <c r="K241" s="377"/>
      <c r="L241" s="377"/>
      <c r="M241" s="377"/>
      <c r="N241" s="377"/>
      <c r="O241" s="377"/>
      <c r="P241" s="377"/>
      <c r="Q241" s="377"/>
      <c r="R241" s="377"/>
      <c r="S241" s="377"/>
      <c r="T241" s="377"/>
      <c r="U241" s="377"/>
      <c r="V241" s="377"/>
      <c r="W241" s="377"/>
      <c r="X241" s="574"/>
      <c r="Y241" s="377"/>
      <c r="Z241" s="377"/>
      <c r="AA241" s="377"/>
      <c r="AB241" s="377"/>
      <c r="AC241" s="377"/>
      <c r="AD241" s="377"/>
      <c r="AE241" s="377"/>
      <c r="AF241" s="377"/>
      <c r="AG241" s="377"/>
      <c r="AH241" s="377"/>
      <c r="AI241" s="377"/>
      <c r="AJ241" s="377"/>
      <c r="AK241" s="377"/>
      <c r="AL241" s="574"/>
      <c r="AM241" s="377"/>
      <c r="AN241" s="377"/>
      <c r="AO241" s="377"/>
      <c r="AP241" s="377"/>
      <c r="AQ241" s="377"/>
      <c r="AR241" s="377"/>
      <c r="AS241" s="377"/>
      <c r="AT241" s="377"/>
      <c r="AU241" s="377"/>
      <c r="AV241" s="377"/>
      <c r="AW241" s="575"/>
      <c r="AX241" s="377"/>
      <c r="AY241" s="377"/>
      <c r="AZ241" s="377"/>
      <c r="BA241" s="377"/>
      <c r="BB241" s="377"/>
      <c r="BC241" s="377"/>
      <c r="BD241" s="377"/>
      <c r="BE241" s="377"/>
      <c r="BF241" s="377"/>
      <c r="BG241" s="377"/>
      <c r="BH241" s="377"/>
      <c r="BI241" s="377"/>
      <c r="BJ241" s="377"/>
      <c r="BK241" s="377"/>
      <c r="BL241" s="377"/>
      <c r="BM241" s="377"/>
      <c r="BN241" s="576"/>
      <c r="BO241" s="377"/>
      <c r="BP241" s="377"/>
      <c r="BQ241" s="377"/>
      <c r="BR241" s="377"/>
      <c r="BS241" s="377"/>
      <c r="BT241" s="377"/>
      <c r="BU241" s="377"/>
      <c r="BV241" s="377"/>
      <c r="BW241" s="377"/>
      <c r="BX241" s="377"/>
      <c r="BY241" s="377"/>
      <c r="BZ241" s="377"/>
      <c r="CA241" s="377"/>
      <c r="CB241" s="377"/>
      <c r="CC241" s="377"/>
      <c r="CD241" s="377"/>
      <c r="CE241" s="377"/>
      <c r="CF241" s="377"/>
      <c r="CG241" s="377"/>
      <c r="CH241" s="377"/>
      <c r="CI241" s="377"/>
    </row>
    <row r="242" spans="1:87" ht="15">
      <c r="A242" s="377"/>
      <c r="B242" s="377"/>
      <c r="C242" s="572"/>
      <c r="D242" s="377"/>
      <c r="E242" s="377"/>
      <c r="F242" s="377"/>
      <c r="G242" s="377"/>
      <c r="H242" s="573"/>
      <c r="I242" s="377"/>
      <c r="J242" s="377"/>
      <c r="K242" s="377"/>
      <c r="L242" s="377"/>
      <c r="M242" s="377"/>
      <c r="N242" s="377"/>
      <c r="O242" s="377"/>
      <c r="P242" s="377"/>
      <c r="Q242" s="377"/>
      <c r="R242" s="377"/>
      <c r="S242" s="377"/>
      <c r="T242" s="377"/>
      <c r="U242" s="377"/>
      <c r="V242" s="377"/>
      <c r="W242" s="377"/>
      <c r="X242" s="574"/>
      <c r="Y242" s="377"/>
      <c r="Z242" s="377"/>
      <c r="AA242" s="377"/>
      <c r="AB242" s="377"/>
      <c r="AC242" s="377"/>
      <c r="AD242" s="377"/>
      <c r="AE242" s="377"/>
      <c r="AF242" s="377"/>
      <c r="AG242" s="377"/>
      <c r="AH242" s="377"/>
      <c r="AI242" s="377"/>
      <c r="AJ242" s="377"/>
      <c r="AK242" s="377"/>
      <c r="AL242" s="574"/>
      <c r="AM242" s="377"/>
      <c r="AN242" s="377"/>
      <c r="AO242" s="377"/>
      <c r="AP242" s="377"/>
      <c r="AQ242" s="377"/>
      <c r="AR242" s="377"/>
      <c r="AS242" s="377"/>
      <c r="AT242" s="377"/>
      <c r="AU242" s="377"/>
      <c r="AV242" s="377"/>
      <c r="AW242" s="575"/>
      <c r="AX242" s="377"/>
      <c r="AY242" s="377"/>
      <c r="AZ242" s="377"/>
      <c r="BA242" s="377"/>
      <c r="BB242" s="377"/>
      <c r="BC242" s="377"/>
      <c r="BD242" s="377"/>
      <c r="BE242" s="377"/>
      <c r="BF242" s="377"/>
      <c r="BG242" s="377"/>
      <c r="BH242" s="377"/>
      <c r="BI242" s="377"/>
      <c r="BJ242" s="377"/>
      <c r="BK242" s="377"/>
      <c r="BL242" s="377"/>
      <c r="BM242" s="377"/>
      <c r="BN242" s="576"/>
      <c r="BO242" s="377"/>
      <c r="BP242" s="377"/>
      <c r="BQ242" s="377"/>
      <c r="BR242" s="377"/>
      <c r="BS242" s="377"/>
      <c r="BT242" s="377"/>
      <c r="BU242" s="377"/>
      <c r="BV242" s="377"/>
      <c r="BW242" s="377"/>
      <c r="BX242" s="377"/>
      <c r="BY242" s="377"/>
      <c r="BZ242" s="377"/>
      <c r="CA242" s="377"/>
      <c r="CB242" s="377"/>
      <c r="CC242" s="377"/>
      <c r="CD242" s="377"/>
      <c r="CE242" s="377"/>
      <c r="CF242" s="377"/>
      <c r="CG242" s="377"/>
      <c r="CH242" s="377"/>
      <c r="CI242" s="377"/>
    </row>
    <row r="243" spans="1:87" ht="15">
      <c r="A243" s="377"/>
      <c r="B243" s="377"/>
      <c r="C243" s="572"/>
      <c r="D243" s="377"/>
      <c r="E243" s="377"/>
      <c r="F243" s="377"/>
      <c r="G243" s="377"/>
      <c r="H243" s="573"/>
      <c r="I243" s="377"/>
      <c r="J243" s="377"/>
      <c r="K243" s="377"/>
      <c r="L243" s="377"/>
      <c r="M243" s="377"/>
      <c r="N243" s="377"/>
      <c r="O243" s="377"/>
      <c r="P243" s="377"/>
      <c r="Q243" s="377"/>
      <c r="R243" s="377"/>
      <c r="S243" s="377"/>
      <c r="T243" s="377"/>
      <c r="U243" s="377"/>
      <c r="V243" s="377"/>
      <c r="W243" s="377"/>
      <c r="X243" s="574"/>
      <c r="Y243" s="377"/>
      <c r="Z243" s="377"/>
      <c r="AA243" s="377"/>
      <c r="AB243" s="377"/>
      <c r="AC243" s="377"/>
      <c r="AD243" s="377"/>
      <c r="AE243" s="377"/>
      <c r="AF243" s="377"/>
      <c r="AG243" s="377"/>
      <c r="AH243" s="377"/>
      <c r="AI243" s="377"/>
      <c r="AJ243" s="377"/>
      <c r="AK243" s="377"/>
      <c r="AL243" s="574"/>
      <c r="AM243" s="377"/>
      <c r="AN243" s="377"/>
      <c r="AO243" s="377"/>
      <c r="AP243" s="377"/>
      <c r="AQ243" s="377"/>
      <c r="AR243" s="377"/>
      <c r="AS243" s="377"/>
      <c r="AT243" s="377"/>
      <c r="AU243" s="377"/>
      <c r="AV243" s="377"/>
      <c r="AW243" s="575"/>
      <c r="AX243" s="377"/>
      <c r="AY243" s="377"/>
      <c r="AZ243" s="377"/>
      <c r="BA243" s="377"/>
      <c r="BB243" s="377"/>
      <c r="BC243" s="377"/>
      <c r="BD243" s="377"/>
      <c r="BE243" s="377"/>
      <c r="BF243" s="377"/>
      <c r="BG243" s="377"/>
      <c r="BH243" s="377"/>
      <c r="BI243" s="377"/>
      <c r="BJ243" s="377"/>
      <c r="BK243" s="377"/>
      <c r="BL243" s="377"/>
      <c r="BM243" s="377"/>
      <c r="BN243" s="576"/>
      <c r="BO243" s="377"/>
      <c r="BP243" s="377"/>
      <c r="BQ243" s="377"/>
      <c r="BR243" s="377"/>
      <c r="BS243" s="377"/>
      <c r="BT243" s="377"/>
      <c r="BU243" s="377"/>
      <c r="BV243" s="377"/>
      <c r="BW243" s="377"/>
      <c r="BX243" s="377"/>
      <c r="BY243" s="377"/>
      <c r="BZ243" s="377"/>
      <c r="CA243" s="377"/>
      <c r="CB243" s="377"/>
      <c r="CC243" s="377"/>
      <c r="CD243" s="377"/>
      <c r="CE243" s="377"/>
      <c r="CF243" s="377"/>
      <c r="CG243" s="377"/>
      <c r="CH243" s="377"/>
      <c r="CI243" s="377"/>
    </row>
    <row r="244" spans="1:87" ht="15">
      <c r="A244" s="377"/>
      <c r="B244" s="377"/>
      <c r="C244" s="572"/>
      <c r="D244" s="377"/>
      <c r="E244" s="377"/>
      <c r="F244" s="377"/>
      <c r="G244" s="377"/>
      <c r="H244" s="573"/>
      <c r="I244" s="377"/>
      <c r="J244" s="377"/>
      <c r="K244" s="377"/>
      <c r="L244" s="377"/>
      <c r="M244" s="377"/>
      <c r="N244" s="377"/>
      <c r="O244" s="377"/>
      <c r="P244" s="377"/>
      <c r="Q244" s="377"/>
      <c r="R244" s="377"/>
      <c r="S244" s="377"/>
      <c r="T244" s="377"/>
      <c r="U244" s="377"/>
      <c r="V244" s="377"/>
      <c r="W244" s="377"/>
      <c r="X244" s="574"/>
      <c r="Y244" s="377"/>
      <c r="Z244" s="377"/>
      <c r="AA244" s="377"/>
      <c r="AB244" s="377"/>
      <c r="AC244" s="377"/>
      <c r="AD244" s="377"/>
      <c r="AE244" s="377"/>
      <c r="AF244" s="377"/>
      <c r="AG244" s="377"/>
      <c r="AH244" s="377"/>
      <c r="AI244" s="377"/>
      <c r="AJ244" s="377"/>
      <c r="AK244" s="377"/>
      <c r="AL244" s="574"/>
      <c r="AM244" s="377"/>
      <c r="AN244" s="377"/>
      <c r="AO244" s="377"/>
      <c r="AP244" s="377"/>
      <c r="AQ244" s="377"/>
      <c r="AR244" s="377"/>
      <c r="AS244" s="377"/>
      <c r="AT244" s="377"/>
      <c r="AU244" s="377"/>
      <c r="AV244" s="377"/>
      <c r="AW244" s="575"/>
      <c r="AX244" s="377"/>
      <c r="AY244" s="377"/>
      <c r="AZ244" s="377"/>
      <c r="BA244" s="377"/>
      <c r="BB244" s="377"/>
      <c r="BC244" s="377"/>
      <c r="BD244" s="377"/>
      <c r="BE244" s="377"/>
      <c r="BF244" s="377"/>
      <c r="BG244" s="377"/>
      <c r="BH244" s="377"/>
      <c r="BI244" s="377"/>
      <c r="BJ244" s="377"/>
      <c r="BK244" s="377"/>
      <c r="BL244" s="377"/>
      <c r="BM244" s="377"/>
      <c r="BN244" s="576"/>
      <c r="BO244" s="377"/>
      <c r="BP244" s="377"/>
      <c r="BQ244" s="377"/>
      <c r="BR244" s="377"/>
      <c r="BS244" s="377"/>
      <c r="BT244" s="377"/>
      <c r="BU244" s="377"/>
      <c r="BV244" s="377"/>
      <c r="BW244" s="377"/>
      <c r="BX244" s="377"/>
      <c r="BY244" s="377"/>
      <c r="BZ244" s="377"/>
      <c r="CA244" s="377"/>
      <c r="CB244" s="377"/>
      <c r="CC244" s="377"/>
      <c r="CD244" s="377"/>
      <c r="CE244" s="377"/>
      <c r="CF244" s="377"/>
      <c r="CG244" s="377"/>
      <c r="CH244" s="377"/>
      <c r="CI244" s="377"/>
    </row>
    <row r="245" spans="1:87" ht="15">
      <c r="A245" s="377"/>
      <c r="B245" s="377"/>
      <c r="C245" s="572"/>
      <c r="D245" s="377"/>
      <c r="E245" s="377"/>
      <c r="F245" s="377"/>
      <c r="G245" s="377"/>
      <c r="H245" s="573"/>
      <c r="I245" s="377"/>
      <c r="J245" s="377"/>
      <c r="K245" s="377"/>
      <c r="L245" s="377"/>
      <c r="M245" s="377"/>
      <c r="N245" s="377"/>
      <c r="O245" s="377"/>
      <c r="P245" s="377"/>
      <c r="Q245" s="377"/>
      <c r="R245" s="377"/>
      <c r="S245" s="377"/>
      <c r="T245" s="377"/>
      <c r="U245" s="377"/>
      <c r="V245" s="377"/>
      <c r="W245" s="377"/>
      <c r="X245" s="574"/>
      <c r="Y245" s="377"/>
      <c r="Z245" s="377"/>
      <c r="AA245" s="377"/>
      <c r="AB245" s="377"/>
      <c r="AC245" s="377"/>
      <c r="AD245" s="377"/>
      <c r="AE245" s="377"/>
      <c r="AF245" s="377"/>
      <c r="AG245" s="377"/>
      <c r="AH245" s="377"/>
      <c r="AI245" s="377"/>
      <c r="AJ245" s="377"/>
      <c r="AK245" s="377"/>
      <c r="AL245" s="574"/>
      <c r="AM245" s="377"/>
      <c r="AN245" s="377"/>
      <c r="AO245" s="377"/>
      <c r="AP245" s="377"/>
      <c r="AQ245" s="377"/>
      <c r="AR245" s="377"/>
      <c r="AS245" s="377"/>
      <c r="AT245" s="377"/>
      <c r="AU245" s="377"/>
      <c r="AV245" s="377"/>
      <c r="AW245" s="575"/>
      <c r="AX245" s="377"/>
      <c r="AY245" s="377"/>
      <c r="AZ245" s="377"/>
      <c r="BA245" s="377"/>
      <c r="BB245" s="377"/>
      <c r="BC245" s="377"/>
      <c r="BD245" s="377"/>
      <c r="BE245" s="377"/>
      <c r="BF245" s="377"/>
      <c r="BG245" s="377"/>
      <c r="BH245" s="377"/>
      <c r="BI245" s="377"/>
      <c r="BJ245" s="377"/>
      <c r="BK245" s="377"/>
      <c r="BL245" s="377"/>
      <c r="BM245" s="377"/>
      <c r="BN245" s="576"/>
      <c r="BO245" s="377"/>
      <c r="BP245" s="377"/>
      <c r="BQ245" s="377"/>
      <c r="BR245" s="377"/>
      <c r="BS245" s="377"/>
      <c r="BT245" s="377"/>
      <c r="BU245" s="377"/>
      <c r="BV245" s="377"/>
      <c r="BW245" s="377"/>
      <c r="BX245" s="377"/>
      <c r="BY245" s="377"/>
      <c r="BZ245" s="377"/>
      <c r="CA245" s="377"/>
      <c r="CB245" s="377"/>
      <c r="CC245" s="377"/>
      <c r="CD245" s="377"/>
      <c r="CE245" s="377"/>
      <c r="CF245" s="377"/>
      <c r="CG245" s="377"/>
      <c r="CH245" s="377"/>
      <c r="CI245" s="377"/>
    </row>
    <row r="246" spans="1:87" ht="15">
      <c r="A246" s="377"/>
      <c r="B246" s="377"/>
      <c r="C246" s="572"/>
      <c r="D246" s="377"/>
      <c r="E246" s="377"/>
      <c r="F246" s="377"/>
      <c r="G246" s="377"/>
      <c r="H246" s="573"/>
      <c r="I246" s="377"/>
      <c r="J246" s="377"/>
      <c r="K246" s="377"/>
      <c r="L246" s="377"/>
      <c r="M246" s="377"/>
      <c r="N246" s="377"/>
      <c r="O246" s="377"/>
      <c r="P246" s="377"/>
      <c r="Q246" s="377"/>
      <c r="R246" s="377"/>
      <c r="S246" s="377"/>
      <c r="T246" s="377"/>
      <c r="U246" s="377"/>
      <c r="V246" s="377"/>
      <c r="W246" s="377"/>
      <c r="X246" s="574"/>
      <c r="Y246" s="377"/>
      <c r="Z246" s="377"/>
      <c r="AA246" s="377"/>
      <c r="AB246" s="377"/>
      <c r="AC246" s="377"/>
      <c r="AD246" s="377"/>
      <c r="AE246" s="377"/>
      <c r="AF246" s="377"/>
      <c r="AG246" s="377"/>
      <c r="AH246" s="377"/>
      <c r="AI246" s="377"/>
      <c r="AJ246" s="377"/>
      <c r="AK246" s="377"/>
      <c r="AL246" s="574"/>
      <c r="AM246" s="377"/>
      <c r="AN246" s="377"/>
      <c r="AO246" s="377"/>
      <c r="AP246" s="377"/>
      <c r="AQ246" s="377"/>
      <c r="AR246" s="377"/>
      <c r="AS246" s="377"/>
      <c r="AT246" s="377"/>
      <c r="AU246" s="377"/>
      <c r="AV246" s="377"/>
      <c r="AW246" s="575"/>
      <c r="AX246" s="377"/>
      <c r="AY246" s="377"/>
      <c r="AZ246" s="377"/>
      <c r="BA246" s="377"/>
      <c r="BB246" s="377"/>
      <c r="BC246" s="377"/>
      <c r="BD246" s="377"/>
      <c r="BE246" s="377"/>
      <c r="BF246" s="377"/>
      <c r="BG246" s="377"/>
      <c r="BH246" s="377"/>
      <c r="BI246" s="377"/>
      <c r="BJ246" s="377"/>
      <c r="BK246" s="377"/>
      <c r="BL246" s="377"/>
      <c r="BM246" s="377"/>
      <c r="BN246" s="576"/>
      <c r="BO246" s="377"/>
      <c r="BP246" s="377"/>
      <c r="BQ246" s="377"/>
      <c r="BR246" s="377"/>
      <c r="BS246" s="377"/>
      <c r="BT246" s="377"/>
      <c r="BU246" s="377"/>
      <c r="BV246" s="377"/>
      <c r="BW246" s="377"/>
      <c r="BX246" s="377"/>
      <c r="BY246" s="377"/>
      <c r="BZ246" s="377"/>
      <c r="CA246" s="377"/>
      <c r="CB246" s="377"/>
      <c r="CC246" s="377"/>
      <c r="CD246" s="377"/>
      <c r="CE246" s="377"/>
      <c r="CF246" s="377"/>
      <c r="CG246" s="377"/>
      <c r="CH246" s="377"/>
      <c r="CI246" s="377"/>
    </row>
    <row r="247" spans="1:87" ht="15">
      <c r="A247" s="377"/>
      <c r="B247" s="377"/>
      <c r="C247" s="572"/>
      <c r="D247" s="377"/>
      <c r="E247" s="377"/>
      <c r="F247" s="377"/>
      <c r="G247" s="377"/>
      <c r="H247" s="573"/>
      <c r="I247" s="377"/>
      <c r="J247" s="377"/>
      <c r="K247" s="377"/>
      <c r="L247" s="377"/>
      <c r="M247" s="377"/>
      <c r="N247" s="377"/>
      <c r="O247" s="377"/>
      <c r="P247" s="377"/>
      <c r="Q247" s="377"/>
      <c r="R247" s="377"/>
      <c r="S247" s="377"/>
      <c r="T247" s="377"/>
      <c r="U247" s="377"/>
      <c r="V247" s="377"/>
      <c r="W247" s="377"/>
      <c r="X247" s="574"/>
      <c r="Y247" s="377"/>
      <c r="Z247" s="377"/>
      <c r="AA247" s="377"/>
      <c r="AB247" s="377"/>
      <c r="AC247" s="377"/>
      <c r="AD247" s="377"/>
      <c r="AE247" s="377"/>
      <c r="AF247" s="377"/>
      <c r="AG247" s="377"/>
      <c r="AH247" s="377"/>
      <c r="AI247" s="377"/>
      <c r="AJ247" s="377"/>
      <c r="AK247" s="377"/>
      <c r="AL247" s="574"/>
      <c r="AM247" s="377"/>
      <c r="AN247" s="377"/>
      <c r="AO247" s="377"/>
      <c r="AP247" s="377"/>
      <c r="AQ247" s="377"/>
      <c r="AR247" s="377"/>
      <c r="AS247" s="377"/>
      <c r="AT247" s="377"/>
      <c r="AU247" s="377"/>
      <c r="AV247" s="377"/>
      <c r="AW247" s="575"/>
      <c r="AX247" s="377"/>
      <c r="AY247" s="377"/>
      <c r="AZ247" s="377"/>
      <c r="BA247" s="377"/>
      <c r="BB247" s="377"/>
      <c r="BC247" s="377"/>
      <c r="BD247" s="377"/>
      <c r="BE247" s="377"/>
      <c r="BF247" s="377"/>
      <c r="BG247" s="377"/>
      <c r="BH247" s="377"/>
      <c r="BI247" s="377"/>
      <c r="BJ247" s="377"/>
      <c r="BK247" s="377"/>
      <c r="BL247" s="377"/>
      <c r="BM247" s="377"/>
      <c r="BN247" s="576"/>
      <c r="BO247" s="377"/>
      <c r="BP247" s="377"/>
      <c r="BQ247" s="377"/>
      <c r="BR247" s="377"/>
      <c r="BS247" s="377"/>
      <c r="BT247" s="377"/>
      <c r="BU247" s="377"/>
      <c r="BV247" s="377"/>
      <c r="BW247" s="377"/>
      <c r="BX247" s="377"/>
      <c r="BY247" s="377"/>
      <c r="BZ247" s="377"/>
      <c r="CA247" s="377"/>
      <c r="CB247" s="377"/>
      <c r="CC247" s="377"/>
      <c r="CD247" s="377"/>
      <c r="CE247" s="377"/>
      <c r="CF247" s="377"/>
      <c r="CG247" s="377"/>
      <c r="CH247" s="377"/>
      <c r="CI247" s="377"/>
    </row>
    <row r="248" spans="1:87" ht="15">
      <c r="A248" s="377"/>
      <c r="B248" s="377"/>
      <c r="C248" s="572"/>
      <c r="D248" s="377"/>
      <c r="E248" s="377"/>
      <c r="F248" s="377"/>
      <c r="G248" s="377"/>
      <c r="H248" s="573"/>
      <c r="I248" s="377"/>
      <c r="J248" s="377"/>
      <c r="K248" s="377"/>
      <c r="L248" s="377"/>
      <c r="M248" s="377"/>
      <c r="N248" s="377"/>
      <c r="O248" s="377"/>
      <c r="P248" s="377"/>
      <c r="Q248" s="377"/>
      <c r="R248" s="377"/>
      <c r="S248" s="377"/>
      <c r="T248" s="377"/>
      <c r="U248" s="377"/>
      <c r="V248" s="377"/>
      <c r="W248" s="377"/>
      <c r="X248" s="574"/>
      <c r="Y248" s="377"/>
      <c r="Z248" s="377"/>
      <c r="AA248" s="377"/>
      <c r="AB248" s="377"/>
      <c r="AC248" s="377"/>
      <c r="AD248" s="377"/>
      <c r="AE248" s="377"/>
      <c r="AF248" s="377"/>
      <c r="AG248" s="377"/>
      <c r="AH248" s="377"/>
      <c r="AI248" s="377"/>
      <c r="AJ248" s="377"/>
      <c r="AK248" s="377"/>
      <c r="AL248" s="574"/>
      <c r="AM248" s="377"/>
      <c r="AN248" s="377"/>
      <c r="AO248" s="377"/>
      <c r="AP248" s="377"/>
      <c r="AQ248" s="377"/>
      <c r="AR248" s="377"/>
      <c r="AS248" s="377"/>
      <c r="AT248" s="377"/>
      <c r="AU248" s="377"/>
      <c r="AV248" s="377"/>
      <c r="AW248" s="575"/>
      <c r="AX248" s="377"/>
      <c r="AY248" s="377"/>
      <c r="AZ248" s="377"/>
      <c r="BA248" s="377"/>
      <c r="BB248" s="377"/>
      <c r="BC248" s="377"/>
      <c r="BD248" s="377"/>
      <c r="BE248" s="377"/>
      <c r="BF248" s="377"/>
      <c r="BG248" s="377"/>
      <c r="BH248" s="377"/>
      <c r="BI248" s="377"/>
      <c r="BJ248" s="377"/>
      <c r="BK248" s="377"/>
      <c r="BL248" s="377"/>
      <c r="BM248" s="377"/>
      <c r="BN248" s="576"/>
      <c r="BO248" s="377"/>
      <c r="BP248" s="377"/>
      <c r="BQ248" s="377"/>
      <c r="BR248" s="377"/>
      <c r="BS248" s="377"/>
      <c r="BT248" s="377"/>
      <c r="BU248" s="377"/>
      <c r="BV248" s="377"/>
      <c r="BW248" s="377"/>
      <c r="BX248" s="377"/>
      <c r="BY248" s="377"/>
      <c r="BZ248" s="377"/>
      <c r="CA248" s="377"/>
      <c r="CB248" s="377"/>
      <c r="CC248" s="377"/>
      <c r="CD248" s="377"/>
      <c r="CE248" s="377"/>
      <c r="CF248" s="377"/>
      <c r="CG248" s="377"/>
      <c r="CH248" s="377"/>
      <c r="CI248" s="377"/>
    </row>
    <row r="249" spans="1:87" ht="15">
      <c r="A249" s="377"/>
      <c r="B249" s="377"/>
      <c r="C249" s="572"/>
      <c r="D249" s="377"/>
      <c r="E249" s="377"/>
      <c r="F249" s="377"/>
      <c r="G249" s="377"/>
      <c r="H249" s="573"/>
      <c r="I249" s="377"/>
      <c r="J249" s="377"/>
      <c r="K249" s="377"/>
      <c r="L249" s="377"/>
      <c r="M249" s="377"/>
      <c r="N249" s="377"/>
      <c r="O249" s="377"/>
      <c r="P249" s="377"/>
      <c r="Q249" s="377"/>
      <c r="R249" s="377"/>
      <c r="S249" s="377"/>
      <c r="T249" s="377"/>
      <c r="U249" s="377"/>
      <c r="V249" s="377"/>
      <c r="W249" s="377"/>
      <c r="X249" s="574"/>
      <c r="Y249" s="377"/>
      <c r="Z249" s="377"/>
      <c r="AA249" s="377"/>
      <c r="AB249" s="377"/>
      <c r="AC249" s="377"/>
      <c r="AD249" s="377"/>
      <c r="AE249" s="377"/>
      <c r="AF249" s="377"/>
      <c r="AG249" s="377"/>
      <c r="AH249" s="377"/>
      <c r="AI249" s="377"/>
      <c r="AJ249" s="377"/>
      <c r="AK249" s="377"/>
      <c r="AL249" s="574"/>
      <c r="AM249" s="377"/>
      <c r="AN249" s="377"/>
      <c r="AO249" s="377"/>
      <c r="AP249" s="377"/>
      <c r="AQ249" s="377"/>
      <c r="AR249" s="377"/>
      <c r="AS249" s="377"/>
      <c r="AT249" s="377"/>
      <c r="AU249" s="377"/>
      <c r="AV249" s="377"/>
      <c r="AW249" s="575"/>
      <c r="AX249" s="377"/>
      <c r="AY249" s="377"/>
      <c r="AZ249" s="377"/>
      <c r="BA249" s="377"/>
      <c r="BB249" s="377"/>
      <c r="BC249" s="377"/>
      <c r="BD249" s="377"/>
      <c r="BE249" s="377"/>
      <c r="BF249" s="377"/>
      <c r="BG249" s="377"/>
      <c r="BH249" s="377"/>
      <c r="BI249" s="377"/>
      <c r="BJ249" s="377"/>
      <c r="BK249" s="377"/>
      <c r="BL249" s="377"/>
      <c r="BM249" s="377"/>
      <c r="BN249" s="576"/>
      <c r="BO249" s="377"/>
      <c r="BP249" s="377"/>
      <c r="BQ249" s="377"/>
      <c r="BR249" s="377"/>
      <c r="BS249" s="377"/>
      <c r="BT249" s="377"/>
      <c r="BU249" s="377"/>
      <c r="BV249" s="377"/>
      <c r="BW249" s="377"/>
      <c r="BX249" s="377"/>
      <c r="BY249" s="377"/>
      <c r="BZ249" s="377"/>
      <c r="CA249" s="377"/>
      <c r="CB249" s="377"/>
      <c r="CC249" s="377"/>
      <c r="CD249" s="377"/>
      <c r="CE249" s="377"/>
      <c r="CF249" s="377"/>
      <c r="CG249" s="377"/>
      <c r="CH249" s="377"/>
      <c r="CI249" s="377"/>
    </row>
    <row r="250" spans="1:87" ht="15">
      <c r="A250" s="377"/>
      <c r="B250" s="377"/>
      <c r="C250" s="572"/>
      <c r="D250" s="377"/>
      <c r="E250" s="377"/>
      <c r="F250" s="377"/>
      <c r="G250" s="377"/>
      <c r="H250" s="573"/>
      <c r="I250" s="377"/>
      <c r="J250" s="377"/>
      <c r="K250" s="377"/>
      <c r="L250" s="377"/>
      <c r="M250" s="377"/>
      <c r="N250" s="377"/>
      <c r="O250" s="377"/>
      <c r="P250" s="377"/>
      <c r="Q250" s="377"/>
      <c r="R250" s="377"/>
      <c r="S250" s="377"/>
      <c r="T250" s="377"/>
      <c r="U250" s="377"/>
      <c r="V250" s="377"/>
      <c r="W250" s="377"/>
      <c r="X250" s="574"/>
      <c r="Y250" s="377"/>
      <c r="Z250" s="377"/>
      <c r="AA250" s="377"/>
      <c r="AB250" s="377"/>
      <c r="AC250" s="377"/>
      <c r="AD250" s="377"/>
      <c r="AE250" s="377"/>
      <c r="AF250" s="377"/>
      <c r="AG250" s="377"/>
      <c r="AH250" s="377"/>
      <c r="AI250" s="377"/>
      <c r="AJ250" s="377"/>
      <c r="AK250" s="377"/>
      <c r="AL250" s="574"/>
      <c r="AM250" s="377"/>
      <c r="AN250" s="377"/>
      <c r="AO250" s="377"/>
      <c r="AP250" s="377"/>
      <c r="AQ250" s="377"/>
      <c r="AR250" s="377"/>
      <c r="AS250" s="377"/>
      <c r="AT250" s="377"/>
      <c r="AU250" s="377"/>
      <c r="AV250" s="377"/>
      <c r="AW250" s="575"/>
      <c r="AX250" s="377"/>
      <c r="AY250" s="377"/>
      <c r="AZ250" s="377"/>
      <c r="BA250" s="377"/>
      <c r="BB250" s="377"/>
      <c r="BC250" s="377"/>
      <c r="BD250" s="377"/>
      <c r="BE250" s="377"/>
      <c r="BF250" s="377"/>
      <c r="BG250" s="377"/>
      <c r="BH250" s="377"/>
      <c r="BI250" s="377"/>
      <c r="BJ250" s="377"/>
      <c r="BK250" s="377"/>
      <c r="BL250" s="377"/>
      <c r="BM250" s="377"/>
      <c r="BN250" s="576"/>
      <c r="BO250" s="377"/>
      <c r="BP250" s="377"/>
      <c r="BQ250" s="377"/>
      <c r="BR250" s="377"/>
      <c r="BS250" s="377"/>
      <c r="BT250" s="377"/>
      <c r="BU250" s="377"/>
      <c r="BV250" s="377"/>
      <c r="BW250" s="377"/>
      <c r="BX250" s="377"/>
      <c r="BY250" s="377"/>
      <c r="BZ250" s="377"/>
      <c r="CA250" s="377"/>
      <c r="CB250" s="377"/>
      <c r="CC250" s="377"/>
      <c r="CD250" s="377"/>
      <c r="CE250" s="377"/>
      <c r="CF250" s="377"/>
      <c r="CG250" s="377"/>
      <c r="CH250" s="377"/>
      <c r="CI250" s="377"/>
    </row>
    <row r="251" spans="1:87" ht="15">
      <c r="A251" s="377"/>
      <c r="B251" s="377"/>
      <c r="C251" s="572"/>
      <c r="D251" s="377"/>
      <c r="E251" s="377"/>
      <c r="F251" s="377"/>
      <c r="G251" s="377"/>
      <c r="H251" s="573"/>
      <c r="I251" s="377"/>
      <c r="J251" s="377"/>
      <c r="K251" s="377"/>
      <c r="L251" s="377"/>
      <c r="M251" s="377"/>
      <c r="N251" s="377"/>
      <c r="O251" s="377"/>
      <c r="P251" s="377"/>
      <c r="Q251" s="377"/>
      <c r="R251" s="377"/>
      <c r="S251" s="377"/>
      <c r="T251" s="377"/>
      <c r="U251" s="377"/>
      <c r="V251" s="377"/>
      <c r="W251" s="377"/>
      <c r="X251" s="574"/>
      <c r="Y251" s="377"/>
      <c r="Z251" s="377"/>
      <c r="AA251" s="377"/>
      <c r="AB251" s="377"/>
      <c r="AC251" s="377"/>
      <c r="AD251" s="377"/>
      <c r="AE251" s="377"/>
      <c r="AF251" s="377"/>
      <c r="AG251" s="377"/>
      <c r="AH251" s="377"/>
      <c r="AI251" s="377"/>
      <c r="AJ251" s="377"/>
      <c r="AK251" s="377"/>
      <c r="AL251" s="574"/>
      <c r="AM251" s="377"/>
      <c r="AN251" s="377"/>
      <c r="AO251" s="377"/>
      <c r="AP251" s="377"/>
      <c r="AQ251" s="377"/>
      <c r="AR251" s="377"/>
      <c r="AS251" s="377"/>
      <c r="AT251" s="377"/>
      <c r="AU251" s="377"/>
      <c r="AV251" s="377"/>
      <c r="AW251" s="575"/>
      <c r="AX251" s="377"/>
      <c r="AY251" s="377"/>
      <c r="AZ251" s="377"/>
      <c r="BA251" s="377"/>
      <c r="BB251" s="377"/>
      <c r="BC251" s="377"/>
      <c r="BD251" s="377"/>
      <c r="BE251" s="377"/>
      <c r="BF251" s="377"/>
      <c r="BG251" s="377"/>
      <c r="BH251" s="377"/>
      <c r="BI251" s="377"/>
      <c r="BJ251" s="377"/>
      <c r="BK251" s="377"/>
      <c r="BL251" s="377"/>
      <c r="BM251" s="377"/>
      <c r="BN251" s="576"/>
      <c r="BO251" s="377"/>
      <c r="BP251" s="377"/>
      <c r="BQ251" s="377"/>
      <c r="BR251" s="377"/>
      <c r="BS251" s="377"/>
      <c r="BT251" s="377"/>
      <c r="BU251" s="377"/>
      <c r="BV251" s="377"/>
      <c r="BW251" s="377"/>
      <c r="BX251" s="377"/>
      <c r="BY251" s="377"/>
      <c r="BZ251" s="377"/>
      <c r="CA251" s="377"/>
      <c r="CB251" s="377"/>
      <c r="CC251" s="377"/>
      <c r="CD251" s="377"/>
      <c r="CE251" s="377"/>
      <c r="CF251" s="377"/>
      <c r="CG251" s="377"/>
      <c r="CH251" s="377"/>
      <c r="CI251" s="377"/>
    </row>
    <row r="252" spans="1:87" ht="15">
      <c r="A252" s="377"/>
      <c r="B252" s="377"/>
      <c r="C252" s="572"/>
      <c r="D252" s="377"/>
      <c r="E252" s="377"/>
      <c r="F252" s="377"/>
      <c r="G252" s="377"/>
      <c r="H252" s="573"/>
      <c r="I252" s="377"/>
      <c r="J252" s="377"/>
      <c r="K252" s="377"/>
      <c r="L252" s="377"/>
      <c r="M252" s="377"/>
      <c r="N252" s="377"/>
      <c r="O252" s="377"/>
      <c r="P252" s="377"/>
      <c r="Q252" s="377"/>
      <c r="R252" s="377"/>
      <c r="S252" s="377"/>
      <c r="T252" s="377"/>
      <c r="U252" s="377"/>
      <c r="V252" s="377"/>
      <c r="W252" s="377"/>
      <c r="X252" s="574"/>
      <c r="Y252" s="377"/>
      <c r="Z252" s="377"/>
      <c r="AA252" s="377"/>
      <c r="AB252" s="377"/>
      <c r="AC252" s="377"/>
      <c r="AD252" s="377"/>
      <c r="AE252" s="377"/>
      <c r="AF252" s="377"/>
      <c r="AG252" s="377"/>
      <c r="AH252" s="377"/>
      <c r="AI252" s="377"/>
      <c r="AJ252" s="377"/>
      <c r="AK252" s="377"/>
      <c r="AL252" s="574"/>
      <c r="AM252" s="377"/>
      <c r="AN252" s="377"/>
      <c r="AO252" s="377"/>
      <c r="AP252" s="377"/>
      <c r="AQ252" s="377"/>
      <c r="AR252" s="377"/>
      <c r="AS252" s="377"/>
      <c r="AT252" s="377"/>
      <c r="AU252" s="377"/>
      <c r="AV252" s="377"/>
      <c r="AW252" s="575"/>
      <c r="AX252" s="377"/>
      <c r="AY252" s="377"/>
      <c r="AZ252" s="377"/>
      <c r="BA252" s="377"/>
      <c r="BB252" s="377"/>
      <c r="BC252" s="377"/>
      <c r="BD252" s="377"/>
      <c r="BE252" s="377"/>
      <c r="BF252" s="377"/>
      <c r="BG252" s="377"/>
      <c r="BH252" s="377"/>
      <c r="BI252" s="377"/>
      <c r="BJ252" s="377"/>
      <c r="BK252" s="377"/>
      <c r="BL252" s="377"/>
      <c r="BM252" s="377"/>
      <c r="BN252" s="576"/>
      <c r="BO252" s="377"/>
      <c r="BP252" s="377"/>
      <c r="BQ252" s="377"/>
      <c r="BR252" s="377"/>
      <c r="BS252" s="377"/>
      <c r="BT252" s="377"/>
      <c r="BU252" s="377"/>
      <c r="BV252" s="377"/>
      <c r="BW252" s="377"/>
      <c r="BX252" s="377"/>
      <c r="BY252" s="377"/>
      <c r="BZ252" s="377"/>
      <c r="CA252" s="377"/>
      <c r="CB252" s="377"/>
      <c r="CC252" s="377"/>
      <c r="CD252" s="377"/>
      <c r="CE252" s="377"/>
      <c r="CF252" s="377"/>
      <c r="CG252" s="377"/>
      <c r="CH252" s="377"/>
      <c r="CI252" s="377"/>
    </row>
    <row r="253" spans="1:87" ht="15">
      <c r="A253" s="377"/>
      <c r="B253" s="377"/>
      <c r="C253" s="572"/>
      <c r="D253" s="377"/>
      <c r="E253" s="377"/>
      <c r="F253" s="377"/>
      <c r="G253" s="377"/>
      <c r="H253" s="573"/>
      <c r="I253" s="377"/>
      <c r="J253" s="377"/>
      <c r="K253" s="377"/>
      <c r="L253" s="377"/>
      <c r="M253" s="377"/>
      <c r="N253" s="377"/>
      <c r="O253" s="377"/>
      <c r="P253" s="377"/>
      <c r="Q253" s="377"/>
      <c r="R253" s="377"/>
      <c r="S253" s="377"/>
      <c r="T253" s="377"/>
      <c r="U253" s="377"/>
      <c r="V253" s="377"/>
      <c r="W253" s="377"/>
      <c r="X253" s="574"/>
      <c r="Y253" s="377"/>
      <c r="Z253" s="377"/>
      <c r="AA253" s="377"/>
      <c r="AB253" s="377"/>
      <c r="AC253" s="377"/>
      <c r="AD253" s="377"/>
      <c r="AE253" s="377"/>
      <c r="AF253" s="377"/>
      <c r="AG253" s="377"/>
      <c r="AH253" s="377"/>
      <c r="AI253" s="377"/>
      <c r="AJ253" s="377"/>
      <c r="AK253" s="377"/>
      <c r="AL253" s="574"/>
      <c r="AM253" s="377"/>
      <c r="AN253" s="377"/>
      <c r="AO253" s="377"/>
      <c r="AP253" s="377"/>
      <c r="AQ253" s="377"/>
      <c r="AR253" s="377"/>
      <c r="AS253" s="377"/>
      <c r="AT253" s="377"/>
      <c r="AU253" s="377"/>
      <c r="AV253" s="377"/>
      <c r="AW253" s="575"/>
      <c r="AX253" s="377"/>
      <c r="AY253" s="377"/>
      <c r="AZ253" s="377"/>
      <c r="BA253" s="377"/>
      <c r="BB253" s="377"/>
      <c r="BC253" s="377"/>
      <c r="BD253" s="377"/>
      <c r="BE253" s="377"/>
      <c r="BF253" s="377"/>
      <c r="BG253" s="377"/>
      <c r="BH253" s="377"/>
      <c r="BI253" s="377"/>
      <c r="BJ253" s="377"/>
      <c r="BK253" s="377"/>
      <c r="BL253" s="377"/>
      <c r="BM253" s="377"/>
      <c r="BN253" s="576"/>
      <c r="BO253" s="377"/>
      <c r="BP253" s="377"/>
      <c r="BQ253" s="377"/>
      <c r="BR253" s="377"/>
      <c r="BS253" s="377"/>
      <c r="BT253" s="377"/>
      <c r="BU253" s="377"/>
      <c r="BV253" s="377"/>
      <c r="BW253" s="377"/>
      <c r="BX253" s="377"/>
      <c r="BY253" s="377"/>
      <c r="BZ253" s="377"/>
      <c r="CA253" s="377"/>
      <c r="CB253" s="377"/>
      <c r="CC253" s="377"/>
      <c r="CD253" s="377"/>
      <c r="CE253" s="377"/>
      <c r="CF253" s="377"/>
      <c r="CG253" s="377"/>
      <c r="CH253" s="377"/>
      <c r="CI253" s="377"/>
    </row>
    <row r="254" spans="1:87" ht="15">
      <c r="A254" s="377"/>
      <c r="B254" s="377"/>
      <c r="C254" s="572"/>
      <c r="D254" s="377"/>
      <c r="E254" s="377"/>
      <c r="F254" s="377"/>
      <c r="G254" s="377"/>
      <c r="H254" s="573"/>
      <c r="I254" s="377"/>
      <c r="J254" s="377"/>
      <c r="K254" s="377"/>
      <c r="L254" s="377"/>
      <c r="M254" s="377"/>
      <c r="N254" s="377"/>
      <c r="O254" s="377"/>
      <c r="P254" s="377"/>
      <c r="Q254" s="377"/>
      <c r="R254" s="377"/>
      <c r="S254" s="377"/>
      <c r="T254" s="377"/>
      <c r="U254" s="377"/>
      <c r="V254" s="377"/>
      <c r="W254" s="377"/>
      <c r="X254" s="574"/>
      <c r="Y254" s="377"/>
      <c r="Z254" s="377"/>
      <c r="AA254" s="377"/>
      <c r="AB254" s="377"/>
      <c r="AC254" s="377"/>
      <c r="AD254" s="377"/>
      <c r="AE254" s="377"/>
      <c r="AF254" s="377"/>
      <c r="AG254" s="377"/>
      <c r="AH254" s="377"/>
      <c r="AI254" s="377"/>
      <c r="AJ254" s="377"/>
      <c r="AK254" s="377"/>
      <c r="AL254" s="574"/>
      <c r="AM254" s="377"/>
      <c r="AN254" s="377"/>
      <c r="AO254" s="377"/>
      <c r="AP254" s="377"/>
      <c r="AQ254" s="377"/>
      <c r="AR254" s="377"/>
      <c r="AS254" s="377"/>
      <c r="AT254" s="377"/>
      <c r="AU254" s="377"/>
      <c r="AV254" s="377"/>
      <c r="AW254" s="575"/>
      <c r="AX254" s="377"/>
      <c r="AY254" s="377"/>
      <c r="AZ254" s="377"/>
      <c r="BA254" s="377"/>
      <c r="BB254" s="377"/>
      <c r="BC254" s="377"/>
      <c r="BD254" s="377"/>
      <c r="BE254" s="377"/>
      <c r="BF254" s="377"/>
      <c r="BG254" s="377"/>
      <c r="BH254" s="377"/>
      <c r="BI254" s="377"/>
      <c r="BJ254" s="377"/>
      <c r="BK254" s="377"/>
      <c r="BL254" s="377"/>
      <c r="BM254" s="377"/>
      <c r="BN254" s="576"/>
      <c r="BO254" s="377"/>
      <c r="BP254" s="377"/>
      <c r="BQ254" s="377"/>
      <c r="BR254" s="377"/>
      <c r="BS254" s="377"/>
      <c r="BT254" s="377"/>
      <c r="BU254" s="377"/>
      <c r="BV254" s="377"/>
      <c r="BW254" s="377"/>
      <c r="BX254" s="377"/>
      <c r="BY254" s="377"/>
      <c r="BZ254" s="377"/>
      <c r="CA254" s="377"/>
      <c r="CB254" s="377"/>
      <c r="CC254" s="377"/>
      <c r="CD254" s="377"/>
      <c r="CE254" s="377"/>
      <c r="CF254" s="377"/>
      <c r="CG254" s="377"/>
      <c r="CH254" s="377"/>
      <c r="CI254" s="377"/>
    </row>
    <row r="255" spans="1:87" ht="15">
      <c r="A255" s="377"/>
      <c r="B255" s="377"/>
      <c r="C255" s="572"/>
      <c r="D255" s="377"/>
      <c r="E255" s="377"/>
      <c r="F255" s="377"/>
      <c r="G255" s="377"/>
      <c r="H255" s="573"/>
      <c r="I255" s="377"/>
      <c r="J255" s="377"/>
      <c r="K255" s="377"/>
      <c r="L255" s="377"/>
      <c r="M255" s="377"/>
      <c r="N255" s="377"/>
      <c r="O255" s="377"/>
      <c r="P255" s="377"/>
      <c r="Q255" s="377"/>
      <c r="R255" s="377"/>
      <c r="S255" s="377"/>
      <c r="T255" s="377"/>
      <c r="U255" s="377"/>
      <c r="V255" s="377"/>
      <c r="W255" s="377"/>
      <c r="X255" s="574"/>
      <c r="Y255" s="377"/>
      <c r="Z255" s="377"/>
      <c r="AA255" s="377"/>
      <c r="AB255" s="377"/>
      <c r="AC255" s="377"/>
      <c r="AD255" s="377"/>
      <c r="AE255" s="377"/>
      <c r="AF255" s="377"/>
      <c r="AG255" s="377"/>
      <c r="AH255" s="377"/>
      <c r="AI255" s="377"/>
      <c r="AJ255" s="377"/>
      <c r="AK255" s="377"/>
      <c r="AL255" s="574"/>
      <c r="AM255" s="377"/>
      <c r="AN255" s="377"/>
      <c r="AO255" s="377"/>
      <c r="AP255" s="377"/>
      <c r="AQ255" s="377"/>
      <c r="AR255" s="377"/>
      <c r="AS255" s="377"/>
      <c r="AT255" s="377"/>
      <c r="AU255" s="377"/>
      <c r="AV255" s="377"/>
      <c r="AW255" s="575"/>
      <c r="AX255" s="377"/>
      <c r="AY255" s="377"/>
      <c r="AZ255" s="377"/>
      <c r="BA255" s="377"/>
      <c r="BB255" s="377"/>
      <c r="BC255" s="377"/>
      <c r="BD255" s="377"/>
      <c r="BE255" s="377"/>
      <c r="BF255" s="377"/>
      <c r="BG255" s="377"/>
      <c r="BH255" s="377"/>
      <c r="BI255" s="377"/>
      <c r="BJ255" s="377"/>
      <c r="BK255" s="377"/>
      <c r="BL255" s="377"/>
      <c r="BM255" s="377"/>
      <c r="BN255" s="576"/>
      <c r="BO255" s="377"/>
      <c r="BP255" s="377"/>
      <c r="BQ255" s="377"/>
      <c r="BR255" s="377"/>
      <c r="BS255" s="377"/>
      <c r="BT255" s="377"/>
      <c r="BU255" s="377"/>
      <c r="BV255" s="377"/>
      <c r="BW255" s="377"/>
      <c r="BX255" s="377"/>
      <c r="BY255" s="377"/>
      <c r="BZ255" s="377"/>
      <c r="CA255" s="377"/>
      <c r="CB255" s="377"/>
      <c r="CC255" s="377"/>
      <c r="CD255" s="377"/>
      <c r="CE255" s="377"/>
      <c r="CF255" s="377"/>
      <c r="CG255" s="377"/>
      <c r="CH255" s="377"/>
      <c r="CI255" s="377"/>
    </row>
    <row r="256" spans="1:87" ht="15">
      <c r="A256" s="377"/>
      <c r="B256" s="377"/>
      <c r="C256" s="572"/>
      <c r="D256" s="377"/>
      <c r="E256" s="377"/>
      <c r="F256" s="377"/>
      <c r="G256" s="377"/>
      <c r="H256" s="573"/>
      <c r="I256" s="377"/>
      <c r="J256" s="377"/>
      <c r="K256" s="377"/>
      <c r="L256" s="377"/>
      <c r="M256" s="377"/>
      <c r="N256" s="377"/>
      <c r="O256" s="377"/>
      <c r="P256" s="377"/>
      <c r="Q256" s="377"/>
      <c r="R256" s="377"/>
      <c r="S256" s="377"/>
      <c r="T256" s="377"/>
      <c r="U256" s="377"/>
      <c r="V256" s="377"/>
      <c r="W256" s="377"/>
      <c r="X256" s="574"/>
      <c r="Y256" s="377"/>
      <c r="Z256" s="377"/>
      <c r="AA256" s="377"/>
      <c r="AB256" s="377"/>
      <c r="AC256" s="377"/>
      <c r="AD256" s="377"/>
      <c r="AE256" s="377"/>
      <c r="AF256" s="377"/>
      <c r="AG256" s="377"/>
      <c r="AH256" s="377"/>
      <c r="AI256" s="377"/>
      <c r="AJ256" s="377"/>
      <c r="AK256" s="377"/>
      <c r="AL256" s="574"/>
      <c r="AM256" s="377"/>
      <c r="AN256" s="377"/>
      <c r="AO256" s="377"/>
      <c r="AP256" s="377"/>
      <c r="AQ256" s="377"/>
      <c r="AR256" s="377"/>
      <c r="AS256" s="377"/>
      <c r="AT256" s="377"/>
      <c r="AU256" s="377"/>
      <c r="AV256" s="377"/>
      <c r="AW256" s="575"/>
      <c r="AX256" s="377"/>
      <c r="AY256" s="377"/>
      <c r="AZ256" s="377"/>
      <c r="BA256" s="377"/>
      <c r="BB256" s="377"/>
      <c r="BC256" s="377"/>
      <c r="BD256" s="377"/>
      <c r="BE256" s="377"/>
      <c r="BF256" s="377"/>
      <c r="BG256" s="377"/>
      <c r="BH256" s="377"/>
      <c r="BI256" s="377"/>
      <c r="BJ256" s="377"/>
      <c r="BK256" s="377"/>
      <c r="BL256" s="377"/>
      <c r="BM256" s="377"/>
      <c r="BN256" s="576"/>
      <c r="BO256" s="377"/>
      <c r="BP256" s="377"/>
      <c r="BQ256" s="377"/>
      <c r="BR256" s="377"/>
      <c r="BS256" s="377"/>
      <c r="BT256" s="377"/>
      <c r="BU256" s="377"/>
      <c r="BV256" s="377"/>
      <c r="BW256" s="377"/>
      <c r="BX256" s="377"/>
      <c r="BY256" s="377"/>
      <c r="BZ256" s="377"/>
      <c r="CA256" s="377"/>
      <c r="CB256" s="377"/>
      <c r="CC256" s="377"/>
      <c r="CD256" s="377"/>
      <c r="CE256" s="377"/>
      <c r="CF256" s="377"/>
      <c r="CG256" s="377"/>
      <c r="CH256" s="377"/>
      <c r="CI256" s="377"/>
    </row>
    <row r="257" spans="1:87" ht="15">
      <c r="A257" s="377"/>
      <c r="B257" s="377"/>
      <c r="C257" s="572"/>
      <c r="D257" s="377"/>
      <c r="E257" s="377"/>
      <c r="F257" s="377"/>
      <c r="G257" s="377"/>
      <c r="H257" s="573"/>
      <c r="I257" s="377"/>
      <c r="J257" s="377"/>
      <c r="K257" s="377"/>
      <c r="L257" s="377"/>
      <c r="M257" s="377"/>
      <c r="N257" s="377"/>
      <c r="O257" s="377"/>
      <c r="P257" s="377"/>
      <c r="Q257" s="377"/>
      <c r="R257" s="377"/>
      <c r="S257" s="377"/>
      <c r="T257" s="377"/>
      <c r="U257" s="377"/>
      <c r="V257" s="377"/>
      <c r="W257" s="377"/>
      <c r="X257" s="574"/>
      <c r="Y257" s="377"/>
      <c r="Z257" s="377"/>
      <c r="AA257" s="377"/>
      <c r="AB257" s="377"/>
      <c r="AC257" s="377"/>
      <c r="AD257" s="377"/>
      <c r="AE257" s="377"/>
      <c r="AF257" s="377"/>
      <c r="AG257" s="377"/>
      <c r="AH257" s="377"/>
      <c r="AI257" s="377"/>
      <c r="AJ257" s="377"/>
      <c r="AK257" s="377"/>
      <c r="AL257" s="574"/>
      <c r="AM257" s="377"/>
      <c r="AN257" s="377"/>
      <c r="AO257" s="377"/>
      <c r="AP257" s="377"/>
      <c r="AQ257" s="377"/>
      <c r="AR257" s="377"/>
      <c r="AS257" s="377"/>
      <c r="AT257" s="377"/>
      <c r="AU257" s="377"/>
      <c r="AV257" s="377"/>
      <c r="AW257" s="575"/>
      <c r="AX257" s="377"/>
      <c r="AY257" s="377"/>
      <c r="AZ257" s="377"/>
      <c r="BA257" s="377"/>
      <c r="BB257" s="377"/>
      <c r="BC257" s="377"/>
      <c r="BD257" s="377"/>
      <c r="BE257" s="377"/>
      <c r="BF257" s="377"/>
      <c r="BG257" s="377"/>
      <c r="BH257" s="377"/>
      <c r="BI257" s="377"/>
      <c r="BJ257" s="377"/>
      <c r="BK257" s="377"/>
      <c r="BL257" s="377"/>
      <c r="BM257" s="377"/>
      <c r="BN257" s="576"/>
      <c r="BO257" s="377"/>
      <c r="BP257" s="377"/>
      <c r="BQ257" s="377"/>
      <c r="BR257" s="377"/>
      <c r="BS257" s="377"/>
      <c r="BT257" s="377"/>
      <c r="BU257" s="377"/>
      <c r="BV257" s="377"/>
      <c r="BW257" s="377"/>
      <c r="BX257" s="377"/>
      <c r="BY257" s="377"/>
      <c r="BZ257" s="377"/>
      <c r="CA257" s="377"/>
      <c r="CB257" s="377"/>
      <c r="CC257" s="377"/>
      <c r="CD257" s="377"/>
      <c r="CE257" s="377"/>
      <c r="CF257" s="377"/>
      <c r="CG257" s="377"/>
      <c r="CH257" s="377"/>
      <c r="CI257" s="377"/>
    </row>
    <row r="258" spans="1:87" ht="15">
      <c r="A258" s="377"/>
      <c r="B258" s="377"/>
      <c r="C258" s="572"/>
      <c r="D258" s="377"/>
      <c r="E258" s="377"/>
      <c r="F258" s="377"/>
      <c r="G258" s="377"/>
      <c r="H258" s="573"/>
      <c r="I258" s="377"/>
      <c r="J258" s="377"/>
      <c r="K258" s="377"/>
      <c r="L258" s="377"/>
      <c r="M258" s="377"/>
      <c r="N258" s="377"/>
      <c r="O258" s="377"/>
      <c r="P258" s="377"/>
      <c r="Q258" s="377"/>
      <c r="R258" s="377"/>
      <c r="S258" s="377"/>
      <c r="T258" s="377"/>
      <c r="U258" s="377"/>
      <c r="V258" s="377"/>
      <c r="W258" s="377"/>
      <c r="X258" s="574"/>
      <c r="Y258" s="377"/>
      <c r="Z258" s="377"/>
      <c r="AA258" s="377"/>
      <c r="AB258" s="377"/>
      <c r="AC258" s="377"/>
      <c r="AD258" s="377"/>
      <c r="AE258" s="377"/>
      <c r="AF258" s="377"/>
      <c r="AG258" s="377"/>
      <c r="AH258" s="377"/>
      <c r="AI258" s="377"/>
      <c r="AJ258" s="377"/>
      <c r="AK258" s="377"/>
      <c r="AL258" s="574"/>
      <c r="AM258" s="377"/>
      <c r="AN258" s="377"/>
      <c r="AO258" s="377"/>
      <c r="AP258" s="377"/>
      <c r="AQ258" s="377"/>
      <c r="AR258" s="377"/>
      <c r="AS258" s="377"/>
      <c r="AT258" s="377"/>
      <c r="AU258" s="377"/>
      <c r="AV258" s="377"/>
      <c r="AW258" s="575"/>
      <c r="AX258" s="377"/>
      <c r="AY258" s="377"/>
      <c r="AZ258" s="377"/>
      <c r="BA258" s="377"/>
      <c r="BB258" s="377"/>
      <c r="BC258" s="377"/>
      <c r="BD258" s="377"/>
      <c r="BE258" s="377"/>
      <c r="BF258" s="377"/>
      <c r="BG258" s="377"/>
      <c r="BH258" s="377"/>
      <c r="BI258" s="377"/>
      <c r="BJ258" s="377"/>
      <c r="BK258" s="377"/>
      <c r="BL258" s="377"/>
      <c r="BM258" s="377"/>
      <c r="BN258" s="576"/>
      <c r="BO258" s="377"/>
      <c r="BP258" s="377"/>
      <c r="BQ258" s="377"/>
      <c r="BR258" s="377"/>
      <c r="BS258" s="377"/>
      <c r="BT258" s="377"/>
      <c r="BU258" s="377"/>
      <c r="BV258" s="377"/>
      <c r="BW258" s="377"/>
      <c r="BX258" s="377"/>
      <c r="BY258" s="377"/>
      <c r="BZ258" s="377"/>
      <c r="CA258" s="377"/>
      <c r="CB258" s="377"/>
      <c r="CC258" s="377"/>
      <c r="CD258" s="377"/>
      <c r="CE258" s="377"/>
      <c r="CF258" s="377"/>
      <c r="CG258" s="377"/>
      <c r="CH258" s="377"/>
      <c r="CI258" s="377"/>
    </row>
    <row r="259" spans="1:87" ht="15">
      <c r="A259" s="377"/>
      <c r="B259" s="377"/>
      <c r="C259" s="572"/>
      <c r="D259" s="377"/>
      <c r="E259" s="377"/>
      <c r="F259" s="377"/>
      <c r="G259" s="377"/>
      <c r="H259" s="573"/>
      <c r="I259" s="377"/>
      <c r="J259" s="377"/>
      <c r="K259" s="377"/>
      <c r="L259" s="377"/>
      <c r="M259" s="377"/>
      <c r="N259" s="377"/>
      <c r="O259" s="377"/>
      <c r="P259" s="377"/>
      <c r="Q259" s="377"/>
      <c r="R259" s="377"/>
      <c r="S259" s="377"/>
      <c r="T259" s="377"/>
      <c r="U259" s="377"/>
      <c r="V259" s="377"/>
      <c r="W259" s="377"/>
      <c r="X259" s="574"/>
      <c r="Y259" s="377"/>
      <c r="Z259" s="377"/>
      <c r="AA259" s="377"/>
      <c r="AB259" s="377"/>
      <c r="AC259" s="377"/>
      <c r="AD259" s="377"/>
      <c r="AE259" s="377"/>
      <c r="AF259" s="377"/>
      <c r="AG259" s="377"/>
      <c r="AH259" s="377"/>
      <c r="AI259" s="377"/>
      <c r="AJ259" s="377"/>
      <c r="AK259" s="377"/>
      <c r="AL259" s="574"/>
      <c r="AM259" s="377"/>
      <c r="AN259" s="377"/>
      <c r="AO259" s="377"/>
      <c r="AP259" s="377"/>
      <c r="AQ259" s="377"/>
      <c r="AR259" s="377"/>
      <c r="AS259" s="377"/>
      <c r="AT259" s="377"/>
      <c r="AU259" s="377"/>
      <c r="AV259" s="377"/>
      <c r="AW259" s="575"/>
      <c r="AX259" s="377"/>
      <c r="AY259" s="377"/>
      <c r="AZ259" s="377"/>
      <c r="BA259" s="377"/>
      <c r="BB259" s="377"/>
      <c r="BC259" s="377"/>
      <c r="BD259" s="377"/>
      <c r="BE259" s="377"/>
      <c r="BF259" s="377"/>
      <c r="BG259" s="377"/>
      <c r="BH259" s="377"/>
      <c r="BI259" s="377"/>
      <c r="BJ259" s="377"/>
      <c r="BK259" s="377"/>
      <c r="BL259" s="377"/>
      <c r="BM259" s="377"/>
      <c r="BN259" s="576"/>
      <c r="BO259" s="377"/>
      <c r="BP259" s="377"/>
      <c r="BQ259" s="377"/>
      <c r="BR259" s="377"/>
      <c r="BS259" s="377"/>
      <c r="BT259" s="377"/>
      <c r="BU259" s="377"/>
      <c r="BV259" s="377"/>
      <c r="BW259" s="377"/>
      <c r="BX259" s="377"/>
      <c r="BY259" s="377"/>
      <c r="BZ259" s="377"/>
      <c r="CA259" s="377"/>
      <c r="CB259" s="377"/>
      <c r="CC259" s="377"/>
      <c r="CD259" s="377"/>
      <c r="CE259" s="377"/>
      <c r="CF259" s="377"/>
      <c r="CG259" s="377"/>
      <c r="CH259" s="377"/>
      <c r="CI259" s="377"/>
    </row>
    <row r="260" spans="1:87" ht="15">
      <c r="A260" s="377"/>
      <c r="B260" s="377"/>
      <c r="C260" s="572"/>
      <c r="D260" s="377"/>
      <c r="E260" s="377"/>
      <c r="F260" s="377"/>
      <c r="G260" s="377"/>
      <c r="H260" s="573"/>
      <c r="I260" s="377"/>
      <c r="J260" s="377"/>
      <c r="K260" s="377"/>
      <c r="L260" s="377"/>
      <c r="M260" s="377"/>
      <c r="N260" s="377"/>
      <c r="O260" s="377"/>
      <c r="P260" s="377"/>
      <c r="Q260" s="377"/>
      <c r="R260" s="377"/>
      <c r="S260" s="377"/>
      <c r="T260" s="377"/>
      <c r="U260" s="377"/>
      <c r="V260" s="377"/>
      <c r="W260" s="377"/>
      <c r="X260" s="574"/>
      <c r="Y260" s="377"/>
      <c r="Z260" s="377"/>
      <c r="AA260" s="377"/>
      <c r="AB260" s="377"/>
      <c r="AC260" s="377"/>
      <c r="AD260" s="377"/>
      <c r="AE260" s="377"/>
      <c r="AF260" s="377"/>
      <c r="AG260" s="377"/>
      <c r="AH260" s="377"/>
      <c r="AI260" s="377"/>
      <c r="AJ260" s="377"/>
      <c r="AK260" s="377"/>
      <c r="AL260" s="574"/>
      <c r="AM260" s="377"/>
      <c r="AN260" s="377"/>
      <c r="AO260" s="377"/>
      <c r="AP260" s="377"/>
      <c r="AQ260" s="377"/>
      <c r="AR260" s="377"/>
      <c r="AS260" s="377"/>
      <c r="AT260" s="377"/>
      <c r="AU260" s="377"/>
      <c r="AV260" s="377"/>
      <c r="AW260" s="575"/>
      <c r="AX260" s="377"/>
      <c r="AY260" s="377"/>
      <c r="AZ260" s="377"/>
      <c r="BA260" s="377"/>
      <c r="BB260" s="377"/>
      <c r="BC260" s="377"/>
      <c r="BD260" s="377"/>
      <c r="BE260" s="377"/>
      <c r="BF260" s="377"/>
      <c r="BG260" s="377"/>
      <c r="BH260" s="377"/>
      <c r="BI260" s="377"/>
      <c r="BJ260" s="377"/>
      <c r="BK260" s="377"/>
      <c r="BL260" s="377"/>
      <c r="BM260" s="377"/>
      <c r="BN260" s="576"/>
      <c r="BO260" s="377"/>
      <c r="BP260" s="377"/>
      <c r="BQ260" s="377"/>
      <c r="BR260" s="377"/>
      <c r="BS260" s="377"/>
      <c r="BT260" s="377"/>
      <c r="BU260" s="377"/>
      <c r="BV260" s="377"/>
      <c r="BW260" s="377"/>
      <c r="BX260" s="377"/>
      <c r="BY260" s="377"/>
      <c r="BZ260" s="377"/>
      <c r="CA260" s="377"/>
      <c r="CB260" s="377"/>
      <c r="CC260" s="377"/>
      <c r="CD260" s="377"/>
      <c r="CE260" s="377"/>
      <c r="CF260" s="377"/>
      <c r="CG260" s="377"/>
      <c r="CH260" s="377"/>
      <c r="CI260" s="377"/>
    </row>
    <row r="261" spans="1:87" ht="15">
      <c r="A261" s="377"/>
      <c r="B261" s="377"/>
      <c r="C261" s="572"/>
      <c r="D261" s="377"/>
      <c r="E261" s="377"/>
      <c r="F261" s="377"/>
      <c r="G261" s="377"/>
      <c r="H261" s="573"/>
      <c r="I261" s="377"/>
      <c r="J261" s="377"/>
      <c r="K261" s="377"/>
      <c r="L261" s="377"/>
      <c r="M261" s="377"/>
      <c r="N261" s="377"/>
      <c r="O261" s="377"/>
      <c r="P261" s="377"/>
      <c r="Q261" s="377"/>
      <c r="R261" s="377"/>
      <c r="S261" s="377"/>
      <c r="T261" s="377"/>
      <c r="U261" s="377"/>
      <c r="V261" s="377"/>
      <c r="W261" s="377"/>
      <c r="X261" s="574"/>
      <c r="Y261" s="377"/>
      <c r="Z261" s="377"/>
      <c r="AA261" s="377"/>
      <c r="AB261" s="377"/>
      <c r="AC261" s="377"/>
      <c r="AD261" s="377"/>
      <c r="AE261" s="377"/>
      <c r="AF261" s="377"/>
      <c r="AG261" s="377"/>
      <c r="AH261" s="377"/>
      <c r="AI261" s="377"/>
      <c r="AJ261" s="377"/>
      <c r="AK261" s="377"/>
      <c r="AL261" s="574"/>
      <c r="AM261" s="377"/>
      <c r="AN261" s="377"/>
      <c r="AO261" s="377"/>
      <c r="AP261" s="377"/>
      <c r="AQ261" s="377"/>
      <c r="AR261" s="377"/>
      <c r="AS261" s="377"/>
      <c r="AT261" s="377"/>
      <c r="AU261" s="377"/>
      <c r="AV261" s="377"/>
      <c r="AW261" s="575"/>
      <c r="AX261" s="377"/>
      <c r="AY261" s="377"/>
      <c r="AZ261" s="377"/>
      <c r="BA261" s="377"/>
      <c r="BB261" s="377"/>
      <c r="BC261" s="377"/>
      <c r="BD261" s="377"/>
      <c r="BE261" s="377"/>
      <c r="BF261" s="377"/>
      <c r="BG261" s="377"/>
      <c r="BH261" s="377"/>
      <c r="BI261" s="377"/>
      <c r="BJ261" s="377"/>
      <c r="BK261" s="377"/>
      <c r="BL261" s="377"/>
      <c r="BM261" s="377"/>
      <c r="BN261" s="576"/>
      <c r="BO261" s="377"/>
      <c r="BP261" s="377"/>
      <c r="BQ261" s="377"/>
      <c r="BR261" s="377"/>
      <c r="BS261" s="377"/>
      <c r="BT261" s="377"/>
      <c r="BU261" s="377"/>
      <c r="BV261" s="377"/>
      <c r="BW261" s="377"/>
      <c r="BX261" s="377"/>
      <c r="BY261" s="377"/>
      <c r="BZ261" s="377"/>
      <c r="CA261" s="377"/>
      <c r="CB261" s="377"/>
      <c r="CC261" s="377"/>
      <c r="CD261" s="377"/>
      <c r="CE261" s="377"/>
      <c r="CF261" s="377"/>
      <c r="CG261" s="377"/>
      <c r="CH261" s="377"/>
      <c r="CI261" s="377"/>
    </row>
    <row r="262" spans="1:87" ht="15">
      <c r="A262" s="377"/>
      <c r="B262" s="377"/>
      <c r="C262" s="572"/>
      <c r="D262" s="377"/>
      <c r="E262" s="377"/>
      <c r="F262" s="377"/>
      <c r="G262" s="377"/>
      <c r="H262" s="573"/>
      <c r="I262" s="377"/>
      <c r="J262" s="377"/>
      <c r="K262" s="377"/>
      <c r="L262" s="377"/>
      <c r="M262" s="377"/>
      <c r="N262" s="377"/>
      <c r="O262" s="377"/>
      <c r="P262" s="377"/>
      <c r="Q262" s="377"/>
      <c r="R262" s="377"/>
      <c r="S262" s="377"/>
      <c r="T262" s="377"/>
      <c r="U262" s="377"/>
      <c r="V262" s="377"/>
      <c r="W262" s="377"/>
      <c r="X262" s="574"/>
      <c r="Y262" s="377"/>
      <c r="Z262" s="377"/>
      <c r="AA262" s="377"/>
      <c r="AB262" s="377"/>
      <c r="AC262" s="377"/>
      <c r="AD262" s="377"/>
      <c r="AE262" s="377"/>
      <c r="AF262" s="377"/>
      <c r="AG262" s="377"/>
      <c r="AH262" s="377"/>
      <c r="AI262" s="377"/>
      <c r="AJ262" s="377"/>
      <c r="AK262" s="377"/>
      <c r="AL262" s="574"/>
      <c r="AM262" s="377"/>
      <c r="AN262" s="377"/>
      <c r="AO262" s="377"/>
      <c r="AP262" s="377"/>
      <c r="AQ262" s="377"/>
      <c r="AR262" s="377"/>
      <c r="AS262" s="377"/>
      <c r="AT262" s="377"/>
      <c r="AU262" s="377"/>
      <c r="AV262" s="377"/>
      <c r="AW262" s="575"/>
      <c r="AX262" s="377"/>
      <c r="AY262" s="377"/>
      <c r="AZ262" s="377"/>
      <c r="BA262" s="377"/>
      <c r="BB262" s="377"/>
      <c r="BC262" s="377"/>
      <c r="BD262" s="377"/>
      <c r="BE262" s="377"/>
      <c r="BF262" s="377"/>
      <c r="BG262" s="377"/>
      <c r="BH262" s="377"/>
      <c r="BI262" s="377"/>
      <c r="BJ262" s="377"/>
      <c r="BK262" s="377"/>
      <c r="BL262" s="377"/>
      <c r="BM262" s="377"/>
      <c r="BN262" s="576"/>
      <c r="BO262" s="377"/>
      <c r="BP262" s="377"/>
      <c r="BQ262" s="377"/>
      <c r="BR262" s="377"/>
      <c r="BS262" s="377"/>
      <c r="BT262" s="377"/>
      <c r="BU262" s="377"/>
      <c r="BV262" s="377"/>
      <c r="BW262" s="377"/>
      <c r="BX262" s="377"/>
      <c r="BY262" s="377"/>
      <c r="BZ262" s="377"/>
      <c r="CA262" s="377"/>
      <c r="CB262" s="377"/>
      <c r="CC262" s="377"/>
      <c r="CD262" s="377"/>
      <c r="CE262" s="377"/>
      <c r="CF262" s="377"/>
      <c r="CG262" s="377"/>
      <c r="CH262" s="377"/>
      <c r="CI262" s="377"/>
    </row>
    <row r="263" spans="1:87" ht="15">
      <c r="A263" s="377"/>
      <c r="B263" s="377"/>
      <c r="C263" s="572"/>
      <c r="D263" s="377"/>
      <c r="E263" s="377"/>
      <c r="F263" s="377"/>
      <c r="G263" s="377"/>
      <c r="H263" s="573"/>
      <c r="I263" s="377"/>
      <c r="J263" s="377"/>
      <c r="K263" s="377"/>
      <c r="L263" s="377"/>
      <c r="M263" s="377"/>
      <c r="N263" s="377"/>
      <c r="O263" s="377"/>
      <c r="P263" s="377"/>
      <c r="Q263" s="377"/>
      <c r="R263" s="377"/>
      <c r="S263" s="377"/>
      <c r="T263" s="377"/>
      <c r="U263" s="377"/>
      <c r="V263" s="377"/>
      <c r="W263" s="377"/>
      <c r="X263" s="574"/>
      <c r="Y263" s="377"/>
      <c r="Z263" s="377"/>
      <c r="AA263" s="377"/>
      <c r="AB263" s="377"/>
      <c r="AC263" s="377"/>
      <c r="AD263" s="377"/>
      <c r="AE263" s="377"/>
      <c r="AF263" s="377"/>
      <c r="AG263" s="377"/>
      <c r="AH263" s="377"/>
      <c r="AI263" s="377"/>
      <c r="AJ263" s="377"/>
      <c r="AK263" s="377"/>
      <c r="AL263" s="574"/>
      <c r="AM263" s="377"/>
      <c r="AN263" s="377"/>
      <c r="AO263" s="377"/>
      <c r="AP263" s="377"/>
      <c r="AQ263" s="377"/>
      <c r="AR263" s="377"/>
      <c r="AS263" s="377"/>
      <c r="AT263" s="377"/>
      <c r="AU263" s="377"/>
      <c r="AV263" s="377"/>
      <c r="AW263" s="575"/>
      <c r="AX263" s="377"/>
      <c r="AY263" s="377"/>
      <c r="AZ263" s="377"/>
      <c r="BA263" s="377"/>
      <c r="BB263" s="377"/>
      <c r="BC263" s="377"/>
      <c r="BD263" s="377"/>
      <c r="BE263" s="377"/>
      <c r="BF263" s="377"/>
      <c r="BG263" s="377"/>
      <c r="BH263" s="377"/>
      <c r="BI263" s="377"/>
      <c r="BJ263" s="377"/>
      <c r="BK263" s="377"/>
      <c r="BL263" s="377"/>
      <c r="BM263" s="377"/>
      <c r="BN263" s="576"/>
      <c r="BO263" s="377"/>
      <c r="BP263" s="377"/>
      <c r="BQ263" s="377"/>
      <c r="BR263" s="377"/>
      <c r="BS263" s="377"/>
      <c r="BT263" s="377"/>
      <c r="BU263" s="377"/>
      <c r="BV263" s="377"/>
      <c r="BW263" s="377"/>
      <c r="BX263" s="377"/>
      <c r="BY263" s="377"/>
      <c r="BZ263" s="377"/>
      <c r="CA263" s="377"/>
      <c r="CB263" s="377"/>
      <c r="CC263" s="377"/>
      <c r="CD263" s="377"/>
      <c r="CE263" s="377"/>
      <c r="CF263" s="377"/>
      <c r="CG263" s="377"/>
      <c r="CH263" s="377"/>
      <c r="CI263" s="377"/>
    </row>
    <row r="264" spans="1:87" ht="15">
      <c r="A264" s="377"/>
      <c r="B264" s="377"/>
      <c r="C264" s="572"/>
      <c r="D264" s="377"/>
      <c r="E264" s="377"/>
      <c r="F264" s="377"/>
      <c r="G264" s="377"/>
      <c r="H264" s="573"/>
      <c r="I264" s="377"/>
      <c r="J264" s="377"/>
      <c r="K264" s="377"/>
      <c r="L264" s="377"/>
      <c r="M264" s="377"/>
      <c r="N264" s="377"/>
      <c r="O264" s="377"/>
      <c r="P264" s="377"/>
      <c r="Q264" s="377"/>
      <c r="R264" s="377"/>
      <c r="S264" s="377"/>
      <c r="T264" s="377"/>
      <c r="U264" s="377"/>
      <c r="V264" s="377"/>
      <c r="W264" s="377"/>
      <c r="X264" s="574"/>
      <c r="Y264" s="377"/>
      <c r="Z264" s="377"/>
      <c r="AA264" s="377"/>
      <c r="AB264" s="377"/>
      <c r="AC264" s="377"/>
      <c r="AD264" s="377"/>
      <c r="AE264" s="377"/>
      <c r="AF264" s="377"/>
      <c r="AG264" s="377"/>
      <c r="AH264" s="377"/>
      <c r="AI264" s="377"/>
      <c r="AJ264" s="377"/>
      <c r="AK264" s="377"/>
      <c r="AL264" s="574"/>
      <c r="AM264" s="377"/>
      <c r="AN264" s="377"/>
      <c r="AO264" s="377"/>
      <c r="AP264" s="377"/>
      <c r="AQ264" s="377"/>
      <c r="AR264" s="377"/>
      <c r="AS264" s="377"/>
      <c r="AT264" s="377"/>
      <c r="AU264" s="377"/>
      <c r="AV264" s="377"/>
      <c r="AW264" s="575"/>
      <c r="AX264" s="377"/>
      <c r="AY264" s="377"/>
      <c r="AZ264" s="377"/>
      <c r="BA264" s="377"/>
      <c r="BB264" s="377"/>
      <c r="BC264" s="377"/>
      <c r="BD264" s="377"/>
      <c r="BE264" s="377"/>
      <c r="BF264" s="377"/>
      <c r="BG264" s="377"/>
      <c r="BH264" s="377"/>
      <c r="BI264" s="377"/>
      <c r="BJ264" s="377"/>
      <c r="BK264" s="377"/>
      <c r="BL264" s="377"/>
      <c r="BM264" s="377"/>
      <c r="BN264" s="576"/>
      <c r="BO264" s="377"/>
      <c r="BP264" s="377"/>
      <c r="BQ264" s="377"/>
      <c r="BR264" s="377"/>
      <c r="BS264" s="377"/>
      <c r="BT264" s="377"/>
      <c r="BU264" s="377"/>
      <c r="BV264" s="377"/>
      <c r="BW264" s="377"/>
      <c r="BX264" s="377"/>
      <c r="BY264" s="377"/>
      <c r="BZ264" s="377"/>
      <c r="CA264" s="377"/>
      <c r="CB264" s="377"/>
      <c r="CC264" s="377"/>
      <c r="CD264" s="377"/>
      <c r="CE264" s="377"/>
      <c r="CF264" s="377"/>
      <c r="CG264" s="377"/>
      <c r="CH264" s="377"/>
      <c r="CI264" s="377"/>
    </row>
    <row r="265" spans="1:87" ht="15">
      <c r="A265" s="377"/>
      <c r="B265" s="377"/>
      <c r="C265" s="572"/>
      <c r="D265" s="377"/>
      <c r="E265" s="377"/>
      <c r="F265" s="377"/>
      <c r="G265" s="377"/>
      <c r="H265" s="573"/>
      <c r="I265" s="377"/>
      <c r="J265" s="377"/>
      <c r="K265" s="377"/>
      <c r="L265" s="377"/>
      <c r="M265" s="377"/>
      <c r="N265" s="377"/>
      <c r="O265" s="377"/>
      <c r="P265" s="377"/>
      <c r="Q265" s="377"/>
      <c r="R265" s="377"/>
      <c r="S265" s="377"/>
      <c r="T265" s="377"/>
      <c r="U265" s="377"/>
      <c r="V265" s="377"/>
      <c r="W265" s="377"/>
      <c r="X265" s="574"/>
      <c r="Y265" s="377"/>
      <c r="Z265" s="377"/>
      <c r="AA265" s="377"/>
      <c r="AB265" s="377"/>
      <c r="AC265" s="377"/>
      <c r="AD265" s="377"/>
      <c r="AE265" s="377"/>
      <c r="AF265" s="377"/>
      <c r="AG265" s="377"/>
      <c r="AH265" s="377"/>
      <c r="AI265" s="377"/>
      <c r="AJ265" s="377"/>
      <c r="AK265" s="377"/>
      <c r="AL265" s="574"/>
      <c r="AM265" s="377"/>
      <c r="AN265" s="377"/>
      <c r="AO265" s="377"/>
      <c r="AP265" s="377"/>
      <c r="AQ265" s="377"/>
      <c r="AR265" s="377"/>
      <c r="AS265" s="377"/>
      <c r="AT265" s="377"/>
      <c r="AU265" s="377"/>
      <c r="AV265" s="377"/>
      <c r="AW265" s="575"/>
      <c r="AX265" s="377"/>
      <c r="AY265" s="377"/>
      <c r="AZ265" s="377"/>
      <c r="BA265" s="377"/>
      <c r="BB265" s="377"/>
      <c r="BC265" s="377"/>
      <c r="BD265" s="377"/>
      <c r="BE265" s="377"/>
      <c r="BF265" s="377"/>
      <c r="BG265" s="377"/>
      <c r="BH265" s="377"/>
      <c r="BI265" s="377"/>
      <c r="BJ265" s="377"/>
      <c r="BK265" s="377"/>
      <c r="BL265" s="377"/>
      <c r="BM265" s="377"/>
      <c r="BN265" s="576"/>
      <c r="BO265" s="377"/>
      <c r="BP265" s="377"/>
      <c r="BQ265" s="377"/>
      <c r="BR265" s="377"/>
      <c r="BS265" s="377"/>
      <c r="BT265" s="377"/>
      <c r="BU265" s="377"/>
      <c r="BV265" s="377"/>
      <c r="BW265" s="377"/>
      <c r="BX265" s="377"/>
      <c r="BY265" s="377"/>
      <c r="BZ265" s="377"/>
      <c r="CA265" s="377"/>
      <c r="CB265" s="377"/>
      <c r="CC265" s="377"/>
      <c r="CD265" s="377"/>
      <c r="CE265" s="377"/>
      <c r="CF265" s="377"/>
      <c r="CG265" s="377"/>
      <c r="CH265" s="377"/>
      <c r="CI265" s="377"/>
    </row>
    <row r="266" spans="1:87" ht="15">
      <c r="A266" s="377"/>
      <c r="B266" s="377"/>
      <c r="C266" s="572"/>
      <c r="D266" s="377"/>
      <c r="E266" s="377"/>
      <c r="F266" s="377"/>
      <c r="G266" s="377"/>
      <c r="H266" s="573"/>
      <c r="I266" s="377"/>
      <c r="J266" s="377"/>
      <c r="K266" s="377"/>
      <c r="L266" s="377"/>
      <c r="M266" s="377"/>
      <c r="N266" s="377"/>
      <c r="O266" s="377"/>
      <c r="P266" s="377"/>
      <c r="Q266" s="377"/>
      <c r="R266" s="377"/>
      <c r="S266" s="377"/>
      <c r="T266" s="377"/>
      <c r="U266" s="377"/>
      <c r="V266" s="377"/>
      <c r="W266" s="377"/>
      <c r="X266" s="574"/>
      <c r="Y266" s="377"/>
      <c r="Z266" s="377"/>
      <c r="AA266" s="377"/>
      <c r="AB266" s="377"/>
      <c r="AC266" s="377"/>
      <c r="AD266" s="377"/>
      <c r="AE266" s="377"/>
      <c r="AF266" s="377"/>
      <c r="AG266" s="377"/>
      <c r="AH266" s="377"/>
      <c r="AI266" s="377"/>
      <c r="AJ266" s="377"/>
      <c r="AK266" s="377"/>
      <c r="AL266" s="574"/>
      <c r="AM266" s="377"/>
      <c r="AN266" s="377"/>
      <c r="AO266" s="377"/>
      <c r="AP266" s="377"/>
      <c r="AQ266" s="377"/>
      <c r="AR266" s="377"/>
      <c r="AS266" s="377"/>
      <c r="AT266" s="377"/>
      <c r="AU266" s="377"/>
      <c r="AV266" s="377"/>
      <c r="AW266" s="575"/>
      <c r="AX266" s="377"/>
      <c r="AY266" s="377"/>
      <c r="AZ266" s="377"/>
      <c r="BA266" s="377"/>
      <c r="BB266" s="377"/>
      <c r="BC266" s="377"/>
      <c r="BD266" s="377"/>
      <c r="BE266" s="377"/>
      <c r="BF266" s="377"/>
      <c r="BG266" s="377"/>
      <c r="BH266" s="377"/>
      <c r="BI266" s="377"/>
      <c r="BJ266" s="377"/>
      <c r="BK266" s="377"/>
      <c r="BL266" s="377"/>
      <c r="BM266" s="377"/>
      <c r="BN266" s="576"/>
      <c r="BO266" s="377"/>
      <c r="BP266" s="377"/>
      <c r="BQ266" s="377"/>
      <c r="BR266" s="377"/>
      <c r="BS266" s="377"/>
      <c r="BT266" s="377"/>
      <c r="BU266" s="377"/>
      <c r="BV266" s="377"/>
      <c r="BW266" s="377"/>
      <c r="BX266" s="377"/>
      <c r="BY266" s="377"/>
      <c r="BZ266" s="377"/>
      <c r="CA266" s="377"/>
      <c r="CB266" s="377"/>
      <c r="CC266" s="377"/>
      <c r="CD266" s="377"/>
      <c r="CE266" s="377"/>
      <c r="CF266" s="377"/>
      <c r="CG266" s="377"/>
      <c r="CH266" s="377"/>
      <c r="CI266" s="377"/>
    </row>
    <row r="267" spans="1:87" ht="15">
      <c r="A267" s="377"/>
      <c r="B267" s="377"/>
      <c r="C267" s="572"/>
      <c r="D267" s="377"/>
      <c r="E267" s="377"/>
      <c r="F267" s="377"/>
      <c r="G267" s="377"/>
      <c r="H267" s="573"/>
      <c r="I267" s="377"/>
      <c r="J267" s="377"/>
      <c r="K267" s="377"/>
      <c r="L267" s="377"/>
      <c r="M267" s="377"/>
      <c r="N267" s="377"/>
      <c r="O267" s="377"/>
      <c r="P267" s="377"/>
      <c r="Q267" s="377"/>
      <c r="R267" s="377"/>
      <c r="S267" s="377"/>
      <c r="T267" s="377"/>
      <c r="U267" s="377"/>
      <c r="V267" s="377"/>
      <c r="W267" s="377"/>
      <c r="X267" s="574"/>
      <c r="Y267" s="377"/>
      <c r="Z267" s="377"/>
      <c r="AA267" s="377"/>
      <c r="AB267" s="377"/>
      <c r="AC267" s="377"/>
      <c r="AD267" s="377"/>
      <c r="AE267" s="377"/>
      <c r="AF267" s="377"/>
      <c r="AG267" s="377"/>
      <c r="AH267" s="377"/>
      <c r="AI267" s="377"/>
      <c r="AJ267" s="377"/>
      <c r="AK267" s="377"/>
      <c r="AL267" s="574"/>
      <c r="AM267" s="377"/>
      <c r="AN267" s="377"/>
      <c r="AO267" s="377"/>
      <c r="AP267" s="377"/>
      <c r="AQ267" s="377"/>
      <c r="AR267" s="377"/>
      <c r="AS267" s="377"/>
      <c r="AT267" s="377"/>
      <c r="AU267" s="377"/>
      <c r="AV267" s="377"/>
      <c r="AW267" s="575"/>
      <c r="AX267" s="377"/>
      <c r="AY267" s="377"/>
      <c r="AZ267" s="377"/>
      <c r="BA267" s="377"/>
      <c r="BB267" s="377"/>
      <c r="BC267" s="377"/>
      <c r="BD267" s="377"/>
      <c r="BE267" s="377"/>
      <c r="BF267" s="377"/>
      <c r="BG267" s="377"/>
      <c r="BH267" s="377"/>
      <c r="BI267" s="377"/>
      <c r="BJ267" s="377"/>
      <c r="BK267" s="377"/>
      <c r="BL267" s="377"/>
      <c r="BM267" s="377"/>
      <c r="BN267" s="576"/>
      <c r="BO267" s="377"/>
      <c r="BP267" s="377"/>
      <c r="BQ267" s="377"/>
      <c r="BR267" s="377"/>
      <c r="BS267" s="377"/>
      <c r="BT267" s="377"/>
      <c r="BU267" s="377"/>
      <c r="BV267" s="377"/>
      <c r="BW267" s="377"/>
      <c r="BX267" s="377"/>
      <c r="BY267" s="377"/>
      <c r="BZ267" s="377"/>
      <c r="CA267" s="377"/>
      <c r="CB267" s="377"/>
      <c r="CC267" s="377"/>
      <c r="CD267" s="377"/>
      <c r="CE267" s="377"/>
      <c r="CF267" s="377"/>
      <c r="CG267" s="377"/>
      <c r="CH267" s="377"/>
      <c r="CI267" s="377"/>
    </row>
    <row r="268" spans="1:87" ht="15">
      <c r="A268" s="377"/>
      <c r="B268" s="377"/>
      <c r="C268" s="572"/>
      <c r="D268" s="377"/>
      <c r="E268" s="377"/>
      <c r="F268" s="377"/>
      <c r="G268" s="377"/>
      <c r="H268" s="573"/>
      <c r="I268" s="377"/>
      <c r="J268" s="377"/>
      <c r="K268" s="377"/>
      <c r="L268" s="377"/>
      <c r="M268" s="377"/>
      <c r="N268" s="377"/>
      <c r="O268" s="377"/>
      <c r="P268" s="377"/>
      <c r="Q268" s="377"/>
      <c r="R268" s="377"/>
      <c r="S268" s="377"/>
      <c r="T268" s="377"/>
      <c r="U268" s="377"/>
      <c r="V268" s="377"/>
      <c r="W268" s="377"/>
      <c r="X268" s="574"/>
      <c r="Y268" s="377"/>
      <c r="Z268" s="377"/>
      <c r="AA268" s="377"/>
      <c r="AB268" s="377"/>
      <c r="AC268" s="377"/>
      <c r="AD268" s="377"/>
      <c r="AE268" s="377"/>
      <c r="AF268" s="377"/>
      <c r="AG268" s="377"/>
      <c r="AH268" s="377"/>
      <c r="AI268" s="377"/>
      <c r="AJ268" s="377"/>
      <c r="AK268" s="377"/>
      <c r="AL268" s="574"/>
      <c r="AM268" s="377"/>
      <c r="AN268" s="377"/>
      <c r="AO268" s="377"/>
      <c r="AP268" s="377"/>
      <c r="AQ268" s="377"/>
      <c r="AR268" s="377"/>
      <c r="AS268" s="377"/>
      <c r="AT268" s="377"/>
      <c r="AU268" s="377"/>
      <c r="AV268" s="377"/>
      <c r="AW268" s="575"/>
      <c r="AX268" s="377"/>
      <c r="AY268" s="377"/>
      <c r="AZ268" s="377"/>
      <c r="BA268" s="377"/>
      <c r="BB268" s="377"/>
      <c r="BC268" s="377"/>
      <c r="BD268" s="377"/>
      <c r="BE268" s="377"/>
      <c r="BF268" s="377"/>
      <c r="BG268" s="377"/>
      <c r="BH268" s="377"/>
      <c r="BI268" s="377"/>
      <c r="BJ268" s="377"/>
      <c r="BK268" s="377"/>
      <c r="BL268" s="377"/>
      <c r="BM268" s="377"/>
      <c r="BN268" s="576"/>
      <c r="BO268" s="377"/>
      <c r="BP268" s="377"/>
      <c r="BQ268" s="377"/>
      <c r="BR268" s="377"/>
      <c r="BS268" s="377"/>
      <c r="BT268" s="377"/>
      <c r="BU268" s="377"/>
      <c r="BV268" s="377"/>
      <c r="BW268" s="377"/>
      <c r="BX268" s="377"/>
      <c r="BY268" s="377"/>
      <c r="BZ268" s="377"/>
      <c r="CA268" s="377"/>
      <c r="CB268" s="377"/>
      <c r="CC268" s="377"/>
      <c r="CD268" s="377"/>
      <c r="CE268" s="377"/>
      <c r="CF268" s="377"/>
      <c r="CG268" s="377"/>
      <c r="CH268" s="377"/>
      <c r="CI268" s="377"/>
    </row>
    <row r="269" spans="1:87" ht="15">
      <c r="A269" s="377"/>
      <c r="B269" s="377"/>
      <c r="C269" s="572"/>
      <c r="D269" s="377"/>
      <c r="E269" s="377"/>
      <c r="F269" s="377"/>
      <c r="G269" s="377"/>
      <c r="H269" s="573"/>
      <c r="I269" s="377"/>
      <c r="J269" s="377"/>
      <c r="K269" s="377"/>
      <c r="L269" s="377"/>
      <c r="M269" s="377"/>
      <c r="N269" s="377"/>
      <c r="O269" s="377"/>
      <c r="P269" s="377"/>
      <c r="Q269" s="377"/>
      <c r="R269" s="377"/>
      <c r="S269" s="377"/>
      <c r="T269" s="377"/>
      <c r="U269" s="377"/>
      <c r="V269" s="377"/>
      <c r="W269" s="377"/>
      <c r="X269" s="574"/>
      <c r="Y269" s="377"/>
      <c r="Z269" s="377"/>
      <c r="AA269" s="377"/>
      <c r="AB269" s="377"/>
      <c r="AC269" s="377"/>
      <c r="AD269" s="377"/>
      <c r="AE269" s="377"/>
      <c r="AF269" s="377"/>
      <c r="AG269" s="377"/>
      <c r="AH269" s="377"/>
      <c r="AI269" s="377"/>
      <c r="AJ269" s="377"/>
      <c r="AK269" s="377"/>
      <c r="AL269" s="574"/>
      <c r="AM269" s="377"/>
      <c r="AN269" s="377"/>
      <c r="AO269" s="377"/>
      <c r="AP269" s="377"/>
      <c r="AQ269" s="377"/>
      <c r="AR269" s="377"/>
      <c r="AS269" s="377"/>
      <c r="AT269" s="377"/>
      <c r="AU269" s="377"/>
      <c r="AV269" s="377"/>
      <c r="AW269" s="575"/>
      <c r="AX269" s="377"/>
      <c r="AY269" s="377"/>
      <c r="AZ269" s="377"/>
      <c r="BA269" s="377"/>
      <c r="BB269" s="377"/>
      <c r="BC269" s="377"/>
      <c r="BD269" s="377"/>
      <c r="BE269" s="377"/>
      <c r="BF269" s="377"/>
      <c r="BG269" s="377"/>
      <c r="BH269" s="377"/>
      <c r="BI269" s="377"/>
      <c r="BJ269" s="377"/>
      <c r="BK269" s="377"/>
      <c r="BL269" s="377"/>
      <c r="BM269" s="377"/>
      <c r="BN269" s="576"/>
      <c r="BO269" s="377"/>
      <c r="BP269" s="377"/>
      <c r="BQ269" s="377"/>
      <c r="BR269" s="377"/>
      <c r="BS269" s="377"/>
      <c r="BT269" s="377"/>
      <c r="BU269" s="377"/>
      <c r="BV269" s="377"/>
      <c r="BW269" s="377"/>
      <c r="BX269" s="377"/>
      <c r="BY269" s="377"/>
      <c r="BZ269" s="377"/>
      <c r="CA269" s="377"/>
      <c r="CB269" s="377"/>
      <c r="CC269" s="377"/>
      <c r="CD269" s="377"/>
      <c r="CE269" s="377"/>
      <c r="CF269" s="377"/>
      <c r="CG269" s="377"/>
      <c r="CH269" s="377"/>
      <c r="CI269" s="377"/>
    </row>
    <row r="270" spans="1:87" ht="15">
      <c r="A270" s="377"/>
      <c r="B270" s="377"/>
      <c r="C270" s="572"/>
      <c r="D270" s="377"/>
      <c r="E270" s="377"/>
      <c r="F270" s="377"/>
      <c r="G270" s="377"/>
      <c r="H270" s="573"/>
      <c r="I270" s="377"/>
      <c r="J270" s="377"/>
      <c r="K270" s="377"/>
      <c r="L270" s="377"/>
      <c r="M270" s="377"/>
      <c r="N270" s="377"/>
      <c r="O270" s="377"/>
      <c r="P270" s="377"/>
      <c r="Q270" s="377"/>
      <c r="R270" s="377"/>
      <c r="S270" s="377"/>
      <c r="T270" s="377"/>
      <c r="U270" s="377"/>
      <c r="V270" s="377"/>
      <c r="W270" s="377"/>
      <c r="X270" s="574"/>
      <c r="Y270" s="377"/>
      <c r="Z270" s="377"/>
      <c r="AA270" s="377"/>
      <c r="AB270" s="377"/>
      <c r="AC270" s="377"/>
      <c r="AD270" s="377"/>
      <c r="AE270" s="377"/>
      <c r="AF270" s="377"/>
      <c r="AG270" s="377"/>
      <c r="AH270" s="377"/>
      <c r="AI270" s="377"/>
      <c r="AJ270" s="377"/>
      <c r="AK270" s="377"/>
      <c r="AL270" s="574"/>
      <c r="AM270" s="377"/>
      <c r="AN270" s="377"/>
      <c r="AO270" s="377"/>
      <c r="AP270" s="377"/>
      <c r="AQ270" s="377"/>
      <c r="AR270" s="377"/>
      <c r="AS270" s="377"/>
      <c r="AT270" s="377"/>
      <c r="AU270" s="377"/>
      <c r="AV270" s="377"/>
      <c r="AW270" s="575"/>
      <c r="AX270" s="377"/>
      <c r="AY270" s="377"/>
      <c r="AZ270" s="377"/>
      <c r="BA270" s="377"/>
      <c r="BB270" s="377"/>
      <c r="BC270" s="377"/>
      <c r="BD270" s="377"/>
      <c r="BE270" s="377"/>
      <c r="BF270" s="377"/>
      <c r="BG270" s="377"/>
      <c r="BH270" s="377"/>
      <c r="BI270" s="377"/>
      <c r="BJ270" s="377"/>
      <c r="BK270" s="377"/>
      <c r="BL270" s="377"/>
      <c r="BM270" s="377"/>
      <c r="BN270" s="576"/>
      <c r="BO270" s="377"/>
      <c r="BP270" s="377"/>
      <c r="BQ270" s="377"/>
      <c r="BR270" s="377"/>
      <c r="BS270" s="377"/>
      <c r="BT270" s="377"/>
      <c r="BU270" s="377"/>
      <c r="BV270" s="377"/>
      <c r="BW270" s="377"/>
      <c r="BX270" s="377"/>
      <c r="BY270" s="377"/>
      <c r="BZ270" s="377"/>
      <c r="CA270" s="377"/>
      <c r="CB270" s="377"/>
      <c r="CC270" s="377"/>
      <c r="CD270" s="377"/>
      <c r="CE270" s="377"/>
      <c r="CF270" s="377"/>
      <c r="CG270" s="377"/>
      <c r="CH270" s="377"/>
      <c r="CI270" s="377"/>
    </row>
    <row r="271" spans="1:87" ht="15">
      <c r="A271" s="377"/>
      <c r="B271" s="377"/>
      <c r="C271" s="572"/>
      <c r="D271" s="377"/>
      <c r="E271" s="377"/>
      <c r="F271" s="377"/>
      <c r="G271" s="377"/>
      <c r="H271" s="573"/>
      <c r="I271" s="377"/>
      <c r="J271" s="377"/>
      <c r="K271" s="377"/>
      <c r="L271" s="377"/>
      <c r="M271" s="377"/>
      <c r="N271" s="377"/>
      <c r="O271" s="377"/>
      <c r="P271" s="377"/>
      <c r="Q271" s="377"/>
      <c r="R271" s="377"/>
      <c r="S271" s="377"/>
      <c r="T271" s="377"/>
      <c r="U271" s="377"/>
      <c r="V271" s="377"/>
      <c r="W271" s="377"/>
      <c r="X271" s="574"/>
      <c r="Y271" s="377"/>
      <c r="Z271" s="377"/>
      <c r="AA271" s="377"/>
      <c r="AB271" s="377"/>
      <c r="AC271" s="377"/>
      <c r="AD271" s="377"/>
      <c r="AE271" s="377"/>
      <c r="AF271" s="377"/>
      <c r="AG271" s="377"/>
      <c r="AH271" s="377"/>
      <c r="AI271" s="377"/>
      <c r="AJ271" s="377"/>
      <c r="AK271" s="377"/>
      <c r="AL271" s="574"/>
      <c r="AM271" s="377"/>
      <c r="AN271" s="377"/>
      <c r="AO271" s="377"/>
      <c r="AP271" s="377"/>
      <c r="AQ271" s="377"/>
      <c r="AR271" s="377"/>
      <c r="AS271" s="377"/>
      <c r="AT271" s="377"/>
      <c r="AU271" s="377"/>
      <c r="AV271" s="377"/>
      <c r="AW271" s="575"/>
      <c r="AX271" s="377"/>
      <c r="AY271" s="377"/>
      <c r="AZ271" s="377"/>
      <c r="BA271" s="377"/>
      <c r="BB271" s="377"/>
      <c r="BC271" s="377"/>
      <c r="BD271" s="377"/>
      <c r="BE271" s="377"/>
      <c r="BF271" s="377"/>
      <c r="BG271" s="377"/>
      <c r="BH271" s="377"/>
      <c r="BI271" s="377"/>
      <c r="BJ271" s="377"/>
      <c r="BK271" s="377"/>
      <c r="BL271" s="377"/>
      <c r="BM271" s="377"/>
      <c r="BN271" s="576"/>
      <c r="BO271" s="377"/>
      <c r="BP271" s="377"/>
      <c r="BQ271" s="377"/>
      <c r="BR271" s="377"/>
      <c r="BS271" s="377"/>
      <c r="BT271" s="377"/>
      <c r="BU271" s="377"/>
      <c r="BV271" s="377"/>
      <c r="BW271" s="377"/>
      <c r="BX271" s="377"/>
      <c r="BY271" s="377"/>
      <c r="BZ271" s="377"/>
      <c r="CA271" s="377"/>
      <c r="CB271" s="377"/>
      <c r="CC271" s="377"/>
      <c r="CD271" s="377"/>
      <c r="CE271" s="377"/>
      <c r="CF271" s="377"/>
      <c r="CG271" s="377"/>
      <c r="CH271" s="377"/>
      <c r="CI271" s="377"/>
    </row>
    <row r="272" spans="1:87" ht="15">
      <c r="A272" s="377"/>
      <c r="B272" s="377"/>
      <c r="C272" s="572"/>
      <c r="D272" s="377"/>
      <c r="E272" s="377"/>
      <c r="F272" s="377"/>
      <c r="G272" s="377"/>
      <c r="H272" s="573"/>
      <c r="I272" s="377"/>
      <c r="J272" s="377"/>
      <c r="K272" s="377"/>
      <c r="L272" s="377"/>
      <c r="M272" s="377"/>
      <c r="N272" s="377"/>
      <c r="O272" s="377"/>
      <c r="P272" s="377"/>
      <c r="Q272" s="377"/>
      <c r="R272" s="377"/>
      <c r="S272" s="377"/>
      <c r="T272" s="377"/>
      <c r="U272" s="377"/>
      <c r="V272" s="377"/>
      <c r="W272" s="377"/>
      <c r="X272" s="574"/>
      <c r="Y272" s="377"/>
      <c r="Z272" s="377"/>
      <c r="AA272" s="377"/>
      <c r="AB272" s="377"/>
      <c r="AC272" s="377"/>
      <c r="AD272" s="377"/>
      <c r="AE272" s="377"/>
      <c r="AF272" s="377"/>
      <c r="AG272" s="377"/>
      <c r="AH272" s="377"/>
      <c r="AI272" s="377"/>
      <c r="AJ272" s="377"/>
      <c r="AK272" s="377"/>
      <c r="AL272" s="574"/>
      <c r="AM272" s="377"/>
      <c r="AN272" s="377"/>
      <c r="AO272" s="377"/>
      <c r="AP272" s="377"/>
      <c r="AQ272" s="377"/>
      <c r="AR272" s="377"/>
      <c r="AS272" s="377"/>
      <c r="AT272" s="377"/>
      <c r="AU272" s="377"/>
      <c r="AV272" s="377"/>
      <c r="AW272" s="575"/>
      <c r="AX272" s="377"/>
      <c r="AY272" s="377"/>
      <c r="AZ272" s="377"/>
      <c r="BA272" s="377"/>
      <c r="BB272" s="377"/>
      <c r="BC272" s="377"/>
      <c r="BD272" s="377"/>
      <c r="BE272" s="377"/>
      <c r="BF272" s="377"/>
      <c r="BG272" s="377"/>
      <c r="BH272" s="377"/>
      <c r="BI272" s="377"/>
      <c r="BJ272" s="377"/>
      <c r="BK272" s="377"/>
      <c r="BL272" s="377"/>
      <c r="BM272" s="377"/>
      <c r="BN272" s="576"/>
      <c r="BO272" s="377"/>
      <c r="BP272" s="377"/>
      <c r="BQ272" s="377"/>
      <c r="BR272" s="377"/>
      <c r="BS272" s="377"/>
      <c r="BT272" s="377"/>
      <c r="BU272" s="377"/>
      <c r="BV272" s="377"/>
      <c r="BW272" s="377"/>
      <c r="BX272" s="377"/>
      <c r="BY272" s="377"/>
      <c r="BZ272" s="377"/>
      <c r="CA272" s="377"/>
      <c r="CB272" s="377"/>
      <c r="CC272" s="377"/>
      <c r="CD272" s="377"/>
      <c r="CE272" s="377"/>
      <c r="CF272" s="377"/>
      <c r="CG272" s="377"/>
      <c r="CH272" s="377"/>
      <c r="CI272" s="377"/>
    </row>
    <row r="273" spans="1:87" ht="15">
      <c r="A273" s="377"/>
      <c r="B273" s="377"/>
      <c r="C273" s="572"/>
      <c r="D273" s="377"/>
      <c r="E273" s="377"/>
      <c r="F273" s="377"/>
      <c r="G273" s="377"/>
      <c r="H273" s="573"/>
      <c r="I273" s="377"/>
      <c r="J273" s="377"/>
      <c r="K273" s="377"/>
      <c r="L273" s="377"/>
      <c r="M273" s="377"/>
      <c r="N273" s="377"/>
      <c r="O273" s="377"/>
      <c r="P273" s="377"/>
      <c r="Q273" s="377"/>
      <c r="R273" s="377"/>
      <c r="S273" s="377"/>
      <c r="T273" s="377"/>
      <c r="U273" s="377"/>
      <c r="V273" s="377"/>
      <c r="W273" s="377"/>
      <c r="X273" s="574"/>
      <c r="Y273" s="377"/>
      <c r="Z273" s="377"/>
      <c r="AA273" s="377"/>
      <c r="AB273" s="377"/>
      <c r="AC273" s="377"/>
      <c r="AD273" s="377"/>
      <c r="AE273" s="377"/>
      <c r="AF273" s="377"/>
      <c r="AG273" s="377"/>
      <c r="AH273" s="377"/>
      <c r="AI273" s="377"/>
      <c r="AJ273" s="377"/>
      <c r="AK273" s="377"/>
      <c r="AL273" s="574"/>
      <c r="AM273" s="377"/>
      <c r="AN273" s="377"/>
      <c r="AO273" s="377"/>
      <c r="AP273" s="377"/>
      <c r="AQ273" s="377"/>
      <c r="AR273" s="377"/>
      <c r="AS273" s="377"/>
      <c r="AT273" s="377"/>
      <c r="AU273" s="377"/>
      <c r="AV273" s="377"/>
      <c r="AW273" s="575"/>
      <c r="AX273" s="377"/>
      <c r="AY273" s="377"/>
      <c r="AZ273" s="377"/>
      <c r="BA273" s="377"/>
      <c r="BB273" s="377"/>
      <c r="BC273" s="377"/>
      <c r="BD273" s="377"/>
      <c r="BE273" s="377"/>
      <c r="BF273" s="377"/>
      <c r="BG273" s="377"/>
      <c r="BH273" s="377"/>
      <c r="BI273" s="377"/>
      <c r="BJ273" s="377"/>
      <c r="BK273" s="377"/>
      <c r="BL273" s="377"/>
      <c r="BM273" s="377"/>
      <c r="BN273" s="576"/>
      <c r="BO273" s="377"/>
      <c r="BP273" s="377"/>
      <c r="BQ273" s="377"/>
      <c r="BR273" s="377"/>
      <c r="BS273" s="377"/>
      <c r="BT273" s="377"/>
      <c r="BU273" s="377"/>
      <c r="BV273" s="377"/>
      <c r="BW273" s="377"/>
      <c r="BX273" s="377"/>
      <c r="BY273" s="377"/>
      <c r="BZ273" s="377"/>
      <c r="CA273" s="377"/>
      <c r="CB273" s="377"/>
      <c r="CC273" s="377"/>
      <c r="CD273" s="377"/>
      <c r="CE273" s="377"/>
      <c r="CF273" s="377"/>
      <c r="CG273" s="377"/>
      <c r="CH273" s="377"/>
      <c r="CI273" s="377"/>
    </row>
    <row r="274" spans="1:87" ht="15">
      <c r="A274" s="377"/>
      <c r="B274" s="377"/>
      <c r="C274" s="572"/>
      <c r="D274" s="377"/>
      <c r="E274" s="377"/>
      <c r="F274" s="377"/>
      <c r="G274" s="377"/>
      <c r="H274" s="573"/>
      <c r="I274" s="377"/>
      <c r="J274" s="377"/>
      <c r="K274" s="377"/>
      <c r="L274" s="377"/>
      <c r="M274" s="377"/>
      <c r="N274" s="377"/>
      <c r="O274" s="377"/>
      <c r="P274" s="377"/>
      <c r="Q274" s="377"/>
      <c r="R274" s="377"/>
      <c r="S274" s="377"/>
      <c r="T274" s="377"/>
      <c r="U274" s="377"/>
      <c r="V274" s="377"/>
      <c r="W274" s="377"/>
      <c r="X274" s="574"/>
      <c r="Y274" s="377"/>
      <c r="Z274" s="377"/>
      <c r="AA274" s="377"/>
      <c r="AB274" s="377"/>
      <c r="AC274" s="377"/>
      <c r="AD274" s="377"/>
      <c r="AE274" s="377"/>
      <c r="AF274" s="377"/>
      <c r="AG274" s="377"/>
      <c r="AH274" s="377"/>
      <c r="AI274" s="377"/>
      <c r="AJ274" s="377"/>
      <c r="AK274" s="377"/>
      <c r="AL274" s="574"/>
      <c r="AM274" s="377"/>
      <c r="AN274" s="377"/>
      <c r="AO274" s="377"/>
      <c r="AP274" s="377"/>
      <c r="AQ274" s="377"/>
      <c r="AR274" s="377"/>
      <c r="AS274" s="377"/>
      <c r="AT274" s="377"/>
      <c r="AU274" s="377"/>
      <c r="AV274" s="377"/>
      <c r="AW274" s="575"/>
      <c r="AX274" s="377"/>
      <c r="AY274" s="377"/>
      <c r="AZ274" s="377"/>
      <c r="BA274" s="377"/>
      <c r="BB274" s="377"/>
      <c r="BC274" s="377"/>
      <c r="BD274" s="377"/>
      <c r="BE274" s="377"/>
      <c r="BF274" s="377"/>
      <c r="BG274" s="377"/>
      <c r="BH274" s="377"/>
      <c r="BI274" s="377"/>
      <c r="BJ274" s="377"/>
      <c r="BK274" s="377"/>
      <c r="BL274" s="377"/>
      <c r="BM274" s="377"/>
      <c r="BN274" s="576"/>
      <c r="BO274" s="377"/>
      <c r="BP274" s="377"/>
      <c r="BQ274" s="377"/>
      <c r="BR274" s="377"/>
      <c r="BS274" s="377"/>
      <c r="BT274" s="377"/>
      <c r="BU274" s="377"/>
      <c r="BV274" s="377"/>
      <c r="BW274" s="377"/>
      <c r="BX274" s="377"/>
      <c r="BY274" s="377"/>
      <c r="BZ274" s="377"/>
      <c r="CA274" s="377"/>
      <c r="CB274" s="377"/>
      <c r="CC274" s="377"/>
      <c r="CD274" s="377"/>
      <c r="CE274" s="377"/>
      <c r="CF274" s="377"/>
      <c r="CG274" s="377"/>
      <c r="CH274" s="377"/>
      <c r="CI274" s="377"/>
    </row>
    <row r="275" spans="1:87" ht="15">
      <c r="A275" s="377"/>
      <c r="B275" s="377"/>
      <c r="C275" s="572"/>
      <c r="D275" s="377"/>
      <c r="E275" s="377"/>
      <c r="F275" s="377"/>
      <c r="G275" s="377"/>
      <c r="H275" s="573"/>
      <c r="I275" s="377"/>
      <c r="J275" s="377"/>
      <c r="K275" s="377"/>
      <c r="L275" s="377"/>
      <c r="M275" s="377"/>
      <c r="N275" s="377"/>
      <c r="O275" s="377"/>
      <c r="P275" s="377"/>
      <c r="Q275" s="377"/>
      <c r="R275" s="377"/>
      <c r="S275" s="377"/>
      <c r="T275" s="377"/>
      <c r="U275" s="377"/>
      <c r="V275" s="377"/>
      <c r="W275" s="377"/>
      <c r="X275" s="574"/>
      <c r="Y275" s="377"/>
      <c r="Z275" s="377"/>
      <c r="AA275" s="377"/>
      <c r="AB275" s="377"/>
      <c r="AC275" s="377"/>
      <c r="AD275" s="377"/>
      <c r="AE275" s="377"/>
      <c r="AF275" s="377"/>
      <c r="AG275" s="377"/>
      <c r="AH275" s="377"/>
      <c r="AI275" s="377"/>
      <c r="AJ275" s="377"/>
      <c r="AK275" s="377"/>
      <c r="AL275" s="574"/>
      <c r="AM275" s="377"/>
      <c r="AN275" s="377"/>
      <c r="AO275" s="377"/>
      <c r="AP275" s="377"/>
      <c r="AQ275" s="377"/>
      <c r="AR275" s="377"/>
      <c r="AS275" s="377"/>
      <c r="AT275" s="377"/>
      <c r="AU275" s="377"/>
      <c r="AV275" s="377"/>
      <c r="AW275" s="575"/>
      <c r="AX275" s="377"/>
      <c r="AY275" s="377"/>
      <c r="AZ275" s="377"/>
      <c r="BA275" s="377"/>
      <c r="BB275" s="377"/>
      <c r="BC275" s="377"/>
      <c r="BD275" s="377"/>
      <c r="BE275" s="377"/>
      <c r="BF275" s="377"/>
      <c r="BG275" s="377"/>
      <c r="BH275" s="377"/>
      <c r="BI275" s="377"/>
      <c r="BJ275" s="377"/>
      <c r="BK275" s="377"/>
      <c r="BL275" s="377"/>
      <c r="BM275" s="377"/>
      <c r="BN275" s="576"/>
      <c r="BO275" s="377"/>
      <c r="BP275" s="377"/>
      <c r="BQ275" s="377"/>
      <c r="BR275" s="377"/>
      <c r="BS275" s="377"/>
      <c r="BT275" s="377"/>
      <c r="BU275" s="377"/>
      <c r="BV275" s="377"/>
      <c r="BW275" s="377"/>
      <c r="BX275" s="377"/>
      <c r="BY275" s="377"/>
      <c r="BZ275" s="377"/>
      <c r="CA275" s="377"/>
      <c r="CB275" s="377"/>
      <c r="CC275" s="377"/>
      <c r="CD275" s="377"/>
      <c r="CE275" s="377"/>
      <c r="CF275" s="377"/>
      <c r="CG275" s="377"/>
      <c r="CH275" s="377"/>
      <c r="CI275" s="377"/>
    </row>
    <row r="276" spans="1:87" ht="15">
      <c r="A276" s="377"/>
      <c r="B276" s="377"/>
      <c r="C276" s="572"/>
      <c r="D276" s="377"/>
      <c r="E276" s="377"/>
      <c r="F276" s="377"/>
      <c r="G276" s="377"/>
      <c r="H276" s="573"/>
      <c r="I276" s="377"/>
      <c r="J276" s="377"/>
      <c r="K276" s="377"/>
      <c r="L276" s="377"/>
      <c r="M276" s="377"/>
      <c r="N276" s="377"/>
      <c r="O276" s="377"/>
      <c r="P276" s="377"/>
      <c r="Q276" s="377"/>
      <c r="R276" s="377"/>
      <c r="S276" s="377"/>
      <c r="T276" s="377"/>
      <c r="U276" s="377"/>
      <c r="V276" s="377"/>
      <c r="W276" s="377"/>
      <c r="X276" s="574"/>
      <c r="Y276" s="377"/>
      <c r="Z276" s="377"/>
      <c r="AA276" s="377"/>
      <c r="AB276" s="377"/>
      <c r="AC276" s="377"/>
      <c r="AD276" s="377"/>
      <c r="AE276" s="377"/>
      <c r="AF276" s="377"/>
      <c r="AG276" s="377"/>
      <c r="AH276" s="377"/>
      <c r="AI276" s="377"/>
      <c r="AJ276" s="377"/>
      <c r="AK276" s="377"/>
      <c r="AL276" s="574"/>
      <c r="AM276" s="377"/>
      <c r="AN276" s="377"/>
      <c r="AO276" s="377"/>
      <c r="AP276" s="377"/>
      <c r="AQ276" s="377"/>
      <c r="AR276" s="377"/>
      <c r="AS276" s="377"/>
      <c r="AT276" s="377"/>
      <c r="AU276" s="377"/>
      <c r="AV276" s="377"/>
      <c r="AW276" s="575"/>
      <c r="AX276" s="377"/>
      <c r="AY276" s="377"/>
      <c r="AZ276" s="377"/>
      <c r="BA276" s="377"/>
      <c r="BB276" s="377"/>
      <c r="BC276" s="377"/>
      <c r="BD276" s="377"/>
      <c r="BE276" s="377"/>
      <c r="BF276" s="377"/>
      <c r="BG276" s="377"/>
      <c r="BH276" s="377"/>
      <c r="BI276" s="377"/>
      <c r="BJ276" s="377"/>
      <c r="BK276" s="377"/>
      <c r="BL276" s="377"/>
      <c r="BM276" s="377"/>
      <c r="BN276" s="576"/>
      <c r="BO276" s="377"/>
      <c r="BP276" s="377"/>
      <c r="BQ276" s="377"/>
      <c r="BR276" s="377"/>
      <c r="BS276" s="377"/>
      <c r="BT276" s="377"/>
      <c r="BU276" s="377"/>
      <c r="BV276" s="377"/>
      <c r="BW276" s="377"/>
      <c r="BX276" s="377"/>
      <c r="BY276" s="377"/>
      <c r="BZ276" s="377"/>
      <c r="CA276" s="377"/>
      <c r="CB276" s="377"/>
      <c r="CC276" s="377"/>
      <c r="CD276" s="377"/>
      <c r="CE276" s="377"/>
      <c r="CF276" s="377"/>
      <c r="CG276" s="377"/>
      <c r="CH276" s="377"/>
      <c r="CI276" s="377"/>
    </row>
    <row r="277" spans="1:87" ht="15">
      <c r="A277" s="377"/>
      <c r="B277" s="377"/>
      <c r="C277" s="572"/>
      <c r="D277" s="377"/>
      <c r="E277" s="377"/>
      <c r="F277" s="377"/>
      <c r="G277" s="377"/>
      <c r="H277" s="573"/>
      <c r="I277" s="377"/>
      <c r="J277" s="377"/>
      <c r="K277" s="377"/>
      <c r="L277" s="377"/>
      <c r="M277" s="377"/>
      <c r="N277" s="377"/>
      <c r="O277" s="377"/>
      <c r="P277" s="377"/>
      <c r="Q277" s="377"/>
      <c r="R277" s="377"/>
      <c r="S277" s="377"/>
      <c r="T277" s="377"/>
      <c r="U277" s="377"/>
      <c r="V277" s="377"/>
      <c r="W277" s="377"/>
      <c r="X277" s="574"/>
      <c r="Y277" s="377"/>
      <c r="Z277" s="377"/>
      <c r="AA277" s="377"/>
      <c r="AB277" s="377"/>
      <c r="AC277" s="377"/>
      <c r="AD277" s="377"/>
      <c r="AE277" s="377"/>
      <c r="AF277" s="377"/>
      <c r="AG277" s="377"/>
      <c r="AH277" s="377"/>
      <c r="AI277" s="377"/>
      <c r="AJ277" s="377"/>
      <c r="AK277" s="377"/>
      <c r="AL277" s="574"/>
      <c r="AM277" s="377"/>
      <c r="AN277" s="377"/>
      <c r="AO277" s="377"/>
      <c r="AP277" s="377"/>
      <c r="AQ277" s="377"/>
      <c r="AR277" s="377"/>
      <c r="AS277" s="377"/>
      <c r="AT277" s="377"/>
      <c r="AU277" s="377"/>
      <c r="AV277" s="377"/>
      <c r="AW277" s="575"/>
      <c r="AX277" s="377"/>
      <c r="AY277" s="377"/>
      <c r="AZ277" s="377"/>
      <c r="BA277" s="377"/>
      <c r="BB277" s="377"/>
      <c r="BC277" s="377"/>
      <c r="BD277" s="377"/>
      <c r="BE277" s="377"/>
      <c r="BF277" s="377"/>
      <c r="BG277" s="377"/>
      <c r="BH277" s="377"/>
      <c r="BI277" s="377"/>
      <c r="BJ277" s="377"/>
      <c r="BK277" s="377"/>
      <c r="BL277" s="377"/>
      <c r="BM277" s="377"/>
      <c r="BN277" s="576"/>
      <c r="BO277" s="377"/>
      <c r="BP277" s="377"/>
      <c r="BQ277" s="377"/>
      <c r="BR277" s="377"/>
      <c r="BS277" s="377"/>
      <c r="BT277" s="377"/>
      <c r="BU277" s="377"/>
      <c r="BV277" s="377"/>
      <c r="BW277" s="377"/>
      <c r="BX277" s="377"/>
      <c r="BY277" s="377"/>
      <c r="BZ277" s="377"/>
      <c r="CA277" s="377"/>
      <c r="CB277" s="377"/>
      <c r="CC277" s="377"/>
      <c r="CD277" s="377"/>
      <c r="CE277" s="377"/>
      <c r="CF277" s="377"/>
      <c r="CG277" s="377"/>
      <c r="CH277" s="377"/>
      <c r="CI277" s="377"/>
    </row>
    <row r="278" spans="1:87" ht="15">
      <c r="A278" s="377"/>
      <c r="B278" s="377"/>
      <c r="C278" s="572"/>
      <c r="D278" s="377"/>
      <c r="E278" s="377"/>
      <c r="F278" s="377"/>
      <c r="G278" s="377"/>
      <c r="H278" s="573"/>
      <c r="I278" s="377"/>
      <c r="J278" s="377"/>
      <c r="K278" s="377"/>
      <c r="L278" s="377"/>
      <c r="M278" s="377"/>
      <c r="N278" s="377"/>
      <c r="O278" s="377"/>
      <c r="P278" s="377"/>
      <c r="Q278" s="377"/>
      <c r="R278" s="377"/>
      <c r="S278" s="377"/>
      <c r="T278" s="377"/>
      <c r="U278" s="377"/>
      <c r="V278" s="377"/>
      <c r="W278" s="377"/>
      <c r="X278" s="574"/>
      <c r="Y278" s="377"/>
      <c r="Z278" s="377"/>
      <c r="AA278" s="377"/>
      <c r="AB278" s="377"/>
      <c r="AC278" s="377"/>
      <c r="AD278" s="377"/>
      <c r="AE278" s="377"/>
      <c r="AF278" s="377"/>
      <c r="AG278" s="377"/>
      <c r="AH278" s="377"/>
      <c r="AI278" s="377"/>
      <c r="AJ278" s="377"/>
      <c r="AK278" s="377"/>
      <c r="AL278" s="574"/>
      <c r="AM278" s="377"/>
      <c r="AN278" s="377"/>
      <c r="AO278" s="377"/>
      <c r="AP278" s="377"/>
      <c r="AQ278" s="377"/>
      <c r="AR278" s="377"/>
      <c r="AS278" s="377"/>
      <c r="AT278" s="377"/>
      <c r="AU278" s="377"/>
      <c r="AV278" s="377"/>
      <c r="AW278" s="575"/>
      <c r="AX278" s="377"/>
      <c r="AY278" s="377"/>
      <c r="AZ278" s="377"/>
      <c r="BA278" s="377"/>
      <c r="BB278" s="377"/>
      <c r="BC278" s="377"/>
      <c r="BD278" s="377"/>
      <c r="BE278" s="377"/>
      <c r="BF278" s="377"/>
      <c r="BG278" s="377"/>
      <c r="BH278" s="377"/>
      <c r="BI278" s="377"/>
      <c r="BJ278" s="377"/>
      <c r="BK278" s="377"/>
      <c r="BL278" s="377"/>
      <c r="BM278" s="377"/>
      <c r="BN278" s="576"/>
      <c r="BO278" s="377"/>
      <c r="BP278" s="377"/>
      <c r="BQ278" s="377"/>
      <c r="BR278" s="377"/>
      <c r="BS278" s="377"/>
      <c r="BT278" s="377"/>
      <c r="BU278" s="377"/>
      <c r="BV278" s="377"/>
      <c r="BW278" s="377"/>
      <c r="BX278" s="377"/>
      <c r="BY278" s="377"/>
      <c r="BZ278" s="377"/>
      <c r="CA278" s="377"/>
      <c r="CB278" s="377"/>
      <c r="CC278" s="377"/>
      <c r="CD278" s="377"/>
      <c r="CE278" s="377"/>
      <c r="CF278" s="377"/>
      <c r="CG278" s="377"/>
      <c r="CH278" s="377"/>
      <c r="CI278" s="377"/>
    </row>
    <row r="279" spans="1:87" ht="15">
      <c r="A279" s="377"/>
      <c r="B279" s="377"/>
      <c r="C279" s="572"/>
      <c r="D279" s="377"/>
      <c r="E279" s="377"/>
      <c r="F279" s="377"/>
      <c r="G279" s="377"/>
      <c r="H279" s="573"/>
      <c r="I279" s="377"/>
      <c r="J279" s="377"/>
      <c r="K279" s="377"/>
      <c r="L279" s="377"/>
      <c r="M279" s="377"/>
      <c r="N279" s="377"/>
      <c r="O279" s="377"/>
      <c r="P279" s="377"/>
      <c r="Q279" s="377"/>
      <c r="R279" s="377"/>
      <c r="S279" s="377"/>
      <c r="T279" s="377"/>
      <c r="U279" s="377"/>
      <c r="V279" s="377"/>
      <c r="W279" s="377"/>
      <c r="X279" s="574"/>
      <c r="Y279" s="377"/>
      <c r="Z279" s="377"/>
      <c r="AA279" s="377"/>
      <c r="AB279" s="377"/>
      <c r="AC279" s="377"/>
      <c r="AD279" s="377"/>
      <c r="AE279" s="377"/>
      <c r="AF279" s="377"/>
      <c r="AG279" s="377"/>
      <c r="AH279" s="377"/>
      <c r="AI279" s="377"/>
      <c r="AJ279" s="377"/>
      <c r="AK279" s="377"/>
      <c r="AL279" s="574"/>
      <c r="AM279" s="377"/>
      <c r="AN279" s="377"/>
      <c r="AO279" s="377"/>
      <c r="AP279" s="377"/>
      <c r="AQ279" s="377"/>
      <c r="AR279" s="377"/>
      <c r="AS279" s="377"/>
      <c r="AT279" s="377"/>
      <c r="AU279" s="377"/>
      <c r="AV279" s="377"/>
      <c r="AW279" s="575"/>
      <c r="AX279" s="377"/>
      <c r="AY279" s="377"/>
      <c r="AZ279" s="377"/>
      <c r="BA279" s="377"/>
      <c r="BB279" s="377"/>
      <c r="BC279" s="377"/>
      <c r="BD279" s="377"/>
      <c r="BE279" s="377"/>
      <c r="BF279" s="377"/>
      <c r="BG279" s="377"/>
      <c r="BH279" s="377"/>
      <c r="BI279" s="377"/>
      <c r="BJ279" s="377"/>
      <c r="BK279" s="377"/>
      <c r="BL279" s="377"/>
      <c r="BM279" s="377"/>
      <c r="BN279" s="576"/>
      <c r="BO279" s="377"/>
      <c r="BP279" s="377"/>
      <c r="BQ279" s="377"/>
      <c r="BR279" s="377"/>
      <c r="BS279" s="377"/>
      <c r="BT279" s="377"/>
      <c r="BU279" s="377"/>
      <c r="BV279" s="377"/>
      <c r="BW279" s="377"/>
      <c r="BX279" s="377"/>
      <c r="BY279" s="377"/>
      <c r="BZ279" s="377"/>
      <c r="CA279" s="377"/>
      <c r="CB279" s="377"/>
      <c r="CC279" s="377"/>
      <c r="CD279" s="377"/>
      <c r="CE279" s="377"/>
      <c r="CF279" s="377"/>
      <c r="CG279" s="377"/>
      <c r="CH279" s="377"/>
      <c r="CI279" s="377"/>
    </row>
    <row r="280" spans="1:87" ht="15">
      <c r="A280" s="377"/>
      <c r="B280" s="377"/>
      <c r="C280" s="572"/>
      <c r="D280" s="377"/>
      <c r="E280" s="377"/>
      <c r="F280" s="377"/>
      <c r="G280" s="377"/>
      <c r="H280" s="573"/>
      <c r="I280" s="377"/>
      <c r="J280" s="377"/>
      <c r="K280" s="377"/>
      <c r="L280" s="377"/>
      <c r="M280" s="377"/>
      <c r="N280" s="377"/>
      <c r="O280" s="377"/>
      <c r="P280" s="377"/>
      <c r="Q280" s="377"/>
      <c r="R280" s="377"/>
      <c r="S280" s="377"/>
      <c r="T280" s="377"/>
      <c r="U280" s="377"/>
      <c r="V280" s="377"/>
      <c r="W280" s="377"/>
      <c r="X280" s="574"/>
      <c r="Y280" s="377"/>
      <c r="Z280" s="377"/>
      <c r="AA280" s="377"/>
      <c r="AB280" s="377"/>
      <c r="AC280" s="377"/>
      <c r="AD280" s="377"/>
      <c r="AE280" s="377"/>
      <c r="AF280" s="377"/>
      <c r="AG280" s="377"/>
      <c r="AH280" s="377"/>
      <c r="AI280" s="377"/>
      <c r="AJ280" s="377"/>
      <c r="AK280" s="377"/>
      <c r="AL280" s="574"/>
      <c r="AM280" s="377"/>
      <c r="AN280" s="377"/>
      <c r="AO280" s="377"/>
      <c r="AP280" s="377"/>
      <c r="AQ280" s="377"/>
      <c r="AR280" s="377"/>
      <c r="AS280" s="377"/>
      <c r="AT280" s="377"/>
      <c r="AU280" s="377"/>
      <c r="AV280" s="377"/>
      <c r="AW280" s="575"/>
      <c r="AX280" s="377"/>
      <c r="AY280" s="377"/>
      <c r="AZ280" s="377"/>
      <c r="BA280" s="377"/>
      <c r="BB280" s="377"/>
      <c r="BC280" s="377"/>
      <c r="BD280" s="377"/>
      <c r="BE280" s="377"/>
      <c r="BF280" s="377"/>
      <c r="BG280" s="377"/>
      <c r="BH280" s="377"/>
      <c r="BI280" s="377"/>
      <c r="BJ280" s="377"/>
      <c r="BK280" s="377"/>
      <c r="BL280" s="377"/>
      <c r="BM280" s="377"/>
      <c r="BN280" s="576"/>
      <c r="BO280" s="377"/>
      <c r="BP280" s="377"/>
      <c r="BQ280" s="377"/>
      <c r="BR280" s="377"/>
      <c r="BS280" s="377"/>
      <c r="BT280" s="377"/>
      <c r="BU280" s="377"/>
      <c r="BV280" s="377"/>
      <c r="BW280" s="377"/>
      <c r="BX280" s="377"/>
      <c r="BY280" s="377"/>
      <c r="BZ280" s="377"/>
      <c r="CA280" s="377"/>
      <c r="CB280" s="377"/>
      <c r="CC280" s="377"/>
      <c r="CD280" s="377"/>
      <c r="CE280" s="377"/>
      <c r="CF280" s="377"/>
      <c r="CG280" s="377"/>
      <c r="CH280" s="377"/>
      <c r="CI280" s="377"/>
    </row>
    <row r="281" spans="1:87" ht="15">
      <c r="A281" s="377"/>
      <c r="B281" s="377"/>
      <c r="C281" s="572"/>
      <c r="D281" s="377"/>
      <c r="E281" s="377"/>
      <c r="F281" s="377"/>
      <c r="G281" s="377"/>
      <c r="H281" s="573"/>
      <c r="I281" s="377"/>
      <c r="J281" s="377"/>
      <c r="K281" s="377"/>
      <c r="L281" s="377"/>
      <c r="M281" s="377"/>
      <c r="N281" s="377"/>
      <c r="O281" s="377"/>
      <c r="P281" s="377"/>
      <c r="Q281" s="377"/>
      <c r="R281" s="377"/>
      <c r="S281" s="377"/>
      <c r="T281" s="377"/>
      <c r="U281" s="377"/>
      <c r="V281" s="377"/>
      <c r="W281" s="377"/>
      <c r="X281" s="574"/>
      <c r="Y281" s="377"/>
      <c r="Z281" s="377"/>
      <c r="AA281" s="377"/>
      <c r="AB281" s="377"/>
      <c r="AC281" s="377"/>
      <c r="AD281" s="377"/>
      <c r="AE281" s="377"/>
      <c r="AF281" s="377"/>
      <c r="AG281" s="377"/>
      <c r="AH281" s="377"/>
      <c r="AI281" s="377"/>
      <c r="AJ281" s="377"/>
      <c r="AK281" s="377"/>
      <c r="AL281" s="574"/>
      <c r="AM281" s="377"/>
      <c r="AN281" s="377"/>
      <c r="AO281" s="377"/>
      <c r="AP281" s="377"/>
      <c r="AQ281" s="377"/>
      <c r="AR281" s="377"/>
      <c r="AS281" s="377"/>
      <c r="AT281" s="377"/>
      <c r="AU281" s="377"/>
      <c r="AV281" s="377"/>
      <c r="AW281" s="575"/>
      <c r="AX281" s="377"/>
      <c r="AY281" s="377"/>
      <c r="AZ281" s="377"/>
      <c r="BA281" s="377"/>
      <c r="BB281" s="377"/>
      <c r="BC281" s="377"/>
      <c r="BD281" s="377"/>
      <c r="BE281" s="377"/>
      <c r="BF281" s="377"/>
      <c r="BG281" s="377"/>
      <c r="BH281" s="377"/>
      <c r="BI281" s="377"/>
      <c r="BJ281" s="377"/>
      <c r="BK281" s="377"/>
      <c r="BL281" s="377"/>
      <c r="BM281" s="377"/>
      <c r="BN281" s="576"/>
      <c r="BO281" s="377"/>
      <c r="BP281" s="377"/>
      <c r="BQ281" s="377"/>
      <c r="BR281" s="377"/>
      <c r="BS281" s="377"/>
      <c r="BT281" s="377"/>
      <c r="BU281" s="377"/>
      <c r="BV281" s="377"/>
      <c r="BW281" s="377"/>
      <c r="BX281" s="377"/>
      <c r="BY281" s="377"/>
      <c r="BZ281" s="377"/>
      <c r="CA281" s="377"/>
      <c r="CB281" s="377"/>
      <c r="CC281" s="377"/>
      <c r="CD281" s="377"/>
      <c r="CE281" s="377"/>
      <c r="CF281" s="377"/>
      <c r="CG281" s="377"/>
      <c r="CH281" s="377"/>
      <c r="CI281" s="377"/>
    </row>
    <row r="282" spans="1:87" ht="15">
      <c r="A282" s="377"/>
      <c r="B282" s="377"/>
      <c r="C282" s="572"/>
      <c r="D282" s="377"/>
      <c r="E282" s="377"/>
      <c r="F282" s="377"/>
      <c r="G282" s="377"/>
      <c r="H282" s="573"/>
      <c r="I282" s="377"/>
      <c r="J282" s="377"/>
      <c r="K282" s="377"/>
      <c r="L282" s="377"/>
      <c r="M282" s="377"/>
      <c r="N282" s="377"/>
      <c r="O282" s="377"/>
      <c r="P282" s="377"/>
      <c r="Q282" s="377"/>
      <c r="R282" s="377"/>
      <c r="S282" s="377"/>
      <c r="T282" s="377"/>
      <c r="U282" s="377"/>
      <c r="V282" s="377"/>
      <c r="W282" s="377"/>
      <c r="X282" s="574"/>
      <c r="Y282" s="377"/>
      <c r="Z282" s="377"/>
      <c r="AA282" s="377"/>
      <c r="AB282" s="377"/>
      <c r="AC282" s="377"/>
      <c r="AD282" s="377"/>
      <c r="AE282" s="377"/>
      <c r="AF282" s="377"/>
      <c r="AG282" s="377"/>
      <c r="AH282" s="377"/>
      <c r="AI282" s="377"/>
      <c r="AJ282" s="377"/>
      <c r="AK282" s="377"/>
      <c r="AL282" s="574"/>
      <c r="AM282" s="377"/>
      <c r="AN282" s="377"/>
      <c r="AO282" s="377"/>
      <c r="AP282" s="377"/>
      <c r="AQ282" s="377"/>
      <c r="AR282" s="377"/>
      <c r="AS282" s="377"/>
      <c r="AT282" s="377"/>
      <c r="AU282" s="377"/>
      <c r="AV282" s="377"/>
      <c r="AW282" s="575"/>
      <c r="AX282" s="377"/>
      <c r="AY282" s="377"/>
      <c r="AZ282" s="377"/>
      <c r="BA282" s="377"/>
      <c r="BB282" s="377"/>
      <c r="BC282" s="377"/>
      <c r="BD282" s="377"/>
      <c r="BE282" s="377"/>
      <c r="BF282" s="377"/>
      <c r="BG282" s="377"/>
      <c r="BH282" s="377"/>
      <c r="BI282" s="377"/>
      <c r="BJ282" s="377"/>
      <c r="BK282" s="377"/>
      <c r="BL282" s="377"/>
      <c r="BM282" s="377"/>
      <c r="BN282" s="576"/>
      <c r="BO282" s="377"/>
      <c r="BP282" s="377"/>
      <c r="BQ282" s="377"/>
      <c r="BR282" s="377"/>
      <c r="BS282" s="377"/>
      <c r="BT282" s="377"/>
      <c r="BU282" s="377"/>
      <c r="BV282" s="377"/>
      <c r="BW282" s="377"/>
      <c r="BX282" s="377"/>
      <c r="BY282" s="377"/>
      <c r="BZ282" s="377"/>
      <c r="CA282" s="377"/>
      <c r="CB282" s="377"/>
      <c r="CC282" s="377"/>
      <c r="CD282" s="377"/>
      <c r="CE282" s="377"/>
      <c r="CF282" s="377"/>
      <c r="CG282" s="377"/>
      <c r="CH282" s="377"/>
      <c r="CI282" s="377"/>
    </row>
    <row r="283" spans="1:87" ht="15">
      <c r="A283" s="377"/>
      <c r="B283" s="377"/>
      <c r="C283" s="572"/>
      <c r="D283" s="377"/>
      <c r="E283" s="377"/>
      <c r="F283" s="377"/>
      <c r="G283" s="377"/>
      <c r="H283" s="573"/>
      <c r="I283" s="377"/>
      <c r="J283" s="377"/>
      <c r="K283" s="377"/>
      <c r="L283" s="377"/>
      <c r="M283" s="377"/>
      <c r="N283" s="377"/>
      <c r="O283" s="377"/>
      <c r="P283" s="377"/>
      <c r="Q283" s="377"/>
      <c r="R283" s="377"/>
      <c r="S283" s="377"/>
      <c r="T283" s="377"/>
      <c r="U283" s="377"/>
      <c r="V283" s="377"/>
      <c r="W283" s="377"/>
      <c r="X283" s="574"/>
      <c r="Y283" s="377"/>
      <c r="Z283" s="377"/>
      <c r="AA283" s="377"/>
      <c r="AB283" s="377"/>
      <c r="AC283" s="377"/>
      <c r="AD283" s="377"/>
      <c r="AE283" s="377"/>
      <c r="AF283" s="377"/>
      <c r="AG283" s="377"/>
      <c r="AH283" s="377"/>
      <c r="AI283" s="377"/>
      <c r="AJ283" s="377"/>
      <c r="AK283" s="377"/>
      <c r="AL283" s="574"/>
      <c r="AM283" s="377"/>
      <c r="AN283" s="377"/>
      <c r="AO283" s="377"/>
      <c r="AP283" s="377"/>
      <c r="AQ283" s="377"/>
      <c r="AR283" s="377"/>
      <c r="AS283" s="377"/>
      <c r="AT283" s="377"/>
      <c r="AU283" s="377"/>
      <c r="AV283" s="377"/>
      <c r="AW283" s="575"/>
      <c r="AX283" s="377"/>
      <c r="AY283" s="377"/>
      <c r="AZ283" s="377"/>
      <c r="BA283" s="377"/>
      <c r="BB283" s="377"/>
      <c r="BC283" s="377"/>
      <c r="BD283" s="377"/>
      <c r="BE283" s="377"/>
      <c r="BF283" s="377"/>
      <c r="BG283" s="377"/>
      <c r="BH283" s="377"/>
      <c r="BI283" s="377"/>
      <c r="BJ283" s="377"/>
      <c r="BK283" s="377"/>
      <c r="BL283" s="377"/>
      <c r="BM283" s="377"/>
      <c r="BN283" s="576"/>
      <c r="BO283" s="377"/>
      <c r="BP283" s="377"/>
      <c r="BQ283" s="377"/>
      <c r="BR283" s="377"/>
      <c r="BS283" s="377"/>
      <c r="BT283" s="377"/>
      <c r="BU283" s="377"/>
      <c r="BV283" s="377"/>
      <c r="BW283" s="377"/>
      <c r="BX283" s="377"/>
      <c r="BY283" s="377"/>
      <c r="BZ283" s="377"/>
      <c r="CA283" s="377"/>
      <c r="CB283" s="377"/>
      <c r="CC283" s="377"/>
      <c r="CD283" s="377"/>
      <c r="CE283" s="377"/>
      <c r="CF283" s="377"/>
      <c r="CG283" s="377"/>
      <c r="CH283" s="377"/>
      <c r="CI283" s="377"/>
    </row>
    <row r="284" spans="1:87" ht="15">
      <c r="A284" s="377"/>
      <c r="B284" s="377"/>
      <c r="C284" s="572"/>
      <c r="D284" s="377"/>
      <c r="E284" s="377"/>
      <c r="F284" s="377"/>
      <c r="G284" s="377"/>
      <c r="H284" s="573"/>
      <c r="I284" s="377"/>
      <c r="J284" s="377"/>
      <c r="K284" s="377"/>
      <c r="L284" s="377"/>
      <c r="M284" s="377"/>
      <c r="N284" s="377"/>
      <c r="O284" s="377"/>
      <c r="P284" s="377"/>
      <c r="Q284" s="377"/>
      <c r="R284" s="377"/>
      <c r="S284" s="377"/>
      <c r="T284" s="377"/>
      <c r="U284" s="377"/>
      <c r="V284" s="377"/>
      <c r="W284" s="377"/>
      <c r="X284" s="574"/>
      <c r="Y284" s="377"/>
      <c r="Z284" s="377"/>
      <c r="AA284" s="377"/>
      <c r="AB284" s="377"/>
      <c r="AC284" s="377"/>
      <c r="AD284" s="377"/>
      <c r="AE284" s="377"/>
      <c r="AF284" s="377"/>
      <c r="AG284" s="377"/>
      <c r="AH284" s="377"/>
      <c r="AI284" s="377"/>
      <c r="AJ284" s="377"/>
      <c r="AK284" s="377"/>
      <c r="AL284" s="574"/>
      <c r="AM284" s="377"/>
      <c r="AN284" s="377"/>
      <c r="AO284" s="377"/>
      <c r="AP284" s="377"/>
      <c r="AQ284" s="377"/>
      <c r="AR284" s="377"/>
      <c r="AS284" s="377"/>
      <c r="AT284" s="377"/>
      <c r="AU284" s="377"/>
      <c r="AV284" s="377"/>
      <c r="AW284" s="575"/>
      <c r="AX284" s="377"/>
      <c r="AY284" s="377"/>
      <c r="AZ284" s="377"/>
      <c r="BA284" s="377"/>
      <c r="BB284" s="377"/>
      <c r="BC284" s="377"/>
      <c r="BD284" s="377"/>
      <c r="BE284" s="377"/>
      <c r="BF284" s="377"/>
      <c r="BG284" s="377"/>
      <c r="BH284" s="377"/>
      <c r="BI284" s="377"/>
      <c r="BJ284" s="377"/>
      <c r="BK284" s="377"/>
      <c r="BL284" s="377"/>
      <c r="BM284" s="377"/>
      <c r="BN284" s="576"/>
      <c r="BO284" s="377"/>
      <c r="BP284" s="377"/>
      <c r="BQ284" s="377"/>
      <c r="BR284" s="377"/>
      <c r="BS284" s="377"/>
      <c r="BT284" s="377"/>
      <c r="BU284" s="377"/>
      <c r="BV284" s="377"/>
      <c r="BW284" s="377"/>
      <c r="BX284" s="377"/>
      <c r="BY284" s="377"/>
      <c r="BZ284" s="377"/>
      <c r="CA284" s="377"/>
      <c r="CB284" s="377"/>
      <c r="CC284" s="377"/>
      <c r="CD284" s="377"/>
      <c r="CE284" s="377"/>
      <c r="CF284" s="377"/>
      <c r="CG284" s="377"/>
      <c r="CH284" s="377"/>
      <c r="CI284" s="377"/>
    </row>
    <row r="285" spans="1:87" ht="15">
      <c r="A285" s="377"/>
      <c r="B285" s="377"/>
      <c r="C285" s="572"/>
      <c r="D285" s="377"/>
      <c r="E285" s="377"/>
      <c r="F285" s="377"/>
      <c r="G285" s="377"/>
      <c r="H285" s="573"/>
      <c r="I285" s="377"/>
      <c r="J285" s="377"/>
      <c r="K285" s="377"/>
      <c r="L285" s="377"/>
      <c r="M285" s="377"/>
      <c r="N285" s="377"/>
      <c r="O285" s="377"/>
      <c r="P285" s="377"/>
      <c r="Q285" s="377"/>
      <c r="R285" s="377"/>
      <c r="S285" s="377"/>
      <c r="T285" s="377"/>
      <c r="U285" s="377"/>
      <c r="V285" s="377"/>
      <c r="W285" s="377"/>
      <c r="X285" s="574"/>
      <c r="Y285" s="377"/>
      <c r="Z285" s="377"/>
      <c r="AA285" s="377"/>
      <c r="AB285" s="377"/>
      <c r="AC285" s="377"/>
      <c r="AD285" s="377"/>
      <c r="AE285" s="377"/>
      <c r="AF285" s="377"/>
      <c r="AG285" s="377"/>
      <c r="AH285" s="377"/>
      <c r="AI285" s="377"/>
      <c r="AJ285" s="377"/>
      <c r="AK285" s="377"/>
      <c r="AL285" s="574"/>
      <c r="AM285" s="377"/>
      <c r="AN285" s="377"/>
      <c r="AO285" s="377"/>
      <c r="AP285" s="377"/>
      <c r="AQ285" s="377"/>
      <c r="AR285" s="377"/>
      <c r="AS285" s="377"/>
      <c r="AT285" s="377"/>
      <c r="AU285" s="377"/>
      <c r="AV285" s="377"/>
      <c r="AW285" s="575"/>
      <c r="AX285" s="377"/>
      <c r="AY285" s="377"/>
      <c r="AZ285" s="377"/>
      <c r="BA285" s="377"/>
      <c r="BB285" s="377"/>
      <c r="BC285" s="377"/>
      <c r="BD285" s="377"/>
      <c r="BE285" s="377"/>
      <c r="BF285" s="377"/>
      <c r="BG285" s="377"/>
      <c r="BH285" s="377"/>
      <c r="BI285" s="377"/>
      <c r="BJ285" s="377"/>
      <c r="BK285" s="377"/>
      <c r="BL285" s="377"/>
      <c r="BM285" s="377"/>
      <c r="BN285" s="576"/>
      <c r="BO285" s="377"/>
      <c r="BP285" s="377"/>
      <c r="BQ285" s="377"/>
      <c r="BR285" s="377"/>
      <c r="BS285" s="377"/>
      <c r="BT285" s="377"/>
      <c r="BU285" s="377"/>
      <c r="BV285" s="377"/>
      <c r="BW285" s="377"/>
      <c r="BX285" s="377"/>
      <c r="BY285" s="377"/>
      <c r="BZ285" s="377"/>
      <c r="CA285" s="377"/>
      <c r="CB285" s="377"/>
      <c r="CC285" s="377"/>
      <c r="CD285" s="377"/>
      <c r="CE285" s="377"/>
      <c r="CF285" s="377"/>
      <c r="CG285" s="377"/>
      <c r="CH285" s="377"/>
      <c r="CI285" s="377"/>
    </row>
    <row r="286" spans="1:87" ht="15">
      <c r="A286" s="377"/>
      <c r="B286" s="377"/>
      <c r="C286" s="572"/>
      <c r="D286" s="377"/>
      <c r="E286" s="377"/>
      <c r="F286" s="377"/>
      <c r="G286" s="377"/>
      <c r="H286" s="573"/>
      <c r="I286" s="377"/>
      <c r="J286" s="377"/>
      <c r="K286" s="377"/>
      <c r="L286" s="377"/>
      <c r="M286" s="377"/>
      <c r="N286" s="377"/>
      <c r="O286" s="377"/>
      <c r="P286" s="377"/>
      <c r="Q286" s="377"/>
      <c r="R286" s="377"/>
      <c r="S286" s="377"/>
      <c r="T286" s="377"/>
      <c r="U286" s="377"/>
      <c r="V286" s="377"/>
      <c r="W286" s="377"/>
      <c r="X286" s="574"/>
      <c r="Y286" s="377"/>
      <c r="Z286" s="377"/>
      <c r="AA286" s="377"/>
      <c r="AB286" s="377"/>
      <c r="AC286" s="377"/>
      <c r="AD286" s="377"/>
      <c r="AE286" s="377"/>
      <c r="AF286" s="377"/>
      <c r="AG286" s="377"/>
      <c r="AH286" s="377"/>
      <c r="AI286" s="377"/>
      <c r="AJ286" s="377"/>
      <c r="AK286" s="377"/>
      <c r="AL286" s="574"/>
      <c r="AM286" s="377"/>
      <c r="AN286" s="377"/>
      <c r="AO286" s="377"/>
      <c r="AP286" s="377"/>
      <c r="AQ286" s="377"/>
      <c r="AR286" s="377"/>
      <c r="AS286" s="377"/>
      <c r="AT286" s="377"/>
      <c r="AU286" s="377"/>
      <c r="AV286" s="377"/>
      <c r="AW286" s="575"/>
      <c r="AX286" s="377"/>
      <c r="AY286" s="377"/>
      <c r="AZ286" s="377"/>
      <c r="BA286" s="377"/>
      <c r="BB286" s="377"/>
      <c r="BC286" s="377"/>
      <c r="BD286" s="377"/>
      <c r="BE286" s="377"/>
      <c r="BF286" s="377"/>
      <c r="BG286" s="377"/>
      <c r="BH286" s="377"/>
      <c r="BI286" s="377"/>
      <c r="BJ286" s="377"/>
      <c r="BK286" s="377"/>
      <c r="BL286" s="377"/>
      <c r="BM286" s="377"/>
      <c r="BN286" s="576"/>
      <c r="BO286" s="377"/>
      <c r="BP286" s="377"/>
      <c r="BQ286" s="377"/>
      <c r="BR286" s="377"/>
      <c r="BS286" s="377"/>
      <c r="BT286" s="377"/>
      <c r="BU286" s="377"/>
      <c r="BV286" s="377"/>
      <c r="BW286" s="377"/>
      <c r="BX286" s="377"/>
      <c r="BY286" s="377"/>
      <c r="BZ286" s="377"/>
      <c r="CA286" s="377"/>
      <c r="CB286" s="377"/>
      <c r="CC286" s="377"/>
      <c r="CD286" s="377"/>
      <c r="CE286" s="377"/>
      <c r="CF286" s="377"/>
      <c r="CG286" s="377"/>
      <c r="CH286" s="377"/>
      <c r="CI286" s="377"/>
    </row>
    <row r="287" spans="1:87" ht="15">
      <c r="A287" s="377"/>
      <c r="B287" s="377"/>
      <c r="C287" s="572"/>
      <c r="D287" s="377"/>
      <c r="E287" s="377"/>
      <c r="F287" s="377"/>
      <c r="G287" s="377"/>
      <c r="H287" s="573"/>
      <c r="I287" s="377"/>
      <c r="J287" s="377"/>
      <c r="K287" s="377"/>
      <c r="L287" s="377"/>
      <c r="M287" s="377"/>
      <c r="N287" s="377"/>
      <c r="O287" s="377"/>
      <c r="P287" s="377"/>
      <c r="Q287" s="377"/>
      <c r="R287" s="377"/>
      <c r="S287" s="377"/>
      <c r="T287" s="377"/>
      <c r="U287" s="377"/>
      <c r="V287" s="377"/>
      <c r="W287" s="377"/>
      <c r="X287" s="574"/>
      <c r="Y287" s="377"/>
      <c r="Z287" s="377"/>
      <c r="AA287" s="377"/>
      <c r="AB287" s="377"/>
      <c r="AC287" s="377"/>
      <c r="AD287" s="377"/>
      <c r="AE287" s="377"/>
      <c r="AF287" s="377"/>
      <c r="AG287" s="377"/>
      <c r="AH287" s="377"/>
      <c r="AI287" s="377"/>
      <c r="AJ287" s="377"/>
      <c r="AK287" s="377"/>
      <c r="AL287" s="574"/>
      <c r="AM287" s="377"/>
      <c r="AN287" s="377"/>
      <c r="AO287" s="377"/>
      <c r="AP287" s="377"/>
      <c r="AQ287" s="377"/>
      <c r="AR287" s="377"/>
      <c r="AS287" s="377"/>
      <c r="AT287" s="377"/>
      <c r="AU287" s="377"/>
      <c r="AV287" s="377"/>
      <c r="AW287" s="575"/>
      <c r="AX287" s="377"/>
      <c r="AY287" s="377"/>
      <c r="AZ287" s="377"/>
      <c r="BA287" s="377"/>
      <c r="BB287" s="377"/>
      <c r="BC287" s="377"/>
      <c r="BD287" s="377"/>
      <c r="BE287" s="377"/>
      <c r="BF287" s="377"/>
      <c r="BG287" s="377"/>
      <c r="BH287" s="377"/>
      <c r="BI287" s="377"/>
      <c r="BJ287" s="377"/>
      <c r="BK287" s="377"/>
      <c r="BL287" s="377"/>
      <c r="BM287" s="377"/>
      <c r="BN287" s="576"/>
      <c r="BO287" s="377"/>
      <c r="BP287" s="377"/>
      <c r="BQ287" s="377"/>
      <c r="BR287" s="377"/>
      <c r="BS287" s="377"/>
      <c r="BT287" s="377"/>
      <c r="BU287" s="377"/>
      <c r="BV287" s="377"/>
      <c r="BW287" s="377"/>
      <c r="BX287" s="377"/>
      <c r="BY287" s="377"/>
      <c r="BZ287" s="377"/>
      <c r="CA287" s="377"/>
      <c r="CB287" s="377"/>
      <c r="CC287" s="377"/>
      <c r="CD287" s="377"/>
      <c r="CE287" s="377"/>
      <c r="CF287" s="377"/>
      <c r="CG287" s="377"/>
      <c r="CH287" s="377"/>
      <c r="CI287" s="377"/>
    </row>
    <row r="288" spans="1:87" ht="15">
      <c r="A288" s="377"/>
      <c r="B288" s="377"/>
      <c r="C288" s="572"/>
      <c r="D288" s="377"/>
      <c r="E288" s="377"/>
      <c r="F288" s="377"/>
      <c r="G288" s="377"/>
      <c r="H288" s="573"/>
      <c r="I288" s="377"/>
      <c r="J288" s="377"/>
      <c r="K288" s="377"/>
      <c r="L288" s="377"/>
      <c r="M288" s="377"/>
      <c r="N288" s="377"/>
      <c r="O288" s="377"/>
      <c r="P288" s="377"/>
      <c r="Q288" s="377"/>
      <c r="R288" s="377"/>
      <c r="S288" s="377"/>
      <c r="T288" s="377"/>
      <c r="U288" s="377"/>
      <c r="V288" s="377"/>
      <c r="W288" s="377"/>
      <c r="X288" s="574"/>
      <c r="Y288" s="377"/>
      <c r="Z288" s="377"/>
      <c r="AA288" s="377"/>
      <c r="AB288" s="377"/>
      <c r="AC288" s="377"/>
      <c r="AD288" s="377"/>
      <c r="AE288" s="377"/>
      <c r="AF288" s="377"/>
      <c r="AG288" s="377"/>
      <c r="AH288" s="377"/>
      <c r="AI288" s="377"/>
      <c r="AJ288" s="377"/>
      <c r="AK288" s="377"/>
      <c r="AL288" s="574"/>
      <c r="AM288" s="377"/>
      <c r="AN288" s="377"/>
      <c r="AO288" s="377"/>
      <c r="AP288" s="377"/>
      <c r="AQ288" s="377"/>
      <c r="AR288" s="377"/>
      <c r="AS288" s="377"/>
      <c r="AT288" s="377"/>
      <c r="AU288" s="377"/>
      <c r="AV288" s="377"/>
      <c r="AW288" s="575"/>
      <c r="AX288" s="377"/>
      <c r="AY288" s="377"/>
      <c r="AZ288" s="377"/>
      <c r="BA288" s="377"/>
      <c r="BB288" s="377"/>
      <c r="BC288" s="377"/>
      <c r="BD288" s="377"/>
      <c r="BE288" s="377"/>
      <c r="BF288" s="377"/>
      <c r="BG288" s="377"/>
      <c r="BH288" s="377"/>
      <c r="BI288" s="377"/>
      <c r="BJ288" s="377"/>
      <c r="BK288" s="377"/>
      <c r="BL288" s="377"/>
      <c r="BM288" s="377"/>
      <c r="BN288" s="576"/>
      <c r="BO288" s="377"/>
      <c r="BP288" s="377"/>
      <c r="BQ288" s="377"/>
      <c r="BR288" s="377"/>
      <c r="BS288" s="377"/>
      <c r="BT288" s="377"/>
      <c r="BU288" s="377"/>
      <c r="BV288" s="377"/>
      <c r="BW288" s="377"/>
      <c r="BX288" s="377"/>
      <c r="BY288" s="377"/>
      <c r="BZ288" s="377"/>
      <c r="CA288" s="377"/>
      <c r="CB288" s="377"/>
      <c r="CC288" s="377"/>
      <c r="CD288" s="377"/>
      <c r="CE288" s="377"/>
      <c r="CF288" s="377"/>
      <c r="CG288" s="377"/>
      <c r="CH288" s="377"/>
      <c r="CI288" s="377"/>
    </row>
    <row r="289" spans="1:87" ht="15">
      <c r="A289" s="377"/>
      <c r="B289" s="377"/>
      <c r="C289" s="572"/>
      <c r="D289" s="377"/>
      <c r="E289" s="377"/>
      <c r="F289" s="377"/>
      <c r="G289" s="377"/>
      <c r="H289" s="573"/>
      <c r="I289" s="377"/>
      <c r="J289" s="377"/>
      <c r="K289" s="377"/>
      <c r="L289" s="377"/>
      <c r="M289" s="377"/>
      <c r="N289" s="377"/>
      <c r="O289" s="377"/>
      <c r="P289" s="377"/>
      <c r="Q289" s="377"/>
      <c r="R289" s="377"/>
      <c r="S289" s="377"/>
      <c r="T289" s="377"/>
      <c r="U289" s="377"/>
      <c r="V289" s="377"/>
      <c r="W289" s="377"/>
      <c r="X289" s="574"/>
      <c r="Y289" s="377"/>
      <c r="Z289" s="377"/>
      <c r="AA289" s="377"/>
      <c r="AB289" s="377"/>
      <c r="AC289" s="377"/>
      <c r="AD289" s="377"/>
      <c r="AE289" s="377"/>
      <c r="AF289" s="377"/>
      <c r="AG289" s="377"/>
      <c r="AH289" s="377"/>
      <c r="AI289" s="377"/>
      <c r="AJ289" s="377"/>
      <c r="AK289" s="377"/>
      <c r="AL289" s="574"/>
      <c r="AM289" s="377"/>
      <c r="AN289" s="377"/>
      <c r="AO289" s="377"/>
      <c r="AP289" s="377"/>
      <c r="AQ289" s="377"/>
      <c r="AR289" s="377"/>
      <c r="AS289" s="377"/>
      <c r="AT289" s="377"/>
      <c r="AU289" s="377"/>
      <c r="AV289" s="377"/>
      <c r="AW289" s="575"/>
      <c r="AX289" s="377"/>
      <c r="AY289" s="377"/>
      <c r="AZ289" s="377"/>
      <c r="BA289" s="377"/>
      <c r="BB289" s="377"/>
      <c r="BC289" s="377"/>
      <c r="BD289" s="377"/>
      <c r="BE289" s="377"/>
      <c r="BF289" s="377"/>
      <c r="BG289" s="377"/>
      <c r="BH289" s="377"/>
      <c r="BI289" s="377"/>
      <c r="BJ289" s="377"/>
      <c r="BK289" s="377"/>
      <c r="BL289" s="377"/>
      <c r="BM289" s="377"/>
      <c r="BN289" s="576"/>
      <c r="BO289" s="377"/>
      <c r="BP289" s="377"/>
      <c r="BQ289" s="377"/>
      <c r="BR289" s="377"/>
      <c r="BS289" s="377"/>
      <c r="BT289" s="377"/>
      <c r="BU289" s="377"/>
      <c r="BV289" s="377"/>
      <c r="BW289" s="377"/>
      <c r="BX289" s="377"/>
      <c r="BY289" s="377"/>
      <c r="BZ289" s="377"/>
      <c r="CA289" s="377"/>
      <c r="CB289" s="377"/>
      <c r="CC289" s="377"/>
      <c r="CD289" s="377"/>
      <c r="CE289" s="377"/>
      <c r="CF289" s="377"/>
      <c r="CG289" s="377"/>
      <c r="CH289" s="377"/>
      <c r="CI289" s="377"/>
    </row>
    <row r="290" spans="1:87" ht="15">
      <c r="A290" s="377"/>
      <c r="B290" s="377"/>
      <c r="C290" s="572"/>
      <c r="D290" s="377"/>
      <c r="E290" s="377"/>
      <c r="F290" s="377"/>
      <c r="G290" s="377"/>
      <c r="H290" s="573"/>
      <c r="I290" s="377"/>
      <c r="J290" s="377"/>
      <c r="K290" s="377"/>
      <c r="L290" s="377"/>
      <c r="M290" s="377"/>
      <c r="N290" s="377"/>
      <c r="O290" s="377"/>
      <c r="P290" s="377"/>
      <c r="Q290" s="377"/>
      <c r="R290" s="377"/>
      <c r="S290" s="377"/>
      <c r="T290" s="377"/>
      <c r="U290" s="377"/>
      <c r="V290" s="377"/>
      <c r="W290" s="377"/>
      <c r="X290" s="574"/>
      <c r="Y290" s="377"/>
      <c r="Z290" s="377"/>
      <c r="AA290" s="377"/>
      <c r="AB290" s="377"/>
      <c r="AC290" s="377"/>
      <c r="AD290" s="377"/>
      <c r="AE290" s="377"/>
      <c r="AF290" s="377"/>
      <c r="AG290" s="377"/>
      <c r="AH290" s="377"/>
      <c r="AI290" s="377"/>
      <c r="AJ290" s="377"/>
      <c r="AK290" s="377"/>
      <c r="AL290" s="574"/>
      <c r="AM290" s="377"/>
      <c r="AN290" s="377"/>
      <c r="AO290" s="377"/>
      <c r="AP290" s="377"/>
      <c r="AQ290" s="377"/>
      <c r="AR290" s="377"/>
      <c r="AS290" s="377"/>
      <c r="AT290" s="377"/>
      <c r="AU290" s="377"/>
      <c r="AV290" s="377"/>
      <c r="AW290" s="575"/>
      <c r="AX290" s="377"/>
      <c r="AY290" s="377"/>
      <c r="AZ290" s="377"/>
      <c r="BA290" s="377"/>
      <c r="BB290" s="377"/>
      <c r="BC290" s="377"/>
      <c r="BD290" s="377"/>
      <c r="BE290" s="377"/>
      <c r="BF290" s="377"/>
      <c r="BG290" s="377"/>
      <c r="BH290" s="377"/>
      <c r="BI290" s="377"/>
      <c r="BJ290" s="377"/>
      <c r="BK290" s="377"/>
      <c r="BL290" s="377"/>
      <c r="BM290" s="377"/>
      <c r="BN290" s="576"/>
      <c r="BO290" s="377"/>
      <c r="BP290" s="377"/>
      <c r="BQ290" s="377"/>
      <c r="BR290" s="377"/>
      <c r="BS290" s="377"/>
      <c r="BT290" s="377"/>
      <c r="BU290" s="377"/>
      <c r="BV290" s="377"/>
      <c r="BW290" s="377"/>
      <c r="BX290" s="377"/>
      <c r="BY290" s="377"/>
      <c r="BZ290" s="377"/>
      <c r="CA290" s="377"/>
      <c r="CB290" s="377"/>
      <c r="CC290" s="377"/>
      <c r="CD290" s="377"/>
      <c r="CE290" s="377"/>
      <c r="CF290" s="377"/>
      <c r="CG290" s="377"/>
      <c r="CH290" s="377"/>
      <c r="CI290" s="377"/>
    </row>
    <row r="291" spans="1:87" ht="15">
      <c r="A291" s="377"/>
      <c r="B291" s="377"/>
      <c r="C291" s="572"/>
      <c r="D291" s="377"/>
      <c r="E291" s="377"/>
      <c r="F291" s="377"/>
      <c r="G291" s="377"/>
      <c r="H291" s="573"/>
      <c r="I291" s="377"/>
      <c r="J291" s="377"/>
      <c r="K291" s="377"/>
      <c r="L291" s="377"/>
      <c r="M291" s="377"/>
      <c r="N291" s="377"/>
      <c r="O291" s="377"/>
      <c r="P291" s="377"/>
      <c r="Q291" s="377"/>
      <c r="R291" s="377"/>
      <c r="S291" s="377"/>
      <c r="T291" s="377"/>
      <c r="U291" s="377"/>
      <c r="V291" s="377"/>
      <c r="W291" s="377"/>
      <c r="X291" s="574"/>
      <c r="Y291" s="377"/>
      <c r="Z291" s="377"/>
      <c r="AA291" s="377"/>
      <c r="AB291" s="377"/>
      <c r="AC291" s="377"/>
      <c r="AD291" s="377"/>
      <c r="AE291" s="377"/>
      <c r="AF291" s="377"/>
      <c r="AG291" s="377"/>
      <c r="AH291" s="377"/>
      <c r="AI291" s="377"/>
      <c r="AJ291" s="377"/>
      <c r="AK291" s="377"/>
      <c r="AL291" s="574"/>
      <c r="AM291" s="377"/>
      <c r="AN291" s="377"/>
      <c r="AO291" s="377"/>
      <c r="AP291" s="377"/>
      <c r="AQ291" s="377"/>
      <c r="AR291" s="377"/>
      <c r="AS291" s="377"/>
      <c r="AT291" s="377"/>
      <c r="AU291" s="377"/>
      <c r="AV291" s="377"/>
      <c r="AW291" s="575"/>
      <c r="AX291" s="377"/>
      <c r="AY291" s="377"/>
      <c r="AZ291" s="377"/>
      <c r="BA291" s="377"/>
      <c r="BB291" s="377"/>
      <c r="BC291" s="377"/>
      <c r="BD291" s="377"/>
      <c r="BE291" s="377"/>
      <c r="BF291" s="377"/>
      <c r="BG291" s="377"/>
      <c r="BH291" s="377"/>
      <c r="BI291" s="377"/>
      <c r="BJ291" s="377"/>
      <c r="BK291" s="377"/>
      <c r="BL291" s="377"/>
      <c r="BM291" s="377"/>
      <c r="BN291" s="576"/>
      <c r="BO291" s="377"/>
      <c r="BP291" s="377"/>
      <c r="BQ291" s="377"/>
      <c r="BR291" s="377"/>
      <c r="BS291" s="377"/>
      <c r="BT291" s="377"/>
      <c r="BU291" s="377"/>
      <c r="BV291" s="377"/>
      <c r="BW291" s="377"/>
      <c r="BX291" s="377"/>
      <c r="BY291" s="377"/>
      <c r="BZ291" s="377"/>
      <c r="CA291" s="377"/>
      <c r="CB291" s="377"/>
      <c r="CC291" s="377"/>
      <c r="CD291" s="377"/>
      <c r="CE291" s="377"/>
      <c r="CF291" s="377"/>
      <c r="CG291" s="377"/>
      <c r="CH291" s="377"/>
      <c r="CI291" s="377"/>
    </row>
    <row r="292" spans="1:87" ht="15">
      <c r="A292" s="377"/>
      <c r="B292" s="377"/>
      <c r="C292" s="572"/>
      <c r="D292" s="377"/>
      <c r="E292" s="377"/>
      <c r="F292" s="377"/>
      <c r="G292" s="377"/>
      <c r="H292" s="573"/>
      <c r="I292" s="377"/>
      <c r="J292" s="377"/>
      <c r="K292" s="377"/>
      <c r="L292" s="377"/>
      <c r="M292" s="377"/>
      <c r="N292" s="377"/>
      <c r="O292" s="377"/>
      <c r="P292" s="377"/>
      <c r="Q292" s="377"/>
      <c r="R292" s="377"/>
      <c r="S292" s="377"/>
      <c r="T292" s="377"/>
      <c r="U292" s="377"/>
      <c r="V292" s="377"/>
      <c r="W292" s="377"/>
      <c r="X292" s="574"/>
      <c r="Y292" s="377"/>
      <c r="Z292" s="377"/>
      <c r="AA292" s="377"/>
      <c r="AB292" s="377"/>
      <c r="AC292" s="377"/>
      <c r="AD292" s="377"/>
      <c r="AE292" s="377"/>
      <c r="AF292" s="377"/>
      <c r="AG292" s="377"/>
      <c r="AH292" s="377"/>
      <c r="AI292" s="377"/>
      <c r="AJ292" s="377"/>
      <c r="AK292" s="377"/>
      <c r="AL292" s="574"/>
      <c r="AM292" s="377"/>
      <c r="AN292" s="377"/>
      <c r="AO292" s="377"/>
      <c r="AP292" s="377"/>
      <c r="AQ292" s="377"/>
      <c r="AR292" s="377"/>
      <c r="AS292" s="377"/>
      <c r="AT292" s="377"/>
      <c r="AU292" s="377"/>
      <c r="AV292" s="377"/>
      <c r="AW292" s="575"/>
      <c r="AX292" s="377"/>
      <c r="AY292" s="377"/>
      <c r="AZ292" s="377"/>
      <c r="BA292" s="377"/>
      <c r="BB292" s="377"/>
      <c r="BC292" s="377"/>
      <c r="BD292" s="377"/>
      <c r="BE292" s="377"/>
      <c r="BF292" s="377"/>
      <c r="BG292" s="377"/>
      <c r="BH292" s="377"/>
      <c r="BI292" s="377"/>
      <c r="BJ292" s="377"/>
      <c r="BK292" s="377"/>
      <c r="BL292" s="377"/>
      <c r="BM292" s="377"/>
      <c r="BN292" s="576"/>
      <c r="BO292" s="377"/>
      <c r="BP292" s="377"/>
      <c r="BQ292" s="377"/>
      <c r="BR292" s="377"/>
      <c r="BS292" s="377"/>
      <c r="BT292" s="377"/>
      <c r="BU292" s="377"/>
      <c r="BV292" s="377"/>
      <c r="BW292" s="377"/>
      <c r="BX292" s="377"/>
      <c r="BY292" s="377"/>
      <c r="BZ292" s="377"/>
      <c r="CA292" s="377"/>
      <c r="CB292" s="377"/>
      <c r="CC292" s="377"/>
      <c r="CD292" s="377"/>
      <c r="CE292" s="377"/>
      <c r="CF292" s="377"/>
      <c r="CG292" s="377"/>
      <c r="CH292" s="377"/>
      <c r="CI292" s="377"/>
    </row>
    <row r="293" spans="1:87" ht="15">
      <c r="A293" s="377"/>
      <c r="B293" s="377"/>
      <c r="C293" s="572"/>
      <c r="D293" s="377"/>
      <c r="E293" s="377"/>
      <c r="F293" s="377"/>
      <c r="G293" s="377"/>
      <c r="H293" s="573"/>
      <c r="I293" s="377"/>
      <c r="J293" s="377"/>
      <c r="K293" s="377"/>
      <c r="L293" s="377"/>
      <c r="M293" s="377"/>
      <c r="N293" s="377"/>
      <c r="O293" s="377"/>
      <c r="P293" s="377"/>
      <c r="Q293" s="377"/>
      <c r="R293" s="377"/>
      <c r="S293" s="377"/>
      <c r="T293" s="377"/>
      <c r="U293" s="377"/>
      <c r="V293" s="377"/>
      <c r="W293" s="377"/>
      <c r="X293" s="574"/>
      <c r="Y293" s="377"/>
      <c r="Z293" s="377"/>
      <c r="AA293" s="377"/>
      <c r="AB293" s="377"/>
      <c r="AC293" s="377"/>
      <c r="AD293" s="377"/>
      <c r="AE293" s="377"/>
      <c r="AF293" s="377"/>
      <c r="AG293" s="377"/>
      <c r="AH293" s="377"/>
      <c r="AI293" s="377"/>
      <c r="AJ293" s="377"/>
      <c r="AK293" s="377"/>
      <c r="AL293" s="574"/>
      <c r="AM293" s="377"/>
      <c r="AN293" s="377"/>
      <c r="AO293" s="377"/>
      <c r="AP293" s="377"/>
      <c r="AQ293" s="377"/>
      <c r="AR293" s="377"/>
      <c r="AS293" s="377"/>
      <c r="AT293" s="377"/>
      <c r="AU293" s="377"/>
      <c r="AV293" s="377"/>
      <c r="AW293" s="575"/>
      <c r="AX293" s="377"/>
      <c r="AY293" s="377"/>
      <c r="AZ293" s="377"/>
      <c r="BA293" s="377"/>
      <c r="BB293" s="377"/>
      <c r="BC293" s="377"/>
      <c r="BD293" s="377"/>
      <c r="BE293" s="377"/>
      <c r="BF293" s="377"/>
      <c r="BG293" s="377"/>
      <c r="BH293" s="377"/>
      <c r="BI293" s="377"/>
      <c r="BJ293" s="377"/>
      <c r="BK293" s="377"/>
      <c r="BL293" s="377"/>
      <c r="BM293" s="377"/>
      <c r="BN293" s="576"/>
      <c r="BO293" s="377"/>
      <c r="BP293" s="377"/>
      <c r="BQ293" s="377"/>
      <c r="BR293" s="377"/>
      <c r="BS293" s="377"/>
      <c r="BT293" s="377"/>
      <c r="BU293" s="377"/>
      <c r="BV293" s="377"/>
      <c r="BW293" s="377"/>
      <c r="BX293" s="377"/>
      <c r="BY293" s="377"/>
      <c r="BZ293" s="377"/>
      <c r="CA293" s="377"/>
      <c r="CB293" s="377"/>
      <c r="CC293" s="377"/>
      <c r="CD293" s="377"/>
      <c r="CE293" s="377"/>
      <c r="CF293" s="377"/>
      <c r="CG293" s="377"/>
      <c r="CH293" s="377"/>
      <c r="CI293" s="377"/>
    </row>
    <row r="294" spans="1:87" ht="15">
      <c r="A294" s="377"/>
      <c r="B294" s="377"/>
      <c r="C294" s="572"/>
      <c r="D294" s="377"/>
      <c r="E294" s="377"/>
      <c r="F294" s="377"/>
      <c r="G294" s="377"/>
      <c r="H294" s="573"/>
      <c r="I294" s="377"/>
      <c r="J294" s="377"/>
      <c r="K294" s="377"/>
      <c r="L294" s="377"/>
      <c r="M294" s="377"/>
      <c r="N294" s="377"/>
      <c r="O294" s="377"/>
      <c r="P294" s="377"/>
      <c r="Q294" s="377"/>
      <c r="R294" s="377"/>
      <c r="S294" s="377"/>
      <c r="T294" s="377"/>
      <c r="U294" s="377"/>
      <c r="V294" s="377"/>
      <c r="W294" s="377"/>
      <c r="X294" s="574"/>
      <c r="Y294" s="377"/>
      <c r="Z294" s="377"/>
      <c r="AA294" s="377"/>
      <c r="AB294" s="377"/>
      <c r="AC294" s="377"/>
      <c r="AD294" s="377"/>
      <c r="AE294" s="377"/>
      <c r="AF294" s="377"/>
      <c r="AG294" s="377"/>
      <c r="AH294" s="377"/>
      <c r="AI294" s="377"/>
      <c r="AJ294" s="377"/>
      <c r="AK294" s="377"/>
      <c r="AL294" s="574"/>
      <c r="AM294" s="377"/>
      <c r="AN294" s="377"/>
      <c r="AO294" s="377"/>
      <c r="AP294" s="377"/>
      <c r="AQ294" s="377"/>
      <c r="AR294" s="377"/>
      <c r="AS294" s="377"/>
      <c r="AT294" s="377"/>
      <c r="AU294" s="377"/>
      <c r="AV294" s="377"/>
      <c r="AW294" s="575"/>
      <c r="AX294" s="377"/>
      <c r="AY294" s="377"/>
      <c r="AZ294" s="377"/>
      <c r="BA294" s="377"/>
      <c r="BB294" s="377"/>
      <c r="BC294" s="377"/>
      <c r="BD294" s="377"/>
      <c r="BE294" s="377"/>
      <c r="BF294" s="377"/>
      <c r="BG294" s="377"/>
      <c r="BH294" s="377"/>
      <c r="BI294" s="377"/>
      <c r="BJ294" s="377"/>
      <c r="BK294" s="377"/>
      <c r="BL294" s="377"/>
      <c r="BM294" s="377"/>
      <c r="BN294" s="576"/>
      <c r="BO294" s="377"/>
      <c r="BP294" s="377"/>
      <c r="BQ294" s="377"/>
      <c r="BR294" s="377"/>
      <c r="BS294" s="377"/>
      <c r="BT294" s="377"/>
      <c r="BU294" s="377"/>
      <c r="BV294" s="377"/>
      <c r="BW294" s="377"/>
      <c r="BX294" s="377"/>
      <c r="BY294" s="377"/>
      <c r="BZ294" s="377"/>
      <c r="CA294" s="377"/>
      <c r="CB294" s="377"/>
      <c r="CC294" s="377"/>
      <c r="CD294" s="377"/>
      <c r="CE294" s="377"/>
      <c r="CF294" s="377"/>
      <c r="CG294" s="377"/>
      <c r="CH294" s="377"/>
      <c r="CI294" s="377"/>
    </row>
    <row r="295" spans="1:87" ht="15">
      <c r="A295" s="377"/>
      <c r="B295" s="377"/>
      <c r="C295" s="572"/>
      <c r="D295" s="377"/>
      <c r="E295" s="377"/>
      <c r="F295" s="377"/>
      <c r="G295" s="377"/>
      <c r="H295" s="573"/>
      <c r="I295" s="377"/>
      <c r="J295" s="377"/>
      <c r="K295" s="377"/>
      <c r="L295" s="377"/>
      <c r="M295" s="377"/>
      <c r="N295" s="377"/>
      <c r="O295" s="377"/>
      <c r="P295" s="377"/>
      <c r="Q295" s="377"/>
      <c r="R295" s="377"/>
      <c r="S295" s="377"/>
      <c r="T295" s="377"/>
      <c r="U295" s="377"/>
      <c r="V295" s="377"/>
      <c r="W295" s="377"/>
      <c r="X295" s="574"/>
      <c r="Y295" s="377"/>
      <c r="Z295" s="377"/>
      <c r="AA295" s="377"/>
      <c r="AB295" s="377"/>
      <c r="AC295" s="377"/>
      <c r="AD295" s="377"/>
      <c r="AE295" s="377"/>
      <c r="AF295" s="377"/>
      <c r="AG295" s="377"/>
      <c r="AH295" s="377"/>
      <c r="AI295" s="377"/>
      <c r="AJ295" s="377"/>
      <c r="AK295" s="377"/>
      <c r="AL295" s="574"/>
      <c r="AM295" s="377"/>
      <c r="AN295" s="377"/>
      <c r="AO295" s="377"/>
      <c r="AP295" s="377"/>
      <c r="AQ295" s="377"/>
      <c r="AR295" s="377"/>
      <c r="AS295" s="377"/>
      <c r="AT295" s="377"/>
      <c r="AU295" s="377"/>
      <c r="AV295" s="377"/>
      <c r="AW295" s="575"/>
      <c r="AX295" s="377"/>
      <c r="AY295" s="377"/>
      <c r="AZ295" s="377"/>
      <c r="BA295" s="377"/>
      <c r="BB295" s="377"/>
      <c r="BC295" s="377"/>
      <c r="BD295" s="377"/>
      <c r="BE295" s="377"/>
      <c r="BF295" s="377"/>
      <c r="BG295" s="377"/>
      <c r="BH295" s="377"/>
      <c r="BI295" s="377"/>
      <c r="BJ295" s="377"/>
      <c r="BK295" s="377"/>
      <c r="BL295" s="377"/>
      <c r="BM295" s="377"/>
      <c r="BN295" s="576"/>
      <c r="BO295" s="377"/>
      <c r="BP295" s="377"/>
      <c r="BQ295" s="377"/>
      <c r="BR295" s="377"/>
      <c r="BS295" s="377"/>
      <c r="BT295" s="377"/>
      <c r="BU295" s="377"/>
      <c r="BV295" s="377"/>
      <c r="BW295" s="377"/>
      <c r="BX295" s="377"/>
      <c r="BY295" s="377"/>
      <c r="BZ295" s="377"/>
      <c r="CA295" s="377"/>
      <c r="CB295" s="377"/>
      <c r="CC295" s="377"/>
      <c r="CD295" s="377"/>
      <c r="CE295" s="377"/>
      <c r="CF295" s="377"/>
      <c r="CG295" s="377"/>
      <c r="CH295" s="377"/>
      <c r="CI295" s="377"/>
    </row>
    <row r="296" spans="1:87" ht="15">
      <c r="A296" s="377"/>
      <c r="B296" s="377"/>
      <c r="C296" s="572"/>
      <c r="D296" s="377"/>
      <c r="E296" s="377"/>
      <c r="F296" s="377"/>
      <c r="G296" s="377"/>
      <c r="H296" s="573"/>
      <c r="I296" s="377"/>
      <c r="J296" s="377"/>
      <c r="K296" s="377"/>
      <c r="L296" s="377"/>
      <c r="M296" s="377"/>
      <c r="N296" s="377"/>
      <c r="O296" s="377"/>
      <c r="P296" s="377"/>
      <c r="Q296" s="377"/>
      <c r="R296" s="377"/>
      <c r="S296" s="377"/>
      <c r="T296" s="377"/>
      <c r="U296" s="377"/>
      <c r="V296" s="377"/>
      <c r="W296" s="377"/>
      <c r="X296" s="574"/>
      <c r="Y296" s="377"/>
      <c r="Z296" s="377"/>
      <c r="AA296" s="377"/>
      <c r="AB296" s="377"/>
      <c r="AC296" s="377"/>
      <c r="AD296" s="377"/>
      <c r="AE296" s="377"/>
      <c r="AF296" s="377"/>
      <c r="AG296" s="377"/>
      <c r="AH296" s="377"/>
      <c r="AI296" s="377"/>
      <c r="AJ296" s="377"/>
      <c r="AK296" s="377"/>
      <c r="AL296" s="574"/>
      <c r="AM296" s="377"/>
      <c r="AN296" s="377"/>
      <c r="AO296" s="377"/>
      <c r="AP296" s="377"/>
      <c r="AQ296" s="377"/>
      <c r="AR296" s="377"/>
      <c r="AS296" s="377"/>
      <c r="AT296" s="377"/>
      <c r="AU296" s="377"/>
      <c r="AV296" s="377"/>
      <c r="AW296" s="575"/>
      <c r="AX296" s="377"/>
      <c r="AY296" s="377"/>
      <c r="AZ296" s="377"/>
      <c r="BA296" s="377"/>
      <c r="BB296" s="377"/>
      <c r="BC296" s="377"/>
      <c r="BD296" s="377"/>
      <c r="BE296" s="377"/>
      <c r="BF296" s="377"/>
      <c r="BG296" s="377"/>
      <c r="BH296" s="377"/>
      <c r="BI296" s="377"/>
      <c r="BJ296" s="377"/>
      <c r="BK296" s="377"/>
      <c r="BL296" s="377"/>
      <c r="BM296" s="377"/>
      <c r="BN296" s="576"/>
      <c r="BO296" s="377"/>
      <c r="BP296" s="377"/>
      <c r="BQ296" s="377"/>
      <c r="BR296" s="377"/>
      <c r="BS296" s="377"/>
      <c r="BT296" s="377"/>
      <c r="BU296" s="377"/>
      <c r="BV296" s="377"/>
      <c r="BW296" s="377"/>
      <c r="BX296" s="377"/>
      <c r="BY296" s="377"/>
      <c r="BZ296" s="377"/>
      <c r="CA296" s="377"/>
      <c r="CB296" s="377"/>
      <c r="CC296" s="377"/>
      <c r="CD296" s="377"/>
      <c r="CE296" s="377"/>
      <c r="CF296" s="377"/>
      <c r="CG296" s="377"/>
      <c r="CH296" s="377"/>
      <c r="CI296" s="377"/>
    </row>
    <row r="297" spans="1:87" ht="15">
      <c r="A297" s="377"/>
      <c r="B297" s="377"/>
      <c r="C297" s="572"/>
      <c r="D297" s="377"/>
      <c r="E297" s="377"/>
      <c r="F297" s="377"/>
      <c r="G297" s="377"/>
      <c r="H297" s="573"/>
      <c r="I297" s="377"/>
      <c r="J297" s="377"/>
      <c r="K297" s="377"/>
      <c r="L297" s="377"/>
      <c r="M297" s="377"/>
      <c r="N297" s="377"/>
      <c r="O297" s="377"/>
      <c r="P297" s="377"/>
      <c r="Q297" s="377"/>
      <c r="R297" s="377"/>
      <c r="S297" s="377"/>
      <c r="T297" s="377"/>
      <c r="U297" s="377"/>
      <c r="V297" s="377"/>
      <c r="W297" s="377"/>
      <c r="X297" s="574"/>
      <c r="Y297" s="377"/>
      <c r="Z297" s="377"/>
      <c r="AA297" s="377"/>
      <c r="AB297" s="377"/>
      <c r="AC297" s="377"/>
      <c r="AD297" s="377"/>
      <c r="AE297" s="377"/>
      <c r="AF297" s="377"/>
      <c r="AG297" s="377"/>
      <c r="AH297" s="377"/>
      <c r="AI297" s="377"/>
      <c r="AJ297" s="377"/>
      <c r="AK297" s="377"/>
      <c r="AL297" s="574"/>
      <c r="AM297" s="377"/>
      <c r="AN297" s="377"/>
      <c r="AO297" s="377"/>
      <c r="AP297" s="377"/>
      <c r="AQ297" s="377"/>
      <c r="AR297" s="377"/>
      <c r="AS297" s="377"/>
      <c r="AT297" s="377"/>
      <c r="AU297" s="377"/>
      <c r="AV297" s="377"/>
      <c r="AW297" s="575"/>
      <c r="AX297" s="377"/>
      <c r="AY297" s="377"/>
      <c r="AZ297" s="377"/>
      <c r="BA297" s="377"/>
      <c r="BB297" s="377"/>
      <c r="BC297" s="377"/>
      <c r="BD297" s="377"/>
      <c r="BE297" s="377"/>
      <c r="BF297" s="377"/>
      <c r="BG297" s="377"/>
      <c r="BH297" s="377"/>
      <c r="BI297" s="377"/>
      <c r="BJ297" s="377"/>
      <c r="BK297" s="377"/>
      <c r="BL297" s="377"/>
      <c r="BM297" s="377"/>
      <c r="BN297" s="576"/>
      <c r="BO297" s="377"/>
      <c r="BP297" s="377"/>
      <c r="BQ297" s="377"/>
      <c r="BR297" s="377"/>
      <c r="BS297" s="377"/>
      <c r="BT297" s="377"/>
      <c r="BU297" s="377"/>
      <c r="BV297" s="377"/>
      <c r="BW297" s="377"/>
      <c r="BX297" s="377"/>
      <c r="BY297" s="377"/>
      <c r="BZ297" s="377"/>
      <c r="CA297" s="377"/>
      <c r="CB297" s="377"/>
      <c r="CC297" s="377"/>
      <c r="CD297" s="377"/>
      <c r="CE297" s="377"/>
      <c r="CF297" s="377"/>
      <c r="CG297" s="377"/>
      <c r="CH297" s="377"/>
      <c r="CI297" s="377"/>
    </row>
    <row r="298" spans="1:87" ht="15">
      <c r="A298" s="377"/>
      <c r="B298" s="377"/>
      <c r="C298" s="572"/>
      <c r="D298" s="377"/>
      <c r="E298" s="377"/>
      <c r="F298" s="377"/>
      <c r="G298" s="377"/>
      <c r="H298" s="573"/>
      <c r="I298" s="377"/>
      <c r="J298" s="377"/>
      <c r="K298" s="377"/>
      <c r="L298" s="377"/>
      <c r="M298" s="377"/>
      <c r="N298" s="377"/>
      <c r="O298" s="377"/>
      <c r="P298" s="377"/>
      <c r="Q298" s="377"/>
      <c r="R298" s="377"/>
      <c r="S298" s="377"/>
      <c r="T298" s="377"/>
      <c r="U298" s="377"/>
      <c r="V298" s="377"/>
      <c r="W298" s="377"/>
      <c r="X298" s="574"/>
      <c r="Y298" s="377"/>
      <c r="Z298" s="377"/>
      <c r="AA298" s="377"/>
      <c r="AB298" s="377"/>
      <c r="AC298" s="377"/>
      <c r="AD298" s="377"/>
      <c r="AE298" s="377"/>
      <c r="AF298" s="377"/>
      <c r="AG298" s="377"/>
      <c r="AH298" s="377"/>
      <c r="AI298" s="377"/>
      <c r="AJ298" s="377"/>
      <c r="AK298" s="377"/>
      <c r="AL298" s="574"/>
      <c r="AM298" s="377"/>
      <c r="AN298" s="377"/>
      <c r="AO298" s="377"/>
      <c r="AP298" s="377"/>
      <c r="AQ298" s="377"/>
      <c r="AR298" s="377"/>
      <c r="AS298" s="377"/>
      <c r="AT298" s="377"/>
      <c r="AU298" s="377"/>
      <c r="AV298" s="377"/>
      <c r="AW298" s="575"/>
      <c r="AX298" s="377"/>
      <c r="AY298" s="377"/>
      <c r="AZ298" s="377"/>
      <c r="BA298" s="377"/>
      <c r="BB298" s="377"/>
      <c r="BC298" s="377"/>
      <c r="BD298" s="377"/>
      <c r="BE298" s="377"/>
      <c r="BF298" s="377"/>
      <c r="BG298" s="377"/>
      <c r="BH298" s="377"/>
      <c r="BI298" s="377"/>
      <c r="BJ298" s="377"/>
      <c r="BK298" s="377"/>
      <c r="BL298" s="377"/>
      <c r="BM298" s="377"/>
      <c r="BN298" s="576"/>
      <c r="BO298" s="377"/>
      <c r="BP298" s="377"/>
      <c r="BQ298" s="377"/>
      <c r="BR298" s="377"/>
      <c r="BS298" s="377"/>
      <c r="BT298" s="377"/>
      <c r="BU298" s="377"/>
      <c r="BV298" s="377"/>
      <c r="BW298" s="377"/>
      <c r="BX298" s="377"/>
      <c r="BY298" s="377"/>
      <c r="BZ298" s="377"/>
      <c r="CA298" s="377"/>
      <c r="CB298" s="377"/>
      <c r="CC298" s="377"/>
      <c r="CD298" s="377"/>
      <c r="CE298" s="377"/>
      <c r="CF298" s="377"/>
      <c r="CG298" s="377"/>
      <c r="CH298" s="377"/>
      <c r="CI298" s="377"/>
    </row>
    <row r="299" spans="1:87" ht="15">
      <c r="A299" s="377"/>
      <c r="B299" s="377"/>
      <c r="C299" s="572"/>
      <c r="D299" s="377"/>
      <c r="E299" s="377"/>
      <c r="F299" s="377"/>
      <c r="G299" s="377"/>
      <c r="H299" s="573"/>
      <c r="I299" s="377"/>
      <c r="J299" s="377"/>
      <c r="K299" s="377"/>
      <c r="L299" s="377"/>
      <c r="M299" s="377"/>
      <c r="N299" s="377"/>
      <c r="O299" s="377"/>
      <c r="P299" s="377"/>
      <c r="Q299" s="377"/>
      <c r="R299" s="377"/>
      <c r="S299" s="377"/>
      <c r="T299" s="377"/>
      <c r="U299" s="377"/>
      <c r="V299" s="377"/>
      <c r="W299" s="377"/>
      <c r="X299" s="574"/>
      <c r="Y299" s="377"/>
      <c r="Z299" s="377"/>
      <c r="AA299" s="377"/>
      <c r="AB299" s="377"/>
      <c r="AC299" s="377"/>
      <c r="AD299" s="377"/>
      <c r="AE299" s="377"/>
      <c r="AF299" s="377"/>
      <c r="AG299" s="377"/>
      <c r="AH299" s="377"/>
      <c r="AI299" s="377"/>
      <c r="AJ299" s="377"/>
      <c r="AK299" s="377"/>
      <c r="AL299" s="574"/>
      <c r="AM299" s="377"/>
      <c r="AN299" s="377"/>
      <c r="AO299" s="377"/>
      <c r="AP299" s="377"/>
      <c r="AQ299" s="377"/>
      <c r="AR299" s="377"/>
      <c r="AS299" s="377"/>
      <c r="AT299" s="377"/>
      <c r="AU299" s="377"/>
      <c r="AV299" s="377"/>
      <c r="AW299" s="575"/>
      <c r="AX299" s="377"/>
      <c r="AY299" s="377"/>
      <c r="AZ299" s="377"/>
      <c r="BA299" s="377"/>
      <c r="BB299" s="377"/>
      <c r="BC299" s="377"/>
      <c r="BD299" s="377"/>
      <c r="BE299" s="377"/>
      <c r="BF299" s="377"/>
      <c r="BG299" s="377"/>
      <c r="BH299" s="377"/>
      <c r="BI299" s="377"/>
      <c r="BJ299" s="377"/>
      <c r="BK299" s="377"/>
      <c r="BL299" s="377"/>
      <c r="BM299" s="377"/>
      <c r="BN299" s="576"/>
      <c r="BO299" s="377"/>
      <c r="BP299" s="377"/>
      <c r="BQ299" s="377"/>
      <c r="BR299" s="377"/>
      <c r="BS299" s="377"/>
      <c r="BT299" s="377"/>
      <c r="BU299" s="377"/>
      <c r="BV299" s="377"/>
      <c r="BW299" s="377"/>
      <c r="BX299" s="377"/>
      <c r="BY299" s="377"/>
      <c r="BZ299" s="377"/>
      <c r="CA299" s="377"/>
      <c r="CB299" s="377"/>
      <c r="CC299" s="377"/>
      <c r="CD299" s="377"/>
      <c r="CE299" s="377"/>
      <c r="CF299" s="377"/>
      <c r="CG299" s="377"/>
      <c r="CH299" s="377"/>
      <c r="CI299" s="377"/>
    </row>
    <row r="300" spans="1:87" ht="15">
      <c r="A300" s="377"/>
      <c r="B300" s="377"/>
      <c r="C300" s="572"/>
      <c r="D300" s="377"/>
      <c r="E300" s="377"/>
      <c r="F300" s="377"/>
      <c r="G300" s="377"/>
      <c r="H300" s="573"/>
      <c r="I300" s="377"/>
      <c r="J300" s="377"/>
      <c r="K300" s="377"/>
      <c r="L300" s="377"/>
      <c r="M300" s="377"/>
      <c r="N300" s="377"/>
      <c r="O300" s="377"/>
      <c r="P300" s="377"/>
      <c r="Q300" s="377"/>
      <c r="R300" s="377"/>
      <c r="S300" s="377"/>
      <c r="T300" s="377"/>
      <c r="U300" s="377"/>
      <c r="V300" s="377"/>
      <c r="W300" s="377"/>
      <c r="X300" s="574"/>
      <c r="Y300" s="377"/>
      <c r="Z300" s="377"/>
      <c r="AA300" s="377"/>
      <c r="AB300" s="377"/>
      <c r="AC300" s="377"/>
      <c r="AD300" s="377"/>
      <c r="AE300" s="377"/>
      <c r="AF300" s="377"/>
      <c r="AG300" s="377"/>
      <c r="AH300" s="377"/>
      <c r="AI300" s="377"/>
      <c r="AJ300" s="377"/>
      <c r="AK300" s="377"/>
      <c r="AL300" s="574"/>
      <c r="AM300" s="377"/>
      <c r="AN300" s="377"/>
      <c r="AO300" s="377"/>
      <c r="AP300" s="377"/>
      <c r="AQ300" s="377"/>
      <c r="AR300" s="377"/>
      <c r="AS300" s="377"/>
      <c r="AT300" s="377"/>
      <c r="AU300" s="377"/>
      <c r="AV300" s="377"/>
      <c r="AW300" s="575"/>
      <c r="AX300" s="377"/>
      <c r="AY300" s="377"/>
      <c r="AZ300" s="377"/>
      <c r="BA300" s="377"/>
      <c r="BB300" s="377"/>
      <c r="BC300" s="377"/>
      <c r="BD300" s="377"/>
      <c r="BE300" s="377"/>
      <c r="BF300" s="377"/>
      <c r="BG300" s="377"/>
      <c r="BH300" s="377"/>
      <c r="BI300" s="377"/>
      <c r="BJ300" s="377"/>
      <c r="BK300" s="377"/>
      <c r="BL300" s="377"/>
      <c r="BM300" s="377"/>
      <c r="BN300" s="576"/>
      <c r="BO300" s="377"/>
      <c r="BP300" s="377"/>
      <c r="BQ300" s="377"/>
      <c r="BR300" s="377"/>
      <c r="BS300" s="377"/>
      <c r="BT300" s="377"/>
      <c r="BU300" s="377"/>
      <c r="BV300" s="377"/>
      <c r="BW300" s="377"/>
      <c r="BX300" s="377"/>
      <c r="BY300" s="377"/>
      <c r="BZ300" s="377"/>
      <c r="CA300" s="377"/>
      <c r="CB300" s="377"/>
      <c r="CC300" s="377"/>
      <c r="CD300" s="377"/>
      <c r="CE300" s="377"/>
      <c r="CF300" s="377"/>
      <c r="CG300" s="377"/>
      <c r="CH300" s="377"/>
      <c r="CI300" s="377"/>
    </row>
    <row r="301" spans="1:87" ht="15">
      <c r="A301" s="377"/>
      <c r="B301" s="377"/>
      <c r="C301" s="572"/>
      <c r="D301" s="377"/>
      <c r="E301" s="377"/>
      <c r="F301" s="377"/>
      <c r="G301" s="377"/>
      <c r="H301" s="573"/>
      <c r="I301" s="377"/>
      <c r="J301" s="377"/>
      <c r="K301" s="377"/>
      <c r="L301" s="377"/>
      <c r="M301" s="377"/>
      <c r="N301" s="377"/>
      <c r="O301" s="377"/>
      <c r="P301" s="377"/>
      <c r="Q301" s="377"/>
      <c r="R301" s="377"/>
      <c r="S301" s="377"/>
      <c r="T301" s="377"/>
      <c r="U301" s="377"/>
      <c r="V301" s="377"/>
      <c r="W301" s="377"/>
      <c r="X301" s="574"/>
      <c r="Y301" s="377"/>
      <c r="Z301" s="377"/>
      <c r="AA301" s="377"/>
      <c r="AB301" s="377"/>
      <c r="AC301" s="377"/>
      <c r="AD301" s="377"/>
      <c r="AE301" s="377"/>
      <c r="AF301" s="377"/>
      <c r="AG301" s="377"/>
      <c r="AH301" s="377"/>
      <c r="AI301" s="377"/>
      <c r="AJ301" s="377"/>
      <c r="AK301" s="377"/>
      <c r="AL301" s="574"/>
      <c r="AM301" s="377"/>
      <c r="AN301" s="377"/>
      <c r="AO301" s="377"/>
      <c r="AP301" s="377"/>
      <c r="AQ301" s="377"/>
      <c r="AR301" s="377"/>
      <c r="AS301" s="377"/>
      <c r="AT301" s="377"/>
      <c r="AU301" s="377"/>
      <c r="AV301" s="377"/>
      <c r="AW301" s="575"/>
      <c r="AX301" s="377"/>
      <c r="AY301" s="377"/>
      <c r="AZ301" s="377"/>
      <c r="BA301" s="377"/>
      <c r="BB301" s="377"/>
      <c r="BC301" s="377"/>
      <c r="BD301" s="377"/>
      <c r="BE301" s="377"/>
      <c r="BF301" s="377"/>
      <c r="BG301" s="377"/>
      <c r="BH301" s="377"/>
      <c r="BI301" s="377"/>
      <c r="BJ301" s="377"/>
      <c r="BK301" s="377"/>
      <c r="BL301" s="377"/>
      <c r="BM301" s="377"/>
      <c r="BN301" s="576"/>
      <c r="BO301" s="377"/>
      <c r="BP301" s="377"/>
      <c r="BQ301" s="377"/>
      <c r="BR301" s="377"/>
      <c r="BS301" s="377"/>
      <c r="BT301" s="377"/>
      <c r="BU301" s="377"/>
      <c r="BV301" s="377"/>
      <c r="BW301" s="377"/>
      <c r="BX301" s="377"/>
      <c r="BY301" s="377"/>
      <c r="BZ301" s="377"/>
      <c r="CA301" s="377"/>
      <c r="CB301" s="377"/>
      <c r="CC301" s="377"/>
      <c r="CD301" s="377"/>
      <c r="CE301" s="377"/>
      <c r="CF301" s="377"/>
      <c r="CG301" s="377"/>
      <c r="CH301" s="377"/>
      <c r="CI301" s="377"/>
    </row>
    <row r="302" spans="1:87" ht="15">
      <c r="A302" s="377"/>
      <c r="B302" s="377"/>
      <c r="C302" s="572"/>
      <c r="D302" s="377"/>
      <c r="E302" s="377"/>
      <c r="F302" s="377"/>
      <c r="G302" s="377"/>
      <c r="H302" s="573"/>
      <c r="I302" s="377"/>
      <c r="J302" s="377"/>
      <c r="K302" s="377"/>
      <c r="L302" s="377"/>
      <c r="M302" s="377"/>
      <c r="N302" s="377"/>
      <c r="O302" s="377"/>
      <c r="P302" s="377"/>
      <c r="Q302" s="377"/>
      <c r="R302" s="377"/>
      <c r="S302" s="377"/>
      <c r="T302" s="377"/>
      <c r="U302" s="377"/>
      <c r="V302" s="377"/>
      <c r="W302" s="377"/>
      <c r="X302" s="574"/>
      <c r="Y302" s="377"/>
      <c r="Z302" s="377"/>
      <c r="AA302" s="377"/>
      <c r="AB302" s="377"/>
      <c r="AC302" s="377"/>
      <c r="AD302" s="377"/>
      <c r="AE302" s="377"/>
      <c r="AF302" s="377"/>
      <c r="AG302" s="377"/>
      <c r="AH302" s="377"/>
      <c r="AI302" s="377"/>
      <c r="AJ302" s="377"/>
      <c r="AK302" s="377"/>
      <c r="AL302" s="574"/>
      <c r="AM302" s="377"/>
      <c r="AN302" s="377"/>
      <c r="AO302" s="377"/>
      <c r="AP302" s="377"/>
      <c r="AQ302" s="377"/>
      <c r="AR302" s="377"/>
      <c r="AS302" s="377"/>
      <c r="AT302" s="377"/>
      <c r="AU302" s="377"/>
      <c r="AV302" s="377"/>
      <c r="AW302" s="575"/>
      <c r="AX302" s="377"/>
      <c r="AY302" s="377"/>
      <c r="AZ302" s="377"/>
      <c r="BA302" s="377"/>
      <c r="BB302" s="377"/>
      <c r="BC302" s="377"/>
      <c r="BD302" s="377"/>
      <c r="BE302" s="377"/>
      <c r="BF302" s="377"/>
      <c r="BG302" s="377"/>
      <c r="BH302" s="377"/>
      <c r="BI302" s="377"/>
      <c r="BJ302" s="377"/>
      <c r="BK302" s="377"/>
      <c r="BL302" s="377"/>
      <c r="BM302" s="377"/>
      <c r="BN302" s="576"/>
      <c r="BO302" s="377"/>
      <c r="BP302" s="377"/>
      <c r="BQ302" s="377"/>
      <c r="BR302" s="377"/>
      <c r="BS302" s="377"/>
      <c r="BT302" s="377"/>
      <c r="BU302" s="377"/>
      <c r="BV302" s="377"/>
      <c r="BW302" s="377"/>
      <c r="BX302" s="377"/>
      <c r="BY302" s="377"/>
      <c r="BZ302" s="377"/>
      <c r="CA302" s="377"/>
      <c r="CB302" s="377"/>
      <c r="CC302" s="377"/>
      <c r="CD302" s="377"/>
      <c r="CE302" s="377"/>
      <c r="CF302" s="377"/>
      <c r="CG302" s="377"/>
      <c r="CH302" s="377"/>
      <c r="CI302" s="377"/>
    </row>
    <row r="303" spans="1:87" ht="15">
      <c r="A303" s="377"/>
      <c r="B303" s="377"/>
      <c r="C303" s="572"/>
      <c r="D303" s="377"/>
      <c r="E303" s="377"/>
      <c r="F303" s="377"/>
      <c r="G303" s="377"/>
      <c r="H303" s="573"/>
      <c r="I303" s="377"/>
      <c r="J303" s="377"/>
      <c r="K303" s="377"/>
      <c r="L303" s="377"/>
      <c r="M303" s="377"/>
      <c r="N303" s="377"/>
      <c r="O303" s="377"/>
      <c r="P303" s="377"/>
      <c r="Q303" s="377"/>
      <c r="R303" s="377"/>
      <c r="S303" s="377"/>
      <c r="T303" s="377"/>
      <c r="U303" s="377"/>
      <c r="V303" s="377"/>
      <c r="W303" s="377"/>
      <c r="X303" s="574"/>
      <c r="Y303" s="377"/>
      <c r="Z303" s="377"/>
      <c r="AA303" s="377"/>
      <c r="AB303" s="377"/>
      <c r="AC303" s="377"/>
      <c r="AD303" s="377"/>
      <c r="AE303" s="377"/>
      <c r="AF303" s="377"/>
      <c r="AG303" s="377"/>
      <c r="AH303" s="377"/>
      <c r="AI303" s="377"/>
      <c r="AJ303" s="377"/>
      <c r="AK303" s="377"/>
      <c r="AL303" s="574"/>
      <c r="AM303" s="377"/>
      <c r="AN303" s="377"/>
      <c r="AO303" s="377"/>
      <c r="AP303" s="377"/>
      <c r="AQ303" s="377"/>
      <c r="AR303" s="377"/>
      <c r="AS303" s="377"/>
      <c r="AT303" s="377"/>
      <c r="AU303" s="377"/>
      <c r="AV303" s="377"/>
      <c r="AW303" s="575"/>
      <c r="AX303" s="377"/>
      <c r="AY303" s="377"/>
      <c r="AZ303" s="377"/>
      <c r="BA303" s="377"/>
      <c r="BB303" s="377"/>
      <c r="BC303" s="377"/>
      <c r="BD303" s="377"/>
      <c r="BE303" s="377"/>
      <c r="BF303" s="377"/>
      <c r="BG303" s="377"/>
      <c r="BH303" s="377"/>
      <c r="BI303" s="377"/>
      <c r="BJ303" s="377"/>
      <c r="BK303" s="377"/>
      <c r="BL303" s="377"/>
      <c r="BM303" s="377"/>
      <c r="BN303" s="576"/>
      <c r="BO303" s="377"/>
      <c r="BP303" s="377"/>
      <c r="BQ303" s="377"/>
      <c r="BR303" s="377"/>
      <c r="BS303" s="377"/>
      <c r="BT303" s="377"/>
      <c r="BU303" s="377"/>
      <c r="BV303" s="377"/>
      <c r="BW303" s="377"/>
      <c r="BX303" s="377"/>
      <c r="BY303" s="377"/>
      <c r="BZ303" s="377"/>
      <c r="CA303" s="377"/>
      <c r="CB303" s="377"/>
      <c r="CC303" s="377"/>
      <c r="CD303" s="377"/>
      <c r="CE303" s="377"/>
      <c r="CF303" s="377"/>
      <c r="CG303" s="377"/>
      <c r="CH303" s="377"/>
      <c r="CI303" s="377"/>
    </row>
    <row r="304" spans="1:87" ht="15">
      <c r="A304" s="377"/>
      <c r="B304" s="377"/>
      <c r="C304" s="572"/>
      <c r="D304" s="377"/>
      <c r="E304" s="377"/>
      <c r="F304" s="377"/>
      <c r="G304" s="377"/>
      <c r="H304" s="573"/>
      <c r="I304" s="377"/>
      <c r="J304" s="377"/>
      <c r="K304" s="377"/>
      <c r="L304" s="377"/>
      <c r="M304" s="377"/>
      <c r="N304" s="377"/>
      <c r="O304" s="377"/>
      <c r="P304" s="377"/>
      <c r="Q304" s="377"/>
      <c r="R304" s="377"/>
      <c r="S304" s="377"/>
      <c r="T304" s="377"/>
      <c r="U304" s="377"/>
      <c r="V304" s="377"/>
      <c r="W304" s="377"/>
      <c r="X304" s="574"/>
      <c r="Y304" s="377"/>
      <c r="Z304" s="377"/>
      <c r="AA304" s="377"/>
      <c r="AB304" s="377"/>
      <c r="AC304" s="377"/>
      <c r="AD304" s="377"/>
      <c r="AE304" s="377"/>
      <c r="AF304" s="377"/>
      <c r="AG304" s="377"/>
      <c r="AH304" s="377"/>
      <c r="AI304" s="377"/>
      <c r="AJ304" s="377"/>
      <c r="AK304" s="377"/>
      <c r="AL304" s="574"/>
      <c r="AM304" s="377"/>
      <c r="AN304" s="377"/>
      <c r="AO304" s="377"/>
      <c r="AP304" s="377"/>
      <c r="AQ304" s="377"/>
      <c r="AR304" s="377"/>
      <c r="AS304" s="377"/>
      <c r="AT304" s="377"/>
      <c r="AU304" s="377"/>
      <c r="AV304" s="377"/>
      <c r="AW304" s="575"/>
      <c r="AX304" s="377"/>
      <c r="AY304" s="377"/>
      <c r="AZ304" s="377"/>
      <c r="BA304" s="377"/>
      <c r="BB304" s="377"/>
      <c r="BC304" s="377"/>
      <c r="BD304" s="377"/>
      <c r="BE304" s="377"/>
      <c r="BF304" s="377"/>
      <c r="BG304" s="377"/>
      <c r="BH304" s="377"/>
      <c r="BI304" s="377"/>
      <c r="BJ304" s="377"/>
      <c r="BK304" s="377"/>
      <c r="BL304" s="377"/>
      <c r="BM304" s="377"/>
      <c r="BN304" s="576"/>
      <c r="BO304" s="377"/>
      <c r="BP304" s="377"/>
      <c r="BQ304" s="377"/>
      <c r="BR304" s="377"/>
      <c r="BS304" s="377"/>
      <c r="BT304" s="377"/>
      <c r="BU304" s="377"/>
      <c r="BV304" s="377"/>
      <c r="BW304" s="377"/>
      <c r="BX304" s="377"/>
      <c r="BY304" s="377"/>
      <c r="BZ304" s="377"/>
      <c r="CA304" s="377"/>
      <c r="CB304" s="377"/>
      <c r="CC304" s="377"/>
      <c r="CD304" s="377"/>
      <c r="CE304" s="377"/>
      <c r="CF304" s="377"/>
      <c r="CG304" s="377"/>
      <c r="CH304" s="377"/>
      <c r="CI304" s="377"/>
    </row>
    <row r="305" spans="1:87" ht="15">
      <c r="A305" s="377"/>
      <c r="B305" s="377"/>
      <c r="C305" s="572"/>
      <c r="D305" s="377"/>
      <c r="E305" s="377"/>
      <c r="F305" s="377"/>
      <c r="G305" s="377"/>
      <c r="H305" s="573"/>
      <c r="I305" s="377"/>
      <c r="J305" s="377"/>
      <c r="K305" s="377"/>
      <c r="L305" s="377"/>
      <c r="M305" s="377"/>
      <c r="N305" s="377"/>
      <c r="O305" s="377"/>
      <c r="P305" s="377"/>
      <c r="Q305" s="377"/>
      <c r="R305" s="377"/>
      <c r="S305" s="377"/>
      <c r="T305" s="377"/>
      <c r="U305" s="377"/>
      <c r="V305" s="377"/>
      <c r="W305" s="377"/>
      <c r="X305" s="574"/>
      <c r="Y305" s="377"/>
      <c r="Z305" s="377"/>
      <c r="AA305" s="377"/>
      <c r="AB305" s="377"/>
      <c r="AC305" s="377"/>
      <c r="AD305" s="377"/>
      <c r="AE305" s="377"/>
      <c r="AF305" s="377"/>
      <c r="AG305" s="377"/>
      <c r="AH305" s="377"/>
      <c r="AI305" s="377"/>
      <c r="AJ305" s="377"/>
      <c r="AK305" s="377"/>
      <c r="AL305" s="574"/>
      <c r="AM305" s="377"/>
      <c r="AN305" s="377"/>
      <c r="AO305" s="377"/>
      <c r="AP305" s="377"/>
      <c r="AQ305" s="377"/>
      <c r="AR305" s="377"/>
      <c r="AS305" s="377"/>
      <c r="AT305" s="377"/>
      <c r="AU305" s="377"/>
      <c r="AV305" s="377"/>
      <c r="AW305" s="575"/>
      <c r="AX305" s="377"/>
      <c r="AY305" s="377"/>
      <c r="AZ305" s="377"/>
      <c r="BA305" s="377"/>
      <c r="BB305" s="377"/>
      <c r="BC305" s="377"/>
      <c r="BD305" s="377"/>
      <c r="BE305" s="377"/>
      <c r="BF305" s="377"/>
      <c r="BG305" s="377"/>
      <c r="BH305" s="377"/>
      <c r="BI305" s="377"/>
      <c r="BJ305" s="377"/>
      <c r="BK305" s="377"/>
      <c r="BL305" s="377"/>
      <c r="BM305" s="377"/>
      <c r="BN305" s="576"/>
      <c r="BO305" s="377"/>
      <c r="BP305" s="377"/>
      <c r="BQ305" s="377"/>
      <c r="BR305" s="377"/>
      <c r="BS305" s="377"/>
      <c r="BT305" s="377"/>
      <c r="BU305" s="377"/>
      <c r="BV305" s="377"/>
      <c r="BW305" s="377"/>
      <c r="BX305" s="377"/>
      <c r="BY305" s="377"/>
      <c r="BZ305" s="377"/>
      <c r="CA305" s="377"/>
      <c r="CB305" s="377"/>
      <c r="CC305" s="377"/>
      <c r="CD305" s="377"/>
      <c r="CE305" s="377"/>
      <c r="CF305" s="377"/>
      <c r="CG305" s="377"/>
      <c r="CH305" s="377"/>
      <c r="CI305" s="377"/>
    </row>
    <row r="306" spans="1:87" ht="15">
      <c r="A306" s="377"/>
      <c r="B306" s="377"/>
      <c r="C306" s="572"/>
      <c r="D306" s="377"/>
      <c r="E306" s="377"/>
      <c r="F306" s="377"/>
      <c r="G306" s="377"/>
      <c r="H306" s="573"/>
      <c r="I306" s="377"/>
      <c r="J306" s="377"/>
      <c r="K306" s="377"/>
      <c r="L306" s="377"/>
      <c r="M306" s="377"/>
      <c r="N306" s="377"/>
      <c r="O306" s="377"/>
      <c r="P306" s="377"/>
      <c r="Q306" s="377"/>
      <c r="R306" s="377"/>
      <c r="S306" s="377"/>
      <c r="T306" s="377"/>
      <c r="U306" s="377"/>
      <c r="V306" s="377"/>
      <c r="W306" s="377"/>
      <c r="X306" s="574"/>
      <c r="Y306" s="377"/>
      <c r="Z306" s="377"/>
      <c r="AA306" s="377"/>
      <c r="AB306" s="377"/>
      <c r="AC306" s="377"/>
      <c r="AD306" s="377"/>
      <c r="AE306" s="377"/>
      <c r="AF306" s="377"/>
      <c r="AG306" s="377"/>
      <c r="AH306" s="377"/>
      <c r="AI306" s="377"/>
      <c r="AJ306" s="377"/>
      <c r="AK306" s="377"/>
      <c r="AL306" s="574"/>
      <c r="AM306" s="377"/>
      <c r="AN306" s="377"/>
      <c r="AO306" s="377"/>
      <c r="AP306" s="377"/>
      <c r="AQ306" s="377"/>
      <c r="AR306" s="377"/>
      <c r="AS306" s="377"/>
      <c r="AT306" s="377"/>
      <c r="AU306" s="377"/>
      <c r="AV306" s="377"/>
      <c r="AW306" s="575"/>
      <c r="AX306" s="377"/>
      <c r="AY306" s="377"/>
      <c r="AZ306" s="377"/>
      <c r="BA306" s="377"/>
      <c r="BB306" s="377"/>
      <c r="BC306" s="377"/>
      <c r="BD306" s="377"/>
      <c r="BE306" s="377"/>
      <c r="BF306" s="377"/>
      <c r="BG306" s="377"/>
      <c r="BH306" s="377"/>
      <c r="BI306" s="377"/>
      <c r="BJ306" s="377"/>
      <c r="BK306" s="377"/>
      <c r="BL306" s="377"/>
      <c r="BM306" s="377"/>
      <c r="BN306" s="576"/>
      <c r="BO306" s="377"/>
      <c r="BP306" s="377"/>
      <c r="BQ306" s="377"/>
      <c r="BR306" s="377"/>
      <c r="BS306" s="377"/>
      <c r="BT306" s="377"/>
      <c r="BU306" s="377"/>
      <c r="BV306" s="377"/>
      <c r="BW306" s="377"/>
      <c r="BX306" s="377"/>
      <c r="BY306" s="377"/>
      <c r="BZ306" s="377"/>
      <c r="CA306" s="377"/>
      <c r="CB306" s="377"/>
      <c r="CC306" s="377"/>
      <c r="CD306" s="377"/>
      <c r="CE306" s="377"/>
      <c r="CF306" s="377"/>
      <c r="CG306" s="377"/>
      <c r="CH306" s="377"/>
      <c r="CI306" s="377"/>
    </row>
    <row r="307" spans="1:87" ht="15">
      <c r="A307" s="377"/>
      <c r="B307" s="377"/>
      <c r="C307" s="572"/>
      <c r="D307" s="377"/>
      <c r="E307" s="377"/>
      <c r="F307" s="377"/>
      <c r="G307" s="377"/>
      <c r="H307" s="573"/>
      <c r="I307" s="377"/>
      <c r="J307" s="377"/>
      <c r="K307" s="377"/>
      <c r="L307" s="377"/>
      <c r="M307" s="377"/>
      <c r="N307" s="377"/>
      <c r="O307" s="377"/>
      <c r="P307" s="377"/>
      <c r="Q307" s="377"/>
      <c r="R307" s="377"/>
      <c r="S307" s="377"/>
      <c r="T307" s="377"/>
      <c r="U307" s="377"/>
      <c r="V307" s="377"/>
      <c r="W307" s="377"/>
      <c r="X307" s="574"/>
      <c r="Y307" s="377"/>
      <c r="Z307" s="377"/>
      <c r="AA307" s="377"/>
      <c r="AB307" s="377"/>
      <c r="AC307" s="377"/>
      <c r="AD307" s="377"/>
      <c r="AE307" s="377"/>
      <c r="AF307" s="377"/>
      <c r="AG307" s="377"/>
      <c r="AH307" s="377"/>
      <c r="AI307" s="377"/>
      <c r="AJ307" s="377"/>
      <c r="AK307" s="377"/>
      <c r="AL307" s="574"/>
      <c r="AM307" s="377"/>
      <c r="AN307" s="377"/>
      <c r="AO307" s="377"/>
      <c r="AP307" s="377"/>
      <c r="AQ307" s="377"/>
      <c r="AR307" s="377"/>
      <c r="AS307" s="377"/>
      <c r="AT307" s="377"/>
      <c r="AU307" s="377"/>
      <c r="AV307" s="377"/>
      <c r="AW307" s="575"/>
      <c r="AX307" s="377"/>
      <c r="AY307" s="377"/>
      <c r="AZ307" s="377"/>
      <c r="BA307" s="377"/>
      <c r="BB307" s="377"/>
      <c r="BC307" s="377"/>
      <c r="BD307" s="377"/>
      <c r="BE307" s="377"/>
      <c r="BF307" s="377"/>
      <c r="BG307" s="377"/>
      <c r="BH307" s="377"/>
      <c r="BI307" s="377"/>
      <c r="BJ307" s="377"/>
      <c r="BK307" s="377"/>
      <c r="BL307" s="377"/>
      <c r="BM307" s="377"/>
      <c r="BN307" s="576"/>
      <c r="BO307" s="377"/>
      <c r="BP307" s="377"/>
      <c r="BQ307" s="377"/>
      <c r="BR307" s="377"/>
      <c r="BS307" s="377"/>
      <c r="BT307" s="377"/>
      <c r="BU307" s="377"/>
      <c r="BV307" s="377"/>
      <c r="BW307" s="377"/>
      <c r="BX307" s="377"/>
      <c r="BY307" s="377"/>
      <c r="BZ307" s="377"/>
      <c r="CA307" s="377"/>
      <c r="CB307" s="377"/>
      <c r="CC307" s="377"/>
      <c r="CD307" s="377"/>
      <c r="CE307" s="377"/>
      <c r="CF307" s="377"/>
      <c r="CG307" s="377"/>
      <c r="CH307" s="377"/>
      <c r="CI307" s="377"/>
    </row>
    <row r="308" spans="1:87" ht="15">
      <c r="A308" s="377"/>
      <c r="B308" s="377"/>
      <c r="C308" s="572"/>
      <c r="D308" s="377"/>
      <c r="E308" s="377"/>
      <c r="F308" s="377"/>
      <c r="G308" s="377"/>
      <c r="H308" s="573"/>
      <c r="I308" s="377"/>
      <c r="J308" s="377"/>
      <c r="K308" s="377"/>
      <c r="L308" s="377"/>
      <c r="M308" s="377"/>
      <c r="N308" s="377"/>
      <c r="O308" s="377"/>
      <c r="P308" s="377"/>
      <c r="Q308" s="377"/>
      <c r="R308" s="377"/>
      <c r="S308" s="377"/>
      <c r="T308" s="377"/>
      <c r="U308" s="377"/>
      <c r="V308" s="377"/>
      <c r="W308" s="377"/>
      <c r="X308" s="574"/>
      <c r="Y308" s="377"/>
      <c r="Z308" s="377"/>
      <c r="AA308" s="377"/>
      <c r="AB308" s="377"/>
      <c r="AC308" s="377"/>
      <c r="AD308" s="377"/>
      <c r="AE308" s="377"/>
      <c r="AF308" s="377"/>
      <c r="AG308" s="377"/>
      <c r="AH308" s="377"/>
      <c r="AI308" s="377"/>
      <c r="AJ308" s="377"/>
      <c r="AK308" s="377"/>
      <c r="AL308" s="574"/>
      <c r="AM308" s="377"/>
      <c r="AN308" s="377"/>
      <c r="AO308" s="377"/>
      <c r="AP308" s="377"/>
      <c r="AQ308" s="377"/>
      <c r="AR308" s="377"/>
      <c r="AS308" s="377"/>
      <c r="AT308" s="377"/>
      <c r="AU308" s="377"/>
      <c r="AV308" s="377"/>
      <c r="AW308" s="575"/>
      <c r="AX308" s="377"/>
      <c r="AY308" s="377"/>
      <c r="AZ308" s="377"/>
      <c r="BA308" s="377"/>
      <c r="BB308" s="377"/>
      <c r="BC308" s="377"/>
      <c r="BD308" s="377"/>
      <c r="BE308" s="377"/>
      <c r="BF308" s="377"/>
      <c r="BG308" s="377"/>
      <c r="BH308" s="377"/>
      <c r="BI308" s="377"/>
      <c r="BJ308" s="377"/>
      <c r="BK308" s="377"/>
      <c r="BL308" s="377"/>
      <c r="BM308" s="377"/>
      <c r="BN308" s="576"/>
      <c r="BO308" s="377"/>
      <c r="BP308" s="377"/>
      <c r="BQ308" s="377"/>
      <c r="BR308" s="377"/>
      <c r="BS308" s="377"/>
      <c r="BT308" s="377"/>
      <c r="BU308" s="377"/>
      <c r="BV308" s="377"/>
      <c r="BW308" s="377"/>
      <c r="BX308" s="377"/>
      <c r="BY308" s="377"/>
      <c r="BZ308" s="377"/>
      <c r="CA308" s="377"/>
      <c r="CB308" s="377"/>
      <c r="CC308" s="377"/>
      <c r="CD308" s="377"/>
      <c r="CE308" s="377"/>
      <c r="CF308" s="377"/>
      <c r="CG308" s="377"/>
      <c r="CH308" s="377"/>
      <c r="CI308" s="377"/>
    </row>
    <row r="309" spans="1:87" ht="15">
      <c r="A309" s="377"/>
      <c r="B309" s="377"/>
      <c r="C309" s="572"/>
      <c r="D309" s="377"/>
      <c r="E309" s="377"/>
      <c r="F309" s="377"/>
      <c r="G309" s="377"/>
      <c r="H309" s="573"/>
      <c r="I309" s="377"/>
      <c r="J309" s="377"/>
      <c r="K309" s="377"/>
      <c r="L309" s="377"/>
      <c r="M309" s="377"/>
      <c r="N309" s="377"/>
      <c r="O309" s="377"/>
      <c r="P309" s="377"/>
      <c r="Q309" s="377"/>
      <c r="R309" s="377"/>
      <c r="S309" s="377"/>
      <c r="T309" s="377"/>
      <c r="U309" s="377"/>
      <c r="V309" s="377"/>
      <c r="W309" s="377"/>
      <c r="X309" s="574"/>
      <c r="Y309" s="377"/>
      <c r="Z309" s="377"/>
      <c r="AA309" s="377"/>
      <c r="AB309" s="377"/>
      <c r="AC309" s="377"/>
      <c r="AD309" s="377"/>
      <c r="AE309" s="377"/>
      <c r="AF309" s="377"/>
      <c r="AG309" s="377"/>
      <c r="AH309" s="377"/>
      <c r="AI309" s="377"/>
      <c r="AJ309" s="377"/>
      <c r="AK309" s="377"/>
      <c r="AL309" s="574"/>
      <c r="AM309" s="377"/>
      <c r="AN309" s="377"/>
      <c r="AO309" s="377"/>
      <c r="AP309" s="377"/>
      <c r="AQ309" s="377"/>
      <c r="AR309" s="377"/>
      <c r="AS309" s="377"/>
      <c r="AT309" s="377"/>
      <c r="AU309" s="377"/>
      <c r="AV309" s="377"/>
      <c r="AW309" s="575"/>
      <c r="AX309" s="377"/>
      <c r="AY309" s="377"/>
      <c r="AZ309" s="377"/>
      <c r="BA309" s="377"/>
      <c r="BB309" s="377"/>
      <c r="BC309" s="377"/>
      <c r="BD309" s="377"/>
      <c r="BE309" s="377"/>
      <c r="BF309" s="377"/>
      <c r="BG309" s="377"/>
      <c r="BH309" s="377"/>
      <c r="BI309" s="377"/>
      <c r="BJ309" s="377"/>
      <c r="BK309" s="377"/>
      <c r="BL309" s="377"/>
      <c r="BM309" s="377"/>
      <c r="BN309" s="576"/>
      <c r="BO309" s="377"/>
      <c r="BP309" s="377"/>
      <c r="BQ309" s="377"/>
      <c r="BR309" s="377"/>
      <c r="BS309" s="377"/>
      <c r="BT309" s="377"/>
      <c r="BU309" s="377"/>
      <c r="BV309" s="377"/>
      <c r="BW309" s="377"/>
      <c r="BX309" s="377"/>
      <c r="BY309" s="377"/>
      <c r="BZ309" s="377"/>
      <c r="CA309" s="377"/>
      <c r="CB309" s="377"/>
      <c r="CC309" s="377"/>
      <c r="CD309" s="377"/>
      <c r="CE309" s="377"/>
      <c r="CF309" s="377"/>
      <c r="CG309" s="377"/>
      <c r="CH309" s="377"/>
      <c r="CI309" s="377"/>
    </row>
    <row r="310" spans="1:87" ht="15">
      <c r="A310" s="377"/>
      <c r="B310" s="377"/>
      <c r="C310" s="572"/>
      <c r="D310" s="377"/>
      <c r="E310" s="377"/>
      <c r="F310" s="377"/>
      <c r="G310" s="377"/>
      <c r="H310" s="573"/>
      <c r="I310" s="377"/>
      <c r="J310" s="377"/>
      <c r="K310" s="377"/>
      <c r="L310" s="377"/>
      <c r="M310" s="377"/>
      <c r="N310" s="377"/>
      <c r="O310" s="377"/>
      <c r="P310" s="377"/>
      <c r="Q310" s="377"/>
      <c r="R310" s="377"/>
      <c r="S310" s="377"/>
      <c r="T310" s="377"/>
      <c r="U310" s="377"/>
      <c r="V310" s="377"/>
      <c r="W310" s="377"/>
      <c r="X310" s="574"/>
      <c r="Y310" s="377"/>
      <c r="Z310" s="377"/>
      <c r="AA310" s="377"/>
      <c r="AB310" s="377"/>
      <c r="AC310" s="377"/>
      <c r="AD310" s="377"/>
      <c r="AE310" s="377"/>
      <c r="AF310" s="377"/>
      <c r="AG310" s="377"/>
      <c r="AH310" s="377"/>
      <c r="AI310" s="377"/>
      <c r="AJ310" s="377"/>
      <c r="AK310" s="377"/>
      <c r="AL310" s="574"/>
      <c r="AM310" s="377"/>
      <c r="AN310" s="377"/>
      <c r="AO310" s="377"/>
      <c r="AP310" s="377"/>
      <c r="AQ310" s="377"/>
      <c r="AR310" s="377"/>
      <c r="AS310" s="377"/>
      <c r="AT310" s="377"/>
      <c r="AU310" s="377"/>
      <c r="AV310" s="377"/>
      <c r="AW310" s="575"/>
      <c r="AX310" s="377"/>
      <c r="AY310" s="377"/>
      <c r="AZ310" s="377"/>
      <c r="BA310" s="377"/>
      <c r="BB310" s="377"/>
      <c r="BC310" s="377"/>
      <c r="BD310" s="377"/>
      <c r="BE310" s="377"/>
      <c r="BF310" s="377"/>
      <c r="BG310" s="377"/>
      <c r="BH310" s="377"/>
      <c r="BI310" s="377"/>
      <c r="BJ310" s="377"/>
      <c r="BK310" s="377"/>
      <c r="BL310" s="377"/>
      <c r="BM310" s="377"/>
      <c r="BN310" s="576"/>
      <c r="BO310" s="377"/>
      <c r="BP310" s="377"/>
      <c r="BQ310" s="377"/>
      <c r="BR310" s="377"/>
      <c r="BS310" s="377"/>
      <c r="BT310" s="377"/>
      <c r="BU310" s="377"/>
      <c r="BV310" s="377"/>
      <c r="BW310" s="377"/>
      <c r="BX310" s="377"/>
      <c r="BY310" s="377"/>
      <c r="BZ310" s="377"/>
      <c r="CA310" s="377"/>
      <c r="CB310" s="377"/>
      <c r="CC310" s="377"/>
      <c r="CD310" s="377"/>
      <c r="CE310" s="377"/>
      <c r="CF310" s="377"/>
      <c r="CG310" s="377"/>
      <c r="CH310" s="377"/>
      <c r="CI310" s="377"/>
    </row>
    <row r="311" spans="1:87" ht="15">
      <c r="A311" s="377"/>
      <c r="B311" s="377"/>
      <c r="C311" s="572"/>
      <c r="D311" s="377"/>
      <c r="E311" s="377"/>
      <c r="F311" s="377"/>
      <c r="G311" s="377"/>
      <c r="H311" s="573"/>
      <c r="I311" s="377"/>
      <c r="J311" s="377"/>
      <c r="K311" s="377"/>
      <c r="L311" s="377"/>
      <c r="M311" s="377"/>
      <c r="N311" s="377"/>
      <c r="O311" s="377"/>
      <c r="P311" s="377"/>
      <c r="Q311" s="377"/>
      <c r="R311" s="377"/>
      <c r="S311" s="377"/>
      <c r="T311" s="377"/>
      <c r="U311" s="377"/>
      <c r="V311" s="377"/>
      <c r="W311" s="377"/>
      <c r="X311" s="574"/>
      <c r="Y311" s="377"/>
      <c r="Z311" s="377"/>
      <c r="AA311" s="377"/>
      <c r="AB311" s="377"/>
      <c r="AC311" s="377"/>
      <c r="AD311" s="377"/>
      <c r="AE311" s="377"/>
      <c r="AF311" s="377"/>
      <c r="AG311" s="377"/>
      <c r="AH311" s="377"/>
      <c r="AI311" s="377"/>
      <c r="AJ311" s="377"/>
      <c r="AK311" s="377"/>
      <c r="AL311" s="574"/>
      <c r="AM311" s="377"/>
      <c r="AN311" s="377"/>
      <c r="AO311" s="377"/>
      <c r="AP311" s="377"/>
      <c r="AQ311" s="377"/>
      <c r="AR311" s="377"/>
      <c r="AS311" s="377"/>
      <c r="AT311" s="377"/>
      <c r="AU311" s="377"/>
      <c r="AV311" s="377"/>
      <c r="AW311" s="575"/>
      <c r="AX311" s="377"/>
      <c r="AY311" s="377"/>
      <c r="AZ311" s="377"/>
      <c r="BA311" s="377"/>
      <c r="BB311" s="377"/>
      <c r="BC311" s="377"/>
      <c r="BD311" s="377"/>
      <c r="BE311" s="377"/>
      <c r="BF311" s="377"/>
      <c r="BG311" s="377"/>
      <c r="BH311" s="377"/>
      <c r="BI311" s="377"/>
      <c r="BJ311" s="377"/>
      <c r="BK311" s="377"/>
      <c r="BL311" s="377"/>
      <c r="BM311" s="377"/>
      <c r="BN311" s="576"/>
      <c r="BO311" s="377"/>
      <c r="BP311" s="377"/>
      <c r="BQ311" s="377"/>
      <c r="BR311" s="377"/>
      <c r="BS311" s="377"/>
      <c r="BT311" s="377"/>
      <c r="BU311" s="377"/>
      <c r="BV311" s="377"/>
      <c r="BW311" s="377"/>
      <c r="BX311" s="377"/>
      <c r="BY311" s="377"/>
      <c r="BZ311" s="377"/>
      <c r="CA311" s="377"/>
      <c r="CB311" s="377"/>
      <c r="CC311" s="377"/>
      <c r="CD311" s="377"/>
      <c r="CE311" s="377"/>
      <c r="CF311" s="377"/>
      <c r="CG311" s="377"/>
      <c r="CH311" s="377"/>
      <c r="CI311" s="377"/>
    </row>
    <row r="312" spans="1:87" ht="15">
      <c r="A312" s="377"/>
      <c r="B312" s="377"/>
      <c r="C312" s="572"/>
      <c r="D312" s="377"/>
      <c r="E312" s="377"/>
      <c r="F312" s="377"/>
      <c r="G312" s="377"/>
      <c r="H312" s="573"/>
      <c r="I312" s="377"/>
      <c r="J312" s="377"/>
      <c r="K312" s="377"/>
      <c r="L312" s="377"/>
      <c r="M312" s="377"/>
      <c r="N312" s="377"/>
      <c r="O312" s="377"/>
      <c r="P312" s="377"/>
      <c r="Q312" s="377"/>
      <c r="R312" s="377"/>
      <c r="S312" s="377"/>
      <c r="T312" s="377"/>
      <c r="U312" s="377"/>
      <c r="V312" s="377"/>
      <c r="W312" s="377"/>
      <c r="X312" s="574"/>
      <c r="Y312" s="377"/>
      <c r="Z312" s="377"/>
      <c r="AA312" s="377"/>
      <c r="AB312" s="377"/>
      <c r="AC312" s="377"/>
      <c r="AD312" s="377"/>
      <c r="AE312" s="377"/>
      <c r="AF312" s="377"/>
      <c r="AG312" s="377"/>
      <c r="AH312" s="377"/>
      <c r="AI312" s="377"/>
      <c r="AJ312" s="377"/>
      <c r="AK312" s="377"/>
      <c r="AL312" s="574"/>
      <c r="AM312" s="377"/>
      <c r="AN312" s="377"/>
      <c r="AO312" s="377"/>
      <c r="AP312" s="377"/>
      <c r="AQ312" s="377"/>
      <c r="AR312" s="377"/>
      <c r="AS312" s="377"/>
      <c r="AT312" s="377"/>
      <c r="AU312" s="377"/>
      <c r="AV312" s="377"/>
      <c r="AW312" s="575"/>
      <c r="AX312" s="377"/>
      <c r="AY312" s="377"/>
      <c r="AZ312" s="377"/>
      <c r="BA312" s="377"/>
      <c r="BB312" s="377"/>
      <c r="BC312" s="377"/>
      <c r="BD312" s="377"/>
      <c r="BE312" s="377"/>
      <c r="BF312" s="377"/>
      <c r="BG312" s="377"/>
      <c r="BH312" s="377"/>
      <c r="BI312" s="377"/>
      <c r="BJ312" s="377"/>
      <c r="BK312" s="377"/>
      <c r="BL312" s="377"/>
      <c r="BM312" s="377"/>
      <c r="BN312" s="576"/>
      <c r="BO312" s="377"/>
      <c r="BP312" s="377"/>
      <c r="BQ312" s="377"/>
      <c r="BR312" s="377"/>
      <c r="BS312" s="377"/>
      <c r="BT312" s="377"/>
      <c r="BU312" s="377"/>
      <c r="BV312" s="377"/>
      <c r="BW312" s="377"/>
      <c r="BX312" s="377"/>
      <c r="BY312" s="377"/>
      <c r="BZ312" s="377"/>
      <c r="CA312" s="377"/>
      <c r="CB312" s="377"/>
      <c r="CC312" s="377"/>
      <c r="CD312" s="377"/>
      <c r="CE312" s="377"/>
      <c r="CF312" s="377"/>
      <c r="CG312" s="377"/>
      <c r="CH312" s="377"/>
      <c r="CI312" s="377"/>
    </row>
    <row r="313" spans="1:87" ht="15">
      <c r="A313" s="377"/>
      <c r="B313" s="377"/>
      <c r="C313" s="572"/>
      <c r="D313" s="377"/>
      <c r="E313" s="377"/>
      <c r="F313" s="377"/>
      <c r="G313" s="377"/>
      <c r="H313" s="573"/>
      <c r="I313" s="377"/>
      <c r="J313" s="377"/>
      <c r="K313" s="377"/>
      <c r="L313" s="377"/>
      <c r="M313" s="377"/>
      <c r="N313" s="377"/>
      <c r="O313" s="377"/>
      <c r="P313" s="377"/>
      <c r="Q313" s="377"/>
      <c r="R313" s="377"/>
      <c r="S313" s="377"/>
      <c r="T313" s="377"/>
      <c r="U313" s="377"/>
      <c r="V313" s="377"/>
      <c r="W313" s="377"/>
      <c r="X313" s="574"/>
      <c r="Y313" s="377"/>
      <c r="Z313" s="377"/>
      <c r="AA313" s="377"/>
      <c r="AB313" s="377"/>
      <c r="AC313" s="377"/>
      <c r="AD313" s="377"/>
      <c r="AE313" s="377"/>
      <c r="AF313" s="377"/>
      <c r="AG313" s="377"/>
      <c r="AH313" s="377"/>
      <c r="AI313" s="377"/>
      <c r="AJ313" s="377"/>
      <c r="AK313" s="377"/>
      <c r="AL313" s="574"/>
      <c r="AM313" s="377"/>
      <c r="AN313" s="377"/>
      <c r="AO313" s="377"/>
      <c r="AP313" s="377"/>
      <c r="AQ313" s="377"/>
      <c r="AR313" s="377"/>
      <c r="AS313" s="377"/>
      <c r="AT313" s="377"/>
      <c r="AU313" s="377"/>
      <c r="AV313" s="377"/>
      <c r="AW313" s="575"/>
      <c r="AX313" s="377"/>
      <c r="AY313" s="377"/>
      <c r="AZ313" s="377"/>
      <c r="BA313" s="377"/>
      <c r="BB313" s="377"/>
      <c r="BC313" s="377"/>
      <c r="BD313" s="377"/>
      <c r="BE313" s="377"/>
      <c r="BF313" s="377"/>
      <c r="BG313" s="377"/>
      <c r="BH313" s="377"/>
      <c r="BI313" s="377"/>
      <c r="BJ313" s="377"/>
      <c r="BK313" s="377"/>
      <c r="BL313" s="377"/>
      <c r="BM313" s="377"/>
      <c r="BN313" s="576"/>
      <c r="BO313" s="377"/>
      <c r="BP313" s="377"/>
      <c r="BQ313" s="377"/>
      <c r="BR313" s="377"/>
      <c r="BS313" s="377"/>
      <c r="BT313" s="377"/>
      <c r="BU313" s="377"/>
      <c r="BV313" s="377"/>
      <c r="BW313" s="377"/>
      <c r="BX313" s="377"/>
      <c r="BY313" s="377"/>
      <c r="BZ313" s="377"/>
      <c r="CA313" s="377"/>
      <c r="CB313" s="377"/>
      <c r="CC313" s="377"/>
      <c r="CD313" s="377"/>
      <c r="CE313" s="377"/>
      <c r="CF313" s="377"/>
      <c r="CG313" s="377"/>
      <c r="CH313" s="377"/>
      <c r="CI313" s="377"/>
    </row>
    <row r="314" spans="1:87" ht="15">
      <c r="A314" s="377"/>
      <c r="B314" s="377"/>
      <c r="C314" s="572"/>
      <c r="D314" s="377"/>
      <c r="E314" s="377"/>
      <c r="F314" s="377"/>
      <c r="G314" s="377"/>
      <c r="H314" s="573"/>
      <c r="I314" s="377"/>
      <c r="J314" s="377"/>
      <c r="K314" s="377"/>
      <c r="L314" s="377"/>
      <c r="M314" s="377"/>
      <c r="N314" s="377"/>
      <c r="O314" s="377"/>
      <c r="P314" s="377"/>
      <c r="Q314" s="377"/>
      <c r="R314" s="377"/>
      <c r="S314" s="377"/>
      <c r="T314" s="377"/>
      <c r="U314" s="377"/>
      <c r="V314" s="377"/>
      <c r="W314" s="377"/>
      <c r="X314" s="574"/>
      <c r="Y314" s="377"/>
      <c r="Z314" s="377"/>
      <c r="AA314" s="377"/>
      <c r="AB314" s="377"/>
      <c r="AC314" s="377"/>
      <c r="AD314" s="377"/>
      <c r="AE314" s="377"/>
      <c r="AF314" s="377"/>
      <c r="AG314" s="377"/>
      <c r="AH314" s="377"/>
      <c r="AI314" s="377"/>
      <c r="AJ314" s="377"/>
      <c r="AK314" s="377"/>
      <c r="AL314" s="574"/>
      <c r="AM314" s="377"/>
      <c r="AN314" s="377"/>
      <c r="AO314" s="377"/>
      <c r="AP314" s="377"/>
      <c r="AQ314" s="377"/>
      <c r="AR314" s="377"/>
      <c r="AS314" s="377"/>
      <c r="AT314" s="377"/>
      <c r="AU314" s="377"/>
      <c r="AV314" s="377"/>
      <c r="AW314" s="575"/>
      <c r="AX314" s="377"/>
      <c r="AY314" s="377"/>
      <c r="AZ314" s="377"/>
      <c r="BA314" s="377"/>
      <c r="BB314" s="377"/>
      <c r="BC314" s="377"/>
      <c r="BD314" s="377"/>
      <c r="BE314" s="377"/>
      <c r="BF314" s="377"/>
      <c r="BG314" s="377"/>
      <c r="BH314" s="377"/>
      <c r="BI314" s="377"/>
      <c r="BJ314" s="377"/>
      <c r="BK314" s="377"/>
      <c r="BL314" s="377"/>
      <c r="BM314" s="377"/>
      <c r="BN314" s="576"/>
      <c r="BO314" s="377"/>
      <c r="BP314" s="377"/>
      <c r="BQ314" s="377"/>
      <c r="BR314" s="377"/>
      <c r="BS314" s="377"/>
      <c r="BT314" s="377"/>
      <c r="BU314" s="377"/>
      <c r="BV314" s="377"/>
      <c r="BW314" s="377"/>
      <c r="BX314" s="377"/>
      <c r="BY314" s="377"/>
      <c r="BZ314" s="377"/>
      <c r="CA314" s="377"/>
      <c r="CB314" s="377"/>
      <c r="CC314" s="377"/>
      <c r="CD314" s="377"/>
      <c r="CE314" s="377"/>
      <c r="CF314" s="377"/>
      <c r="CG314" s="377"/>
      <c r="CH314" s="377"/>
      <c r="CI314" s="377"/>
    </row>
    <row r="315" spans="1:87" ht="15">
      <c r="A315" s="377"/>
      <c r="B315" s="377"/>
      <c r="C315" s="572"/>
      <c r="D315" s="377"/>
      <c r="E315" s="377"/>
      <c r="F315" s="377"/>
      <c r="G315" s="377"/>
      <c r="H315" s="573"/>
      <c r="I315" s="377"/>
      <c r="J315" s="377"/>
      <c r="K315" s="377"/>
      <c r="L315" s="377"/>
      <c r="M315" s="377"/>
      <c r="N315" s="377"/>
      <c r="O315" s="377"/>
      <c r="P315" s="377"/>
      <c r="Q315" s="377"/>
      <c r="R315" s="377"/>
      <c r="S315" s="377"/>
      <c r="T315" s="377"/>
      <c r="U315" s="377"/>
      <c r="V315" s="377"/>
      <c r="W315" s="377"/>
      <c r="X315" s="574"/>
      <c r="Y315" s="377"/>
      <c r="Z315" s="377"/>
      <c r="AA315" s="377"/>
      <c r="AB315" s="377"/>
      <c r="AC315" s="377"/>
      <c r="AD315" s="377"/>
      <c r="AE315" s="377"/>
      <c r="AF315" s="377"/>
      <c r="AG315" s="377"/>
      <c r="AH315" s="377"/>
      <c r="AI315" s="377"/>
      <c r="AJ315" s="377"/>
      <c r="AK315" s="377"/>
      <c r="AL315" s="574"/>
      <c r="AM315" s="377"/>
      <c r="AN315" s="377"/>
      <c r="AO315" s="377"/>
      <c r="AP315" s="377"/>
      <c r="AQ315" s="377"/>
      <c r="AR315" s="377"/>
      <c r="AS315" s="377"/>
      <c r="AT315" s="377"/>
      <c r="AU315" s="377"/>
      <c r="AV315" s="377"/>
      <c r="AW315" s="575"/>
      <c r="AX315" s="377"/>
      <c r="AY315" s="377"/>
      <c r="AZ315" s="377"/>
      <c r="BA315" s="377"/>
      <c r="BB315" s="377"/>
      <c r="BC315" s="377"/>
      <c r="BD315" s="377"/>
      <c r="BE315" s="377"/>
      <c r="BF315" s="377"/>
      <c r="BG315" s="377"/>
      <c r="BH315" s="377"/>
      <c r="BI315" s="377"/>
      <c r="BJ315" s="377"/>
      <c r="BK315" s="377"/>
      <c r="BL315" s="377"/>
      <c r="BM315" s="377"/>
      <c r="BN315" s="576"/>
      <c r="BO315" s="377"/>
      <c r="BP315" s="377"/>
      <c r="BQ315" s="377"/>
      <c r="BR315" s="377"/>
      <c r="BS315" s="377"/>
      <c r="BT315" s="377"/>
      <c r="BU315" s="377"/>
      <c r="BV315" s="377"/>
      <c r="BW315" s="377"/>
      <c r="BX315" s="377"/>
      <c r="BY315" s="377"/>
      <c r="BZ315" s="377"/>
      <c r="CA315" s="377"/>
      <c r="CB315" s="377"/>
      <c r="CC315" s="377"/>
      <c r="CD315" s="377"/>
      <c r="CE315" s="377"/>
      <c r="CF315" s="377"/>
      <c r="CG315" s="377"/>
      <c r="CH315" s="377"/>
      <c r="CI315" s="377"/>
    </row>
    <row r="316" spans="1:87" ht="15">
      <c r="A316" s="377"/>
      <c r="B316" s="377"/>
      <c r="C316" s="572"/>
      <c r="D316" s="377"/>
      <c r="E316" s="377"/>
      <c r="F316" s="377"/>
      <c r="G316" s="377"/>
      <c r="H316" s="573"/>
      <c r="I316" s="377"/>
      <c r="J316" s="377"/>
      <c r="K316" s="377"/>
      <c r="L316" s="377"/>
      <c r="M316" s="377"/>
      <c r="N316" s="377"/>
      <c r="O316" s="377"/>
      <c r="P316" s="377"/>
      <c r="Q316" s="377"/>
      <c r="R316" s="377"/>
      <c r="S316" s="377"/>
      <c r="T316" s="377"/>
      <c r="U316" s="377"/>
      <c r="V316" s="377"/>
      <c r="W316" s="377"/>
      <c r="X316" s="574"/>
      <c r="Y316" s="377"/>
      <c r="Z316" s="377"/>
      <c r="AA316" s="377"/>
      <c r="AB316" s="377"/>
      <c r="AC316" s="377"/>
      <c r="AD316" s="377"/>
      <c r="AE316" s="377"/>
      <c r="AF316" s="377"/>
      <c r="AG316" s="377"/>
      <c r="AH316" s="377"/>
      <c r="AI316" s="377"/>
      <c r="AJ316" s="377"/>
      <c r="AK316" s="377"/>
      <c r="AL316" s="574"/>
      <c r="AM316" s="377"/>
      <c r="AN316" s="377"/>
      <c r="AO316" s="377"/>
      <c r="AP316" s="377"/>
      <c r="AQ316" s="377"/>
      <c r="AR316" s="377"/>
      <c r="AS316" s="377"/>
      <c r="AT316" s="377"/>
      <c r="AU316" s="377"/>
      <c r="AV316" s="377"/>
      <c r="AW316" s="575"/>
      <c r="AX316" s="377"/>
      <c r="AY316" s="377"/>
      <c r="AZ316" s="377"/>
      <c r="BA316" s="377"/>
      <c r="BB316" s="377"/>
      <c r="BC316" s="377"/>
      <c r="BD316" s="377"/>
      <c r="BE316" s="377"/>
      <c r="BF316" s="377"/>
      <c r="BG316" s="377"/>
      <c r="BH316" s="377"/>
      <c r="BI316" s="377"/>
      <c r="BJ316" s="377"/>
      <c r="BK316" s="377"/>
      <c r="BL316" s="377"/>
      <c r="BM316" s="377"/>
      <c r="BN316" s="576"/>
      <c r="BO316" s="377"/>
      <c r="BP316" s="377"/>
      <c r="BQ316" s="377"/>
      <c r="BR316" s="377"/>
      <c r="BS316" s="377"/>
      <c r="BT316" s="377"/>
      <c r="BU316" s="377"/>
      <c r="BV316" s="377"/>
      <c r="BW316" s="377"/>
      <c r="BX316" s="377"/>
      <c r="BY316" s="377"/>
      <c r="BZ316" s="377"/>
      <c r="CA316" s="377"/>
      <c r="CB316" s="377"/>
      <c r="CC316" s="377"/>
      <c r="CD316" s="377"/>
      <c r="CE316" s="377"/>
      <c r="CF316" s="377"/>
      <c r="CG316" s="377"/>
      <c r="CH316" s="377"/>
      <c r="CI316" s="377"/>
    </row>
    <row r="317" spans="1:87" ht="15">
      <c r="A317" s="377"/>
      <c r="B317" s="377"/>
      <c r="C317" s="572"/>
      <c r="D317" s="377"/>
      <c r="E317" s="377"/>
      <c r="F317" s="377"/>
      <c r="G317" s="377"/>
      <c r="H317" s="573"/>
      <c r="I317" s="377"/>
      <c r="J317" s="377"/>
      <c r="K317" s="377"/>
      <c r="L317" s="377"/>
      <c r="M317" s="377"/>
      <c r="N317" s="377"/>
      <c r="O317" s="377"/>
      <c r="P317" s="377"/>
      <c r="Q317" s="377"/>
      <c r="R317" s="377"/>
      <c r="S317" s="377"/>
      <c r="T317" s="377"/>
      <c r="U317" s="377"/>
      <c r="V317" s="377"/>
      <c r="W317" s="377"/>
      <c r="X317" s="574"/>
      <c r="Y317" s="377"/>
      <c r="Z317" s="377"/>
      <c r="AA317" s="377"/>
      <c r="AB317" s="377"/>
      <c r="AC317" s="377"/>
      <c r="AD317" s="377"/>
      <c r="AE317" s="377"/>
      <c r="AF317" s="377"/>
      <c r="AG317" s="377"/>
      <c r="AH317" s="377"/>
      <c r="AI317" s="377"/>
      <c r="AJ317" s="377"/>
      <c r="AK317" s="377"/>
      <c r="AL317" s="574"/>
      <c r="AM317" s="377"/>
      <c r="AN317" s="377"/>
      <c r="AO317" s="377"/>
      <c r="AP317" s="377"/>
      <c r="AQ317" s="377"/>
      <c r="AR317" s="377"/>
      <c r="AS317" s="377"/>
      <c r="AT317" s="377"/>
      <c r="AU317" s="377"/>
      <c r="AV317" s="377"/>
      <c r="AW317" s="575"/>
      <c r="AX317" s="377"/>
      <c r="AY317" s="377"/>
      <c r="AZ317" s="377"/>
      <c r="BA317" s="377"/>
      <c r="BB317" s="377"/>
      <c r="BC317" s="377"/>
      <c r="BD317" s="377"/>
      <c r="BE317" s="377"/>
      <c r="BF317" s="377"/>
      <c r="BG317" s="377"/>
      <c r="BH317" s="377"/>
      <c r="BI317" s="377"/>
      <c r="BJ317" s="377"/>
      <c r="BK317" s="377"/>
      <c r="BL317" s="377"/>
      <c r="BM317" s="377"/>
      <c r="BN317" s="576"/>
      <c r="BO317" s="377"/>
      <c r="BP317" s="377"/>
      <c r="BQ317" s="377"/>
      <c r="BR317" s="377"/>
      <c r="BS317" s="377"/>
      <c r="BT317" s="377"/>
      <c r="BU317" s="377"/>
      <c r="BV317" s="377"/>
      <c r="BW317" s="377"/>
      <c r="BX317" s="377"/>
      <c r="BY317" s="377"/>
      <c r="BZ317" s="377"/>
      <c r="CA317" s="377"/>
      <c r="CB317" s="377"/>
      <c r="CC317" s="377"/>
      <c r="CD317" s="377"/>
      <c r="CE317" s="377"/>
      <c r="CF317" s="377"/>
      <c r="CG317" s="377"/>
      <c r="CH317" s="377"/>
      <c r="CI317" s="377"/>
    </row>
    <row r="318" spans="1:87" ht="15">
      <c r="A318" s="377"/>
      <c r="B318" s="377"/>
      <c r="C318" s="572"/>
      <c r="D318" s="377"/>
      <c r="E318" s="377"/>
      <c r="F318" s="377"/>
      <c r="G318" s="377"/>
      <c r="H318" s="573"/>
      <c r="I318" s="377"/>
      <c r="J318" s="377"/>
      <c r="K318" s="377"/>
      <c r="L318" s="377"/>
      <c r="M318" s="377"/>
      <c r="N318" s="377"/>
      <c r="O318" s="377"/>
      <c r="P318" s="377"/>
      <c r="Q318" s="377"/>
      <c r="R318" s="377"/>
      <c r="S318" s="377"/>
      <c r="T318" s="377"/>
      <c r="U318" s="377"/>
      <c r="V318" s="377"/>
      <c r="W318" s="377"/>
      <c r="X318" s="574"/>
      <c r="Y318" s="377"/>
      <c r="Z318" s="377"/>
      <c r="AA318" s="377"/>
      <c r="AB318" s="377"/>
      <c r="AC318" s="377"/>
      <c r="AD318" s="377"/>
      <c r="AE318" s="377"/>
      <c r="AF318" s="377"/>
      <c r="AG318" s="377"/>
      <c r="AH318" s="377"/>
      <c r="AI318" s="377"/>
      <c r="AJ318" s="377"/>
      <c r="AK318" s="377"/>
      <c r="AL318" s="574"/>
      <c r="AM318" s="377"/>
      <c r="AN318" s="377"/>
      <c r="AO318" s="377"/>
      <c r="AP318" s="377"/>
      <c r="AQ318" s="377"/>
      <c r="AR318" s="377"/>
      <c r="AS318" s="377"/>
      <c r="AT318" s="377"/>
      <c r="AU318" s="377"/>
      <c r="AV318" s="377"/>
      <c r="AW318" s="575"/>
      <c r="AX318" s="377"/>
      <c r="AY318" s="377"/>
      <c r="AZ318" s="377"/>
      <c r="BA318" s="377"/>
      <c r="BB318" s="377"/>
      <c r="BC318" s="377"/>
      <c r="BD318" s="377"/>
      <c r="BE318" s="377"/>
      <c r="BF318" s="377"/>
      <c r="BG318" s="377"/>
      <c r="BH318" s="377"/>
      <c r="BI318" s="377"/>
      <c r="BJ318" s="377"/>
      <c r="BK318" s="377"/>
      <c r="BL318" s="377"/>
      <c r="BM318" s="377"/>
      <c r="BN318" s="576"/>
      <c r="BO318" s="377"/>
      <c r="BP318" s="377"/>
      <c r="BQ318" s="377"/>
      <c r="BR318" s="377"/>
      <c r="BS318" s="377"/>
      <c r="BT318" s="377"/>
      <c r="BU318" s="377"/>
      <c r="BV318" s="377"/>
      <c r="BW318" s="377"/>
      <c r="BX318" s="377"/>
      <c r="BY318" s="377"/>
      <c r="BZ318" s="377"/>
      <c r="CA318" s="377"/>
      <c r="CB318" s="377"/>
      <c r="CC318" s="377"/>
      <c r="CD318" s="377"/>
      <c r="CE318" s="377"/>
      <c r="CF318" s="377"/>
      <c r="CG318" s="377"/>
      <c r="CH318" s="377"/>
      <c r="CI318" s="377"/>
    </row>
    <row r="319" spans="1:87" ht="15">
      <c r="A319" s="377"/>
      <c r="B319" s="377"/>
      <c r="C319" s="572"/>
      <c r="D319" s="377"/>
      <c r="E319" s="377"/>
      <c r="F319" s="377"/>
      <c r="G319" s="377"/>
      <c r="H319" s="573"/>
      <c r="I319" s="377"/>
      <c r="J319" s="377"/>
      <c r="K319" s="377"/>
      <c r="L319" s="377"/>
      <c r="M319" s="377"/>
      <c r="N319" s="377"/>
      <c r="O319" s="377"/>
      <c r="P319" s="377"/>
      <c r="Q319" s="377"/>
      <c r="R319" s="377"/>
      <c r="S319" s="377"/>
      <c r="T319" s="377"/>
      <c r="U319" s="377"/>
      <c r="V319" s="377"/>
      <c r="W319" s="377"/>
      <c r="X319" s="574"/>
      <c r="Y319" s="377"/>
      <c r="Z319" s="377"/>
      <c r="AA319" s="377"/>
      <c r="AB319" s="377"/>
      <c r="AC319" s="377"/>
      <c r="AD319" s="377"/>
      <c r="AE319" s="377"/>
      <c r="AF319" s="377"/>
      <c r="AG319" s="377"/>
      <c r="AH319" s="377"/>
      <c r="AI319" s="377"/>
      <c r="AJ319" s="377"/>
      <c r="AK319" s="377"/>
      <c r="AL319" s="574"/>
      <c r="AM319" s="377"/>
      <c r="AN319" s="377"/>
      <c r="AO319" s="377"/>
      <c r="AP319" s="377"/>
      <c r="AQ319" s="377"/>
      <c r="AR319" s="377"/>
      <c r="AS319" s="377"/>
      <c r="AT319" s="377"/>
      <c r="AU319" s="377"/>
      <c r="AV319" s="377"/>
      <c r="AW319" s="575"/>
      <c r="AX319" s="377"/>
      <c r="AY319" s="377"/>
      <c r="AZ319" s="377"/>
      <c r="BA319" s="377"/>
      <c r="BB319" s="377"/>
      <c r="BC319" s="377"/>
      <c r="BD319" s="377"/>
      <c r="BE319" s="377"/>
      <c r="BF319" s="377"/>
      <c r="BG319" s="377"/>
      <c r="BH319" s="377"/>
      <c r="BI319" s="377"/>
      <c r="BJ319" s="377"/>
      <c r="BK319" s="377"/>
      <c r="BL319" s="377"/>
      <c r="BM319" s="377"/>
      <c r="BN319" s="576"/>
      <c r="BO319" s="377"/>
      <c r="BP319" s="377"/>
      <c r="BQ319" s="377"/>
      <c r="BR319" s="377"/>
      <c r="BS319" s="377"/>
      <c r="BT319" s="377"/>
      <c r="BU319" s="377"/>
      <c r="BV319" s="377"/>
      <c r="BW319" s="377"/>
      <c r="BX319" s="377"/>
      <c r="BY319" s="377"/>
      <c r="BZ319" s="377"/>
      <c r="CA319" s="377"/>
      <c r="CB319" s="377"/>
      <c r="CC319" s="377"/>
      <c r="CD319" s="377"/>
      <c r="CE319" s="377"/>
      <c r="CF319" s="377"/>
      <c r="CG319" s="377"/>
      <c r="CH319" s="377"/>
      <c r="CI319" s="377"/>
    </row>
    <row r="320" spans="1:87" ht="15">
      <c r="A320" s="377"/>
      <c r="B320" s="377"/>
      <c r="C320" s="572"/>
      <c r="D320" s="377"/>
      <c r="E320" s="377"/>
      <c r="F320" s="377"/>
      <c r="G320" s="377"/>
      <c r="H320" s="573"/>
      <c r="I320" s="377"/>
      <c r="J320" s="377"/>
      <c r="K320" s="377"/>
      <c r="L320" s="377"/>
      <c r="M320" s="377"/>
      <c r="N320" s="377"/>
      <c r="O320" s="377"/>
      <c r="P320" s="377"/>
      <c r="Q320" s="377"/>
      <c r="R320" s="377"/>
      <c r="S320" s="377"/>
      <c r="T320" s="377"/>
      <c r="U320" s="377"/>
      <c r="V320" s="377"/>
      <c r="W320" s="377"/>
      <c r="X320" s="574"/>
      <c r="Y320" s="377"/>
      <c r="Z320" s="377"/>
      <c r="AA320" s="377"/>
      <c r="AB320" s="377"/>
      <c r="AC320" s="377"/>
      <c r="AD320" s="377"/>
      <c r="AE320" s="377"/>
      <c r="AF320" s="377"/>
      <c r="AG320" s="377"/>
      <c r="AH320" s="377"/>
      <c r="AI320" s="377"/>
      <c r="AJ320" s="377"/>
      <c r="AK320" s="377"/>
      <c r="AL320" s="574"/>
      <c r="AM320" s="377"/>
      <c r="AN320" s="377"/>
      <c r="AO320" s="377"/>
      <c r="AP320" s="377"/>
      <c r="AQ320" s="377"/>
      <c r="AR320" s="377"/>
      <c r="AS320" s="377"/>
      <c r="AT320" s="377"/>
      <c r="AU320" s="377"/>
      <c r="AV320" s="377"/>
      <c r="AW320" s="575"/>
      <c r="AX320" s="377"/>
      <c r="AY320" s="377"/>
      <c r="AZ320" s="377"/>
      <c r="BA320" s="377"/>
      <c r="BB320" s="377"/>
      <c r="BC320" s="377"/>
      <c r="BD320" s="377"/>
      <c r="BE320" s="377"/>
      <c r="BF320" s="377"/>
      <c r="BG320" s="377"/>
      <c r="BH320" s="377"/>
      <c r="BI320" s="377"/>
      <c r="BJ320" s="377"/>
      <c r="BK320" s="377"/>
      <c r="BL320" s="377"/>
      <c r="BM320" s="377"/>
      <c r="BN320" s="576"/>
      <c r="BO320" s="377"/>
      <c r="BP320" s="377"/>
      <c r="BQ320" s="377"/>
      <c r="BR320" s="377"/>
      <c r="BS320" s="377"/>
      <c r="BT320" s="377"/>
      <c r="BU320" s="377"/>
      <c r="BV320" s="377"/>
      <c r="BW320" s="377"/>
      <c r="BX320" s="377"/>
      <c r="BY320" s="377"/>
      <c r="BZ320" s="377"/>
      <c r="CA320" s="377"/>
      <c r="CB320" s="377"/>
      <c r="CC320" s="377"/>
      <c r="CD320" s="377"/>
      <c r="CE320" s="377"/>
      <c r="CF320" s="377"/>
      <c r="CG320" s="377"/>
      <c r="CH320" s="377"/>
      <c r="CI320" s="377"/>
    </row>
    <row r="321" spans="1:87" ht="15">
      <c r="A321" s="377"/>
      <c r="B321" s="377"/>
      <c r="C321" s="572"/>
      <c r="D321" s="377"/>
      <c r="E321" s="377"/>
      <c r="F321" s="377"/>
      <c r="G321" s="377"/>
      <c r="H321" s="573"/>
      <c r="I321" s="377"/>
      <c r="J321" s="377"/>
      <c r="K321" s="377"/>
      <c r="L321" s="377"/>
      <c r="M321" s="377"/>
      <c r="N321" s="377"/>
      <c r="O321" s="377"/>
      <c r="P321" s="377"/>
      <c r="Q321" s="377"/>
      <c r="R321" s="377"/>
      <c r="S321" s="377"/>
      <c r="T321" s="377"/>
      <c r="U321" s="377"/>
      <c r="V321" s="377"/>
      <c r="W321" s="377"/>
      <c r="X321" s="574"/>
      <c r="Y321" s="377"/>
      <c r="Z321" s="377"/>
      <c r="AA321" s="377"/>
      <c r="AB321" s="377"/>
      <c r="AC321" s="377"/>
      <c r="AD321" s="377"/>
      <c r="AE321" s="377"/>
      <c r="AF321" s="377"/>
      <c r="AG321" s="377"/>
      <c r="AH321" s="377"/>
      <c r="AI321" s="377"/>
      <c r="AJ321" s="377"/>
      <c r="AK321" s="377"/>
      <c r="AL321" s="574"/>
      <c r="AM321" s="377"/>
      <c r="AN321" s="377"/>
      <c r="AO321" s="377"/>
      <c r="AP321" s="377"/>
      <c r="AQ321" s="377"/>
      <c r="AR321" s="377"/>
      <c r="AS321" s="377"/>
      <c r="AT321" s="377"/>
      <c r="AU321" s="377"/>
      <c r="AV321" s="377"/>
      <c r="AW321" s="575"/>
      <c r="AX321" s="377"/>
      <c r="AY321" s="377"/>
      <c r="AZ321" s="377"/>
      <c r="BA321" s="377"/>
      <c r="BB321" s="377"/>
      <c r="BC321" s="377"/>
      <c r="BD321" s="377"/>
      <c r="BE321" s="377"/>
      <c r="BF321" s="377"/>
      <c r="BG321" s="377"/>
      <c r="BH321" s="377"/>
      <c r="BI321" s="377"/>
      <c r="BJ321" s="377"/>
      <c r="BK321" s="377"/>
      <c r="BL321" s="377"/>
      <c r="BM321" s="377"/>
      <c r="BN321" s="576"/>
      <c r="BO321" s="377"/>
      <c r="BP321" s="377"/>
      <c r="BQ321" s="377"/>
      <c r="BR321" s="377"/>
      <c r="BS321" s="377"/>
      <c r="BT321" s="377"/>
      <c r="BU321" s="377"/>
      <c r="BV321" s="377"/>
      <c r="BW321" s="377"/>
      <c r="BX321" s="377"/>
      <c r="BY321" s="377"/>
      <c r="BZ321" s="377"/>
      <c r="CA321" s="377"/>
      <c r="CB321" s="377"/>
      <c r="CC321" s="377"/>
      <c r="CD321" s="377"/>
      <c r="CE321" s="377"/>
      <c r="CF321" s="377"/>
      <c r="CG321" s="377"/>
      <c r="CH321" s="377"/>
      <c r="CI321" s="377"/>
    </row>
    <row r="322" spans="1:87" ht="15">
      <c r="A322" s="377"/>
      <c r="B322" s="377"/>
      <c r="C322" s="572"/>
      <c r="D322" s="377"/>
      <c r="E322" s="377"/>
      <c r="F322" s="377"/>
      <c r="G322" s="377"/>
      <c r="H322" s="573"/>
      <c r="I322" s="377"/>
      <c r="J322" s="377"/>
      <c r="K322" s="377"/>
      <c r="L322" s="377"/>
      <c r="M322" s="377"/>
      <c r="N322" s="377"/>
      <c r="O322" s="377"/>
      <c r="P322" s="377"/>
      <c r="Q322" s="377"/>
      <c r="R322" s="377"/>
      <c r="S322" s="377"/>
      <c r="T322" s="377"/>
      <c r="U322" s="377"/>
      <c r="V322" s="377"/>
      <c r="W322" s="377"/>
      <c r="X322" s="574"/>
      <c r="Y322" s="377"/>
      <c r="Z322" s="377"/>
      <c r="AA322" s="377"/>
      <c r="AB322" s="377"/>
      <c r="AC322" s="377"/>
      <c r="AD322" s="377"/>
      <c r="AE322" s="377"/>
      <c r="AF322" s="377"/>
      <c r="AG322" s="377"/>
      <c r="AH322" s="377"/>
      <c r="AI322" s="377"/>
      <c r="AJ322" s="377"/>
      <c r="AK322" s="377"/>
      <c r="AL322" s="574"/>
      <c r="AM322" s="377"/>
      <c r="AN322" s="377"/>
      <c r="AO322" s="377"/>
      <c r="AP322" s="377"/>
      <c r="AQ322" s="377"/>
      <c r="AR322" s="377"/>
      <c r="AS322" s="377"/>
      <c r="AT322" s="377"/>
      <c r="AU322" s="377"/>
      <c r="AV322" s="377"/>
      <c r="AW322" s="575"/>
      <c r="AX322" s="377"/>
      <c r="AY322" s="377"/>
      <c r="AZ322" s="377"/>
      <c r="BA322" s="377"/>
      <c r="BB322" s="377"/>
      <c r="BC322" s="377"/>
      <c r="BD322" s="377"/>
      <c r="BE322" s="377"/>
      <c r="BF322" s="377"/>
      <c r="BG322" s="377"/>
      <c r="BH322" s="377"/>
      <c r="BI322" s="377"/>
      <c r="BJ322" s="377"/>
      <c r="BK322" s="377"/>
      <c r="BL322" s="377"/>
      <c r="BM322" s="377"/>
      <c r="BN322" s="576"/>
      <c r="BO322" s="377"/>
      <c r="BP322" s="377"/>
      <c r="BQ322" s="377"/>
      <c r="BR322" s="377"/>
      <c r="BS322" s="377"/>
      <c r="BT322" s="377"/>
      <c r="BU322" s="377"/>
      <c r="BV322" s="377"/>
      <c r="BW322" s="377"/>
      <c r="BX322" s="377"/>
      <c r="BY322" s="377"/>
      <c r="BZ322" s="377"/>
      <c r="CA322" s="377"/>
      <c r="CB322" s="377"/>
      <c r="CC322" s="377"/>
      <c r="CD322" s="377"/>
      <c r="CE322" s="377"/>
      <c r="CF322" s="377"/>
      <c r="CG322" s="377"/>
      <c r="CH322" s="377"/>
      <c r="CI322" s="377"/>
    </row>
    <row r="323" spans="1:87" ht="15">
      <c r="A323" s="377"/>
      <c r="B323" s="377"/>
      <c r="C323" s="572"/>
      <c r="D323" s="377"/>
      <c r="E323" s="377"/>
      <c r="F323" s="377"/>
      <c r="G323" s="377"/>
      <c r="H323" s="573"/>
      <c r="I323" s="377"/>
      <c r="J323" s="377"/>
      <c r="K323" s="377"/>
      <c r="L323" s="377"/>
      <c r="M323" s="377"/>
      <c r="N323" s="377"/>
      <c r="O323" s="377"/>
      <c r="P323" s="377"/>
      <c r="Q323" s="377"/>
      <c r="R323" s="377"/>
      <c r="S323" s="377"/>
      <c r="T323" s="377"/>
      <c r="U323" s="377"/>
      <c r="V323" s="377"/>
      <c r="W323" s="377"/>
      <c r="X323" s="574"/>
      <c r="Y323" s="377"/>
      <c r="Z323" s="377"/>
      <c r="AA323" s="377"/>
      <c r="AB323" s="377"/>
      <c r="AC323" s="377"/>
      <c r="AD323" s="377"/>
      <c r="AE323" s="377"/>
      <c r="AF323" s="377"/>
      <c r="AG323" s="377"/>
      <c r="AH323" s="377"/>
      <c r="AI323" s="377"/>
      <c r="AJ323" s="377"/>
      <c r="AK323" s="377"/>
      <c r="AL323" s="574"/>
      <c r="AM323" s="377"/>
      <c r="AN323" s="377"/>
      <c r="AO323" s="377"/>
      <c r="AP323" s="377"/>
      <c r="AQ323" s="377"/>
      <c r="AR323" s="377"/>
      <c r="AS323" s="377"/>
      <c r="AT323" s="377"/>
      <c r="AU323" s="377"/>
      <c r="AV323" s="377"/>
      <c r="AW323" s="575"/>
      <c r="AX323" s="377"/>
      <c r="AY323" s="377"/>
      <c r="AZ323" s="377"/>
      <c r="BA323" s="377"/>
      <c r="BB323" s="377"/>
      <c r="BC323" s="377"/>
      <c r="BD323" s="377"/>
      <c r="BE323" s="377"/>
      <c r="BF323" s="377"/>
      <c r="BG323" s="377"/>
      <c r="BH323" s="377"/>
      <c r="BI323" s="377"/>
      <c r="BJ323" s="377"/>
      <c r="BK323" s="377"/>
      <c r="BL323" s="377"/>
      <c r="BM323" s="377"/>
      <c r="BN323" s="576"/>
      <c r="BO323" s="377"/>
      <c r="BP323" s="377"/>
      <c r="BQ323" s="377"/>
      <c r="BR323" s="377"/>
      <c r="BS323" s="377"/>
      <c r="BT323" s="377"/>
      <c r="BU323" s="377"/>
      <c r="BV323" s="377"/>
      <c r="BW323" s="377"/>
      <c r="BX323" s="377"/>
      <c r="BY323" s="377"/>
      <c r="BZ323" s="377"/>
      <c r="CA323" s="377"/>
      <c r="CB323" s="377"/>
      <c r="CC323" s="377"/>
      <c r="CD323" s="377"/>
      <c r="CE323" s="377"/>
      <c r="CF323" s="377"/>
      <c r="CG323" s="377"/>
      <c r="CH323" s="377"/>
      <c r="CI323" s="377"/>
    </row>
    <row r="324" spans="1:87" ht="15">
      <c r="A324" s="377"/>
      <c r="B324" s="377"/>
      <c r="C324" s="572"/>
      <c r="D324" s="377"/>
      <c r="E324" s="377"/>
      <c r="F324" s="377"/>
      <c r="G324" s="377"/>
      <c r="H324" s="573"/>
      <c r="I324" s="377"/>
      <c r="J324" s="377"/>
      <c r="K324" s="377"/>
      <c r="L324" s="377"/>
      <c r="M324" s="377"/>
      <c r="N324" s="377"/>
      <c r="O324" s="377"/>
      <c r="P324" s="377"/>
      <c r="Q324" s="377"/>
      <c r="R324" s="377"/>
      <c r="S324" s="377"/>
      <c r="T324" s="377"/>
      <c r="U324" s="377"/>
      <c r="V324" s="377"/>
      <c r="W324" s="377"/>
      <c r="X324" s="574"/>
      <c r="Y324" s="377"/>
      <c r="Z324" s="377"/>
      <c r="AA324" s="377"/>
      <c r="AB324" s="377"/>
      <c r="AC324" s="377"/>
      <c r="AD324" s="377"/>
      <c r="AE324" s="377"/>
      <c r="AF324" s="377"/>
      <c r="AG324" s="377"/>
      <c r="AH324" s="377"/>
      <c r="AI324" s="377"/>
      <c r="AJ324" s="377"/>
      <c r="AK324" s="377"/>
      <c r="AL324" s="574"/>
      <c r="AM324" s="377"/>
      <c r="AN324" s="377"/>
      <c r="AO324" s="377"/>
      <c r="AP324" s="377"/>
      <c r="AQ324" s="377"/>
      <c r="AR324" s="377"/>
      <c r="AS324" s="377"/>
      <c r="AT324" s="377"/>
      <c r="AU324" s="377"/>
      <c r="AV324" s="377"/>
      <c r="AW324" s="575"/>
      <c r="AX324" s="377"/>
      <c r="AY324" s="377"/>
      <c r="AZ324" s="377"/>
      <c r="BA324" s="377"/>
      <c r="BB324" s="377"/>
      <c r="BC324" s="377"/>
      <c r="BD324" s="377"/>
      <c r="BE324" s="377"/>
      <c r="BF324" s="377"/>
      <c r="BG324" s="377"/>
      <c r="BH324" s="377"/>
      <c r="BI324" s="377"/>
      <c r="BJ324" s="377"/>
      <c r="BK324" s="377"/>
      <c r="BL324" s="377"/>
      <c r="BM324" s="377"/>
      <c r="BN324" s="576"/>
      <c r="BO324" s="377"/>
      <c r="BP324" s="377"/>
      <c r="BQ324" s="377"/>
      <c r="BR324" s="377"/>
      <c r="BS324" s="377"/>
      <c r="BT324" s="377"/>
      <c r="BU324" s="377"/>
      <c r="BV324" s="377"/>
      <c r="BW324" s="377"/>
      <c r="BX324" s="377"/>
      <c r="BY324" s="377"/>
      <c r="BZ324" s="377"/>
      <c r="CA324" s="377"/>
      <c r="CB324" s="377"/>
      <c r="CC324" s="377"/>
      <c r="CD324" s="377"/>
      <c r="CE324" s="377"/>
      <c r="CF324" s="377"/>
      <c r="CG324" s="377"/>
      <c r="CH324" s="377"/>
      <c r="CI324" s="377"/>
    </row>
    <row r="325" spans="1:87" ht="15">
      <c r="A325" s="377"/>
      <c r="B325" s="377"/>
      <c r="C325" s="572"/>
      <c r="D325" s="377"/>
      <c r="E325" s="377"/>
      <c r="F325" s="377"/>
      <c r="G325" s="377"/>
      <c r="H325" s="573"/>
      <c r="I325" s="377"/>
      <c r="J325" s="377"/>
      <c r="K325" s="377"/>
      <c r="L325" s="377"/>
      <c r="M325" s="377"/>
      <c r="N325" s="377"/>
      <c r="O325" s="377"/>
      <c r="P325" s="377"/>
      <c r="Q325" s="377"/>
      <c r="R325" s="377"/>
      <c r="S325" s="377"/>
      <c r="T325" s="377"/>
      <c r="U325" s="377"/>
      <c r="V325" s="377"/>
      <c r="W325" s="377"/>
      <c r="X325" s="574"/>
      <c r="Y325" s="377"/>
      <c r="Z325" s="377"/>
      <c r="AA325" s="377"/>
      <c r="AB325" s="377"/>
      <c r="AC325" s="377"/>
      <c r="AD325" s="377"/>
      <c r="AE325" s="377"/>
      <c r="AF325" s="377"/>
      <c r="AG325" s="377"/>
      <c r="AH325" s="377"/>
      <c r="AI325" s="377"/>
      <c r="AJ325" s="377"/>
      <c r="AK325" s="377"/>
      <c r="AL325" s="574"/>
      <c r="AM325" s="377"/>
      <c r="AN325" s="377"/>
      <c r="AO325" s="377"/>
      <c r="AP325" s="377"/>
      <c r="AQ325" s="377"/>
      <c r="AR325" s="377"/>
      <c r="AS325" s="377"/>
      <c r="AT325" s="377"/>
      <c r="AU325" s="377"/>
      <c r="AV325" s="377"/>
      <c r="AW325" s="575"/>
      <c r="AX325" s="377"/>
      <c r="AY325" s="377"/>
      <c r="AZ325" s="377"/>
      <c r="BA325" s="377"/>
      <c r="BB325" s="377"/>
      <c r="BC325" s="377"/>
      <c r="BD325" s="377"/>
      <c r="BE325" s="377"/>
      <c r="BF325" s="377"/>
      <c r="BG325" s="377"/>
      <c r="BH325" s="377"/>
      <c r="BI325" s="377"/>
      <c r="BJ325" s="377"/>
      <c r="BK325" s="377"/>
      <c r="BL325" s="377"/>
      <c r="BM325" s="377"/>
      <c r="BN325" s="576"/>
      <c r="BO325" s="377"/>
      <c r="BP325" s="377"/>
      <c r="BQ325" s="377"/>
      <c r="BR325" s="377"/>
      <c r="BS325" s="377"/>
      <c r="BT325" s="377"/>
      <c r="BU325" s="377"/>
      <c r="BV325" s="377"/>
      <c r="BW325" s="377"/>
      <c r="BX325" s="377"/>
      <c r="BY325" s="377"/>
      <c r="BZ325" s="377"/>
      <c r="CA325" s="377"/>
      <c r="CB325" s="377"/>
      <c r="CC325" s="377"/>
      <c r="CD325" s="377"/>
      <c r="CE325" s="377"/>
      <c r="CF325" s="377"/>
      <c r="CG325" s="377"/>
      <c r="CH325" s="377"/>
      <c r="CI325" s="377"/>
    </row>
    <row r="326" spans="1:87" ht="15">
      <c r="A326" s="377"/>
      <c r="B326" s="377"/>
      <c r="C326" s="572"/>
      <c r="D326" s="377"/>
      <c r="E326" s="377"/>
      <c r="F326" s="377"/>
      <c r="G326" s="377"/>
      <c r="H326" s="573"/>
      <c r="I326" s="377"/>
      <c r="J326" s="377"/>
      <c r="K326" s="377"/>
      <c r="L326" s="377"/>
      <c r="M326" s="377"/>
      <c r="N326" s="377"/>
      <c r="O326" s="377"/>
      <c r="P326" s="377"/>
      <c r="Q326" s="377"/>
      <c r="R326" s="377"/>
      <c r="S326" s="377"/>
      <c r="T326" s="377"/>
      <c r="U326" s="377"/>
      <c r="V326" s="377"/>
      <c r="W326" s="377"/>
      <c r="X326" s="574"/>
      <c r="Y326" s="377"/>
      <c r="Z326" s="377"/>
      <c r="AA326" s="377"/>
      <c r="AB326" s="377"/>
      <c r="AC326" s="377"/>
      <c r="AD326" s="377"/>
      <c r="AE326" s="377"/>
      <c r="AF326" s="377"/>
      <c r="AG326" s="377"/>
      <c r="AH326" s="377"/>
      <c r="AI326" s="377"/>
      <c r="AJ326" s="377"/>
      <c r="AK326" s="377"/>
      <c r="AL326" s="574"/>
      <c r="AM326" s="377"/>
      <c r="AN326" s="377"/>
      <c r="AO326" s="377"/>
      <c r="AP326" s="377"/>
      <c r="AQ326" s="377"/>
      <c r="AR326" s="377"/>
      <c r="AS326" s="377"/>
      <c r="AT326" s="377"/>
      <c r="AU326" s="377"/>
      <c r="AV326" s="377"/>
      <c r="AW326" s="575"/>
      <c r="AX326" s="377"/>
      <c r="AY326" s="377"/>
      <c r="AZ326" s="377"/>
      <c r="BA326" s="377"/>
      <c r="BB326" s="377"/>
      <c r="BC326" s="377"/>
      <c r="BD326" s="377"/>
      <c r="BE326" s="377"/>
      <c r="BF326" s="377"/>
      <c r="BG326" s="377"/>
      <c r="BH326" s="377"/>
      <c r="BI326" s="377"/>
      <c r="BJ326" s="377"/>
      <c r="BK326" s="377"/>
      <c r="BL326" s="377"/>
      <c r="BM326" s="377"/>
      <c r="BN326" s="576"/>
      <c r="BO326" s="377"/>
      <c r="BP326" s="377"/>
      <c r="BQ326" s="377"/>
      <c r="BR326" s="377"/>
      <c r="BS326" s="377"/>
      <c r="BT326" s="377"/>
      <c r="BU326" s="377"/>
      <c r="BV326" s="377"/>
      <c r="BW326" s="377"/>
      <c r="BX326" s="377"/>
      <c r="BY326" s="377"/>
      <c r="BZ326" s="377"/>
      <c r="CA326" s="377"/>
      <c r="CB326" s="377"/>
      <c r="CC326" s="377"/>
      <c r="CD326" s="377"/>
      <c r="CE326" s="377"/>
      <c r="CF326" s="377"/>
      <c r="CG326" s="377"/>
      <c r="CH326" s="377"/>
      <c r="CI326" s="377"/>
    </row>
    <row r="327" spans="1:87" ht="15">
      <c r="A327" s="377"/>
      <c r="B327" s="377"/>
      <c r="C327" s="572"/>
      <c r="D327" s="377"/>
      <c r="E327" s="377"/>
      <c r="F327" s="377"/>
      <c r="G327" s="377"/>
      <c r="H327" s="573"/>
      <c r="I327" s="377"/>
      <c r="J327" s="377"/>
      <c r="K327" s="377"/>
      <c r="L327" s="377"/>
      <c r="M327" s="377"/>
      <c r="N327" s="377"/>
      <c r="O327" s="377"/>
      <c r="P327" s="377"/>
      <c r="Q327" s="377"/>
      <c r="R327" s="377"/>
      <c r="S327" s="377"/>
      <c r="T327" s="377"/>
      <c r="U327" s="377"/>
      <c r="V327" s="377"/>
      <c r="W327" s="377"/>
      <c r="X327" s="574"/>
      <c r="Y327" s="377"/>
      <c r="Z327" s="377"/>
      <c r="AA327" s="377"/>
      <c r="AB327" s="377"/>
      <c r="AC327" s="377"/>
      <c r="AD327" s="377"/>
      <c r="AE327" s="377"/>
      <c r="AF327" s="377"/>
      <c r="AG327" s="377"/>
      <c r="AH327" s="377"/>
      <c r="AI327" s="377"/>
      <c r="AJ327" s="377"/>
      <c r="AK327" s="377"/>
      <c r="AL327" s="574"/>
      <c r="AM327" s="377"/>
      <c r="AN327" s="377"/>
      <c r="AO327" s="377"/>
      <c r="AP327" s="377"/>
      <c r="AQ327" s="377"/>
      <c r="AR327" s="377"/>
      <c r="AS327" s="377"/>
      <c r="AT327" s="377"/>
      <c r="AU327" s="377"/>
      <c r="AV327" s="377"/>
      <c r="AW327" s="575"/>
      <c r="AX327" s="377"/>
      <c r="AY327" s="377"/>
      <c r="AZ327" s="377"/>
      <c r="BA327" s="377"/>
      <c r="BB327" s="377"/>
      <c r="BC327" s="377"/>
      <c r="BD327" s="377"/>
      <c r="BE327" s="377"/>
      <c r="BF327" s="377"/>
      <c r="BG327" s="377"/>
      <c r="BH327" s="377"/>
      <c r="BI327" s="377"/>
      <c r="BJ327" s="377"/>
      <c r="BK327" s="377"/>
      <c r="BL327" s="377"/>
      <c r="BM327" s="377"/>
      <c r="BN327" s="576"/>
      <c r="BO327" s="377"/>
      <c r="BP327" s="377"/>
      <c r="BQ327" s="377"/>
      <c r="BR327" s="377"/>
      <c r="BS327" s="377"/>
      <c r="BT327" s="377"/>
      <c r="BU327" s="377"/>
      <c r="BV327" s="377"/>
      <c r="BW327" s="377"/>
      <c r="BX327" s="377"/>
      <c r="BY327" s="377"/>
      <c r="BZ327" s="377"/>
      <c r="CA327" s="377"/>
      <c r="CB327" s="377"/>
      <c r="CC327" s="377"/>
      <c r="CD327" s="377"/>
      <c r="CE327" s="377"/>
      <c r="CF327" s="377"/>
      <c r="CG327" s="377"/>
      <c r="CH327" s="377"/>
      <c r="CI327" s="377"/>
    </row>
    <row r="328" spans="1:87" ht="15">
      <c r="A328" s="377"/>
      <c r="B328" s="377"/>
      <c r="C328" s="572"/>
      <c r="D328" s="377"/>
      <c r="E328" s="377"/>
      <c r="F328" s="377"/>
      <c r="G328" s="377"/>
      <c r="H328" s="573"/>
      <c r="I328" s="377"/>
      <c r="J328" s="377"/>
      <c r="K328" s="377"/>
      <c r="L328" s="377"/>
      <c r="M328" s="377"/>
      <c r="N328" s="377"/>
      <c r="O328" s="377"/>
      <c r="P328" s="377"/>
      <c r="Q328" s="377"/>
      <c r="R328" s="377"/>
      <c r="S328" s="377"/>
      <c r="T328" s="377"/>
      <c r="U328" s="377"/>
      <c r="V328" s="377"/>
      <c r="W328" s="377"/>
      <c r="X328" s="574"/>
      <c r="Y328" s="377"/>
      <c r="Z328" s="377"/>
      <c r="AA328" s="377"/>
      <c r="AB328" s="377"/>
      <c r="AC328" s="377"/>
      <c r="AD328" s="377"/>
      <c r="AE328" s="377"/>
      <c r="AF328" s="377"/>
      <c r="AG328" s="377"/>
      <c r="AH328" s="377"/>
      <c r="AI328" s="377"/>
      <c r="AJ328" s="377"/>
      <c r="AK328" s="377"/>
      <c r="AL328" s="574"/>
      <c r="AM328" s="377"/>
      <c r="AN328" s="377"/>
      <c r="AO328" s="377"/>
      <c r="AP328" s="377"/>
      <c r="AQ328" s="377"/>
      <c r="AR328" s="377"/>
      <c r="AS328" s="377"/>
      <c r="AT328" s="377"/>
      <c r="AU328" s="377"/>
      <c r="AV328" s="377"/>
      <c r="AW328" s="575"/>
      <c r="AX328" s="377"/>
      <c r="AY328" s="377"/>
      <c r="AZ328" s="377"/>
      <c r="BA328" s="377"/>
      <c r="BB328" s="377"/>
      <c r="BC328" s="377"/>
      <c r="BD328" s="377"/>
      <c r="BE328" s="377"/>
      <c r="BF328" s="377"/>
      <c r="BG328" s="377"/>
      <c r="BH328" s="377"/>
      <c r="BI328" s="377"/>
      <c r="BJ328" s="377"/>
      <c r="BK328" s="377"/>
      <c r="BL328" s="377"/>
      <c r="BM328" s="377"/>
      <c r="BN328" s="576"/>
      <c r="BO328" s="377"/>
      <c r="BP328" s="377"/>
      <c r="BQ328" s="377"/>
      <c r="BR328" s="377"/>
      <c r="BS328" s="377"/>
      <c r="BT328" s="377"/>
      <c r="BU328" s="377"/>
      <c r="BV328" s="377"/>
      <c r="BW328" s="377"/>
      <c r="BX328" s="377"/>
      <c r="BY328" s="377"/>
      <c r="BZ328" s="377"/>
      <c r="CA328" s="377"/>
      <c r="CB328" s="377"/>
      <c r="CC328" s="377"/>
      <c r="CD328" s="377"/>
      <c r="CE328" s="377"/>
      <c r="CF328" s="377"/>
      <c r="CG328" s="377"/>
      <c r="CH328" s="377"/>
      <c r="CI328" s="377"/>
    </row>
    <row r="329" spans="1:87" ht="15">
      <c r="A329" s="377"/>
      <c r="B329" s="377"/>
      <c r="C329" s="572"/>
      <c r="D329" s="377"/>
      <c r="E329" s="377"/>
      <c r="F329" s="377"/>
      <c r="G329" s="377"/>
      <c r="H329" s="573"/>
      <c r="I329" s="377"/>
      <c r="J329" s="377"/>
      <c r="K329" s="377"/>
      <c r="L329" s="377"/>
      <c r="M329" s="377"/>
      <c r="N329" s="377"/>
      <c r="O329" s="377"/>
      <c r="P329" s="377"/>
      <c r="Q329" s="377"/>
      <c r="R329" s="377"/>
      <c r="S329" s="377"/>
      <c r="T329" s="377"/>
      <c r="U329" s="377"/>
      <c r="V329" s="377"/>
      <c r="W329" s="377"/>
      <c r="X329" s="574"/>
      <c r="Y329" s="377"/>
      <c r="Z329" s="377"/>
      <c r="AA329" s="377"/>
      <c r="AB329" s="377"/>
      <c r="AC329" s="377"/>
      <c r="AD329" s="377"/>
      <c r="AE329" s="377"/>
      <c r="AF329" s="377"/>
      <c r="AG329" s="377"/>
      <c r="AH329" s="377"/>
      <c r="AI329" s="377"/>
      <c r="AJ329" s="377"/>
      <c r="AK329" s="377"/>
      <c r="AL329" s="574"/>
      <c r="AM329" s="377"/>
      <c r="AN329" s="377"/>
      <c r="AO329" s="377"/>
      <c r="AP329" s="377"/>
      <c r="AQ329" s="377"/>
      <c r="AR329" s="377"/>
      <c r="AS329" s="377"/>
      <c r="AT329" s="377"/>
      <c r="AU329" s="377"/>
      <c r="AV329" s="377"/>
      <c r="AW329" s="575"/>
      <c r="AX329" s="377"/>
      <c r="AY329" s="377"/>
      <c r="AZ329" s="377"/>
      <c r="BA329" s="377"/>
      <c r="BB329" s="377"/>
      <c r="BC329" s="377"/>
      <c r="BD329" s="377"/>
      <c r="BE329" s="377"/>
      <c r="BF329" s="377"/>
      <c r="BG329" s="377"/>
      <c r="BH329" s="377"/>
      <c r="BI329" s="377"/>
      <c r="BJ329" s="377"/>
      <c r="BK329" s="377"/>
      <c r="BL329" s="377"/>
      <c r="BM329" s="377"/>
      <c r="BN329" s="576"/>
      <c r="BO329" s="377"/>
      <c r="BP329" s="377"/>
      <c r="BQ329" s="377"/>
      <c r="BR329" s="377"/>
      <c r="BS329" s="377"/>
      <c r="BT329" s="377"/>
      <c r="BU329" s="377"/>
      <c r="BV329" s="377"/>
      <c r="BW329" s="377"/>
      <c r="BX329" s="377"/>
      <c r="BY329" s="377"/>
      <c r="BZ329" s="377"/>
      <c r="CA329" s="377"/>
      <c r="CB329" s="377"/>
      <c r="CC329" s="377"/>
      <c r="CD329" s="377"/>
      <c r="CE329" s="377"/>
      <c r="CF329" s="377"/>
      <c r="CG329" s="377"/>
      <c r="CH329" s="377"/>
      <c r="CI329" s="377"/>
    </row>
    <row r="330" spans="1:87" ht="15">
      <c r="A330" s="377"/>
      <c r="B330" s="377"/>
      <c r="C330" s="572"/>
      <c r="D330" s="377"/>
      <c r="E330" s="377"/>
      <c r="F330" s="377"/>
      <c r="G330" s="377"/>
      <c r="H330" s="573"/>
      <c r="I330" s="377"/>
      <c r="J330" s="377"/>
      <c r="K330" s="377"/>
      <c r="L330" s="377"/>
      <c r="M330" s="377"/>
      <c r="N330" s="377"/>
      <c r="O330" s="377"/>
      <c r="P330" s="377"/>
      <c r="Q330" s="377"/>
      <c r="R330" s="377"/>
      <c r="S330" s="377"/>
      <c r="T330" s="377"/>
      <c r="U330" s="377"/>
      <c r="V330" s="377"/>
      <c r="W330" s="377"/>
      <c r="X330" s="574"/>
      <c r="Y330" s="377"/>
      <c r="Z330" s="377"/>
      <c r="AA330" s="377"/>
      <c r="AB330" s="377"/>
      <c r="AC330" s="377"/>
      <c r="AD330" s="377"/>
      <c r="AE330" s="377"/>
      <c r="AF330" s="377"/>
      <c r="AG330" s="377"/>
      <c r="AH330" s="377"/>
      <c r="AI330" s="377"/>
      <c r="AJ330" s="377"/>
      <c r="AK330" s="377"/>
      <c r="AL330" s="574"/>
      <c r="AM330" s="377"/>
      <c r="AN330" s="377"/>
      <c r="AO330" s="377"/>
      <c r="AP330" s="377"/>
      <c r="AQ330" s="377"/>
      <c r="AR330" s="377"/>
      <c r="AS330" s="377"/>
      <c r="AT330" s="377"/>
      <c r="AU330" s="377"/>
      <c r="AV330" s="377"/>
      <c r="AW330" s="575"/>
      <c r="AX330" s="377"/>
      <c r="AY330" s="377"/>
      <c r="AZ330" s="377"/>
      <c r="BA330" s="377"/>
      <c r="BB330" s="377"/>
      <c r="BC330" s="377"/>
      <c r="BD330" s="377"/>
      <c r="BE330" s="377"/>
      <c r="BF330" s="377"/>
      <c r="BG330" s="377"/>
      <c r="BH330" s="377"/>
      <c r="BI330" s="377"/>
      <c r="BJ330" s="377"/>
      <c r="BK330" s="377"/>
      <c r="BL330" s="377"/>
      <c r="BM330" s="377"/>
      <c r="BN330" s="576"/>
      <c r="BO330" s="377"/>
      <c r="BP330" s="377"/>
      <c r="BQ330" s="377"/>
      <c r="BR330" s="377"/>
      <c r="BS330" s="377"/>
      <c r="BT330" s="377"/>
      <c r="BU330" s="377"/>
      <c r="BV330" s="377"/>
      <c r="BW330" s="377"/>
      <c r="BX330" s="377"/>
      <c r="BY330" s="377"/>
      <c r="BZ330" s="377"/>
      <c r="CA330" s="377"/>
      <c r="CB330" s="377"/>
      <c r="CC330" s="377"/>
      <c r="CD330" s="377"/>
      <c r="CE330" s="377"/>
      <c r="CF330" s="377"/>
      <c r="CG330" s="377"/>
      <c r="CH330" s="377"/>
      <c r="CI330" s="377"/>
    </row>
    <row r="331" spans="1:87" ht="15">
      <c r="A331" s="377"/>
      <c r="B331" s="377"/>
      <c r="C331" s="572"/>
      <c r="D331" s="377"/>
      <c r="E331" s="377"/>
      <c r="F331" s="377"/>
      <c r="G331" s="377"/>
      <c r="H331" s="573"/>
      <c r="I331" s="377"/>
      <c r="J331" s="377"/>
      <c r="K331" s="377"/>
      <c r="L331" s="377"/>
      <c r="M331" s="377"/>
      <c r="N331" s="377"/>
      <c r="O331" s="377"/>
      <c r="P331" s="377"/>
      <c r="Q331" s="377"/>
      <c r="R331" s="377"/>
      <c r="S331" s="377"/>
      <c r="T331" s="377"/>
      <c r="U331" s="377"/>
      <c r="V331" s="377"/>
      <c r="W331" s="377"/>
      <c r="X331" s="574"/>
      <c r="Y331" s="377"/>
      <c r="Z331" s="377"/>
      <c r="AA331" s="377"/>
      <c r="AB331" s="377"/>
      <c r="AC331" s="377"/>
      <c r="AD331" s="377"/>
      <c r="AE331" s="377"/>
      <c r="AF331" s="377"/>
      <c r="AG331" s="377"/>
      <c r="AH331" s="377"/>
      <c r="AI331" s="377"/>
      <c r="AJ331" s="377"/>
      <c r="AK331" s="377"/>
      <c r="AL331" s="574"/>
      <c r="AM331" s="377"/>
      <c r="AN331" s="377"/>
      <c r="AO331" s="377"/>
      <c r="AP331" s="377"/>
      <c r="AQ331" s="377"/>
      <c r="AR331" s="377"/>
      <c r="AS331" s="377"/>
      <c r="AT331" s="377"/>
      <c r="AU331" s="377"/>
      <c r="AV331" s="377"/>
      <c r="AW331" s="575"/>
      <c r="AX331" s="377"/>
      <c r="AY331" s="377"/>
      <c r="AZ331" s="377"/>
      <c r="BA331" s="377"/>
      <c r="BB331" s="377"/>
      <c r="BC331" s="377"/>
      <c r="BD331" s="377"/>
      <c r="BE331" s="377"/>
      <c r="BF331" s="377"/>
      <c r="BG331" s="377"/>
      <c r="BH331" s="377"/>
      <c r="BI331" s="377"/>
      <c r="BJ331" s="377"/>
      <c r="BK331" s="377"/>
      <c r="BL331" s="377"/>
      <c r="BM331" s="377"/>
      <c r="BN331" s="576"/>
      <c r="BO331" s="377"/>
      <c r="BP331" s="377"/>
      <c r="BQ331" s="377"/>
      <c r="BR331" s="377"/>
      <c r="BS331" s="377"/>
      <c r="BT331" s="377"/>
      <c r="BU331" s="377"/>
      <c r="BV331" s="377"/>
      <c r="BW331" s="377"/>
      <c r="BX331" s="377"/>
      <c r="BY331" s="377"/>
      <c r="BZ331" s="377"/>
      <c r="CA331" s="377"/>
      <c r="CB331" s="377"/>
      <c r="CC331" s="377"/>
      <c r="CD331" s="377"/>
      <c r="CE331" s="377"/>
      <c r="CF331" s="377"/>
      <c r="CG331" s="377"/>
      <c r="CH331" s="377"/>
      <c r="CI331" s="377"/>
    </row>
    <row r="332" spans="1:87" ht="15">
      <c r="A332" s="377"/>
      <c r="B332" s="377"/>
      <c r="C332" s="572"/>
      <c r="D332" s="377"/>
      <c r="E332" s="377"/>
      <c r="F332" s="377"/>
      <c r="G332" s="377"/>
      <c r="H332" s="573"/>
      <c r="I332" s="377"/>
      <c r="J332" s="377"/>
      <c r="K332" s="377"/>
      <c r="L332" s="377"/>
      <c r="M332" s="377"/>
      <c r="N332" s="377"/>
      <c r="O332" s="377"/>
      <c r="P332" s="377"/>
      <c r="Q332" s="377"/>
      <c r="R332" s="377"/>
      <c r="S332" s="377"/>
      <c r="T332" s="377"/>
      <c r="U332" s="377"/>
      <c r="V332" s="377"/>
      <c r="W332" s="377"/>
      <c r="X332" s="574"/>
      <c r="Y332" s="377"/>
      <c r="Z332" s="377"/>
      <c r="AA332" s="377"/>
      <c r="AB332" s="377"/>
      <c r="AC332" s="377"/>
      <c r="AD332" s="377"/>
      <c r="AE332" s="377"/>
      <c r="AF332" s="377"/>
      <c r="AG332" s="377"/>
      <c r="AH332" s="377"/>
      <c r="AI332" s="377"/>
      <c r="AJ332" s="377"/>
      <c r="AK332" s="377"/>
      <c r="AL332" s="574"/>
      <c r="AM332" s="377"/>
      <c r="AN332" s="377"/>
      <c r="AO332" s="377"/>
      <c r="AP332" s="377"/>
      <c r="AQ332" s="377"/>
      <c r="AR332" s="377"/>
      <c r="AS332" s="377"/>
      <c r="AT332" s="377"/>
      <c r="AU332" s="377"/>
      <c r="AV332" s="377"/>
      <c r="AW332" s="575"/>
      <c r="AX332" s="377"/>
      <c r="AY332" s="377"/>
      <c r="AZ332" s="377"/>
      <c r="BA332" s="377"/>
      <c r="BB332" s="377"/>
      <c r="BC332" s="377"/>
      <c r="BD332" s="377"/>
      <c r="BE332" s="377"/>
      <c r="BF332" s="377"/>
      <c r="BG332" s="377"/>
      <c r="BH332" s="377"/>
      <c r="BI332" s="377"/>
      <c r="BJ332" s="377"/>
      <c r="BK332" s="377"/>
      <c r="BL332" s="377"/>
      <c r="BM332" s="377"/>
      <c r="BN332" s="576"/>
      <c r="BO332" s="377"/>
      <c r="BP332" s="377"/>
      <c r="BQ332" s="377"/>
      <c r="BR332" s="377"/>
      <c r="BS332" s="377"/>
      <c r="BT332" s="377"/>
      <c r="BU332" s="377"/>
      <c r="BV332" s="377"/>
      <c r="BW332" s="377"/>
      <c r="BX332" s="377"/>
      <c r="BY332" s="377"/>
      <c r="BZ332" s="377"/>
      <c r="CA332" s="377"/>
      <c r="CB332" s="377"/>
      <c r="CC332" s="377"/>
      <c r="CD332" s="377"/>
      <c r="CE332" s="377"/>
      <c r="CF332" s="377"/>
      <c r="CG332" s="377"/>
      <c r="CH332" s="377"/>
      <c r="CI332" s="377"/>
    </row>
    <row r="333" spans="1:87" ht="15">
      <c r="A333" s="377"/>
      <c r="B333" s="377"/>
      <c r="C333" s="572"/>
      <c r="D333" s="377"/>
      <c r="E333" s="377"/>
      <c r="F333" s="377"/>
      <c r="G333" s="377"/>
      <c r="H333" s="573"/>
      <c r="I333" s="377"/>
      <c r="J333" s="377"/>
      <c r="K333" s="377"/>
      <c r="L333" s="377"/>
      <c r="M333" s="377"/>
      <c r="N333" s="377"/>
      <c r="O333" s="377"/>
      <c r="P333" s="377"/>
      <c r="Q333" s="377"/>
      <c r="R333" s="377"/>
      <c r="S333" s="377"/>
      <c r="T333" s="377"/>
      <c r="U333" s="377"/>
      <c r="V333" s="377"/>
      <c r="W333" s="377"/>
      <c r="X333" s="574"/>
      <c r="Y333" s="377"/>
      <c r="Z333" s="377"/>
      <c r="AA333" s="377"/>
      <c r="AB333" s="377"/>
      <c r="AC333" s="377"/>
      <c r="AD333" s="377"/>
      <c r="AE333" s="377"/>
      <c r="AF333" s="377"/>
      <c r="AG333" s="377"/>
      <c r="AH333" s="377"/>
      <c r="AI333" s="377"/>
      <c r="AJ333" s="377"/>
      <c r="AK333" s="377"/>
      <c r="AL333" s="574"/>
      <c r="AM333" s="377"/>
      <c r="AN333" s="377"/>
      <c r="AO333" s="377"/>
      <c r="AP333" s="377"/>
      <c r="AQ333" s="377"/>
      <c r="AR333" s="377"/>
      <c r="AS333" s="377"/>
      <c r="AT333" s="377"/>
      <c r="AU333" s="377"/>
      <c r="AV333" s="377"/>
      <c r="AW333" s="575"/>
      <c r="AX333" s="377"/>
      <c r="AY333" s="377"/>
      <c r="AZ333" s="377"/>
      <c r="BA333" s="377"/>
      <c r="BB333" s="377"/>
      <c r="BC333" s="377"/>
      <c r="BD333" s="377"/>
      <c r="BE333" s="377"/>
      <c r="BF333" s="377"/>
      <c r="BG333" s="377"/>
      <c r="BH333" s="377"/>
      <c r="BI333" s="377"/>
      <c r="BJ333" s="377"/>
      <c r="BK333" s="377"/>
      <c r="BL333" s="377"/>
      <c r="BM333" s="377"/>
      <c r="BN333" s="576"/>
      <c r="BO333" s="377"/>
      <c r="BP333" s="377"/>
      <c r="BQ333" s="377"/>
      <c r="BR333" s="377"/>
      <c r="BS333" s="377"/>
      <c r="BT333" s="377"/>
      <c r="BU333" s="377"/>
      <c r="BV333" s="377"/>
      <c r="BW333" s="377"/>
      <c r="BX333" s="377"/>
      <c r="BY333" s="377"/>
      <c r="BZ333" s="377"/>
      <c r="CA333" s="377"/>
      <c r="CB333" s="377"/>
      <c r="CC333" s="377"/>
      <c r="CD333" s="377"/>
      <c r="CE333" s="377"/>
      <c r="CF333" s="377"/>
      <c r="CG333" s="377"/>
      <c r="CH333" s="377"/>
      <c r="CI333" s="377"/>
    </row>
    <row r="334" spans="1:87" ht="15">
      <c r="A334" s="377"/>
      <c r="B334" s="377"/>
      <c r="C334" s="572"/>
      <c r="D334" s="377"/>
      <c r="E334" s="377"/>
      <c r="F334" s="377"/>
      <c r="G334" s="377"/>
      <c r="H334" s="573"/>
      <c r="I334" s="377"/>
      <c r="J334" s="377"/>
      <c r="K334" s="377"/>
      <c r="L334" s="377"/>
      <c r="M334" s="377"/>
      <c r="N334" s="377"/>
      <c r="O334" s="377"/>
      <c r="P334" s="377"/>
      <c r="Q334" s="377"/>
      <c r="R334" s="377"/>
      <c r="S334" s="377"/>
      <c r="T334" s="377"/>
      <c r="U334" s="377"/>
      <c r="V334" s="377"/>
      <c r="W334" s="377"/>
      <c r="X334" s="574"/>
      <c r="Y334" s="377"/>
      <c r="Z334" s="377"/>
      <c r="AA334" s="377"/>
      <c r="AB334" s="377"/>
      <c r="AC334" s="377"/>
      <c r="AD334" s="377"/>
      <c r="AE334" s="377"/>
      <c r="AF334" s="377"/>
      <c r="AG334" s="377"/>
      <c r="AH334" s="377"/>
      <c r="AI334" s="377"/>
      <c r="AJ334" s="377"/>
      <c r="AK334" s="377"/>
      <c r="AL334" s="574"/>
      <c r="AM334" s="377"/>
      <c r="AN334" s="377"/>
      <c r="AO334" s="377"/>
      <c r="AP334" s="377"/>
      <c r="AQ334" s="377"/>
      <c r="AR334" s="377"/>
      <c r="AS334" s="377"/>
      <c r="AT334" s="377"/>
      <c r="AU334" s="377"/>
      <c r="AV334" s="377"/>
      <c r="AW334" s="575"/>
      <c r="AX334" s="377"/>
      <c r="AY334" s="377"/>
      <c r="AZ334" s="377"/>
      <c r="BA334" s="377"/>
      <c r="BB334" s="377"/>
      <c r="BC334" s="377"/>
      <c r="BD334" s="377"/>
      <c r="BE334" s="377"/>
      <c r="BF334" s="377"/>
      <c r="BG334" s="377"/>
      <c r="BH334" s="377"/>
      <c r="BI334" s="377"/>
      <c r="BJ334" s="377"/>
      <c r="BK334" s="377"/>
      <c r="BL334" s="377"/>
      <c r="BM334" s="377"/>
      <c r="BN334" s="576"/>
      <c r="BO334" s="377"/>
      <c r="BP334" s="377"/>
      <c r="BQ334" s="377"/>
      <c r="BR334" s="377"/>
      <c r="BS334" s="377"/>
      <c r="BT334" s="377"/>
      <c r="BU334" s="377"/>
      <c r="BV334" s="377"/>
      <c r="BW334" s="377"/>
      <c r="BX334" s="377"/>
      <c r="BY334" s="377"/>
      <c r="BZ334" s="377"/>
      <c r="CA334" s="377"/>
      <c r="CB334" s="377"/>
      <c r="CC334" s="377"/>
      <c r="CD334" s="377"/>
      <c r="CE334" s="377"/>
      <c r="CF334" s="377"/>
      <c r="CG334" s="377"/>
      <c r="CH334" s="377"/>
      <c r="CI334" s="377"/>
    </row>
    <row r="335" spans="1:87" ht="15">
      <c r="A335" s="377"/>
      <c r="B335" s="377"/>
      <c r="C335" s="572"/>
      <c r="D335" s="377"/>
      <c r="E335" s="377"/>
      <c r="F335" s="377"/>
      <c r="G335" s="377"/>
      <c r="H335" s="573"/>
      <c r="I335" s="377"/>
      <c r="J335" s="377"/>
      <c r="K335" s="377"/>
      <c r="L335" s="377"/>
      <c r="M335" s="377"/>
      <c r="N335" s="377"/>
      <c r="O335" s="377"/>
      <c r="P335" s="377"/>
      <c r="Q335" s="377"/>
      <c r="R335" s="377"/>
      <c r="S335" s="377"/>
      <c r="T335" s="377"/>
      <c r="U335" s="377"/>
      <c r="V335" s="377"/>
      <c r="W335" s="377"/>
      <c r="X335" s="574"/>
      <c r="Y335" s="377"/>
      <c r="Z335" s="377"/>
      <c r="AA335" s="377"/>
      <c r="AB335" s="377"/>
      <c r="AC335" s="377"/>
      <c r="AD335" s="377"/>
      <c r="AE335" s="377"/>
      <c r="AF335" s="377"/>
      <c r="AG335" s="377"/>
      <c r="AH335" s="377"/>
      <c r="AI335" s="377"/>
      <c r="AJ335" s="377"/>
      <c r="AK335" s="377"/>
      <c r="AL335" s="574"/>
      <c r="AM335" s="377"/>
      <c r="AN335" s="377"/>
      <c r="AO335" s="377"/>
      <c r="AP335" s="377"/>
      <c r="AQ335" s="377"/>
      <c r="AR335" s="377"/>
      <c r="AS335" s="377"/>
      <c r="AT335" s="377"/>
      <c r="AU335" s="377"/>
      <c r="AV335" s="377"/>
      <c r="AW335" s="575"/>
      <c r="AX335" s="377"/>
      <c r="AY335" s="377"/>
      <c r="AZ335" s="377"/>
      <c r="BA335" s="377"/>
      <c r="BB335" s="377"/>
      <c r="BC335" s="377"/>
      <c r="BD335" s="377"/>
      <c r="BE335" s="377"/>
      <c r="BF335" s="377"/>
      <c r="BG335" s="377"/>
      <c r="BH335" s="377"/>
      <c r="BI335" s="377"/>
      <c r="BJ335" s="377"/>
      <c r="BK335" s="377"/>
      <c r="BL335" s="377"/>
      <c r="BM335" s="377"/>
      <c r="BN335" s="576"/>
      <c r="BO335" s="377"/>
      <c r="BP335" s="377"/>
      <c r="BQ335" s="377"/>
      <c r="BR335" s="377"/>
      <c r="BS335" s="377"/>
      <c r="BT335" s="377"/>
      <c r="BU335" s="377"/>
      <c r="BV335" s="377"/>
      <c r="BW335" s="377"/>
      <c r="BX335" s="377"/>
      <c r="BY335" s="377"/>
      <c r="BZ335" s="377"/>
      <c r="CA335" s="377"/>
      <c r="CB335" s="377"/>
      <c r="CC335" s="377"/>
      <c r="CD335" s="377"/>
      <c r="CE335" s="377"/>
      <c r="CF335" s="377"/>
      <c r="CG335" s="377"/>
      <c r="CH335" s="377"/>
      <c r="CI335" s="377"/>
    </row>
    <row r="336" spans="1:87" ht="15">
      <c r="A336" s="377"/>
      <c r="B336" s="377"/>
      <c r="C336" s="572"/>
      <c r="D336" s="377"/>
      <c r="E336" s="377"/>
      <c r="F336" s="377"/>
      <c r="G336" s="377"/>
      <c r="H336" s="573"/>
      <c r="I336" s="377"/>
      <c r="J336" s="377"/>
      <c r="K336" s="377"/>
      <c r="L336" s="377"/>
      <c r="M336" s="377"/>
      <c r="N336" s="377"/>
      <c r="O336" s="377"/>
      <c r="P336" s="377"/>
      <c r="Q336" s="377"/>
      <c r="R336" s="377"/>
      <c r="S336" s="377"/>
      <c r="T336" s="377"/>
      <c r="U336" s="377"/>
      <c r="V336" s="377"/>
      <c r="W336" s="377"/>
      <c r="X336" s="574"/>
      <c r="Y336" s="377"/>
      <c r="Z336" s="377"/>
      <c r="AA336" s="377"/>
      <c r="AB336" s="377"/>
      <c r="AC336" s="377"/>
      <c r="AD336" s="377"/>
      <c r="AE336" s="377"/>
      <c r="AF336" s="377"/>
      <c r="AG336" s="377"/>
      <c r="AH336" s="377"/>
      <c r="AI336" s="377"/>
      <c r="AJ336" s="377"/>
      <c r="AK336" s="377"/>
      <c r="AL336" s="574"/>
      <c r="AM336" s="377"/>
      <c r="AN336" s="377"/>
      <c r="AO336" s="377"/>
      <c r="AP336" s="377"/>
      <c r="AQ336" s="377"/>
      <c r="AR336" s="377"/>
      <c r="AS336" s="377"/>
      <c r="AT336" s="377"/>
      <c r="AU336" s="377"/>
      <c r="AV336" s="377"/>
      <c r="AW336" s="575"/>
      <c r="AX336" s="377"/>
      <c r="AY336" s="377"/>
      <c r="AZ336" s="377"/>
      <c r="BA336" s="377"/>
      <c r="BB336" s="377"/>
      <c r="BC336" s="377"/>
      <c r="BD336" s="377"/>
      <c r="BE336" s="377"/>
      <c r="BF336" s="377"/>
      <c r="BG336" s="377"/>
      <c r="BH336" s="377"/>
      <c r="BI336" s="377"/>
      <c r="BJ336" s="377"/>
      <c r="BK336" s="377"/>
      <c r="BL336" s="377"/>
      <c r="BM336" s="377"/>
      <c r="BN336" s="576"/>
      <c r="BO336" s="377"/>
      <c r="BP336" s="377"/>
      <c r="BQ336" s="377"/>
      <c r="BR336" s="377"/>
      <c r="BS336" s="377"/>
      <c r="BT336" s="377"/>
      <c r="BU336" s="377"/>
      <c r="BV336" s="377"/>
      <c r="BW336" s="377"/>
      <c r="BX336" s="377"/>
      <c r="BY336" s="377"/>
      <c r="BZ336" s="377"/>
      <c r="CA336" s="377"/>
      <c r="CB336" s="377"/>
      <c r="CC336" s="377"/>
      <c r="CD336" s="377"/>
      <c r="CE336" s="377"/>
      <c r="CF336" s="377"/>
      <c r="CG336" s="377"/>
      <c r="CH336" s="377"/>
      <c r="CI336" s="377"/>
    </row>
    <row r="337" spans="1:87" ht="15">
      <c r="A337" s="377"/>
      <c r="B337" s="377"/>
      <c r="C337" s="572"/>
      <c r="D337" s="377"/>
      <c r="E337" s="377"/>
      <c r="F337" s="377"/>
      <c r="G337" s="377"/>
      <c r="H337" s="573"/>
      <c r="I337" s="377"/>
      <c r="J337" s="377"/>
      <c r="K337" s="377"/>
      <c r="L337" s="377"/>
      <c r="M337" s="377"/>
      <c r="N337" s="377"/>
      <c r="O337" s="377"/>
      <c r="P337" s="377"/>
      <c r="Q337" s="377"/>
      <c r="R337" s="377"/>
      <c r="S337" s="377"/>
      <c r="T337" s="377"/>
      <c r="U337" s="377"/>
      <c r="V337" s="377"/>
      <c r="W337" s="377"/>
      <c r="X337" s="574"/>
      <c r="Y337" s="377"/>
      <c r="Z337" s="377"/>
      <c r="AA337" s="377"/>
      <c r="AB337" s="377"/>
      <c r="AC337" s="377"/>
      <c r="AD337" s="377"/>
      <c r="AE337" s="377"/>
      <c r="AF337" s="377"/>
      <c r="AG337" s="377"/>
      <c r="AH337" s="377"/>
      <c r="AI337" s="377"/>
      <c r="AJ337" s="377"/>
      <c r="AK337" s="377"/>
      <c r="AL337" s="574"/>
      <c r="AM337" s="377"/>
      <c r="AN337" s="377"/>
      <c r="AO337" s="377"/>
      <c r="AP337" s="377"/>
      <c r="AQ337" s="377"/>
      <c r="AR337" s="377"/>
      <c r="AS337" s="377"/>
      <c r="AT337" s="377"/>
      <c r="AU337" s="377"/>
      <c r="AV337" s="377"/>
      <c r="AW337" s="575"/>
      <c r="AX337" s="377"/>
      <c r="AY337" s="377"/>
      <c r="AZ337" s="377"/>
      <c r="BA337" s="377"/>
      <c r="BB337" s="377"/>
      <c r="BC337" s="377"/>
      <c r="BD337" s="377"/>
      <c r="BE337" s="377"/>
      <c r="BF337" s="377"/>
      <c r="BG337" s="377"/>
      <c r="BH337" s="377"/>
      <c r="BI337" s="377"/>
      <c r="BJ337" s="377"/>
      <c r="BK337" s="377"/>
      <c r="BL337" s="377"/>
      <c r="BM337" s="377"/>
      <c r="BN337" s="576"/>
      <c r="BO337" s="377"/>
      <c r="BP337" s="377"/>
      <c r="BQ337" s="377"/>
      <c r="BR337" s="377"/>
      <c r="BS337" s="377"/>
      <c r="BT337" s="377"/>
      <c r="BU337" s="377"/>
      <c r="BV337" s="377"/>
      <c r="BW337" s="377"/>
      <c r="BX337" s="377"/>
      <c r="BY337" s="377"/>
      <c r="BZ337" s="377"/>
      <c r="CA337" s="377"/>
      <c r="CB337" s="377"/>
      <c r="CC337" s="377"/>
      <c r="CD337" s="377"/>
      <c r="CE337" s="377"/>
      <c r="CF337" s="377"/>
      <c r="CG337" s="377"/>
      <c r="CH337" s="377"/>
      <c r="CI337" s="377"/>
    </row>
    <row r="338" spans="1:87" ht="15">
      <c r="A338" s="377"/>
      <c r="B338" s="377"/>
      <c r="C338" s="572"/>
      <c r="D338" s="377"/>
      <c r="E338" s="377"/>
      <c r="F338" s="377"/>
      <c r="G338" s="377"/>
      <c r="H338" s="573"/>
      <c r="I338" s="377"/>
      <c r="J338" s="377"/>
      <c r="K338" s="377"/>
      <c r="L338" s="377"/>
      <c r="M338" s="377"/>
      <c r="N338" s="377"/>
      <c r="O338" s="377"/>
      <c r="P338" s="377"/>
      <c r="Q338" s="377"/>
      <c r="R338" s="377"/>
      <c r="S338" s="377"/>
      <c r="T338" s="377"/>
      <c r="U338" s="377"/>
      <c r="V338" s="377"/>
      <c r="W338" s="377"/>
      <c r="X338" s="574"/>
      <c r="Y338" s="377"/>
      <c r="Z338" s="377"/>
      <c r="AA338" s="377"/>
      <c r="AB338" s="377"/>
      <c r="AC338" s="377"/>
      <c r="AD338" s="377"/>
      <c r="AE338" s="377"/>
      <c r="AF338" s="377"/>
      <c r="AG338" s="377"/>
      <c r="AH338" s="377"/>
      <c r="AI338" s="377"/>
      <c r="AJ338" s="377"/>
      <c r="AK338" s="377"/>
      <c r="AL338" s="574"/>
      <c r="AM338" s="377"/>
      <c r="AN338" s="377"/>
      <c r="AO338" s="377"/>
      <c r="AP338" s="377"/>
      <c r="AQ338" s="377"/>
      <c r="AR338" s="377"/>
      <c r="AS338" s="377"/>
      <c r="AT338" s="377"/>
      <c r="AU338" s="377"/>
      <c r="AV338" s="377"/>
      <c r="AW338" s="575"/>
      <c r="AX338" s="377"/>
      <c r="AY338" s="377"/>
      <c r="AZ338" s="377"/>
      <c r="BA338" s="377"/>
      <c r="BB338" s="377"/>
      <c r="BC338" s="377"/>
      <c r="BD338" s="377"/>
      <c r="BE338" s="377"/>
      <c r="BF338" s="377"/>
      <c r="BG338" s="377"/>
      <c r="BH338" s="377"/>
      <c r="BI338" s="377"/>
      <c r="BJ338" s="377"/>
      <c r="BK338" s="377"/>
      <c r="BL338" s="377"/>
      <c r="BM338" s="377"/>
      <c r="BN338" s="576"/>
      <c r="BO338" s="377"/>
      <c r="BP338" s="377"/>
      <c r="BQ338" s="377"/>
      <c r="BR338" s="377"/>
      <c r="BS338" s="377"/>
      <c r="BT338" s="377"/>
      <c r="BU338" s="377"/>
      <c r="BV338" s="377"/>
      <c r="BW338" s="377"/>
      <c r="BX338" s="377"/>
      <c r="BY338" s="377"/>
      <c r="BZ338" s="377"/>
      <c r="CA338" s="377"/>
      <c r="CB338" s="377"/>
      <c r="CC338" s="377"/>
      <c r="CD338" s="377"/>
      <c r="CE338" s="377"/>
      <c r="CF338" s="377"/>
      <c r="CG338" s="377"/>
      <c r="CH338" s="377"/>
      <c r="CI338" s="377"/>
    </row>
    <row r="339" spans="1:87" ht="15">
      <c r="A339" s="377"/>
      <c r="B339" s="377"/>
      <c r="C339" s="572"/>
      <c r="D339" s="377"/>
      <c r="E339" s="377"/>
      <c r="F339" s="377"/>
      <c r="G339" s="377"/>
      <c r="H339" s="573"/>
      <c r="I339" s="377"/>
      <c r="J339" s="377"/>
      <c r="K339" s="377"/>
      <c r="L339" s="377"/>
      <c r="M339" s="377"/>
      <c r="N339" s="377"/>
      <c r="O339" s="377"/>
      <c r="P339" s="377"/>
      <c r="Q339" s="377"/>
      <c r="R339" s="377"/>
      <c r="S339" s="377"/>
      <c r="T339" s="377"/>
      <c r="U339" s="377"/>
      <c r="V339" s="377"/>
      <c r="W339" s="377"/>
      <c r="X339" s="574"/>
      <c r="Y339" s="377"/>
      <c r="Z339" s="377"/>
      <c r="AA339" s="377"/>
      <c r="AB339" s="377"/>
      <c r="AC339" s="377"/>
      <c r="AD339" s="377"/>
      <c r="AE339" s="377"/>
      <c r="AF339" s="377"/>
      <c r="AG339" s="377"/>
      <c r="AH339" s="377"/>
      <c r="AI339" s="377"/>
      <c r="AJ339" s="377"/>
      <c r="AK339" s="377"/>
      <c r="AL339" s="574"/>
      <c r="AM339" s="377"/>
      <c r="AN339" s="377"/>
      <c r="AO339" s="377"/>
      <c r="AP339" s="377"/>
      <c r="AQ339" s="377"/>
      <c r="AR339" s="377"/>
      <c r="AS339" s="377"/>
      <c r="AT339" s="377"/>
      <c r="AU339" s="377"/>
      <c r="AV339" s="377"/>
      <c r="AW339" s="575"/>
      <c r="AX339" s="377"/>
      <c r="AY339" s="377"/>
      <c r="AZ339" s="377"/>
      <c r="BA339" s="377"/>
      <c r="BB339" s="377"/>
      <c r="BC339" s="377"/>
      <c r="BD339" s="377"/>
      <c r="BE339" s="377"/>
      <c r="BF339" s="377"/>
      <c r="BG339" s="377"/>
      <c r="BH339" s="377"/>
      <c r="BI339" s="377"/>
      <c r="BJ339" s="377"/>
      <c r="BK339" s="377"/>
      <c r="BL339" s="377"/>
      <c r="BM339" s="377"/>
      <c r="BN339" s="576"/>
      <c r="BO339" s="377"/>
      <c r="BP339" s="377"/>
      <c r="BQ339" s="377"/>
      <c r="BR339" s="377"/>
      <c r="BS339" s="377"/>
      <c r="BT339" s="377"/>
      <c r="BU339" s="377"/>
      <c r="BV339" s="377"/>
      <c r="BW339" s="377"/>
      <c r="BX339" s="377"/>
      <c r="BY339" s="377"/>
      <c r="BZ339" s="377"/>
      <c r="CA339" s="377"/>
      <c r="CB339" s="377"/>
      <c r="CC339" s="377"/>
      <c r="CD339" s="377"/>
      <c r="CE339" s="377"/>
      <c r="CF339" s="377"/>
      <c r="CG339" s="377"/>
      <c r="CH339" s="377"/>
      <c r="CI339" s="377"/>
    </row>
    <row r="340" spans="1:87" ht="15">
      <c r="A340" s="377"/>
      <c r="B340" s="377"/>
      <c r="C340" s="572"/>
      <c r="D340" s="377"/>
      <c r="E340" s="377"/>
      <c r="F340" s="377"/>
      <c r="G340" s="377"/>
      <c r="H340" s="573"/>
      <c r="I340" s="377"/>
      <c r="J340" s="377"/>
      <c r="K340" s="377"/>
      <c r="L340" s="377"/>
      <c r="M340" s="377"/>
      <c r="N340" s="377"/>
      <c r="O340" s="377"/>
      <c r="P340" s="377"/>
      <c r="Q340" s="377"/>
      <c r="R340" s="377"/>
      <c r="S340" s="377"/>
      <c r="T340" s="377"/>
      <c r="U340" s="377"/>
      <c r="V340" s="377"/>
      <c r="W340" s="377"/>
      <c r="X340" s="574"/>
      <c r="Y340" s="377"/>
      <c r="Z340" s="377"/>
      <c r="AA340" s="377"/>
      <c r="AB340" s="377"/>
      <c r="AC340" s="377"/>
      <c r="AD340" s="377"/>
      <c r="AE340" s="377"/>
      <c r="AF340" s="377"/>
      <c r="AG340" s="377"/>
      <c r="AH340" s="377"/>
      <c r="AI340" s="377"/>
      <c r="AJ340" s="377"/>
      <c r="AK340" s="377"/>
      <c r="AL340" s="574"/>
      <c r="AM340" s="377"/>
      <c r="AN340" s="377"/>
      <c r="AO340" s="377"/>
      <c r="AP340" s="377"/>
      <c r="AQ340" s="377"/>
      <c r="AR340" s="377"/>
      <c r="AS340" s="377"/>
      <c r="AT340" s="377"/>
      <c r="AU340" s="377"/>
      <c r="AV340" s="377"/>
      <c r="AW340" s="575"/>
      <c r="AX340" s="377"/>
      <c r="AY340" s="377"/>
      <c r="AZ340" s="377"/>
      <c r="BA340" s="377"/>
      <c r="BB340" s="377"/>
      <c r="BC340" s="377"/>
      <c r="BD340" s="377"/>
      <c r="BE340" s="377"/>
      <c r="BF340" s="377"/>
      <c r="BG340" s="377"/>
      <c r="BH340" s="377"/>
      <c r="BI340" s="377"/>
      <c r="BJ340" s="377"/>
      <c r="BK340" s="377"/>
      <c r="BL340" s="377"/>
      <c r="BM340" s="377"/>
      <c r="BN340" s="576"/>
      <c r="BO340" s="377"/>
      <c r="BP340" s="377"/>
      <c r="BQ340" s="377"/>
      <c r="BR340" s="377"/>
      <c r="BS340" s="377"/>
      <c r="BT340" s="377"/>
      <c r="BU340" s="377"/>
      <c r="BV340" s="377"/>
      <c r="BW340" s="377"/>
      <c r="BX340" s="377"/>
      <c r="BY340" s="377"/>
      <c r="BZ340" s="377"/>
      <c r="CA340" s="377"/>
      <c r="CB340" s="377"/>
      <c r="CC340" s="377"/>
      <c r="CD340" s="377"/>
      <c r="CE340" s="377"/>
      <c r="CF340" s="377"/>
      <c r="CG340" s="377"/>
      <c r="CH340" s="377"/>
      <c r="CI340" s="377"/>
    </row>
    <row r="341" spans="1:87" ht="15">
      <c r="A341" s="377"/>
      <c r="B341" s="377"/>
      <c r="C341" s="572"/>
      <c r="D341" s="377"/>
      <c r="E341" s="377"/>
      <c r="F341" s="377"/>
      <c r="G341" s="377"/>
      <c r="H341" s="573"/>
      <c r="I341" s="377"/>
      <c r="J341" s="377"/>
      <c r="K341" s="377"/>
      <c r="L341" s="377"/>
      <c r="M341" s="377"/>
      <c r="N341" s="377"/>
      <c r="O341" s="377"/>
      <c r="P341" s="377"/>
      <c r="Q341" s="377"/>
      <c r="R341" s="377"/>
      <c r="S341" s="377"/>
      <c r="T341" s="377"/>
      <c r="U341" s="377"/>
      <c r="V341" s="377"/>
      <c r="W341" s="377"/>
      <c r="X341" s="574"/>
      <c r="Y341" s="377"/>
      <c r="Z341" s="377"/>
      <c r="AA341" s="377"/>
      <c r="AB341" s="377"/>
      <c r="AC341" s="377"/>
      <c r="AD341" s="377"/>
      <c r="AE341" s="377"/>
      <c r="AF341" s="377"/>
      <c r="AG341" s="377"/>
      <c r="AH341" s="377"/>
      <c r="AI341" s="377"/>
      <c r="AJ341" s="377"/>
      <c r="AK341" s="377"/>
      <c r="AL341" s="574"/>
      <c r="AM341" s="377"/>
      <c r="AN341" s="377"/>
      <c r="AO341" s="377"/>
      <c r="AP341" s="377"/>
      <c r="AQ341" s="377"/>
      <c r="AR341" s="377"/>
      <c r="AS341" s="377"/>
      <c r="AT341" s="377"/>
      <c r="AU341" s="377"/>
      <c r="AV341" s="377"/>
      <c r="AW341" s="575"/>
      <c r="AX341" s="377"/>
      <c r="AY341" s="377"/>
      <c r="AZ341" s="377"/>
      <c r="BA341" s="377"/>
      <c r="BB341" s="377"/>
      <c r="BC341" s="377"/>
      <c r="BD341" s="377"/>
      <c r="BE341" s="377"/>
      <c r="BF341" s="377"/>
      <c r="BG341" s="377"/>
      <c r="BH341" s="377"/>
      <c r="BI341" s="377"/>
      <c r="BJ341" s="377"/>
      <c r="BK341" s="377"/>
      <c r="BL341" s="377"/>
      <c r="BM341" s="377"/>
      <c r="BN341" s="576"/>
      <c r="BO341" s="377"/>
      <c r="BP341" s="377"/>
      <c r="BQ341" s="377"/>
      <c r="BR341" s="377"/>
      <c r="BS341" s="377"/>
      <c r="BT341" s="377"/>
      <c r="BU341" s="377"/>
      <c r="BV341" s="377"/>
      <c r="BW341" s="377"/>
      <c r="BX341" s="377"/>
      <c r="BY341" s="377"/>
      <c r="BZ341" s="377"/>
      <c r="CA341" s="377"/>
      <c r="CB341" s="377"/>
      <c r="CC341" s="377"/>
      <c r="CD341" s="377"/>
      <c r="CE341" s="377"/>
      <c r="CF341" s="377"/>
      <c r="CG341" s="377"/>
      <c r="CH341" s="377"/>
      <c r="CI341" s="377"/>
    </row>
    <row r="342" spans="1:87" ht="15">
      <c r="A342" s="377"/>
      <c r="B342" s="377"/>
      <c r="C342" s="572"/>
      <c r="D342" s="377"/>
      <c r="E342" s="377"/>
      <c r="F342" s="377"/>
      <c r="G342" s="377"/>
      <c r="H342" s="573"/>
      <c r="I342" s="377"/>
      <c r="J342" s="377"/>
      <c r="K342" s="377"/>
      <c r="L342" s="377"/>
      <c r="M342" s="377"/>
      <c r="N342" s="377"/>
      <c r="O342" s="377"/>
      <c r="P342" s="377"/>
      <c r="Q342" s="377"/>
      <c r="R342" s="377"/>
      <c r="S342" s="377"/>
      <c r="T342" s="377"/>
      <c r="U342" s="377"/>
      <c r="V342" s="377"/>
      <c r="W342" s="377"/>
      <c r="X342" s="574"/>
      <c r="Y342" s="377"/>
      <c r="Z342" s="377"/>
      <c r="AA342" s="377"/>
      <c r="AB342" s="377"/>
      <c r="AC342" s="377"/>
      <c r="AD342" s="377"/>
      <c r="AE342" s="377"/>
      <c r="AF342" s="377"/>
      <c r="AG342" s="377"/>
      <c r="AH342" s="377"/>
      <c r="AI342" s="377"/>
      <c r="AJ342" s="377"/>
      <c r="AK342" s="377"/>
      <c r="AL342" s="574"/>
      <c r="AM342" s="377"/>
      <c r="AN342" s="377"/>
      <c r="AO342" s="377"/>
      <c r="AP342" s="377"/>
      <c r="AQ342" s="377"/>
      <c r="AR342" s="377"/>
      <c r="AS342" s="377"/>
      <c r="AT342" s="377"/>
      <c r="AU342" s="377"/>
      <c r="AV342" s="377"/>
      <c r="AW342" s="575"/>
      <c r="AX342" s="377"/>
      <c r="AY342" s="377"/>
      <c r="AZ342" s="377"/>
      <c r="BA342" s="377"/>
      <c r="BB342" s="377"/>
      <c r="BC342" s="377"/>
      <c r="BD342" s="377"/>
      <c r="BE342" s="377"/>
      <c r="BF342" s="377"/>
      <c r="BG342" s="377"/>
      <c r="BH342" s="377"/>
      <c r="BI342" s="377"/>
      <c r="BJ342" s="377"/>
      <c r="BK342" s="377"/>
      <c r="BL342" s="377"/>
      <c r="BM342" s="377"/>
      <c r="BN342" s="576"/>
      <c r="BO342" s="377"/>
      <c r="BP342" s="377"/>
      <c r="BQ342" s="377"/>
      <c r="BR342" s="377"/>
      <c r="BS342" s="377"/>
      <c r="BT342" s="377"/>
      <c r="BU342" s="377"/>
      <c r="BV342" s="377"/>
      <c r="BW342" s="377"/>
      <c r="BX342" s="377"/>
      <c r="BY342" s="377"/>
      <c r="BZ342" s="377"/>
      <c r="CA342" s="377"/>
      <c r="CB342" s="377"/>
      <c r="CC342" s="377"/>
      <c r="CD342" s="377"/>
      <c r="CE342" s="377"/>
      <c r="CF342" s="377"/>
      <c r="CG342" s="377"/>
      <c r="CH342" s="377"/>
      <c r="CI342" s="377"/>
    </row>
    <row r="343" spans="1:87" ht="15">
      <c r="A343" s="377"/>
      <c r="B343" s="377"/>
      <c r="C343" s="572"/>
      <c r="D343" s="377"/>
      <c r="E343" s="377"/>
      <c r="F343" s="377"/>
      <c r="G343" s="377"/>
      <c r="H343" s="573"/>
      <c r="I343" s="377"/>
      <c r="J343" s="377"/>
      <c r="K343" s="377"/>
      <c r="L343" s="377"/>
      <c r="M343" s="377"/>
      <c r="N343" s="377"/>
      <c r="O343" s="377"/>
      <c r="P343" s="377"/>
      <c r="Q343" s="377"/>
      <c r="R343" s="377"/>
      <c r="S343" s="377"/>
      <c r="T343" s="377"/>
      <c r="U343" s="377"/>
      <c r="V343" s="377"/>
      <c r="W343" s="377"/>
      <c r="X343" s="574"/>
      <c r="Y343" s="377"/>
      <c r="Z343" s="377"/>
      <c r="AA343" s="377"/>
      <c r="AB343" s="377"/>
      <c r="AC343" s="377"/>
      <c r="AD343" s="377"/>
      <c r="AE343" s="377"/>
      <c r="AF343" s="377"/>
      <c r="AG343" s="377"/>
      <c r="AH343" s="377"/>
      <c r="AI343" s="377"/>
      <c r="AJ343" s="377"/>
      <c r="AK343" s="377"/>
      <c r="AL343" s="574"/>
      <c r="AM343" s="377"/>
      <c r="AN343" s="377"/>
      <c r="AO343" s="377"/>
      <c r="AP343" s="377"/>
      <c r="AQ343" s="377"/>
      <c r="AR343" s="377"/>
      <c r="AS343" s="377"/>
      <c r="AT343" s="377"/>
      <c r="AU343" s="377"/>
      <c r="AV343" s="377"/>
      <c r="AW343" s="575"/>
      <c r="AX343" s="377"/>
      <c r="AY343" s="377"/>
      <c r="AZ343" s="377"/>
      <c r="BA343" s="377"/>
      <c r="BB343" s="377"/>
      <c r="BC343" s="377"/>
      <c r="BD343" s="377"/>
      <c r="BE343" s="377"/>
      <c r="BF343" s="377"/>
      <c r="BG343" s="377"/>
      <c r="BH343" s="377"/>
      <c r="BI343" s="377"/>
      <c r="BJ343" s="377"/>
      <c r="BK343" s="377"/>
      <c r="BL343" s="377"/>
      <c r="BM343" s="377"/>
      <c r="BN343" s="576"/>
      <c r="BO343" s="377"/>
      <c r="BP343" s="377"/>
      <c r="BQ343" s="377"/>
      <c r="BR343" s="377"/>
      <c r="BS343" s="377"/>
      <c r="BT343" s="377"/>
      <c r="BU343" s="377"/>
      <c r="BV343" s="377"/>
      <c r="BW343" s="377"/>
      <c r="BX343" s="377"/>
      <c r="BY343" s="377"/>
      <c r="BZ343" s="377"/>
      <c r="CA343" s="377"/>
      <c r="CB343" s="377"/>
      <c r="CC343" s="377"/>
      <c r="CD343" s="377"/>
      <c r="CE343" s="377"/>
      <c r="CF343" s="377"/>
      <c r="CG343" s="377"/>
      <c r="CH343" s="377"/>
      <c r="CI343" s="377"/>
    </row>
    <row r="344" spans="1:87" ht="15">
      <c r="A344" s="377"/>
      <c r="B344" s="377"/>
      <c r="C344" s="572"/>
      <c r="D344" s="377"/>
      <c r="E344" s="377"/>
      <c r="F344" s="377"/>
      <c r="G344" s="377"/>
      <c r="H344" s="573"/>
      <c r="I344" s="377"/>
      <c r="J344" s="377"/>
      <c r="K344" s="377"/>
      <c r="L344" s="377"/>
      <c r="M344" s="377"/>
      <c r="N344" s="377"/>
      <c r="O344" s="377"/>
      <c r="P344" s="377"/>
      <c r="Q344" s="377"/>
      <c r="R344" s="377"/>
      <c r="S344" s="377"/>
      <c r="T344" s="377"/>
      <c r="U344" s="377"/>
      <c r="V344" s="377"/>
      <c r="W344" s="377"/>
      <c r="X344" s="574"/>
      <c r="Y344" s="377"/>
      <c r="Z344" s="377"/>
      <c r="AA344" s="377"/>
      <c r="AB344" s="377"/>
      <c r="AC344" s="377"/>
      <c r="AD344" s="377"/>
      <c r="AE344" s="377"/>
      <c r="AF344" s="377"/>
      <c r="AG344" s="377"/>
      <c r="AH344" s="377"/>
      <c r="AI344" s="377"/>
      <c r="AJ344" s="377"/>
      <c r="AK344" s="377"/>
      <c r="AL344" s="574"/>
      <c r="AM344" s="377"/>
      <c r="AN344" s="377"/>
      <c r="AO344" s="377"/>
      <c r="AP344" s="377"/>
      <c r="AQ344" s="377"/>
      <c r="AR344" s="377"/>
      <c r="AS344" s="377"/>
      <c r="AT344" s="377"/>
      <c r="AU344" s="377"/>
      <c r="AV344" s="377"/>
      <c r="AW344" s="575"/>
      <c r="AX344" s="377"/>
      <c r="AY344" s="377"/>
      <c r="AZ344" s="377"/>
      <c r="BA344" s="377"/>
      <c r="BB344" s="377"/>
      <c r="BC344" s="377"/>
      <c r="BD344" s="377"/>
      <c r="BE344" s="377"/>
      <c r="BF344" s="377"/>
      <c r="BG344" s="377"/>
      <c r="BH344" s="377"/>
      <c r="BI344" s="377"/>
      <c r="BJ344" s="377"/>
      <c r="BK344" s="377"/>
      <c r="BL344" s="377"/>
      <c r="BM344" s="377"/>
      <c r="BN344" s="576"/>
      <c r="BO344" s="377"/>
      <c r="BP344" s="377"/>
      <c r="BQ344" s="377"/>
      <c r="BR344" s="377"/>
      <c r="BS344" s="377"/>
      <c r="BT344" s="377"/>
      <c r="BU344" s="377"/>
      <c r="BV344" s="377"/>
      <c r="BW344" s="377"/>
      <c r="BX344" s="377"/>
      <c r="BY344" s="377"/>
      <c r="BZ344" s="377"/>
      <c r="CA344" s="377"/>
      <c r="CB344" s="377"/>
      <c r="CC344" s="377"/>
      <c r="CD344" s="377"/>
      <c r="CE344" s="377"/>
      <c r="CF344" s="377"/>
      <c r="CG344" s="377"/>
      <c r="CH344" s="377"/>
      <c r="CI344" s="377"/>
    </row>
    <row r="345" spans="1:87" ht="15">
      <c r="A345" s="377"/>
      <c r="B345" s="377"/>
      <c r="C345" s="572"/>
      <c r="D345" s="377"/>
      <c r="E345" s="377"/>
      <c r="F345" s="377"/>
      <c r="G345" s="377"/>
      <c r="H345" s="573"/>
      <c r="I345" s="377"/>
      <c r="J345" s="377"/>
      <c r="K345" s="377"/>
      <c r="L345" s="377"/>
      <c r="M345" s="377"/>
      <c r="N345" s="377"/>
      <c r="O345" s="377"/>
      <c r="P345" s="377"/>
      <c r="Q345" s="377"/>
      <c r="R345" s="377"/>
      <c r="S345" s="377"/>
      <c r="T345" s="377"/>
      <c r="U345" s="377"/>
      <c r="V345" s="377"/>
      <c r="W345" s="377"/>
      <c r="X345" s="574"/>
      <c r="Y345" s="377"/>
      <c r="Z345" s="377"/>
      <c r="AA345" s="377"/>
      <c r="AB345" s="377"/>
      <c r="AC345" s="377"/>
      <c r="AD345" s="377"/>
      <c r="AE345" s="377"/>
      <c r="AF345" s="377"/>
      <c r="AG345" s="377"/>
      <c r="AH345" s="377"/>
      <c r="AI345" s="377"/>
      <c r="AJ345" s="377"/>
      <c r="AK345" s="377"/>
      <c r="AL345" s="574"/>
      <c r="AM345" s="377"/>
      <c r="AN345" s="377"/>
      <c r="AO345" s="377"/>
      <c r="AP345" s="377"/>
      <c r="AQ345" s="377"/>
      <c r="AR345" s="377"/>
      <c r="AS345" s="377"/>
      <c r="AT345" s="377"/>
      <c r="AU345" s="377"/>
      <c r="AV345" s="377"/>
      <c r="AW345" s="575"/>
      <c r="AX345" s="377"/>
      <c r="AY345" s="377"/>
      <c r="AZ345" s="377"/>
      <c r="BA345" s="377"/>
      <c r="BB345" s="377"/>
      <c r="BC345" s="377"/>
      <c r="BD345" s="377"/>
      <c r="BE345" s="377"/>
      <c r="BF345" s="377"/>
      <c r="BG345" s="377"/>
      <c r="BH345" s="377"/>
      <c r="BI345" s="377"/>
      <c r="BJ345" s="377"/>
      <c r="BK345" s="377"/>
      <c r="BL345" s="377"/>
      <c r="BM345" s="377"/>
      <c r="BN345" s="576"/>
      <c r="BO345" s="377"/>
      <c r="BP345" s="377"/>
      <c r="BQ345" s="377"/>
      <c r="BR345" s="377"/>
      <c r="BS345" s="377"/>
      <c r="BT345" s="377"/>
      <c r="BU345" s="377"/>
      <c r="BV345" s="377"/>
      <c r="BW345" s="377"/>
      <c r="BX345" s="377"/>
      <c r="BY345" s="377"/>
      <c r="BZ345" s="377"/>
      <c r="CA345" s="377"/>
      <c r="CB345" s="377"/>
      <c r="CC345" s="377"/>
      <c r="CD345" s="377"/>
      <c r="CE345" s="377"/>
      <c r="CF345" s="377"/>
      <c r="CG345" s="377"/>
      <c r="CH345" s="377"/>
      <c r="CI345" s="377"/>
    </row>
    <row r="346" spans="1:87" ht="15">
      <c r="A346" s="377"/>
      <c r="B346" s="377"/>
      <c r="C346" s="572"/>
      <c r="D346" s="377"/>
      <c r="E346" s="377"/>
      <c r="F346" s="377"/>
      <c r="G346" s="377"/>
      <c r="H346" s="573"/>
      <c r="I346" s="377"/>
      <c r="J346" s="377"/>
      <c r="K346" s="377"/>
      <c r="L346" s="377"/>
      <c r="M346" s="377"/>
      <c r="N346" s="377"/>
      <c r="O346" s="377"/>
      <c r="P346" s="377"/>
      <c r="Q346" s="377"/>
      <c r="R346" s="377"/>
      <c r="S346" s="377"/>
      <c r="T346" s="377"/>
      <c r="U346" s="377"/>
      <c r="V346" s="377"/>
      <c r="W346" s="377"/>
      <c r="X346" s="574"/>
      <c r="Y346" s="377"/>
      <c r="Z346" s="377"/>
      <c r="AA346" s="377"/>
      <c r="AB346" s="377"/>
      <c r="AC346" s="377"/>
      <c r="AD346" s="377"/>
      <c r="AE346" s="377"/>
      <c r="AF346" s="377"/>
      <c r="AG346" s="377"/>
      <c r="AH346" s="377"/>
      <c r="AI346" s="377"/>
      <c r="AJ346" s="377"/>
      <c r="AK346" s="377"/>
      <c r="AL346" s="574"/>
      <c r="AM346" s="377"/>
      <c r="AN346" s="377"/>
      <c r="AO346" s="377"/>
      <c r="AP346" s="377"/>
      <c r="AQ346" s="377"/>
      <c r="AR346" s="377"/>
      <c r="AS346" s="377"/>
      <c r="AT346" s="377"/>
      <c r="AU346" s="377"/>
      <c r="AV346" s="377"/>
      <c r="AW346" s="575"/>
      <c r="AX346" s="377"/>
      <c r="AY346" s="377"/>
      <c r="AZ346" s="377"/>
      <c r="BA346" s="377"/>
      <c r="BB346" s="377"/>
      <c r="BC346" s="377"/>
      <c r="BD346" s="377"/>
      <c r="BE346" s="377"/>
      <c r="BF346" s="377"/>
      <c r="BG346" s="377"/>
      <c r="BH346" s="377"/>
      <c r="BI346" s="377"/>
      <c r="BJ346" s="377"/>
      <c r="BK346" s="377"/>
      <c r="BL346" s="377"/>
      <c r="BM346" s="377"/>
      <c r="BN346" s="576"/>
      <c r="BO346" s="377"/>
      <c r="BP346" s="377"/>
      <c r="BQ346" s="377"/>
      <c r="BR346" s="377"/>
      <c r="BS346" s="377"/>
      <c r="BT346" s="377"/>
      <c r="BU346" s="377"/>
      <c r="BV346" s="377"/>
      <c r="BW346" s="377"/>
      <c r="BX346" s="377"/>
      <c r="BY346" s="377"/>
      <c r="BZ346" s="377"/>
      <c r="CA346" s="377"/>
      <c r="CB346" s="377"/>
      <c r="CC346" s="377"/>
      <c r="CD346" s="377"/>
      <c r="CE346" s="377"/>
      <c r="CF346" s="377"/>
      <c r="CG346" s="377"/>
      <c r="CH346" s="377"/>
      <c r="CI346" s="377"/>
    </row>
    <row r="347" spans="1:87" ht="15">
      <c r="A347" s="377"/>
      <c r="B347" s="377"/>
      <c r="C347" s="572"/>
      <c r="D347" s="377"/>
      <c r="E347" s="377"/>
      <c r="F347" s="377"/>
      <c r="G347" s="377"/>
      <c r="H347" s="573"/>
      <c r="I347" s="377"/>
      <c r="J347" s="377"/>
      <c r="K347" s="377"/>
      <c r="L347" s="377"/>
      <c r="M347" s="377"/>
      <c r="N347" s="377"/>
      <c r="O347" s="377"/>
      <c r="P347" s="377"/>
      <c r="Q347" s="377"/>
      <c r="R347" s="377"/>
      <c r="S347" s="377"/>
      <c r="T347" s="377"/>
      <c r="U347" s="377"/>
      <c r="V347" s="377"/>
      <c r="W347" s="377"/>
      <c r="X347" s="574"/>
      <c r="Y347" s="377"/>
      <c r="Z347" s="377"/>
      <c r="AA347" s="377"/>
      <c r="AB347" s="377"/>
      <c r="AC347" s="377"/>
      <c r="AD347" s="377"/>
      <c r="AE347" s="377"/>
      <c r="AF347" s="377"/>
      <c r="AG347" s="377"/>
      <c r="AH347" s="377"/>
      <c r="AI347" s="377"/>
      <c r="AJ347" s="377"/>
      <c r="AK347" s="377"/>
      <c r="AL347" s="574"/>
      <c r="AM347" s="377"/>
      <c r="AN347" s="377"/>
      <c r="AO347" s="377"/>
      <c r="AP347" s="377"/>
      <c r="AQ347" s="377"/>
      <c r="AR347" s="377"/>
      <c r="AS347" s="377"/>
      <c r="AT347" s="377"/>
      <c r="AU347" s="377"/>
      <c r="AV347" s="377"/>
      <c r="AW347" s="575"/>
      <c r="AX347" s="377"/>
      <c r="AY347" s="377"/>
      <c r="AZ347" s="377"/>
      <c r="BA347" s="377"/>
      <c r="BB347" s="377"/>
      <c r="BC347" s="377"/>
      <c r="BD347" s="377"/>
      <c r="BE347" s="377"/>
      <c r="BF347" s="377"/>
      <c r="BG347" s="377"/>
      <c r="BH347" s="377"/>
      <c r="BI347" s="377"/>
      <c r="BJ347" s="377"/>
      <c r="BK347" s="377"/>
      <c r="BL347" s="377"/>
      <c r="BM347" s="377"/>
      <c r="BN347" s="576"/>
      <c r="BO347" s="377"/>
      <c r="BP347" s="377"/>
      <c r="BQ347" s="377"/>
      <c r="BR347" s="377"/>
      <c r="BS347" s="377"/>
      <c r="BT347" s="377"/>
      <c r="BU347" s="377"/>
      <c r="BV347" s="377"/>
      <c r="BW347" s="377"/>
      <c r="BX347" s="377"/>
      <c r="BY347" s="377"/>
      <c r="BZ347" s="377"/>
      <c r="CA347" s="377"/>
      <c r="CB347" s="377"/>
      <c r="CC347" s="377"/>
      <c r="CD347" s="377"/>
      <c r="CE347" s="377"/>
      <c r="CF347" s="377"/>
      <c r="CG347" s="377"/>
      <c r="CH347" s="377"/>
      <c r="CI347" s="377"/>
    </row>
    <row r="348" spans="1:87" ht="15">
      <c r="A348" s="377"/>
      <c r="B348" s="377"/>
      <c r="C348" s="572"/>
      <c r="D348" s="377"/>
      <c r="E348" s="377"/>
      <c r="F348" s="377"/>
      <c r="G348" s="377"/>
      <c r="H348" s="573"/>
      <c r="I348" s="377"/>
      <c r="J348" s="377"/>
      <c r="K348" s="377"/>
      <c r="L348" s="377"/>
      <c r="M348" s="377"/>
      <c r="N348" s="377"/>
      <c r="O348" s="377"/>
      <c r="P348" s="377"/>
      <c r="Q348" s="377"/>
      <c r="R348" s="377"/>
      <c r="S348" s="377"/>
      <c r="T348" s="377"/>
      <c r="U348" s="377"/>
      <c r="V348" s="377"/>
      <c r="W348" s="377"/>
      <c r="X348" s="574"/>
      <c r="Y348" s="377"/>
      <c r="Z348" s="377"/>
      <c r="AA348" s="377"/>
      <c r="AB348" s="377"/>
      <c r="AC348" s="377"/>
      <c r="AD348" s="377"/>
      <c r="AE348" s="377"/>
      <c r="AF348" s="377"/>
      <c r="AG348" s="377"/>
      <c r="AH348" s="377"/>
      <c r="AI348" s="377"/>
      <c r="AJ348" s="377"/>
      <c r="AK348" s="377"/>
      <c r="AL348" s="574"/>
      <c r="AM348" s="377"/>
      <c r="AN348" s="377"/>
      <c r="AO348" s="377"/>
      <c r="AP348" s="377"/>
      <c r="AQ348" s="377"/>
      <c r="AR348" s="377"/>
      <c r="AS348" s="377"/>
      <c r="AT348" s="377"/>
      <c r="AU348" s="377"/>
      <c r="AV348" s="377"/>
      <c r="AW348" s="575"/>
      <c r="AX348" s="377"/>
      <c r="AY348" s="377"/>
      <c r="AZ348" s="377"/>
      <c r="BA348" s="377"/>
      <c r="BB348" s="377"/>
      <c r="BC348" s="377"/>
      <c r="BD348" s="377"/>
      <c r="BE348" s="377"/>
      <c r="BF348" s="377"/>
      <c r="BG348" s="377"/>
      <c r="BH348" s="377"/>
      <c r="BI348" s="377"/>
      <c r="BJ348" s="377"/>
      <c r="BK348" s="377"/>
      <c r="BL348" s="377"/>
      <c r="BM348" s="377"/>
      <c r="BN348" s="576"/>
      <c r="BO348" s="377"/>
      <c r="BP348" s="377"/>
      <c r="BQ348" s="377"/>
      <c r="BR348" s="377"/>
      <c r="BS348" s="377"/>
      <c r="BT348" s="377"/>
      <c r="BU348" s="377"/>
      <c r="BV348" s="377"/>
      <c r="BW348" s="377"/>
      <c r="BX348" s="377"/>
      <c r="BY348" s="377"/>
      <c r="BZ348" s="377"/>
      <c r="CA348" s="377"/>
      <c r="CB348" s="377"/>
      <c r="CC348" s="377"/>
      <c r="CD348" s="377"/>
      <c r="CE348" s="377"/>
      <c r="CF348" s="377"/>
      <c r="CG348" s="377"/>
      <c r="CH348" s="377"/>
      <c r="CI348" s="377"/>
    </row>
    <row r="349" spans="1:87" ht="15">
      <c r="A349" s="377"/>
      <c r="B349" s="377"/>
      <c r="C349" s="572"/>
      <c r="D349" s="377"/>
      <c r="E349" s="377"/>
      <c r="F349" s="377"/>
      <c r="G349" s="377"/>
      <c r="H349" s="573"/>
      <c r="I349" s="377"/>
      <c r="J349" s="377"/>
      <c r="K349" s="377"/>
      <c r="L349" s="377"/>
      <c r="M349" s="377"/>
      <c r="N349" s="377"/>
      <c r="O349" s="377"/>
      <c r="P349" s="377"/>
      <c r="Q349" s="377"/>
      <c r="R349" s="377"/>
      <c r="S349" s="377"/>
      <c r="T349" s="377"/>
      <c r="U349" s="377"/>
      <c r="V349" s="377"/>
      <c r="W349" s="377"/>
      <c r="X349" s="574"/>
      <c r="Y349" s="377"/>
      <c r="Z349" s="377"/>
      <c r="AA349" s="377"/>
      <c r="AB349" s="377"/>
      <c r="AC349" s="377"/>
      <c r="AD349" s="377"/>
      <c r="AE349" s="377"/>
      <c r="AF349" s="377"/>
      <c r="AG349" s="377"/>
      <c r="AH349" s="377"/>
      <c r="AI349" s="377"/>
      <c r="AJ349" s="377"/>
      <c r="AK349" s="377"/>
      <c r="AL349" s="574"/>
      <c r="AM349" s="377"/>
      <c r="AN349" s="377"/>
      <c r="AO349" s="377"/>
      <c r="AP349" s="377"/>
      <c r="AQ349" s="377"/>
      <c r="AR349" s="377"/>
      <c r="AS349" s="377"/>
      <c r="AT349" s="377"/>
      <c r="AU349" s="377"/>
      <c r="AV349" s="377"/>
      <c r="AW349" s="575"/>
      <c r="AX349" s="377"/>
      <c r="AY349" s="377"/>
      <c r="AZ349" s="377"/>
      <c r="BA349" s="377"/>
      <c r="BB349" s="377"/>
      <c r="BC349" s="377"/>
      <c r="BD349" s="377"/>
      <c r="BE349" s="377"/>
      <c r="BF349" s="377"/>
      <c r="BG349" s="377"/>
      <c r="BH349" s="377"/>
      <c r="BI349" s="377"/>
      <c r="BJ349" s="377"/>
      <c r="BK349" s="377"/>
      <c r="BL349" s="377"/>
      <c r="BM349" s="377"/>
      <c r="BN349" s="576"/>
      <c r="BO349" s="377"/>
      <c r="BP349" s="377"/>
      <c r="BQ349" s="377"/>
      <c r="BR349" s="377"/>
      <c r="BS349" s="377"/>
      <c r="BT349" s="377"/>
      <c r="BU349" s="377"/>
      <c r="BV349" s="377"/>
      <c r="BW349" s="377"/>
      <c r="BX349" s="377"/>
      <c r="BY349" s="377"/>
      <c r="BZ349" s="377"/>
      <c r="CA349" s="377"/>
      <c r="CB349" s="377"/>
      <c r="CC349" s="377"/>
      <c r="CD349" s="377"/>
      <c r="CE349" s="377"/>
      <c r="CF349" s="377"/>
      <c r="CG349" s="377"/>
      <c r="CH349" s="377"/>
      <c r="CI349" s="377"/>
    </row>
    <row r="350" spans="1:87" ht="15">
      <c r="A350" s="377"/>
      <c r="B350" s="377"/>
      <c r="C350" s="572"/>
      <c r="D350" s="377"/>
      <c r="E350" s="377"/>
      <c r="F350" s="377"/>
      <c r="G350" s="377"/>
      <c r="H350" s="573"/>
      <c r="I350" s="377"/>
      <c r="J350" s="377"/>
      <c r="K350" s="377"/>
      <c r="L350" s="377"/>
      <c r="M350" s="377"/>
      <c r="N350" s="377"/>
      <c r="O350" s="377"/>
      <c r="P350" s="377"/>
      <c r="Q350" s="377"/>
      <c r="R350" s="377"/>
      <c r="S350" s="377"/>
      <c r="T350" s="377"/>
      <c r="U350" s="377"/>
      <c r="V350" s="377"/>
      <c r="W350" s="377"/>
      <c r="X350" s="574"/>
      <c r="Y350" s="377"/>
      <c r="Z350" s="377"/>
      <c r="AA350" s="377"/>
      <c r="AB350" s="377"/>
      <c r="AC350" s="377"/>
      <c r="AD350" s="377"/>
      <c r="AE350" s="377"/>
      <c r="AF350" s="377"/>
      <c r="AG350" s="377"/>
      <c r="AH350" s="377"/>
      <c r="AI350" s="377"/>
      <c r="AJ350" s="377"/>
      <c r="AK350" s="377"/>
      <c r="AL350" s="574"/>
      <c r="AM350" s="377"/>
      <c r="AN350" s="377"/>
      <c r="AO350" s="377"/>
      <c r="AP350" s="377"/>
      <c r="AQ350" s="377"/>
      <c r="AR350" s="377"/>
      <c r="AS350" s="377"/>
      <c r="AT350" s="377"/>
      <c r="AU350" s="377"/>
      <c r="AV350" s="377"/>
      <c r="AW350" s="575"/>
      <c r="AX350" s="377"/>
      <c r="AY350" s="377"/>
      <c r="AZ350" s="377"/>
      <c r="BA350" s="377"/>
      <c r="BB350" s="377"/>
      <c r="BC350" s="377"/>
      <c r="BD350" s="377"/>
      <c r="BE350" s="377"/>
      <c r="BF350" s="377"/>
      <c r="BG350" s="377"/>
      <c r="BH350" s="377"/>
      <c r="BI350" s="377"/>
      <c r="BJ350" s="377"/>
      <c r="BK350" s="377"/>
      <c r="BL350" s="377"/>
      <c r="BM350" s="377"/>
      <c r="BN350" s="576"/>
      <c r="BO350" s="377"/>
      <c r="BP350" s="377"/>
      <c r="BQ350" s="377"/>
      <c r="BR350" s="377"/>
      <c r="BS350" s="377"/>
      <c r="BT350" s="377"/>
      <c r="BU350" s="377"/>
      <c r="BV350" s="377"/>
      <c r="BW350" s="377"/>
      <c r="BX350" s="377"/>
      <c r="BY350" s="377"/>
      <c r="BZ350" s="377"/>
      <c r="CA350" s="377"/>
      <c r="CB350" s="377"/>
      <c r="CC350" s="377"/>
      <c r="CD350" s="377"/>
      <c r="CE350" s="377"/>
      <c r="CF350" s="377"/>
      <c r="CG350" s="377"/>
      <c r="CH350" s="377"/>
      <c r="CI350" s="377"/>
    </row>
    <row r="351" spans="1:87" ht="15">
      <c r="A351" s="377"/>
      <c r="B351" s="377"/>
      <c r="C351" s="572"/>
      <c r="D351" s="377"/>
      <c r="E351" s="377"/>
      <c r="F351" s="377"/>
      <c r="G351" s="377"/>
      <c r="H351" s="573"/>
      <c r="I351" s="377"/>
      <c r="J351" s="377"/>
      <c r="K351" s="377"/>
      <c r="L351" s="377"/>
      <c r="M351" s="377"/>
      <c r="N351" s="377"/>
      <c r="O351" s="377"/>
      <c r="P351" s="377"/>
      <c r="Q351" s="377"/>
      <c r="R351" s="377"/>
      <c r="S351" s="377"/>
      <c r="T351" s="377"/>
      <c r="U351" s="377"/>
      <c r="V351" s="377"/>
      <c r="W351" s="377"/>
      <c r="X351" s="574"/>
      <c r="Y351" s="377"/>
      <c r="Z351" s="377"/>
      <c r="AA351" s="377"/>
      <c r="AB351" s="377"/>
      <c r="AC351" s="377"/>
      <c r="AD351" s="377"/>
      <c r="AE351" s="377"/>
      <c r="AF351" s="377"/>
      <c r="AG351" s="377"/>
      <c r="AH351" s="377"/>
      <c r="AI351" s="377"/>
      <c r="AJ351" s="377"/>
      <c r="AK351" s="377"/>
      <c r="AL351" s="574"/>
      <c r="AM351" s="377"/>
      <c r="AN351" s="377"/>
      <c r="AO351" s="377"/>
      <c r="AP351" s="377"/>
      <c r="AQ351" s="377"/>
      <c r="AR351" s="377"/>
      <c r="AS351" s="377"/>
      <c r="AT351" s="377"/>
      <c r="AU351" s="377"/>
      <c r="AV351" s="377"/>
      <c r="AW351" s="575"/>
      <c r="AX351" s="377"/>
      <c r="AY351" s="377"/>
      <c r="AZ351" s="377"/>
      <c r="BA351" s="377"/>
      <c r="BB351" s="377"/>
      <c r="BC351" s="377"/>
      <c r="BD351" s="377"/>
      <c r="BE351" s="377"/>
      <c r="BF351" s="377"/>
      <c r="BG351" s="377"/>
      <c r="BH351" s="377"/>
      <c r="BI351" s="377"/>
      <c r="BJ351" s="377"/>
      <c r="BK351" s="377"/>
      <c r="BL351" s="377"/>
      <c r="BM351" s="377"/>
      <c r="BN351" s="576"/>
      <c r="BO351" s="377"/>
      <c r="BP351" s="377"/>
      <c r="BQ351" s="377"/>
      <c r="BR351" s="377"/>
      <c r="BS351" s="377"/>
      <c r="BT351" s="377"/>
      <c r="BU351" s="377"/>
      <c r="BV351" s="377"/>
      <c r="BW351" s="377"/>
      <c r="BX351" s="377"/>
      <c r="BY351" s="377"/>
      <c r="BZ351" s="377"/>
      <c r="CA351" s="377"/>
      <c r="CB351" s="377"/>
      <c r="CC351" s="377"/>
      <c r="CD351" s="377"/>
      <c r="CE351" s="377"/>
      <c r="CF351" s="377"/>
      <c r="CG351" s="377"/>
      <c r="CH351" s="377"/>
      <c r="CI351" s="377"/>
    </row>
    <row r="352" spans="1:87" ht="15">
      <c r="A352" s="377"/>
      <c r="B352" s="377"/>
      <c r="C352" s="572"/>
      <c r="D352" s="377"/>
      <c r="E352" s="377"/>
      <c r="F352" s="377"/>
      <c r="G352" s="377"/>
      <c r="H352" s="573"/>
      <c r="I352" s="377"/>
      <c r="J352" s="377"/>
      <c r="K352" s="377"/>
      <c r="L352" s="377"/>
      <c r="M352" s="377"/>
      <c r="N352" s="377"/>
      <c r="O352" s="377"/>
      <c r="P352" s="377"/>
      <c r="Q352" s="377"/>
      <c r="R352" s="377"/>
      <c r="S352" s="377"/>
      <c r="T352" s="377"/>
      <c r="U352" s="377"/>
      <c r="V352" s="377"/>
      <c r="W352" s="377"/>
      <c r="X352" s="574"/>
      <c r="Y352" s="377"/>
      <c r="Z352" s="377"/>
      <c r="AA352" s="377"/>
      <c r="AB352" s="377"/>
      <c r="AC352" s="377"/>
      <c r="AD352" s="377"/>
      <c r="AE352" s="377"/>
      <c r="AF352" s="377"/>
      <c r="AG352" s="377"/>
      <c r="AH352" s="377"/>
      <c r="AI352" s="377"/>
      <c r="AJ352" s="377"/>
      <c r="AK352" s="377"/>
      <c r="AL352" s="574"/>
      <c r="AM352" s="377"/>
      <c r="AN352" s="377"/>
      <c r="AO352" s="377"/>
      <c r="AP352" s="377"/>
      <c r="AQ352" s="377"/>
      <c r="AR352" s="377"/>
      <c r="AS352" s="377"/>
      <c r="AT352" s="377"/>
      <c r="AU352" s="377"/>
      <c r="AV352" s="377"/>
      <c r="AW352" s="575"/>
      <c r="AX352" s="377"/>
      <c r="AY352" s="377"/>
      <c r="AZ352" s="377"/>
      <c r="BA352" s="377"/>
      <c r="BB352" s="377"/>
      <c r="BC352" s="377"/>
      <c r="BD352" s="377"/>
      <c r="BE352" s="377"/>
      <c r="BF352" s="377"/>
      <c r="BG352" s="377"/>
      <c r="BH352" s="377"/>
      <c r="BI352" s="377"/>
      <c r="BJ352" s="377"/>
      <c r="BK352" s="377"/>
      <c r="BL352" s="377"/>
      <c r="BM352" s="377"/>
      <c r="BN352" s="576"/>
      <c r="BO352" s="377"/>
      <c r="BP352" s="377"/>
      <c r="BQ352" s="377"/>
      <c r="BR352" s="377"/>
      <c r="BS352" s="377"/>
      <c r="BT352" s="377"/>
      <c r="BU352" s="377"/>
      <c r="BV352" s="377"/>
      <c r="BW352" s="377"/>
      <c r="BX352" s="377"/>
      <c r="BY352" s="377"/>
      <c r="BZ352" s="377"/>
      <c r="CA352" s="377"/>
      <c r="CB352" s="377"/>
      <c r="CC352" s="377"/>
      <c r="CD352" s="377"/>
      <c r="CE352" s="377"/>
      <c r="CF352" s="377"/>
      <c r="CG352" s="377"/>
      <c r="CH352" s="377"/>
      <c r="CI352" s="377"/>
    </row>
    <row r="353" spans="1:87" ht="15">
      <c r="A353" s="377"/>
      <c r="B353" s="377"/>
      <c r="C353" s="572"/>
      <c r="D353" s="377"/>
      <c r="E353" s="377"/>
      <c r="F353" s="377"/>
      <c r="G353" s="377"/>
      <c r="H353" s="573"/>
      <c r="I353" s="377"/>
      <c r="J353" s="377"/>
      <c r="K353" s="377"/>
      <c r="L353" s="377"/>
      <c r="M353" s="377"/>
      <c r="N353" s="377"/>
      <c r="O353" s="377"/>
      <c r="P353" s="377"/>
      <c r="Q353" s="377"/>
      <c r="R353" s="377"/>
      <c r="S353" s="377"/>
      <c r="T353" s="377"/>
      <c r="U353" s="377"/>
      <c r="V353" s="377"/>
      <c r="W353" s="377"/>
      <c r="X353" s="574"/>
      <c r="Y353" s="377"/>
      <c r="Z353" s="377"/>
      <c r="AA353" s="377"/>
      <c r="AB353" s="377"/>
      <c r="AC353" s="377"/>
      <c r="AD353" s="377"/>
      <c r="AE353" s="377"/>
      <c r="AF353" s="377"/>
      <c r="AG353" s="377"/>
      <c r="AH353" s="377"/>
      <c r="AI353" s="377"/>
      <c r="AJ353" s="377"/>
      <c r="AK353" s="377"/>
      <c r="AL353" s="574"/>
      <c r="AM353" s="377"/>
      <c r="AN353" s="377"/>
      <c r="AO353" s="377"/>
      <c r="AP353" s="377"/>
      <c r="AQ353" s="377"/>
      <c r="AR353" s="377"/>
      <c r="AS353" s="377"/>
      <c r="AT353" s="377"/>
      <c r="AU353" s="377"/>
      <c r="AV353" s="377"/>
      <c r="AW353" s="575"/>
      <c r="AX353" s="377"/>
      <c r="AY353" s="377"/>
      <c r="AZ353" s="377"/>
      <c r="BA353" s="377"/>
      <c r="BB353" s="377"/>
      <c r="BC353" s="377"/>
      <c r="BD353" s="377"/>
      <c r="BE353" s="377"/>
      <c r="BF353" s="377"/>
      <c r="BG353" s="377"/>
      <c r="BH353" s="377"/>
      <c r="BI353" s="377"/>
      <c r="BJ353" s="377"/>
      <c r="BK353" s="377"/>
      <c r="BL353" s="377"/>
      <c r="BM353" s="377"/>
      <c r="BN353" s="576"/>
      <c r="BO353" s="377"/>
      <c r="BP353" s="377"/>
      <c r="BQ353" s="377"/>
      <c r="BR353" s="377"/>
      <c r="BS353" s="377"/>
      <c r="BT353" s="377"/>
      <c r="BU353" s="377"/>
      <c r="BV353" s="377"/>
      <c r="BW353" s="377"/>
      <c r="BX353" s="377"/>
      <c r="BY353" s="377"/>
      <c r="BZ353" s="377"/>
      <c r="CA353" s="377"/>
      <c r="CB353" s="377"/>
      <c r="CC353" s="377"/>
      <c r="CD353" s="377"/>
      <c r="CE353" s="377"/>
      <c r="CF353" s="377"/>
      <c r="CG353" s="377"/>
      <c r="CH353" s="377"/>
      <c r="CI353" s="377"/>
    </row>
    <row r="354" spans="1:87" ht="15">
      <c r="A354" s="377"/>
      <c r="B354" s="377"/>
      <c r="C354" s="572"/>
      <c r="D354" s="377"/>
      <c r="E354" s="377"/>
      <c r="F354" s="377"/>
      <c r="G354" s="377"/>
      <c r="H354" s="573"/>
      <c r="I354" s="377"/>
      <c r="J354" s="377"/>
      <c r="K354" s="377"/>
      <c r="L354" s="377"/>
      <c r="M354" s="377"/>
      <c r="N354" s="377"/>
      <c r="O354" s="377"/>
      <c r="P354" s="377"/>
      <c r="Q354" s="377"/>
      <c r="R354" s="377"/>
      <c r="S354" s="377"/>
      <c r="T354" s="377"/>
      <c r="U354" s="377"/>
      <c r="V354" s="377"/>
      <c r="W354" s="377"/>
      <c r="X354" s="574"/>
      <c r="Y354" s="377"/>
      <c r="Z354" s="377"/>
      <c r="AA354" s="377"/>
      <c r="AB354" s="377"/>
      <c r="AC354" s="377"/>
      <c r="AD354" s="377"/>
      <c r="AE354" s="377"/>
      <c r="AF354" s="377"/>
      <c r="AG354" s="377"/>
      <c r="AH354" s="377"/>
      <c r="AI354" s="377"/>
      <c r="AJ354" s="377"/>
      <c r="AK354" s="377"/>
      <c r="AL354" s="574"/>
      <c r="AM354" s="377"/>
      <c r="AN354" s="377"/>
      <c r="AO354" s="377"/>
      <c r="AP354" s="377"/>
      <c r="AQ354" s="377"/>
      <c r="AR354" s="377"/>
      <c r="AS354" s="377"/>
      <c r="AT354" s="377"/>
      <c r="AU354" s="377"/>
      <c r="AV354" s="377"/>
      <c r="AW354" s="575"/>
      <c r="AX354" s="377"/>
      <c r="AY354" s="377"/>
      <c r="AZ354" s="377"/>
      <c r="BA354" s="377"/>
      <c r="BB354" s="377"/>
      <c r="BC354" s="377"/>
      <c r="BD354" s="377"/>
      <c r="BE354" s="377"/>
      <c r="BF354" s="377"/>
      <c r="BG354" s="377"/>
      <c r="BH354" s="377"/>
      <c r="BI354" s="377"/>
      <c r="BJ354" s="377"/>
      <c r="BK354" s="377"/>
      <c r="BL354" s="377"/>
      <c r="BM354" s="377"/>
      <c r="BN354" s="576"/>
      <c r="BO354" s="377"/>
      <c r="BP354" s="377"/>
      <c r="BQ354" s="377"/>
      <c r="BR354" s="377"/>
      <c r="BS354" s="377"/>
      <c r="BT354" s="377"/>
      <c r="BU354" s="377"/>
      <c r="BV354" s="377"/>
      <c r="BW354" s="377"/>
      <c r="BX354" s="377"/>
      <c r="BY354" s="377"/>
      <c r="BZ354" s="377"/>
      <c r="CA354" s="377"/>
      <c r="CB354" s="377"/>
      <c r="CC354" s="377"/>
      <c r="CD354" s="377"/>
      <c r="CE354" s="377"/>
      <c r="CF354" s="377"/>
      <c r="CG354" s="377"/>
      <c r="CH354" s="377"/>
      <c r="CI354" s="377"/>
    </row>
    <row r="355" spans="1:87" ht="15">
      <c r="A355" s="377"/>
      <c r="B355" s="377"/>
      <c r="C355" s="572"/>
      <c r="D355" s="377"/>
      <c r="E355" s="377"/>
      <c r="F355" s="377"/>
      <c r="G355" s="377"/>
      <c r="H355" s="573"/>
      <c r="I355" s="377"/>
      <c r="J355" s="377"/>
      <c r="K355" s="377"/>
      <c r="L355" s="377"/>
      <c r="M355" s="377"/>
      <c r="N355" s="377"/>
      <c r="O355" s="377"/>
      <c r="P355" s="377"/>
      <c r="Q355" s="377"/>
      <c r="R355" s="377"/>
      <c r="S355" s="377"/>
      <c r="T355" s="377"/>
      <c r="U355" s="377"/>
      <c r="V355" s="377"/>
      <c r="W355" s="377"/>
      <c r="X355" s="574"/>
      <c r="Y355" s="377"/>
      <c r="Z355" s="377"/>
      <c r="AA355" s="377"/>
      <c r="AB355" s="377"/>
      <c r="AC355" s="377"/>
      <c r="AD355" s="377"/>
      <c r="AE355" s="377"/>
      <c r="AF355" s="377"/>
      <c r="AG355" s="377"/>
      <c r="AH355" s="377"/>
      <c r="AI355" s="377"/>
      <c r="AJ355" s="377"/>
      <c r="AK355" s="377"/>
      <c r="AL355" s="574"/>
      <c r="AM355" s="377"/>
      <c r="AN355" s="377"/>
      <c r="AO355" s="377"/>
      <c r="AP355" s="377"/>
      <c r="AQ355" s="377"/>
      <c r="AR355" s="377"/>
      <c r="AS355" s="377"/>
      <c r="AT355" s="377"/>
      <c r="AU355" s="377"/>
      <c r="AV355" s="377"/>
      <c r="AW355" s="575"/>
      <c r="AX355" s="377"/>
      <c r="AY355" s="377"/>
      <c r="AZ355" s="377"/>
      <c r="BA355" s="377"/>
      <c r="BB355" s="377"/>
      <c r="BC355" s="377"/>
      <c r="BD355" s="377"/>
      <c r="BE355" s="377"/>
      <c r="BF355" s="377"/>
      <c r="BG355" s="377"/>
      <c r="BH355" s="377"/>
      <c r="BI355" s="377"/>
      <c r="BJ355" s="377"/>
      <c r="BK355" s="377"/>
      <c r="BL355" s="377"/>
      <c r="BM355" s="377"/>
      <c r="BN355" s="576"/>
      <c r="BO355" s="377"/>
      <c r="BP355" s="377"/>
      <c r="BQ355" s="377"/>
      <c r="BR355" s="377"/>
      <c r="BS355" s="377"/>
      <c r="BT355" s="377"/>
      <c r="BU355" s="377"/>
      <c r="BV355" s="377"/>
      <c r="BW355" s="377"/>
      <c r="BX355" s="377"/>
      <c r="BY355" s="377"/>
      <c r="BZ355" s="377"/>
      <c r="CA355" s="377"/>
      <c r="CB355" s="377"/>
      <c r="CC355" s="377"/>
      <c r="CD355" s="377"/>
      <c r="CE355" s="377"/>
      <c r="CF355" s="377"/>
      <c r="CG355" s="377"/>
      <c r="CH355" s="377"/>
      <c r="CI355" s="377"/>
    </row>
    <row r="356" spans="1:87" ht="15">
      <c r="A356" s="377"/>
      <c r="B356" s="377"/>
      <c r="C356" s="572"/>
      <c r="D356" s="377"/>
      <c r="E356" s="377"/>
      <c r="F356" s="377"/>
      <c r="G356" s="377"/>
      <c r="H356" s="573"/>
      <c r="I356" s="377"/>
      <c r="J356" s="377"/>
      <c r="K356" s="377"/>
      <c r="L356" s="377"/>
      <c r="M356" s="377"/>
      <c r="N356" s="377"/>
      <c r="O356" s="377"/>
      <c r="P356" s="377"/>
      <c r="Q356" s="377"/>
      <c r="R356" s="377"/>
      <c r="S356" s="377"/>
      <c r="T356" s="377"/>
      <c r="U356" s="377"/>
      <c r="V356" s="377"/>
      <c r="W356" s="377"/>
      <c r="X356" s="574"/>
      <c r="Y356" s="377"/>
      <c r="Z356" s="377"/>
      <c r="AA356" s="377"/>
      <c r="AB356" s="377"/>
      <c r="AC356" s="377"/>
      <c r="AD356" s="377"/>
      <c r="AE356" s="377"/>
      <c r="AF356" s="377"/>
      <c r="AG356" s="377"/>
      <c r="AH356" s="377"/>
      <c r="AI356" s="377"/>
      <c r="AJ356" s="377"/>
      <c r="AK356" s="377"/>
      <c r="AL356" s="574"/>
      <c r="AM356" s="377"/>
      <c r="AN356" s="377"/>
      <c r="AO356" s="377"/>
      <c r="AP356" s="377"/>
      <c r="AQ356" s="377"/>
      <c r="AR356" s="377"/>
      <c r="AS356" s="377"/>
      <c r="AT356" s="377"/>
      <c r="AU356" s="377"/>
      <c r="AV356" s="377"/>
      <c r="AW356" s="575"/>
      <c r="AX356" s="377"/>
      <c r="AY356" s="377"/>
      <c r="AZ356" s="377"/>
      <c r="BA356" s="377"/>
      <c r="BB356" s="377"/>
      <c r="BC356" s="377"/>
      <c r="BD356" s="377"/>
      <c r="BE356" s="377"/>
      <c r="BF356" s="377"/>
      <c r="BG356" s="377"/>
      <c r="BH356" s="377"/>
      <c r="BI356" s="377"/>
      <c r="BJ356" s="377"/>
      <c r="BK356" s="377"/>
      <c r="BL356" s="377"/>
      <c r="BM356" s="377"/>
      <c r="BN356" s="576"/>
      <c r="BO356" s="377"/>
      <c r="BP356" s="377"/>
      <c r="BQ356" s="377"/>
      <c r="BR356" s="377"/>
      <c r="BS356" s="377"/>
      <c r="BT356" s="377"/>
      <c r="BU356" s="377"/>
      <c r="BV356" s="377"/>
      <c r="BW356" s="377"/>
      <c r="BX356" s="377"/>
      <c r="BY356" s="377"/>
      <c r="BZ356" s="377"/>
      <c r="CA356" s="377"/>
      <c r="CB356" s="377"/>
      <c r="CC356" s="377"/>
      <c r="CD356" s="377"/>
      <c r="CE356" s="377"/>
      <c r="CF356" s="377"/>
      <c r="CG356" s="377"/>
      <c r="CH356" s="377"/>
      <c r="CI356" s="377"/>
    </row>
    <row r="357" spans="1:87" ht="15">
      <c r="A357" s="377"/>
      <c r="B357" s="377"/>
      <c r="C357" s="572"/>
      <c r="D357" s="377"/>
      <c r="E357" s="377"/>
      <c r="F357" s="377"/>
      <c r="G357" s="377"/>
      <c r="H357" s="573"/>
      <c r="I357" s="377"/>
      <c r="J357" s="377"/>
      <c r="K357" s="377"/>
      <c r="L357" s="377"/>
      <c r="M357" s="377"/>
      <c r="N357" s="377"/>
      <c r="O357" s="377"/>
      <c r="P357" s="377"/>
      <c r="Q357" s="377"/>
      <c r="R357" s="377"/>
      <c r="S357" s="377"/>
      <c r="T357" s="377"/>
      <c r="U357" s="377"/>
      <c r="V357" s="377"/>
      <c r="W357" s="377"/>
      <c r="X357" s="574"/>
      <c r="Y357" s="377"/>
      <c r="Z357" s="377"/>
      <c r="AA357" s="377"/>
      <c r="AB357" s="377"/>
      <c r="AC357" s="377"/>
      <c r="AD357" s="377"/>
      <c r="AE357" s="377"/>
      <c r="AF357" s="377"/>
      <c r="AG357" s="377"/>
      <c r="AH357" s="377"/>
      <c r="AI357" s="377"/>
      <c r="AJ357" s="377"/>
      <c r="AK357" s="377"/>
      <c r="AL357" s="574"/>
      <c r="AM357" s="377"/>
      <c r="AN357" s="377"/>
      <c r="AO357" s="377"/>
      <c r="AP357" s="377"/>
      <c r="AQ357" s="377"/>
      <c r="AR357" s="377"/>
      <c r="AS357" s="377"/>
      <c r="AT357" s="377"/>
      <c r="AU357" s="377"/>
      <c r="AV357" s="377"/>
      <c r="AW357" s="575"/>
      <c r="AX357" s="377"/>
      <c r="AY357" s="377"/>
      <c r="AZ357" s="377"/>
      <c r="BA357" s="377"/>
      <c r="BB357" s="377"/>
      <c r="BC357" s="377"/>
      <c r="BD357" s="377"/>
      <c r="BE357" s="377"/>
      <c r="BF357" s="377"/>
      <c r="BG357" s="377"/>
      <c r="BH357" s="377"/>
      <c r="BI357" s="377"/>
      <c r="BJ357" s="377"/>
      <c r="BK357" s="377"/>
      <c r="BL357" s="377"/>
      <c r="BM357" s="377"/>
      <c r="BN357" s="576"/>
      <c r="BO357" s="377"/>
      <c r="BP357" s="377"/>
      <c r="BQ357" s="377"/>
      <c r="BR357" s="377"/>
      <c r="BS357" s="377"/>
      <c r="BT357" s="377"/>
      <c r="BU357" s="377"/>
      <c r="BV357" s="377"/>
      <c r="BW357" s="377"/>
      <c r="BX357" s="377"/>
      <c r="BY357" s="377"/>
      <c r="BZ357" s="377"/>
      <c r="CA357" s="377"/>
      <c r="CB357" s="377"/>
      <c r="CC357" s="377"/>
      <c r="CD357" s="377"/>
      <c r="CE357" s="377"/>
      <c r="CF357" s="377"/>
      <c r="CG357" s="377"/>
      <c r="CH357" s="377"/>
      <c r="CI357" s="377"/>
    </row>
    <row r="358" spans="1:87" ht="15">
      <c r="A358" s="377"/>
      <c r="B358" s="377"/>
      <c r="C358" s="572"/>
      <c r="D358" s="377"/>
      <c r="E358" s="377"/>
      <c r="F358" s="377"/>
      <c r="G358" s="377"/>
      <c r="H358" s="573"/>
      <c r="I358" s="377"/>
      <c r="J358" s="377"/>
      <c r="K358" s="377"/>
      <c r="L358" s="377"/>
      <c r="M358" s="377"/>
      <c r="N358" s="377"/>
      <c r="O358" s="377"/>
      <c r="P358" s="377"/>
      <c r="Q358" s="377"/>
      <c r="R358" s="377"/>
      <c r="S358" s="377"/>
      <c r="T358" s="377"/>
      <c r="U358" s="377"/>
      <c r="V358" s="377"/>
      <c r="W358" s="377"/>
      <c r="X358" s="574"/>
      <c r="Y358" s="377"/>
      <c r="Z358" s="377"/>
      <c r="AA358" s="377"/>
      <c r="AB358" s="377"/>
      <c r="AC358" s="377"/>
      <c r="AD358" s="377"/>
      <c r="AE358" s="377"/>
      <c r="AF358" s="377"/>
      <c r="AG358" s="377"/>
      <c r="AH358" s="377"/>
      <c r="AI358" s="377"/>
      <c r="AJ358" s="377"/>
      <c r="AK358" s="377"/>
      <c r="AL358" s="574"/>
      <c r="AM358" s="377"/>
      <c r="AN358" s="377"/>
      <c r="AO358" s="377"/>
      <c r="AP358" s="377"/>
      <c r="AQ358" s="377"/>
      <c r="AR358" s="377"/>
      <c r="AS358" s="377"/>
      <c r="AT358" s="377"/>
      <c r="AU358" s="377"/>
      <c r="AV358" s="377"/>
      <c r="AW358" s="575"/>
      <c r="AX358" s="377"/>
      <c r="AY358" s="377"/>
      <c r="AZ358" s="377"/>
      <c r="BA358" s="377"/>
      <c r="BB358" s="377"/>
      <c r="BC358" s="377"/>
      <c r="BD358" s="377"/>
      <c r="BE358" s="377"/>
      <c r="BF358" s="377"/>
      <c r="BG358" s="377"/>
      <c r="BH358" s="377"/>
      <c r="BI358" s="377"/>
      <c r="BJ358" s="377"/>
      <c r="BK358" s="377"/>
      <c r="BL358" s="377"/>
      <c r="BM358" s="377"/>
      <c r="BN358" s="576"/>
      <c r="BO358" s="377"/>
      <c r="BP358" s="377"/>
      <c r="BQ358" s="377"/>
      <c r="BR358" s="377"/>
      <c r="BS358" s="377"/>
      <c r="BT358" s="377"/>
      <c r="BU358" s="377"/>
      <c r="BV358" s="377"/>
      <c r="BW358" s="377"/>
      <c r="BX358" s="377"/>
      <c r="BY358" s="377"/>
      <c r="BZ358" s="377"/>
      <c r="CA358" s="377"/>
      <c r="CB358" s="377"/>
      <c r="CC358" s="377"/>
      <c r="CD358" s="377"/>
      <c r="CE358" s="377"/>
      <c r="CF358" s="377"/>
      <c r="CG358" s="377"/>
      <c r="CH358" s="377"/>
      <c r="CI358" s="377"/>
    </row>
    <row r="359" spans="1:87" ht="15">
      <c r="A359" s="377"/>
      <c r="B359" s="377"/>
      <c r="C359" s="572"/>
      <c r="D359" s="377"/>
      <c r="E359" s="377"/>
      <c r="F359" s="377"/>
      <c r="G359" s="377"/>
      <c r="H359" s="573"/>
      <c r="I359" s="377"/>
      <c r="J359" s="377"/>
      <c r="K359" s="377"/>
      <c r="L359" s="377"/>
      <c r="M359" s="377"/>
      <c r="N359" s="377"/>
      <c r="O359" s="377"/>
      <c r="P359" s="377"/>
      <c r="Q359" s="377"/>
      <c r="R359" s="377"/>
      <c r="S359" s="377"/>
      <c r="T359" s="377"/>
      <c r="U359" s="377"/>
      <c r="V359" s="377"/>
      <c r="W359" s="377"/>
      <c r="X359" s="574"/>
      <c r="Y359" s="377"/>
      <c r="Z359" s="377"/>
      <c r="AA359" s="377"/>
      <c r="AB359" s="377"/>
      <c r="AC359" s="377"/>
      <c r="AD359" s="377"/>
      <c r="AE359" s="377"/>
      <c r="AF359" s="377"/>
      <c r="AG359" s="377"/>
      <c r="AH359" s="377"/>
      <c r="AI359" s="377"/>
      <c r="AJ359" s="377"/>
      <c r="AK359" s="377"/>
      <c r="AL359" s="574"/>
      <c r="AM359" s="377"/>
      <c r="AN359" s="377"/>
      <c r="AO359" s="377"/>
      <c r="AP359" s="377"/>
      <c r="AQ359" s="377"/>
      <c r="AR359" s="377"/>
      <c r="AS359" s="377"/>
      <c r="AT359" s="377"/>
      <c r="AU359" s="377"/>
      <c r="AV359" s="377"/>
      <c r="AW359" s="575"/>
      <c r="AX359" s="377"/>
      <c r="AY359" s="377"/>
      <c r="AZ359" s="377"/>
      <c r="BA359" s="377"/>
      <c r="BB359" s="377"/>
      <c r="BC359" s="377"/>
      <c r="BD359" s="377"/>
      <c r="BE359" s="377"/>
      <c r="BF359" s="377"/>
      <c r="BG359" s="377"/>
      <c r="BH359" s="377"/>
      <c r="BI359" s="377"/>
      <c r="BJ359" s="377"/>
      <c r="BK359" s="377"/>
      <c r="BL359" s="377"/>
      <c r="BM359" s="377"/>
      <c r="BN359" s="576"/>
      <c r="BO359" s="377"/>
      <c r="BP359" s="377"/>
      <c r="BQ359" s="377"/>
      <c r="BR359" s="377"/>
      <c r="BS359" s="377"/>
      <c r="BT359" s="377"/>
      <c r="BU359" s="377"/>
      <c r="BV359" s="377"/>
      <c r="BW359" s="377"/>
      <c r="BX359" s="377"/>
      <c r="BY359" s="377"/>
      <c r="BZ359" s="377"/>
      <c r="CA359" s="377"/>
      <c r="CB359" s="377"/>
      <c r="CC359" s="377"/>
      <c r="CD359" s="377"/>
      <c r="CE359" s="377"/>
      <c r="CF359" s="377"/>
      <c r="CG359" s="377"/>
      <c r="CH359" s="377"/>
      <c r="CI359" s="377"/>
    </row>
    <row r="360" spans="1:87" ht="15">
      <c r="A360" s="377"/>
      <c r="B360" s="377"/>
      <c r="C360" s="572"/>
      <c r="D360" s="377"/>
      <c r="E360" s="377"/>
      <c r="F360" s="377"/>
      <c r="G360" s="377"/>
      <c r="H360" s="573"/>
      <c r="I360" s="377"/>
      <c r="J360" s="377"/>
      <c r="K360" s="377"/>
      <c r="L360" s="377"/>
      <c r="M360" s="377"/>
      <c r="N360" s="377"/>
      <c r="O360" s="377"/>
      <c r="P360" s="377"/>
      <c r="Q360" s="377"/>
      <c r="R360" s="377"/>
      <c r="S360" s="377"/>
      <c r="T360" s="377"/>
      <c r="U360" s="377"/>
      <c r="V360" s="377"/>
      <c r="W360" s="377"/>
      <c r="X360" s="574"/>
      <c r="Y360" s="377"/>
      <c r="Z360" s="377"/>
      <c r="AA360" s="377"/>
      <c r="AB360" s="377"/>
      <c r="AC360" s="377"/>
      <c r="AD360" s="377"/>
      <c r="AE360" s="377"/>
      <c r="AF360" s="377"/>
      <c r="AG360" s="377"/>
      <c r="AH360" s="377"/>
      <c r="AI360" s="377"/>
      <c r="AJ360" s="377"/>
      <c r="AK360" s="377"/>
      <c r="AL360" s="574"/>
      <c r="AM360" s="377"/>
      <c r="AN360" s="377"/>
      <c r="AO360" s="377"/>
      <c r="AP360" s="377"/>
      <c r="AQ360" s="377"/>
      <c r="AR360" s="377"/>
      <c r="AS360" s="377"/>
      <c r="AT360" s="377"/>
      <c r="AU360" s="377"/>
      <c r="AV360" s="377"/>
      <c r="AW360" s="575"/>
      <c r="AX360" s="377"/>
      <c r="AY360" s="377"/>
      <c r="AZ360" s="377"/>
      <c r="BA360" s="377"/>
      <c r="BB360" s="377"/>
      <c r="BC360" s="377"/>
      <c r="BD360" s="377"/>
      <c r="BE360" s="377"/>
      <c r="BF360" s="377"/>
      <c r="BG360" s="377"/>
      <c r="BH360" s="377"/>
      <c r="BI360" s="377"/>
      <c r="BJ360" s="377"/>
      <c r="BK360" s="377"/>
      <c r="BL360" s="377"/>
      <c r="BM360" s="377"/>
      <c r="BN360" s="576"/>
      <c r="BO360" s="377"/>
      <c r="BP360" s="377"/>
      <c r="BQ360" s="377"/>
      <c r="BR360" s="377"/>
      <c r="BS360" s="377"/>
      <c r="BT360" s="377"/>
      <c r="BU360" s="377"/>
      <c r="BV360" s="377"/>
      <c r="BW360" s="377"/>
      <c r="BX360" s="377"/>
      <c r="BY360" s="377"/>
      <c r="BZ360" s="377"/>
      <c r="CA360" s="377"/>
      <c r="CB360" s="377"/>
      <c r="CC360" s="377"/>
      <c r="CD360" s="377"/>
      <c r="CE360" s="377"/>
      <c r="CF360" s="377"/>
      <c r="CG360" s="377"/>
      <c r="CH360" s="377"/>
      <c r="CI360" s="377"/>
    </row>
    <row r="361" spans="1:87" ht="15">
      <c r="A361" s="377"/>
      <c r="B361" s="377"/>
      <c r="C361" s="572"/>
      <c r="D361" s="377"/>
      <c r="E361" s="377"/>
      <c r="F361" s="377"/>
      <c r="G361" s="377"/>
      <c r="H361" s="573"/>
      <c r="I361" s="377"/>
      <c r="J361" s="377"/>
      <c r="K361" s="377"/>
      <c r="L361" s="377"/>
      <c r="M361" s="377"/>
      <c r="N361" s="377"/>
      <c r="O361" s="377"/>
      <c r="P361" s="377"/>
      <c r="Q361" s="377"/>
      <c r="R361" s="377"/>
      <c r="S361" s="377"/>
      <c r="T361" s="377"/>
      <c r="U361" s="377"/>
      <c r="V361" s="377"/>
      <c r="W361" s="377"/>
      <c r="X361" s="574"/>
      <c r="Y361" s="377"/>
      <c r="Z361" s="377"/>
      <c r="AA361" s="377"/>
      <c r="AB361" s="377"/>
      <c r="AC361" s="377"/>
      <c r="AD361" s="377"/>
      <c r="AE361" s="377"/>
      <c r="AF361" s="377"/>
      <c r="AG361" s="377"/>
      <c r="AH361" s="377"/>
      <c r="AI361" s="377"/>
      <c r="AJ361" s="377"/>
      <c r="AK361" s="377"/>
      <c r="AL361" s="574"/>
      <c r="AM361" s="377"/>
      <c r="AN361" s="377"/>
      <c r="AO361" s="377"/>
      <c r="AP361" s="377"/>
      <c r="AQ361" s="377"/>
      <c r="AR361" s="377"/>
      <c r="AS361" s="377"/>
      <c r="AT361" s="377"/>
      <c r="AU361" s="377"/>
      <c r="AV361" s="377"/>
      <c r="AW361" s="575"/>
      <c r="AX361" s="377"/>
      <c r="AY361" s="377"/>
      <c r="AZ361" s="377"/>
      <c r="BA361" s="377"/>
      <c r="BB361" s="377"/>
      <c r="BC361" s="377"/>
      <c r="BD361" s="377"/>
      <c r="BE361" s="377"/>
      <c r="BF361" s="377"/>
      <c r="BG361" s="377"/>
      <c r="BH361" s="377"/>
      <c r="BI361" s="377"/>
      <c r="BJ361" s="377"/>
      <c r="BK361" s="377"/>
      <c r="BL361" s="377"/>
      <c r="BM361" s="377"/>
      <c r="BN361" s="576"/>
      <c r="BO361" s="377"/>
      <c r="BP361" s="377"/>
      <c r="BQ361" s="377"/>
      <c r="BR361" s="377"/>
      <c r="BS361" s="377"/>
      <c r="BT361" s="377"/>
      <c r="BU361" s="377"/>
      <c r="BV361" s="377"/>
      <c r="BW361" s="377"/>
      <c r="BX361" s="377"/>
      <c r="BY361" s="377"/>
      <c r="BZ361" s="377"/>
      <c r="CA361" s="377"/>
      <c r="CB361" s="377"/>
      <c r="CC361" s="377"/>
      <c r="CD361" s="377"/>
      <c r="CE361" s="377"/>
      <c r="CF361" s="377"/>
      <c r="CG361" s="377"/>
      <c r="CH361" s="377"/>
      <c r="CI361" s="377"/>
    </row>
    <row r="362" spans="1:87" ht="15">
      <c r="A362" s="377"/>
      <c r="B362" s="377"/>
      <c r="C362" s="572"/>
      <c r="D362" s="377"/>
      <c r="E362" s="377"/>
      <c r="F362" s="377"/>
      <c r="G362" s="377"/>
      <c r="H362" s="573"/>
      <c r="I362" s="377"/>
      <c r="J362" s="377"/>
      <c r="K362" s="377"/>
      <c r="L362" s="377"/>
      <c r="M362" s="377"/>
      <c r="N362" s="377"/>
      <c r="O362" s="377"/>
      <c r="P362" s="377"/>
      <c r="Q362" s="377"/>
      <c r="R362" s="377"/>
      <c r="S362" s="377"/>
      <c r="T362" s="377"/>
      <c r="U362" s="377"/>
      <c r="V362" s="377"/>
      <c r="W362" s="377"/>
      <c r="X362" s="574"/>
      <c r="Y362" s="377"/>
      <c r="Z362" s="377"/>
      <c r="AA362" s="377"/>
      <c r="AB362" s="377"/>
      <c r="AC362" s="377"/>
      <c r="AD362" s="377"/>
      <c r="AE362" s="377"/>
      <c r="AF362" s="377"/>
      <c r="AG362" s="377"/>
      <c r="AH362" s="377"/>
      <c r="AI362" s="377"/>
      <c r="AJ362" s="377"/>
      <c r="AK362" s="377"/>
      <c r="AL362" s="574"/>
      <c r="AM362" s="377"/>
      <c r="AN362" s="377"/>
      <c r="AO362" s="377"/>
      <c r="AP362" s="377"/>
      <c r="AQ362" s="377"/>
      <c r="AR362" s="377"/>
      <c r="AS362" s="377"/>
      <c r="AT362" s="377"/>
      <c r="AU362" s="377"/>
      <c r="AV362" s="377"/>
      <c r="AW362" s="575"/>
      <c r="AX362" s="377"/>
      <c r="AY362" s="377"/>
      <c r="AZ362" s="377"/>
      <c r="BA362" s="377"/>
      <c r="BB362" s="377"/>
      <c r="BC362" s="377"/>
      <c r="BD362" s="377"/>
      <c r="BE362" s="377"/>
      <c r="BF362" s="377"/>
      <c r="BG362" s="377"/>
      <c r="BH362" s="377"/>
      <c r="BI362" s="377"/>
      <c r="BJ362" s="377"/>
      <c r="BK362" s="377"/>
      <c r="BL362" s="377"/>
      <c r="BM362" s="377"/>
      <c r="BN362" s="576"/>
      <c r="BO362" s="377"/>
      <c r="BP362" s="377"/>
      <c r="BQ362" s="377"/>
      <c r="BR362" s="377"/>
      <c r="BS362" s="377"/>
      <c r="BT362" s="377"/>
      <c r="BU362" s="377"/>
      <c r="BV362" s="377"/>
      <c r="BW362" s="377"/>
      <c r="BX362" s="377"/>
      <c r="BY362" s="377"/>
      <c r="BZ362" s="377"/>
      <c r="CA362" s="377"/>
      <c r="CB362" s="377"/>
      <c r="CC362" s="377"/>
      <c r="CD362" s="377"/>
      <c r="CE362" s="377"/>
      <c r="CF362" s="377"/>
      <c r="CG362" s="377"/>
      <c r="CH362" s="377"/>
      <c r="CI362" s="377"/>
    </row>
    <row r="363" spans="1:87" ht="15">
      <c r="A363" s="377"/>
      <c r="B363" s="377"/>
      <c r="C363" s="572"/>
      <c r="D363" s="377"/>
      <c r="E363" s="377"/>
      <c r="F363" s="377"/>
      <c r="G363" s="377"/>
      <c r="H363" s="573"/>
      <c r="I363" s="377"/>
      <c r="J363" s="377"/>
      <c r="K363" s="377"/>
      <c r="L363" s="377"/>
      <c r="M363" s="377"/>
      <c r="N363" s="377"/>
      <c r="O363" s="377"/>
      <c r="P363" s="377"/>
      <c r="Q363" s="377"/>
      <c r="R363" s="377"/>
      <c r="S363" s="377"/>
      <c r="T363" s="377"/>
      <c r="U363" s="377"/>
      <c r="V363" s="377"/>
      <c r="W363" s="377"/>
      <c r="X363" s="574"/>
      <c r="Y363" s="377"/>
      <c r="Z363" s="377"/>
      <c r="AA363" s="377"/>
      <c r="AB363" s="377"/>
      <c r="AC363" s="377"/>
      <c r="AD363" s="377"/>
      <c r="AE363" s="377"/>
      <c r="AF363" s="377"/>
      <c r="AG363" s="377"/>
      <c r="AH363" s="377"/>
      <c r="AI363" s="377"/>
      <c r="AJ363" s="377"/>
      <c r="AK363" s="377"/>
      <c r="AL363" s="574"/>
      <c r="AM363" s="377"/>
      <c r="AN363" s="377"/>
      <c r="AO363" s="377"/>
      <c r="AP363" s="377"/>
      <c r="AQ363" s="377"/>
      <c r="AR363" s="377"/>
      <c r="AS363" s="377"/>
      <c r="AT363" s="377"/>
      <c r="AU363" s="377"/>
      <c r="AV363" s="377"/>
      <c r="AW363" s="575"/>
      <c r="AX363" s="377"/>
      <c r="AY363" s="377"/>
      <c r="AZ363" s="377"/>
      <c r="BA363" s="377"/>
      <c r="BB363" s="377"/>
      <c r="BC363" s="377"/>
      <c r="BD363" s="377"/>
      <c r="BE363" s="377"/>
      <c r="BF363" s="377"/>
      <c r="BG363" s="377"/>
      <c r="BH363" s="377"/>
      <c r="BI363" s="377"/>
      <c r="BJ363" s="377"/>
      <c r="BK363" s="377"/>
      <c r="BL363" s="377"/>
      <c r="BM363" s="377"/>
      <c r="BN363" s="576"/>
      <c r="BO363" s="377"/>
      <c r="BP363" s="377"/>
      <c r="BQ363" s="377"/>
      <c r="BR363" s="377"/>
      <c r="BS363" s="377"/>
      <c r="BT363" s="377"/>
      <c r="BU363" s="377"/>
      <c r="BV363" s="377"/>
      <c r="BW363" s="377"/>
      <c r="BX363" s="377"/>
      <c r="BY363" s="377"/>
      <c r="BZ363" s="377"/>
      <c r="CA363" s="377"/>
      <c r="CB363" s="377"/>
      <c r="CC363" s="377"/>
      <c r="CD363" s="377"/>
      <c r="CE363" s="377"/>
      <c r="CF363" s="377"/>
      <c r="CG363" s="377"/>
      <c r="CH363" s="377"/>
      <c r="CI363" s="377"/>
    </row>
    <row r="364" spans="1:87" ht="15">
      <c r="A364" s="377"/>
      <c r="B364" s="377"/>
      <c r="C364" s="572"/>
      <c r="D364" s="377"/>
      <c r="E364" s="377"/>
      <c r="F364" s="377"/>
      <c r="G364" s="377"/>
      <c r="H364" s="573"/>
      <c r="I364" s="377"/>
      <c r="J364" s="377"/>
      <c r="K364" s="377"/>
      <c r="L364" s="377"/>
      <c r="M364" s="377"/>
      <c r="N364" s="377"/>
      <c r="O364" s="377"/>
      <c r="P364" s="377"/>
      <c r="Q364" s="377"/>
      <c r="R364" s="377"/>
      <c r="S364" s="377"/>
      <c r="T364" s="377"/>
      <c r="U364" s="377"/>
      <c r="V364" s="377"/>
      <c r="W364" s="377"/>
      <c r="X364" s="574"/>
      <c r="Y364" s="377"/>
      <c r="Z364" s="377"/>
      <c r="AA364" s="377"/>
      <c r="AB364" s="377"/>
      <c r="AC364" s="377"/>
      <c r="AD364" s="377"/>
      <c r="AE364" s="377"/>
      <c r="AF364" s="377"/>
      <c r="AG364" s="377"/>
      <c r="AH364" s="377"/>
      <c r="AI364" s="377"/>
      <c r="AJ364" s="377"/>
      <c r="AK364" s="377"/>
      <c r="AL364" s="574"/>
      <c r="AM364" s="377"/>
      <c r="AN364" s="377"/>
      <c r="AO364" s="377"/>
      <c r="AP364" s="377"/>
      <c r="AQ364" s="377"/>
      <c r="AR364" s="377"/>
      <c r="AS364" s="377"/>
      <c r="AT364" s="377"/>
      <c r="AU364" s="377"/>
      <c r="AV364" s="377"/>
      <c r="AW364" s="575"/>
      <c r="AX364" s="377"/>
      <c r="AY364" s="377"/>
      <c r="AZ364" s="377"/>
      <c r="BA364" s="377"/>
      <c r="BB364" s="377"/>
      <c r="BC364" s="377"/>
      <c r="BD364" s="377"/>
      <c r="BE364" s="377"/>
      <c r="BF364" s="377"/>
      <c r="BG364" s="377"/>
      <c r="BH364" s="377"/>
      <c r="BI364" s="377"/>
      <c r="BJ364" s="377"/>
      <c r="BK364" s="377"/>
      <c r="BL364" s="377"/>
      <c r="BM364" s="377"/>
      <c r="BN364" s="576"/>
      <c r="BO364" s="377"/>
      <c r="BP364" s="377"/>
      <c r="BQ364" s="377"/>
      <c r="BR364" s="377"/>
      <c r="BS364" s="377"/>
      <c r="BT364" s="377"/>
      <c r="BU364" s="377"/>
      <c r="BV364" s="377"/>
      <c r="BW364" s="377"/>
      <c r="BX364" s="377"/>
      <c r="BY364" s="377"/>
      <c r="BZ364" s="377"/>
      <c r="CA364" s="377"/>
      <c r="CB364" s="377"/>
      <c r="CC364" s="377"/>
      <c r="CD364" s="377"/>
      <c r="CE364" s="377"/>
      <c r="CF364" s="377"/>
      <c r="CG364" s="377"/>
      <c r="CH364" s="377"/>
      <c r="CI364" s="377"/>
    </row>
    <row r="365" spans="1:87" ht="15">
      <c r="A365" s="377"/>
      <c r="B365" s="377"/>
      <c r="C365" s="572"/>
      <c r="D365" s="377"/>
      <c r="E365" s="377"/>
      <c r="F365" s="377"/>
      <c r="G365" s="377"/>
      <c r="H365" s="573"/>
      <c r="I365" s="377"/>
      <c r="J365" s="377"/>
      <c r="K365" s="377"/>
      <c r="L365" s="377"/>
      <c r="M365" s="377"/>
      <c r="N365" s="377"/>
      <c r="O365" s="377"/>
      <c r="P365" s="377"/>
      <c r="Q365" s="377"/>
      <c r="R365" s="377"/>
      <c r="S365" s="377"/>
      <c r="T365" s="377"/>
      <c r="U365" s="377"/>
      <c r="V365" s="377"/>
      <c r="W365" s="377"/>
      <c r="X365" s="574"/>
      <c r="Y365" s="377"/>
      <c r="Z365" s="377"/>
      <c r="AA365" s="377"/>
      <c r="AB365" s="377"/>
      <c r="AC365" s="377"/>
      <c r="AD365" s="377"/>
      <c r="AE365" s="377"/>
      <c r="AF365" s="377"/>
      <c r="AG365" s="377"/>
      <c r="AH365" s="377"/>
      <c r="AI365" s="377"/>
      <c r="AJ365" s="377"/>
      <c r="AK365" s="377"/>
      <c r="AL365" s="574"/>
      <c r="AM365" s="377"/>
      <c r="AN365" s="377"/>
      <c r="AO365" s="377"/>
      <c r="AP365" s="377"/>
      <c r="AQ365" s="377"/>
      <c r="AR365" s="377"/>
      <c r="AS365" s="377"/>
      <c r="AT365" s="377"/>
      <c r="AU365" s="377"/>
      <c r="AV365" s="377"/>
      <c r="AW365" s="575"/>
      <c r="AX365" s="377"/>
      <c r="AY365" s="377"/>
      <c r="AZ365" s="377"/>
      <c r="BA365" s="377"/>
      <c r="BB365" s="377"/>
      <c r="BC365" s="377"/>
      <c r="BD365" s="377"/>
      <c r="BE365" s="377"/>
      <c r="BF365" s="377"/>
      <c r="BG365" s="377"/>
      <c r="BH365" s="377"/>
      <c r="BI365" s="377"/>
      <c r="BJ365" s="377"/>
      <c r="BK365" s="377"/>
      <c r="BL365" s="377"/>
      <c r="BM365" s="377"/>
      <c r="BN365" s="576"/>
      <c r="BO365" s="377"/>
      <c r="BP365" s="377"/>
      <c r="BQ365" s="377"/>
      <c r="BR365" s="377"/>
      <c r="BS365" s="377"/>
      <c r="BT365" s="377"/>
      <c r="BU365" s="377"/>
      <c r="BV365" s="377"/>
      <c r="BW365" s="377"/>
      <c r="BX365" s="377"/>
      <c r="BY365" s="377"/>
      <c r="BZ365" s="377"/>
      <c r="CA365" s="377"/>
      <c r="CB365" s="377"/>
      <c r="CC365" s="377"/>
      <c r="CD365" s="377"/>
      <c r="CE365" s="377"/>
      <c r="CF365" s="377"/>
      <c r="CG365" s="377"/>
      <c r="CH365" s="377"/>
      <c r="CI365" s="377"/>
    </row>
    <row r="366" spans="1:87" ht="15">
      <c r="A366" s="377"/>
      <c r="B366" s="377"/>
      <c r="C366" s="572"/>
      <c r="D366" s="377"/>
      <c r="E366" s="377"/>
      <c r="F366" s="377"/>
      <c r="G366" s="377"/>
      <c r="H366" s="573"/>
      <c r="I366" s="377"/>
      <c r="J366" s="377"/>
      <c r="K366" s="377"/>
      <c r="L366" s="377"/>
      <c r="M366" s="377"/>
      <c r="N366" s="377"/>
      <c r="O366" s="377"/>
      <c r="P366" s="377"/>
      <c r="Q366" s="377"/>
      <c r="R366" s="377"/>
      <c r="S366" s="377"/>
      <c r="T366" s="377"/>
      <c r="U366" s="377"/>
      <c r="V366" s="377"/>
      <c r="W366" s="377"/>
      <c r="X366" s="574"/>
      <c r="Y366" s="377"/>
      <c r="Z366" s="377"/>
      <c r="AA366" s="377"/>
      <c r="AB366" s="377"/>
      <c r="AC366" s="377"/>
      <c r="AD366" s="377"/>
      <c r="AE366" s="377"/>
      <c r="AF366" s="377"/>
      <c r="AG366" s="377"/>
      <c r="AH366" s="377"/>
      <c r="AI366" s="377"/>
      <c r="AJ366" s="377"/>
      <c r="AK366" s="377"/>
      <c r="AL366" s="574"/>
      <c r="AM366" s="377"/>
      <c r="AN366" s="377"/>
      <c r="AO366" s="377"/>
      <c r="AP366" s="377"/>
      <c r="AQ366" s="377"/>
      <c r="AR366" s="377"/>
      <c r="AS366" s="377"/>
      <c r="AT366" s="377"/>
      <c r="AU366" s="377"/>
      <c r="AV366" s="377"/>
      <c r="AW366" s="575"/>
      <c r="AX366" s="377"/>
      <c r="AY366" s="377"/>
      <c r="AZ366" s="377"/>
      <c r="BA366" s="377"/>
      <c r="BB366" s="377"/>
      <c r="BC366" s="377"/>
      <c r="BD366" s="377"/>
      <c r="BE366" s="377"/>
      <c r="BF366" s="377"/>
      <c r="BG366" s="377"/>
      <c r="BH366" s="377"/>
      <c r="BI366" s="377"/>
      <c r="BJ366" s="377"/>
      <c r="BK366" s="377"/>
      <c r="BL366" s="377"/>
      <c r="BM366" s="377"/>
      <c r="BN366" s="576"/>
      <c r="BO366" s="377"/>
      <c r="BP366" s="377"/>
      <c r="BQ366" s="377"/>
      <c r="BR366" s="377"/>
      <c r="BS366" s="377"/>
      <c r="BT366" s="377"/>
      <c r="BU366" s="377"/>
      <c r="BV366" s="377"/>
      <c r="BW366" s="377"/>
      <c r="BX366" s="377"/>
      <c r="BY366" s="377"/>
      <c r="BZ366" s="377"/>
      <c r="CA366" s="377"/>
      <c r="CB366" s="377"/>
      <c r="CC366" s="377"/>
      <c r="CD366" s="377"/>
      <c r="CE366" s="377"/>
      <c r="CF366" s="377"/>
      <c r="CG366" s="377"/>
      <c r="CH366" s="377"/>
      <c r="CI366" s="377"/>
    </row>
    <row r="367" spans="1:87" ht="15">
      <c r="A367" s="377"/>
      <c r="B367" s="377"/>
      <c r="C367" s="572"/>
      <c r="D367" s="377"/>
      <c r="E367" s="377"/>
      <c r="F367" s="377"/>
      <c r="G367" s="377"/>
      <c r="H367" s="573"/>
      <c r="I367" s="377"/>
      <c r="J367" s="377"/>
      <c r="K367" s="377"/>
      <c r="L367" s="377"/>
      <c r="M367" s="377"/>
      <c r="N367" s="377"/>
      <c r="O367" s="377"/>
      <c r="P367" s="377"/>
      <c r="Q367" s="377"/>
      <c r="R367" s="377"/>
      <c r="S367" s="377"/>
      <c r="T367" s="377"/>
      <c r="U367" s="377"/>
      <c r="V367" s="377"/>
      <c r="W367" s="377"/>
      <c r="X367" s="574"/>
      <c r="Y367" s="377"/>
      <c r="Z367" s="377"/>
      <c r="AA367" s="377"/>
      <c r="AB367" s="377"/>
      <c r="AC367" s="377"/>
      <c r="AD367" s="377"/>
      <c r="AE367" s="377"/>
      <c r="AF367" s="377"/>
      <c r="AG367" s="377"/>
      <c r="AH367" s="377"/>
      <c r="AI367" s="377"/>
      <c r="AJ367" s="377"/>
      <c r="AK367" s="377"/>
      <c r="AL367" s="574"/>
      <c r="AM367" s="377"/>
      <c r="AN367" s="377"/>
      <c r="AO367" s="377"/>
      <c r="AP367" s="377"/>
      <c r="AQ367" s="377"/>
      <c r="AR367" s="377"/>
      <c r="AS367" s="377"/>
      <c r="AT367" s="377"/>
      <c r="AU367" s="377"/>
      <c r="AV367" s="377"/>
      <c r="AW367" s="575"/>
      <c r="AX367" s="377"/>
      <c r="AY367" s="377"/>
      <c r="AZ367" s="377"/>
      <c r="BA367" s="377"/>
      <c r="BB367" s="377"/>
      <c r="BC367" s="377"/>
      <c r="BD367" s="377"/>
      <c r="BE367" s="377"/>
      <c r="BF367" s="377"/>
      <c r="BG367" s="377"/>
      <c r="BH367" s="377"/>
      <c r="BI367" s="377"/>
      <c r="BJ367" s="377"/>
      <c r="BK367" s="377"/>
      <c r="BL367" s="377"/>
      <c r="BM367" s="377"/>
      <c r="BN367" s="576"/>
      <c r="BO367" s="377"/>
      <c r="BP367" s="377"/>
      <c r="BQ367" s="377"/>
      <c r="BR367" s="377"/>
      <c r="BS367" s="377"/>
      <c r="BT367" s="377"/>
      <c r="BU367" s="377"/>
      <c r="BV367" s="377"/>
      <c r="BW367" s="377"/>
      <c r="BX367" s="377"/>
      <c r="BY367" s="377"/>
      <c r="BZ367" s="377"/>
      <c r="CA367" s="377"/>
      <c r="CB367" s="377"/>
      <c r="CC367" s="377"/>
      <c r="CD367" s="377"/>
      <c r="CE367" s="377"/>
      <c r="CF367" s="377"/>
      <c r="CG367" s="377"/>
      <c r="CH367" s="377"/>
      <c r="CI367" s="377"/>
    </row>
    <row r="368" spans="1:87" ht="15">
      <c r="A368" s="377"/>
      <c r="B368" s="377"/>
      <c r="C368" s="572"/>
      <c r="D368" s="377"/>
      <c r="E368" s="377"/>
      <c r="F368" s="377"/>
      <c r="G368" s="377"/>
      <c r="H368" s="573"/>
      <c r="I368" s="377"/>
      <c r="J368" s="377"/>
      <c r="K368" s="377"/>
      <c r="L368" s="377"/>
      <c r="M368" s="377"/>
      <c r="N368" s="377"/>
      <c r="O368" s="377"/>
      <c r="P368" s="377"/>
      <c r="Q368" s="377"/>
      <c r="R368" s="377"/>
      <c r="S368" s="377"/>
      <c r="T368" s="377"/>
      <c r="U368" s="377"/>
      <c r="V368" s="377"/>
      <c r="W368" s="377"/>
      <c r="X368" s="574"/>
      <c r="Y368" s="377"/>
      <c r="Z368" s="377"/>
      <c r="AA368" s="377"/>
      <c r="AB368" s="377"/>
      <c r="AC368" s="377"/>
      <c r="AD368" s="377"/>
      <c r="AE368" s="377"/>
      <c r="AF368" s="377"/>
      <c r="AG368" s="377"/>
      <c r="AH368" s="377"/>
      <c r="AI368" s="377"/>
      <c r="AJ368" s="377"/>
      <c r="AK368" s="377"/>
      <c r="AL368" s="574"/>
      <c r="AM368" s="377"/>
      <c r="AN368" s="377"/>
      <c r="AO368" s="377"/>
      <c r="AP368" s="377"/>
      <c r="AQ368" s="377"/>
      <c r="AR368" s="377"/>
      <c r="AS368" s="377"/>
      <c r="AT368" s="377"/>
      <c r="AU368" s="377"/>
      <c r="AV368" s="377"/>
      <c r="AW368" s="575"/>
      <c r="AX368" s="377"/>
      <c r="AY368" s="377"/>
      <c r="AZ368" s="377"/>
      <c r="BA368" s="377"/>
      <c r="BB368" s="377"/>
      <c r="BC368" s="377"/>
      <c r="BD368" s="377"/>
      <c r="BE368" s="377"/>
      <c r="BF368" s="377"/>
      <c r="BG368" s="377"/>
      <c r="BH368" s="377"/>
      <c r="BI368" s="377"/>
      <c r="BJ368" s="377"/>
      <c r="BK368" s="377"/>
      <c r="BL368" s="377"/>
      <c r="BM368" s="377"/>
      <c r="BN368" s="576"/>
      <c r="BO368" s="377"/>
      <c r="BP368" s="377"/>
      <c r="BQ368" s="377"/>
      <c r="BR368" s="377"/>
      <c r="BS368" s="377"/>
      <c r="BT368" s="377"/>
      <c r="BU368" s="377"/>
      <c r="BV368" s="377"/>
      <c r="BW368" s="377"/>
      <c r="BX368" s="377"/>
      <c r="BY368" s="377"/>
      <c r="BZ368" s="377"/>
      <c r="CA368" s="377"/>
      <c r="CB368" s="377"/>
      <c r="CC368" s="377"/>
      <c r="CD368" s="377"/>
      <c r="CE368" s="377"/>
      <c r="CF368" s="377"/>
      <c r="CG368" s="377"/>
      <c r="CH368" s="377"/>
      <c r="CI368" s="377"/>
    </row>
    <row r="369" spans="1:87" ht="15">
      <c r="A369" s="377"/>
      <c r="B369" s="377"/>
      <c r="C369" s="572"/>
      <c r="D369" s="377"/>
      <c r="E369" s="377"/>
      <c r="F369" s="377"/>
      <c r="G369" s="377"/>
      <c r="H369" s="573"/>
      <c r="I369" s="377"/>
      <c r="J369" s="377"/>
      <c r="K369" s="377"/>
      <c r="L369" s="377"/>
      <c r="M369" s="377"/>
      <c r="N369" s="377"/>
      <c r="O369" s="377"/>
      <c r="P369" s="377"/>
      <c r="Q369" s="377"/>
      <c r="R369" s="377"/>
      <c r="S369" s="377"/>
      <c r="T369" s="377"/>
      <c r="U369" s="377"/>
      <c r="V369" s="377"/>
      <c r="W369" s="377"/>
      <c r="X369" s="574"/>
      <c r="Y369" s="377"/>
      <c r="Z369" s="377"/>
      <c r="AA369" s="377"/>
      <c r="AB369" s="377"/>
      <c r="AC369" s="377"/>
      <c r="AD369" s="377"/>
      <c r="AE369" s="377"/>
      <c r="AF369" s="377"/>
      <c r="AG369" s="377"/>
      <c r="AH369" s="377"/>
      <c r="AI369" s="377"/>
      <c r="AJ369" s="377"/>
      <c r="AK369" s="377"/>
      <c r="AL369" s="574"/>
      <c r="AM369" s="377"/>
      <c r="AN369" s="377"/>
      <c r="AO369" s="377"/>
      <c r="AP369" s="377"/>
      <c r="AQ369" s="377"/>
      <c r="AR369" s="377"/>
      <c r="AS369" s="377"/>
      <c r="AT369" s="377"/>
      <c r="AU369" s="377"/>
      <c r="AV369" s="377"/>
      <c r="AW369" s="575"/>
      <c r="AX369" s="377"/>
      <c r="AY369" s="377"/>
      <c r="AZ369" s="377"/>
      <c r="BA369" s="377"/>
      <c r="BB369" s="377"/>
      <c r="BC369" s="377"/>
      <c r="BD369" s="377"/>
      <c r="BE369" s="377"/>
      <c r="BF369" s="377"/>
      <c r="BG369" s="377"/>
      <c r="BH369" s="377"/>
      <c r="BI369" s="377"/>
      <c r="BJ369" s="377"/>
      <c r="BK369" s="377"/>
      <c r="BL369" s="377"/>
      <c r="BM369" s="377"/>
      <c r="BN369" s="576"/>
      <c r="BO369" s="377"/>
      <c r="BP369" s="377"/>
      <c r="BQ369" s="377"/>
      <c r="BR369" s="377"/>
      <c r="BS369" s="377"/>
      <c r="BT369" s="377"/>
      <c r="BU369" s="377"/>
      <c r="BV369" s="377"/>
      <c r="BW369" s="377"/>
      <c r="BX369" s="377"/>
      <c r="BY369" s="377"/>
      <c r="BZ369" s="377"/>
      <c r="CA369" s="377"/>
      <c r="CB369" s="377"/>
      <c r="CC369" s="377"/>
      <c r="CD369" s="377"/>
      <c r="CE369" s="377"/>
      <c r="CF369" s="377"/>
      <c r="CG369" s="377"/>
      <c r="CH369" s="377"/>
      <c r="CI369" s="377"/>
    </row>
    <row r="370" spans="1:87" ht="15">
      <c r="A370" s="377"/>
      <c r="B370" s="377"/>
      <c r="C370" s="572"/>
      <c r="D370" s="377"/>
      <c r="E370" s="377"/>
      <c r="F370" s="377"/>
      <c r="G370" s="377"/>
      <c r="H370" s="573"/>
      <c r="I370" s="377"/>
      <c r="J370" s="377"/>
      <c r="K370" s="377"/>
      <c r="L370" s="377"/>
      <c r="M370" s="377"/>
      <c r="N370" s="377"/>
      <c r="O370" s="377"/>
      <c r="P370" s="377"/>
      <c r="Q370" s="377"/>
      <c r="R370" s="377"/>
      <c r="S370" s="377"/>
      <c r="T370" s="377"/>
      <c r="U370" s="377"/>
      <c r="V370" s="377"/>
      <c r="W370" s="377"/>
      <c r="X370" s="574"/>
      <c r="Y370" s="377"/>
      <c r="Z370" s="377"/>
      <c r="AA370" s="377"/>
      <c r="AB370" s="377"/>
      <c r="AC370" s="377"/>
      <c r="AD370" s="377"/>
      <c r="AE370" s="377"/>
      <c r="AF370" s="377"/>
      <c r="AG370" s="377"/>
      <c r="AH370" s="377"/>
      <c r="AI370" s="377"/>
      <c r="AJ370" s="377"/>
      <c r="AK370" s="377"/>
      <c r="AL370" s="574"/>
      <c r="AM370" s="377"/>
      <c r="AN370" s="377"/>
      <c r="AO370" s="377"/>
      <c r="AP370" s="377"/>
      <c r="AQ370" s="377"/>
      <c r="AR370" s="377"/>
      <c r="AS370" s="377"/>
      <c r="AT370" s="377"/>
      <c r="AU370" s="377"/>
      <c r="AV370" s="377"/>
      <c r="AW370" s="575"/>
      <c r="AX370" s="377"/>
      <c r="AY370" s="377"/>
      <c r="AZ370" s="377"/>
      <c r="BA370" s="377"/>
      <c r="BB370" s="377"/>
      <c r="BC370" s="377"/>
      <c r="BD370" s="377"/>
      <c r="BE370" s="377"/>
      <c r="BF370" s="377"/>
      <c r="BG370" s="377"/>
      <c r="BH370" s="377"/>
      <c r="BI370" s="377"/>
      <c r="BJ370" s="377"/>
      <c r="BK370" s="377"/>
      <c r="BL370" s="377"/>
      <c r="BM370" s="377"/>
      <c r="BN370" s="576"/>
      <c r="BO370" s="377"/>
      <c r="BP370" s="377"/>
      <c r="BQ370" s="377"/>
      <c r="BR370" s="377"/>
      <c r="BS370" s="377"/>
      <c r="BT370" s="377"/>
      <c r="BU370" s="377"/>
      <c r="BV370" s="377"/>
      <c r="BW370" s="377"/>
      <c r="BX370" s="377"/>
      <c r="BY370" s="377"/>
      <c r="BZ370" s="377"/>
      <c r="CA370" s="377"/>
      <c r="CB370" s="377"/>
      <c r="CC370" s="377"/>
      <c r="CD370" s="377"/>
      <c r="CE370" s="377"/>
      <c r="CF370" s="377"/>
      <c r="CG370" s="377"/>
      <c r="CH370" s="377"/>
      <c r="CI370" s="377"/>
    </row>
    <row r="371" spans="1:87" ht="15">
      <c r="A371" s="377"/>
      <c r="B371" s="377"/>
      <c r="C371" s="572"/>
      <c r="D371" s="377"/>
      <c r="E371" s="377"/>
      <c r="F371" s="377"/>
      <c r="G371" s="377"/>
      <c r="H371" s="573"/>
      <c r="I371" s="377"/>
      <c r="J371" s="377"/>
      <c r="K371" s="377"/>
      <c r="L371" s="377"/>
      <c r="M371" s="377"/>
      <c r="N371" s="377"/>
      <c r="O371" s="377"/>
      <c r="P371" s="377"/>
      <c r="Q371" s="377"/>
      <c r="R371" s="377"/>
      <c r="S371" s="377"/>
      <c r="T371" s="377"/>
      <c r="U371" s="377"/>
      <c r="V371" s="377"/>
      <c r="W371" s="377"/>
      <c r="X371" s="574"/>
      <c r="Y371" s="377"/>
      <c r="Z371" s="377"/>
      <c r="AA371" s="377"/>
      <c r="AB371" s="377"/>
      <c r="AC371" s="377"/>
      <c r="AD371" s="377"/>
      <c r="AE371" s="377"/>
      <c r="AF371" s="377"/>
      <c r="AG371" s="377"/>
      <c r="AH371" s="377"/>
      <c r="AI371" s="377"/>
      <c r="AJ371" s="377"/>
      <c r="AK371" s="377"/>
      <c r="AL371" s="574"/>
      <c r="AM371" s="377"/>
      <c r="AN371" s="377"/>
      <c r="AO371" s="377"/>
      <c r="AP371" s="377"/>
      <c r="AQ371" s="377"/>
      <c r="AR371" s="377"/>
      <c r="AS371" s="377"/>
      <c r="AT371" s="377"/>
      <c r="AU371" s="377"/>
      <c r="AV371" s="377"/>
      <c r="AW371" s="575"/>
      <c r="AX371" s="377"/>
      <c r="AY371" s="377"/>
      <c r="AZ371" s="377"/>
      <c r="BA371" s="377"/>
      <c r="BB371" s="377"/>
      <c r="BC371" s="377"/>
      <c r="BD371" s="377"/>
      <c r="BE371" s="377"/>
      <c r="BF371" s="377"/>
      <c r="BG371" s="377"/>
      <c r="BH371" s="377"/>
      <c r="BI371" s="377"/>
      <c r="BJ371" s="377"/>
      <c r="BK371" s="377"/>
      <c r="BL371" s="377"/>
      <c r="BM371" s="377"/>
      <c r="BN371" s="576"/>
      <c r="BO371" s="377"/>
      <c r="BP371" s="377"/>
      <c r="BQ371" s="377"/>
      <c r="BR371" s="377"/>
      <c r="BS371" s="377"/>
      <c r="BT371" s="377"/>
      <c r="BU371" s="377"/>
      <c r="BV371" s="377"/>
      <c r="BW371" s="377"/>
      <c r="BX371" s="377"/>
      <c r="BY371" s="377"/>
      <c r="BZ371" s="377"/>
      <c r="CA371" s="377"/>
      <c r="CB371" s="377"/>
      <c r="CC371" s="377"/>
      <c r="CD371" s="377"/>
      <c r="CE371" s="377"/>
      <c r="CF371" s="377"/>
      <c r="CG371" s="377"/>
      <c r="CH371" s="377"/>
      <c r="CI371" s="377"/>
    </row>
  </sheetData>
  <mergeCells count="76">
    <mergeCell ref="C171:E171"/>
    <mergeCell ref="G171:J171"/>
    <mergeCell ref="S175:V175"/>
    <mergeCell ref="A161:B161"/>
    <mergeCell ref="C165:E165"/>
    <mergeCell ref="G165:J165"/>
    <mergeCell ref="C167:E167"/>
    <mergeCell ref="G167:J167"/>
    <mergeCell ref="C169:E169"/>
    <mergeCell ref="G169:J169"/>
    <mergeCell ref="A65:B65"/>
    <mergeCell ref="C65:J65"/>
    <mergeCell ref="A83:B83"/>
    <mergeCell ref="C83:J83"/>
    <mergeCell ref="A116:B116"/>
    <mergeCell ref="A124:B124"/>
    <mergeCell ref="BK12:BK13"/>
    <mergeCell ref="BL12:BL13"/>
    <mergeCell ref="BM12:BM13"/>
    <mergeCell ref="BN12:BN13"/>
    <mergeCell ref="A45:B45"/>
    <mergeCell ref="C45:J45"/>
    <mergeCell ref="BE12:BE13"/>
    <mergeCell ref="BF12:BF13"/>
    <mergeCell ref="BG12:BG13"/>
    <mergeCell ref="BH12:BH13"/>
    <mergeCell ref="BI12:BI13"/>
    <mergeCell ref="BJ12:BJ13"/>
    <mergeCell ref="AY12:AY13"/>
    <mergeCell ref="AZ12:AZ13"/>
    <mergeCell ref="BA12:BA13"/>
    <mergeCell ref="BB12:BB13"/>
    <mergeCell ref="BC12:BC13"/>
    <mergeCell ref="BD12:BD13"/>
    <mergeCell ref="AN12:AN13"/>
    <mergeCell ref="AO12:AR12"/>
    <mergeCell ref="AS12:AT12"/>
    <mergeCell ref="AU12:AV12"/>
    <mergeCell ref="AW12:AW13"/>
    <mergeCell ref="AX12:AX13"/>
    <mergeCell ref="AL12:AM12"/>
    <mergeCell ref="R12:V12"/>
    <mergeCell ref="W12:W13"/>
    <mergeCell ref="X12:X13"/>
    <mergeCell ref="Y12:Y13"/>
    <mergeCell ref="Z12:Z13"/>
    <mergeCell ref="AA12:AB12"/>
    <mergeCell ref="AC12:AD12"/>
    <mergeCell ref="AE12:AE13"/>
    <mergeCell ref="AF12:AG12"/>
    <mergeCell ref="AH12:AI12"/>
    <mergeCell ref="AJ12:AK12"/>
    <mergeCell ref="Q12:Q13"/>
    <mergeCell ref="A12:B13"/>
    <mergeCell ref="C12:C13"/>
    <mergeCell ref="D12:D13"/>
    <mergeCell ref="E12:E13"/>
    <mergeCell ref="F12:F13"/>
    <mergeCell ref="G12:G13"/>
    <mergeCell ref="H12:H13"/>
    <mergeCell ref="I12:I13"/>
    <mergeCell ref="J12:J13"/>
    <mergeCell ref="K12:K13"/>
    <mergeCell ref="L12:P12"/>
    <mergeCell ref="A10:AB10"/>
    <mergeCell ref="A3:I4"/>
    <mergeCell ref="P3:AB4"/>
    <mergeCell ref="A5:I5"/>
    <mergeCell ref="P5:AB5"/>
    <mergeCell ref="A6:I6"/>
    <mergeCell ref="P6:AB6"/>
    <mergeCell ref="A7:I7"/>
    <mergeCell ref="P7:AB7"/>
    <mergeCell ref="A8:I8"/>
    <mergeCell ref="P8:AB8"/>
    <mergeCell ref="A9:AB9"/>
  </mergeCells>
  <pageMargins left="0.23622047244094491" right="0.23622047244094491" top="0.35433070866141736" bottom="0.35433070866141736" header="0.31496062992125984" footer="0.31496062992125984"/>
  <pageSetup paperSize="9" scale="50"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C1936-3EEB-404D-9FF6-D924F23B5DB6}">
  <dimension ref="A1:AG1353"/>
  <sheetViews>
    <sheetView topLeftCell="A13" zoomScale="80" zoomScaleNormal="80" zoomScaleSheetLayoutView="90" zoomScalePageLayoutView="70" workbookViewId="0">
      <pane xSplit="2" ySplit="4" topLeftCell="O224" activePane="bottomRight" state="frozen"/>
      <selection activeCell="A13" sqref="A13"/>
      <selection pane="topRight" activeCell="C13" sqref="C13"/>
      <selection pane="bottomLeft" activeCell="A17" sqref="A17"/>
      <selection pane="bottomRight" activeCell="G102" sqref="G102"/>
    </sheetView>
  </sheetViews>
  <sheetFormatPr defaultColWidth="9.140625" defaultRowHeight="15.75"/>
  <cols>
    <col min="1" max="1" width="6" style="918" customWidth="1"/>
    <col min="2" max="2" width="32.85546875" style="995" customWidth="1"/>
    <col min="3" max="3" width="35.28515625" style="995" customWidth="1"/>
    <col min="4" max="4" width="8.140625" style="876" customWidth="1"/>
    <col min="5" max="5" width="10.7109375" style="974" customWidth="1"/>
    <col min="6" max="6" width="10.5703125" style="876" hidden="1" customWidth="1"/>
    <col min="7" max="7" width="13.42578125" style="876" customWidth="1"/>
    <col min="8" max="8" width="10.28515625" style="876" customWidth="1"/>
    <col min="9" max="9" width="15.140625" style="876" customWidth="1"/>
    <col min="10" max="10" width="14.5703125" style="876" customWidth="1"/>
    <col min="11" max="16" width="14.7109375" style="876" customWidth="1"/>
    <col min="17" max="18" width="14.7109375" style="870" customWidth="1"/>
    <col min="19" max="19" width="14.42578125" style="870" customWidth="1"/>
    <col min="20" max="20" width="15.42578125" style="870" customWidth="1"/>
    <col min="21" max="22" width="14" style="870" customWidth="1"/>
    <col min="23" max="23" width="14.28515625" style="870" customWidth="1"/>
    <col min="24" max="24" width="15" style="870" customWidth="1"/>
    <col min="25" max="25" width="17" style="870" customWidth="1"/>
    <col min="26" max="26" width="15" style="870" customWidth="1"/>
    <col min="27" max="27" width="17" style="870" customWidth="1"/>
    <col min="28" max="28" width="15" style="870" customWidth="1"/>
    <col min="29" max="29" width="15.5703125" style="870" customWidth="1"/>
    <col min="30" max="30" width="15.140625" style="870" customWidth="1"/>
    <col min="31" max="31" width="16" style="870" customWidth="1"/>
    <col min="32" max="32" width="16.42578125" style="870" customWidth="1"/>
    <col min="33" max="16384" width="9.140625" style="870"/>
  </cols>
  <sheetData>
    <row r="1" spans="1:33" ht="15.75" customHeight="1">
      <c r="A1" s="1539"/>
      <c r="B1" s="1539"/>
      <c r="C1" s="1539"/>
      <c r="D1" s="1539"/>
      <c r="E1" s="1539"/>
      <c r="F1" s="1539"/>
      <c r="G1" s="1539"/>
      <c r="H1" s="869"/>
      <c r="I1" s="869"/>
      <c r="J1" s="869"/>
      <c r="K1" s="870"/>
      <c r="L1" s="870"/>
      <c r="M1" s="1540"/>
      <c r="N1" s="871"/>
      <c r="O1" s="871"/>
      <c r="P1" s="871"/>
      <c r="Q1" s="871"/>
      <c r="R1" s="871"/>
      <c r="S1" s="871"/>
      <c r="T1" s="871"/>
      <c r="U1" s="871"/>
      <c r="V1" s="871"/>
      <c r="W1" s="871"/>
      <c r="X1" s="871"/>
      <c r="Y1" s="871"/>
      <c r="Z1" s="871"/>
      <c r="AA1" s="871"/>
      <c r="AB1" s="1541" t="s">
        <v>2306</v>
      </c>
      <c r="AC1" s="1541"/>
      <c r="AD1" s="1541"/>
      <c r="AE1" s="1541"/>
      <c r="AF1" s="1541"/>
      <c r="AG1" s="1541"/>
    </row>
    <row r="2" spans="1:33" ht="15.75" customHeight="1">
      <c r="A2" s="1539"/>
      <c r="B2" s="1539"/>
      <c r="C2" s="1539"/>
      <c r="D2" s="1539"/>
      <c r="E2" s="1539"/>
      <c r="F2" s="1539"/>
      <c r="G2" s="1539"/>
      <c r="H2" s="869"/>
      <c r="I2" s="869"/>
      <c r="J2" s="869"/>
      <c r="K2" s="870"/>
      <c r="L2" s="870"/>
      <c r="M2" s="1540"/>
      <c r="N2" s="871"/>
      <c r="O2" s="871"/>
      <c r="P2" s="871"/>
      <c r="Q2" s="871"/>
      <c r="R2" s="871"/>
      <c r="S2" s="871"/>
      <c r="T2" s="871"/>
      <c r="U2" s="871"/>
      <c r="V2" s="871"/>
      <c r="W2" s="871"/>
      <c r="X2" s="871"/>
      <c r="Y2" s="871"/>
      <c r="Z2" s="871"/>
      <c r="AA2" s="871"/>
      <c r="AB2" s="1541"/>
      <c r="AC2" s="1541"/>
      <c r="AD2" s="1541"/>
      <c r="AE2" s="1541"/>
      <c r="AF2" s="1541"/>
      <c r="AG2" s="1541"/>
    </row>
    <row r="3" spans="1:33" ht="15.75" customHeight="1">
      <c r="A3" s="1539"/>
      <c r="B3" s="1539"/>
      <c r="C3" s="1539"/>
      <c r="D3" s="1539"/>
      <c r="E3" s="1539"/>
      <c r="F3" s="1539"/>
      <c r="G3" s="1539"/>
      <c r="H3" s="869"/>
      <c r="I3" s="869"/>
      <c r="J3" s="869"/>
      <c r="K3" s="870"/>
      <c r="L3" s="870"/>
      <c r="M3" s="1540"/>
      <c r="N3" s="871"/>
      <c r="O3" s="871"/>
      <c r="P3" s="871"/>
      <c r="Q3" s="871"/>
      <c r="R3" s="871"/>
      <c r="S3" s="871"/>
      <c r="T3" s="871"/>
      <c r="U3" s="871"/>
      <c r="V3" s="871"/>
      <c r="W3" s="871"/>
      <c r="X3" s="871"/>
      <c r="Y3" s="871"/>
      <c r="Z3" s="871"/>
      <c r="AA3" s="871"/>
      <c r="AB3" s="1541"/>
      <c r="AC3" s="1541"/>
      <c r="AD3" s="1541"/>
      <c r="AE3" s="1541"/>
      <c r="AF3" s="1541"/>
      <c r="AG3" s="1541"/>
    </row>
    <row r="4" spans="1:33" ht="15.75" customHeight="1">
      <c r="A4" s="1539"/>
      <c r="B4" s="1539"/>
      <c r="C4" s="1539"/>
      <c r="D4" s="1539"/>
      <c r="E4" s="1539"/>
      <c r="F4" s="1539"/>
      <c r="G4" s="1539"/>
      <c r="H4" s="869"/>
      <c r="I4" s="869"/>
      <c r="J4" s="869"/>
      <c r="K4" s="870"/>
      <c r="L4" s="870" t="s">
        <v>549</v>
      </c>
      <c r="M4" s="1540"/>
      <c r="N4" s="871"/>
      <c r="O4" s="871"/>
      <c r="P4" s="871"/>
      <c r="Q4" s="871"/>
      <c r="R4" s="871"/>
      <c r="S4" s="871"/>
      <c r="T4" s="871"/>
      <c r="U4" s="871"/>
      <c r="V4" s="871"/>
      <c r="W4" s="871"/>
      <c r="X4" s="871"/>
      <c r="Y4" s="871"/>
      <c r="Z4" s="871"/>
      <c r="AA4" s="871"/>
      <c r="AB4" s="1541"/>
      <c r="AC4" s="1541"/>
      <c r="AD4" s="1541"/>
      <c r="AE4" s="1541"/>
      <c r="AF4" s="1541"/>
      <c r="AG4" s="1541"/>
    </row>
    <row r="5" spans="1:33" ht="43.5" customHeight="1">
      <c r="A5" s="1539"/>
      <c r="B5" s="1539"/>
      <c r="C5" s="1539"/>
      <c r="D5" s="1539"/>
      <c r="E5" s="1539"/>
      <c r="F5" s="1539"/>
      <c r="G5" s="1539"/>
      <c r="H5" s="869"/>
      <c r="I5" s="869"/>
      <c r="J5" s="869"/>
      <c r="K5" s="870"/>
      <c r="L5" s="870"/>
      <c r="M5" s="870"/>
      <c r="N5" s="871"/>
      <c r="O5" s="871"/>
      <c r="P5" s="871"/>
      <c r="Q5" s="871"/>
      <c r="R5" s="871"/>
      <c r="S5" s="871"/>
      <c r="T5" s="871"/>
      <c r="U5" s="871"/>
      <c r="V5" s="871"/>
      <c r="W5" s="871"/>
      <c r="X5" s="871"/>
      <c r="Y5" s="871"/>
      <c r="Z5" s="871"/>
      <c r="AA5" s="871"/>
      <c r="AB5" s="1541"/>
      <c r="AC5" s="1541"/>
      <c r="AD5" s="1541"/>
      <c r="AE5" s="1541"/>
      <c r="AF5" s="1541"/>
      <c r="AG5" s="1541"/>
    </row>
    <row r="6" spans="1:33">
      <c r="A6" s="872"/>
      <c r="B6" s="873"/>
      <c r="C6" s="873"/>
      <c r="D6" s="874"/>
      <c r="E6" s="875"/>
      <c r="F6" s="875"/>
      <c r="G6" s="875"/>
      <c r="H6" s="875"/>
      <c r="I6" s="875"/>
      <c r="J6" s="875"/>
      <c r="K6" s="875"/>
      <c r="L6" s="875"/>
      <c r="M6" s="875"/>
      <c r="P6" s="877"/>
      <c r="Q6" s="877"/>
      <c r="W6" s="876"/>
      <c r="X6" s="876"/>
      <c r="Y6" s="876"/>
      <c r="Z6" s="876"/>
      <c r="AA6" s="876"/>
      <c r="AC6" s="877"/>
      <c r="AD6" s="877" t="s">
        <v>111</v>
      </c>
      <c r="AE6" s="877"/>
      <c r="AG6" s="877" t="s">
        <v>2307</v>
      </c>
    </row>
    <row r="7" spans="1:33">
      <c r="A7" s="872"/>
      <c r="B7" s="873"/>
      <c r="C7" s="873"/>
      <c r="D7" s="874"/>
      <c r="E7" s="875"/>
      <c r="F7" s="875"/>
      <c r="G7" s="875"/>
      <c r="H7" s="875"/>
      <c r="I7" s="875"/>
      <c r="J7" s="875"/>
      <c r="K7" s="875"/>
      <c r="L7" s="875"/>
      <c r="M7" s="875"/>
      <c r="P7" s="877"/>
      <c r="Q7" s="877"/>
      <c r="AG7" s="877"/>
    </row>
    <row r="8" spans="1:33" ht="20.25">
      <c r="A8" s="1538" t="s">
        <v>159</v>
      </c>
      <c r="B8" s="1538"/>
      <c r="C8" s="1538"/>
      <c r="D8" s="1538"/>
      <c r="E8" s="1538"/>
      <c r="F8" s="1538"/>
      <c r="G8" s="1538"/>
      <c r="H8" s="1538"/>
      <c r="I8" s="1538"/>
      <c r="J8" s="1538"/>
      <c r="K8" s="1538"/>
      <c r="L8" s="1538"/>
      <c r="M8" s="1538"/>
      <c r="N8" s="1538"/>
      <c r="O8" s="1538"/>
      <c r="P8" s="1538"/>
      <c r="Q8" s="878"/>
      <c r="R8" s="878"/>
      <c r="S8" s="878"/>
      <c r="T8" s="878"/>
      <c r="U8" s="878"/>
      <c r="V8" s="878"/>
      <c r="W8" s="878"/>
      <c r="X8" s="878"/>
      <c r="Y8" s="878"/>
      <c r="Z8" s="878"/>
      <c r="AA8" s="878"/>
      <c r="AB8" s="878"/>
      <c r="AC8" s="878"/>
      <c r="AD8" s="878"/>
      <c r="AE8" s="878"/>
      <c r="AF8" s="878"/>
      <c r="AG8" s="878"/>
    </row>
    <row r="9" spans="1:33" ht="20.25">
      <c r="A9" s="1538" t="s">
        <v>2308</v>
      </c>
      <c r="B9" s="1538"/>
      <c r="C9" s="1538"/>
      <c r="D9" s="1538"/>
      <c r="E9" s="1538"/>
      <c r="F9" s="1538"/>
      <c r="G9" s="1538"/>
      <c r="H9" s="1538"/>
      <c r="I9" s="1538"/>
      <c r="J9" s="1538"/>
      <c r="K9" s="1538"/>
      <c r="L9" s="1538"/>
      <c r="M9" s="1538"/>
      <c r="N9" s="1538"/>
      <c r="O9" s="1538"/>
      <c r="P9" s="1538"/>
      <c r="Q9" s="878"/>
      <c r="R9" s="878"/>
      <c r="S9" s="878"/>
      <c r="T9" s="878"/>
      <c r="U9" s="878"/>
      <c r="V9" s="878"/>
      <c r="W9" s="878"/>
      <c r="X9" s="878"/>
      <c r="Y9" s="878"/>
      <c r="Z9" s="878"/>
      <c r="AA9" s="878"/>
      <c r="AB9" s="878"/>
      <c r="AC9" s="878"/>
      <c r="AD9" s="878"/>
      <c r="AE9" s="878"/>
      <c r="AF9" s="878"/>
      <c r="AG9" s="878"/>
    </row>
    <row r="10" spans="1:33" ht="20.25">
      <c r="A10" s="1538" t="s">
        <v>803</v>
      </c>
      <c r="B10" s="1538"/>
      <c r="C10" s="1538"/>
      <c r="D10" s="1538"/>
      <c r="E10" s="1538"/>
      <c r="F10" s="1538"/>
      <c r="G10" s="1538"/>
      <c r="H10" s="1538"/>
      <c r="I10" s="1538"/>
      <c r="J10" s="1538"/>
      <c r="K10" s="1538"/>
      <c r="L10" s="1538"/>
      <c r="M10" s="1538"/>
      <c r="N10" s="1538"/>
      <c r="O10" s="1538"/>
      <c r="P10" s="1538"/>
      <c r="Q10" s="878"/>
      <c r="R10" s="878"/>
      <c r="S10" s="878"/>
      <c r="T10" s="878"/>
      <c r="U10" s="878"/>
      <c r="V10" s="878"/>
      <c r="W10" s="878"/>
      <c r="X10" s="878"/>
      <c r="Y10" s="878"/>
      <c r="Z10" s="878"/>
      <c r="AA10" s="878"/>
      <c r="AB10" s="878"/>
      <c r="AC10" s="878"/>
      <c r="AD10" s="878"/>
      <c r="AE10" s="878"/>
      <c r="AF10" s="878"/>
      <c r="AG10" s="878"/>
    </row>
    <row r="11" spans="1:33" ht="27.75" customHeight="1">
      <c r="A11" s="1542" t="s">
        <v>2309</v>
      </c>
      <c r="B11" s="1542"/>
      <c r="C11" s="1542"/>
      <c r="D11" s="1542"/>
      <c r="E11" s="1542"/>
      <c r="F11" s="1542"/>
      <c r="G11" s="1542"/>
      <c r="H11" s="1542"/>
      <c r="I11" s="1542"/>
      <c r="J11" s="1542"/>
      <c r="K11" s="1542"/>
      <c r="L11" s="1542"/>
      <c r="M11" s="1542"/>
      <c r="N11" s="1542"/>
      <c r="O11" s="1542"/>
      <c r="P11" s="1542"/>
    </row>
    <row r="12" spans="1:33" ht="27.75" customHeight="1">
      <c r="A12" s="879"/>
      <c r="B12" s="879"/>
      <c r="C12" s="879"/>
      <c r="D12" s="879"/>
      <c r="E12" s="879"/>
      <c r="F12" s="880"/>
      <c r="G12" s="881"/>
      <c r="H12" s="881"/>
      <c r="I12" s="881"/>
      <c r="J12" s="881"/>
      <c r="K12" s="881"/>
      <c r="L12" s="881"/>
      <c r="M12" s="881"/>
      <c r="N12" s="881"/>
      <c r="O12" s="881"/>
      <c r="P12" s="881"/>
      <c r="R12" s="882"/>
      <c r="S12" s="882"/>
      <c r="T12" s="882"/>
      <c r="U12" s="882"/>
      <c r="V12" s="882"/>
      <c r="W12" s="882"/>
      <c r="X12" s="882"/>
      <c r="Y12" s="882"/>
      <c r="Z12" s="882"/>
      <c r="AA12" s="882"/>
      <c r="AB12" s="882"/>
      <c r="AC12" s="882"/>
      <c r="AD12" s="882"/>
      <c r="AE12" s="882"/>
      <c r="AF12" s="882"/>
      <c r="AG12" s="882"/>
    </row>
    <row r="13" spans="1:33" ht="52.5" customHeight="1">
      <c r="A13" s="1543" t="s">
        <v>804</v>
      </c>
      <c r="B13" s="1543"/>
      <c r="C13" s="1543"/>
      <c r="D13" s="1543"/>
      <c r="E13" s="1543"/>
      <c r="F13" s="1543"/>
      <c r="G13" s="1543"/>
      <c r="H13" s="1543"/>
      <c r="I13" s="1543"/>
      <c r="J13" s="1543"/>
      <c r="K13" s="1543"/>
      <c r="L13" s="1543"/>
      <c r="M13" s="1543"/>
      <c r="N13" s="1543"/>
      <c r="O13" s="1543"/>
      <c r="P13" s="1543"/>
      <c r="Q13" s="883"/>
      <c r="R13" s="883"/>
      <c r="S13" s="883"/>
      <c r="T13" s="883"/>
      <c r="U13" s="883"/>
      <c r="V13" s="883"/>
      <c r="W13" s="883"/>
      <c r="X13" s="883"/>
      <c r="Y13" s="883"/>
      <c r="Z13" s="883"/>
      <c r="AA13" s="883"/>
      <c r="AB13" s="883"/>
      <c r="AC13" s="883"/>
      <c r="AD13" s="883"/>
      <c r="AE13" s="883"/>
      <c r="AF13" s="883"/>
      <c r="AG13" s="884"/>
    </row>
    <row r="14" spans="1:33" ht="15.75" customHeight="1">
      <c r="A14" s="1544" t="s">
        <v>7</v>
      </c>
      <c r="B14" s="1545" t="s">
        <v>9</v>
      </c>
      <c r="C14" s="1544" t="s">
        <v>111</v>
      </c>
      <c r="D14" s="1544" t="s">
        <v>805</v>
      </c>
      <c r="E14" s="1544" t="s">
        <v>806</v>
      </c>
      <c r="F14" s="1544" t="s">
        <v>807</v>
      </c>
      <c r="G14" s="1544" t="s">
        <v>808</v>
      </c>
      <c r="H14" s="1546" t="s">
        <v>809</v>
      </c>
      <c r="I14" s="1546" t="s">
        <v>810</v>
      </c>
      <c r="J14" s="1546" t="s">
        <v>811</v>
      </c>
      <c r="K14" s="1546" t="s">
        <v>812</v>
      </c>
      <c r="L14" s="1546" t="s">
        <v>813</v>
      </c>
      <c r="M14" s="1544" t="s">
        <v>814</v>
      </c>
      <c r="N14" s="1544" t="s">
        <v>815</v>
      </c>
      <c r="O14" s="1544" t="s">
        <v>816</v>
      </c>
      <c r="P14" s="1544" t="s">
        <v>817</v>
      </c>
      <c r="Q14" s="1544" t="s">
        <v>818</v>
      </c>
      <c r="R14" s="1544" t="s">
        <v>819</v>
      </c>
      <c r="S14" s="1546" t="s">
        <v>192</v>
      </c>
      <c r="T14" s="1546" t="s">
        <v>11</v>
      </c>
      <c r="U14" s="1546" t="s">
        <v>426</v>
      </c>
      <c r="V14" s="1546" t="s">
        <v>4</v>
      </c>
      <c r="W14" s="1546" t="s">
        <v>820</v>
      </c>
      <c r="X14" s="1546" t="s">
        <v>427</v>
      </c>
      <c r="Y14" s="1546" t="s">
        <v>248</v>
      </c>
      <c r="Z14" s="1546" t="s">
        <v>193</v>
      </c>
      <c r="AA14" s="1546" t="s">
        <v>186</v>
      </c>
      <c r="AB14" s="1546" t="s">
        <v>187</v>
      </c>
      <c r="AC14" s="1546" t="s">
        <v>857</v>
      </c>
      <c r="AD14" s="1546" t="s">
        <v>821</v>
      </c>
      <c r="AE14" s="1546" t="s">
        <v>2310</v>
      </c>
      <c r="AF14" s="1546" t="s">
        <v>822</v>
      </c>
      <c r="AG14" s="1544" t="s">
        <v>823</v>
      </c>
    </row>
    <row r="15" spans="1:33" ht="195" customHeight="1">
      <c r="A15" s="1544"/>
      <c r="B15" s="1545"/>
      <c r="C15" s="1544"/>
      <c r="D15" s="1544"/>
      <c r="E15" s="1544"/>
      <c r="F15" s="1544"/>
      <c r="G15" s="1544"/>
      <c r="H15" s="1547"/>
      <c r="I15" s="1547"/>
      <c r="J15" s="1547"/>
      <c r="K15" s="1547"/>
      <c r="L15" s="1547"/>
      <c r="M15" s="1544"/>
      <c r="N15" s="1544"/>
      <c r="O15" s="1544"/>
      <c r="P15" s="1544"/>
      <c r="Q15" s="1544"/>
      <c r="R15" s="1544"/>
      <c r="S15" s="1547"/>
      <c r="T15" s="1547"/>
      <c r="U15" s="1547"/>
      <c r="V15" s="1547"/>
      <c r="W15" s="1547"/>
      <c r="X15" s="1547"/>
      <c r="Y15" s="1547"/>
      <c r="Z15" s="1547"/>
      <c r="AA15" s="1547"/>
      <c r="AB15" s="1547"/>
      <c r="AC15" s="1547"/>
      <c r="AD15" s="1547"/>
      <c r="AE15" s="1547"/>
      <c r="AF15" s="1547"/>
      <c r="AG15" s="1544"/>
    </row>
    <row r="16" spans="1:33" ht="22.5" customHeight="1">
      <c r="A16" s="1549" t="s">
        <v>824</v>
      </c>
      <c r="B16" s="1550"/>
      <c r="C16" s="1550"/>
      <c r="D16" s="1550"/>
      <c r="E16" s="1550"/>
      <c r="F16" s="1550"/>
      <c r="G16" s="1550"/>
      <c r="H16" s="1550"/>
      <c r="I16" s="1550"/>
      <c r="J16" s="1550"/>
      <c r="K16" s="1550"/>
      <c r="L16" s="1550"/>
      <c r="M16" s="1550"/>
      <c r="N16" s="1550"/>
      <c r="O16" s="1550"/>
      <c r="P16" s="1550"/>
      <c r="Q16" s="1550"/>
      <c r="R16" s="1550"/>
      <c r="S16" s="1550"/>
      <c r="T16" s="1550"/>
      <c r="U16" s="1550"/>
      <c r="V16" s="1550"/>
      <c r="W16" s="1550"/>
      <c r="X16" s="1550"/>
      <c r="Y16" s="1550"/>
      <c r="Z16" s="1550"/>
      <c r="AA16" s="1550"/>
      <c r="AB16" s="1550"/>
      <c r="AC16" s="1550"/>
      <c r="AD16" s="1550"/>
      <c r="AE16" s="1550"/>
      <c r="AF16" s="1550"/>
      <c r="AG16" s="1550"/>
    </row>
    <row r="17" spans="1:33" ht="21.75" customHeight="1">
      <c r="A17" s="885">
        <v>1</v>
      </c>
      <c r="B17" s="886" t="s">
        <v>12</v>
      </c>
      <c r="C17" s="887" t="s">
        <v>428</v>
      </c>
      <c r="D17" s="885">
        <v>1</v>
      </c>
      <c r="E17" s="885">
        <v>1</v>
      </c>
      <c r="F17" s="885"/>
      <c r="G17" s="888">
        <v>45146</v>
      </c>
      <c r="H17" s="889">
        <v>80</v>
      </c>
      <c r="I17" s="890">
        <f>H17*17697</f>
        <v>1415760</v>
      </c>
      <c r="J17" s="890">
        <f>I17*10%</f>
        <v>141576</v>
      </c>
      <c r="K17" s="890"/>
      <c r="L17" s="890"/>
      <c r="M17" s="890"/>
      <c r="N17" s="890"/>
      <c r="O17" s="890"/>
      <c r="P17" s="890"/>
      <c r="Q17" s="891"/>
      <c r="R17" s="891"/>
      <c r="S17" s="892">
        <f>SUM(J17:R17)</f>
        <v>141576</v>
      </c>
      <c r="T17" s="892">
        <f>I17+S17</f>
        <v>1557336</v>
      </c>
      <c r="U17" s="892">
        <f>T17*10%</f>
        <v>155733.6</v>
      </c>
      <c r="V17" s="892">
        <f t="shared" ref="V17:V36" si="0">((T17-U17-W17)-(14*4148))*10%</f>
        <v>132653.04</v>
      </c>
      <c r="W17" s="892">
        <v>17000</v>
      </c>
      <c r="X17" s="892">
        <f>T17-U17-V17-W17</f>
        <v>1251949.3599999999</v>
      </c>
      <c r="Y17" s="892">
        <f>T17*12</f>
        <v>18688032</v>
      </c>
      <c r="Z17" s="892">
        <f>I17</f>
        <v>1415760</v>
      </c>
      <c r="AA17" s="892">
        <f>Y17+Z17</f>
        <v>20103792</v>
      </c>
      <c r="AB17" s="892">
        <f t="shared" ref="AB17:AB36" si="1">(AA17*0.9-(W17*12))*11%-AC17</f>
        <v>1063164.7679999999</v>
      </c>
      <c r="AC17" s="892">
        <f>AA17*0.9*5%</f>
        <v>904670.64000000013</v>
      </c>
      <c r="AD17" s="892">
        <f>Y17*3%</f>
        <v>560640.96</v>
      </c>
      <c r="AE17" s="892">
        <f t="shared" ref="AE17:AE36" si="2">AA17*4.5%</f>
        <v>904670.64</v>
      </c>
      <c r="AF17" s="892">
        <f>AA17+AB17+AC17+AD17+AE17</f>
        <v>23536939.008000001</v>
      </c>
      <c r="AG17" s="892" t="s">
        <v>3</v>
      </c>
    </row>
    <row r="18" spans="1:33" ht="31.5">
      <c r="A18" s="885">
        <v>2</v>
      </c>
      <c r="B18" s="893" t="s">
        <v>56</v>
      </c>
      <c r="C18" s="894" t="s">
        <v>188</v>
      </c>
      <c r="D18" s="1551">
        <v>2</v>
      </c>
      <c r="E18" s="885">
        <v>1</v>
      </c>
      <c r="F18" s="885"/>
      <c r="G18" s="888">
        <v>43395</v>
      </c>
      <c r="H18" s="895">
        <v>32</v>
      </c>
      <c r="I18" s="890">
        <f>H18*17697</f>
        <v>566304</v>
      </c>
      <c r="J18" s="890">
        <f t="shared" ref="J18:J36" si="3">I18*10%</f>
        <v>56630.400000000001</v>
      </c>
      <c r="K18" s="890"/>
      <c r="L18" s="890"/>
      <c r="M18" s="890"/>
      <c r="N18" s="890"/>
      <c r="O18" s="890"/>
      <c r="P18" s="890"/>
      <c r="Q18" s="891"/>
      <c r="R18" s="891"/>
      <c r="S18" s="892">
        <f t="shared" ref="S18:S36" si="4">SUM(J18:R18)</f>
        <v>56630.400000000001</v>
      </c>
      <c r="T18" s="892">
        <f t="shared" ref="T18:T36" si="5">I18+S18</f>
        <v>622934.4</v>
      </c>
      <c r="U18" s="892">
        <f t="shared" ref="U18:U36" si="6">T18*10%</f>
        <v>62293.440000000002</v>
      </c>
      <c r="V18" s="892">
        <f t="shared" si="0"/>
        <v>48556.896000000001</v>
      </c>
      <c r="W18" s="892">
        <v>17000</v>
      </c>
      <c r="X18" s="892">
        <f t="shared" ref="X18:X36" si="7">T18-U18-V18-W18</f>
        <v>495084.06399999995</v>
      </c>
      <c r="Y18" s="892">
        <f t="shared" ref="Y18:Y36" si="8">T18*12</f>
        <v>7475212.8000000007</v>
      </c>
      <c r="Z18" s="892">
        <f t="shared" ref="Z18:Z36" si="9">I18</f>
        <v>566304</v>
      </c>
      <c r="AA18" s="892">
        <f t="shared" ref="AA18:AA36" si="10">Y18+Z18</f>
        <v>8041516.8000000007</v>
      </c>
      <c r="AB18" s="892">
        <f t="shared" si="1"/>
        <v>411801.90720000002</v>
      </c>
      <c r="AC18" s="892">
        <f>AA18*0.9*5%</f>
        <v>361868.25600000005</v>
      </c>
      <c r="AD18" s="892">
        <f t="shared" ref="AD18:AD36" si="11">Y18*3%</f>
        <v>224256.38400000002</v>
      </c>
      <c r="AE18" s="892">
        <f t="shared" si="2"/>
        <v>361868.25599999999</v>
      </c>
      <c r="AF18" s="892">
        <f t="shared" ref="AF18:AF36" si="12">AA18+AB18+AC18+AD18+AE18</f>
        <v>9401311.6031999979</v>
      </c>
      <c r="AG18" s="892" t="s">
        <v>3</v>
      </c>
    </row>
    <row r="19" spans="1:33" ht="31.5">
      <c r="A19" s="885">
        <v>3</v>
      </c>
      <c r="B19" s="896" t="s">
        <v>56</v>
      </c>
      <c r="C19" s="897" t="s">
        <v>225</v>
      </c>
      <c r="D19" s="1552"/>
      <c r="E19" s="885">
        <v>1</v>
      </c>
      <c r="F19" s="885"/>
      <c r="G19" s="888">
        <v>44907</v>
      </c>
      <c r="H19" s="898">
        <v>30</v>
      </c>
      <c r="I19" s="890">
        <f t="shared" ref="I19:I36" si="13">H19*17697</f>
        <v>530910</v>
      </c>
      <c r="J19" s="890">
        <f t="shared" si="3"/>
        <v>53091</v>
      </c>
      <c r="K19" s="890"/>
      <c r="L19" s="890"/>
      <c r="M19" s="890"/>
      <c r="N19" s="890"/>
      <c r="O19" s="890"/>
      <c r="P19" s="890"/>
      <c r="Q19" s="891"/>
      <c r="R19" s="891"/>
      <c r="S19" s="892">
        <f>SUM(J19:R19)</f>
        <v>53091</v>
      </c>
      <c r="T19" s="892">
        <f>I19+S19</f>
        <v>584001</v>
      </c>
      <c r="U19" s="892">
        <f>T19*10%</f>
        <v>58400.100000000006</v>
      </c>
      <c r="V19" s="892">
        <f t="shared" si="0"/>
        <v>45584.888000000006</v>
      </c>
      <c r="W19" s="892">
        <f>T19*2%</f>
        <v>11680.02</v>
      </c>
      <c r="X19" s="892">
        <f t="shared" si="7"/>
        <v>468335.99199999997</v>
      </c>
      <c r="Y19" s="892">
        <f t="shared" si="8"/>
        <v>7008012</v>
      </c>
      <c r="Z19" s="892">
        <f t="shared" si="9"/>
        <v>530910</v>
      </c>
      <c r="AA19" s="892">
        <f t="shared" si="10"/>
        <v>7538922</v>
      </c>
      <c r="AB19" s="892">
        <f t="shared" si="1"/>
        <v>391684.16159999999</v>
      </c>
      <c r="AC19" s="892">
        <f>AA19*0.9*5%</f>
        <v>339251.49</v>
      </c>
      <c r="AD19" s="892">
        <f t="shared" si="11"/>
        <v>210240.36</v>
      </c>
      <c r="AE19" s="892">
        <f t="shared" si="2"/>
        <v>339251.49</v>
      </c>
      <c r="AF19" s="892">
        <f t="shared" si="12"/>
        <v>8819349.501600001</v>
      </c>
      <c r="AG19" s="892" t="s">
        <v>3</v>
      </c>
    </row>
    <row r="20" spans="1:33" ht="31.5">
      <c r="A20" s="885">
        <v>4</v>
      </c>
      <c r="B20" s="893" t="s">
        <v>13</v>
      </c>
      <c r="C20" s="899" t="s">
        <v>429</v>
      </c>
      <c r="D20" s="1553">
        <v>2</v>
      </c>
      <c r="E20" s="885">
        <v>1</v>
      </c>
      <c r="F20" s="885"/>
      <c r="G20" s="888">
        <v>44844</v>
      </c>
      <c r="H20" s="895">
        <v>30</v>
      </c>
      <c r="I20" s="890">
        <f t="shared" si="13"/>
        <v>530910</v>
      </c>
      <c r="J20" s="890">
        <f t="shared" si="3"/>
        <v>53091</v>
      </c>
      <c r="K20" s="890"/>
      <c r="L20" s="890"/>
      <c r="M20" s="890"/>
      <c r="N20" s="890"/>
      <c r="O20" s="890"/>
      <c r="P20" s="890"/>
      <c r="Q20" s="891"/>
      <c r="R20" s="891"/>
      <c r="S20" s="892">
        <f t="shared" si="4"/>
        <v>53091</v>
      </c>
      <c r="T20" s="892">
        <f t="shared" si="5"/>
        <v>584001</v>
      </c>
      <c r="U20" s="892">
        <f t="shared" si="6"/>
        <v>58400.100000000006</v>
      </c>
      <c r="V20" s="892">
        <f t="shared" si="0"/>
        <v>45584.888000000006</v>
      </c>
      <c r="W20" s="892">
        <f t="shared" ref="W20:W36" si="14">T20*2%</f>
        <v>11680.02</v>
      </c>
      <c r="X20" s="892">
        <f t="shared" si="7"/>
        <v>468335.99199999997</v>
      </c>
      <c r="Y20" s="892">
        <f t="shared" si="8"/>
        <v>7008012</v>
      </c>
      <c r="Z20" s="892">
        <f t="shared" si="9"/>
        <v>530910</v>
      </c>
      <c r="AA20" s="892">
        <f t="shared" si="10"/>
        <v>7538922</v>
      </c>
      <c r="AB20" s="892">
        <f t="shared" si="1"/>
        <v>391684.16159999999</v>
      </c>
      <c r="AC20" s="892">
        <f t="shared" ref="AC20:AC36" si="15">AA20*0.9*5%</f>
        <v>339251.49</v>
      </c>
      <c r="AD20" s="892">
        <f t="shared" si="11"/>
        <v>210240.36</v>
      </c>
      <c r="AE20" s="892">
        <f t="shared" si="2"/>
        <v>339251.49</v>
      </c>
      <c r="AF20" s="892">
        <f t="shared" si="12"/>
        <v>8819349.501600001</v>
      </c>
      <c r="AG20" s="892" t="s">
        <v>3</v>
      </c>
    </row>
    <row r="21" spans="1:33" ht="31.5">
      <c r="A21" s="885">
        <v>5</v>
      </c>
      <c r="B21" s="893" t="s">
        <v>13</v>
      </c>
      <c r="C21" s="899" t="s">
        <v>430</v>
      </c>
      <c r="D21" s="1554"/>
      <c r="E21" s="885">
        <v>1</v>
      </c>
      <c r="F21" s="885"/>
      <c r="G21" s="888">
        <v>44805</v>
      </c>
      <c r="H21" s="895">
        <v>30</v>
      </c>
      <c r="I21" s="890">
        <f t="shared" si="13"/>
        <v>530910</v>
      </c>
      <c r="J21" s="890">
        <f t="shared" si="3"/>
        <v>53091</v>
      </c>
      <c r="K21" s="890"/>
      <c r="L21" s="890"/>
      <c r="M21" s="890"/>
      <c r="N21" s="890"/>
      <c r="O21" s="890"/>
      <c r="P21" s="890"/>
      <c r="Q21" s="891"/>
      <c r="R21" s="891"/>
      <c r="S21" s="892">
        <f t="shared" si="4"/>
        <v>53091</v>
      </c>
      <c r="T21" s="892">
        <f t="shared" si="5"/>
        <v>584001</v>
      </c>
      <c r="U21" s="892">
        <f t="shared" si="6"/>
        <v>58400.100000000006</v>
      </c>
      <c r="V21" s="892">
        <f t="shared" si="0"/>
        <v>45584.888000000006</v>
      </c>
      <c r="W21" s="892">
        <f t="shared" si="14"/>
        <v>11680.02</v>
      </c>
      <c r="X21" s="892">
        <f t="shared" si="7"/>
        <v>468335.99199999997</v>
      </c>
      <c r="Y21" s="892">
        <f t="shared" si="8"/>
        <v>7008012</v>
      </c>
      <c r="Z21" s="892">
        <f t="shared" si="9"/>
        <v>530910</v>
      </c>
      <c r="AA21" s="892">
        <f t="shared" si="10"/>
        <v>7538922</v>
      </c>
      <c r="AB21" s="892">
        <f t="shared" si="1"/>
        <v>391684.16159999999</v>
      </c>
      <c r="AC21" s="892">
        <f t="shared" si="15"/>
        <v>339251.49</v>
      </c>
      <c r="AD21" s="892">
        <f t="shared" si="11"/>
        <v>210240.36</v>
      </c>
      <c r="AE21" s="892">
        <f t="shared" si="2"/>
        <v>339251.49</v>
      </c>
      <c r="AF21" s="892">
        <f t="shared" si="12"/>
        <v>8819349.501600001</v>
      </c>
      <c r="AG21" s="892" t="s">
        <v>3</v>
      </c>
    </row>
    <row r="22" spans="1:33" ht="47.25">
      <c r="A22" s="885">
        <v>6</v>
      </c>
      <c r="B22" s="896" t="s">
        <v>431</v>
      </c>
      <c r="C22" s="900" t="s">
        <v>2311</v>
      </c>
      <c r="D22" s="885">
        <v>1</v>
      </c>
      <c r="E22" s="885">
        <v>1</v>
      </c>
      <c r="F22" s="885"/>
      <c r="G22" s="888">
        <v>45216</v>
      </c>
      <c r="H22" s="898">
        <v>33</v>
      </c>
      <c r="I22" s="890">
        <f>H22*17697</f>
        <v>584001</v>
      </c>
      <c r="J22" s="890">
        <f t="shared" si="3"/>
        <v>58400.100000000006</v>
      </c>
      <c r="K22" s="890"/>
      <c r="L22" s="890"/>
      <c r="M22" s="890"/>
      <c r="N22" s="890"/>
      <c r="O22" s="890"/>
      <c r="P22" s="890"/>
      <c r="Q22" s="891"/>
      <c r="R22" s="891"/>
      <c r="S22" s="892">
        <f t="shared" si="4"/>
        <v>58400.100000000006</v>
      </c>
      <c r="T22" s="892">
        <f t="shared" si="5"/>
        <v>642401.1</v>
      </c>
      <c r="U22" s="892">
        <f t="shared" si="6"/>
        <v>64240.11</v>
      </c>
      <c r="V22" s="892">
        <f t="shared" si="0"/>
        <v>50724.096799999999</v>
      </c>
      <c r="W22" s="892">
        <f t="shared" si="14"/>
        <v>12848.021999999999</v>
      </c>
      <c r="X22" s="892">
        <f t="shared" si="7"/>
        <v>514588.87120000005</v>
      </c>
      <c r="Y22" s="892">
        <f t="shared" si="8"/>
        <v>7708813.1999999993</v>
      </c>
      <c r="Z22" s="892">
        <f t="shared" si="9"/>
        <v>584001</v>
      </c>
      <c r="AA22" s="892">
        <f t="shared" si="10"/>
        <v>8292814.1999999993</v>
      </c>
      <c r="AB22" s="892">
        <f t="shared" si="1"/>
        <v>430852.5777599999</v>
      </c>
      <c r="AC22" s="892">
        <f t="shared" si="15"/>
        <v>373176.63899999997</v>
      </c>
      <c r="AD22" s="892">
        <f t="shared" si="11"/>
        <v>231264.39599999998</v>
      </c>
      <c r="AE22" s="892">
        <f t="shared" si="2"/>
        <v>373176.63899999997</v>
      </c>
      <c r="AF22" s="892">
        <f t="shared" si="12"/>
        <v>9701284.4517599996</v>
      </c>
      <c r="AG22" s="892" t="s">
        <v>3</v>
      </c>
    </row>
    <row r="23" spans="1:33" ht="31.5">
      <c r="A23" s="885">
        <v>7</v>
      </c>
      <c r="B23" s="893" t="s">
        <v>50</v>
      </c>
      <c r="C23" s="899" t="s">
        <v>116</v>
      </c>
      <c r="D23" s="885">
        <v>1</v>
      </c>
      <c r="E23" s="885">
        <v>1</v>
      </c>
      <c r="F23" s="885"/>
      <c r="G23" s="888">
        <v>43355</v>
      </c>
      <c r="H23" s="895">
        <v>32</v>
      </c>
      <c r="I23" s="890">
        <f t="shared" si="13"/>
        <v>566304</v>
      </c>
      <c r="J23" s="890">
        <f t="shared" si="3"/>
        <v>56630.400000000001</v>
      </c>
      <c r="K23" s="890"/>
      <c r="L23" s="890"/>
      <c r="M23" s="890"/>
      <c r="N23" s="890"/>
      <c r="O23" s="890"/>
      <c r="P23" s="890"/>
      <c r="Q23" s="891"/>
      <c r="R23" s="891"/>
      <c r="S23" s="892">
        <f t="shared" si="4"/>
        <v>56630.400000000001</v>
      </c>
      <c r="T23" s="892">
        <f t="shared" si="5"/>
        <v>622934.4</v>
      </c>
      <c r="U23" s="892">
        <f t="shared" si="6"/>
        <v>62293.440000000002</v>
      </c>
      <c r="V23" s="892">
        <f t="shared" si="0"/>
        <v>48556.896000000001</v>
      </c>
      <c r="W23" s="892">
        <v>17000</v>
      </c>
      <c r="X23" s="892">
        <f t="shared" si="7"/>
        <v>495084.06399999995</v>
      </c>
      <c r="Y23" s="892">
        <f t="shared" si="8"/>
        <v>7475212.8000000007</v>
      </c>
      <c r="Z23" s="892">
        <f t="shared" si="9"/>
        <v>566304</v>
      </c>
      <c r="AA23" s="892">
        <f t="shared" si="10"/>
        <v>8041516.8000000007</v>
      </c>
      <c r="AB23" s="892">
        <f t="shared" si="1"/>
        <v>411801.90720000002</v>
      </c>
      <c r="AC23" s="892">
        <f t="shared" si="15"/>
        <v>361868.25600000005</v>
      </c>
      <c r="AD23" s="892">
        <f t="shared" si="11"/>
        <v>224256.38400000002</v>
      </c>
      <c r="AE23" s="892">
        <f t="shared" si="2"/>
        <v>361868.25599999999</v>
      </c>
      <c r="AF23" s="892">
        <f t="shared" si="12"/>
        <v>9401311.6031999979</v>
      </c>
      <c r="AG23" s="892" t="s">
        <v>3</v>
      </c>
    </row>
    <row r="24" spans="1:33" ht="34.5" customHeight="1">
      <c r="A24" s="885">
        <v>8</v>
      </c>
      <c r="B24" s="893" t="s">
        <v>825</v>
      </c>
      <c r="C24" s="899" t="s">
        <v>432</v>
      </c>
      <c r="D24" s="1553">
        <v>2</v>
      </c>
      <c r="E24" s="885">
        <v>1</v>
      </c>
      <c r="F24" s="885"/>
      <c r="G24" s="888">
        <v>42263</v>
      </c>
      <c r="H24" s="895">
        <v>30</v>
      </c>
      <c r="I24" s="890">
        <f t="shared" si="13"/>
        <v>530910</v>
      </c>
      <c r="J24" s="890">
        <f t="shared" si="3"/>
        <v>53091</v>
      </c>
      <c r="K24" s="890"/>
      <c r="L24" s="890"/>
      <c r="M24" s="890"/>
      <c r="N24" s="890"/>
      <c r="O24" s="890"/>
      <c r="P24" s="890"/>
      <c r="Q24" s="891"/>
      <c r="R24" s="891"/>
      <c r="S24" s="892">
        <f t="shared" si="4"/>
        <v>53091</v>
      </c>
      <c r="T24" s="892">
        <f t="shared" si="5"/>
        <v>584001</v>
      </c>
      <c r="U24" s="892">
        <f t="shared" si="6"/>
        <v>58400.100000000006</v>
      </c>
      <c r="V24" s="892">
        <f t="shared" si="0"/>
        <v>45584.888000000006</v>
      </c>
      <c r="W24" s="892">
        <f t="shared" si="14"/>
        <v>11680.02</v>
      </c>
      <c r="X24" s="892">
        <f t="shared" si="7"/>
        <v>468335.99199999997</v>
      </c>
      <c r="Y24" s="892">
        <f t="shared" si="8"/>
        <v>7008012</v>
      </c>
      <c r="Z24" s="892">
        <f t="shared" si="9"/>
        <v>530910</v>
      </c>
      <c r="AA24" s="892">
        <f t="shared" si="10"/>
        <v>7538922</v>
      </c>
      <c r="AB24" s="892">
        <f t="shared" si="1"/>
        <v>391684.16159999999</v>
      </c>
      <c r="AC24" s="892">
        <f t="shared" si="15"/>
        <v>339251.49</v>
      </c>
      <c r="AD24" s="892">
        <f t="shared" si="11"/>
        <v>210240.36</v>
      </c>
      <c r="AE24" s="892">
        <f t="shared" si="2"/>
        <v>339251.49</v>
      </c>
      <c r="AF24" s="892">
        <f t="shared" si="12"/>
        <v>8819349.501600001</v>
      </c>
      <c r="AG24" s="892" t="s">
        <v>3</v>
      </c>
    </row>
    <row r="25" spans="1:33" ht="37.5" customHeight="1">
      <c r="A25" s="885">
        <v>9</v>
      </c>
      <c r="B25" s="893" t="s">
        <v>825</v>
      </c>
      <c r="C25" s="899" t="s">
        <v>433</v>
      </c>
      <c r="D25" s="1554"/>
      <c r="E25" s="885">
        <v>1</v>
      </c>
      <c r="F25" s="885"/>
      <c r="G25" s="888">
        <v>44106</v>
      </c>
      <c r="H25" s="895">
        <v>24</v>
      </c>
      <c r="I25" s="890">
        <f t="shared" si="13"/>
        <v>424728</v>
      </c>
      <c r="J25" s="890">
        <f t="shared" si="3"/>
        <v>42472.800000000003</v>
      </c>
      <c r="K25" s="890"/>
      <c r="L25" s="890"/>
      <c r="M25" s="890"/>
      <c r="N25" s="890"/>
      <c r="O25" s="890"/>
      <c r="P25" s="890"/>
      <c r="Q25" s="891"/>
      <c r="R25" s="891"/>
      <c r="S25" s="892">
        <f t="shared" si="4"/>
        <v>42472.800000000003</v>
      </c>
      <c r="T25" s="892">
        <f t="shared" si="5"/>
        <v>467200.8</v>
      </c>
      <c r="U25" s="892">
        <f t="shared" si="6"/>
        <v>46720.08</v>
      </c>
      <c r="V25" s="892">
        <f t="shared" si="0"/>
        <v>35306.470399999998</v>
      </c>
      <c r="W25" s="892">
        <f t="shared" si="14"/>
        <v>9344.0159999999996</v>
      </c>
      <c r="X25" s="892">
        <f t="shared" si="7"/>
        <v>375830.23359999998</v>
      </c>
      <c r="Y25" s="892">
        <f t="shared" si="8"/>
        <v>5606409.5999999996</v>
      </c>
      <c r="Z25" s="892">
        <f t="shared" si="9"/>
        <v>424728</v>
      </c>
      <c r="AA25" s="892">
        <f t="shared" si="10"/>
        <v>6031137.5999999996</v>
      </c>
      <c r="AB25" s="892">
        <f t="shared" si="1"/>
        <v>313347.32928000001</v>
      </c>
      <c r="AC25" s="892">
        <f t="shared" si="15"/>
        <v>271401.19199999998</v>
      </c>
      <c r="AD25" s="892">
        <f t="shared" si="11"/>
        <v>168192.28799999997</v>
      </c>
      <c r="AE25" s="892">
        <f t="shared" si="2"/>
        <v>271401.19199999998</v>
      </c>
      <c r="AF25" s="892">
        <f t="shared" si="12"/>
        <v>7055479.6012799991</v>
      </c>
      <c r="AG25" s="892" t="s">
        <v>3</v>
      </c>
    </row>
    <row r="26" spans="1:33">
      <c r="A26" s="885">
        <v>10</v>
      </c>
      <c r="B26" s="896" t="s">
        <v>2312</v>
      </c>
      <c r="C26" s="870" t="s">
        <v>2313</v>
      </c>
      <c r="D26" s="885">
        <v>1</v>
      </c>
      <c r="E26" s="885">
        <v>1</v>
      </c>
      <c r="F26" s="885"/>
      <c r="G26" s="888">
        <v>44470</v>
      </c>
      <c r="H26" s="898">
        <v>30</v>
      </c>
      <c r="I26" s="890">
        <f t="shared" si="13"/>
        <v>530910</v>
      </c>
      <c r="J26" s="890">
        <f t="shared" si="3"/>
        <v>53091</v>
      </c>
      <c r="K26" s="890"/>
      <c r="L26" s="890"/>
      <c r="M26" s="890"/>
      <c r="N26" s="890"/>
      <c r="O26" s="890"/>
      <c r="P26" s="890"/>
      <c r="Q26" s="891"/>
      <c r="R26" s="891"/>
      <c r="S26" s="892">
        <f t="shared" si="4"/>
        <v>53091</v>
      </c>
      <c r="T26" s="892">
        <f t="shared" si="5"/>
        <v>584001</v>
      </c>
      <c r="U26" s="892">
        <f t="shared" si="6"/>
        <v>58400.100000000006</v>
      </c>
      <c r="V26" s="892">
        <f t="shared" si="0"/>
        <v>45584.888000000006</v>
      </c>
      <c r="W26" s="892">
        <f t="shared" si="14"/>
        <v>11680.02</v>
      </c>
      <c r="X26" s="892">
        <f t="shared" si="7"/>
        <v>468335.99199999997</v>
      </c>
      <c r="Y26" s="892">
        <f t="shared" si="8"/>
        <v>7008012</v>
      </c>
      <c r="Z26" s="892">
        <f t="shared" si="9"/>
        <v>530910</v>
      </c>
      <c r="AA26" s="892">
        <f t="shared" si="10"/>
        <v>7538922</v>
      </c>
      <c r="AB26" s="892">
        <f t="shared" si="1"/>
        <v>391684.16159999999</v>
      </c>
      <c r="AC26" s="892">
        <f t="shared" si="15"/>
        <v>339251.49</v>
      </c>
      <c r="AD26" s="892">
        <f t="shared" si="11"/>
        <v>210240.36</v>
      </c>
      <c r="AE26" s="892">
        <f t="shared" si="2"/>
        <v>339251.49</v>
      </c>
      <c r="AF26" s="892">
        <f t="shared" si="12"/>
        <v>8819349.501600001</v>
      </c>
      <c r="AG26" s="892" t="s">
        <v>3</v>
      </c>
    </row>
    <row r="27" spans="1:33">
      <c r="A27" s="885">
        <v>11</v>
      </c>
      <c r="B27" s="893" t="s">
        <v>52</v>
      </c>
      <c r="C27" s="893" t="s">
        <v>434</v>
      </c>
      <c r="D27" s="885">
        <v>1</v>
      </c>
      <c r="E27" s="885">
        <v>1</v>
      </c>
      <c r="F27" s="885"/>
      <c r="G27" s="901">
        <v>44853</v>
      </c>
      <c r="H27" s="895">
        <v>30</v>
      </c>
      <c r="I27" s="890">
        <f t="shared" si="13"/>
        <v>530910</v>
      </c>
      <c r="J27" s="890">
        <f t="shared" si="3"/>
        <v>53091</v>
      </c>
      <c r="K27" s="890"/>
      <c r="L27" s="890"/>
      <c r="M27" s="890"/>
      <c r="N27" s="890"/>
      <c r="O27" s="890"/>
      <c r="P27" s="890"/>
      <c r="Q27" s="891"/>
      <c r="R27" s="891"/>
      <c r="S27" s="892">
        <f t="shared" si="4"/>
        <v>53091</v>
      </c>
      <c r="T27" s="892">
        <f t="shared" si="5"/>
        <v>584001</v>
      </c>
      <c r="U27" s="892">
        <f t="shared" si="6"/>
        <v>58400.100000000006</v>
      </c>
      <c r="V27" s="892">
        <f t="shared" si="0"/>
        <v>45584.888000000006</v>
      </c>
      <c r="W27" s="892">
        <f t="shared" si="14"/>
        <v>11680.02</v>
      </c>
      <c r="X27" s="892">
        <f t="shared" si="7"/>
        <v>468335.99199999997</v>
      </c>
      <c r="Y27" s="892">
        <f t="shared" si="8"/>
        <v>7008012</v>
      </c>
      <c r="Z27" s="892">
        <f t="shared" si="9"/>
        <v>530910</v>
      </c>
      <c r="AA27" s="892">
        <f t="shared" si="10"/>
        <v>7538922</v>
      </c>
      <c r="AB27" s="892">
        <f t="shared" si="1"/>
        <v>391684.16159999999</v>
      </c>
      <c r="AC27" s="892">
        <f t="shared" si="15"/>
        <v>339251.49</v>
      </c>
      <c r="AD27" s="892">
        <f t="shared" si="11"/>
        <v>210240.36</v>
      </c>
      <c r="AE27" s="892">
        <f t="shared" si="2"/>
        <v>339251.49</v>
      </c>
      <c r="AF27" s="892">
        <f t="shared" si="12"/>
        <v>8819349.501600001</v>
      </c>
      <c r="AG27" s="892" t="s">
        <v>3</v>
      </c>
    </row>
    <row r="28" spans="1:33">
      <c r="A28" s="885">
        <v>12</v>
      </c>
      <c r="B28" s="893" t="s">
        <v>435</v>
      </c>
      <c r="C28" s="893" t="s">
        <v>436</v>
      </c>
      <c r="D28" s="885">
        <v>1</v>
      </c>
      <c r="E28" s="885">
        <v>1</v>
      </c>
      <c r="F28" s="885"/>
      <c r="G28" s="888">
        <v>43710</v>
      </c>
      <c r="H28" s="895">
        <v>35</v>
      </c>
      <c r="I28" s="890">
        <f t="shared" si="13"/>
        <v>619395</v>
      </c>
      <c r="J28" s="890">
        <f t="shared" si="3"/>
        <v>61939.5</v>
      </c>
      <c r="K28" s="890"/>
      <c r="L28" s="890"/>
      <c r="M28" s="890"/>
      <c r="N28" s="890"/>
      <c r="O28" s="890"/>
      <c r="P28" s="890"/>
      <c r="Q28" s="891"/>
      <c r="R28" s="891"/>
      <c r="S28" s="892">
        <f t="shared" si="4"/>
        <v>61939.5</v>
      </c>
      <c r="T28" s="892">
        <f t="shared" si="5"/>
        <v>681334.5</v>
      </c>
      <c r="U28" s="892">
        <f t="shared" si="6"/>
        <v>68133.45</v>
      </c>
      <c r="V28" s="892">
        <f t="shared" si="0"/>
        <v>54150.236000000012</v>
      </c>
      <c r="W28" s="892">
        <f t="shared" si="14"/>
        <v>13626.69</v>
      </c>
      <c r="X28" s="892">
        <f t="shared" si="7"/>
        <v>545424.12400000007</v>
      </c>
      <c r="Y28" s="892">
        <f t="shared" si="8"/>
        <v>8176014</v>
      </c>
      <c r="Z28" s="892">
        <f t="shared" si="9"/>
        <v>619395</v>
      </c>
      <c r="AA28" s="892">
        <f t="shared" si="10"/>
        <v>8795409</v>
      </c>
      <c r="AB28" s="892">
        <f t="shared" si="1"/>
        <v>456964.85519999999</v>
      </c>
      <c r="AC28" s="892">
        <f t="shared" si="15"/>
        <v>395793.40500000003</v>
      </c>
      <c r="AD28" s="892">
        <f t="shared" si="11"/>
        <v>245280.41999999998</v>
      </c>
      <c r="AE28" s="892">
        <f t="shared" si="2"/>
        <v>395793.40499999997</v>
      </c>
      <c r="AF28" s="892">
        <f t="shared" si="12"/>
        <v>10289241.085199999</v>
      </c>
      <c r="AG28" s="892" t="s">
        <v>3</v>
      </c>
    </row>
    <row r="29" spans="1:33" ht="31.5">
      <c r="A29" s="902">
        <v>13</v>
      </c>
      <c r="B29" s="903" t="s">
        <v>437</v>
      </c>
      <c r="C29" s="904" t="s">
        <v>438</v>
      </c>
      <c r="D29" s="902">
        <v>1</v>
      </c>
      <c r="E29" s="902">
        <v>1</v>
      </c>
      <c r="F29" s="902"/>
      <c r="G29" s="888">
        <v>44105</v>
      </c>
      <c r="H29" s="905">
        <v>30</v>
      </c>
      <c r="I29" s="906">
        <f t="shared" si="13"/>
        <v>530910</v>
      </c>
      <c r="J29" s="906">
        <f t="shared" si="3"/>
        <v>53091</v>
      </c>
      <c r="K29" s="906"/>
      <c r="L29" s="906"/>
      <c r="M29" s="906"/>
      <c r="N29" s="906"/>
      <c r="O29" s="906"/>
      <c r="P29" s="906"/>
      <c r="Q29" s="907"/>
      <c r="R29" s="907"/>
      <c r="S29" s="908">
        <f t="shared" si="4"/>
        <v>53091</v>
      </c>
      <c r="T29" s="908">
        <f t="shared" si="5"/>
        <v>584001</v>
      </c>
      <c r="U29" s="908">
        <f t="shared" si="6"/>
        <v>58400.100000000006</v>
      </c>
      <c r="V29" s="908">
        <f t="shared" si="0"/>
        <v>45584.888000000006</v>
      </c>
      <c r="W29" s="908">
        <f t="shared" si="14"/>
        <v>11680.02</v>
      </c>
      <c r="X29" s="908">
        <f t="shared" si="7"/>
        <v>468335.99199999997</v>
      </c>
      <c r="Y29" s="892">
        <f t="shared" si="8"/>
        <v>7008012</v>
      </c>
      <c r="Z29" s="892">
        <f t="shared" si="9"/>
        <v>530910</v>
      </c>
      <c r="AA29" s="892">
        <f t="shared" si="10"/>
        <v>7538922</v>
      </c>
      <c r="AB29" s="892">
        <f t="shared" si="1"/>
        <v>391684.16159999999</v>
      </c>
      <c r="AC29" s="892">
        <f t="shared" si="15"/>
        <v>339251.49</v>
      </c>
      <c r="AD29" s="892">
        <f t="shared" si="11"/>
        <v>210240.36</v>
      </c>
      <c r="AE29" s="892">
        <f t="shared" si="2"/>
        <v>339251.49</v>
      </c>
      <c r="AF29" s="892">
        <f t="shared" si="12"/>
        <v>8819349.501600001</v>
      </c>
      <c r="AG29" s="892" t="s">
        <v>3</v>
      </c>
    </row>
    <row r="30" spans="1:33">
      <c r="A30" s="885">
        <v>14</v>
      </c>
      <c r="B30" s="909" t="s">
        <v>46</v>
      </c>
      <c r="C30" s="909" t="s">
        <v>2314</v>
      </c>
      <c r="D30" s="1548">
        <v>2</v>
      </c>
      <c r="E30" s="885">
        <v>1</v>
      </c>
      <c r="F30" s="885"/>
      <c r="G30" s="910">
        <v>38517</v>
      </c>
      <c r="H30" s="911">
        <v>24</v>
      </c>
      <c r="I30" s="890">
        <f t="shared" si="13"/>
        <v>424728</v>
      </c>
      <c r="J30" s="890">
        <f t="shared" si="3"/>
        <v>42472.800000000003</v>
      </c>
      <c r="K30" s="890"/>
      <c r="L30" s="890"/>
      <c r="M30" s="890"/>
      <c r="N30" s="890"/>
      <c r="O30" s="890"/>
      <c r="P30" s="890"/>
      <c r="Q30" s="891"/>
      <c r="R30" s="891"/>
      <c r="S30" s="892">
        <f t="shared" si="4"/>
        <v>42472.800000000003</v>
      </c>
      <c r="T30" s="892">
        <f t="shared" si="5"/>
        <v>467200.8</v>
      </c>
      <c r="U30" s="892">
        <f t="shared" si="6"/>
        <v>46720.08</v>
      </c>
      <c r="V30" s="892">
        <f t="shared" si="0"/>
        <v>35306.470399999998</v>
      </c>
      <c r="W30" s="892">
        <f t="shared" si="14"/>
        <v>9344.0159999999996</v>
      </c>
      <c r="X30" s="892">
        <f t="shared" si="7"/>
        <v>375830.23359999998</v>
      </c>
      <c r="Y30" s="892">
        <f t="shared" si="8"/>
        <v>5606409.5999999996</v>
      </c>
      <c r="Z30" s="892">
        <f t="shared" si="9"/>
        <v>424728</v>
      </c>
      <c r="AA30" s="892">
        <f t="shared" si="10"/>
        <v>6031137.5999999996</v>
      </c>
      <c r="AB30" s="892">
        <f t="shared" si="1"/>
        <v>313347.32928000001</v>
      </c>
      <c r="AC30" s="892">
        <f t="shared" si="15"/>
        <v>271401.19199999998</v>
      </c>
      <c r="AD30" s="892">
        <f t="shared" si="11"/>
        <v>168192.28799999997</v>
      </c>
      <c r="AE30" s="892">
        <f t="shared" si="2"/>
        <v>271401.19199999998</v>
      </c>
      <c r="AF30" s="892">
        <f t="shared" si="12"/>
        <v>7055479.6012799991</v>
      </c>
      <c r="AG30" s="892" t="s">
        <v>3</v>
      </c>
    </row>
    <row r="31" spans="1:33">
      <c r="A31" s="885">
        <v>15</v>
      </c>
      <c r="B31" s="912" t="s">
        <v>46</v>
      </c>
      <c r="C31" s="912" t="s">
        <v>2315</v>
      </c>
      <c r="D31" s="1548"/>
      <c r="E31" s="885">
        <v>1</v>
      </c>
      <c r="F31" s="885"/>
      <c r="G31" s="888">
        <v>45229</v>
      </c>
      <c r="H31" s="913">
        <v>21</v>
      </c>
      <c r="I31" s="890">
        <f t="shared" si="13"/>
        <v>371637</v>
      </c>
      <c r="J31" s="890">
        <f t="shared" si="3"/>
        <v>37163.700000000004</v>
      </c>
      <c r="K31" s="890"/>
      <c r="L31" s="890"/>
      <c r="M31" s="890"/>
      <c r="N31" s="890"/>
      <c r="O31" s="890"/>
      <c r="P31" s="890"/>
      <c r="Q31" s="891"/>
      <c r="R31" s="891"/>
      <c r="S31" s="892">
        <f t="shared" si="4"/>
        <v>37163.700000000004</v>
      </c>
      <c r="T31" s="892">
        <f t="shared" si="5"/>
        <v>408800.7</v>
      </c>
      <c r="U31" s="892">
        <f t="shared" si="6"/>
        <v>40880.070000000007</v>
      </c>
      <c r="V31" s="892">
        <f t="shared" si="0"/>
        <v>30167.261599999998</v>
      </c>
      <c r="W31" s="892">
        <f t="shared" si="14"/>
        <v>8176.0140000000001</v>
      </c>
      <c r="X31" s="892">
        <f t="shared" si="7"/>
        <v>329577.35440000001</v>
      </c>
      <c r="Y31" s="892">
        <f t="shared" si="8"/>
        <v>4905608.4000000004</v>
      </c>
      <c r="Z31" s="892">
        <f t="shared" si="9"/>
        <v>371637</v>
      </c>
      <c r="AA31" s="892">
        <f t="shared" si="10"/>
        <v>5277245.4000000004</v>
      </c>
      <c r="AB31" s="892">
        <f t="shared" si="1"/>
        <v>274178.91312000004</v>
      </c>
      <c r="AC31" s="892">
        <f t="shared" si="15"/>
        <v>237476.04300000003</v>
      </c>
      <c r="AD31" s="892">
        <f t="shared" si="11"/>
        <v>147168.25200000001</v>
      </c>
      <c r="AE31" s="892">
        <f t="shared" si="2"/>
        <v>237476.04300000001</v>
      </c>
      <c r="AF31" s="892">
        <f t="shared" si="12"/>
        <v>6173544.6511199996</v>
      </c>
      <c r="AG31" s="892" t="s">
        <v>3</v>
      </c>
    </row>
    <row r="32" spans="1:33">
      <c r="A32" s="885">
        <v>16</v>
      </c>
      <c r="B32" s="912" t="s">
        <v>439</v>
      </c>
      <c r="C32" s="914" t="s">
        <v>440</v>
      </c>
      <c r="D32" s="885">
        <v>1</v>
      </c>
      <c r="E32" s="885">
        <v>1</v>
      </c>
      <c r="F32" s="885"/>
      <c r="G32" s="901">
        <v>45019</v>
      </c>
      <c r="H32" s="913">
        <v>25</v>
      </c>
      <c r="I32" s="890">
        <f t="shared" si="13"/>
        <v>442425</v>
      </c>
      <c r="J32" s="890">
        <f t="shared" si="3"/>
        <v>44242.5</v>
      </c>
      <c r="K32" s="890"/>
      <c r="L32" s="890"/>
      <c r="M32" s="890"/>
      <c r="N32" s="890"/>
      <c r="O32" s="890"/>
      <c r="P32" s="890"/>
      <c r="Q32" s="891"/>
      <c r="R32" s="891"/>
      <c r="S32" s="892">
        <f t="shared" si="4"/>
        <v>44242.5</v>
      </c>
      <c r="T32" s="892">
        <f t="shared" si="5"/>
        <v>486667.5</v>
      </c>
      <c r="U32" s="892">
        <f t="shared" si="6"/>
        <v>48666.75</v>
      </c>
      <c r="V32" s="892">
        <f t="shared" si="0"/>
        <v>37019.54</v>
      </c>
      <c r="W32" s="892">
        <f t="shared" si="14"/>
        <v>9733.35</v>
      </c>
      <c r="X32" s="892">
        <f t="shared" si="7"/>
        <v>391247.86000000004</v>
      </c>
      <c r="Y32" s="892">
        <f t="shared" si="8"/>
        <v>5840010</v>
      </c>
      <c r="Z32" s="892">
        <f t="shared" si="9"/>
        <v>442425</v>
      </c>
      <c r="AA32" s="892">
        <f t="shared" si="10"/>
        <v>6282435</v>
      </c>
      <c r="AB32" s="892">
        <f t="shared" si="1"/>
        <v>326403.46799999994</v>
      </c>
      <c r="AC32" s="892">
        <f t="shared" si="15"/>
        <v>282709.57500000001</v>
      </c>
      <c r="AD32" s="892">
        <f t="shared" si="11"/>
        <v>175200.3</v>
      </c>
      <c r="AE32" s="892">
        <f t="shared" si="2"/>
        <v>282709.57500000001</v>
      </c>
      <c r="AF32" s="892">
        <f t="shared" si="12"/>
        <v>7349457.9180000005</v>
      </c>
      <c r="AG32" s="892" t="s">
        <v>3</v>
      </c>
    </row>
    <row r="33" spans="1:33" ht="31.5">
      <c r="A33" s="885">
        <v>17</v>
      </c>
      <c r="B33" s="915" t="s">
        <v>441</v>
      </c>
      <c r="C33" s="916" t="s">
        <v>826</v>
      </c>
      <c r="D33" s="885">
        <v>1</v>
      </c>
      <c r="E33" s="885">
        <v>1</v>
      </c>
      <c r="F33" s="885"/>
      <c r="G33" s="901">
        <v>45232</v>
      </c>
      <c r="H33" s="913">
        <v>28</v>
      </c>
      <c r="I33" s="890">
        <f t="shared" si="13"/>
        <v>495516</v>
      </c>
      <c r="J33" s="890">
        <f t="shared" si="3"/>
        <v>49551.600000000006</v>
      </c>
      <c r="K33" s="890"/>
      <c r="L33" s="890"/>
      <c r="M33" s="890"/>
      <c r="N33" s="890"/>
      <c r="O33" s="890"/>
      <c r="P33" s="890"/>
      <c r="Q33" s="891"/>
      <c r="R33" s="891"/>
      <c r="S33" s="892">
        <f t="shared" si="4"/>
        <v>49551.600000000006</v>
      </c>
      <c r="T33" s="892">
        <f t="shared" si="5"/>
        <v>545067.6</v>
      </c>
      <c r="U33" s="892">
        <f t="shared" si="6"/>
        <v>54506.76</v>
      </c>
      <c r="V33" s="892">
        <f t="shared" si="0"/>
        <v>42158.748800000001</v>
      </c>
      <c r="W33" s="892">
        <f t="shared" si="14"/>
        <v>10901.351999999999</v>
      </c>
      <c r="X33" s="892">
        <f t="shared" si="7"/>
        <v>437500.73919999995</v>
      </c>
      <c r="Y33" s="892">
        <f t="shared" si="8"/>
        <v>6540811.1999999993</v>
      </c>
      <c r="Z33" s="892">
        <f t="shared" si="9"/>
        <v>495516</v>
      </c>
      <c r="AA33" s="892">
        <f t="shared" si="10"/>
        <v>7036327.1999999993</v>
      </c>
      <c r="AB33" s="892">
        <f t="shared" si="1"/>
        <v>365571.88415999996</v>
      </c>
      <c r="AC33" s="892">
        <f t="shared" si="15"/>
        <v>316634.72399999999</v>
      </c>
      <c r="AD33" s="892">
        <f t="shared" si="11"/>
        <v>196224.33599999998</v>
      </c>
      <c r="AE33" s="892">
        <f t="shared" si="2"/>
        <v>316634.72399999993</v>
      </c>
      <c r="AF33" s="892">
        <f t="shared" si="12"/>
        <v>8231392.8681600001</v>
      </c>
      <c r="AG33" s="892" t="s">
        <v>3</v>
      </c>
    </row>
    <row r="34" spans="1:33" ht="31.5">
      <c r="A34" s="885">
        <v>18</v>
      </c>
      <c r="B34" s="909" t="s">
        <v>442</v>
      </c>
      <c r="C34" s="909" t="s">
        <v>190</v>
      </c>
      <c r="D34" s="885">
        <v>1</v>
      </c>
      <c r="E34" s="885">
        <v>1</v>
      </c>
      <c r="F34" s="885"/>
      <c r="G34" s="888">
        <v>42980</v>
      </c>
      <c r="H34" s="911">
        <v>25</v>
      </c>
      <c r="I34" s="890">
        <f t="shared" si="13"/>
        <v>442425</v>
      </c>
      <c r="J34" s="890">
        <f t="shared" si="3"/>
        <v>44242.5</v>
      </c>
      <c r="K34" s="890"/>
      <c r="L34" s="890"/>
      <c r="M34" s="890"/>
      <c r="N34" s="890"/>
      <c r="O34" s="890"/>
      <c r="P34" s="890"/>
      <c r="Q34" s="891"/>
      <c r="R34" s="891"/>
      <c r="S34" s="892">
        <f>SUM(J34:R34)</f>
        <v>44242.5</v>
      </c>
      <c r="T34" s="892">
        <f t="shared" si="5"/>
        <v>486667.5</v>
      </c>
      <c r="U34" s="892">
        <f t="shared" si="6"/>
        <v>48666.75</v>
      </c>
      <c r="V34" s="892">
        <f t="shared" si="0"/>
        <v>37019.54</v>
      </c>
      <c r="W34" s="892">
        <f t="shared" si="14"/>
        <v>9733.35</v>
      </c>
      <c r="X34" s="892">
        <f t="shared" si="7"/>
        <v>391247.86000000004</v>
      </c>
      <c r="Y34" s="892">
        <f t="shared" si="8"/>
        <v>5840010</v>
      </c>
      <c r="Z34" s="892">
        <f t="shared" si="9"/>
        <v>442425</v>
      </c>
      <c r="AA34" s="892">
        <f t="shared" si="10"/>
        <v>6282435</v>
      </c>
      <c r="AB34" s="892">
        <f t="shared" si="1"/>
        <v>326403.46799999994</v>
      </c>
      <c r="AC34" s="892">
        <f t="shared" si="15"/>
        <v>282709.57500000001</v>
      </c>
      <c r="AD34" s="892">
        <f t="shared" si="11"/>
        <v>175200.3</v>
      </c>
      <c r="AE34" s="892">
        <f t="shared" si="2"/>
        <v>282709.57500000001</v>
      </c>
      <c r="AF34" s="892">
        <f t="shared" si="12"/>
        <v>7349457.9180000005</v>
      </c>
      <c r="AG34" s="892" t="s">
        <v>3</v>
      </c>
    </row>
    <row r="35" spans="1:33">
      <c r="A35" s="885">
        <v>19</v>
      </c>
      <c r="B35" s="909" t="s">
        <v>47</v>
      </c>
      <c r="C35" s="909" t="s">
        <v>2316</v>
      </c>
      <c r="D35" s="885">
        <v>1</v>
      </c>
      <c r="E35" s="885">
        <v>1</v>
      </c>
      <c r="F35" s="885"/>
      <c r="G35" s="888">
        <v>44585</v>
      </c>
      <c r="H35" s="911">
        <v>16</v>
      </c>
      <c r="I35" s="890">
        <f t="shared" si="13"/>
        <v>283152</v>
      </c>
      <c r="J35" s="890">
        <f t="shared" si="3"/>
        <v>28315.200000000001</v>
      </c>
      <c r="K35" s="890"/>
      <c r="L35" s="890"/>
      <c r="M35" s="890"/>
      <c r="N35" s="890"/>
      <c r="O35" s="890"/>
      <c r="P35" s="890"/>
      <c r="Q35" s="891"/>
      <c r="R35" s="891"/>
      <c r="S35" s="892">
        <f t="shared" si="4"/>
        <v>28315.200000000001</v>
      </c>
      <c r="T35" s="892">
        <f t="shared" si="5"/>
        <v>311467.2</v>
      </c>
      <c r="U35" s="892">
        <f t="shared" si="6"/>
        <v>31146.720000000001</v>
      </c>
      <c r="V35" s="892">
        <f t="shared" si="0"/>
        <v>21601.9136</v>
      </c>
      <c r="W35" s="892">
        <f t="shared" si="14"/>
        <v>6229.3440000000001</v>
      </c>
      <c r="X35" s="892">
        <f t="shared" si="7"/>
        <v>252489.22239999997</v>
      </c>
      <c r="Y35" s="892">
        <f t="shared" si="8"/>
        <v>3737606.4000000004</v>
      </c>
      <c r="Z35" s="892">
        <f t="shared" si="9"/>
        <v>283152</v>
      </c>
      <c r="AA35" s="892">
        <f t="shared" si="10"/>
        <v>4020758.4000000004</v>
      </c>
      <c r="AB35" s="892">
        <f t="shared" si="1"/>
        <v>208898.21952000004</v>
      </c>
      <c r="AC35" s="892">
        <f t="shared" si="15"/>
        <v>180934.12800000003</v>
      </c>
      <c r="AD35" s="892">
        <f t="shared" si="11"/>
        <v>112128.19200000001</v>
      </c>
      <c r="AE35" s="892">
        <f t="shared" si="2"/>
        <v>180934.128</v>
      </c>
      <c r="AF35" s="892">
        <f t="shared" si="12"/>
        <v>4703653.0675199991</v>
      </c>
      <c r="AG35" s="892" t="s">
        <v>3</v>
      </c>
    </row>
    <row r="36" spans="1:33" ht="31.5">
      <c r="A36" s="885">
        <v>20</v>
      </c>
      <c r="B36" s="909" t="s">
        <v>443</v>
      </c>
      <c r="C36" s="909" t="s">
        <v>444</v>
      </c>
      <c r="D36" s="885">
        <v>1</v>
      </c>
      <c r="E36" s="885">
        <v>1</v>
      </c>
      <c r="F36" s="885"/>
      <c r="G36" s="917">
        <v>42888</v>
      </c>
      <c r="H36" s="911">
        <v>11</v>
      </c>
      <c r="I36" s="890">
        <f t="shared" si="13"/>
        <v>194667</v>
      </c>
      <c r="J36" s="890">
        <f t="shared" si="3"/>
        <v>19466.7</v>
      </c>
      <c r="K36" s="890"/>
      <c r="L36" s="890"/>
      <c r="M36" s="890"/>
      <c r="N36" s="890"/>
      <c r="O36" s="890"/>
      <c r="P36" s="890"/>
      <c r="Q36" s="891"/>
      <c r="R36" s="891"/>
      <c r="S36" s="892">
        <f t="shared" si="4"/>
        <v>19466.7</v>
      </c>
      <c r="T36" s="892">
        <f t="shared" si="5"/>
        <v>214133.7</v>
      </c>
      <c r="U36" s="892">
        <f t="shared" si="6"/>
        <v>21413.370000000003</v>
      </c>
      <c r="V36" s="892">
        <f t="shared" si="0"/>
        <v>13036.565600000002</v>
      </c>
      <c r="W36" s="892">
        <f t="shared" si="14"/>
        <v>4282.674</v>
      </c>
      <c r="X36" s="892">
        <f t="shared" si="7"/>
        <v>175401.09040000002</v>
      </c>
      <c r="Y36" s="892">
        <f t="shared" si="8"/>
        <v>2569604.4000000004</v>
      </c>
      <c r="Z36" s="892">
        <f t="shared" si="9"/>
        <v>194667</v>
      </c>
      <c r="AA36" s="892">
        <f t="shared" si="10"/>
        <v>2764271.4000000004</v>
      </c>
      <c r="AB36" s="892">
        <f t="shared" si="1"/>
        <v>143617.52592000001</v>
      </c>
      <c r="AC36" s="892">
        <f t="shared" si="15"/>
        <v>124392.21300000002</v>
      </c>
      <c r="AD36" s="892">
        <f t="shared" si="11"/>
        <v>77088.132000000012</v>
      </c>
      <c r="AE36" s="892">
        <f t="shared" si="2"/>
        <v>124392.21300000002</v>
      </c>
      <c r="AF36" s="892">
        <f t="shared" si="12"/>
        <v>3233761.4839200005</v>
      </c>
      <c r="AG36" s="892" t="s">
        <v>3</v>
      </c>
    </row>
    <row r="37" spans="1:33" ht="21" customHeight="1">
      <c r="B37" s="919" t="s">
        <v>827</v>
      </c>
      <c r="C37" s="920"/>
      <c r="D37" s="921">
        <f>SUM(D17:D36)</f>
        <v>20</v>
      </c>
      <c r="E37" s="921">
        <f>SUM(E17:E36)</f>
        <v>20</v>
      </c>
      <c r="F37" s="887"/>
      <c r="G37" s="887"/>
      <c r="H37" s="887"/>
      <c r="I37" s="922">
        <f>SUM(I17:I36)</f>
        <v>10547412</v>
      </c>
      <c r="J37" s="922">
        <f>SUM(J17:J36)</f>
        <v>1054741.2</v>
      </c>
      <c r="K37" s="887"/>
      <c r="L37" s="887"/>
      <c r="M37" s="887"/>
      <c r="N37" s="887"/>
      <c r="O37" s="887"/>
      <c r="P37" s="887"/>
      <c r="Q37" s="923"/>
      <c r="R37" s="923"/>
      <c r="S37" s="924">
        <f>SUM(S17:S36)</f>
        <v>1054741.2</v>
      </c>
      <c r="T37" s="924">
        <f t="shared" ref="T37:AF37" si="16">SUM(T17:T36)</f>
        <v>11602153.199999997</v>
      </c>
      <c r="U37" s="924">
        <f t="shared" si="16"/>
        <v>1160215.3199999998</v>
      </c>
      <c r="V37" s="924">
        <f t="shared" si="16"/>
        <v>905351.89120000019</v>
      </c>
      <c r="W37" s="924">
        <f t="shared" si="16"/>
        <v>226978.96799999999</v>
      </c>
      <c r="X37" s="924">
        <f t="shared" si="16"/>
        <v>9309607.0207999963</v>
      </c>
      <c r="Y37" s="924">
        <f t="shared" si="16"/>
        <v>139225838.40000001</v>
      </c>
      <c r="Z37" s="924">
        <f t="shared" si="16"/>
        <v>10547412</v>
      </c>
      <c r="AA37" s="924">
        <f t="shared" si="16"/>
        <v>149773250.40000001</v>
      </c>
      <c r="AB37" s="924">
        <f t="shared" si="16"/>
        <v>7788143.2838400016</v>
      </c>
      <c r="AC37" s="924">
        <f t="shared" si="16"/>
        <v>6739796.268000002</v>
      </c>
      <c r="AD37" s="924">
        <f t="shared" si="16"/>
        <v>4176775.1519999998</v>
      </c>
      <c r="AE37" s="924">
        <f t="shared" si="16"/>
        <v>6739796.2680000002</v>
      </c>
      <c r="AF37" s="924">
        <f t="shared" si="16"/>
        <v>175217761.37184003</v>
      </c>
      <c r="AG37" s="923"/>
    </row>
    <row r="38" spans="1:33" ht="20.25" customHeight="1">
      <c r="A38" s="1544" t="s">
        <v>445</v>
      </c>
      <c r="B38" s="1544"/>
      <c r="C38" s="1544"/>
      <c r="D38" s="1544"/>
      <c r="E38" s="1544"/>
      <c r="F38" s="1544"/>
      <c r="G38" s="1544"/>
      <c r="H38" s="1544"/>
      <c r="I38" s="1544"/>
      <c r="J38" s="1544"/>
      <c r="K38" s="1544"/>
      <c r="L38" s="1544"/>
      <c r="M38" s="1544"/>
      <c r="N38" s="1544"/>
      <c r="O38" s="1544"/>
      <c r="P38" s="1544"/>
      <c r="Q38" s="1544"/>
      <c r="R38" s="1544"/>
      <c r="S38" s="1544"/>
      <c r="T38" s="1544"/>
      <c r="U38" s="1544"/>
      <c r="V38" s="1544"/>
      <c r="W38" s="1544"/>
      <c r="X38" s="1544"/>
      <c r="Y38" s="1544"/>
      <c r="Z38" s="1544"/>
      <c r="AA38" s="1544"/>
      <c r="AB38" s="1544"/>
      <c r="AC38" s="1544"/>
      <c r="AD38" s="1544"/>
      <c r="AE38" s="1544"/>
      <c r="AF38" s="1544"/>
      <c r="AG38" s="1544"/>
    </row>
    <row r="39" spans="1:33" ht="33.75" customHeight="1">
      <c r="A39" s="918">
        <v>21</v>
      </c>
      <c r="B39" s="915" t="s">
        <v>446</v>
      </c>
      <c r="C39" s="925" t="s">
        <v>2317</v>
      </c>
      <c r="D39" s="1556">
        <v>2</v>
      </c>
      <c r="E39" s="918">
        <v>1</v>
      </c>
      <c r="F39" s="918"/>
      <c r="G39" s="901">
        <v>44880</v>
      </c>
      <c r="H39" s="895">
        <v>23</v>
      </c>
      <c r="I39" s="892">
        <f>E39*17697*H39</f>
        <v>407031</v>
      </c>
      <c r="J39" s="892">
        <f>I39*10%</f>
        <v>40703.100000000006</v>
      </c>
      <c r="K39" s="887"/>
      <c r="L39" s="887"/>
      <c r="M39" s="887"/>
      <c r="N39" s="887"/>
      <c r="O39" s="887"/>
      <c r="P39" s="887"/>
      <c r="Q39" s="923"/>
      <c r="R39" s="923"/>
      <c r="S39" s="892">
        <f>SUM(J39:R39)</f>
        <v>40703.100000000006</v>
      </c>
      <c r="T39" s="892">
        <f t="shared" ref="T39:T102" si="17">I39+S39</f>
        <v>447734.1</v>
      </c>
      <c r="U39" s="892">
        <f t="shared" ref="U39:U102" si="18">T39*10%</f>
        <v>44773.41</v>
      </c>
      <c r="V39" s="892">
        <f t="shared" ref="V39:V92" si="19">((T39-U39-W39)-(14*4148))*10%</f>
        <v>33593.400799999996</v>
      </c>
      <c r="W39" s="892">
        <f t="shared" ref="W39:W102" si="20">T39*2%</f>
        <v>8954.6819999999989</v>
      </c>
      <c r="X39" s="892">
        <f t="shared" ref="X39:X102" si="21">T39-U39-V39-W39</f>
        <v>360412.60719999997</v>
      </c>
      <c r="Y39" s="892">
        <f t="shared" ref="Y39:Y102" si="22">T39*12</f>
        <v>5372809.1999999993</v>
      </c>
      <c r="Z39" s="892">
        <f t="shared" ref="Z39:Z92" si="23">I39</f>
        <v>407031</v>
      </c>
      <c r="AA39" s="892">
        <f t="shared" ref="AA39:AA102" si="24">Y39+Z39</f>
        <v>5779840.1999999993</v>
      </c>
      <c r="AB39" s="892">
        <f t="shared" ref="AB39:AB92" si="25">(AA39*0.9-(W39*12))*11%-AC39</f>
        <v>300291.1905599999</v>
      </c>
      <c r="AC39" s="892">
        <f>AA39*0.9*5%</f>
        <v>260092.80900000001</v>
      </c>
      <c r="AD39" s="892">
        <f t="shared" ref="AD39:AD102" si="26">Y39*3%</f>
        <v>161184.27599999998</v>
      </c>
      <c r="AE39" s="892">
        <f t="shared" ref="AE39:AE102" si="27">AA39*4.5%</f>
        <v>260092.80899999995</v>
      </c>
      <c r="AF39" s="892">
        <f t="shared" ref="AF39:AF102" si="28">AA39+AB39+AC39+AD39+AE39</f>
        <v>6761501.2845599996</v>
      </c>
      <c r="AG39" s="892" t="s">
        <v>3</v>
      </c>
    </row>
    <row r="40" spans="1:33" ht="34.5" customHeight="1">
      <c r="A40" s="918">
        <v>22</v>
      </c>
      <c r="B40" s="915" t="s">
        <v>446</v>
      </c>
      <c r="C40" s="900" t="s">
        <v>828</v>
      </c>
      <c r="D40" s="1556"/>
      <c r="E40" s="918">
        <v>1</v>
      </c>
      <c r="F40" s="918"/>
      <c r="G40" s="901">
        <v>45300</v>
      </c>
      <c r="H40" s="898">
        <v>23</v>
      </c>
      <c r="I40" s="892">
        <f>17697*H40</f>
        <v>407031</v>
      </c>
      <c r="J40" s="892">
        <f t="shared" ref="J40:J103" si="29">I40*10%</f>
        <v>40703.100000000006</v>
      </c>
      <c r="K40" s="887"/>
      <c r="L40" s="887"/>
      <c r="M40" s="887"/>
      <c r="N40" s="887"/>
      <c r="O40" s="887"/>
      <c r="P40" s="887"/>
      <c r="Q40" s="923"/>
      <c r="R40" s="923"/>
      <c r="S40" s="892">
        <f t="shared" ref="S40:S92" si="30">SUM(J40:R40)</f>
        <v>40703.100000000006</v>
      </c>
      <c r="T40" s="892">
        <f t="shared" si="17"/>
        <v>447734.1</v>
      </c>
      <c r="U40" s="892">
        <f t="shared" si="18"/>
        <v>44773.41</v>
      </c>
      <c r="V40" s="892">
        <f t="shared" si="19"/>
        <v>33593.400799999996</v>
      </c>
      <c r="W40" s="892">
        <f t="shared" si="20"/>
        <v>8954.6819999999989</v>
      </c>
      <c r="X40" s="892">
        <f t="shared" si="21"/>
        <v>360412.60719999997</v>
      </c>
      <c r="Y40" s="892">
        <f t="shared" si="22"/>
        <v>5372809.1999999993</v>
      </c>
      <c r="Z40" s="892">
        <f t="shared" si="23"/>
        <v>407031</v>
      </c>
      <c r="AA40" s="892">
        <f t="shared" si="24"/>
        <v>5779840.1999999993</v>
      </c>
      <c r="AB40" s="892">
        <f t="shared" si="25"/>
        <v>300291.1905599999</v>
      </c>
      <c r="AC40" s="892">
        <f t="shared" ref="AC40:AC92" si="31">AA40*0.9*5%</f>
        <v>260092.80900000001</v>
      </c>
      <c r="AD40" s="892">
        <f t="shared" si="26"/>
        <v>161184.27599999998</v>
      </c>
      <c r="AE40" s="892">
        <f t="shared" si="27"/>
        <v>260092.80899999995</v>
      </c>
      <c r="AF40" s="892">
        <f t="shared" si="28"/>
        <v>6761501.2845599996</v>
      </c>
      <c r="AG40" s="892" t="s">
        <v>3</v>
      </c>
    </row>
    <row r="41" spans="1:33">
      <c r="A41" s="918">
        <v>23</v>
      </c>
      <c r="B41" s="909" t="s">
        <v>2318</v>
      </c>
      <c r="C41" s="327" t="s">
        <v>898</v>
      </c>
      <c r="D41" s="918">
        <v>1</v>
      </c>
      <c r="E41" s="918">
        <v>1</v>
      </c>
      <c r="F41" s="918"/>
      <c r="G41" s="918"/>
      <c r="H41" s="895">
        <v>25</v>
      </c>
      <c r="I41" s="892">
        <f>17697*H41</f>
        <v>442425</v>
      </c>
      <c r="J41" s="892">
        <f t="shared" si="29"/>
        <v>44242.5</v>
      </c>
      <c r="K41" s="887"/>
      <c r="L41" s="887"/>
      <c r="M41" s="887"/>
      <c r="N41" s="887"/>
      <c r="O41" s="887"/>
      <c r="P41" s="887"/>
      <c r="Q41" s="923"/>
      <c r="R41" s="923"/>
      <c r="S41" s="892">
        <f t="shared" si="30"/>
        <v>44242.5</v>
      </c>
      <c r="T41" s="892">
        <f t="shared" si="17"/>
        <v>486667.5</v>
      </c>
      <c r="U41" s="892">
        <f t="shared" si="18"/>
        <v>48666.75</v>
      </c>
      <c r="V41" s="892">
        <f t="shared" si="19"/>
        <v>37019.54</v>
      </c>
      <c r="W41" s="892">
        <f t="shared" si="20"/>
        <v>9733.35</v>
      </c>
      <c r="X41" s="892">
        <f t="shared" si="21"/>
        <v>391247.86000000004</v>
      </c>
      <c r="Y41" s="892">
        <f t="shared" si="22"/>
        <v>5840010</v>
      </c>
      <c r="Z41" s="892">
        <f t="shared" si="23"/>
        <v>442425</v>
      </c>
      <c r="AA41" s="892">
        <f t="shared" si="24"/>
        <v>6282435</v>
      </c>
      <c r="AB41" s="892">
        <f t="shared" si="25"/>
        <v>326403.46799999994</v>
      </c>
      <c r="AC41" s="892">
        <f t="shared" si="31"/>
        <v>282709.57500000001</v>
      </c>
      <c r="AD41" s="892">
        <f t="shared" si="26"/>
        <v>175200.3</v>
      </c>
      <c r="AE41" s="892">
        <f t="shared" si="27"/>
        <v>282709.57500000001</v>
      </c>
      <c r="AF41" s="892">
        <f t="shared" si="28"/>
        <v>7349457.9180000005</v>
      </c>
      <c r="AG41" s="892" t="s">
        <v>3</v>
      </c>
    </row>
    <row r="42" spans="1:33">
      <c r="A42" s="918">
        <v>24</v>
      </c>
      <c r="B42" s="909" t="s">
        <v>2319</v>
      </c>
      <c r="C42" s="926" t="s">
        <v>447</v>
      </c>
      <c r="D42" s="1556">
        <v>6</v>
      </c>
      <c r="E42" s="918">
        <v>1</v>
      </c>
      <c r="F42" s="918"/>
      <c r="G42" s="901">
        <v>43078</v>
      </c>
      <c r="H42" s="918">
        <v>15</v>
      </c>
      <c r="I42" s="892">
        <f t="shared" ref="I42:I92" si="32">E42*17697*H42</f>
        <v>265455</v>
      </c>
      <c r="J42" s="892">
        <f t="shared" si="29"/>
        <v>26545.5</v>
      </c>
      <c r="K42" s="887"/>
      <c r="L42" s="887"/>
      <c r="M42" s="887"/>
      <c r="N42" s="887"/>
      <c r="O42" s="887"/>
      <c r="P42" s="887"/>
      <c r="Q42" s="923"/>
      <c r="R42" s="923"/>
      <c r="S42" s="892">
        <f t="shared" si="30"/>
        <v>26545.5</v>
      </c>
      <c r="T42" s="892">
        <f t="shared" si="17"/>
        <v>292000.5</v>
      </c>
      <c r="U42" s="892">
        <f t="shared" si="18"/>
        <v>29200.050000000003</v>
      </c>
      <c r="V42" s="892">
        <f t="shared" si="19"/>
        <v>19888.844000000001</v>
      </c>
      <c r="W42" s="892">
        <f t="shared" si="20"/>
        <v>5840.01</v>
      </c>
      <c r="X42" s="892">
        <f t="shared" si="21"/>
        <v>237071.59599999999</v>
      </c>
      <c r="Y42" s="892">
        <f t="shared" si="22"/>
        <v>3504006</v>
      </c>
      <c r="Z42" s="892">
        <f t="shared" si="23"/>
        <v>265455</v>
      </c>
      <c r="AA42" s="892">
        <f t="shared" si="24"/>
        <v>3769461</v>
      </c>
      <c r="AB42" s="892">
        <f t="shared" si="25"/>
        <v>195842.0808</v>
      </c>
      <c r="AC42" s="892">
        <f t="shared" si="31"/>
        <v>169625.745</v>
      </c>
      <c r="AD42" s="892">
        <f t="shared" si="26"/>
        <v>105120.18</v>
      </c>
      <c r="AE42" s="892">
        <f t="shared" si="27"/>
        <v>169625.745</v>
      </c>
      <c r="AF42" s="892">
        <f t="shared" si="28"/>
        <v>4409674.7508000005</v>
      </c>
      <c r="AG42" s="892" t="s">
        <v>3</v>
      </c>
    </row>
    <row r="43" spans="1:33" ht="31.5">
      <c r="A43" s="918">
        <v>25</v>
      </c>
      <c r="B43" s="909" t="s">
        <v>2319</v>
      </c>
      <c r="C43" s="927" t="s">
        <v>448</v>
      </c>
      <c r="D43" s="1556"/>
      <c r="E43" s="918">
        <v>1</v>
      </c>
      <c r="F43" s="918"/>
      <c r="G43" s="888">
        <v>44781</v>
      </c>
      <c r="H43" s="918">
        <v>16</v>
      </c>
      <c r="I43" s="892">
        <f t="shared" si="32"/>
        <v>283152</v>
      </c>
      <c r="J43" s="892">
        <f t="shared" si="29"/>
        <v>28315.200000000001</v>
      </c>
      <c r="K43" s="887"/>
      <c r="L43" s="887"/>
      <c r="M43" s="887"/>
      <c r="N43" s="887"/>
      <c r="O43" s="887"/>
      <c r="P43" s="887"/>
      <c r="Q43" s="923"/>
      <c r="R43" s="923"/>
      <c r="S43" s="892">
        <f t="shared" si="30"/>
        <v>28315.200000000001</v>
      </c>
      <c r="T43" s="892">
        <f t="shared" si="17"/>
        <v>311467.2</v>
      </c>
      <c r="U43" s="892">
        <f t="shared" si="18"/>
        <v>31146.720000000001</v>
      </c>
      <c r="V43" s="892">
        <f t="shared" si="19"/>
        <v>21601.9136</v>
      </c>
      <c r="W43" s="892">
        <f t="shared" si="20"/>
        <v>6229.3440000000001</v>
      </c>
      <c r="X43" s="892">
        <f t="shared" si="21"/>
        <v>252489.22239999997</v>
      </c>
      <c r="Y43" s="892">
        <f t="shared" si="22"/>
        <v>3737606.4000000004</v>
      </c>
      <c r="Z43" s="892">
        <f t="shared" si="23"/>
        <v>283152</v>
      </c>
      <c r="AA43" s="892">
        <f t="shared" si="24"/>
        <v>4020758.4000000004</v>
      </c>
      <c r="AB43" s="892">
        <f t="shared" si="25"/>
        <v>208898.21952000004</v>
      </c>
      <c r="AC43" s="892">
        <f t="shared" si="31"/>
        <v>180934.12800000003</v>
      </c>
      <c r="AD43" s="892">
        <f t="shared" si="26"/>
        <v>112128.19200000001</v>
      </c>
      <c r="AE43" s="892">
        <f t="shared" si="27"/>
        <v>180934.128</v>
      </c>
      <c r="AF43" s="892">
        <f t="shared" si="28"/>
        <v>4703653.0675199991</v>
      </c>
      <c r="AG43" s="892" t="s">
        <v>3</v>
      </c>
    </row>
    <row r="44" spans="1:33" ht="31.5">
      <c r="A44" s="918">
        <v>26</v>
      </c>
      <c r="B44" s="909" t="s">
        <v>2319</v>
      </c>
      <c r="C44" s="928" t="s">
        <v>2320</v>
      </c>
      <c r="D44" s="1556"/>
      <c r="E44" s="918">
        <v>1</v>
      </c>
      <c r="F44" s="918"/>
      <c r="G44" s="888">
        <v>45174</v>
      </c>
      <c r="H44" s="918">
        <v>15</v>
      </c>
      <c r="I44" s="892">
        <f t="shared" si="32"/>
        <v>265455</v>
      </c>
      <c r="J44" s="892">
        <f t="shared" si="29"/>
        <v>26545.5</v>
      </c>
      <c r="K44" s="887"/>
      <c r="L44" s="887"/>
      <c r="M44" s="887"/>
      <c r="N44" s="887"/>
      <c r="O44" s="887"/>
      <c r="P44" s="887"/>
      <c r="Q44" s="923"/>
      <c r="R44" s="923"/>
      <c r="S44" s="892">
        <f t="shared" si="30"/>
        <v>26545.5</v>
      </c>
      <c r="T44" s="892">
        <f t="shared" si="17"/>
        <v>292000.5</v>
      </c>
      <c r="U44" s="892">
        <f t="shared" si="18"/>
        <v>29200.050000000003</v>
      </c>
      <c r="V44" s="892">
        <f t="shared" si="19"/>
        <v>19888.844000000001</v>
      </c>
      <c r="W44" s="892">
        <f t="shared" si="20"/>
        <v>5840.01</v>
      </c>
      <c r="X44" s="892">
        <f t="shared" si="21"/>
        <v>237071.59599999999</v>
      </c>
      <c r="Y44" s="892">
        <f t="shared" si="22"/>
        <v>3504006</v>
      </c>
      <c r="Z44" s="892">
        <f t="shared" si="23"/>
        <v>265455</v>
      </c>
      <c r="AA44" s="892">
        <f t="shared" si="24"/>
        <v>3769461</v>
      </c>
      <c r="AB44" s="892">
        <f t="shared" si="25"/>
        <v>195842.0808</v>
      </c>
      <c r="AC44" s="892">
        <f t="shared" si="31"/>
        <v>169625.745</v>
      </c>
      <c r="AD44" s="892">
        <f t="shared" si="26"/>
        <v>105120.18</v>
      </c>
      <c r="AE44" s="892">
        <f t="shared" si="27"/>
        <v>169625.745</v>
      </c>
      <c r="AF44" s="892">
        <f t="shared" si="28"/>
        <v>4409674.7508000005</v>
      </c>
      <c r="AG44" s="892" t="s">
        <v>3</v>
      </c>
    </row>
    <row r="45" spans="1:33">
      <c r="A45" s="918">
        <v>27</v>
      </c>
      <c r="B45" s="909" t="s">
        <v>2319</v>
      </c>
      <c r="C45" s="927" t="s">
        <v>2321</v>
      </c>
      <c r="D45" s="1556"/>
      <c r="E45" s="918">
        <v>1.5</v>
      </c>
      <c r="F45" s="918"/>
      <c r="G45" s="888">
        <v>45170</v>
      </c>
      <c r="H45" s="918">
        <v>15</v>
      </c>
      <c r="I45" s="892">
        <f t="shared" si="32"/>
        <v>398182.5</v>
      </c>
      <c r="J45" s="892">
        <f t="shared" si="29"/>
        <v>39818.25</v>
      </c>
      <c r="K45" s="887"/>
      <c r="L45" s="887"/>
      <c r="M45" s="887"/>
      <c r="N45" s="887"/>
      <c r="O45" s="887"/>
      <c r="P45" s="887"/>
      <c r="Q45" s="923"/>
      <c r="R45" s="923"/>
      <c r="S45" s="892">
        <f t="shared" si="30"/>
        <v>39818.25</v>
      </c>
      <c r="T45" s="892">
        <f t="shared" si="17"/>
        <v>438000.75</v>
      </c>
      <c r="U45" s="892">
        <f t="shared" si="18"/>
        <v>43800.075000000004</v>
      </c>
      <c r="V45" s="892">
        <f t="shared" si="19"/>
        <v>32736.865999999998</v>
      </c>
      <c r="W45" s="892">
        <f t="shared" si="20"/>
        <v>8760.0149999999994</v>
      </c>
      <c r="X45" s="892">
        <f t="shared" si="21"/>
        <v>352703.79399999999</v>
      </c>
      <c r="Y45" s="892">
        <f t="shared" si="22"/>
        <v>5256009</v>
      </c>
      <c r="Z45" s="892">
        <f t="shared" si="23"/>
        <v>398182.5</v>
      </c>
      <c r="AA45" s="892">
        <f t="shared" si="24"/>
        <v>5654191.5</v>
      </c>
      <c r="AB45" s="892">
        <f t="shared" si="25"/>
        <v>293763.12120000005</v>
      </c>
      <c r="AC45" s="892">
        <f t="shared" si="31"/>
        <v>254438.61750000005</v>
      </c>
      <c r="AD45" s="892">
        <f t="shared" si="26"/>
        <v>157680.26999999999</v>
      </c>
      <c r="AE45" s="892">
        <f t="shared" si="27"/>
        <v>254438.61749999999</v>
      </c>
      <c r="AF45" s="892">
        <f t="shared" si="28"/>
        <v>6614512.1261999989</v>
      </c>
      <c r="AG45" s="892" t="s">
        <v>3</v>
      </c>
    </row>
    <row r="46" spans="1:33" ht="31.5">
      <c r="A46" s="918">
        <v>28</v>
      </c>
      <c r="B46" s="909" t="s">
        <v>2319</v>
      </c>
      <c r="C46" s="929" t="s">
        <v>2322</v>
      </c>
      <c r="D46" s="1556"/>
      <c r="E46" s="918">
        <v>1.5</v>
      </c>
      <c r="F46" s="918"/>
      <c r="G46" s="888">
        <v>45159</v>
      </c>
      <c r="H46" s="918">
        <v>15</v>
      </c>
      <c r="I46" s="892">
        <f t="shared" si="32"/>
        <v>398182.5</v>
      </c>
      <c r="J46" s="892">
        <f t="shared" si="29"/>
        <v>39818.25</v>
      </c>
      <c r="K46" s="887"/>
      <c r="L46" s="887"/>
      <c r="M46" s="887"/>
      <c r="N46" s="887"/>
      <c r="O46" s="887"/>
      <c r="P46" s="887"/>
      <c r="Q46" s="923"/>
      <c r="R46" s="923"/>
      <c r="S46" s="892">
        <f t="shared" si="30"/>
        <v>39818.25</v>
      </c>
      <c r="T46" s="892">
        <f t="shared" si="17"/>
        <v>438000.75</v>
      </c>
      <c r="U46" s="892">
        <f t="shared" si="18"/>
        <v>43800.075000000004</v>
      </c>
      <c r="V46" s="892">
        <f t="shared" si="19"/>
        <v>32736.865999999998</v>
      </c>
      <c r="W46" s="892">
        <f t="shared" si="20"/>
        <v>8760.0149999999994</v>
      </c>
      <c r="X46" s="892">
        <f t="shared" si="21"/>
        <v>352703.79399999999</v>
      </c>
      <c r="Y46" s="892">
        <f t="shared" si="22"/>
        <v>5256009</v>
      </c>
      <c r="Z46" s="892">
        <f t="shared" si="23"/>
        <v>398182.5</v>
      </c>
      <c r="AA46" s="892">
        <f t="shared" si="24"/>
        <v>5654191.5</v>
      </c>
      <c r="AB46" s="892">
        <f t="shared" si="25"/>
        <v>293763.12120000005</v>
      </c>
      <c r="AC46" s="892">
        <f t="shared" si="31"/>
        <v>254438.61750000005</v>
      </c>
      <c r="AD46" s="892">
        <f t="shared" si="26"/>
        <v>157680.26999999999</v>
      </c>
      <c r="AE46" s="892">
        <f t="shared" si="27"/>
        <v>254438.61749999999</v>
      </c>
      <c r="AF46" s="892">
        <f t="shared" si="28"/>
        <v>6614512.1261999989</v>
      </c>
      <c r="AG46" s="892" t="s">
        <v>3</v>
      </c>
    </row>
    <row r="47" spans="1:33">
      <c r="A47" s="918">
        <v>30</v>
      </c>
      <c r="B47" s="915" t="s">
        <v>449</v>
      </c>
      <c r="C47" s="915" t="s">
        <v>450</v>
      </c>
      <c r="D47" s="1556">
        <v>9</v>
      </c>
      <c r="E47" s="918">
        <v>1</v>
      </c>
      <c r="F47" s="918"/>
      <c r="G47" s="888">
        <v>45170</v>
      </c>
      <c r="H47" s="918">
        <v>14</v>
      </c>
      <c r="I47" s="892">
        <f t="shared" si="32"/>
        <v>247758</v>
      </c>
      <c r="J47" s="892">
        <f t="shared" si="29"/>
        <v>24775.800000000003</v>
      </c>
      <c r="K47" s="887"/>
      <c r="L47" s="887"/>
      <c r="M47" s="887"/>
      <c r="N47" s="887"/>
      <c r="O47" s="887"/>
      <c r="P47" s="887"/>
      <c r="Q47" s="923"/>
      <c r="R47" s="923"/>
      <c r="S47" s="892">
        <f t="shared" si="30"/>
        <v>24775.800000000003</v>
      </c>
      <c r="T47" s="892">
        <f t="shared" si="17"/>
        <v>272533.8</v>
      </c>
      <c r="U47" s="892">
        <f t="shared" si="18"/>
        <v>27253.38</v>
      </c>
      <c r="V47" s="892">
        <f t="shared" si="19"/>
        <v>18175.774399999998</v>
      </c>
      <c r="W47" s="892">
        <f t="shared" si="20"/>
        <v>5450.6759999999995</v>
      </c>
      <c r="X47" s="892">
        <f t="shared" si="21"/>
        <v>221653.96959999998</v>
      </c>
      <c r="Y47" s="892">
        <f t="shared" si="22"/>
        <v>3270405.5999999996</v>
      </c>
      <c r="Z47" s="892">
        <f t="shared" si="23"/>
        <v>247758</v>
      </c>
      <c r="AA47" s="892">
        <f t="shared" si="24"/>
        <v>3518163.5999999996</v>
      </c>
      <c r="AB47" s="892">
        <f t="shared" si="25"/>
        <v>182785.94207999998</v>
      </c>
      <c r="AC47" s="892">
        <f t="shared" si="31"/>
        <v>158317.36199999999</v>
      </c>
      <c r="AD47" s="892">
        <f t="shared" si="26"/>
        <v>98112.167999999991</v>
      </c>
      <c r="AE47" s="892">
        <f t="shared" si="27"/>
        <v>158317.36199999996</v>
      </c>
      <c r="AF47" s="892">
        <f t="shared" si="28"/>
        <v>4115696.43408</v>
      </c>
      <c r="AG47" s="892" t="s">
        <v>3</v>
      </c>
    </row>
    <row r="48" spans="1:33" ht="31.5">
      <c r="A48" s="918">
        <v>31</v>
      </c>
      <c r="B48" s="909" t="s">
        <v>449</v>
      </c>
      <c r="C48" s="909" t="s">
        <v>2323</v>
      </c>
      <c r="D48" s="1556"/>
      <c r="E48" s="918">
        <v>1</v>
      </c>
      <c r="F48" s="918"/>
      <c r="G48" s="888">
        <v>44432</v>
      </c>
      <c r="H48" s="918">
        <v>15</v>
      </c>
      <c r="I48" s="892">
        <f t="shared" si="32"/>
        <v>265455</v>
      </c>
      <c r="J48" s="892">
        <f t="shared" si="29"/>
        <v>26545.5</v>
      </c>
      <c r="K48" s="887"/>
      <c r="L48" s="887"/>
      <c r="M48" s="887"/>
      <c r="N48" s="887"/>
      <c r="O48" s="887"/>
      <c r="P48" s="887"/>
      <c r="Q48" s="923"/>
      <c r="R48" s="923"/>
      <c r="S48" s="892">
        <f t="shared" si="30"/>
        <v>26545.5</v>
      </c>
      <c r="T48" s="892">
        <f t="shared" si="17"/>
        <v>292000.5</v>
      </c>
      <c r="U48" s="892">
        <f t="shared" si="18"/>
        <v>29200.050000000003</v>
      </c>
      <c r="V48" s="892">
        <f t="shared" si="19"/>
        <v>19888.844000000001</v>
      </c>
      <c r="W48" s="892">
        <f t="shared" si="20"/>
        <v>5840.01</v>
      </c>
      <c r="X48" s="892">
        <f t="shared" si="21"/>
        <v>237071.59599999999</v>
      </c>
      <c r="Y48" s="892">
        <f t="shared" si="22"/>
        <v>3504006</v>
      </c>
      <c r="Z48" s="892">
        <f t="shared" si="23"/>
        <v>265455</v>
      </c>
      <c r="AA48" s="892">
        <f t="shared" si="24"/>
        <v>3769461</v>
      </c>
      <c r="AB48" s="892">
        <f t="shared" si="25"/>
        <v>195842.0808</v>
      </c>
      <c r="AC48" s="892">
        <f t="shared" si="31"/>
        <v>169625.745</v>
      </c>
      <c r="AD48" s="892">
        <f t="shared" si="26"/>
        <v>105120.18</v>
      </c>
      <c r="AE48" s="892">
        <f t="shared" si="27"/>
        <v>169625.745</v>
      </c>
      <c r="AF48" s="892">
        <f t="shared" si="28"/>
        <v>4409674.7508000005</v>
      </c>
      <c r="AG48" s="892" t="s">
        <v>3</v>
      </c>
    </row>
    <row r="49" spans="1:33" ht="22.5" customHeight="1">
      <c r="A49" s="918">
        <v>32</v>
      </c>
      <c r="B49" s="909" t="s">
        <v>449</v>
      </c>
      <c r="C49" s="930" t="s">
        <v>829</v>
      </c>
      <c r="D49" s="1556"/>
      <c r="E49" s="918">
        <v>1</v>
      </c>
      <c r="F49" s="918"/>
      <c r="G49" s="888">
        <v>45237</v>
      </c>
      <c r="H49" s="918">
        <v>14</v>
      </c>
      <c r="I49" s="892">
        <f t="shared" si="32"/>
        <v>247758</v>
      </c>
      <c r="J49" s="892">
        <f t="shared" si="29"/>
        <v>24775.800000000003</v>
      </c>
      <c r="K49" s="892"/>
      <c r="L49" s="887"/>
      <c r="M49" s="887"/>
      <c r="N49" s="887"/>
      <c r="O49" s="887"/>
      <c r="P49" s="887"/>
      <c r="Q49" s="923"/>
      <c r="R49" s="923"/>
      <c r="S49" s="892">
        <f t="shared" si="30"/>
        <v>24775.800000000003</v>
      </c>
      <c r="T49" s="892">
        <f t="shared" si="17"/>
        <v>272533.8</v>
      </c>
      <c r="U49" s="892">
        <f t="shared" si="18"/>
        <v>27253.38</v>
      </c>
      <c r="V49" s="892">
        <f t="shared" si="19"/>
        <v>18175.774399999998</v>
      </c>
      <c r="W49" s="892">
        <f t="shared" si="20"/>
        <v>5450.6759999999995</v>
      </c>
      <c r="X49" s="892">
        <f t="shared" si="21"/>
        <v>221653.96959999998</v>
      </c>
      <c r="Y49" s="892">
        <f t="shared" si="22"/>
        <v>3270405.5999999996</v>
      </c>
      <c r="Z49" s="892">
        <f t="shared" si="23"/>
        <v>247758</v>
      </c>
      <c r="AA49" s="892">
        <f t="shared" si="24"/>
        <v>3518163.5999999996</v>
      </c>
      <c r="AB49" s="892">
        <f t="shared" si="25"/>
        <v>182785.94207999998</v>
      </c>
      <c r="AC49" s="892">
        <f t="shared" si="31"/>
        <v>158317.36199999999</v>
      </c>
      <c r="AD49" s="892">
        <f t="shared" si="26"/>
        <v>98112.167999999991</v>
      </c>
      <c r="AE49" s="892">
        <f t="shared" si="27"/>
        <v>158317.36199999996</v>
      </c>
      <c r="AF49" s="892">
        <f t="shared" si="28"/>
        <v>4115696.43408</v>
      </c>
      <c r="AG49" s="892" t="s">
        <v>3</v>
      </c>
    </row>
    <row r="50" spans="1:33" ht="19.5" customHeight="1">
      <c r="A50" s="918">
        <v>33</v>
      </c>
      <c r="B50" s="909" t="s">
        <v>449</v>
      </c>
      <c r="C50" s="909" t="s">
        <v>451</v>
      </c>
      <c r="D50" s="1556"/>
      <c r="E50" s="918">
        <v>1</v>
      </c>
      <c r="F50" s="918"/>
      <c r="G50" s="888">
        <v>42264</v>
      </c>
      <c r="H50" s="918">
        <v>17</v>
      </c>
      <c r="I50" s="892">
        <f t="shared" si="32"/>
        <v>300849</v>
      </c>
      <c r="J50" s="892">
        <f t="shared" si="29"/>
        <v>30084.9</v>
      </c>
      <c r="K50" s="892"/>
      <c r="L50" s="887"/>
      <c r="M50" s="887"/>
      <c r="N50" s="887"/>
      <c r="O50" s="887"/>
      <c r="P50" s="887"/>
      <c r="Q50" s="923"/>
      <c r="R50" s="923"/>
      <c r="S50" s="892">
        <f t="shared" si="30"/>
        <v>30084.9</v>
      </c>
      <c r="T50" s="892">
        <f t="shared" si="17"/>
        <v>330933.90000000002</v>
      </c>
      <c r="U50" s="892">
        <f t="shared" si="18"/>
        <v>33093.390000000007</v>
      </c>
      <c r="V50" s="892">
        <f t="shared" si="19"/>
        <v>23314.983200000002</v>
      </c>
      <c r="W50" s="892">
        <f t="shared" si="20"/>
        <v>6618.6780000000008</v>
      </c>
      <c r="X50" s="892">
        <f t="shared" si="21"/>
        <v>267906.84879999998</v>
      </c>
      <c r="Y50" s="892">
        <f t="shared" si="22"/>
        <v>3971206.8000000003</v>
      </c>
      <c r="Z50" s="892">
        <f t="shared" si="23"/>
        <v>300849</v>
      </c>
      <c r="AA50" s="892">
        <f t="shared" si="24"/>
        <v>4272055.8000000007</v>
      </c>
      <c r="AB50" s="892">
        <f t="shared" si="25"/>
        <v>221954.35824000003</v>
      </c>
      <c r="AC50" s="892">
        <f t="shared" si="31"/>
        <v>192242.51100000006</v>
      </c>
      <c r="AD50" s="892">
        <f t="shared" si="26"/>
        <v>119136.204</v>
      </c>
      <c r="AE50" s="892">
        <f t="shared" si="27"/>
        <v>192242.51100000003</v>
      </c>
      <c r="AF50" s="892">
        <f t="shared" si="28"/>
        <v>4997631.3842400005</v>
      </c>
      <c r="AG50" s="892" t="s">
        <v>3</v>
      </c>
    </row>
    <row r="51" spans="1:33" ht="18.75" customHeight="1">
      <c r="A51" s="918">
        <v>34</v>
      </c>
      <c r="B51" s="909" t="s">
        <v>449</v>
      </c>
      <c r="C51" s="915" t="s">
        <v>2324</v>
      </c>
      <c r="D51" s="1556"/>
      <c r="E51" s="918">
        <v>1</v>
      </c>
      <c r="F51" s="918"/>
      <c r="G51" s="888">
        <v>44844</v>
      </c>
      <c r="H51" s="918">
        <v>16</v>
      </c>
      <c r="I51" s="892">
        <f t="shared" si="32"/>
        <v>283152</v>
      </c>
      <c r="J51" s="892">
        <f t="shared" si="29"/>
        <v>28315.200000000001</v>
      </c>
      <c r="K51" s="892"/>
      <c r="L51" s="887"/>
      <c r="M51" s="887"/>
      <c r="N51" s="887"/>
      <c r="O51" s="887"/>
      <c r="P51" s="887"/>
      <c r="Q51" s="923"/>
      <c r="R51" s="923"/>
      <c r="S51" s="892">
        <f t="shared" si="30"/>
        <v>28315.200000000001</v>
      </c>
      <c r="T51" s="892">
        <f t="shared" si="17"/>
        <v>311467.2</v>
      </c>
      <c r="U51" s="892">
        <f t="shared" si="18"/>
        <v>31146.720000000001</v>
      </c>
      <c r="V51" s="892">
        <f t="shared" si="19"/>
        <v>21601.9136</v>
      </c>
      <c r="W51" s="892">
        <f t="shared" si="20"/>
        <v>6229.3440000000001</v>
      </c>
      <c r="X51" s="892">
        <f t="shared" si="21"/>
        <v>252489.22239999997</v>
      </c>
      <c r="Y51" s="892">
        <f t="shared" si="22"/>
        <v>3737606.4000000004</v>
      </c>
      <c r="Z51" s="892">
        <f t="shared" si="23"/>
        <v>283152</v>
      </c>
      <c r="AA51" s="892">
        <f t="shared" si="24"/>
        <v>4020758.4000000004</v>
      </c>
      <c r="AB51" s="892">
        <f t="shared" si="25"/>
        <v>208898.21952000004</v>
      </c>
      <c r="AC51" s="892">
        <f t="shared" si="31"/>
        <v>180934.12800000003</v>
      </c>
      <c r="AD51" s="892">
        <f t="shared" si="26"/>
        <v>112128.19200000001</v>
      </c>
      <c r="AE51" s="892">
        <f t="shared" si="27"/>
        <v>180934.128</v>
      </c>
      <c r="AF51" s="892">
        <f t="shared" si="28"/>
        <v>4703653.0675199991</v>
      </c>
      <c r="AG51" s="892" t="s">
        <v>3</v>
      </c>
    </row>
    <row r="52" spans="1:33">
      <c r="A52" s="918">
        <v>35</v>
      </c>
      <c r="B52" s="909" t="s">
        <v>449</v>
      </c>
      <c r="C52" s="909" t="s">
        <v>2325</v>
      </c>
      <c r="D52" s="1556"/>
      <c r="E52" s="918">
        <v>1</v>
      </c>
      <c r="F52" s="918"/>
      <c r="G52" s="888">
        <v>44511</v>
      </c>
      <c r="H52" s="918">
        <v>14</v>
      </c>
      <c r="I52" s="892">
        <f t="shared" si="32"/>
        <v>247758</v>
      </c>
      <c r="J52" s="892">
        <f t="shared" si="29"/>
        <v>24775.800000000003</v>
      </c>
      <c r="K52" s="887"/>
      <c r="L52" s="887"/>
      <c r="M52" s="887"/>
      <c r="N52" s="887"/>
      <c r="O52" s="887"/>
      <c r="P52" s="887"/>
      <c r="Q52" s="923"/>
      <c r="R52" s="923"/>
      <c r="S52" s="892">
        <f t="shared" si="30"/>
        <v>24775.800000000003</v>
      </c>
      <c r="T52" s="892">
        <f t="shared" si="17"/>
        <v>272533.8</v>
      </c>
      <c r="U52" s="892">
        <f t="shared" si="18"/>
        <v>27253.38</v>
      </c>
      <c r="V52" s="892">
        <f t="shared" si="19"/>
        <v>18175.774399999998</v>
      </c>
      <c r="W52" s="892">
        <f t="shared" si="20"/>
        <v>5450.6759999999995</v>
      </c>
      <c r="X52" s="892">
        <f t="shared" si="21"/>
        <v>221653.96959999998</v>
      </c>
      <c r="Y52" s="892">
        <f t="shared" si="22"/>
        <v>3270405.5999999996</v>
      </c>
      <c r="Z52" s="892">
        <f t="shared" si="23"/>
        <v>247758</v>
      </c>
      <c r="AA52" s="892">
        <f t="shared" si="24"/>
        <v>3518163.5999999996</v>
      </c>
      <c r="AB52" s="892">
        <f t="shared" si="25"/>
        <v>182785.94207999998</v>
      </c>
      <c r="AC52" s="892">
        <f t="shared" si="31"/>
        <v>158317.36199999999</v>
      </c>
      <c r="AD52" s="892">
        <f t="shared" si="26"/>
        <v>98112.167999999991</v>
      </c>
      <c r="AE52" s="892">
        <f t="shared" si="27"/>
        <v>158317.36199999996</v>
      </c>
      <c r="AF52" s="892">
        <f t="shared" si="28"/>
        <v>4115696.43408</v>
      </c>
      <c r="AG52" s="892" t="s">
        <v>3</v>
      </c>
    </row>
    <row r="53" spans="1:33">
      <c r="A53" s="918">
        <v>36</v>
      </c>
      <c r="B53" s="909" t="s">
        <v>449</v>
      </c>
      <c r="C53" s="909" t="s">
        <v>452</v>
      </c>
      <c r="D53" s="1556"/>
      <c r="E53" s="918">
        <v>1</v>
      </c>
      <c r="F53" s="918"/>
      <c r="G53" s="888">
        <v>40788</v>
      </c>
      <c r="H53" s="918">
        <v>17</v>
      </c>
      <c r="I53" s="892">
        <f t="shared" si="32"/>
        <v>300849</v>
      </c>
      <c r="J53" s="892">
        <f t="shared" si="29"/>
        <v>30084.9</v>
      </c>
      <c r="K53" s="887"/>
      <c r="L53" s="887"/>
      <c r="M53" s="887"/>
      <c r="N53" s="887"/>
      <c r="O53" s="887"/>
      <c r="P53" s="887"/>
      <c r="Q53" s="923"/>
      <c r="R53" s="923"/>
      <c r="S53" s="892">
        <f t="shared" si="30"/>
        <v>30084.9</v>
      </c>
      <c r="T53" s="892">
        <f t="shared" si="17"/>
        <v>330933.90000000002</v>
      </c>
      <c r="U53" s="892">
        <f t="shared" si="18"/>
        <v>33093.390000000007</v>
      </c>
      <c r="V53" s="892">
        <f t="shared" si="19"/>
        <v>23314.983200000002</v>
      </c>
      <c r="W53" s="892">
        <f t="shared" si="20"/>
        <v>6618.6780000000008</v>
      </c>
      <c r="X53" s="892">
        <f t="shared" si="21"/>
        <v>267906.84879999998</v>
      </c>
      <c r="Y53" s="892">
        <f t="shared" si="22"/>
        <v>3971206.8000000003</v>
      </c>
      <c r="Z53" s="892">
        <f t="shared" si="23"/>
        <v>300849</v>
      </c>
      <c r="AA53" s="892">
        <f t="shared" si="24"/>
        <v>4272055.8000000007</v>
      </c>
      <c r="AB53" s="892">
        <f t="shared" si="25"/>
        <v>221954.35824000003</v>
      </c>
      <c r="AC53" s="892">
        <f t="shared" si="31"/>
        <v>192242.51100000006</v>
      </c>
      <c r="AD53" s="892">
        <f t="shared" si="26"/>
        <v>119136.204</v>
      </c>
      <c r="AE53" s="892">
        <f t="shared" si="27"/>
        <v>192242.51100000003</v>
      </c>
      <c r="AF53" s="892">
        <f t="shared" si="28"/>
        <v>4997631.3842400005</v>
      </c>
      <c r="AG53" s="892" t="s">
        <v>3</v>
      </c>
    </row>
    <row r="54" spans="1:33">
      <c r="A54" s="918">
        <v>37</v>
      </c>
      <c r="B54" s="909" t="s">
        <v>449</v>
      </c>
      <c r="C54" s="931" t="s">
        <v>2326</v>
      </c>
      <c r="D54" s="1556"/>
      <c r="E54" s="918">
        <v>1</v>
      </c>
      <c r="F54" s="918"/>
      <c r="G54" s="888">
        <v>45236</v>
      </c>
      <c r="H54" s="918">
        <v>14</v>
      </c>
      <c r="I54" s="892">
        <f t="shared" si="32"/>
        <v>247758</v>
      </c>
      <c r="J54" s="892">
        <f t="shared" si="29"/>
        <v>24775.800000000003</v>
      </c>
      <c r="K54" s="887"/>
      <c r="L54" s="887"/>
      <c r="M54" s="887"/>
      <c r="N54" s="887"/>
      <c r="O54" s="887"/>
      <c r="P54" s="887"/>
      <c r="Q54" s="923"/>
      <c r="R54" s="923"/>
      <c r="S54" s="892">
        <f t="shared" si="30"/>
        <v>24775.800000000003</v>
      </c>
      <c r="T54" s="892">
        <f t="shared" si="17"/>
        <v>272533.8</v>
      </c>
      <c r="U54" s="892">
        <f t="shared" si="18"/>
        <v>27253.38</v>
      </c>
      <c r="V54" s="892">
        <f t="shared" si="19"/>
        <v>18175.774399999998</v>
      </c>
      <c r="W54" s="892">
        <f t="shared" si="20"/>
        <v>5450.6759999999995</v>
      </c>
      <c r="X54" s="892">
        <f t="shared" si="21"/>
        <v>221653.96959999998</v>
      </c>
      <c r="Y54" s="892">
        <f t="shared" si="22"/>
        <v>3270405.5999999996</v>
      </c>
      <c r="Z54" s="892">
        <f t="shared" si="23"/>
        <v>247758</v>
      </c>
      <c r="AA54" s="892">
        <f t="shared" si="24"/>
        <v>3518163.5999999996</v>
      </c>
      <c r="AB54" s="892">
        <f t="shared" si="25"/>
        <v>182785.94207999998</v>
      </c>
      <c r="AC54" s="892">
        <f t="shared" si="31"/>
        <v>158317.36199999999</v>
      </c>
      <c r="AD54" s="892">
        <f t="shared" si="26"/>
        <v>98112.167999999991</v>
      </c>
      <c r="AE54" s="892">
        <f t="shared" si="27"/>
        <v>158317.36199999996</v>
      </c>
      <c r="AF54" s="892">
        <f t="shared" si="28"/>
        <v>4115696.43408</v>
      </c>
      <c r="AG54" s="892" t="s">
        <v>3</v>
      </c>
    </row>
    <row r="55" spans="1:33" ht="31.5">
      <c r="A55" s="918">
        <v>38</v>
      </c>
      <c r="B55" s="909" t="s">
        <v>449</v>
      </c>
      <c r="C55" s="932" t="s">
        <v>907</v>
      </c>
      <c r="D55" s="1556"/>
      <c r="E55" s="918">
        <v>1</v>
      </c>
      <c r="F55" s="918"/>
      <c r="G55" s="918"/>
      <c r="H55" s="918">
        <v>15</v>
      </c>
      <c r="I55" s="892">
        <f t="shared" si="32"/>
        <v>265455</v>
      </c>
      <c r="J55" s="892">
        <f t="shared" si="29"/>
        <v>26545.5</v>
      </c>
      <c r="K55" s="887"/>
      <c r="L55" s="887"/>
      <c r="M55" s="887"/>
      <c r="N55" s="887"/>
      <c r="O55" s="887"/>
      <c r="P55" s="887"/>
      <c r="Q55" s="923"/>
      <c r="R55" s="923"/>
      <c r="S55" s="892">
        <f t="shared" si="30"/>
        <v>26545.5</v>
      </c>
      <c r="T55" s="892">
        <f t="shared" si="17"/>
        <v>292000.5</v>
      </c>
      <c r="U55" s="892">
        <f t="shared" si="18"/>
        <v>29200.050000000003</v>
      </c>
      <c r="V55" s="892">
        <f t="shared" si="19"/>
        <v>19888.844000000001</v>
      </c>
      <c r="W55" s="892">
        <f t="shared" si="20"/>
        <v>5840.01</v>
      </c>
      <c r="X55" s="892">
        <f t="shared" si="21"/>
        <v>237071.59599999999</v>
      </c>
      <c r="Y55" s="892">
        <f t="shared" si="22"/>
        <v>3504006</v>
      </c>
      <c r="Z55" s="892">
        <f t="shared" si="23"/>
        <v>265455</v>
      </c>
      <c r="AA55" s="892">
        <f t="shared" si="24"/>
        <v>3769461</v>
      </c>
      <c r="AB55" s="892">
        <f t="shared" si="25"/>
        <v>195842.0808</v>
      </c>
      <c r="AC55" s="892">
        <f t="shared" si="31"/>
        <v>169625.745</v>
      </c>
      <c r="AD55" s="892">
        <f t="shared" si="26"/>
        <v>105120.18</v>
      </c>
      <c r="AE55" s="892">
        <f t="shared" si="27"/>
        <v>169625.745</v>
      </c>
      <c r="AF55" s="892">
        <f t="shared" si="28"/>
        <v>4409674.7508000005</v>
      </c>
      <c r="AG55" s="892" t="s">
        <v>3</v>
      </c>
    </row>
    <row r="56" spans="1:33" ht="31.5">
      <c r="A56" s="918">
        <v>39</v>
      </c>
      <c r="B56" s="909" t="s">
        <v>453</v>
      </c>
      <c r="C56" s="933" t="s">
        <v>2327</v>
      </c>
      <c r="D56" s="1556">
        <v>7</v>
      </c>
      <c r="E56" s="918">
        <v>0.5</v>
      </c>
      <c r="F56" s="918"/>
      <c r="G56" s="888">
        <v>45183</v>
      </c>
      <c r="H56" s="918">
        <v>18</v>
      </c>
      <c r="I56" s="892">
        <f t="shared" si="32"/>
        <v>159273</v>
      </c>
      <c r="J56" s="892">
        <f t="shared" si="29"/>
        <v>15927.300000000001</v>
      </c>
      <c r="K56" s="887"/>
      <c r="L56" s="887"/>
      <c r="M56" s="887"/>
      <c r="N56" s="887"/>
      <c r="O56" s="887"/>
      <c r="P56" s="887"/>
      <c r="Q56" s="923"/>
      <c r="R56" s="923"/>
      <c r="S56" s="892">
        <f t="shared" si="30"/>
        <v>15927.300000000001</v>
      </c>
      <c r="T56" s="892">
        <f t="shared" si="17"/>
        <v>175200.3</v>
      </c>
      <c r="U56" s="892">
        <f t="shared" si="18"/>
        <v>17520.03</v>
      </c>
      <c r="V56" s="892">
        <f t="shared" si="19"/>
        <v>9610.4264000000003</v>
      </c>
      <c r="W56" s="892">
        <f t="shared" si="20"/>
        <v>3504.0059999999999</v>
      </c>
      <c r="X56" s="892">
        <f t="shared" si="21"/>
        <v>144565.8376</v>
      </c>
      <c r="Y56" s="892">
        <f t="shared" si="22"/>
        <v>2102403.5999999996</v>
      </c>
      <c r="Z56" s="892">
        <f t="shared" si="23"/>
        <v>159273</v>
      </c>
      <c r="AA56" s="892">
        <f t="shared" si="24"/>
        <v>2261676.5999999996</v>
      </c>
      <c r="AB56" s="892">
        <f t="shared" si="25"/>
        <v>117505.24847999998</v>
      </c>
      <c r="AC56" s="892">
        <f t="shared" si="31"/>
        <v>101775.44699999999</v>
      </c>
      <c r="AD56" s="892">
        <f t="shared" si="26"/>
        <v>63072.107999999986</v>
      </c>
      <c r="AE56" s="892">
        <f t="shared" si="27"/>
        <v>101775.44699999999</v>
      </c>
      <c r="AF56" s="892">
        <f t="shared" si="28"/>
        <v>2645804.85048</v>
      </c>
      <c r="AG56" s="892" t="s">
        <v>3</v>
      </c>
    </row>
    <row r="57" spans="1:33" ht="31.5">
      <c r="A57" s="918">
        <v>40</v>
      </c>
      <c r="B57" s="909" t="s">
        <v>453</v>
      </c>
      <c r="C57" s="909" t="s">
        <v>2328</v>
      </c>
      <c r="D57" s="1556"/>
      <c r="E57" s="918">
        <v>0.5</v>
      </c>
      <c r="F57" s="918"/>
      <c r="G57" s="888">
        <v>44980</v>
      </c>
      <c r="H57" s="895">
        <v>24</v>
      </c>
      <c r="I57" s="892">
        <f t="shared" si="32"/>
        <v>212364</v>
      </c>
      <c r="J57" s="892">
        <f t="shared" si="29"/>
        <v>21236.400000000001</v>
      </c>
      <c r="K57" s="887"/>
      <c r="L57" s="887"/>
      <c r="M57" s="887"/>
      <c r="N57" s="887"/>
      <c r="O57" s="887"/>
      <c r="P57" s="887"/>
      <c r="Q57" s="923"/>
      <c r="R57" s="923"/>
      <c r="S57" s="892">
        <f t="shared" si="30"/>
        <v>21236.400000000001</v>
      </c>
      <c r="T57" s="892">
        <f t="shared" si="17"/>
        <v>233600.4</v>
      </c>
      <c r="U57" s="892">
        <f t="shared" si="18"/>
        <v>23360.04</v>
      </c>
      <c r="V57" s="892">
        <f t="shared" si="19"/>
        <v>14749.635199999999</v>
      </c>
      <c r="W57" s="892">
        <f t="shared" si="20"/>
        <v>4672.0079999999998</v>
      </c>
      <c r="X57" s="892">
        <f t="shared" si="21"/>
        <v>190818.71679999999</v>
      </c>
      <c r="Y57" s="892">
        <f t="shared" si="22"/>
        <v>2803204.8</v>
      </c>
      <c r="Z57" s="892">
        <f t="shared" si="23"/>
        <v>212364</v>
      </c>
      <c r="AA57" s="892">
        <f t="shared" si="24"/>
        <v>3015568.8</v>
      </c>
      <c r="AB57" s="892">
        <f t="shared" si="25"/>
        <v>156673.66464</v>
      </c>
      <c r="AC57" s="892">
        <f t="shared" si="31"/>
        <v>135700.59599999999</v>
      </c>
      <c r="AD57" s="892">
        <f t="shared" si="26"/>
        <v>84096.143999999986</v>
      </c>
      <c r="AE57" s="892">
        <f t="shared" si="27"/>
        <v>135700.59599999999</v>
      </c>
      <c r="AF57" s="892">
        <f t="shared" si="28"/>
        <v>3527739.8006399996</v>
      </c>
      <c r="AG57" s="892" t="s">
        <v>3</v>
      </c>
    </row>
    <row r="58" spans="1:33" ht="31.5">
      <c r="A58" s="918">
        <v>41</v>
      </c>
      <c r="B58" s="909" t="s">
        <v>453</v>
      </c>
      <c r="C58" s="909" t="s">
        <v>2329</v>
      </c>
      <c r="D58" s="1556"/>
      <c r="E58" s="918">
        <v>0.5</v>
      </c>
      <c r="F58" s="918"/>
      <c r="G58" s="888">
        <v>45170</v>
      </c>
      <c r="H58" s="895">
        <v>20</v>
      </c>
      <c r="I58" s="892">
        <f t="shared" si="32"/>
        <v>176970</v>
      </c>
      <c r="J58" s="892">
        <f t="shared" si="29"/>
        <v>17697</v>
      </c>
      <c r="K58" s="887"/>
      <c r="L58" s="887"/>
      <c r="M58" s="887"/>
      <c r="N58" s="887"/>
      <c r="O58" s="887"/>
      <c r="P58" s="887"/>
      <c r="Q58" s="923"/>
      <c r="R58" s="923"/>
      <c r="S58" s="892">
        <f t="shared" si="30"/>
        <v>17697</v>
      </c>
      <c r="T58" s="892">
        <f t="shared" si="17"/>
        <v>194667</v>
      </c>
      <c r="U58" s="892">
        <f t="shared" si="18"/>
        <v>19466.7</v>
      </c>
      <c r="V58" s="892">
        <f t="shared" si="19"/>
        <v>11323.495999999999</v>
      </c>
      <c r="W58" s="892">
        <f t="shared" si="20"/>
        <v>3893.34</v>
      </c>
      <c r="X58" s="892">
        <f t="shared" si="21"/>
        <v>159983.46400000001</v>
      </c>
      <c r="Y58" s="892">
        <f t="shared" si="22"/>
        <v>2336004</v>
      </c>
      <c r="Z58" s="892">
        <f t="shared" si="23"/>
        <v>176970</v>
      </c>
      <c r="AA58" s="892">
        <f t="shared" si="24"/>
        <v>2512974</v>
      </c>
      <c r="AB58" s="892">
        <f t="shared" si="25"/>
        <v>130561.3872</v>
      </c>
      <c r="AC58" s="892">
        <f t="shared" si="31"/>
        <v>113083.83000000002</v>
      </c>
      <c r="AD58" s="892">
        <f t="shared" si="26"/>
        <v>70080.12</v>
      </c>
      <c r="AE58" s="892">
        <f t="shared" si="27"/>
        <v>113083.83</v>
      </c>
      <c r="AF58" s="892">
        <f t="shared" si="28"/>
        <v>2939783.1672</v>
      </c>
      <c r="AG58" s="892" t="s">
        <v>3</v>
      </c>
    </row>
    <row r="59" spans="1:33" ht="31.5">
      <c r="A59" s="918">
        <v>42</v>
      </c>
      <c r="B59" s="909" t="s">
        <v>453</v>
      </c>
      <c r="C59" s="909" t="s">
        <v>2330</v>
      </c>
      <c r="D59" s="1556"/>
      <c r="E59" s="918">
        <v>0.5</v>
      </c>
      <c r="F59" s="918"/>
      <c r="G59" s="901">
        <v>44819</v>
      </c>
      <c r="H59" s="918">
        <v>16</v>
      </c>
      <c r="I59" s="892">
        <f t="shared" si="32"/>
        <v>141576</v>
      </c>
      <c r="J59" s="892">
        <f t="shared" si="29"/>
        <v>14157.6</v>
      </c>
      <c r="K59" s="887"/>
      <c r="L59" s="887"/>
      <c r="M59" s="887"/>
      <c r="N59" s="887"/>
      <c r="O59" s="887"/>
      <c r="P59" s="887"/>
      <c r="Q59" s="923"/>
      <c r="R59" s="923"/>
      <c r="S59" s="892">
        <f t="shared" si="30"/>
        <v>14157.6</v>
      </c>
      <c r="T59" s="892">
        <f t="shared" si="17"/>
        <v>155733.6</v>
      </c>
      <c r="U59" s="892">
        <f t="shared" si="18"/>
        <v>15573.36</v>
      </c>
      <c r="V59" s="892">
        <f t="shared" si="19"/>
        <v>7897.3568000000005</v>
      </c>
      <c r="W59" s="892">
        <f t="shared" si="20"/>
        <v>3114.672</v>
      </c>
      <c r="X59" s="892">
        <f t="shared" si="21"/>
        <v>129148.21119999998</v>
      </c>
      <c r="Y59" s="892">
        <f t="shared" si="22"/>
        <v>1868803.2000000002</v>
      </c>
      <c r="Z59" s="892">
        <f t="shared" si="23"/>
        <v>141576</v>
      </c>
      <c r="AA59" s="892">
        <f t="shared" si="24"/>
        <v>2010379.2000000002</v>
      </c>
      <c r="AB59" s="892">
        <f t="shared" si="25"/>
        <v>104449.10976000002</v>
      </c>
      <c r="AC59" s="892">
        <f t="shared" si="31"/>
        <v>90467.064000000013</v>
      </c>
      <c r="AD59" s="892">
        <f t="shared" si="26"/>
        <v>56064.096000000005</v>
      </c>
      <c r="AE59" s="892">
        <f t="shared" si="27"/>
        <v>90467.063999999998</v>
      </c>
      <c r="AF59" s="892">
        <f t="shared" si="28"/>
        <v>2351826.5337599996</v>
      </c>
      <c r="AG59" s="892" t="s">
        <v>3</v>
      </c>
    </row>
    <row r="60" spans="1:33" ht="31.5">
      <c r="A60" s="918">
        <v>43</v>
      </c>
      <c r="B60" s="909" t="s">
        <v>453</v>
      </c>
      <c r="C60" s="909" t="s">
        <v>454</v>
      </c>
      <c r="D60" s="1556"/>
      <c r="E60" s="918">
        <v>1</v>
      </c>
      <c r="F60" s="918"/>
      <c r="G60" s="888">
        <v>42860</v>
      </c>
      <c r="H60" s="918">
        <v>18</v>
      </c>
      <c r="I60" s="892">
        <f t="shared" si="32"/>
        <v>318546</v>
      </c>
      <c r="J60" s="892">
        <f t="shared" si="29"/>
        <v>31854.600000000002</v>
      </c>
      <c r="K60" s="887"/>
      <c r="L60" s="887"/>
      <c r="M60" s="887"/>
      <c r="N60" s="887"/>
      <c r="O60" s="887"/>
      <c r="P60" s="887"/>
      <c r="Q60" s="923"/>
      <c r="R60" s="923"/>
      <c r="S60" s="892">
        <f t="shared" si="30"/>
        <v>31854.600000000002</v>
      </c>
      <c r="T60" s="892">
        <f t="shared" si="17"/>
        <v>350400.6</v>
      </c>
      <c r="U60" s="892">
        <f t="shared" si="18"/>
        <v>35040.06</v>
      </c>
      <c r="V60" s="892">
        <f t="shared" si="19"/>
        <v>25028.052800000001</v>
      </c>
      <c r="W60" s="892">
        <f t="shared" si="20"/>
        <v>7008.0119999999997</v>
      </c>
      <c r="X60" s="892">
        <f t="shared" si="21"/>
        <v>283324.47519999999</v>
      </c>
      <c r="Y60" s="892">
        <f t="shared" si="22"/>
        <v>4204807.1999999993</v>
      </c>
      <c r="Z60" s="892">
        <f t="shared" si="23"/>
        <v>318546</v>
      </c>
      <c r="AA60" s="892">
        <f t="shared" si="24"/>
        <v>4523353.1999999993</v>
      </c>
      <c r="AB60" s="892">
        <f t="shared" si="25"/>
        <v>235010.49695999996</v>
      </c>
      <c r="AC60" s="892">
        <f t="shared" si="31"/>
        <v>203550.89399999997</v>
      </c>
      <c r="AD60" s="892">
        <f t="shared" si="26"/>
        <v>126144.21599999997</v>
      </c>
      <c r="AE60" s="892">
        <f t="shared" si="27"/>
        <v>203550.89399999997</v>
      </c>
      <c r="AF60" s="892">
        <f t="shared" si="28"/>
        <v>5291609.70096</v>
      </c>
      <c r="AG60" s="892" t="s">
        <v>3</v>
      </c>
    </row>
    <row r="61" spans="1:33" ht="31.5">
      <c r="A61" s="918">
        <v>44</v>
      </c>
      <c r="B61" s="909" t="s">
        <v>453</v>
      </c>
      <c r="C61" s="909" t="s">
        <v>455</v>
      </c>
      <c r="D61" s="1556"/>
      <c r="E61" s="918">
        <v>1</v>
      </c>
      <c r="F61" s="918"/>
      <c r="G61" s="888">
        <v>44440</v>
      </c>
      <c r="H61" s="918">
        <v>20</v>
      </c>
      <c r="I61" s="892">
        <f t="shared" si="32"/>
        <v>353940</v>
      </c>
      <c r="J61" s="892">
        <f t="shared" si="29"/>
        <v>35394</v>
      </c>
      <c r="K61" s="887"/>
      <c r="L61" s="887"/>
      <c r="M61" s="887"/>
      <c r="N61" s="887"/>
      <c r="O61" s="887"/>
      <c r="P61" s="887"/>
      <c r="Q61" s="923"/>
      <c r="R61" s="923"/>
      <c r="S61" s="892">
        <f t="shared" si="30"/>
        <v>35394</v>
      </c>
      <c r="T61" s="892">
        <f t="shared" si="17"/>
        <v>389334</v>
      </c>
      <c r="U61" s="892">
        <f t="shared" si="18"/>
        <v>38933.4</v>
      </c>
      <c r="V61" s="892">
        <f t="shared" si="19"/>
        <v>28454.191999999999</v>
      </c>
      <c r="W61" s="892">
        <f t="shared" si="20"/>
        <v>7786.68</v>
      </c>
      <c r="X61" s="892">
        <f t="shared" si="21"/>
        <v>314159.728</v>
      </c>
      <c r="Y61" s="892">
        <f t="shared" si="22"/>
        <v>4672008</v>
      </c>
      <c r="Z61" s="892">
        <f t="shared" si="23"/>
        <v>353940</v>
      </c>
      <c r="AA61" s="892">
        <f t="shared" si="24"/>
        <v>5025948</v>
      </c>
      <c r="AB61" s="892">
        <f t="shared" si="25"/>
        <v>261122.77439999999</v>
      </c>
      <c r="AC61" s="892">
        <f t="shared" si="31"/>
        <v>226167.66000000003</v>
      </c>
      <c r="AD61" s="892">
        <f t="shared" si="26"/>
        <v>140160.24</v>
      </c>
      <c r="AE61" s="892">
        <f t="shared" si="27"/>
        <v>226167.66</v>
      </c>
      <c r="AF61" s="892">
        <f t="shared" si="28"/>
        <v>5879566.3344000001</v>
      </c>
      <c r="AG61" s="892" t="s">
        <v>3</v>
      </c>
    </row>
    <row r="62" spans="1:33" ht="31.5">
      <c r="A62" s="918">
        <v>45</v>
      </c>
      <c r="B62" s="909" t="s">
        <v>453</v>
      </c>
      <c r="C62" s="909" t="s">
        <v>455</v>
      </c>
      <c r="D62" s="1556"/>
      <c r="E62" s="934">
        <v>0.5</v>
      </c>
      <c r="F62" s="918"/>
      <c r="G62" s="888">
        <v>45184</v>
      </c>
      <c r="H62" s="918">
        <v>20</v>
      </c>
      <c r="I62" s="892">
        <f t="shared" si="32"/>
        <v>176970</v>
      </c>
      <c r="J62" s="892">
        <f t="shared" si="29"/>
        <v>17697</v>
      </c>
      <c r="K62" s="887"/>
      <c r="L62" s="887"/>
      <c r="M62" s="887"/>
      <c r="N62" s="887"/>
      <c r="O62" s="887"/>
      <c r="P62" s="887"/>
      <c r="Q62" s="923"/>
      <c r="R62" s="923"/>
      <c r="S62" s="892">
        <f t="shared" si="30"/>
        <v>17697</v>
      </c>
      <c r="T62" s="892">
        <f t="shared" si="17"/>
        <v>194667</v>
      </c>
      <c r="U62" s="892">
        <f t="shared" si="18"/>
        <v>19466.7</v>
      </c>
      <c r="V62" s="892">
        <f t="shared" si="19"/>
        <v>11323.495999999999</v>
      </c>
      <c r="W62" s="892">
        <f t="shared" si="20"/>
        <v>3893.34</v>
      </c>
      <c r="X62" s="892">
        <f t="shared" si="21"/>
        <v>159983.46400000001</v>
      </c>
      <c r="Y62" s="892">
        <f t="shared" si="22"/>
        <v>2336004</v>
      </c>
      <c r="Z62" s="892">
        <f t="shared" si="23"/>
        <v>176970</v>
      </c>
      <c r="AA62" s="892">
        <f t="shared" si="24"/>
        <v>2512974</v>
      </c>
      <c r="AB62" s="892">
        <f t="shared" si="25"/>
        <v>130561.3872</v>
      </c>
      <c r="AC62" s="892">
        <f t="shared" si="31"/>
        <v>113083.83000000002</v>
      </c>
      <c r="AD62" s="892">
        <f t="shared" si="26"/>
        <v>70080.12</v>
      </c>
      <c r="AE62" s="892">
        <f t="shared" si="27"/>
        <v>113083.83</v>
      </c>
      <c r="AF62" s="892">
        <f t="shared" si="28"/>
        <v>2939783.1672</v>
      </c>
      <c r="AG62" s="892" t="s">
        <v>3</v>
      </c>
    </row>
    <row r="63" spans="1:33" ht="31.5">
      <c r="A63" s="918">
        <v>46</v>
      </c>
      <c r="B63" s="909" t="s">
        <v>453</v>
      </c>
      <c r="C63" s="933" t="s">
        <v>551</v>
      </c>
      <c r="D63" s="1556"/>
      <c r="E63" s="918">
        <v>0.5</v>
      </c>
      <c r="F63" s="918"/>
      <c r="G63" s="888">
        <v>45187</v>
      </c>
      <c r="H63" s="918">
        <v>20</v>
      </c>
      <c r="I63" s="892">
        <f t="shared" si="32"/>
        <v>176970</v>
      </c>
      <c r="J63" s="892">
        <f t="shared" si="29"/>
        <v>17697</v>
      </c>
      <c r="K63" s="887"/>
      <c r="L63" s="887"/>
      <c r="M63" s="887"/>
      <c r="N63" s="887"/>
      <c r="O63" s="887"/>
      <c r="P63" s="887"/>
      <c r="Q63" s="923"/>
      <c r="R63" s="923"/>
      <c r="S63" s="892">
        <f t="shared" si="30"/>
        <v>17697</v>
      </c>
      <c r="T63" s="892">
        <f t="shared" si="17"/>
        <v>194667</v>
      </c>
      <c r="U63" s="892">
        <f t="shared" si="18"/>
        <v>19466.7</v>
      </c>
      <c r="V63" s="892">
        <f t="shared" si="19"/>
        <v>11323.495999999999</v>
      </c>
      <c r="W63" s="892">
        <f t="shared" si="20"/>
        <v>3893.34</v>
      </c>
      <c r="X63" s="892">
        <f t="shared" si="21"/>
        <v>159983.46400000001</v>
      </c>
      <c r="Y63" s="892">
        <f t="shared" si="22"/>
        <v>2336004</v>
      </c>
      <c r="Z63" s="892">
        <f t="shared" si="23"/>
        <v>176970</v>
      </c>
      <c r="AA63" s="892">
        <f t="shared" si="24"/>
        <v>2512974</v>
      </c>
      <c r="AB63" s="892">
        <f t="shared" si="25"/>
        <v>130561.3872</v>
      </c>
      <c r="AC63" s="892">
        <f t="shared" si="31"/>
        <v>113083.83000000002</v>
      </c>
      <c r="AD63" s="892">
        <f t="shared" si="26"/>
        <v>70080.12</v>
      </c>
      <c r="AE63" s="892">
        <f t="shared" si="27"/>
        <v>113083.83</v>
      </c>
      <c r="AF63" s="892">
        <f t="shared" si="28"/>
        <v>2939783.1672</v>
      </c>
      <c r="AG63" s="892" t="s">
        <v>3</v>
      </c>
    </row>
    <row r="64" spans="1:33" ht="31.5">
      <c r="A64" s="918">
        <v>47</v>
      </c>
      <c r="B64" s="935" t="s">
        <v>453</v>
      </c>
      <c r="C64" s="909" t="s">
        <v>2331</v>
      </c>
      <c r="D64" s="1556"/>
      <c r="E64" s="918">
        <v>0.5</v>
      </c>
      <c r="F64" s="918"/>
      <c r="G64" s="901">
        <v>44774</v>
      </c>
      <c r="H64" s="918">
        <v>11</v>
      </c>
      <c r="I64" s="892">
        <f t="shared" si="32"/>
        <v>97333.5</v>
      </c>
      <c r="J64" s="892">
        <f t="shared" si="29"/>
        <v>9733.35</v>
      </c>
      <c r="K64" s="887"/>
      <c r="L64" s="887"/>
      <c r="M64" s="887"/>
      <c r="N64" s="887"/>
      <c r="O64" s="887"/>
      <c r="P64" s="887"/>
      <c r="Q64" s="923"/>
      <c r="R64" s="923"/>
      <c r="S64" s="892">
        <f t="shared" si="30"/>
        <v>9733.35</v>
      </c>
      <c r="T64" s="892">
        <f t="shared" si="17"/>
        <v>107066.85</v>
      </c>
      <c r="U64" s="892">
        <f t="shared" si="18"/>
        <v>10706.685000000001</v>
      </c>
      <c r="V64" s="892">
        <f t="shared" si="19"/>
        <v>3614.682800000001</v>
      </c>
      <c r="W64" s="892">
        <f t="shared" si="20"/>
        <v>2141.337</v>
      </c>
      <c r="X64" s="892">
        <f t="shared" si="21"/>
        <v>90604.145200000014</v>
      </c>
      <c r="Y64" s="892">
        <f t="shared" si="22"/>
        <v>1284802.2000000002</v>
      </c>
      <c r="Z64" s="892">
        <f t="shared" si="23"/>
        <v>97333.5</v>
      </c>
      <c r="AA64" s="892">
        <f t="shared" si="24"/>
        <v>1382135.7000000002</v>
      </c>
      <c r="AB64" s="892">
        <f t="shared" si="25"/>
        <v>71808.762960000007</v>
      </c>
      <c r="AC64" s="892">
        <f t="shared" si="31"/>
        <v>62196.106500000009</v>
      </c>
      <c r="AD64" s="892">
        <f t="shared" si="26"/>
        <v>38544.066000000006</v>
      </c>
      <c r="AE64" s="892">
        <f t="shared" si="27"/>
        <v>62196.106500000009</v>
      </c>
      <c r="AF64" s="892">
        <f t="shared" si="28"/>
        <v>1616880.7419600002</v>
      </c>
      <c r="AG64" s="892" t="s">
        <v>3</v>
      </c>
    </row>
    <row r="65" spans="1:33" ht="31.5">
      <c r="A65" s="918">
        <v>48</v>
      </c>
      <c r="B65" s="915" t="s">
        <v>453</v>
      </c>
      <c r="C65" s="933" t="s">
        <v>2332</v>
      </c>
      <c r="D65" s="1556"/>
      <c r="E65" s="918">
        <v>0.5</v>
      </c>
      <c r="F65" s="918"/>
      <c r="G65" s="888">
        <v>45187</v>
      </c>
      <c r="H65" s="918">
        <v>20</v>
      </c>
      <c r="I65" s="892">
        <f t="shared" si="32"/>
        <v>176970</v>
      </c>
      <c r="J65" s="892">
        <f t="shared" si="29"/>
        <v>17697</v>
      </c>
      <c r="K65" s="887"/>
      <c r="L65" s="887"/>
      <c r="M65" s="887"/>
      <c r="N65" s="887"/>
      <c r="O65" s="887"/>
      <c r="P65" s="887"/>
      <c r="Q65" s="923"/>
      <c r="R65" s="923"/>
      <c r="S65" s="892">
        <f t="shared" si="30"/>
        <v>17697</v>
      </c>
      <c r="T65" s="892">
        <f t="shared" si="17"/>
        <v>194667</v>
      </c>
      <c r="U65" s="892">
        <f t="shared" si="18"/>
        <v>19466.7</v>
      </c>
      <c r="V65" s="892">
        <f t="shared" si="19"/>
        <v>11323.495999999999</v>
      </c>
      <c r="W65" s="892">
        <f t="shared" si="20"/>
        <v>3893.34</v>
      </c>
      <c r="X65" s="892">
        <f t="shared" si="21"/>
        <v>159983.46400000001</v>
      </c>
      <c r="Y65" s="892">
        <f t="shared" si="22"/>
        <v>2336004</v>
      </c>
      <c r="Z65" s="892">
        <f t="shared" si="23"/>
        <v>176970</v>
      </c>
      <c r="AA65" s="892">
        <f t="shared" si="24"/>
        <v>2512974</v>
      </c>
      <c r="AB65" s="892">
        <f t="shared" si="25"/>
        <v>130561.3872</v>
      </c>
      <c r="AC65" s="892">
        <f t="shared" si="31"/>
        <v>113083.83000000002</v>
      </c>
      <c r="AD65" s="892">
        <f t="shared" si="26"/>
        <v>70080.12</v>
      </c>
      <c r="AE65" s="892">
        <f t="shared" si="27"/>
        <v>113083.83</v>
      </c>
      <c r="AF65" s="892">
        <f t="shared" si="28"/>
        <v>2939783.1672</v>
      </c>
      <c r="AG65" s="892" t="s">
        <v>3</v>
      </c>
    </row>
    <row r="66" spans="1:33" ht="31.5">
      <c r="A66" s="918">
        <v>49</v>
      </c>
      <c r="B66" s="909" t="s">
        <v>453</v>
      </c>
      <c r="C66" s="933" t="s">
        <v>919</v>
      </c>
      <c r="D66" s="918"/>
      <c r="E66" s="918">
        <v>1</v>
      </c>
      <c r="F66" s="918"/>
      <c r="G66" s="888"/>
      <c r="H66" s="918">
        <v>20</v>
      </c>
      <c r="I66" s="892">
        <f t="shared" si="32"/>
        <v>353940</v>
      </c>
      <c r="J66" s="892">
        <f t="shared" si="29"/>
        <v>35394</v>
      </c>
      <c r="K66" s="887"/>
      <c r="L66" s="887"/>
      <c r="M66" s="887"/>
      <c r="N66" s="887"/>
      <c r="O66" s="887"/>
      <c r="P66" s="887"/>
      <c r="Q66" s="923"/>
      <c r="R66" s="923"/>
      <c r="S66" s="892">
        <f t="shared" ref="S66" si="33">SUM(J66:R66)</f>
        <v>35394</v>
      </c>
      <c r="T66" s="892">
        <f t="shared" si="17"/>
        <v>389334</v>
      </c>
      <c r="U66" s="892">
        <f t="shared" si="18"/>
        <v>38933.4</v>
      </c>
      <c r="V66" s="892">
        <f t="shared" si="19"/>
        <v>28454.191999999999</v>
      </c>
      <c r="W66" s="892">
        <f t="shared" si="20"/>
        <v>7786.68</v>
      </c>
      <c r="X66" s="892">
        <f t="shared" si="21"/>
        <v>314159.728</v>
      </c>
      <c r="Y66" s="892">
        <f t="shared" si="22"/>
        <v>4672008</v>
      </c>
      <c r="Z66" s="892">
        <f t="shared" si="23"/>
        <v>353940</v>
      </c>
      <c r="AA66" s="892">
        <f t="shared" si="24"/>
        <v>5025948</v>
      </c>
      <c r="AB66" s="892">
        <f t="shared" si="25"/>
        <v>261122.77439999999</v>
      </c>
      <c r="AC66" s="892">
        <f t="shared" si="31"/>
        <v>226167.66000000003</v>
      </c>
      <c r="AD66" s="892">
        <f t="shared" si="26"/>
        <v>140160.24</v>
      </c>
      <c r="AE66" s="892">
        <f t="shared" si="27"/>
        <v>226167.66</v>
      </c>
      <c r="AF66" s="892">
        <f t="shared" si="28"/>
        <v>5879566.3344000001</v>
      </c>
      <c r="AG66" s="892" t="s">
        <v>3</v>
      </c>
    </row>
    <row r="67" spans="1:33" ht="39.75" customHeight="1">
      <c r="A67" s="918">
        <v>50</v>
      </c>
      <c r="B67" s="909" t="s">
        <v>456</v>
      </c>
      <c r="C67" s="909" t="s">
        <v>457</v>
      </c>
      <c r="D67" s="918">
        <v>1</v>
      </c>
      <c r="E67" s="918">
        <v>1</v>
      </c>
      <c r="F67" s="918"/>
      <c r="G67" s="901">
        <v>44287</v>
      </c>
      <c r="H67" s="918">
        <v>14</v>
      </c>
      <c r="I67" s="892">
        <f t="shared" si="32"/>
        <v>247758</v>
      </c>
      <c r="J67" s="892">
        <f t="shared" si="29"/>
        <v>24775.800000000003</v>
      </c>
      <c r="K67" s="887"/>
      <c r="L67" s="887"/>
      <c r="M67" s="887"/>
      <c r="N67" s="887"/>
      <c r="O67" s="887"/>
      <c r="P67" s="887"/>
      <c r="Q67" s="923"/>
      <c r="R67" s="923"/>
      <c r="S67" s="892">
        <f t="shared" si="30"/>
        <v>24775.800000000003</v>
      </c>
      <c r="T67" s="892">
        <f t="shared" si="17"/>
        <v>272533.8</v>
      </c>
      <c r="U67" s="892">
        <f t="shared" si="18"/>
        <v>27253.38</v>
      </c>
      <c r="V67" s="892">
        <f t="shared" si="19"/>
        <v>18175.774399999998</v>
      </c>
      <c r="W67" s="892">
        <f t="shared" si="20"/>
        <v>5450.6759999999995</v>
      </c>
      <c r="X67" s="892">
        <f t="shared" si="21"/>
        <v>221653.96959999998</v>
      </c>
      <c r="Y67" s="892">
        <f t="shared" si="22"/>
        <v>3270405.5999999996</v>
      </c>
      <c r="Z67" s="892">
        <f t="shared" si="23"/>
        <v>247758</v>
      </c>
      <c r="AA67" s="892">
        <f t="shared" si="24"/>
        <v>3518163.5999999996</v>
      </c>
      <c r="AB67" s="892">
        <f t="shared" si="25"/>
        <v>182785.94207999998</v>
      </c>
      <c r="AC67" s="892">
        <f t="shared" si="31"/>
        <v>158317.36199999999</v>
      </c>
      <c r="AD67" s="892">
        <f t="shared" si="26"/>
        <v>98112.167999999991</v>
      </c>
      <c r="AE67" s="892">
        <f t="shared" si="27"/>
        <v>158317.36199999996</v>
      </c>
      <c r="AF67" s="892">
        <f t="shared" si="28"/>
        <v>4115696.43408</v>
      </c>
      <c r="AG67" s="892" t="s">
        <v>3</v>
      </c>
    </row>
    <row r="68" spans="1:33" ht="31.5">
      <c r="A68" s="918">
        <v>51</v>
      </c>
      <c r="B68" s="915" t="s">
        <v>16</v>
      </c>
      <c r="C68" s="909" t="s">
        <v>460</v>
      </c>
      <c r="D68" s="1556">
        <v>4</v>
      </c>
      <c r="E68" s="918">
        <v>1</v>
      </c>
      <c r="F68" s="918"/>
      <c r="G68" s="888">
        <v>42293</v>
      </c>
      <c r="H68" s="918">
        <v>19</v>
      </c>
      <c r="I68" s="892">
        <f t="shared" si="32"/>
        <v>336243</v>
      </c>
      <c r="J68" s="892">
        <f t="shared" si="29"/>
        <v>33624.300000000003</v>
      </c>
      <c r="K68" s="887"/>
      <c r="L68" s="887"/>
      <c r="M68" s="892">
        <f>I68*40%</f>
        <v>134497.20000000001</v>
      </c>
      <c r="N68" s="887"/>
      <c r="O68" s="887"/>
      <c r="P68" s="887"/>
      <c r="Q68" s="923"/>
      <c r="R68" s="923"/>
      <c r="S68" s="892">
        <f t="shared" si="30"/>
        <v>168121.5</v>
      </c>
      <c r="T68" s="892">
        <f t="shared" si="17"/>
        <v>504364.5</v>
      </c>
      <c r="U68" s="892">
        <f t="shared" si="18"/>
        <v>50436.450000000004</v>
      </c>
      <c r="V68" s="892">
        <f t="shared" si="19"/>
        <v>38576.876000000004</v>
      </c>
      <c r="W68" s="892">
        <f t="shared" si="20"/>
        <v>10087.290000000001</v>
      </c>
      <c r="X68" s="892">
        <f t="shared" si="21"/>
        <v>405263.88400000002</v>
      </c>
      <c r="Y68" s="892">
        <f t="shared" si="22"/>
        <v>6052374</v>
      </c>
      <c r="Z68" s="892">
        <f t="shared" si="23"/>
        <v>336243</v>
      </c>
      <c r="AA68" s="892">
        <f t="shared" si="24"/>
        <v>6388617</v>
      </c>
      <c r="AB68" s="892">
        <f t="shared" si="25"/>
        <v>331670.09519999987</v>
      </c>
      <c r="AC68" s="892">
        <f t="shared" si="31"/>
        <v>287487.76500000001</v>
      </c>
      <c r="AD68" s="892">
        <f t="shared" si="26"/>
        <v>181571.22</v>
      </c>
      <c r="AE68" s="892">
        <f t="shared" si="27"/>
        <v>287487.76500000001</v>
      </c>
      <c r="AF68" s="892">
        <f t="shared" si="28"/>
        <v>7476833.8451999994</v>
      </c>
      <c r="AG68" s="892" t="s">
        <v>3</v>
      </c>
    </row>
    <row r="69" spans="1:33">
      <c r="A69" s="918">
        <v>52</v>
      </c>
      <c r="B69" s="909" t="s">
        <v>459</v>
      </c>
      <c r="C69" s="925" t="s">
        <v>461</v>
      </c>
      <c r="D69" s="1556"/>
      <c r="E69" s="918">
        <v>1</v>
      </c>
      <c r="F69" s="918"/>
      <c r="G69" s="888">
        <v>44908</v>
      </c>
      <c r="H69" s="918">
        <v>17</v>
      </c>
      <c r="I69" s="892">
        <f t="shared" si="32"/>
        <v>300849</v>
      </c>
      <c r="J69" s="892">
        <f t="shared" si="29"/>
        <v>30084.9</v>
      </c>
      <c r="K69" s="887"/>
      <c r="L69" s="887"/>
      <c r="M69" s="887"/>
      <c r="N69" s="887"/>
      <c r="O69" s="887"/>
      <c r="P69" s="887"/>
      <c r="Q69" s="923"/>
      <c r="R69" s="923"/>
      <c r="S69" s="892">
        <f t="shared" si="30"/>
        <v>30084.9</v>
      </c>
      <c r="T69" s="892">
        <f t="shared" si="17"/>
        <v>330933.90000000002</v>
      </c>
      <c r="U69" s="892">
        <f t="shared" si="18"/>
        <v>33093.390000000007</v>
      </c>
      <c r="V69" s="892">
        <f t="shared" si="19"/>
        <v>23314.983200000002</v>
      </c>
      <c r="W69" s="892">
        <f t="shared" si="20"/>
        <v>6618.6780000000008</v>
      </c>
      <c r="X69" s="892">
        <f t="shared" si="21"/>
        <v>267906.84879999998</v>
      </c>
      <c r="Y69" s="892">
        <f t="shared" si="22"/>
        <v>3971206.8000000003</v>
      </c>
      <c r="Z69" s="892">
        <f t="shared" si="23"/>
        <v>300849</v>
      </c>
      <c r="AA69" s="892">
        <f t="shared" si="24"/>
        <v>4272055.8000000007</v>
      </c>
      <c r="AB69" s="892">
        <f t="shared" si="25"/>
        <v>221954.35824000003</v>
      </c>
      <c r="AC69" s="892">
        <f t="shared" si="31"/>
        <v>192242.51100000006</v>
      </c>
      <c r="AD69" s="892">
        <f t="shared" si="26"/>
        <v>119136.204</v>
      </c>
      <c r="AE69" s="892">
        <f t="shared" si="27"/>
        <v>192242.51100000003</v>
      </c>
      <c r="AF69" s="892">
        <f t="shared" si="28"/>
        <v>4997631.3842400005</v>
      </c>
      <c r="AG69" s="892" t="s">
        <v>3</v>
      </c>
    </row>
    <row r="70" spans="1:33">
      <c r="A70" s="918">
        <v>53</v>
      </c>
      <c r="B70" s="909" t="s">
        <v>459</v>
      </c>
      <c r="C70" s="929" t="s">
        <v>458</v>
      </c>
      <c r="D70" s="1556"/>
      <c r="E70" s="918">
        <v>1</v>
      </c>
      <c r="F70" s="918"/>
      <c r="G70" s="888">
        <v>45160</v>
      </c>
      <c r="H70" s="918">
        <v>16</v>
      </c>
      <c r="I70" s="892">
        <f t="shared" si="32"/>
        <v>283152</v>
      </c>
      <c r="J70" s="892">
        <f t="shared" si="29"/>
        <v>28315.200000000001</v>
      </c>
      <c r="K70" s="887"/>
      <c r="L70" s="887"/>
      <c r="M70" s="887"/>
      <c r="N70" s="887"/>
      <c r="O70" s="887"/>
      <c r="P70" s="887"/>
      <c r="Q70" s="923"/>
      <c r="R70" s="923"/>
      <c r="S70" s="892">
        <f t="shared" si="30"/>
        <v>28315.200000000001</v>
      </c>
      <c r="T70" s="892">
        <f t="shared" si="17"/>
        <v>311467.2</v>
      </c>
      <c r="U70" s="892">
        <f t="shared" si="18"/>
        <v>31146.720000000001</v>
      </c>
      <c r="V70" s="892">
        <f t="shared" si="19"/>
        <v>21601.9136</v>
      </c>
      <c r="W70" s="892">
        <f t="shared" si="20"/>
        <v>6229.3440000000001</v>
      </c>
      <c r="X70" s="892">
        <f t="shared" si="21"/>
        <v>252489.22239999997</v>
      </c>
      <c r="Y70" s="892">
        <f t="shared" si="22"/>
        <v>3737606.4000000004</v>
      </c>
      <c r="Z70" s="892">
        <f t="shared" si="23"/>
        <v>283152</v>
      </c>
      <c r="AA70" s="892">
        <f t="shared" si="24"/>
        <v>4020758.4000000004</v>
      </c>
      <c r="AB70" s="892">
        <f t="shared" si="25"/>
        <v>208898.21952000004</v>
      </c>
      <c r="AC70" s="892">
        <f t="shared" si="31"/>
        <v>180934.12800000003</v>
      </c>
      <c r="AD70" s="892">
        <f t="shared" si="26"/>
        <v>112128.19200000001</v>
      </c>
      <c r="AE70" s="892">
        <f t="shared" si="27"/>
        <v>180934.128</v>
      </c>
      <c r="AF70" s="892">
        <f t="shared" si="28"/>
        <v>4703653.0675199991</v>
      </c>
      <c r="AG70" s="892" t="s">
        <v>3</v>
      </c>
    </row>
    <row r="71" spans="1:33" ht="31.5">
      <c r="A71" s="918">
        <v>54</v>
      </c>
      <c r="B71" s="915" t="s">
        <v>459</v>
      </c>
      <c r="C71" s="912" t="s">
        <v>462</v>
      </c>
      <c r="D71" s="1556"/>
      <c r="E71" s="918">
        <v>1</v>
      </c>
      <c r="F71" s="918"/>
      <c r="G71" s="888">
        <v>43773</v>
      </c>
      <c r="H71" s="918">
        <v>19</v>
      </c>
      <c r="I71" s="892">
        <f t="shared" si="32"/>
        <v>336243</v>
      </c>
      <c r="J71" s="892">
        <f t="shared" si="29"/>
        <v>33624.300000000003</v>
      </c>
      <c r="K71" s="887"/>
      <c r="L71" s="887"/>
      <c r="M71" s="887"/>
      <c r="N71" s="887"/>
      <c r="O71" s="887"/>
      <c r="P71" s="887"/>
      <c r="Q71" s="923"/>
      <c r="R71" s="923"/>
      <c r="S71" s="892">
        <f t="shared" si="30"/>
        <v>33624.300000000003</v>
      </c>
      <c r="T71" s="892">
        <f t="shared" si="17"/>
        <v>369867.3</v>
      </c>
      <c r="U71" s="892">
        <f t="shared" si="18"/>
        <v>36986.730000000003</v>
      </c>
      <c r="V71" s="892">
        <f t="shared" si="19"/>
        <v>26741.1224</v>
      </c>
      <c r="W71" s="892">
        <f t="shared" si="20"/>
        <v>7397.3459999999995</v>
      </c>
      <c r="X71" s="892">
        <f t="shared" si="21"/>
        <v>298742.10159999999</v>
      </c>
      <c r="Y71" s="892">
        <f t="shared" si="22"/>
        <v>4438407.5999999996</v>
      </c>
      <c r="Z71" s="892">
        <f t="shared" si="23"/>
        <v>336243</v>
      </c>
      <c r="AA71" s="892">
        <f t="shared" si="24"/>
        <v>4774650.5999999996</v>
      </c>
      <c r="AB71" s="892">
        <f t="shared" si="25"/>
        <v>248066.63568000001</v>
      </c>
      <c r="AC71" s="892">
        <f t="shared" si="31"/>
        <v>214859.277</v>
      </c>
      <c r="AD71" s="892">
        <f t="shared" si="26"/>
        <v>133152.22799999997</v>
      </c>
      <c r="AE71" s="892">
        <f t="shared" si="27"/>
        <v>214859.27699999997</v>
      </c>
      <c r="AF71" s="892">
        <f t="shared" si="28"/>
        <v>5585588.0176799996</v>
      </c>
      <c r="AG71" s="892" t="s">
        <v>3</v>
      </c>
    </row>
    <row r="72" spans="1:33">
      <c r="A72" s="918">
        <v>55</v>
      </c>
      <c r="B72" s="909" t="s">
        <v>463</v>
      </c>
      <c r="C72" s="936" t="s">
        <v>464</v>
      </c>
      <c r="D72" s="918">
        <v>1</v>
      </c>
      <c r="E72" s="918">
        <v>1</v>
      </c>
      <c r="F72" s="918"/>
      <c r="G72" s="888">
        <v>43064</v>
      </c>
      <c r="H72" s="918">
        <v>19</v>
      </c>
      <c r="I72" s="892">
        <f t="shared" si="32"/>
        <v>336243</v>
      </c>
      <c r="J72" s="892">
        <f t="shared" si="29"/>
        <v>33624.300000000003</v>
      </c>
      <c r="K72" s="887"/>
      <c r="L72" s="887"/>
      <c r="M72" s="887"/>
      <c r="N72" s="887"/>
      <c r="O72" s="887"/>
      <c r="P72" s="887"/>
      <c r="Q72" s="923"/>
      <c r="R72" s="923"/>
      <c r="S72" s="892">
        <f t="shared" si="30"/>
        <v>33624.300000000003</v>
      </c>
      <c r="T72" s="892">
        <f t="shared" si="17"/>
        <v>369867.3</v>
      </c>
      <c r="U72" s="892">
        <f t="shared" si="18"/>
        <v>36986.730000000003</v>
      </c>
      <c r="V72" s="892">
        <f t="shared" si="19"/>
        <v>26741.1224</v>
      </c>
      <c r="W72" s="892">
        <f t="shared" si="20"/>
        <v>7397.3459999999995</v>
      </c>
      <c r="X72" s="892">
        <f t="shared" si="21"/>
        <v>298742.10159999999</v>
      </c>
      <c r="Y72" s="892">
        <f t="shared" si="22"/>
        <v>4438407.5999999996</v>
      </c>
      <c r="Z72" s="892">
        <f t="shared" si="23"/>
        <v>336243</v>
      </c>
      <c r="AA72" s="892">
        <f t="shared" si="24"/>
        <v>4774650.5999999996</v>
      </c>
      <c r="AB72" s="892">
        <f t="shared" si="25"/>
        <v>248066.63568000001</v>
      </c>
      <c r="AC72" s="892">
        <f t="shared" si="31"/>
        <v>214859.277</v>
      </c>
      <c r="AD72" s="892">
        <f t="shared" si="26"/>
        <v>133152.22799999997</v>
      </c>
      <c r="AE72" s="892">
        <f t="shared" si="27"/>
        <v>214859.27699999997</v>
      </c>
      <c r="AF72" s="892">
        <f t="shared" si="28"/>
        <v>5585588.0176799996</v>
      </c>
      <c r="AG72" s="892" t="s">
        <v>3</v>
      </c>
    </row>
    <row r="73" spans="1:33" ht="31.5">
      <c r="A73" s="918">
        <v>56</v>
      </c>
      <c r="B73" s="909" t="s">
        <v>49</v>
      </c>
      <c r="C73" s="909" t="s">
        <v>465</v>
      </c>
      <c r="D73" s="918">
        <v>1</v>
      </c>
      <c r="E73" s="918">
        <v>1</v>
      </c>
      <c r="F73" s="918"/>
      <c r="G73" s="888">
        <v>42661</v>
      </c>
      <c r="H73" s="895">
        <v>17</v>
      </c>
      <c r="I73" s="892">
        <f t="shared" si="32"/>
        <v>300849</v>
      </c>
      <c r="J73" s="892">
        <f t="shared" si="29"/>
        <v>30084.9</v>
      </c>
      <c r="K73" s="887"/>
      <c r="L73" s="887"/>
      <c r="M73" s="887"/>
      <c r="N73" s="887"/>
      <c r="O73" s="887"/>
      <c r="P73" s="892">
        <f>17697*30%</f>
        <v>5309.0999999999995</v>
      </c>
      <c r="Q73" s="923"/>
      <c r="R73" s="923"/>
      <c r="S73" s="892">
        <f t="shared" si="30"/>
        <v>35394</v>
      </c>
      <c r="T73" s="892">
        <f t="shared" si="17"/>
        <v>336243</v>
      </c>
      <c r="U73" s="892">
        <f t="shared" si="18"/>
        <v>33624.300000000003</v>
      </c>
      <c r="V73" s="892">
        <f t="shared" si="19"/>
        <v>23782.184000000005</v>
      </c>
      <c r="W73" s="892">
        <f t="shared" si="20"/>
        <v>6724.8600000000006</v>
      </c>
      <c r="X73" s="892">
        <f t="shared" si="21"/>
        <v>272111.65600000002</v>
      </c>
      <c r="Y73" s="892">
        <f t="shared" si="22"/>
        <v>4034916</v>
      </c>
      <c r="Z73" s="892">
        <f t="shared" si="23"/>
        <v>300849</v>
      </c>
      <c r="AA73" s="892">
        <f t="shared" si="24"/>
        <v>4335765</v>
      </c>
      <c r="AB73" s="892">
        <f t="shared" si="25"/>
        <v>225254.49480000001</v>
      </c>
      <c r="AC73" s="892">
        <f t="shared" si="31"/>
        <v>195109.42500000002</v>
      </c>
      <c r="AD73" s="892">
        <f t="shared" si="26"/>
        <v>121047.48</v>
      </c>
      <c r="AE73" s="892">
        <f t="shared" si="27"/>
        <v>195109.42499999999</v>
      </c>
      <c r="AF73" s="892">
        <f t="shared" si="28"/>
        <v>5072285.8248000005</v>
      </c>
      <c r="AG73" s="892" t="s">
        <v>3</v>
      </c>
    </row>
    <row r="74" spans="1:33">
      <c r="A74" s="918">
        <v>57</v>
      </c>
      <c r="B74" s="909" t="s">
        <v>17</v>
      </c>
      <c r="C74" s="937" t="s">
        <v>466</v>
      </c>
      <c r="D74" s="1556">
        <v>2</v>
      </c>
      <c r="E74" s="918">
        <v>1</v>
      </c>
      <c r="F74" s="918"/>
      <c r="G74" s="888">
        <v>34736</v>
      </c>
      <c r="H74" s="895">
        <v>13</v>
      </c>
      <c r="I74" s="892">
        <f t="shared" si="32"/>
        <v>230061</v>
      </c>
      <c r="J74" s="892">
        <f t="shared" si="29"/>
        <v>23006.100000000002</v>
      </c>
      <c r="K74" s="887"/>
      <c r="L74" s="887"/>
      <c r="M74" s="887"/>
      <c r="N74" s="887"/>
      <c r="O74" s="887"/>
      <c r="P74" s="892">
        <f t="shared" ref="P74:P75" si="34">17697*30%</f>
        <v>5309.0999999999995</v>
      </c>
      <c r="Q74" s="923"/>
      <c r="R74" s="923"/>
      <c r="S74" s="892">
        <f t="shared" si="30"/>
        <v>28315.200000000001</v>
      </c>
      <c r="T74" s="892">
        <f t="shared" si="17"/>
        <v>258376.2</v>
      </c>
      <c r="U74" s="892">
        <f t="shared" si="18"/>
        <v>25837.620000000003</v>
      </c>
      <c r="V74" s="892">
        <f t="shared" si="19"/>
        <v>16929.905600000002</v>
      </c>
      <c r="W74" s="892">
        <f t="shared" si="20"/>
        <v>5167.5240000000003</v>
      </c>
      <c r="X74" s="892">
        <f t="shared" si="21"/>
        <v>210441.15040000001</v>
      </c>
      <c r="Y74" s="892">
        <f t="shared" si="22"/>
        <v>3100514.4000000004</v>
      </c>
      <c r="Z74" s="892">
        <f t="shared" si="23"/>
        <v>230061</v>
      </c>
      <c r="AA74" s="892">
        <f t="shared" si="24"/>
        <v>3330575.4000000004</v>
      </c>
      <c r="AB74" s="892">
        <f t="shared" si="25"/>
        <v>173029.93992</v>
      </c>
      <c r="AC74" s="892">
        <f t="shared" si="31"/>
        <v>149875.89300000001</v>
      </c>
      <c r="AD74" s="892">
        <f t="shared" si="26"/>
        <v>93015.432000000001</v>
      </c>
      <c r="AE74" s="892">
        <f t="shared" si="27"/>
        <v>149875.89300000001</v>
      </c>
      <c r="AF74" s="892">
        <f t="shared" si="28"/>
        <v>3896372.5579200005</v>
      </c>
      <c r="AG74" s="892" t="s">
        <v>3</v>
      </c>
    </row>
    <row r="75" spans="1:33">
      <c r="A75" s="918">
        <v>58</v>
      </c>
      <c r="B75" s="909" t="s">
        <v>17</v>
      </c>
      <c r="C75" s="937" t="s">
        <v>467</v>
      </c>
      <c r="D75" s="1556"/>
      <c r="E75" s="918">
        <v>1</v>
      </c>
      <c r="F75" s="918"/>
      <c r="G75" s="888">
        <v>44536</v>
      </c>
      <c r="H75" s="895">
        <v>13</v>
      </c>
      <c r="I75" s="892">
        <f t="shared" si="32"/>
        <v>230061</v>
      </c>
      <c r="J75" s="892">
        <f t="shared" si="29"/>
        <v>23006.100000000002</v>
      </c>
      <c r="K75" s="887"/>
      <c r="L75" s="887"/>
      <c r="M75" s="887"/>
      <c r="N75" s="887"/>
      <c r="O75" s="887"/>
      <c r="P75" s="892">
        <f t="shared" si="34"/>
        <v>5309.0999999999995</v>
      </c>
      <c r="Q75" s="923"/>
      <c r="R75" s="923"/>
      <c r="S75" s="892">
        <f t="shared" si="30"/>
        <v>28315.200000000001</v>
      </c>
      <c r="T75" s="892">
        <f t="shared" si="17"/>
        <v>258376.2</v>
      </c>
      <c r="U75" s="892">
        <f t="shared" si="18"/>
        <v>25837.620000000003</v>
      </c>
      <c r="V75" s="892">
        <f t="shared" si="19"/>
        <v>16929.905600000002</v>
      </c>
      <c r="W75" s="892">
        <f t="shared" si="20"/>
        <v>5167.5240000000003</v>
      </c>
      <c r="X75" s="892">
        <f t="shared" si="21"/>
        <v>210441.15040000001</v>
      </c>
      <c r="Y75" s="892">
        <f t="shared" si="22"/>
        <v>3100514.4000000004</v>
      </c>
      <c r="Z75" s="892">
        <f t="shared" si="23"/>
        <v>230061</v>
      </c>
      <c r="AA75" s="892">
        <f t="shared" si="24"/>
        <v>3330575.4000000004</v>
      </c>
      <c r="AB75" s="892">
        <f t="shared" si="25"/>
        <v>173029.93992</v>
      </c>
      <c r="AC75" s="892">
        <f t="shared" si="31"/>
        <v>149875.89300000001</v>
      </c>
      <c r="AD75" s="892">
        <f t="shared" si="26"/>
        <v>93015.432000000001</v>
      </c>
      <c r="AE75" s="892">
        <f t="shared" si="27"/>
        <v>149875.89300000001</v>
      </c>
      <c r="AF75" s="892">
        <f t="shared" si="28"/>
        <v>3896372.5579200005</v>
      </c>
      <c r="AG75" s="892" t="s">
        <v>3</v>
      </c>
    </row>
    <row r="76" spans="1:33">
      <c r="A76" s="918">
        <v>59</v>
      </c>
      <c r="B76" s="909" t="s">
        <v>51</v>
      </c>
      <c r="C76" s="937" t="s">
        <v>2333</v>
      </c>
      <c r="D76" s="918">
        <v>1</v>
      </c>
      <c r="E76" s="918">
        <v>1</v>
      </c>
      <c r="F76" s="918"/>
      <c r="G76" s="888">
        <v>44805</v>
      </c>
      <c r="H76" s="918">
        <v>11</v>
      </c>
      <c r="I76" s="892">
        <f t="shared" si="32"/>
        <v>194667</v>
      </c>
      <c r="J76" s="892">
        <f t="shared" si="29"/>
        <v>19466.7</v>
      </c>
      <c r="K76" s="887"/>
      <c r="L76" s="887"/>
      <c r="M76" s="887"/>
      <c r="N76" s="887"/>
      <c r="O76" s="887"/>
      <c r="P76" s="887"/>
      <c r="Q76" s="923"/>
      <c r="R76" s="923"/>
      <c r="S76" s="892">
        <f t="shared" si="30"/>
        <v>19466.7</v>
      </c>
      <c r="T76" s="892">
        <f t="shared" si="17"/>
        <v>214133.7</v>
      </c>
      <c r="U76" s="892">
        <f t="shared" si="18"/>
        <v>21413.370000000003</v>
      </c>
      <c r="V76" s="892">
        <f t="shared" si="19"/>
        <v>13036.565600000002</v>
      </c>
      <c r="W76" s="892">
        <f t="shared" si="20"/>
        <v>4282.674</v>
      </c>
      <c r="X76" s="892">
        <f t="shared" si="21"/>
        <v>175401.09040000002</v>
      </c>
      <c r="Y76" s="892">
        <f t="shared" si="22"/>
        <v>2569604.4000000004</v>
      </c>
      <c r="Z76" s="892">
        <f t="shared" si="23"/>
        <v>194667</v>
      </c>
      <c r="AA76" s="892">
        <f t="shared" si="24"/>
        <v>2764271.4000000004</v>
      </c>
      <c r="AB76" s="892">
        <f t="shared" si="25"/>
        <v>143617.52592000001</v>
      </c>
      <c r="AC76" s="892">
        <f t="shared" si="31"/>
        <v>124392.21300000002</v>
      </c>
      <c r="AD76" s="892">
        <f t="shared" si="26"/>
        <v>77088.132000000012</v>
      </c>
      <c r="AE76" s="892">
        <f t="shared" si="27"/>
        <v>124392.21300000002</v>
      </c>
      <c r="AF76" s="892">
        <f t="shared" si="28"/>
        <v>3233761.4839200005</v>
      </c>
      <c r="AG76" s="892" t="s">
        <v>3</v>
      </c>
    </row>
    <row r="77" spans="1:33">
      <c r="A77" s="918">
        <v>61</v>
      </c>
      <c r="B77" s="909" t="s">
        <v>18</v>
      </c>
      <c r="C77" s="937" t="s">
        <v>468</v>
      </c>
      <c r="D77" s="918">
        <v>1</v>
      </c>
      <c r="E77" s="918">
        <v>1</v>
      </c>
      <c r="F77" s="918"/>
      <c r="G77" s="888">
        <v>40702</v>
      </c>
      <c r="H77" s="918">
        <v>24</v>
      </c>
      <c r="I77" s="892">
        <f t="shared" si="32"/>
        <v>424728</v>
      </c>
      <c r="J77" s="892">
        <f t="shared" si="29"/>
        <v>42472.800000000003</v>
      </c>
      <c r="K77" s="887"/>
      <c r="L77" s="887"/>
      <c r="M77" s="887"/>
      <c r="N77" s="887"/>
      <c r="O77" s="887"/>
      <c r="P77" s="887"/>
      <c r="Q77" s="923"/>
      <c r="R77" s="923"/>
      <c r="S77" s="892">
        <f t="shared" si="30"/>
        <v>42472.800000000003</v>
      </c>
      <c r="T77" s="892">
        <f t="shared" si="17"/>
        <v>467200.8</v>
      </c>
      <c r="U77" s="892">
        <f t="shared" si="18"/>
        <v>46720.08</v>
      </c>
      <c r="V77" s="892">
        <f t="shared" si="19"/>
        <v>35306.470399999998</v>
      </c>
      <c r="W77" s="892">
        <f t="shared" si="20"/>
        <v>9344.0159999999996</v>
      </c>
      <c r="X77" s="892">
        <f t="shared" si="21"/>
        <v>375830.23359999998</v>
      </c>
      <c r="Y77" s="892">
        <f t="shared" si="22"/>
        <v>5606409.5999999996</v>
      </c>
      <c r="Z77" s="892">
        <f t="shared" si="23"/>
        <v>424728</v>
      </c>
      <c r="AA77" s="892">
        <f t="shared" si="24"/>
        <v>6031137.5999999996</v>
      </c>
      <c r="AB77" s="892">
        <f t="shared" si="25"/>
        <v>313347.32928000001</v>
      </c>
      <c r="AC77" s="892">
        <f t="shared" si="31"/>
        <v>271401.19199999998</v>
      </c>
      <c r="AD77" s="892">
        <f t="shared" si="26"/>
        <v>168192.28799999997</v>
      </c>
      <c r="AE77" s="892">
        <f t="shared" si="27"/>
        <v>271401.19199999998</v>
      </c>
      <c r="AF77" s="892">
        <f t="shared" si="28"/>
        <v>7055479.6012799991</v>
      </c>
      <c r="AG77" s="892" t="s">
        <v>3</v>
      </c>
    </row>
    <row r="78" spans="1:33" ht="31.5">
      <c r="A78" s="918">
        <v>62</v>
      </c>
      <c r="B78" s="915" t="s">
        <v>469</v>
      </c>
      <c r="C78" s="938" t="s">
        <v>470</v>
      </c>
      <c r="D78" s="918">
        <v>1</v>
      </c>
      <c r="E78" s="918">
        <v>1</v>
      </c>
      <c r="F78" s="918"/>
      <c r="G78" s="888">
        <v>44998</v>
      </c>
      <c r="H78" s="898">
        <v>18</v>
      </c>
      <c r="I78" s="892">
        <f t="shared" si="32"/>
        <v>318546</v>
      </c>
      <c r="J78" s="892">
        <f t="shared" si="29"/>
        <v>31854.600000000002</v>
      </c>
      <c r="K78" s="887"/>
      <c r="L78" s="887"/>
      <c r="M78" s="887"/>
      <c r="N78" s="887"/>
      <c r="O78" s="887"/>
      <c r="P78" s="887"/>
      <c r="Q78" s="923"/>
      <c r="R78" s="923"/>
      <c r="S78" s="892">
        <f t="shared" si="30"/>
        <v>31854.600000000002</v>
      </c>
      <c r="T78" s="892">
        <f t="shared" si="17"/>
        <v>350400.6</v>
      </c>
      <c r="U78" s="892">
        <f t="shared" si="18"/>
        <v>35040.06</v>
      </c>
      <c r="V78" s="892">
        <f t="shared" si="19"/>
        <v>25028.052800000001</v>
      </c>
      <c r="W78" s="892">
        <f t="shared" si="20"/>
        <v>7008.0119999999997</v>
      </c>
      <c r="X78" s="892">
        <f t="shared" si="21"/>
        <v>283324.47519999999</v>
      </c>
      <c r="Y78" s="892">
        <f t="shared" si="22"/>
        <v>4204807.1999999993</v>
      </c>
      <c r="Z78" s="892">
        <f t="shared" si="23"/>
        <v>318546</v>
      </c>
      <c r="AA78" s="892">
        <f t="shared" si="24"/>
        <v>4523353.1999999993</v>
      </c>
      <c r="AB78" s="892">
        <f t="shared" si="25"/>
        <v>235010.49695999996</v>
      </c>
      <c r="AC78" s="892">
        <f t="shared" si="31"/>
        <v>203550.89399999997</v>
      </c>
      <c r="AD78" s="892">
        <f t="shared" si="26"/>
        <v>126144.21599999997</v>
      </c>
      <c r="AE78" s="892">
        <f t="shared" si="27"/>
        <v>203550.89399999997</v>
      </c>
      <c r="AF78" s="892">
        <f t="shared" si="28"/>
        <v>5291609.70096</v>
      </c>
      <c r="AG78" s="892" t="s">
        <v>3</v>
      </c>
    </row>
    <row r="79" spans="1:33" ht="31.5">
      <c r="A79" s="918">
        <v>63</v>
      </c>
      <c r="B79" s="909" t="s">
        <v>471</v>
      </c>
      <c r="C79" s="909" t="s">
        <v>472</v>
      </c>
      <c r="D79" s="1556">
        <v>2</v>
      </c>
      <c r="E79" s="918">
        <v>1</v>
      </c>
      <c r="F79" s="918"/>
      <c r="G79" s="888">
        <v>43077</v>
      </c>
      <c r="H79" s="895">
        <v>20</v>
      </c>
      <c r="I79" s="892">
        <f t="shared" si="32"/>
        <v>353940</v>
      </c>
      <c r="J79" s="892">
        <f t="shared" si="29"/>
        <v>35394</v>
      </c>
      <c r="K79" s="887"/>
      <c r="L79" s="887"/>
      <c r="M79" s="887"/>
      <c r="N79" s="887"/>
      <c r="O79" s="887"/>
      <c r="P79" s="887"/>
      <c r="Q79" s="923"/>
      <c r="R79" s="923"/>
      <c r="S79" s="892">
        <f t="shared" si="30"/>
        <v>35394</v>
      </c>
      <c r="T79" s="892">
        <f t="shared" si="17"/>
        <v>389334</v>
      </c>
      <c r="U79" s="892">
        <f t="shared" si="18"/>
        <v>38933.4</v>
      </c>
      <c r="V79" s="892">
        <f t="shared" si="19"/>
        <v>28454.191999999999</v>
      </c>
      <c r="W79" s="892">
        <f t="shared" si="20"/>
        <v>7786.68</v>
      </c>
      <c r="X79" s="892">
        <f t="shared" si="21"/>
        <v>314159.728</v>
      </c>
      <c r="Y79" s="892">
        <f t="shared" si="22"/>
        <v>4672008</v>
      </c>
      <c r="Z79" s="892">
        <f t="shared" si="23"/>
        <v>353940</v>
      </c>
      <c r="AA79" s="892">
        <f t="shared" si="24"/>
        <v>5025948</v>
      </c>
      <c r="AB79" s="892">
        <f t="shared" si="25"/>
        <v>261122.77439999999</v>
      </c>
      <c r="AC79" s="892">
        <f t="shared" si="31"/>
        <v>226167.66000000003</v>
      </c>
      <c r="AD79" s="892">
        <f t="shared" si="26"/>
        <v>140160.24</v>
      </c>
      <c r="AE79" s="892">
        <f t="shared" si="27"/>
        <v>226167.66</v>
      </c>
      <c r="AF79" s="892">
        <f t="shared" si="28"/>
        <v>5879566.3344000001</v>
      </c>
      <c r="AG79" s="892" t="s">
        <v>3</v>
      </c>
    </row>
    <row r="80" spans="1:33" ht="31.5">
      <c r="A80" s="918">
        <v>64</v>
      </c>
      <c r="B80" s="909" t="s">
        <v>471</v>
      </c>
      <c r="C80" s="909" t="s">
        <v>2334</v>
      </c>
      <c r="D80" s="1556"/>
      <c r="E80" s="918">
        <v>1</v>
      </c>
      <c r="F80" s="918"/>
      <c r="G80" s="888">
        <v>44460</v>
      </c>
      <c r="H80" s="895">
        <v>17</v>
      </c>
      <c r="I80" s="892">
        <f t="shared" si="32"/>
        <v>300849</v>
      </c>
      <c r="J80" s="892">
        <f t="shared" si="29"/>
        <v>30084.9</v>
      </c>
      <c r="K80" s="887"/>
      <c r="L80" s="887"/>
      <c r="M80" s="887"/>
      <c r="N80" s="887"/>
      <c r="O80" s="887"/>
      <c r="P80" s="887"/>
      <c r="Q80" s="923"/>
      <c r="R80" s="923"/>
      <c r="S80" s="892">
        <f t="shared" si="30"/>
        <v>30084.9</v>
      </c>
      <c r="T80" s="892">
        <f t="shared" si="17"/>
        <v>330933.90000000002</v>
      </c>
      <c r="U80" s="892">
        <f t="shared" si="18"/>
        <v>33093.390000000007</v>
      </c>
      <c r="V80" s="892">
        <f t="shared" si="19"/>
        <v>23314.983200000002</v>
      </c>
      <c r="W80" s="892">
        <f t="shared" si="20"/>
        <v>6618.6780000000008</v>
      </c>
      <c r="X80" s="892">
        <f t="shared" si="21"/>
        <v>267906.84879999998</v>
      </c>
      <c r="Y80" s="892">
        <f t="shared" si="22"/>
        <v>3971206.8000000003</v>
      </c>
      <c r="Z80" s="892">
        <f t="shared" si="23"/>
        <v>300849</v>
      </c>
      <c r="AA80" s="892">
        <f t="shared" si="24"/>
        <v>4272055.8000000007</v>
      </c>
      <c r="AB80" s="892">
        <f t="shared" si="25"/>
        <v>221954.35824000003</v>
      </c>
      <c r="AC80" s="892">
        <f t="shared" si="31"/>
        <v>192242.51100000006</v>
      </c>
      <c r="AD80" s="892">
        <f t="shared" si="26"/>
        <v>119136.204</v>
      </c>
      <c r="AE80" s="892">
        <f t="shared" si="27"/>
        <v>192242.51100000003</v>
      </c>
      <c r="AF80" s="892">
        <f t="shared" si="28"/>
        <v>4997631.3842400005</v>
      </c>
      <c r="AG80" s="892" t="s">
        <v>3</v>
      </c>
    </row>
    <row r="81" spans="1:33">
      <c r="A81" s="918">
        <v>65</v>
      </c>
      <c r="B81" s="909" t="s">
        <v>473</v>
      </c>
      <c r="C81" s="909" t="s">
        <v>2335</v>
      </c>
      <c r="D81" s="1556">
        <v>8</v>
      </c>
      <c r="E81" s="934">
        <v>0.5</v>
      </c>
      <c r="F81" s="918"/>
      <c r="G81" s="888">
        <v>45170</v>
      </c>
      <c r="H81" s="898">
        <v>15</v>
      </c>
      <c r="I81" s="892">
        <f t="shared" si="32"/>
        <v>132727.5</v>
      </c>
      <c r="J81" s="892">
        <f t="shared" si="29"/>
        <v>13272.75</v>
      </c>
      <c r="K81" s="887"/>
      <c r="L81" s="887"/>
      <c r="M81" s="887"/>
      <c r="N81" s="887"/>
      <c r="O81" s="887"/>
      <c r="P81" s="887"/>
      <c r="Q81" s="923"/>
      <c r="R81" s="923"/>
      <c r="S81" s="892">
        <f t="shared" si="30"/>
        <v>13272.75</v>
      </c>
      <c r="T81" s="892">
        <f t="shared" si="17"/>
        <v>146000.25</v>
      </c>
      <c r="U81" s="892">
        <f t="shared" si="18"/>
        <v>14600.025000000001</v>
      </c>
      <c r="V81" s="892">
        <f t="shared" si="19"/>
        <v>7040.8220000000001</v>
      </c>
      <c r="W81" s="892">
        <f t="shared" si="20"/>
        <v>2920.0050000000001</v>
      </c>
      <c r="X81" s="892">
        <f t="shared" si="21"/>
        <v>121439.398</v>
      </c>
      <c r="Y81" s="892">
        <f t="shared" si="22"/>
        <v>1752003</v>
      </c>
      <c r="Z81" s="892">
        <f t="shared" si="23"/>
        <v>132727.5</v>
      </c>
      <c r="AA81" s="892">
        <f t="shared" si="24"/>
        <v>1884730.5</v>
      </c>
      <c r="AB81" s="892">
        <f t="shared" si="25"/>
        <v>97921.040399999998</v>
      </c>
      <c r="AC81" s="892">
        <f t="shared" si="31"/>
        <v>84812.872499999998</v>
      </c>
      <c r="AD81" s="892">
        <f t="shared" si="26"/>
        <v>52560.09</v>
      </c>
      <c r="AE81" s="892">
        <f t="shared" si="27"/>
        <v>84812.872499999998</v>
      </c>
      <c r="AF81" s="892">
        <f t="shared" si="28"/>
        <v>2204837.3754000003</v>
      </c>
      <c r="AG81" s="892" t="s">
        <v>3</v>
      </c>
    </row>
    <row r="82" spans="1:33">
      <c r="A82" s="918">
        <v>66</v>
      </c>
      <c r="B82" s="909" t="s">
        <v>473</v>
      </c>
      <c r="C82" s="933" t="s">
        <v>552</v>
      </c>
      <c r="D82" s="1556"/>
      <c r="E82" s="895">
        <v>1</v>
      </c>
      <c r="F82" s="918"/>
      <c r="G82" s="888">
        <v>45183</v>
      </c>
      <c r="H82" s="898">
        <v>15</v>
      </c>
      <c r="I82" s="892">
        <f t="shared" si="32"/>
        <v>265455</v>
      </c>
      <c r="J82" s="892">
        <f t="shared" si="29"/>
        <v>26545.5</v>
      </c>
      <c r="K82" s="887"/>
      <c r="L82" s="887"/>
      <c r="M82" s="887"/>
      <c r="N82" s="887"/>
      <c r="O82" s="887"/>
      <c r="P82" s="887"/>
      <c r="Q82" s="923"/>
      <c r="R82" s="923"/>
      <c r="S82" s="892">
        <f t="shared" si="30"/>
        <v>26545.5</v>
      </c>
      <c r="T82" s="892">
        <f t="shared" si="17"/>
        <v>292000.5</v>
      </c>
      <c r="U82" s="892">
        <f t="shared" si="18"/>
        <v>29200.050000000003</v>
      </c>
      <c r="V82" s="892">
        <f t="shared" si="19"/>
        <v>19888.844000000001</v>
      </c>
      <c r="W82" s="892">
        <f t="shared" si="20"/>
        <v>5840.01</v>
      </c>
      <c r="X82" s="892">
        <f t="shared" si="21"/>
        <v>237071.59599999999</v>
      </c>
      <c r="Y82" s="892">
        <f t="shared" si="22"/>
        <v>3504006</v>
      </c>
      <c r="Z82" s="892">
        <f t="shared" si="23"/>
        <v>265455</v>
      </c>
      <c r="AA82" s="892">
        <f t="shared" si="24"/>
        <v>3769461</v>
      </c>
      <c r="AB82" s="892">
        <f t="shared" si="25"/>
        <v>195842.0808</v>
      </c>
      <c r="AC82" s="892">
        <f t="shared" si="31"/>
        <v>169625.745</v>
      </c>
      <c r="AD82" s="892">
        <f t="shared" si="26"/>
        <v>105120.18</v>
      </c>
      <c r="AE82" s="892">
        <f t="shared" si="27"/>
        <v>169625.745</v>
      </c>
      <c r="AF82" s="892">
        <f t="shared" si="28"/>
        <v>4409674.7508000005</v>
      </c>
      <c r="AG82" s="892" t="s">
        <v>3</v>
      </c>
    </row>
    <row r="83" spans="1:33">
      <c r="A83" s="918">
        <v>67</v>
      </c>
      <c r="B83" s="909" t="s">
        <v>473</v>
      </c>
      <c r="C83" s="909" t="s">
        <v>2336</v>
      </c>
      <c r="D83" s="1556"/>
      <c r="E83" s="895">
        <v>1</v>
      </c>
      <c r="F83" s="918"/>
      <c r="G83" s="888">
        <v>44806</v>
      </c>
      <c r="H83" s="895">
        <v>12</v>
      </c>
      <c r="I83" s="892">
        <f t="shared" si="32"/>
        <v>212364</v>
      </c>
      <c r="J83" s="892">
        <f t="shared" si="29"/>
        <v>21236.400000000001</v>
      </c>
      <c r="K83" s="887"/>
      <c r="L83" s="887"/>
      <c r="M83" s="887"/>
      <c r="N83" s="887"/>
      <c r="O83" s="887"/>
      <c r="P83" s="887"/>
      <c r="Q83" s="923"/>
      <c r="R83" s="923"/>
      <c r="S83" s="892">
        <f t="shared" si="30"/>
        <v>21236.400000000001</v>
      </c>
      <c r="T83" s="892">
        <f t="shared" si="17"/>
        <v>233600.4</v>
      </c>
      <c r="U83" s="892">
        <f t="shared" si="18"/>
        <v>23360.04</v>
      </c>
      <c r="V83" s="892">
        <f t="shared" si="19"/>
        <v>14749.635199999999</v>
      </c>
      <c r="W83" s="892">
        <f t="shared" si="20"/>
        <v>4672.0079999999998</v>
      </c>
      <c r="X83" s="892">
        <f t="shared" si="21"/>
        <v>190818.71679999999</v>
      </c>
      <c r="Y83" s="892">
        <f t="shared" si="22"/>
        <v>2803204.8</v>
      </c>
      <c r="Z83" s="892">
        <f t="shared" si="23"/>
        <v>212364</v>
      </c>
      <c r="AA83" s="892">
        <f t="shared" si="24"/>
        <v>3015568.8</v>
      </c>
      <c r="AB83" s="892">
        <f t="shared" si="25"/>
        <v>156673.66464</v>
      </c>
      <c r="AC83" s="892">
        <f t="shared" si="31"/>
        <v>135700.59599999999</v>
      </c>
      <c r="AD83" s="892">
        <f t="shared" si="26"/>
        <v>84096.143999999986</v>
      </c>
      <c r="AE83" s="892">
        <f t="shared" si="27"/>
        <v>135700.59599999999</v>
      </c>
      <c r="AF83" s="892">
        <f t="shared" si="28"/>
        <v>3527739.8006399996</v>
      </c>
      <c r="AG83" s="892" t="s">
        <v>3</v>
      </c>
    </row>
    <row r="84" spans="1:33">
      <c r="A84" s="918">
        <v>68</v>
      </c>
      <c r="B84" s="909" t="s">
        <v>473</v>
      </c>
      <c r="C84" s="909" t="s">
        <v>2337</v>
      </c>
      <c r="D84" s="1556"/>
      <c r="E84" s="895">
        <v>1</v>
      </c>
      <c r="F84" s="918"/>
      <c r="G84" s="888">
        <v>44890</v>
      </c>
      <c r="H84" s="895">
        <v>12</v>
      </c>
      <c r="I84" s="892">
        <f t="shared" si="32"/>
        <v>212364</v>
      </c>
      <c r="J84" s="892">
        <f t="shared" si="29"/>
        <v>21236.400000000001</v>
      </c>
      <c r="K84" s="887"/>
      <c r="L84" s="887"/>
      <c r="M84" s="887"/>
      <c r="N84" s="887"/>
      <c r="O84" s="887"/>
      <c r="P84" s="887"/>
      <c r="Q84" s="923"/>
      <c r="R84" s="923"/>
      <c r="S84" s="892">
        <f t="shared" si="30"/>
        <v>21236.400000000001</v>
      </c>
      <c r="T84" s="892">
        <f t="shared" si="17"/>
        <v>233600.4</v>
      </c>
      <c r="U84" s="892">
        <f t="shared" si="18"/>
        <v>23360.04</v>
      </c>
      <c r="V84" s="892">
        <f t="shared" si="19"/>
        <v>14749.635199999999</v>
      </c>
      <c r="W84" s="892">
        <f t="shared" si="20"/>
        <v>4672.0079999999998</v>
      </c>
      <c r="X84" s="892">
        <f t="shared" si="21"/>
        <v>190818.71679999999</v>
      </c>
      <c r="Y84" s="892">
        <f t="shared" si="22"/>
        <v>2803204.8</v>
      </c>
      <c r="Z84" s="892">
        <f t="shared" si="23"/>
        <v>212364</v>
      </c>
      <c r="AA84" s="892">
        <f t="shared" si="24"/>
        <v>3015568.8</v>
      </c>
      <c r="AB84" s="892">
        <f t="shared" si="25"/>
        <v>156673.66464</v>
      </c>
      <c r="AC84" s="892">
        <f t="shared" si="31"/>
        <v>135700.59599999999</v>
      </c>
      <c r="AD84" s="892">
        <f t="shared" si="26"/>
        <v>84096.143999999986</v>
      </c>
      <c r="AE84" s="892">
        <f t="shared" si="27"/>
        <v>135700.59599999999</v>
      </c>
      <c r="AF84" s="892">
        <f t="shared" si="28"/>
        <v>3527739.8006399996</v>
      </c>
      <c r="AG84" s="892" t="s">
        <v>3</v>
      </c>
    </row>
    <row r="85" spans="1:33">
      <c r="A85" s="918">
        <v>69</v>
      </c>
      <c r="B85" s="909" t="s">
        <v>473</v>
      </c>
      <c r="C85" s="909" t="s">
        <v>2338</v>
      </c>
      <c r="D85" s="1556"/>
      <c r="E85" s="934">
        <v>0.5</v>
      </c>
      <c r="F85" s="918"/>
      <c r="G85" s="888">
        <v>44510</v>
      </c>
      <c r="H85" s="895">
        <v>12</v>
      </c>
      <c r="I85" s="892">
        <f t="shared" si="32"/>
        <v>106182</v>
      </c>
      <c r="J85" s="892">
        <f t="shared" si="29"/>
        <v>10618.2</v>
      </c>
      <c r="K85" s="887"/>
      <c r="L85" s="887"/>
      <c r="M85" s="887"/>
      <c r="N85" s="887"/>
      <c r="O85" s="887"/>
      <c r="P85" s="887"/>
      <c r="Q85" s="923"/>
      <c r="R85" s="923"/>
      <c r="S85" s="892">
        <f t="shared" si="30"/>
        <v>10618.2</v>
      </c>
      <c r="T85" s="892">
        <f t="shared" si="17"/>
        <v>116800.2</v>
      </c>
      <c r="U85" s="892">
        <f t="shared" si="18"/>
        <v>11680.02</v>
      </c>
      <c r="V85" s="892">
        <f t="shared" si="19"/>
        <v>4471.217599999999</v>
      </c>
      <c r="W85" s="892">
        <f t="shared" si="20"/>
        <v>2336.0039999999999</v>
      </c>
      <c r="X85" s="892">
        <f t="shared" si="21"/>
        <v>98312.958399999989</v>
      </c>
      <c r="Y85" s="892">
        <f t="shared" si="22"/>
        <v>1401602.4</v>
      </c>
      <c r="Z85" s="892">
        <f t="shared" si="23"/>
        <v>106182</v>
      </c>
      <c r="AA85" s="892">
        <f t="shared" si="24"/>
        <v>1507784.4</v>
      </c>
      <c r="AB85" s="892">
        <f t="shared" si="25"/>
        <v>78336.832320000001</v>
      </c>
      <c r="AC85" s="892">
        <f t="shared" si="31"/>
        <v>67850.297999999995</v>
      </c>
      <c r="AD85" s="892">
        <f t="shared" si="26"/>
        <v>42048.071999999993</v>
      </c>
      <c r="AE85" s="892">
        <f t="shared" si="27"/>
        <v>67850.297999999995</v>
      </c>
      <c r="AF85" s="892">
        <f t="shared" si="28"/>
        <v>1763869.9003199998</v>
      </c>
      <c r="AG85" s="892" t="s">
        <v>3</v>
      </c>
    </row>
    <row r="86" spans="1:33">
      <c r="A86" s="918">
        <v>70</v>
      </c>
      <c r="B86" s="909" t="s">
        <v>473</v>
      </c>
      <c r="C86" s="909" t="s">
        <v>470</v>
      </c>
      <c r="D86" s="1556"/>
      <c r="E86" s="939">
        <v>0.25</v>
      </c>
      <c r="F86" s="918"/>
      <c r="G86" s="888">
        <v>45184</v>
      </c>
      <c r="H86" s="895">
        <v>18</v>
      </c>
      <c r="I86" s="892">
        <f t="shared" si="32"/>
        <v>79636.5</v>
      </c>
      <c r="J86" s="892">
        <f t="shared" si="29"/>
        <v>7963.6500000000005</v>
      </c>
      <c r="K86" s="887"/>
      <c r="L86" s="887"/>
      <c r="M86" s="887"/>
      <c r="N86" s="887"/>
      <c r="O86" s="887"/>
      <c r="P86" s="887"/>
      <c r="Q86" s="923"/>
      <c r="R86" s="923"/>
      <c r="S86" s="892">
        <f t="shared" si="30"/>
        <v>7963.6500000000005</v>
      </c>
      <c r="T86" s="892">
        <f t="shared" si="17"/>
        <v>87600.15</v>
      </c>
      <c r="U86" s="892">
        <f t="shared" si="18"/>
        <v>8760.0149999999994</v>
      </c>
      <c r="V86" s="892">
        <f t="shared" si="19"/>
        <v>1901.6131999999998</v>
      </c>
      <c r="W86" s="892">
        <f t="shared" si="20"/>
        <v>1752.0029999999999</v>
      </c>
      <c r="X86" s="892">
        <f t="shared" si="21"/>
        <v>75186.518799999991</v>
      </c>
      <c r="Y86" s="892">
        <f t="shared" si="22"/>
        <v>1051201.7999999998</v>
      </c>
      <c r="Z86" s="892">
        <f t="shared" si="23"/>
        <v>79636.5</v>
      </c>
      <c r="AA86" s="892">
        <f t="shared" si="24"/>
        <v>1130838.2999999998</v>
      </c>
      <c r="AB86" s="892">
        <f t="shared" si="25"/>
        <v>58752.62423999999</v>
      </c>
      <c r="AC86" s="892">
        <f t="shared" si="31"/>
        <v>50887.723499999993</v>
      </c>
      <c r="AD86" s="892">
        <f t="shared" si="26"/>
        <v>31536.053999999993</v>
      </c>
      <c r="AE86" s="892">
        <f t="shared" si="27"/>
        <v>50887.723499999993</v>
      </c>
      <c r="AF86" s="892">
        <f t="shared" si="28"/>
        <v>1322902.42524</v>
      </c>
      <c r="AG86" s="892" t="s">
        <v>3</v>
      </c>
    </row>
    <row r="87" spans="1:33">
      <c r="A87" s="918">
        <v>71</v>
      </c>
      <c r="B87" s="915" t="s">
        <v>473</v>
      </c>
      <c r="C87" s="940" t="s">
        <v>550</v>
      </c>
      <c r="D87" s="1556"/>
      <c r="E87" s="918">
        <v>0.5</v>
      </c>
      <c r="F87" s="918"/>
      <c r="G87" s="888">
        <v>45218</v>
      </c>
      <c r="H87" s="918">
        <v>20</v>
      </c>
      <c r="I87" s="892">
        <f t="shared" si="32"/>
        <v>176970</v>
      </c>
      <c r="J87" s="892">
        <f t="shared" si="29"/>
        <v>17697</v>
      </c>
      <c r="K87" s="887"/>
      <c r="L87" s="887"/>
      <c r="M87" s="887"/>
      <c r="N87" s="887"/>
      <c r="O87" s="887"/>
      <c r="P87" s="887"/>
      <c r="Q87" s="923"/>
      <c r="R87" s="923"/>
      <c r="S87" s="892">
        <f t="shared" si="30"/>
        <v>17697</v>
      </c>
      <c r="T87" s="892">
        <f t="shared" si="17"/>
        <v>194667</v>
      </c>
      <c r="U87" s="892">
        <f t="shared" si="18"/>
        <v>19466.7</v>
      </c>
      <c r="V87" s="892">
        <f t="shared" si="19"/>
        <v>11323.495999999999</v>
      </c>
      <c r="W87" s="892">
        <f t="shared" si="20"/>
        <v>3893.34</v>
      </c>
      <c r="X87" s="892">
        <f t="shared" si="21"/>
        <v>159983.46400000001</v>
      </c>
      <c r="Y87" s="892">
        <f t="shared" si="22"/>
        <v>2336004</v>
      </c>
      <c r="Z87" s="892">
        <f t="shared" si="23"/>
        <v>176970</v>
      </c>
      <c r="AA87" s="892">
        <f t="shared" si="24"/>
        <v>2512974</v>
      </c>
      <c r="AB87" s="892">
        <f t="shared" si="25"/>
        <v>130561.3872</v>
      </c>
      <c r="AC87" s="892">
        <f t="shared" si="31"/>
        <v>113083.83000000002</v>
      </c>
      <c r="AD87" s="892">
        <f t="shared" si="26"/>
        <v>70080.12</v>
      </c>
      <c r="AE87" s="892">
        <f t="shared" si="27"/>
        <v>113083.83</v>
      </c>
      <c r="AF87" s="892">
        <f t="shared" si="28"/>
        <v>2939783.1672</v>
      </c>
      <c r="AG87" s="892" t="s">
        <v>3</v>
      </c>
    </row>
    <row r="88" spans="1:33">
      <c r="A88" s="918">
        <v>72</v>
      </c>
      <c r="B88" s="909" t="s">
        <v>473</v>
      </c>
      <c r="C88" s="909" t="s">
        <v>2339</v>
      </c>
      <c r="D88" s="1556"/>
      <c r="E88" s="934">
        <v>0.5</v>
      </c>
      <c r="F88" s="918"/>
      <c r="G88" s="888">
        <v>44805</v>
      </c>
      <c r="H88" s="895">
        <v>18</v>
      </c>
      <c r="I88" s="892">
        <f t="shared" si="32"/>
        <v>159273</v>
      </c>
      <c r="J88" s="892">
        <f t="shared" si="29"/>
        <v>15927.300000000001</v>
      </c>
      <c r="K88" s="887"/>
      <c r="L88" s="887"/>
      <c r="M88" s="887"/>
      <c r="N88" s="887"/>
      <c r="O88" s="887"/>
      <c r="P88" s="887"/>
      <c r="Q88" s="923"/>
      <c r="R88" s="923"/>
      <c r="S88" s="892">
        <f t="shared" si="30"/>
        <v>15927.300000000001</v>
      </c>
      <c r="T88" s="892">
        <f t="shared" si="17"/>
        <v>175200.3</v>
      </c>
      <c r="U88" s="892">
        <f t="shared" si="18"/>
        <v>17520.03</v>
      </c>
      <c r="V88" s="892">
        <f t="shared" si="19"/>
        <v>9610.4264000000003</v>
      </c>
      <c r="W88" s="892">
        <f t="shared" si="20"/>
        <v>3504.0059999999999</v>
      </c>
      <c r="X88" s="892">
        <f t="shared" si="21"/>
        <v>144565.8376</v>
      </c>
      <c r="Y88" s="892">
        <f t="shared" si="22"/>
        <v>2102403.5999999996</v>
      </c>
      <c r="Z88" s="892">
        <f t="shared" si="23"/>
        <v>159273</v>
      </c>
      <c r="AA88" s="892">
        <f t="shared" si="24"/>
        <v>2261676.5999999996</v>
      </c>
      <c r="AB88" s="892">
        <f t="shared" si="25"/>
        <v>117505.24847999998</v>
      </c>
      <c r="AC88" s="892">
        <f t="shared" si="31"/>
        <v>101775.44699999999</v>
      </c>
      <c r="AD88" s="892">
        <f t="shared" si="26"/>
        <v>63072.107999999986</v>
      </c>
      <c r="AE88" s="892">
        <f t="shared" si="27"/>
        <v>101775.44699999999</v>
      </c>
      <c r="AF88" s="892">
        <f t="shared" si="28"/>
        <v>2645804.85048</v>
      </c>
      <c r="AG88" s="892" t="s">
        <v>3</v>
      </c>
    </row>
    <row r="89" spans="1:33">
      <c r="A89" s="918">
        <v>73</v>
      </c>
      <c r="B89" s="909" t="s">
        <v>473</v>
      </c>
      <c r="C89" s="936" t="s">
        <v>2340</v>
      </c>
      <c r="D89" s="1556"/>
      <c r="E89" s="895">
        <v>1</v>
      </c>
      <c r="F89" s="918"/>
      <c r="G89" s="888">
        <v>44075</v>
      </c>
      <c r="H89" s="895">
        <v>12</v>
      </c>
      <c r="I89" s="892">
        <f t="shared" si="32"/>
        <v>212364</v>
      </c>
      <c r="J89" s="892">
        <f t="shared" si="29"/>
        <v>21236.400000000001</v>
      </c>
      <c r="K89" s="887"/>
      <c r="L89" s="887"/>
      <c r="M89" s="887"/>
      <c r="N89" s="887"/>
      <c r="O89" s="887"/>
      <c r="P89" s="887"/>
      <c r="Q89" s="923"/>
      <c r="R89" s="923"/>
      <c r="S89" s="892">
        <f t="shared" si="30"/>
        <v>21236.400000000001</v>
      </c>
      <c r="T89" s="892">
        <f t="shared" si="17"/>
        <v>233600.4</v>
      </c>
      <c r="U89" s="892">
        <f t="shared" si="18"/>
        <v>23360.04</v>
      </c>
      <c r="V89" s="892">
        <f t="shared" si="19"/>
        <v>14749.635199999999</v>
      </c>
      <c r="W89" s="892">
        <f t="shared" si="20"/>
        <v>4672.0079999999998</v>
      </c>
      <c r="X89" s="892">
        <f t="shared" si="21"/>
        <v>190818.71679999999</v>
      </c>
      <c r="Y89" s="892">
        <f t="shared" si="22"/>
        <v>2803204.8</v>
      </c>
      <c r="Z89" s="892">
        <f t="shared" si="23"/>
        <v>212364</v>
      </c>
      <c r="AA89" s="892">
        <f t="shared" si="24"/>
        <v>3015568.8</v>
      </c>
      <c r="AB89" s="892">
        <f t="shared" si="25"/>
        <v>156673.66464</v>
      </c>
      <c r="AC89" s="892">
        <f t="shared" si="31"/>
        <v>135700.59599999999</v>
      </c>
      <c r="AD89" s="892">
        <f t="shared" si="26"/>
        <v>84096.143999999986</v>
      </c>
      <c r="AE89" s="892">
        <f t="shared" si="27"/>
        <v>135700.59599999999</v>
      </c>
      <c r="AF89" s="892">
        <f t="shared" si="28"/>
        <v>3527739.8006399996</v>
      </c>
      <c r="AG89" s="892" t="s">
        <v>3</v>
      </c>
    </row>
    <row r="90" spans="1:33" ht="18" customHeight="1">
      <c r="A90" s="918">
        <v>74</v>
      </c>
      <c r="B90" s="915" t="s">
        <v>473</v>
      </c>
      <c r="C90" s="915" t="s">
        <v>468</v>
      </c>
      <c r="D90" s="1556"/>
      <c r="E90" s="941">
        <v>0.25</v>
      </c>
      <c r="F90" s="918"/>
      <c r="G90" s="888">
        <v>45171</v>
      </c>
      <c r="H90" s="898">
        <v>24</v>
      </c>
      <c r="I90" s="892">
        <f t="shared" si="32"/>
        <v>106182</v>
      </c>
      <c r="J90" s="892">
        <f t="shared" si="29"/>
        <v>10618.2</v>
      </c>
      <c r="K90" s="887"/>
      <c r="L90" s="887"/>
      <c r="M90" s="887"/>
      <c r="N90" s="887"/>
      <c r="O90" s="887"/>
      <c r="P90" s="887"/>
      <c r="Q90" s="923"/>
      <c r="R90" s="923"/>
      <c r="S90" s="892">
        <f t="shared" si="30"/>
        <v>10618.2</v>
      </c>
      <c r="T90" s="892">
        <f t="shared" si="17"/>
        <v>116800.2</v>
      </c>
      <c r="U90" s="892">
        <f t="shared" si="18"/>
        <v>11680.02</v>
      </c>
      <c r="V90" s="892">
        <f t="shared" si="19"/>
        <v>4471.217599999999</v>
      </c>
      <c r="W90" s="892">
        <f t="shared" si="20"/>
        <v>2336.0039999999999</v>
      </c>
      <c r="X90" s="892">
        <f t="shared" si="21"/>
        <v>98312.958399999989</v>
      </c>
      <c r="Y90" s="892">
        <f t="shared" si="22"/>
        <v>1401602.4</v>
      </c>
      <c r="Z90" s="892">
        <f t="shared" si="23"/>
        <v>106182</v>
      </c>
      <c r="AA90" s="892">
        <f t="shared" si="24"/>
        <v>1507784.4</v>
      </c>
      <c r="AB90" s="892">
        <f t="shared" si="25"/>
        <v>78336.832320000001</v>
      </c>
      <c r="AC90" s="892">
        <f t="shared" si="31"/>
        <v>67850.297999999995</v>
      </c>
      <c r="AD90" s="892">
        <f t="shared" si="26"/>
        <v>42048.071999999993</v>
      </c>
      <c r="AE90" s="892">
        <f t="shared" si="27"/>
        <v>67850.297999999995</v>
      </c>
      <c r="AF90" s="892">
        <f t="shared" si="28"/>
        <v>1763869.9003199998</v>
      </c>
      <c r="AG90" s="892" t="s">
        <v>3</v>
      </c>
    </row>
    <row r="91" spans="1:33">
      <c r="A91" s="918">
        <v>75</v>
      </c>
      <c r="B91" s="915" t="s">
        <v>473</v>
      </c>
      <c r="C91" s="928" t="s">
        <v>553</v>
      </c>
      <c r="D91" s="1556"/>
      <c r="E91" s="942">
        <v>0.5</v>
      </c>
      <c r="F91" s="918"/>
      <c r="G91" s="888">
        <v>45183</v>
      </c>
      <c r="H91" s="898">
        <v>15</v>
      </c>
      <c r="I91" s="892">
        <f t="shared" si="32"/>
        <v>132727.5</v>
      </c>
      <c r="J91" s="892">
        <f t="shared" si="29"/>
        <v>13272.75</v>
      </c>
      <c r="K91" s="887"/>
      <c r="L91" s="887"/>
      <c r="M91" s="887"/>
      <c r="N91" s="887"/>
      <c r="O91" s="887"/>
      <c r="P91" s="887"/>
      <c r="Q91" s="923"/>
      <c r="R91" s="923"/>
      <c r="S91" s="892">
        <f t="shared" si="30"/>
        <v>13272.75</v>
      </c>
      <c r="T91" s="892">
        <f t="shared" si="17"/>
        <v>146000.25</v>
      </c>
      <c r="U91" s="892">
        <f t="shared" si="18"/>
        <v>14600.025000000001</v>
      </c>
      <c r="V91" s="892">
        <f t="shared" si="19"/>
        <v>7040.8220000000001</v>
      </c>
      <c r="W91" s="892">
        <f t="shared" si="20"/>
        <v>2920.0050000000001</v>
      </c>
      <c r="X91" s="892">
        <f t="shared" si="21"/>
        <v>121439.398</v>
      </c>
      <c r="Y91" s="892">
        <f t="shared" si="22"/>
        <v>1752003</v>
      </c>
      <c r="Z91" s="892">
        <f t="shared" si="23"/>
        <v>132727.5</v>
      </c>
      <c r="AA91" s="892">
        <f t="shared" si="24"/>
        <v>1884730.5</v>
      </c>
      <c r="AB91" s="892">
        <f t="shared" si="25"/>
        <v>97921.040399999998</v>
      </c>
      <c r="AC91" s="892">
        <f t="shared" si="31"/>
        <v>84812.872499999998</v>
      </c>
      <c r="AD91" s="892">
        <f t="shared" si="26"/>
        <v>52560.09</v>
      </c>
      <c r="AE91" s="892">
        <f t="shared" si="27"/>
        <v>84812.872499999998</v>
      </c>
      <c r="AF91" s="892">
        <f t="shared" si="28"/>
        <v>2204837.3754000003</v>
      </c>
      <c r="AG91" s="892" t="s">
        <v>3</v>
      </c>
    </row>
    <row r="92" spans="1:33" ht="31.5">
      <c r="A92" s="918">
        <v>76</v>
      </c>
      <c r="B92" s="915" t="s">
        <v>473</v>
      </c>
      <c r="C92" s="931" t="s">
        <v>2341</v>
      </c>
      <c r="D92" s="1556"/>
      <c r="E92" s="918">
        <v>1</v>
      </c>
      <c r="F92" s="918"/>
      <c r="G92" s="888">
        <v>45244</v>
      </c>
      <c r="H92" s="918">
        <v>20</v>
      </c>
      <c r="I92" s="892">
        <f t="shared" si="32"/>
        <v>353940</v>
      </c>
      <c r="J92" s="892">
        <f t="shared" si="29"/>
        <v>35394</v>
      </c>
      <c r="K92" s="887"/>
      <c r="L92" s="887"/>
      <c r="M92" s="887"/>
      <c r="N92" s="887"/>
      <c r="O92" s="887"/>
      <c r="P92" s="887"/>
      <c r="Q92" s="923"/>
      <c r="R92" s="923"/>
      <c r="S92" s="892">
        <f t="shared" si="30"/>
        <v>35394</v>
      </c>
      <c r="T92" s="892">
        <f t="shared" si="17"/>
        <v>389334</v>
      </c>
      <c r="U92" s="892">
        <f t="shared" si="18"/>
        <v>38933.4</v>
      </c>
      <c r="V92" s="892">
        <f t="shared" si="19"/>
        <v>28454.191999999999</v>
      </c>
      <c r="W92" s="892">
        <f t="shared" si="20"/>
        <v>7786.68</v>
      </c>
      <c r="X92" s="892">
        <f t="shared" si="21"/>
        <v>314159.728</v>
      </c>
      <c r="Y92" s="892">
        <f t="shared" si="22"/>
        <v>4672008</v>
      </c>
      <c r="Z92" s="892">
        <f t="shared" si="23"/>
        <v>353940</v>
      </c>
      <c r="AA92" s="892">
        <f t="shared" si="24"/>
        <v>5025948</v>
      </c>
      <c r="AB92" s="892">
        <f t="shared" si="25"/>
        <v>261122.77439999999</v>
      </c>
      <c r="AC92" s="892">
        <f t="shared" si="31"/>
        <v>226167.66000000003</v>
      </c>
      <c r="AD92" s="892">
        <f t="shared" si="26"/>
        <v>140160.24</v>
      </c>
      <c r="AE92" s="892">
        <f t="shared" si="27"/>
        <v>226167.66</v>
      </c>
      <c r="AF92" s="892">
        <f t="shared" si="28"/>
        <v>5879566.3344000001</v>
      </c>
      <c r="AG92" s="892" t="s">
        <v>3</v>
      </c>
    </row>
    <row r="93" spans="1:33" ht="31.5">
      <c r="A93" s="918">
        <v>77</v>
      </c>
      <c r="B93" s="943" t="s">
        <v>446</v>
      </c>
      <c r="C93" s="325" t="s">
        <v>896</v>
      </c>
      <c r="D93" s="1557">
        <v>4</v>
      </c>
      <c r="E93" s="944">
        <v>1</v>
      </c>
      <c r="F93" s="944"/>
      <c r="G93" s="945">
        <v>45902</v>
      </c>
      <c r="H93" s="946">
        <v>9</v>
      </c>
      <c r="I93" s="947">
        <f>E93*17697*H93</f>
        <v>159273</v>
      </c>
      <c r="J93" s="947">
        <f t="shared" si="29"/>
        <v>15927.300000000001</v>
      </c>
      <c r="K93" s="948"/>
      <c r="L93" s="948"/>
      <c r="M93" s="948"/>
      <c r="N93" s="948"/>
      <c r="O93" s="948"/>
      <c r="P93" s="948"/>
      <c r="Q93" s="949"/>
      <c r="R93" s="949"/>
      <c r="S93" s="947">
        <f t="shared" ref="S93:S112" si="35">SUM(J93:R93)</f>
        <v>15927.300000000001</v>
      </c>
      <c r="T93" s="947">
        <f t="shared" si="17"/>
        <v>175200.3</v>
      </c>
      <c r="U93" s="947">
        <f t="shared" si="18"/>
        <v>17520.03</v>
      </c>
      <c r="V93" s="947">
        <f>((T93-U93-W93)-(14*4148))*10%</f>
        <v>9610.4264000000003</v>
      </c>
      <c r="W93" s="947">
        <f t="shared" si="20"/>
        <v>3504.0059999999999</v>
      </c>
      <c r="X93" s="947">
        <f t="shared" si="21"/>
        <v>144565.8376</v>
      </c>
      <c r="Y93" s="947">
        <f t="shared" si="22"/>
        <v>2102403.5999999996</v>
      </c>
      <c r="Z93" s="947">
        <f t="shared" ref="Z93:Z122" si="36">I93*2</f>
        <v>318546</v>
      </c>
      <c r="AA93" s="947">
        <f t="shared" si="24"/>
        <v>2420949.5999999996</v>
      </c>
      <c r="AB93" s="947">
        <f>(AA93*0.9-(W93*12))*11%-AC93</f>
        <v>126105.99047999995</v>
      </c>
      <c r="AC93" s="947">
        <f>AA93*0.9*5%</f>
        <v>108942.73199999999</v>
      </c>
      <c r="AD93" s="947">
        <f t="shared" si="26"/>
        <v>63072.107999999986</v>
      </c>
      <c r="AE93" s="947">
        <f t="shared" si="27"/>
        <v>108942.73199999997</v>
      </c>
      <c r="AF93" s="947">
        <f t="shared" si="28"/>
        <v>2828013.1624799995</v>
      </c>
      <c r="AG93" s="947" t="s">
        <v>3</v>
      </c>
    </row>
    <row r="94" spans="1:33" ht="31.5">
      <c r="A94" s="918">
        <v>78</v>
      </c>
      <c r="B94" s="943" t="s">
        <v>446</v>
      </c>
      <c r="C94" s="950" t="s">
        <v>828</v>
      </c>
      <c r="D94" s="1555"/>
      <c r="E94" s="944">
        <v>1</v>
      </c>
      <c r="F94" s="944"/>
      <c r="G94" s="951">
        <v>45300</v>
      </c>
      <c r="H94" s="946">
        <v>17</v>
      </c>
      <c r="I94" s="947">
        <f t="shared" ref="I94:I96" si="37">17697*H94</f>
        <v>300849</v>
      </c>
      <c r="J94" s="947">
        <f t="shared" si="29"/>
        <v>30084.9</v>
      </c>
      <c r="K94" s="948"/>
      <c r="L94" s="948"/>
      <c r="M94" s="948"/>
      <c r="N94" s="948"/>
      <c r="O94" s="948"/>
      <c r="P94" s="948"/>
      <c r="Q94" s="949"/>
      <c r="R94" s="949"/>
      <c r="S94" s="947">
        <f t="shared" si="35"/>
        <v>30084.9</v>
      </c>
      <c r="T94" s="947">
        <f t="shared" si="17"/>
        <v>330933.90000000002</v>
      </c>
      <c r="U94" s="947">
        <f t="shared" si="18"/>
        <v>33093.390000000007</v>
      </c>
      <c r="V94" s="947">
        <f>((T94-U94-W94)-(14*4148))*10%</f>
        <v>23314.983200000002</v>
      </c>
      <c r="W94" s="947">
        <f t="shared" si="20"/>
        <v>6618.6780000000008</v>
      </c>
      <c r="X94" s="947">
        <f t="shared" si="21"/>
        <v>267906.84879999998</v>
      </c>
      <c r="Y94" s="947">
        <f t="shared" si="22"/>
        <v>3971206.8000000003</v>
      </c>
      <c r="Z94" s="947">
        <f t="shared" si="36"/>
        <v>601698</v>
      </c>
      <c r="AA94" s="947">
        <f t="shared" si="24"/>
        <v>4572904.8000000007</v>
      </c>
      <c r="AB94" s="947">
        <f t="shared" ref="AB94:AB122" si="38">(AA94*0.9-(W94*12))*11%-AC94</f>
        <v>238200.20424000002</v>
      </c>
      <c r="AC94" s="947">
        <f t="shared" ref="AC94:AC122" si="39">AA94*0.9*5%</f>
        <v>205780.71600000004</v>
      </c>
      <c r="AD94" s="947">
        <f t="shared" si="26"/>
        <v>119136.204</v>
      </c>
      <c r="AE94" s="947">
        <f t="shared" si="27"/>
        <v>205780.71600000001</v>
      </c>
      <c r="AF94" s="947">
        <f t="shared" si="28"/>
        <v>5341802.6402400006</v>
      </c>
      <c r="AG94" s="947" t="s">
        <v>3</v>
      </c>
    </row>
    <row r="95" spans="1:33" ht="31.5">
      <c r="A95" s="918">
        <v>79</v>
      </c>
      <c r="B95" s="943" t="s">
        <v>446</v>
      </c>
      <c r="C95" s="326" t="s">
        <v>897</v>
      </c>
      <c r="D95" s="1555"/>
      <c r="E95" s="944">
        <v>1</v>
      </c>
      <c r="F95" s="944"/>
      <c r="G95" s="945">
        <v>45902</v>
      </c>
      <c r="H95" s="946">
        <v>32</v>
      </c>
      <c r="I95" s="947">
        <f t="shared" si="37"/>
        <v>566304</v>
      </c>
      <c r="J95" s="947">
        <f t="shared" si="29"/>
        <v>56630.400000000001</v>
      </c>
      <c r="K95" s="948"/>
      <c r="L95" s="948"/>
      <c r="M95" s="948"/>
      <c r="N95" s="948"/>
      <c r="O95" s="948"/>
      <c r="P95" s="948"/>
      <c r="Q95" s="949"/>
      <c r="R95" s="949"/>
      <c r="S95" s="947">
        <f t="shared" si="35"/>
        <v>56630.400000000001</v>
      </c>
      <c r="T95" s="947">
        <f t="shared" si="17"/>
        <v>622934.4</v>
      </c>
      <c r="U95" s="947">
        <f t="shared" si="18"/>
        <v>62293.440000000002</v>
      </c>
      <c r="V95" s="947">
        <f>((T95-U95-W95)-(14*4148))*10%</f>
        <v>49011.027200000004</v>
      </c>
      <c r="W95" s="947">
        <f t="shared" si="20"/>
        <v>12458.688</v>
      </c>
      <c r="X95" s="947">
        <f t="shared" si="21"/>
        <v>499171.24479999993</v>
      </c>
      <c r="Y95" s="947">
        <f t="shared" si="22"/>
        <v>7475212.8000000007</v>
      </c>
      <c r="Z95" s="947">
        <f t="shared" si="36"/>
        <v>1132608</v>
      </c>
      <c r="AA95" s="947">
        <f t="shared" si="24"/>
        <v>8607820.8000000007</v>
      </c>
      <c r="AB95" s="947">
        <f t="shared" si="38"/>
        <v>448376.85503999999</v>
      </c>
      <c r="AC95" s="947">
        <f t="shared" si="39"/>
        <v>387351.93600000005</v>
      </c>
      <c r="AD95" s="947">
        <f t="shared" si="26"/>
        <v>224256.38400000002</v>
      </c>
      <c r="AE95" s="947">
        <f t="shared" si="27"/>
        <v>387351.93600000005</v>
      </c>
      <c r="AF95" s="947">
        <f t="shared" si="28"/>
        <v>10055157.911040002</v>
      </c>
      <c r="AG95" s="947" t="s">
        <v>3</v>
      </c>
    </row>
    <row r="96" spans="1:33" ht="31.5">
      <c r="A96" s="918">
        <v>80</v>
      </c>
      <c r="B96" s="952" t="s">
        <v>446</v>
      </c>
      <c r="C96" s="327" t="s">
        <v>898</v>
      </c>
      <c r="D96" s="1558"/>
      <c r="E96" s="944">
        <v>1</v>
      </c>
      <c r="F96" s="944"/>
      <c r="G96" s="945">
        <v>45902</v>
      </c>
      <c r="H96" s="946">
        <v>27</v>
      </c>
      <c r="I96" s="953">
        <f t="shared" si="37"/>
        <v>477819</v>
      </c>
      <c r="J96" s="953">
        <f t="shared" si="29"/>
        <v>47781.9</v>
      </c>
      <c r="K96" s="954"/>
      <c r="L96" s="954"/>
      <c r="M96" s="954"/>
      <c r="N96" s="954"/>
      <c r="O96" s="954"/>
      <c r="P96" s="954"/>
      <c r="Q96" s="955"/>
      <c r="R96" s="955"/>
      <c r="S96" s="953">
        <f t="shared" si="35"/>
        <v>47781.9</v>
      </c>
      <c r="T96" s="953">
        <f t="shared" si="17"/>
        <v>525600.9</v>
      </c>
      <c r="U96" s="953">
        <f t="shared" si="18"/>
        <v>52560.090000000004</v>
      </c>
      <c r="V96" s="953">
        <f>((T96-U96-W96)-(14*4148))*10%</f>
        <v>40445.679200000006</v>
      </c>
      <c r="W96" s="953">
        <f t="shared" si="20"/>
        <v>10512.018</v>
      </c>
      <c r="X96" s="953">
        <f t="shared" si="21"/>
        <v>422083.1128</v>
      </c>
      <c r="Y96" s="953">
        <f t="shared" si="22"/>
        <v>6307210.8000000007</v>
      </c>
      <c r="Z96" s="953">
        <f t="shared" si="36"/>
        <v>955638</v>
      </c>
      <c r="AA96" s="953">
        <f t="shared" si="24"/>
        <v>7262848.8000000007</v>
      </c>
      <c r="AB96" s="953">
        <f t="shared" si="38"/>
        <v>378317.97144000005</v>
      </c>
      <c r="AC96" s="953">
        <f t="shared" si="39"/>
        <v>326828.19600000005</v>
      </c>
      <c r="AD96" s="953">
        <f t="shared" si="26"/>
        <v>189216.32400000002</v>
      </c>
      <c r="AE96" s="947">
        <f t="shared" si="27"/>
        <v>326828.196</v>
      </c>
      <c r="AF96" s="953">
        <f t="shared" si="28"/>
        <v>8484039.4874400012</v>
      </c>
      <c r="AG96" s="947" t="s">
        <v>3</v>
      </c>
    </row>
    <row r="97" spans="1:33">
      <c r="A97" s="918">
        <v>81</v>
      </c>
      <c r="B97" s="943" t="s">
        <v>449</v>
      </c>
      <c r="C97" s="956" t="s">
        <v>906</v>
      </c>
      <c r="D97" s="1557">
        <v>9</v>
      </c>
      <c r="E97" s="944">
        <v>1</v>
      </c>
      <c r="F97" s="944"/>
      <c r="G97" s="945">
        <v>45519</v>
      </c>
      <c r="H97" s="944">
        <f>2+5</f>
        <v>7</v>
      </c>
      <c r="I97" s="947">
        <f t="shared" ref="I97:I119" si="40">E97*17697*H97</f>
        <v>123879</v>
      </c>
      <c r="J97" s="947">
        <f t="shared" si="29"/>
        <v>12387.900000000001</v>
      </c>
      <c r="K97" s="948"/>
      <c r="L97" s="948"/>
      <c r="M97" s="948"/>
      <c r="N97" s="948"/>
      <c r="O97" s="948"/>
      <c r="P97" s="948"/>
      <c r="Q97" s="949"/>
      <c r="R97" s="949"/>
      <c r="S97" s="947">
        <f t="shared" si="35"/>
        <v>12387.900000000001</v>
      </c>
      <c r="T97" s="947">
        <f t="shared" si="17"/>
        <v>136266.9</v>
      </c>
      <c r="U97" s="947">
        <f t="shared" si="18"/>
        <v>13626.69</v>
      </c>
      <c r="V97" s="947">
        <f>(T97-U97-W97)*10%</f>
        <v>11991.4872</v>
      </c>
      <c r="W97" s="947">
        <f t="shared" si="20"/>
        <v>2725.3379999999997</v>
      </c>
      <c r="X97" s="947">
        <f t="shared" si="21"/>
        <v>107923.38479999999</v>
      </c>
      <c r="Y97" s="947">
        <f t="shared" si="22"/>
        <v>1635202.7999999998</v>
      </c>
      <c r="Z97" s="947">
        <f t="shared" si="36"/>
        <v>247758</v>
      </c>
      <c r="AA97" s="947">
        <f t="shared" si="24"/>
        <v>1882960.7999999998</v>
      </c>
      <c r="AB97" s="947">
        <f t="shared" si="38"/>
        <v>98082.43703999999</v>
      </c>
      <c r="AC97" s="947">
        <f t="shared" si="39"/>
        <v>84733.236000000004</v>
      </c>
      <c r="AD97" s="947">
        <f t="shared" si="26"/>
        <v>49056.083999999995</v>
      </c>
      <c r="AE97" s="947">
        <f t="shared" si="27"/>
        <v>84733.23599999999</v>
      </c>
      <c r="AF97" s="947">
        <f t="shared" si="28"/>
        <v>2199565.7930399999</v>
      </c>
      <c r="AG97" s="947" t="s">
        <v>3</v>
      </c>
    </row>
    <row r="98" spans="1:33">
      <c r="A98" s="918">
        <v>82</v>
      </c>
      <c r="B98" s="943" t="s">
        <v>449</v>
      </c>
      <c r="C98" s="943" t="s">
        <v>450</v>
      </c>
      <c r="D98" s="1555"/>
      <c r="E98" s="944">
        <v>1</v>
      </c>
      <c r="F98" s="944"/>
      <c r="G98" s="945">
        <v>45170</v>
      </c>
      <c r="H98" s="944">
        <f>3+5</f>
        <v>8</v>
      </c>
      <c r="I98" s="947">
        <f t="shared" si="40"/>
        <v>141576</v>
      </c>
      <c r="J98" s="947">
        <f t="shared" si="29"/>
        <v>14157.6</v>
      </c>
      <c r="K98" s="948"/>
      <c r="L98" s="948"/>
      <c r="M98" s="948"/>
      <c r="N98" s="948"/>
      <c r="O98" s="948"/>
      <c r="P98" s="948"/>
      <c r="Q98" s="949"/>
      <c r="R98" s="949"/>
      <c r="S98" s="947">
        <f t="shared" si="35"/>
        <v>14157.6</v>
      </c>
      <c r="T98" s="947">
        <f t="shared" si="17"/>
        <v>155733.6</v>
      </c>
      <c r="U98" s="947">
        <f t="shared" si="18"/>
        <v>15573.36</v>
      </c>
      <c r="V98" s="947">
        <f t="shared" ref="V98:V102" si="41">(T98-U98-W98)*10%</f>
        <v>13704.5568</v>
      </c>
      <c r="W98" s="947">
        <f t="shared" si="20"/>
        <v>3114.672</v>
      </c>
      <c r="X98" s="947">
        <f t="shared" si="21"/>
        <v>123341.01119999998</v>
      </c>
      <c r="Y98" s="947">
        <f t="shared" si="22"/>
        <v>1868803.2000000002</v>
      </c>
      <c r="Z98" s="947">
        <f t="shared" si="36"/>
        <v>283152</v>
      </c>
      <c r="AA98" s="947">
        <f t="shared" si="24"/>
        <v>2151955.2000000002</v>
      </c>
      <c r="AB98" s="947">
        <f t="shared" si="38"/>
        <v>112094.21376</v>
      </c>
      <c r="AC98" s="947">
        <f t="shared" si="39"/>
        <v>96837.984000000011</v>
      </c>
      <c r="AD98" s="947">
        <f t="shared" si="26"/>
        <v>56064.096000000005</v>
      </c>
      <c r="AE98" s="947">
        <f t="shared" si="27"/>
        <v>96837.984000000011</v>
      </c>
      <c r="AF98" s="947">
        <f t="shared" si="28"/>
        <v>2513789.4777600006</v>
      </c>
      <c r="AG98" s="947" t="s">
        <v>3</v>
      </c>
    </row>
    <row r="99" spans="1:33">
      <c r="A99" s="918">
        <v>83</v>
      </c>
      <c r="B99" s="957" t="s">
        <v>449</v>
      </c>
      <c r="C99" s="958" t="s">
        <v>829</v>
      </c>
      <c r="D99" s="1555"/>
      <c r="E99" s="944">
        <v>1</v>
      </c>
      <c r="F99" s="944"/>
      <c r="G99" s="945">
        <v>45237</v>
      </c>
      <c r="H99" s="944">
        <f>3+5</f>
        <v>8</v>
      </c>
      <c r="I99" s="947">
        <f t="shared" si="40"/>
        <v>141576</v>
      </c>
      <c r="J99" s="947">
        <f t="shared" si="29"/>
        <v>14157.6</v>
      </c>
      <c r="K99" s="947"/>
      <c r="L99" s="948"/>
      <c r="M99" s="948"/>
      <c r="N99" s="948"/>
      <c r="O99" s="948"/>
      <c r="P99" s="948"/>
      <c r="Q99" s="949"/>
      <c r="R99" s="949"/>
      <c r="S99" s="947">
        <f t="shared" si="35"/>
        <v>14157.6</v>
      </c>
      <c r="T99" s="947">
        <f t="shared" si="17"/>
        <v>155733.6</v>
      </c>
      <c r="U99" s="947">
        <f t="shared" si="18"/>
        <v>15573.36</v>
      </c>
      <c r="V99" s="947">
        <f t="shared" si="41"/>
        <v>13704.5568</v>
      </c>
      <c r="W99" s="947">
        <f t="shared" si="20"/>
        <v>3114.672</v>
      </c>
      <c r="X99" s="947">
        <f t="shared" si="21"/>
        <v>123341.01119999998</v>
      </c>
      <c r="Y99" s="947">
        <f t="shared" si="22"/>
        <v>1868803.2000000002</v>
      </c>
      <c r="Z99" s="947">
        <f t="shared" si="36"/>
        <v>283152</v>
      </c>
      <c r="AA99" s="947">
        <f t="shared" si="24"/>
        <v>2151955.2000000002</v>
      </c>
      <c r="AB99" s="947">
        <f t="shared" si="38"/>
        <v>112094.21376</v>
      </c>
      <c r="AC99" s="947">
        <f t="shared" si="39"/>
        <v>96837.984000000011</v>
      </c>
      <c r="AD99" s="947">
        <f t="shared" si="26"/>
        <v>56064.096000000005</v>
      </c>
      <c r="AE99" s="947">
        <f t="shared" si="27"/>
        <v>96837.984000000011</v>
      </c>
      <c r="AF99" s="947">
        <f t="shared" si="28"/>
        <v>2513789.4777600006</v>
      </c>
      <c r="AG99" s="947" t="s">
        <v>3</v>
      </c>
    </row>
    <row r="100" spans="1:33">
      <c r="A100" s="918">
        <v>84</v>
      </c>
      <c r="B100" s="957" t="s">
        <v>449</v>
      </c>
      <c r="C100" s="957" t="s">
        <v>451</v>
      </c>
      <c r="D100" s="1555"/>
      <c r="E100" s="944">
        <v>1</v>
      </c>
      <c r="F100" s="944"/>
      <c r="G100" s="945">
        <v>42264</v>
      </c>
      <c r="H100" s="944">
        <f>6+5</f>
        <v>11</v>
      </c>
      <c r="I100" s="947">
        <f t="shared" si="40"/>
        <v>194667</v>
      </c>
      <c r="J100" s="947">
        <f t="shared" si="29"/>
        <v>19466.7</v>
      </c>
      <c r="K100" s="947"/>
      <c r="L100" s="948"/>
      <c r="M100" s="948"/>
      <c r="N100" s="948"/>
      <c r="O100" s="948"/>
      <c r="P100" s="948"/>
      <c r="Q100" s="949"/>
      <c r="R100" s="949"/>
      <c r="S100" s="947">
        <f t="shared" si="35"/>
        <v>19466.7</v>
      </c>
      <c r="T100" s="947">
        <f t="shared" si="17"/>
        <v>214133.7</v>
      </c>
      <c r="U100" s="947">
        <f t="shared" si="18"/>
        <v>21413.370000000003</v>
      </c>
      <c r="V100" s="947">
        <f>((T100-U100-W100)-(14*4148))*10%</f>
        <v>13036.565600000002</v>
      </c>
      <c r="W100" s="947">
        <f t="shared" si="20"/>
        <v>4282.674</v>
      </c>
      <c r="X100" s="947">
        <f t="shared" si="21"/>
        <v>175401.09040000002</v>
      </c>
      <c r="Y100" s="947">
        <f t="shared" si="22"/>
        <v>2569604.4000000004</v>
      </c>
      <c r="Z100" s="947">
        <f t="shared" si="36"/>
        <v>389334</v>
      </c>
      <c r="AA100" s="947">
        <f t="shared" si="24"/>
        <v>2958938.4000000004</v>
      </c>
      <c r="AB100" s="947">
        <f t="shared" si="38"/>
        <v>154129.54392000005</v>
      </c>
      <c r="AC100" s="947">
        <f t="shared" si="39"/>
        <v>133152.22800000003</v>
      </c>
      <c r="AD100" s="947">
        <f t="shared" si="26"/>
        <v>77088.132000000012</v>
      </c>
      <c r="AE100" s="947">
        <f t="shared" si="27"/>
        <v>133152.228</v>
      </c>
      <c r="AF100" s="947">
        <f t="shared" si="28"/>
        <v>3456460.5319200009</v>
      </c>
      <c r="AG100" s="947" t="s">
        <v>3</v>
      </c>
    </row>
    <row r="101" spans="1:33" ht="31.5">
      <c r="A101" s="918">
        <v>85</v>
      </c>
      <c r="B101" s="957" t="s">
        <v>449</v>
      </c>
      <c r="C101" s="957" t="s">
        <v>907</v>
      </c>
      <c r="D101" s="1555"/>
      <c r="E101" s="944">
        <v>1</v>
      </c>
      <c r="F101" s="944"/>
      <c r="G101" s="945">
        <v>45540</v>
      </c>
      <c r="H101" s="944">
        <f>2+5</f>
        <v>7</v>
      </c>
      <c r="I101" s="947">
        <f t="shared" si="40"/>
        <v>123879</v>
      </c>
      <c r="J101" s="947">
        <f t="shared" si="29"/>
        <v>12387.900000000001</v>
      </c>
      <c r="K101" s="948"/>
      <c r="L101" s="948"/>
      <c r="M101" s="948"/>
      <c r="N101" s="948"/>
      <c r="O101" s="948"/>
      <c r="P101" s="948"/>
      <c r="Q101" s="949"/>
      <c r="R101" s="949"/>
      <c r="S101" s="947">
        <f t="shared" si="35"/>
        <v>12387.900000000001</v>
      </c>
      <c r="T101" s="947">
        <f t="shared" si="17"/>
        <v>136266.9</v>
      </c>
      <c r="U101" s="947">
        <f t="shared" si="18"/>
        <v>13626.69</v>
      </c>
      <c r="V101" s="947">
        <f t="shared" si="41"/>
        <v>11991.4872</v>
      </c>
      <c r="W101" s="947">
        <f t="shared" si="20"/>
        <v>2725.3379999999997</v>
      </c>
      <c r="X101" s="947">
        <f t="shared" si="21"/>
        <v>107923.38479999999</v>
      </c>
      <c r="Y101" s="947">
        <f t="shared" si="22"/>
        <v>1635202.7999999998</v>
      </c>
      <c r="Z101" s="947">
        <f t="shared" si="36"/>
        <v>247758</v>
      </c>
      <c r="AA101" s="947">
        <f t="shared" si="24"/>
        <v>1882960.7999999998</v>
      </c>
      <c r="AB101" s="947">
        <f t="shared" si="38"/>
        <v>98082.43703999999</v>
      </c>
      <c r="AC101" s="947">
        <f t="shared" si="39"/>
        <v>84733.236000000004</v>
      </c>
      <c r="AD101" s="947">
        <f t="shared" si="26"/>
        <v>49056.083999999995</v>
      </c>
      <c r="AE101" s="947">
        <f t="shared" si="27"/>
        <v>84733.23599999999</v>
      </c>
      <c r="AF101" s="947">
        <f t="shared" si="28"/>
        <v>2199565.7930399999</v>
      </c>
      <c r="AG101" s="947" t="s">
        <v>3</v>
      </c>
    </row>
    <row r="102" spans="1:33">
      <c r="A102" s="918">
        <v>86</v>
      </c>
      <c r="B102" s="957" t="s">
        <v>449</v>
      </c>
      <c r="C102" s="957" t="s">
        <v>908</v>
      </c>
      <c r="D102" s="1555"/>
      <c r="E102" s="944">
        <v>1</v>
      </c>
      <c r="F102" s="944"/>
      <c r="G102" s="945">
        <v>45537</v>
      </c>
      <c r="H102" s="944">
        <f>2+10</f>
        <v>12</v>
      </c>
      <c r="I102" s="947">
        <f t="shared" si="40"/>
        <v>212364</v>
      </c>
      <c r="J102" s="947">
        <f t="shared" si="29"/>
        <v>21236.400000000001</v>
      </c>
      <c r="K102" s="948"/>
      <c r="L102" s="948"/>
      <c r="M102" s="948"/>
      <c r="N102" s="948"/>
      <c r="O102" s="948"/>
      <c r="P102" s="948"/>
      <c r="Q102" s="949"/>
      <c r="R102" s="949"/>
      <c r="S102" s="947">
        <f t="shared" si="35"/>
        <v>21236.400000000001</v>
      </c>
      <c r="T102" s="947">
        <f t="shared" si="17"/>
        <v>233600.4</v>
      </c>
      <c r="U102" s="947">
        <f t="shared" si="18"/>
        <v>23360.04</v>
      </c>
      <c r="V102" s="947">
        <f t="shared" si="41"/>
        <v>20556.835200000001</v>
      </c>
      <c r="W102" s="947">
        <f t="shared" si="20"/>
        <v>4672.0079999999998</v>
      </c>
      <c r="X102" s="947">
        <f t="shared" si="21"/>
        <v>185011.51679999998</v>
      </c>
      <c r="Y102" s="947">
        <f t="shared" si="22"/>
        <v>2803204.8</v>
      </c>
      <c r="Z102" s="947">
        <f t="shared" si="36"/>
        <v>424728</v>
      </c>
      <c r="AA102" s="947">
        <f t="shared" si="24"/>
        <v>3227932.8</v>
      </c>
      <c r="AB102" s="947">
        <f t="shared" si="38"/>
        <v>168141.32064000002</v>
      </c>
      <c r="AC102" s="947">
        <f t="shared" si="39"/>
        <v>145256.976</v>
      </c>
      <c r="AD102" s="947">
        <f t="shared" si="26"/>
        <v>84096.143999999986</v>
      </c>
      <c r="AE102" s="947">
        <f t="shared" si="27"/>
        <v>145256.976</v>
      </c>
      <c r="AF102" s="947">
        <f t="shared" si="28"/>
        <v>3770684.2166399993</v>
      </c>
      <c r="AG102" s="947" t="s">
        <v>3</v>
      </c>
    </row>
    <row r="103" spans="1:33">
      <c r="A103" s="918">
        <v>87</v>
      </c>
      <c r="B103" s="957" t="s">
        <v>449</v>
      </c>
      <c r="C103" s="957" t="s">
        <v>452</v>
      </c>
      <c r="D103" s="1555"/>
      <c r="E103" s="944">
        <v>1</v>
      </c>
      <c r="F103" s="944"/>
      <c r="G103" s="945">
        <v>40788</v>
      </c>
      <c r="H103" s="944">
        <f>5+5</f>
        <v>10</v>
      </c>
      <c r="I103" s="947">
        <f t="shared" si="40"/>
        <v>176970</v>
      </c>
      <c r="J103" s="947">
        <f t="shared" si="29"/>
        <v>17697</v>
      </c>
      <c r="K103" s="948"/>
      <c r="L103" s="948"/>
      <c r="M103" s="948"/>
      <c r="N103" s="948"/>
      <c r="O103" s="948"/>
      <c r="P103" s="948"/>
      <c r="Q103" s="949"/>
      <c r="R103" s="949"/>
      <c r="S103" s="947">
        <f t="shared" si="35"/>
        <v>17697</v>
      </c>
      <c r="T103" s="947">
        <f t="shared" ref="T103:T122" si="42">I103+S103</f>
        <v>194667</v>
      </c>
      <c r="U103" s="947">
        <f t="shared" ref="U103:U122" si="43">T103*10%</f>
        <v>19466.7</v>
      </c>
      <c r="V103" s="947">
        <f t="shared" ref="V103:V122" si="44">((T103-U103-W103)-(14*4148))*10%</f>
        <v>11323.495999999999</v>
      </c>
      <c r="W103" s="947">
        <f t="shared" ref="W103:W122" si="45">T103*2%</f>
        <v>3893.34</v>
      </c>
      <c r="X103" s="947">
        <f t="shared" ref="X103:X122" si="46">T103-U103-V103-W103</f>
        <v>159983.46400000001</v>
      </c>
      <c r="Y103" s="947">
        <f t="shared" ref="Y103:Y122" si="47">T103*12</f>
        <v>2336004</v>
      </c>
      <c r="Z103" s="947">
        <f t="shared" si="36"/>
        <v>353940</v>
      </c>
      <c r="AA103" s="947">
        <f t="shared" ref="AA103:AA122" si="48">Y103+Z103</f>
        <v>2689944</v>
      </c>
      <c r="AB103" s="947">
        <f t="shared" si="38"/>
        <v>140117.7672</v>
      </c>
      <c r="AC103" s="947">
        <f t="shared" si="39"/>
        <v>121047.48000000001</v>
      </c>
      <c r="AD103" s="947">
        <f t="shared" ref="AD103:AD122" si="49">Y103*3%</f>
        <v>70080.12</v>
      </c>
      <c r="AE103" s="947">
        <f t="shared" ref="AE103:AE122" si="50">AA103*4.5%</f>
        <v>121047.48</v>
      </c>
      <c r="AF103" s="947">
        <f t="shared" ref="AF103:AF122" si="51">AA103+AB103+AC103+AD103+AE103</f>
        <v>3142236.8472000002</v>
      </c>
      <c r="AG103" s="947" t="s">
        <v>3</v>
      </c>
    </row>
    <row r="104" spans="1:33" ht="31.5">
      <c r="A104" s="918">
        <v>88</v>
      </c>
      <c r="B104" s="943" t="s">
        <v>453</v>
      </c>
      <c r="C104" s="943" t="s">
        <v>217</v>
      </c>
      <c r="D104" s="1555">
        <v>8</v>
      </c>
      <c r="E104" s="944">
        <v>0.25</v>
      </c>
      <c r="F104" s="944"/>
      <c r="G104" s="945">
        <v>45901</v>
      </c>
      <c r="H104" s="946">
        <v>40</v>
      </c>
      <c r="I104" s="947">
        <f t="shared" si="40"/>
        <v>176970</v>
      </c>
      <c r="J104" s="947">
        <f t="shared" ref="J104:J122" si="52">I104*10%</f>
        <v>17697</v>
      </c>
      <c r="K104" s="948"/>
      <c r="L104" s="948"/>
      <c r="M104" s="948"/>
      <c r="N104" s="948"/>
      <c r="O104" s="948"/>
      <c r="P104" s="948"/>
      <c r="Q104" s="949"/>
      <c r="R104" s="949"/>
      <c r="S104" s="947">
        <f t="shared" si="35"/>
        <v>17697</v>
      </c>
      <c r="T104" s="947">
        <f t="shared" si="42"/>
        <v>194667</v>
      </c>
      <c r="U104" s="947">
        <f t="shared" si="43"/>
        <v>19466.7</v>
      </c>
      <c r="V104" s="947">
        <f t="shared" si="44"/>
        <v>11323.495999999999</v>
      </c>
      <c r="W104" s="947">
        <f t="shared" si="45"/>
        <v>3893.34</v>
      </c>
      <c r="X104" s="947">
        <f t="shared" si="46"/>
        <v>159983.46400000001</v>
      </c>
      <c r="Y104" s="947">
        <f t="shared" si="47"/>
        <v>2336004</v>
      </c>
      <c r="Z104" s="947"/>
      <c r="AA104" s="947">
        <f t="shared" si="48"/>
        <v>2336004</v>
      </c>
      <c r="AB104" s="947">
        <f t="shared" si="38"/>
        <v>121005.00720000001</v>
      </c>
      <c r="AC104" s="947">
        <f t="shared" si="39"/>
        <v>105120.18000000001</v>
      </c>
      <c r="AD104" s="947">
        <f t="shared" si="49"/>
        <v>70080.12</v>
      </c>
      <c r="AE104" s="947">
        <f t="shared" si="50"/>
        <v>105120.18</v>
      </c>
      <c r="AF104" s="947">
        <f t="shared" si="51"/>
        <v>2737329.4872000003</v>
      </c>
      <c r="AG104" s="947" t="s">
        <v>3</v>
      </c>
    </row>
    <row r="105" spans="1:33" ht="31.5">
      <c r="A105" s="918">
        <v>89</v>
      </c>
      <c r="B105" s="943" t="s">
        <v>453</v>
      </c>
      <c r="C105" s="943" t="s">
        <v>910</v>
      </c>
      <c r="D105" s="1555"/>
      <c r="E105" s="944">
        <v>0.25</v>
      </c>
      <c r="F105" s="944"/>
      <c r="G105" s="945">
        <v>45902</v>
      </c>
      <c r="H105" s="944">
        <v>40</v>
      </c>
      <c r="I105" s="947">
        <f t="shared" si="40"/>
        <v>176970</v>
      </c>
      <c r="J105" s="947">
        <f t="shared" si="52"/>
        <v>17697</v>
      </c>
      <c r="K105" s="948"/>
      <c r="L105" s="948"/>
      <c r="M105" s="948"/>
      <c r="N105" s="948"/>
      <c r="O105" s="948"/>
      <c r="P105" s="948"/>
      <c r="Q105" s="949"/>
      <c r="R105" s="949"/>
      <c r="S105" s="947">
        <f t="shared" si="35"/>
        <v>17697</v>
      </c>
      <c r="T105" s="947">
        <f t="shared" si="42"/>
        <v>194667</v>
      </c>
      <c r="U105" s="947">
        <f t="shared" si="43"/>
        <v>19466.7</v>
      </c>
      <c r="V105" s="947">
        <f t="shared" si="44"/>
        <v>11323.495999999999</v>
      </c>
      <c r="W105" s="947">
        <f t="shared" si="45"/>
        <v>3893.34</v>
      </c>
      <c r="X105" s="947">
        <f t="shared" si="46"/>
        <v>159983.46400000001</v>
      </c>
      <c r="Y105" s="947">
        <f t="shared" si="47"/>
        <v>2336004</v>
      </c>
      <c r="Z105" s="947"/>
      <c r="AA105" s="947">
        <f t="shared" si="48"/>
        <v>2336004</v>
      </c>
      <c r="AB105" s="947">
        <f t="shared" si="38"/>
        <v>121005.00720000001</v>
      </c>
      <c r="AC105" s="947">
        <f t="shared" si="39"/>
        <v>105120.18000000001</v>
      </c>
      <c r="AD105" s="947">
        <f t="shared" si="49"/>
        <v>70080.12</v>
      </c>
      <c r="AE105" s="947">
        <f t="shared" si="50"/>
        <v>105120.18</v>
      </c>
      <c r="AF105" s="947">
        <f t="shared" si="51"/>
        <v>2737329.4872000003</v>
      </c>
      <c r="AG105" s="947" t="s">
        <v>3</v>
      </c>
    </row>
    <row r="106" spans="1:33" ht="31.5">
      <c r="A106" s="918">
        <v>90</v>
      </c>
      <c r="B106" s="943" t="s">
        <v>453</v>
      </c>
      <c r="C106" s="959" t="s">
        <v>911</v>
      </c>
      <c r="D106" s="1555"/>
      <c r="E106" s="944">
        <v>0.5</v>
      </c>
      <c r="F106" s="944"/>
      <c r="G106" s="945">
        <v>45901</v>
      </c>
      <c r="H106" s="944">
        <v>40</v>
      </c>
      <c r="I106" s="947">
        <f t="shared" si="40"/>
        <v>353940</v>
      </c>
      <c r="J106" s="947">
        <f t="shared" si="52"/>
        <v>35394</v>
      </c>
      <c r="K106" s="948"/>
      <c r="L106" s="948"/>
      <c r="M106" s="948"/>
      <c r="N106" s="948"/>
      <c r="O106" s="948"/>
      <c r="P106" s="948"/>
      <c r="Q106" s="949"/>
      <c r="R106" s="949"/>
      <c r="S106" s="947">
        <f t="shared" si="35"/>
        <v>35394</v>
      </c>
      <c r="T106" s="947">
        <f t="shared" si="42"/>
        <v>389334</v>
      </c>
      <c r="U106" s="947">
        <f t="shared" si="43"/>
        <v>38933.4</v>
      </c>
      <c r="V106" s="947">
        <f t="shared" si="44"/>
        <v>28454.191999999999</v>
      </c>
      <c r="W106" s="947">
        <f t="shared" si="45"/>
        <v>7786.68</v>
      </c>
      <c r="X106" s="947">
        <f t="shared" si="46"/>
        <v>314159.728</v>
      </c>
      <c r="Y106" s="947">
        <f t="shared" si="47"/>
        <v>4672008</v>
      </c>
      <c r="Z106" s="947"/>
      <c r="AA106" s="947">
        <f t="shared" si="48"/>
        <v>4672008</v>
      </c>
      <c r="AB106" s="947">
        <f t="shared" si="38"/>
        <v>242010.01440000001</v>
      </c>
      <c r="AC106" s="947">
        <f t="shared" si="39"/>
        <v>210240.36000000002</v>
      </c>
      <c r="AD106" s="947">
        <f t="shared" si="49"/>
        <v>140160.24</v>
      </c>
      <c r="AE106" s="947">
        <f t="shared" si="50"/>
        <v>210240.36</v>
      </c>
      <c r="AF106" s="947">
        <f t="shared" si="51"/>
        <v>5474658.9744000006</v>
      </c>
      <c r="AG106" s="947" t="s">
        <v>3</v>
      </c>
    </row>
    <row r="107" spans="1:33" ht="31.5">
      <c r="A107" s="918">
        <v>91</v>
      </c>
      <c r="B107" s="943" t="s">
        <v>453</v>
      </c>
      <c r="C107" s="959" t="s">
        <v>206</v>
      </c>
      <c r="D107" s="1555"/>
      <c r="E107" s="944">
        <v>0.25</v>
      </c>
      <c r="F107" s="944"/>
      <c r="G107" s="945">
        <v>45901</v>
      </c>
      <c r="H107" s="944">
        <v>40</v>
      </c>
      <c r="I107" s="947">
        <f t="shared" si="40"/>
        <v>176970</v>
      </c>
      <c r="J107" s="947">
        <f t="shared" si="52"/>
        <v>17697</v>
      </c>
      <c r="K107" s="948"/>
      <c r="L107" s="948"/>
      <c r="M107" s="948"/>
      <c r="N107" s="948"/>
      <c r="O107" s="948"/>
      <c r="P107" s="948"/>
      <c r="Q107" s="949"/>
      <c r="R107" s="949"/>
      <c r="S107" s="947">
        <f t="shared" si="35"/>
        <v>17697</v>
      </c>
      <c r="T107" s="947">
        <f t="shared" si="42"/>
        <v>194667</v>
      </c>
      <c r="U107" s="947">
        <f t="shared" si="43"/>
        <v>19466.7</v>
      </c>
      <c r="V107" s="947">
        <f t="shared" si="44"/>
        <v>11323.495999999999</v>
      </c>
      <c r="W107" s="947">
        <f t="shared" si="45"/>
        <v>3893.34</v>
      </c>
      <c r="X107" s="947">
        <f t="shared" si="46"/>
        <v>159983.46400000001</v>
      </c>
      <c r="Y107" s="947">
        <f t="shared" si="47"/>
        <v>2336004</v>
      </c>
      <c r="Z107" s="947"/>
      <c r="AA107" s="947">
        <f t="shared" si="48"/>
        <v>2336004</v>
      </c>
      <c r="AB107" s="947">
        <f t="shared" si="38"/>
        <v>121005.00720000001</v>
      </c>
      <c r="AC107" s="947">
        <f t="shared" si="39"/>
        <v>105120.18000000001</v>
      </c>
      <c r="AD107" s="947">
        <f t="shared" si="49"/>
        <v>70080.12</v>
      </c>
      <c r="AE107" s="947">
        <f t="shared" si="50"/>
        <v>105120.18</v>
      </c>
      <c r="AF107" s="947">
        <f t="shared" si="51"/>
        <v>2737329.4872000003</v>
      </c>
      <c r="AG107" s="947" t="s">
        <v>3</v>
      </c>
    </row>
    <row r="108" spans="1:33" ht="31.5">
      <c r="A108" s="918">
        <v>92</v>
      </c>
      <c r="B108" s="943" t="s">
        <v>453</v>
      </c>
      <c r="C108" s="959" t="s">
        <v>912</v>
      </c>
      <c r="D108" s="1555"/>
      <c r="E108" s="960">
        <v>0.25</v>
      </c>
      <c r="F108" s="944"/>
      <c r="G108" s="945">
        <v>45902</v>
      </c>
      <c r="H108" s="944">
        <v>40</v>
      </c>
      <c r="I108" s="947">
        <f t="shared" si="40"/>
        <v>176970</v>
      </c>
      <c r="J108" s="947">
        <f t="shared" si="52"/>
        <v>17697</v>
      </c>
      <c r="K108" s="948"/>
      <c r="L108" s="948"/>
      <c r="M108" s="948"/>
      <c r="N108" s="948"/>
      <c r="O108" s="948"/>
      <c r="P108" s="948"/>
      <c r="Q108" s="949"/>
      <c r="R108" s="949"/>
      <c r="S108" s="947">
        <f t="shared" si="35"/>
        <v>17697</v>
      </c>
      <c r="T108" s="947">
        <f t="shared" si="42"/>
        <v>194667</v>
      </c>
      <c r="U108" s="947">
        <f t="shared" si="43"/>
        <v>19466.7</v>
      </c>
      <c r="V108" s="947">
        <f t="shared" si="44"/>
        <v>11323.495999999999</v>
      </c>
      <c r="W108" s="947">
        <f t="shared" si="45"/>
        <v>3893.34</v>
      </c>
      <c r="X108" s="947">
        <f t="shared" si="46"/>
        <v>159983.46400000001</v>
      </c>
      <c r="Y108" s="947">
        <f t="shared" si="47"/>
        <v>2336004</v>
      </c>
      <c r="Z108" s="947"/>
      <c r="AA108" s="947">
        <f t="shared" si="48"/>
        <v>2336004</v>
      </c>
      <c r="AB108" s="947">
        <f t="shared" si="38"/>
        <v>121005.00720000001</v>
      </c>
      <c r="AC108" s="947">
        <f t="shared" si="39"/>
        <v>105120.18000000001</v>
      </c>
      <c r="AD108" s="947">
        <f t="shared" si="49"/>
        <v>70080.12</v>
      </c>
      <c r="AE108" s="947">
        <f t="shared" si="50"/>
        <v>105120.18</v>
      </c>
      <c r="AF108" s="947">
        <f t="shared" si="51"/>
        <v>2737329.4872000003</v>
      </c>
      <c r="AG108" s="947" t="s">
        <v>3</v>
      </c>
    </row>
    <row r="109" spans="1:33" ht="31.5">
      <c r="A109" s="918">
        <v>93</v>
      </c>
      <c r="B109" s="943" t="s">
        <v>453</v>
      </c>
      <c r="C109" s="959" t="s">
        <v>913</v>
      </c>
      <c r="D109" s="1555"/>
      <c r="E109" s="960">
        <v>0.25</v>
      </c>
      <c r="F109" s="944"/>
      <c r="G109" s="945">
        <v>45901</v>
      </c>
      <c r="H109" s="944">
        <v>40</v>
      </c>
      <c r="I109" s="947">
        <f t="shared" si="40"/>
        <v>176970</v>
      </c>
      <c r="J109" s="947">
        <f t="shared" si="52"/>
        <v>17697</v>
      </c>
      <c r="K109" s="947"/>
      <c r="L109" s="948"/>
      <c r="M109" s="948"/>
      <c r="N109" s="948"/>
      <c r="O109" s="948"/>
      <c r="P109" s="948"/>
      <c r="Q109" s="949"/>
      <c r="R109" s="949"/>
      <c r="S109" s="947">
        <f t="shared" si="35"/>
        <v>17697</v>
      </c>
      <c r="T109" s="947">
        <f t="shared" si="42"/>
        <v>194667</v>
      </c>
      <c r="U109" s="947">
        <f t="shared" si="43"/>
        <v>19466.7</v>
      </c>
      <c r="V109" s="947">
        <f t="shared" si="44"/>
        <v>11323.495999999999</v>
      </c>
      <c r="W109" s="947">
        <f t="shared" si="45"/>
        <v>3893.34</v>
      </c>
      <c r="X109" s="947">
        <f t="shared" si="46"/>
        <v>159983.46400000001</v>
      </c>
      <c r="Y109" s="947">
        <f t="shared" si="47"/>
        <v>2336004</v>
      </c>
      <c r="Z109" s="947"/>
      <c r="AA109" s="947">
        <f t="shared" si="48"/>
        <v>2336004</v>
      </c>
      <c r="AB109" s="947">
        <f t="shared" si="38"/>
        <v>121005.00720000001</v>
      </c>
      <c r="AC109" s="947">
        <f t="shared" si="39"/>
        <v>105120.18000000001</v>
      </c>
      <c r="AD109" s="947">
        <f t="shared" si="49"/>
        <v>70080.12</v>
      </c>
      <c r="AE109" s="947">
        <f t="shared" si="50"/>
        <v>105120.18</v>
      </c>
      <c r="AF109" s="947">
        <f t="shared" si="51"/>
        <v>2737329.4872000003</v>
      </c>
      <c r="AG109" s="947" t="s">
        <v>3</v>
      </c>
    </row>
    <row r="110" spans="1:33" ht="31.5">
      <c r="A110" s="918">
        <v>94</v>
      </c>
      <c r="B110" s="943" t="s">
        <v>453</v>
      </c>
      <c r="C110" s="943" t="s">
        <v>914</v>
      </c>
      <c r="D110" s="1555"/>
      <c r="E110" s="944">
        <v>0.5</v>
      </c>
      <c r="F110" s="944"/>
      <c r="G110" s="945">
        <v>45901</v>
      </c>
      <c r="H110" s="944">
        <v>40</v>
      </c>
      <c r="I110" s="947">
        <f t="shared" si="40"/>
        <v>353940</v>
      </c>
      <c r="J110" s="947">
        <f t="shared" si="52"/>
        <v>35394</v>
      </c>
      <c r="K110" s="948"/>
      <c r="L110" s="948"/>
      <c r="M110" s="948"/>
      <c r="N110" s="948"/>
      <c r="O110" s="948"/>
      <c r="P110" s="948"/>
      <c r="Q110" s="949"/>
      <c r="R110" s="949"/>
      <c r="S110" s="947">
        <f t="shared" si="35"/>
        <v>35394</v>
      </c>
      <c r="T110" s="947">
        <f t="shared" si="42"/>
        <v>389334</v>
      </c>
      <c r="U110" s="947">
        <f t="shared" si="43"/>
        <v>38933.4</v>
      </c>
      <c r="V110" s="947">
        <f t="shared" si="44"/>
        <v>28454.191999999999</v>
      </c>
      <c r="W110" s="947">
        <f t="shared" si="45"/>
        <v>7786.68</v>
      </c>
      <c r="X110" s="947">
        <f t="shared" si="46"/>
        <v>314159.728</v>
      </c>
      <c r="Y110" s="947">
        <f t="shared" si="47"/>
        <v>4672008</v>
      </c>
      <c r="Z110" s="947"/>
      <c r="AA110" s="947">
        <f t="shared" si="48"/>
        <v>4672008</v>
      </c>
      <c r="AB110" s="947">
        <f t="shared" si="38"/>
        <v>242010.01440000001</v>
      </c>
      <c r="AC110" s="947">
        <f t="shared" si="39"/>
        <v>210240.36000000002</v>
      </c>
      <c r="AD110" s="947">
        <f t="shared" si="49"/>
        <v>140160.24</v>
      </c>
      <c r="AE110" s="947">
        <f t="shared" si="50"/>
        <v>210240.36</v>
      </c>
      <c r="AF110" s="947">
        <f t="shared" si="51"/>
        <v>5474658.9744000006</v>
      </c>
      <c r="AG110" s="947" t="s">
        <v>3</v>
      </c>
    </row>
    <row r="111" spans="1:33" ht="31.5">
      <c r="A111" s="918">
        <v>95</v>
      </c>
      <c r="B111" s="943" t="s">
        <v>453</v>
      </c>
      <c r="C111" s="943" t="s">
        <v>897</v>
      </c>
      <c r="D111" s="1555"/>
      <c r="E111" s="944">
        <v>0.25</v>
      </c>
      <c r="F111" s="944"/>
      <c r="G111" s="945">
        <v>45901</v>
      </c>
      <c r="H111" s="944">
        <v>40</v>
      </c>
      <c r="I111" s="947">
        <f t="shared" si="40"/>
        <v>176970</v>
      </c>
      <c r="J111" s="947">
        <f t="shared" si="52"/>
        <v>17697</v>
      </c>
      <c r="K111" s="948"/>
      <c r="L111" s="948"/>
      <c r="M111" s="948"/>
      <c r="N111" s="948"/>
      <c r="O111" s="948"/>
      <c r="P111" s="948"/>
      <c r="Q111" s="949"/>
      <c r="R111" s="949"/>
      <c r="S111" s="947">
        <f t="shared" si="35"/>
        <v>17697</v>
      </c>
      <c r="T111" s="947">
        <f t="shared" si="42"/>
        <v>194667</v>
      </c>
      <c r="U111" s="947">
        <f t="shared" si="43"/>
        <v>19466.7</v>
      </c>
      <c r="V111" s="947">
        <f t="shared" si="44"/>
        <v>11323.495999999999</v>
      </c>
      <c r="W111" s="947">
        <f t="shared" si="45"/>
        <v>3893.34</v>
      </c>
      <c r="X111" s="947">
        <f t="shared" si="46"/>
        <v>159983.46400000001</v>
      </c>
      <c r="Y111" s="947">
        <f t="shared" si="47"/>
        <v>2336004</v>
      </c>
      <c r="Z111" s="947"/>
      <c r="AA111" s="947">
        <f t="shared" si="48"/>
        <v>2336004</v>
      </c>
      <c r="AB111" s="947">
        <f t="shared" si="38"/>
        <v>121005.00720000001</v>
      </c>
      <c r="AC111" s="947">
        <f t="shared" si="39"/>
        <v>105120.18000000001</v>
      </c>
      <c r="AD111" s="947">
        <f t="shared" si="49"/>
        <v>70080.12</v>
      </c>
      <c r="AE111" s="947">
        <f t="shared" si="50"/>
        <v>105120.18</v>
      </c>
      <c r="AF111" s="947">
        <f t="shared" si="51"/>
        <v>2737329.4872000003</v>
      </c>
      <c r="AG111" s="947" t="s">
        <v>3</v>
      </c>
    </row>
    <row r="112" spans="1:33" ht="31.5">
      <c r="A112" s="918">
        <v>96</v>
      </c>
      <c r="B112" s="943" t="s">
        <v>453</v>
      </c>
      <c r="C112" s="959" t="s">
        <v>455</v>
      </c>
      <c r="D112" s="1555"/>
      <c r="E112" s="944">
        <v>0.25</v>
      </c>
      <c r="F112" s="944"/>
      <c r="G112" s="951">
        <v>45917</v>
      </c>
      <c r="H112" s="944">
        <v>18</v>
      </c>
      <c r="I112" s="947">
        <f t="shared" si="40"/>
        <v>79636.5</v>
      </c>
      <c r="J112" s="947">
        <f t="shared" si="52"/>
        <v>7963.6500000000005</v>
      </c>
      <c r="K112" s="948"/>
      <c r="L112" s="948"/>
      <c r="M112" s="948"/>
      <c r="N112" s="948"/>
      <c r="O112" s="948"/>
      <c r="P112" s="948"/>
      <c r="Q112" s="949"/>
      <c r="R112" s="949"/>
      <c r="S112" s="947">
        <f t="shared" si="35"/>
        <v>7963.6500000000005</v>
      </c>
      <c r="T112" s="947">
        <f t="shared" si="42"/>
        <v>87600.15</v>
      </c>
      <c r="U112" s="947">
        <f t="shared" si="43"/>
        <v>8760.0149999999994</v>
      </c>
      <c r="V112" s="947">
        <f t="shared" si="44"/>
        <v>1901.6131999999998</v>
      </c>
      <c r="W112" s="947">
        <f t="shared" si="45"/>
        <v>1752.0029999999999</v>
      </c>
      <c r="X112" s="947">
        <f t="shared" si="46"/>
        <v>75186.518799999991</v>
      </c>
      <c r="Y112" s="947">
        <f t="shared" si="47"/>
        <v>1051201.7999999998</v>
      </c>
      <c r="Z112" s="947"/>
      <c r="AA112" s="947">
        <f t="shared" si="48"/>
        <v>1051201.7999999998</v>
      </c>
      <c r="AB112" s="947">
        <f t="shared" si="38"/>
        <v>54452.253239999998</v>
      </c>
      <c r="AC112" s="947">
        <f t="shared" si="39"/>
        <v>47304.080999999998</v>
      </c>
      <c r="AD112" s="947">
        <f t="shared" si="49"/>
        <v>31536.053999999993</v>
      </c>
      <c r="AE112" s="947">
        <f t="shared" si="50"/>
        <v>47304.080999999991</v>
      </c>
      <c r="AF112" s="947">
        <f t="shared" si="51"/>
        <v>1231798.2692399998</v>
      </c>
      <c r="AG112" s="947" t="s">
        <v>3</v>
      </c>
    </row>
    <row r="113" spans="1:33" ht="31.5">
      <c r="A113" s="918">
        <v>97</v>
      </c>
      <c r="B113" s="943" t="s">
        <v>453</v>
      </c>
      <c r="C113" s="959" t="s">
        <v>898</v>
      </c>
      <c r="D113" s="1555"/>
      <c r="E113" s="944">
        <v>0.25</v>
      </c>
      <c r="F113" s="944"/>
      <c r="G113" s="951">
        <v>45917</v>
      </c>
      <c r="H113" s="944">
        <v>18</v>
      </c>
      <c r="I113" s="947">
        <f t="shared" si="40"/>
        <v>79636.5</v>
      </c>
      <c r="J113" s="947">
        <f t="shared" si="52"/>
        <v>7963.6500000000005</v>
      </c>
      <c r="K113" s="948"/>
      <c r="L113" s="948"/>
      <c r="M113" s="948"/>
      <c r="N113" s="948"/>
      <c r="O113" s="948"/>
      <c r="P113" s="948"/>
      <c r="Q113" s="949"/>
      <c r="R113" s="949"/>
      <c r="S113" s="947">
        <f t="shared" ref="S113:S122" si="53">SUM(J113:R113)</f>
        <v>7963.6500000000005</v>
      </c>
      <c r="T113" s="947">
        <f t="shared" si="42"/>
        <v>87600.15</v>
      </c>
      <c r="U113" s="947">
        <f t="shared" si="43"/>
        <v>8760.0149999999994</v>
      </c>
      <c r="V113" s="947">
        <f t="shared" si="44"/>
        <v>1901.6131999999998</v>
      </c>
      <c r="W113" s="947">
        <f t="shared" si="45"/>
        <v>1752.0029999999999</v>
      </c>
      <c r="X113" s="947">
        <f t="shared" si="46"/>
        <v>75186.518799999991</v>
      </c>
      <c r="Y113" s="947">
        <f t="shared" si="47"/>
        <v>1051201.7999999998</v>
      </c>
      <c r="Z113" s="947"/>
      <c r="AA113" s="947">
        <f t="shared" si="48"/>
        <v>1051201.7999999998</v>
      </c>
      <c r="AB113" s="947">
        <f t="shared" si="38"/>
        <v>54452.253239999998</v>
      </c>
      <c r="AC113" s="947">
        <f t="shared" si="39"/>
        <v>47304.080999999998</v>
      </c>
      <c r="AD113" s="947">
        <f t="shared" si="49"/>
        <v>31536.053999999993</v>
      </c>
      <c r="AE113" s="947">
        <f t="shared" si="50"/>
        <v>47304.080999999991</v>
      </c>
      <c r="AF113" s="947">
        <f t="shared" si="51"/>
        <v>1231798.2692399998</v>
      </c>
      <c r="AG113" s="947" t="s">
        <v>3</v>
      </c>
    </row>
    <row r="114" spans="1:33" ht="31.5">
      <c r="A114" s="918">
        <v>98</v>
      </c>
      <c r="B114" s="943" t="s">
        <v>453</v>
      </c>
      <c r="C114" s="959" t="s">
        <v>915</v>
      </c>
      <c r="D114" s="1555"/>
      <c r="E114" s="944">
        <v>0.25</v>
      </c>
      <c r="F114" s="944"/>
      <c r="G114" s="951">
        <v>45917</v>
      </c>
      <c r="H114" s="944">
        <v>18</v>
      </c>
      <c r="I114" s="947">
        <f t="shared" si="40"/>
        <v>79636.5</v>
      </c>
      <c r="J114" s="947">
        <f t="shared" si="52"/>
        <v>7963.6500000000005</v>
      </c>
      <c r="K114" s="948"/>
      <c r="L114" s="948"/>
      <c r="M114" s="948"/>
      <c r="N114" s="948"/>
      <c r="O114" s="948"/>
      <c r="P114" s="948"/>
      <c r="Q114" s="949"/>
      <c r="R114" s="949"/>
      <c r="S114" s="947">
        <f t="shared" si="53"/>
        <v>7963.6500000000005</v>
      </c>
      <c r="T114" s="947">
        <f t="shared" si="42"/>
        <v>87600.15</v>
      </c>
      <c r="U114" s="947">
        <f t="shared" si="43"/>
        <v>8760.0149999999994</v>
      </c>
      <c r="V114" s="947">
        <f t="shared" si="44"/>
        <v>1901.6131999999998</v>
      </c>
      <c r="W114" s="947">
        <f t="shared" si="45"/>
        <v>1752.0029999999999</v>
      </c>
      <c r="X114" s="947">
        <f t="shared" si="46"/>
        <v>75186.518799999991</v>
      </c>
      <c r="Y114" s="947">
        <f t="shared" si="47"/>
        <v>1051201.7999999998</v>
      </c>
      <c r="Z114" s="947"/>
      <c r="AA114" s="947">
        <f t="shared" si="48"/>
        <v>1051201.7999999998</v>
      </c>
      <c r="AB114" s="947">
        <f t="shared" si="38"/>
        <v>54452.253239999998</v>
      </c>
      <c r="AC114" s="947">
        <f t="shared" si="39"/>
        <v>47304.080999999998</v>
      </c>
      <c r="AD114" s="947">
        <f t="shared" si="49"/>
        <v>31536.053999999993</v>
      </c>
      <c r="AE114" s="947">
        <f t="shared" si="50"/>
        <v>47304.080999999991</v>
      </c>
      <c r="AF114" s="947">
        <f t="shared" si="51"/>
        <v>1231798.2692399998</v>
      </c>
      <c r="AG114" s="947" t="s">
        <v>3</v>
      </c>
    </row>
    <row r="115" spans="1:33" ht="31.5">
      <c r="A115" s="918">
        <v>99</v>
      </c>
      <c r="B115" s="943" t="s">
        <v>453</v>
      </c>
      <c r="C115" s="959" t="s">
        <v>548</v>
      </c>
      <c r="D115" s="1555"/>
      <c r="E115" s="944">
        <v>0.5</v>
      </c>
      <c r="F115" s="944"/>
      <c r="G115" s="945">
        <v>45901</v>
      </c>
      <c r="H115" s="944">
        <v>40</v>
      </c>
      <c r="I115" s="947">
        <f t="shared" si="40"/>
        <v>353940</v>
      </c>
      <c r="J115" s="947">
        <f t="shared" si="52"/>
        <v>35394</v>
      </c>
      <c r="K115" s="948"/>
      <c r="L115" s="948"/>
      <c r="M115" s="948"/>
      <c r="N115" s="948"/>
      <c r="O115" s="948"/>
      <c r="P115" s="948"/>
      <c r="Q115" s="949"/>
      <c r="R115" s="949"/>
      <c r="S115" s="947">
        <f t="shared" si="53"/>
        <v>35394</v>
      </c>
      <c r="T115" s="947">
        <f t="shared" si="42"/>
        <v>389334</v>
      </c>
      <c r="U115" s="947">
        <f t="shared" si="43"/>
        <v>38933.4</v>
      </c>
      <c r="V115" s="947">
        <f t="shared" si="44"/>
        <v>28454.191999999999</v>
      </c>
      <c r="W115" s="947">
        <f t="shared" si="45"/>
        <v>7786.68</v>
      </c>
      <c r="X115" s="947">
        <f t="shared" si="46"/>
        <v>314159.728</v>
      </c>
      <c r="Y115" s="947">
        <f t="shared" si="47"/>
        <v>4672008</v>
      </c>
      <c r="Z115" s="947"/>
      <c r="AA115" s="947">
        <f t="shared" si="48"/>
        <v>4672008</v>
      </c>
      <c r="AB115" s="947">
        <f t="shared" si="38"/>
        <v>242010.01440000001</v>
      </c>
      <c r="AC115" s="947">
        <f t="shared" si="39"/>
        <v>210240.36000000002</v>
      </c>
      <c r="AD115" s="947">
        <f t="shared" si="49"/>
        <v>140160.24</v>
      </c>
      <c r="AE115" s="947">
        <f t="shared" si="50"/>
        <v>210240.36</v>
      </c>
      <c r="AF115" s="947">
        <f t="shared" si="51"/>
        <v>5474658.9744000006</v>
      </c>
      <c r="AG115" s="947" t="s">
        <v>3</v>
      </c>
    </row>
    <row r="116" spans="1:33" ht="31.5">
      <c r="A116" s="918">
        <v>100</v>
      </c>
      <c r="B116" s="943" t="s">
        <v>453</v>
      </c>
      <c r="C116" s="959" t="s">
        <v>916</v>
      </c>
      <c r="D116" s="1555"/>
      <c r="E116" s="944">
        <v>0.5</v>
      </c>
      <c r="F116" s="944"/>
      <c r="G116" s="945">
        <v>45931</v>
      </c>
      <c r="H116" s="944">
        <v>40</v>
      </c>
      <c r="I116" s="947">
        <f t="shared" si="40"/>
        <v>353940</v>
      </c>
      <c r="J116" s="947">
        <f t="shared" si="52"/>
        <v>35394</v>
      </c>
      <c r="K116" s="948"/>
      <c r="L116" s="948"/>
      <c r="M116" s="948"/>
      <c r="N116" s="948"/>
      <c r="O116" s="948"/>
      <c r="P116" s="948"/>
      <c r="Q116" s="949"/>
      <c r="R116" s="949"/>
      <c r="S116" s="947">
        <f t="shared" si="53"/>
        <v>35394</v>
      </c>
      <c r="T116" s="947">
        <f t="shared" si="42"/>
        <v>389334</v>
      </c>
      <c r="U116" s="947">
        <f t="shared" si="43"/>
        <v>38933.4</v>
      </c>
      <c r="V116" s="947">
        <f t="shared" si="44"/>
        <v>28454.191999999999</v>
      </c>
      <c r="W116" s="947">
        <f t="shared" si="45"/>
        <v>7786.68</v>
      </c>
      <c r="X116" s="947">
        <f t="shared" si="46"/>
        <v>314159.728</v>
      </c>
      <c r="Y116" s="947">
        <f t="shared" si="47"/>
        <v>4672008</v>
      </c>
      <c r="Z116" s="947"/>
      <c r="AA116" s="947">
        <f t="shared" si="48"/>
        <v>4672008</v>
      </c>
      <c r="AB116" s="947">
        <f t="shared" si="38"/>
        <v>242010.01440000001</v>
      </c>
      <c r="AC116" s="947">
        <f t="shared" si="39"/>
        <v>210240.36000000002</v>
      </c>
      <c r="AD116" s="947">
        <f t="shared" si="49"/>
        <v>140160.24</v>
      </c>
      <c r="AE116" s="947">
        <f t="shared" si="50"/>
        <v>210240.36</v>
      </c>
      <c r="AF116" s="947">
        <f t="shared" si="51"/>
        <v>5474658.9744000006</v>
      </c>
      <c r="AG116" s="947" t="s">
        <v>3</v>
      </c>
    </row>
    <row r="117" spans="1:33" ht="31.5">
      <c r="A117" s="918">
        <v>101</v>
      </c>
      <c r="B117" s="943" t="s">
        <v>453</v>
      </c>
      <c r="C117" s="959" t="s">
        <v>917</v>
      </c>
      <c r="D117" s="1555"/>
      <c r="E117" s="944">
        <v>0.25</v>
      </c>
      <c r="F117" s="944"/>
      <c r="G117" s="951">
        <v>45917</v>
      </c>
      <c r="H117" s="944">
        <v>18</v>
      </c>
      <c r="I117" s="947">
        <f t="shared" si="40"/>
        <v>79636.5</v>
      </c>
      <c r="J117" s="947">
        <f t="shared" si="52"/>
        <v>7963.6500000000005</v>
      </c>
      <c r="K117" s="948"/>
      <c r="L117" s="948"/>
      <c r="M117" s="948"/>
      <c r="N117" s="948"/>
      <c r="O117" s="948"/>
      <c r="P117" s="948"/>
      <c r="Q117" s="949"/>
      <c r="R117" s="949"/>
      <c r="S117" s="947">
        <f t="shared" si="53"/>
        <v>7963.6500000000005</v>
      </c>
      <c r="T117" s="947">
        <f t="shared" si="42"/>
        <v>87600.15</v>
      </c>
      <c r="U117" s="947">
        <f t="shared" si="43"/>
        <v>8760.0149999999994</v>
      </c>
      <c r="V117" s="947">
        <f t="shared" si="44"/>
        <v>1901.6131999999998</v>
      </c>
      <c r="W117" s="947">
        <f t="shared" si="45"/>
        <v>1752.0029999999999</v>
      </c>
      <c r="X117" s="947">
        <f t="shared" si="46"/>
        <v>75186.518799999991</v>
      </c>
      <c r="Y117" s="947">
        <f t="shared" si="47"/>
        <v>1051201.7999999998</v>
      </c>
      <c r="Z117" s="947"/>
      <c r="AA117" s="947">
        <f t="shared" si="48"/>
        <v>1051201.7999999998</v>
      </c>
      <c r="AB117" s="947">
        <f t="shared" si="38"/>
        <v>54452.253239999998</v>
      </c>
      <c r="AC117" s="947">
        <f t="shared" si="39"/>
        <v>47304.080999999998</v>
      </c>
      <c r="AD117" s="947">
        <f t="shared" si="49"/>
        <v>31536.053999999993</v>
      </c>
      <c r="AE117" s="947">
        <f t="shared" si="50"/>
        <v>47304.080999999991</v>
      </c>
      <c r="AF117" s="947">
        <f t="shared" si="51"/>
        <v>1231798.2692399998</v>
      </c>
      <c r="AG117" s="947" t="s">
        <v>3</v>
      </c>
    </row>
    <row r="118" spans="1:33" ht="31.5">
      <c r="A118" s="918">
        <v>102</v>
      </c>
      <c r="B118" s="943" t="s">
        <v>453</v>
      </c>
      <c r="C118" s="959" t="s">
        <v>918</v>
      </c>
      <c r="D118" s="1555"/>
      <c r="E118" s="944">
        <v>0.25</v>
      </c>
      <c r="F118" s="944"/>
      <c r="G118" s="951">
        <v>45917</v>
      </c>
      <c r="H118" s="944">
        <v>18</v>
      </c>
      <c r="I118" s="947">
        <f t="shared" si="40"/>
        <v>79636.5</v>
      </c>
      <c r="J118" s="947">
        <f t="shared" si="52"/>
        <v>7963.6500000000005</v>
      </c>
      <c r="K118" s="948"/>
      <c r="L118" s="948"/>
      <c r="M118" s="948"/>
      <c r="N118" s="948"/>
      <c r="O118" s="948"/>
      <c r="P118" s="948"/>
      <c r="Q118" s="949"/>
      <c r="R118" s="949"/>
      <c r="S118" s="947">
        <f t="shared" si="53"/>
        <v>7963.6500000000005</v>
      </c>
      <c r="T118" s="947">
        <f t="shared" si="42"/>
        <v>87600.15</v>
      </c>
      <c r="U118" s="947">
        <f t="shared" si="43"/>
        <v>8760.0149999999994</v>
      </c>
      <c r="V118" s="947">
        <f t="shared" si="44"/>
        <v>1901.6131999999998</v>
      </c>
      <c r="W118" s="947">
        <f t="shared" si="45"/>
        <v>1752.0029999999999</v>
      </c>
      <c r="X118" s="947">
        <f t="shared" si="46"/>
        <v>75186.518799999991</v>
      </c>
      <c r="Y118" s="947">
        <f t="shared" si="47"/>
        <v>1051201.7999999998</v>
      </c>
      <c r="Z118" s="947"/>
      <c r="AA118" s="947">
        <f t="shared" si="48"/>
        <v>1051201.7999999998</v>
      </c>
      <c r="AB118" s="947">
        <f t="shared" si="38"/>
        <v>54452.253239999998</v>
      </c>
      <c r="AC118" s="947">
        <f t="shared" si="39"/>
        <v>47304.080999999998</v>
      </c>
      <c r="AD118" s="947">
        <f t="shared" si="49"/>
        <v>31536.053999999993</v>
      </c>
      <c r="AE118" s="947">
        <f t="shared" si="50"/>
        <v>47304.080999999991</v>
      </c>
      <c r="AF118" s="947">
        <f t="shared" si="51"/>
        <v>1231798.2692399998</v>
      </c>
      <c r="AG118" s="947" t="s">
        <v>3</v>
      </c>
    </row>
    <row r="119" spans="1:33" ht="31.5">
      <c r="A119" s="918">
        <v>103</v>
      </c>
      <c r="B119" s="943" t="s">
        <v>453</v>
      </c>
      <c r="C119" s="959" t="s">
        <v>919</v>
      </c>
      <c r="D119" s="1555"/>
      <c r="E119" s="944">
        <v>0.25</v>
      </c>
      <c r="F119" s="944"/>
      <c r="G119" s="945">
        <v>45901</v>
      </c>
      <c r="H119" s="944">
        <v>40</v>
      </c>
      <c r="I119" s="947">
        <f t="shared" si="40"/>
        <v>176970</v>
      </c>
      <c r="J119" s="947">
        <f t="shared" si="52"/>
        <v>17697</v>
      </c>
      <c r="K119" s="948"/>
      <c r="L119" s="948"/>
      <c r="M119" s="948"/>
      <c r="N119" s="948"/>
      <c r="O119" s="948"/>
      <c r="P119" s="948"/>
      <c r="Q119" s="949"/>
      <c r="R119" s="949"/>
      <c r="S119" s="947">
        <f t="shared" si="53"/>
        <v>17697</v>
      </c>
      <c r="T119" s="947">
        <f t="shared" si="42"/>
        <v>194667</v>
      </c>
      <c r="U119" s="947">
        <f t="shared" si="43"/>
        <v>19466.7</v>
      </c>
      <c r="V119" s="947">
        <f t="shared" si="44"/>
        <v>11323.495999999999</v>
      </c>
      <c r="W119" s="947">
        <f t="shared" si="45"/>
        <v>3893.34</v>
      </c>
      <c r="X119" s="947">
        <f t="shared" si="46"/>
        <v>159983.46400000001</v>
      </c>
      <c r="Y119" s="947">
        <f t="shared" si="47"/>
        <v>2336004</v>
      </c>
      <c r="Z119" s="947"/>
      <c r="AA119" s="947">
        <f t="shared" si="48"/>
        <v>2336004</v>
      </c>
      <c r="AB119" s="947">
        <f t="shared" si="38"/>
        <v>121005.00720000001</v>
      </c>
      <c r="AC119" s="947">
        <f t="shared" si="39"/>
        <v>105120.18000000001</v>
      </c>
      <c r="AD119" s="947">
        <f t="shared" si="49"/>
        <v>70080.12</v>
      </c>
      <c r="AE119" s="947">
        <f t="shared" si="50"/>
        <v>105120.18</v>
      </c>
      <c r="AF119" s="947">
        <f t="shared" si="51"/>
        <v>2737329.4872000003</v>
      </c>
      <c r="AG119" s="947" t="s">
        <v>3</v>
      </c>
    </row>
    <row r="120" spans="1:33" ht="31.5">
      <c r="A120" s="918">
        <v>104</v>
      </c>
      <c r="B120" s="943" t="s">
        <v>453</v>
      </c>
      <c r="C120" s="959" t="s">
        <v>455</v>
      </c>
      <c r="D120" s="1555"/>
      <c r="E120" s="944"/>
      <c r="F120" s="944"/>
      <c r="G120" s="945"/>
      <c r="H120" s="944">
        <v>40</v>
      </c>
      <c r="I120" s="947">
        <f>17697*H120</f>
        <v>707880</v>
      </c>
      <c r="J120" s="947">
        <f t="shared" si="52"/>
        <v>70788</v>
      </c>
      <c r="K120" s="948"/>
      <c r="L120" s="948"/>
      <c r="M120" s="948"/>
      <c r="N120" s="948"/>
      <c r="O120" s="948"/>
      <c r="P120" s="948"/>
      <c r="Q120" s="949"/>
      <c r="R120" s="949"/>
      <c r="S120" s="947">
        <f t="shared" si="53"/>
        <v>70788</v>
      </c>
      <c r="T120" s="947">
        <f t="shared" si="42"/>
        <v>778668</v>
      </c>
      <c r="U120" s="947">
        <f t="shared" si="43"/>
        <v>77866.8</v>
      </c>
      <c r="V120" s="947">
        <f t="shared" si="44"/>
        <v>62715.584000000003</v>
      </c>
      <c r="W120" s="947">
        <f t="shared" si="45"/>
        <v>15573.36</v>
      </c>
      <c r="X120" s="947">
        <f t="shared" si="46"/>
        <v>622512.25599999994</v>
      </c>
      <c r="Y120" s="947">
        <f t="shared" si="47"/>
        <v>9344016</v>
      </c>
      <c r="Z120" s="947">
        <f t="shared" si="36"/>
        <v>1415760</v>
      </c>
      <c r="AA120" s="947">
        <f t="shared" si="48"/>
        <v>10759776</v>
      </c>
      <c r="AB120" s="947">
        <f t="shared" si="38"/>
        <v>560471.06880000001</v>
      </c>
      <c r="AC120" s="947">
        <f t="shared" si="39"/>
        <v>484189.92000000004</v>
      </c>
      <c r="AD120" s="947">
        <f t="shared" si="49"/>
        <v>280320.48</v>
      </c>
      <c r="AE120" s="947">
        <f t="shared" si="50"/>
        <v>484189.92</v>
      </c>
      <c r="AF120" s="947">
        <f t="shared" si="51"/>
        <v>12568947.388800001</v>
      </c>
      <c r="AG120" s="947" t="s">
        <v>3</v>
      </c>
    </row>
    <row r="121" spans="1:33" ht="31.5">
      <c r="A121" s="918">
        <v>105</v>
      </c>
      <c r="B121" s="943" t="s">
        <v>453</v>
      </c>
      <c r="C121" s="959" t="s">
        <v>915</v>
      </c>
      <c r="D121" s="1555"/>
      <c r="E121" s="944"/>
      <c r="F121" s="944"/>
      <c r="G121" s="945"/>
      <c r="H121" s="944">
        <v>40</v>
      </c>
      <c r="I121" s="947">
        <f>17697*H121</f>
        <v>707880</v>
      </c>
      <c r="J121" s="947">
        <f t="shared" si="52"/>
        <v>70788</v>
      </c>
      <c r="K121" s="948"/>
      <c r="L121" s="948"/>
      <c r="M121" s="948"/>
      <c r="N121" s="948"/>
      <c r="O121" s="948"/>
      <c r="P121" s="948"/>
      <c r="Q121" s="949"/>
      <c r="R121" s="949"/>
      <c r="S121" s="947">
        <f t="shared" si="53"/>
        <v>70788</v>
      </c>
      <c r="T121" s="947">
        <f t="shared" si="42"/>
        <v>778668</v>
      </c>
      <c r="U121" s="947">
        <f t="shared" si="43"/>
        <v>77866.8</v>
      </c>
      <c r="V121" s="947">
        <f t="shared" si="44"/>
        <v>62715.584000000003</v>
      </c>
      <c r="W121" s="947">
        <f t="shared" si="45"/>
        <v>15573.36</v>
      </c>
      <c r="X121" s="947">
        <f t="shared" si="46"/>
        <v>622512.25599999994</v>
      </c>
      <c r="Y121" s="947">
        <f t="shared" si="47"/>
        <v>9344016</v>
      </c>
      <c r="Z121" s="947">
        <f t="shared" si="36"/>
        <v>1415760</v>
      </c>
      <c r="AA121" s="947">
        <f t="shared" si="48"/>
        <v>10759776</v>
      </c>
      <c r="AB121" s="947">
        <f t="shared" si="38"/>
        <v>560471.06880000001</v>
      </c>
      <c r="AC121" s="947">
        <f t="shared" si="39"/>
        <v>484189.92000000004</v>
      </c>
      <c r="AD121" s="947">
        <f t="shared" si="49"/>
        <v>280320.48</v>
      </c>
      <c r="AE121" s="947">
        <f t="shared" si="50"/>
        <v>484189.92</v>
      </c>
      <c r="AF121" s="947">
        <f t="shared" si="51"/>
        <v>12568947.388800001</v>
      </c>
      <c r="AG121" s="947" t="s">
        <v>3</v>
      </c>
    </row>
    <row r="122" spans="1:33" ht="31.5">
      <c r="A122" s="918">
        <v>106</v>
      </c>
      <c r="B122" s="943" t="s">
        <v>453</v>
      </c>
      <c r="C122" s="959" t="s">
        <v>918</v>
      </c>
      <c r="D122" s="1555"/>
      <c r="E122" s="944"/>
      <c r="F122" s="944"/>
      <c r="G122" s="951"/>
      <c r="H122" s="944">
        <v>40</v>
      </c>
      <c r="I122" s="947">
        <f>17697*H122</f>
        <v>707880</v>
      </c>
      <c r="J122" s="947">
        <f t="shared" si="52"/>
        <v>70788</v>
      </c>
      <c r="K122" s="948"/>
      <c r="L122" s="948"/>
      <c r="M122" s="948"/>
      <c r="N122" s="948"/>
      <c r="O122" s="948"/>
      <c r="P122" s="948"/>
      <c r="Q122" s="949"/>
      <c r="R122" s="949"/>
      <c r="S122" s="947">
        <f t="shared" si="53"/>
        <v>70788</v>
      </c>
      <c r="T122" s="947">
        <f t="shared" si="42"/>
        <v>778668</v>
      </c>
      <c r="U122" s="947">
        <f t="shared" si="43"/>
        <v>77866.8</v>
      </c>
      <c r="V122" s="947">
        <f t="shared" si="44"/>
        <v>62715.584000000003</v>
      </c>
      <c r="W122" s="947">
        <f t="shared" si="45"/>
        <v>15573.36</v>
      </c>
      <c r="X122" s="947">
        <f t="shared" si="46"/>
        <v>622512.25599999994</v>
      </c>
      <c r="Y122" s="947">
        <f t="shared" si="47"/>
        <v>9344016</v>
      </c>
      <c r="Z122" s="947">
        <f t="shared" si="36"/>
        <v>1415760</v>
      </c>
      <c r="AA122" s="947">
        <f t="shared" si="48"/>
        <v>10759776</v>
      </c>
      <c r="AB122" s="947">
        <f t="shared" si="38"/>
        <v>560471.06880000001</v>
      </c>
      <c r="AC122" s="947">
        <f t="shared" si="39"/>
        <v>484189.92000000004</v>
      </c>
      <c r="AD122" s="947">
        <f t="shared" si="49"/>
        <v>280320.48</v>
      </c>
      <c r="AE122" s="947">
        <f t="shared" si="50"/>
        <v>484189.92</v>
      </c>
      <c r="AF122" s="947">
        <f t="shared" si="51"/>
        <v>12568947.388800001</v>
      </c>
      <c r="AG122" s="947" t="s">
        <v>3</v>
      </c>
    </row>
    <row r="123" spans="1:33" ht="24" customHeight="1">
      <c r="B123" s="919" t="s">
        <v>830</v>
      </c>
      <c r="C123" s="920"/>
      <c r="D123" s="921">
        <f>SUM(D39:D92)</f>
        <v>47</v>
      </c>
      <c r="E123" s="921">
        <f>SUM(E39:E92)</f>
        <v>47</v>
      </c>
      <c r="F123" s="918"/>
      <c r="G123" s="918"/>
      <c r="H123" s="918"/>
      <c r="I123" s="924">
        <f>SUM(I39:I122)</f>
        <v>21758461.5</v>
      </c>
      <c r="J123" s="924">
        <f t="shared" ref="J123:AF123" si="54">SUM(J39:J122)</f>
        <v>2175846.149999999</v>
      </c>
      <c r="K123" s="924">
        <f t="shared" si="54"/>
        <v>0</v>
      </c>
      <c r="L123" s="924">
        <f t="shared" si="54"/>
        <v>0</v>
      </c>
      <c r="M123" s="924">
        <f t="shared" si="54"/>
        <v>134497.20000000001</v>
      </c>
      <c r="N123" s="924">
        <f t="shared" si="54"/>
        <v>0</v>
      </c>
      <c r="O123" s="924">
        <f t="shared" si="54"/>
        <v>0</v>
      </c>
      <c r="P123" s="924">
        <f t="shared" si="54"/>
        <v>15927.3</v>
      </c>
      <c r="Q123" s="924">
        <f t="shared" si="54"/>
        <v>0</v>
      </c>
      <c r="R123" s="924">
        <f t="shared" si="54"/>
        <v>0</v>
      </c>
      <c r="S123" s="924">
        <f t="shared" si="54"/>
        <v>2326270.6499999985</v>
      </c>
      <c r="T123" s="924">
        <f t="shared" si="54"/>
        <v>24084732.149999991</v>
      </c>
      <c r="U123" s="924">
        <f t="shared" si="54"/>
        <v>2408473.2149999994</v>
      </c>
      <c r="V123" s="924">
        <f t="shared" si="54"/>
        <v>1660687.629200001</v>
      </c>
      <c r="W123" s="924">
        <f t="shared" si="54"/>
        <v>481694.64300000027</v>
      </c>
      <c r="X123" s="924">
        <f t="shared" si="54"/>
        <v>19533876.662799999</v>
      </c>
      <c r="Y123" s="924">
        <f t="shared" si="54"/>
        <v>289016785.80000013</v>
      </c>
      <c r="Z123" s="924">
        <f t="shared" si="54"/>
        <v>23448525</v>
      </c>
      <c r="AA123" s="924">
        <f t="shared" si="54"/>
        <v>312465310.80000019</v>
      </c>
      <c r="AB123" s="924">
        <f t="shared" si="54"/>
        <v>16237289.854440005</v>
      </c>
      <c r="AC123" s="924">
        <f t="shared" si="54"/>
        <v>14060938.986</v>
      </c>
      <c r="AD123" s="924">
        <f t="shared" si="54"/>
        <v>8670503.574000001</v>
      </c>
      <c r="AE123" s="924">
        <f t="shared" si="54"/>
        <v>14060938.985999998</v>
      </c>
      <c r="AF123" s="924">
        <f t="shared" si="54"/>
        <v>365494982.20044023</v>
      </c>
      <c r="AG123" s="923"/>
    </row>
    <row r="124" spans="1:33" ht="20.25" customHeight="1">
      <c r="A124" s="1544" t="s">
        <v>474</v>
      </c>
      <c r="B124" s="1544"/>
      <c r="C124" s="1544"/>
      <c r="D124" s="1544"/>
      <c r="E124" s="1544"/>
      <c r="F124" s="1544"/>
      <c r="G124" s="1544"/>
      <c r="H124" s="1544"/>
      <c r="I124" s="1544"/>
      <c r="J124" s="1544"/>
      <c r="K124" s="1544"/>
      <c r="L124" s="1544"/>
      <c r="M124" s="1544"/>
      <c r="N124" s="1544"/>
      <c r="O124" s="1544"/>
      <c r="P124" s="1544"/>
      <c r="Q124" s="1544"/>
      <c r="R124" s="1544"/>
      <c r="S124" s="1544"/>
      <c r="T124" s="1544"/>
      <c r="U124" s="1544"/>
      <c r="V124" s="1544"/>
      <c r="W124" s="1544"/>
      <c r="X124" s="1544"/>
      <c r="Y124" s="1544"/>
      <c r="Z124" s="1544"/>
      <c r="AA124" s="1544"/>
      <c r="AB124" s="1544"/>
      <c r="AC124" s="1544"/>
      <c r="AD124" s="1544"/>
      <c r="AE124" s="1544"/>
      <c r="AF124" s="1544"/>
      <c r="AG124" s="1544"/>
    </row>
    <row r="125" spans="1:33">
      <c r="A125" s="918">
        <v>78</v>
      </c>
      <c r="B125" s="961" t="s">
        <v>475</v>
      </c>
      <c r="C125" s="962" t="s">
        <v>476</v>
      </c>
      <c r="D125" s="918">
        <v>1</v>
      </c>
      <c r="E125" s="918">
        <v>1</v>
      </c>
      <c r="F125" s="887"/>
      <c r="G125" s="888">
        <v>44797</v>
      </c>
      <c r="H125" s="918">
        <v>21</v>
      </c>
      <c r="I125" s="892">
        <f t="shared" ref="I125:I127" si="55">E125*17697*H125</f>
        <v>371637</v>
      </c>
      <c r="J125" s="892">
        <f t="shared" ref="J125:J127" si="56">I125*10%</f>
        <v>37163.700000000004</v>
      </c>
      <c r="K125" s="887"/>
      <c r="L125" s="887"/>
      <c r="M125" s="887"/>
      <c r="N125" s="887"/>
      <c r="O125" s="887"/>
      <c r="P125" s="887"/>
      <c r="Q125" s="923"/>
      <c r="R125" s="923"/>
      <c r="S125" s="892">
        <f t="shared" ref="S125:S127" si="57">SUM(J125:R125)</f>
        <v>37163.700000000004</v>
      </c>
      <c r="T125" s="892">
        <f t="shared" ref="T125:T127" si="58">I125+S125</f>
        <v>408800.7</v>
      </c>
      <c r="U125" s="892">
        <f t="shared" ref="U125:U127" si="59">T125*10%</f>
        <v>40880.070000000007</v>
      </c>
      <c r="V125" s="892">
        <f>((T125-U125-W125)-(14*4148))*10%</f>
        <v>30167.261599999998</v>
      </c>
      <c r="W125" s="892">
        <f t="shared" ref="W125:W127" si="60">T125*2%</f>
        <v>8176.0140000000001</v>
      </c>
      <c r="X125" s="892">
        <f t="shared" ref="X125:X127" si="61">T125-U125-V125-W125</f>
        <v>329577.35440000001</v>
      </c>
      <c r="Y125" s="892">
        <f t="shared" ref="Y125:Y127" si="62">T125*12</f>
        <v>4905608.4000000004</v>
      </c>
      <c r="Z125" s="892">
        <f t="shared" ref="Z125:Z127" si="63">I125</f>
        <v>371637</v>
      </c>
      <c r="AA125" s="892">
        <f t="shared" ref="AA125:AA127" si="64">Y125+Z125</f>
        <v>5277245.4000000004</v>
      </c>
      <c r="AB125" s="892">
        <f>(AA125*0.9-(W125*12))*11%-AC125</f>
        <v>274178.91312000004</v>
      </c>
      <c r="AC125" s="892">
        <f>AA125*0.9*5%</f>
        <v>237476.04300000003</v>
      </c>
      <c r="AD125" s="892">
        <f t="shared" ref="AD125:AD127" si="65">Y125*3%</f>
        <v>147168.25200000001</v>
      </c>
      <c r="AE125" s="892">
        <f>AA125*4.5%</f>
        <v>237476.04300000001</v>
      </c>
      <c r="AF125" s="892">
        <f t="shared" ref="AF125:AF127" si="66">AA125+AB125+AC125+AD125+AE125</f>
        <v>6173544.6511199996</v>
      </c>
      <c r="AG125" s="892" t="s">
        <v>3</v>
      </c>
    </row>
    <row r="126" spans="1:33" ht="15.75" customHeight="1">
      <c r="A126" s="918">
        <v>79</v>
      </c>
      <c r="B126" s="961" t="s">
        <v>19</v>
      </c>
      <c r="C126" s="962" t="s">
        <v>477</v>
      </c>
      <c r="D126" s="918">
        <v>1</v>
      </c>
      <c r="E126" s="918">
        <v>1</v>
      </c>
      <c r="F126" s="887"/>
      <c r="G126" s="888">
        <v>42248</v>
      </c>
      <c r="H126" s="918">
        <v>16</v>
      </c>
      <c r="I126" s="892">
        <f t="shared" si="55"/>
        <v>283152</v>
      </c>
      <c r="J126" s="892">
        <f t="shared" si="56"/>
        <v>28315.200000000001</v>
      </c>
      <c r="K126" s="887"/>
      <c r="L126" s="887"/>
      <c r="M126" s="887"/>
      <c r="N126" s="887"/>
      <c r="O126" s="887"/>
      <c r="P126" s="887"/>
      <c r="Q126" s="923"/>
      <c r="R126" s="923"/>
      <c r="S126" s="892">
        <f t="shared" si="57"/>
        <v>28315.200000000001</v>
      </c>
      <c r="T126" s="892">
        <f t="shared" si="58"/>
        <v>311467.2</v>
      </c>
      <c r="U126" s="892">
        <f t="shared" si="59"/>
        <v>31146.720000000001</v>
      </c>
      <c r="V126" s="892">
        <f>((T126-U126-W126)-(14*4148))*10%</f>
        <v>21601.9136</v>
      </c>
      <c r="W126" s="892">
        <f t="shared" si="60"/>
        <v>6229.3440000000001</v>
      </c>
      <c r="X126" s="892">
        <f t="shared" si="61"/>
        <v>252489.22239999997</v>
      </c>
      <c r="Y126" s="892">
        <f t="shared" si="62"/>
        <v>3737606.4000000004</v>
      </c>
      <c r="Z126" s="892">
        <f t="shared" si="63"/>
        <v>283152</v>
      </c>
      <c r="AA126" s="892">
        <f t="shared" si="64"/>
        <v>4020758.4000000004</v>
      </c>
      <c r="AB126" s="892">
        <f>(AA126*0.9-(W126*12))*11%-AC126</f>
        <v>208898.21952000004</v>
      </c>
      <c r="AC126" s="892">
        <f t="shared" ref="AC126:AC127" si="67">AA126*0.9*5%</f>
        <v>180934.12800000003</v>
      </c>
      <c r="AD126" s="892">
        <f t="shared" si="65"/>
        <v>112128.19200000001</v>
      </c>
      <c r="AE126" s="892">
        <f>AA126*4.5%</f>
        <v>180934.128</v>
      </c>
      <c r="AF126" s="892">
        <f t="shared" si="66"/>
        <v>4703653.0675199991</v>
      </c>
      <c r="AG126" s="892" t="s">
        <v>3</v>
      </c>
    </row>
    <row r="127" spans="1:33">
      <c r="A127" s="918">
        <v>80</v>
      </c>
      <c r="B127" s="963" t="s">
        <v>478</v>
      </c>
      <c r="C127" s="964" t="s">
        <v>479</v>
      </c>
      <c r="D127" s="918">
        <v>1</v>
      </c>
      <c r="E127" s="918">
        <v>1</v>
      </c>
      <c r="F127" s="887"/>
      <c r="G127" s="888">
        <v>44151</v>
      </c>
      <c r="H127" s="918">
        <v>16</v>
      </c>
      <c r="I127" s="892">
        <f t="shared" si="55"/>
        <v>283152</v>
      </c>
      <c r="J127" s="892">
        <f t="shared" si="56"/>
        <v>28315.200000000001</v>
      </c>
      <c r="K127" s="887"/>
      <c r="L127" s="887"/>
      <c r="M127" s="887"/>
      <c r="N127" s="887"/>
      <c r="O127" s="887"/>
      <c r="P127" s="887"/>
      <c r="Q127" s="923"/>
      <c r="R127" s="923"/>
      <c r="S127" s="892">
        <f t="shared" si="57"/>
        <v>28315.200000000001</v>
      </c>
      <c r="T127" s="892">
        <f t="shared" si="58"/>
        <v>311467.2</v>
      </c>
      <c r="U127" s="892">
        <f t="shared" si="59"/>
        <v>31146.720000000001</v>
      </c>
      <c r="V127" s="892">
        <f>((T127-U127-W127)-(14*4148))*10%</f>
        <v>21601.9136</v>
      </c>
      <c r="W127" s="892">
        <f t="shared" si="60"/>
        <v>6229.3440000000001</v>
      </c>
      <c r="X127" s="892">
        <f t="shared" si="61"/>
        <v>252489.22239999997</v>
      </c>
      <c r="Y127" s="892">
        <f t="shared" si="62"/>
        <v>3737606.4000000004</v>
      </c>
      <c r="Z127" s="892">
        <f t="shared" si="63"/>
        <v>283152</v>
      </c>
      <c r="AA127" s="892">
        <f t="shared" si="64"/>
        <v>4020758.4000000004</v>
      </c>
      <c r="AB127" s="892">
        <f>(AA127*0.9-(W127*12))*11%-AC127</f>
        <v>208898.21952000004</v>
      </c>
      <c r="AC127" s="892">
        <f t="shared" si="67"/>
        <v>180934.12800000003</v>
      </c>
      <c r="AD127" s="892">
        <f t="shared" si="65"/>
        <v>112128.19200000001</v>
      </c>
      <c r="AE127" s="892">
        <f>AA127*4.5%</f>
        <v>180934.128</v>
      </c>
      <c r="AF127" s="892">
        <f t="shared" si="66"/>
        <v>4703653.0675199991</v>
      </c>
      <c r="AG127" s="892" t="s">
        <v>3</v>
      </c>
    </row>
    <row r="128" spans="1:33" ht="24" customHeight="1">
      <c r="B128" s="919" t="s">
        <v>831</v>
      </c>
      <c r="C128" s="965"/>
      <c r="D128" s="921">
        <f>SUM(D125:D127)</f>
        <v>3</v>
      </c>
      <c r="E128" s="921">
        <f>SUM(E125:E127)</f>
        <v>3</v>
      </c>
      <c r="F128" s="918"/>
      <c r="G128" s="918"/>
      <c r="H128" s="918"/>
      <c r="I128" s="924">
        <f>SUM(I125:I127)</f>
        <v>937941</v>
      </c>
      <c r="J128" s="924">
        <f>SUM(J125:J127)</f>
        <v>93794.1</v>
      </c>
      <c r="K128" s="924">
        <f>SUM(K125:K127)</f>
        <v>0</v>
      </c>
      <c r="L128" s="924">
        <f t="shared" ref="L128:AF128" si="68">SUM(L125:L127)</f>
        <v>0</v>
      </c>
      <c r="M128" s="924">
        <f t="shared" si="68"/>
        <v>0</v>
      </c>
      <c r="N128" s="924">
        <f t="shared" si="68"/>
        <v>0</v>
      </c>
      <c r="O128" s="924">
        <f t="shared" si="68"/>
        <v>0</v>
      </c>
      <c r="P128" s="924">
        <f t="shared" si="68"/>
        <v>0</v>
      </c>
      <c r="Q128" s="924">
        <f t="shared" si="68"/>
        <v>0</v>
      </c>
      <c r="R128" s="924">
        <f t="shared" si="68"/>
        <v>0</v>
      </c>
      <c r="S128" s="924">
        <f t="shared" si="68"/>
        <v>93794.1</v>
      </c>
      <c r="T128" s="924">
        <f t="shared" si="68"/>
        <v>1031735.1000000001</v>
      </c>
      <c r="U128" s="924">
        <f t="shared" si="68"/>
        <v>103173.51000000001</v>
      </c>
      <c r="V128" s="924">
        <f t="shared" si="68"/>
        <v>73371.088799999998</v>
      </c>
      <c r="W128" s="924">
        <f t="shared" si="68"/>
        <v>20634.702000000001</v>
      </c>
      <c r="X128" s="924">
        <f t="shared" si="68"/>
        <v>834555.79919999989</v>
      </c>
      <c r="Y128" s="924">
        <f t="shared" si="68"/>
        <v>12380821.200000001</v>
      </c>
      <c r="Z128" s="924">
        <f t="shared" si="68"/>
        <v>937941</v>
      </c>
      <c r="AA128" s="924">
        <f t="shared" si="68"/>
        <v>13318762.200000001</v>
      </c>
      <c r="AB128" s="924">
        <f t="shared" si="68"/>
        <v>691975.35216000013</v>
      </c>
      <c r="AC128" s="924">
        <f t="shared" si="68"/>
        <v>599344.29900000012</v>
      </c>
      <c r="AD128" s="924">
        <f t="shared" si="68"/>
        <v>371424.63600000006</v>
      </c>
      <c r="AE128" s="924">
        <f t="shared" si="68"/>
        <v>599344.299</v>
      </c>
      <c r="AF128" s="924">
        <f t="shared" si="68"/>
        <v>15580850.78616</v>
      </c>
      <c r="AG128" s="923"/>
    </row>
    <row r="129" spans="1:33" ht="21.75" customHeight="1">
      <c r="A129" s="1544" t="s">
        <v>480</v>
      </c>
      <c r="B129" s="1544"/>
      <c r="C129" s="1544"/>
      <c r="D129" s="1544"/>
      <c r="E129" s="1544"/>
      <c r="F129" s="1544"/>
      <c r="G129" s="1544"/>
      <c r="H129" s="1544"/>
      <c r="I129" s="1544"/>
      <c r="J129" s="1544"/>
      <c r="K129" s="1544"/>
      <c r="L129" s="1544"/>
      <c r="M129" s="1544"/>
      <c r="N129" s="1544"/>
      <c r="O129" s="1544"/>
      <c r="P129" s="1544"/>
      <c r="Q129" s="1544"/>
      <c r="R129" s="1544"/>
      <c r="S129" s="1544"/>
      <c r="T129" s="1544"/>
      <c r="U129" s="1544"/>
      <c r="V129" s="1544"/>
      <c r="W129" s="1544"/>
      <c r="X129" s="1544"/>
      <c r="Y129" s="1544"/>
      <c r="Z129" s="1544"/>
      <c r="AA129" s="1544"/>
      <c r="AB129" s="1544"/>
      <c r="AC129" s="1544"/>
      <c r="AD129" s="1544"/>
      <c r="AE129" s="1544"/>
      <c r="AF129" s="1544"/>
      <c r="AG129" s="1544"/>
    </row>
    <row r="130" spans="1:33" ht="31.5">
      <c r="A130" s="918">
        <v>81</v>
      </c>
      <c r="B130" s="915" t="s">
        <v>481</v>
      </c>
      <c r="C130" s="966" t="s">
        <v>482</v>
      </c>
      <c r="D130" s="918">
        <v>1</v>
      </c>
      <c r="E130" s="967">
        <v>1</v>
      </c>
      <c r="F130" s="887"/>
      <c r="G130" s="888">
        <v>44872</v>
      </c>
      <c r="H130" s="898">
        <v>19</v>
      </c>
      <c r="I130" s="892">
        <f t="shared" ref="I130:I167" si="69">E130*17697*H130</f>
        <v>336243</v>
      </c>
      <c r="J130" s="892">
        <f t="shared" ref="J130:J167" si="70">I130*10%</f>
        <v>33624.300000000003</v>
      </c>
      <c r="K130" s="887"/>
      <c r="L130" s="887"/>
      <c r="M130" s="887"/>
      <c r="N130" s="887"/>
      <c r="O130" s="887"/>
      <c r="P130" s="887"/>
      <c r="Q130" s="923"/>
      <c r="R130" s="923"/>
      <c r="S130" s="892">
        <f t="shared" ref="S130:S167" si="71">SUM(J130:R130)</f>
        <v>33624.300000000003</v>
      </c>
      <c r="T130" s="892">
        <f t="shared" ref="T130:T167" si="72">I130+S130</f>
        <v>369867.3</v>
      </c>
      <c r="U130" s="892">
        <f t="shared" ref="U130:U167" si="73">T130*10%</f>
        <v>36986.730000000003</v>
      </c>
      <c r="V130" s="892">
        <f t="shared" ref="V130:V167" si="74">((T130-U130-W130)-(14*4148))*10%</f>
        <v>26741.1224</v>
      </c>
      <c r="W130" s="892">
        <f t="shared" ref="W130:W167" si="75">T130*2%</f>
        <v>7397.3459999999995</v>
      </c>
      <c r="X130" s="892">
        <f t="shared" ref="X130:X167" si="76">T130-U130-V130-W130</f>
        <v>298742.10159999999</v>
      </c>
      <c r="Y130" s="892">
        <f t="shared" ref="Y130:Y167" si="77">T130*12</f>
        <v>4438407.5999999996</v>
      </c>
      <c r="Z130" s="892">
        <f t="shared" ref="Z130:Z167" si="78">I130</f>
        <v>336243</v>
      </c>
      <c r="AA130" s="892">
        <f t="shared" ref="AA130:AA167" si="79">Y130+Z130</f>
        <v>4774650.5999999996</v>
      </c>
      <c r="AB130" s="892">
        <f t="shared" ref="AB130:AB167" si="80">(AA130*0.9-(W130*12))*11%-AC130</f>
        <v>248066.63568000001</v>
      </c>
      <c r="AC130" s="892">
        <f>AA130*0.9*5%</f>
        <v>214859.277</v>
      </c>
      <c r="AD130" s="892">
        <f t="shared" ref="AD130:AD167" si="81">Y130*3%</f>
        <v>133152.22799999997</v>
      </c>
      <c r="AE130" s="892">
        <f t="shared" ref="AE130:AE167" si="82">AA130*4.5%</f>
        <v>214859.27699999997</v>
      </c>
      <c r="AF130" s="892">
        <f t="shared" ref="AF130:AF167" si="83">AA130+AB130+AC130+AD130+AE130</f>
        <v>5585588.0176799996</v>
      </c>
      <c r="AG130" s="892" t="s">
        <v>3</v>
      </c>
    </row>
    <row r="131" spans="1:33">
      <c r="A131" s="918">
        <v>82</v>
      </c>
      <c r="B131" s="912" t="s">
        <v>48</v>
      </c>
      <c r="C131" s="968" t="s">
        <v>2342</v>
      </c>
      <c r="D131" s="918">
        <v>1</v>
      </c>
      <c r="E131" s="934">
        <v>1</v>
      </c>
      <c r="F131" s="887"/>
      <c r="G131" s="888">
        <v>44866</v>
      </c>
      <c r="H131" s="895">
        <v>20</v>
      </c>
      <c r="I131" s="892">
        <f t="shared" si="69"/>
        <v>353940</v>
      </c>
      <c r="J131" s="892">
        <f t="shared" si="70"/>
        <v>35394</v>
      </c>
      <c r="K131" s="887"/>
      <c r="L131" s="887"/>
      <c r="M131" s="887"/>
      <c r="N131" s="887"/>
      <c r="O131" s="887"/>
      <c r="P131" s="887"/>
      <c r="Q131" s="923"/>
      <c r="R131" s="923"/>
      <c r="S131" s="892">
        <f t="shared" si="71"/>
        <v>35394</v>
      </c>
      <c r="T131" s="892">
        <f t="shared" si="72"/>
        <v>389334</v>
      </c>
      <c r="U131" s="892">
        <f t="shared" si="73"/>
        <v>38933.4</v>
      </c>
      <c r="V131" s="892">
        <f t="shared" si="74"/>
        <v>28454.191999999999</v>
      </c>
      <c r="W131" s="892">
        <f t="shared" si="75"/>
        <v>7786.68</v>
      </c>
      <c r="X131" s="892">
        <f t="shared" si="76"/>
        <v>314159.728</v>
      </c>
      <c r="Y131" s="892">
        <f t="shared" si="77"/>
        <v>4672008</v>
      </c>
      <c r="Z131" s="892">
        <f t="shared" si="78"/>
        <v>353940</v>
      </c>
      <c r="AA131" s="892">
        <f t="shared" si="79"/>
        <v>5025948</v>
      </c>
      <c r="AB131" s="892">
        <f t="shared" si="80"/>
        <v>261122.77439999999</v>
      </c>
      <c r="AC131" s="892">
        <f t="shared" ref="AC131:AC167" si="84">AA131*0.9*5%</f>
        <v>226167.66000000003</v>
      </c>
      <c r="AD131" s="892">
        <f t="shared" si="81"/>
        <v>140160.24</v>
      </c>
      <c r="AE131" s="892">
        <f t="shared" si="82"/>
        <v>226167.66</v>
      </c>
      <c r="AF131" s="892">
        <f t="shared" si="83"/>
        <v>5879566.3344000001</v>
      </c>
      <c r="AG131" s="892" t="s">
        <v>3</v>
      </c>
    </row>
    <row r="132" spans="1:33" ht="31.5">
      <c r="A132" s="918">
        <v>83</v>
      </c>
      <c r="B132" s="909" t="s">
        <v>483</v>
      </c>
      <c r="C132" s="909" t="s">
        <v>484</v>
      </c>
      <c r="D132" s="918">
        <v>1</v>
      </c>
      <c r="E132" s="967">
        <v>1</v>
      </c>
      <c r="F132" s="887"/>
      <c r="G132" s="888">
        <v>44986</v>
      </c>
      <c r="H132" s="898">
        <v>16</v>
      </c>
      <c r="I132" s="892">
        <f t="shared" si="69"/>
        <v>283152</v>
      </c>
      <c r="J132" s="892">
        <f t="shared" si="70"/>
        <v>28315.200000000001</v>
      </c>
      <c r="K132" s="887"/>
      <c r="L132" s="887"/>
      <c r="M132" s="887"/>
      <c r="N132" s="887"/>
      <c r="O132" s="892"/>
      <c r="P132" s="892"/>
      <c r="Q132" s="969"/>
      <c r="R132" s="892">
        <f>25%*17697</f>
        <v>4424.25</v>
      </c>
      <c r="S132" s="892">
        <f t="shared" si="71"/>
        <v>32739.45</v>
      </c>
      <c r="T132" s="892">
        <f t="shared" si="72"/>
        <v>315891.45</v>
      </c>
      <c r="U132" s="892">
        <f t="shared" si="73"/>
        <v>31589.145000000004</v>
      </c>
      <c r="V132" s="892">
        <f t="shared" si="74"/>
        <v>21991.247599999999</v>
      </c>
      <c r="W132" s="892">
        <f t="shared" si="75"/>
        <v>6317.8290000000006</v>
      </c>
      <c r="X132" s="892">
        <f t="shared" si="76"/>
        <v>255993.22839999999</v>
      </c>
      <c r="Y132" s="892">
        <f t="shared" si="77"/>
        <v>3790697.4000000004</v>
      </c>
      <c r="Z132" s="892">
        <f t="shared" si="78"/>
        <v>283152</v>
      </c>
      <c r="AA132" s="892">
        <f t="shared" si="79"/>
        <v>4073849.4000000004</v>
      </c>
      <c r="AB132" s="892">
        <f t="shared" si="80"/>
        <v>211648.33332000006</v>
      </c>
      <c r="AC132" s="892">
        <f t="shared" si="84"/>
        <v>183323.22300000003</v>
      </c>
      <c r="AD132" s="892">
        <f t="shared" si="81"/>
        <v>113720.92200000001</v>
      </c>
      <c r="AE132" s="892">
        <f t="shared" si="82"/>
        <v>183323.223</v>
      </c>
      <c r="AF132" s="892">
        <f t="shared" si="83"/>
        <v>4765865.1013200013</v>
      </c>
      <c r="AG132" s="892" t="s">
        <v>3</v>
      </c>
    </row>
    <row r="133" spans="1:33">
      <c r="A133" s="918">
        <v>84</v>
      </c>
      <c r="B133" s="909" t="s">
        <v>110</v>
      </c>
      <c r="C133" s="970" t="s">
        <v>485</v>
      </c>
      <c r="D133" s="918">
        <v>1</v>
      </c>
      <c r="E133" s="934">
        <v>1</v>
      </c>
      <c r="F133" s="887"/>
      <c r="G133" s="888">
        <v>42324</v>
      </c>
      <c r="H133" s="895">
        <v>14</v>
      </c>
      <c r="I133" s="892">
        <f t="shared" si="69"/>
        <v>247758</v>
      </c>
      <c r="J133" s="892">
        <f t="shared" si="70"/>
        <v>24775.800000000003</v>
      </c>
      <c r="K133" s="887"/>
      <c r="L133" s="887"/>
      <c r="M133" s="887"/>
      <c r="N133" s="887"/>
      <c r="O133" s="892">
        <f>35%*17697</f>
        <v>6193.95</v>
      </c>
      <c r="P133" s="892"/>
      <c r="Q133" s="969"/>
      <c r="R133" s="969"/>
      <c r="S133" s="892">
        <f t="shared" si="71"/>
        <v>30969.750000000004</v>
      </c>
      <c r="T133" s="892">
        <f t="shared" si="72"/>
        <v>278727.75</v>
      </c>
      <c r="U133" s="892">
        <f t="shared" si="73"/>
        <v>27872.775000000001</v>
      </c>
      <c r="V133" s="892">
        <f t="shared" si="74"/>
        <v>18720.842000000001</v>
      </c>
      <c r="W133" s="892">
        <f t="shared" si="75"/>
        <v>5574.5550000000003</v>
      </c>
      <c r="X133" s="892">
        <f t="shared" si="76"/>
        <v>226559.57800000001</v>
      </c>
      <c r="Y133" s="892">
        <f t="shared" si="77"/>
        <v>3344733</v>
      </c>
      <c r="Z133" s="892">
        <f t="shared" si="78"/>
        <v>247758</v>
      </c>
      <c r="AA133" s="892">
        <f t="shared" si="79"/>
        <v>3592491</v>
      </c>
      <c r="AB133" s="892">
        <f t="shared" si="80"/>
        <v>186636.10139999996</v>
      </c>
      <c r="AC133" s="892">
        <f t="shared" si="84"/>
        <v>161662.095</v>
      </c>
      <c r="AD133" s="892">
        <f t="shared" si="81"/>
        <v>100341.98999999999</v>
      </c>
      <c r="AE133" s="892">
        <f t="shared" si="82"/>
        <v>161662.095</v>
      </c>
      <c r="AF133" s="892">
        <f t="shared" si="83"/>
        <v>4202793.2813999997</v>
      </c>
      <c r="AG133" s="892" t="s">
        <v>3</v>
      </c>
    </row>
    <row r="134" spans="1:33">
      <c r="A134" s="918">
        <v>85</v>
      </c>
      <c r="B134" s="970" t="s">
        <v>486</v>
      </c>
      <c r="C134" s="936" t="s">
        <v>487</v>
      </c>
      <c r="D134" s="918">
        <v>1</v>
      </c>
      <c r="E134" s="934">
        <v>1</v>
      </c>
      <c r="F134" s="887"/>
      <c r="G134" s="901">
        <v>44075</v>
      </c>
      <c r="H134" s="895">
        <v>18</v>
      </c>
      <c r="I134" s="892">
        <f t="shared" si="69"/>
        <v>318546</v>
      </c>
      <c r="J134" s="892">
        <f t="shared" si="70"/>
        <v>31854.600000000002</v>
      </c>
      <c r="K134" s="887"/>
      <c r="L134" s="887"/>
      <c r="M134" s="887"/>
      <c r="N134" s="887"/>
      <c r="O134" s="892"/>
      <c r="P134" s="892"/>
      <c r="Q134" s="969"/>
      <c r="R134" s="969"/>
      <c r="S134" s="892">
        <f t="shared" si="71"/>
        <v>31854.600000000002</v>
      </c>
      <c r="T134" s="892">
        <f t="shared" si="72"/>
        <v>350400.6</v>
      </c>
      <c r="U134" s="892">
        <f t="shared" si="73"/>
        <v>35040.06</v>
      </c>
      <c r="V134" s="892">
        <f t="shared" si="74"/>
        <v>25028.052800000001</v>
      </c>
      <c r="W134" s="892">
        <f t="shared" si="75"/>
        <v>7008.0119999999997</v>
      </c>
      <c r="X134" s="892">
        <f t="shared" si="76"/>
        <v>283324.47519999999</v>
      </c>
      <c r="Y134" s="892">
        <f t="shared" si="77"/>
        <v>4204807.1999999993</v>
      </c>
      <c r="Z134" s="892">
        <f t="shared" si="78"/>
        <v>318546</v>
      </c>
      <c r="AA134" s="892">
        <f t="shared" si="79"/>
        <v>4523353.1999999993</v>
      </c>
      <c r="AB134" s="892">
        <f t="shared" si="80"/>
        <v>235010.49695999996</v>
      </c>
      <c r="AC134" s="892">
        <f t="shared" si="84"/>
        <v>203550.89399999997</v>
      </c>
      <c r="AD134" s="892">
        <f t="shared" si="81"/>
        <v>126144.21599999997</v>
      </c>
      <c r="AE134" s="892">
        <f t="shared" si="82"/>
        <v>203550.89399999997</v>
      </c>
      <c r="AF134" s="892">
        <f t="shared" si="83"/>
        <v>5291609.70096</v>
      </c>
      <c r="AG134" s="892" t="s">
        <v>3</v>
      </c>
    </row>
    <row r="135" spans="1:33">
      <c r="A135" s="918">
        <v>86</v>
      </c>
      <c r="B135" s="915" t="s">
        <v>832</v>
      </c>
      <c r="C135" s="966" t="s">
        <v>2343</v>
      </c>
      <c r="D135" s="1559">
        <v>2</v>
      </c>
      <c r="E135" s="971">
        <v>1</v>
      </c>
      <c r="F135" s="887"/>
      <c r="G135" s="888">
        <v>44875</v>
      </c>
      <c r="H135" s="898">
        <v>13</v>
      </c>
      <c r="I135" s="892">
        <f t="shared" si="69"/>
        <v>230061</v>
      </c>
      <c r="J135" s="892">
        <f t="shared" si="70"/>
        <v>23006.100000000002</v>
      </c>
      <c r="K135" s="887"/>
      <c r="L135" s="887"/>
      <c r="M135" s="887"/>
      <c r="N135" s="887"/>
      <c r="O135" s="892"/>
      <c r="P135" s="892"/>
      <c r="Q135" s="969"/>
      <c r="R135" s="969"/>
      <c r="S135" s="892">
        <f t="shared" si="71"/>
        <v>23006.100000000002</v>
      </c>
      <c r="T135" s="892">
        <f t="shared" si="72"/>
        <v>253067.1</v>
      </c>
      <c r="U135" s="892">
        <f t="shared" si="73"/>
        <v>25306.710000000003</v>
      </c>
      <c r="V135" s="892">
        <f t="shared" si="74"/>
        <v>16462.704800000003</v>
      </c>
      <c r="W135" s="892">
        <f t="shared" si="75"/>
        <v>5061.3420000000006</v>
      </c>
      <c r="X135" s="892">
        <f t="shared" si="76"/>
        <v>206236.3432</v>
      </c>
      <c r="Y135" s="892">
        <f t="shared" si="77"/>
        <v>3036805.2</v>
      </c>
      <c r="Z135" s="892">
        <f t="shared" si="78"/>
        <v>230061</v>
      </c>
      <c r="AA135" s="892">
        <f t="shared" si="79"/>
        <v>3266866.2</v>
      </c>
      <c r="AB135" s="892">
        <f t="shared" si="80"/>
        <v>169729.80335999999</v>
      </c>
      <c r="AC135" s="892">
        <f t="shared" si="84"/>
        <v>147008.97900000002</v>
      </c>
      <c r="AD135" s="892">
        <f t="shared" si="81"/>
        <v>91104.156000000003</v>
      </c>
      <c r="AE135" s="892">
        <f t="shared" si="82"/>
        <v>147008.97899999999</v>
      </c>
      <c r="AF135" s="892">
        <f t="shared" si="83"/>
        <v>3821718.1173599996</v>
      </c>
      <c r="AG135" s="892" t="s">
        <v>3</v>
      </c>
    </row>
    <row r="136" spans="1:33">
      <c r="A136" s="918">
        <v>87</v>
      </c>
      <c r="B136" s="915" t="s">
        <v>832</v>
      </c>
      <c r="C136" s="932" t="s">
        <v>839</v>
      </c>
      <c r="D136" s="1561"/>
      <c r="E136" s="971">
        <v>1</v>
      </c>
      <c r="F136" s="887"/>
      <c r="G136" s="887"/>
      <c r="H136" s="898">
        <v>15</v>
      </c>
      <c r="I136" s="892">
        <f t="shared" si="69"/>
        <v>265455</v>
      </c>
      <c r="J136" s="892">
        <f t="shared" si="70"/>
        <v>26545.5</v>
      </c>
      <c r="K136" s="887"/>
      <c r="L136" s="887"/>
      <c r="M136" s="887"/>
      <c r="N136" s="887"/>
      <c r="O136" s="892"/>
      <c r="P136" s="892"/>
      <c r="Q136" s="969"/>
      <c r="R136" s="969"/>
      <c r="S136" s="892">
        <f t="shared" si="71"/>
        <v>26545.5</v>
      </c>
      <c r="T136" s="892">
        <f t="shared" si="72"/>
        <v>292000.5</v>
      </c>
      <c r="U136" s="892">
        <f t="shared" si="73"/>
        <v>29200.050000000003</v>
      </c>
      <c r="V136" s="892">
        <f t="shared" si="74"/>
        <v>19888.844000000001</v>
      </c>
      <c r="W136" s="892">
        <f t="shared" si="75"/>
        <v>5840.01</v>
      </c>
      <c r="X136" s="892">
        <f t="shared" si="76"/>
        <v>237071.59599999999</v>
      </c>
      <c r="Y136" s="892">
        <f t="shared" si="77"/>
        <v>3504006</v>
      </c>
      <c r="Z136" s="892">
        <f t="shared" si="78"/>
        <v>265455</v>
      </c>
      <c r="AA136" s="892">
        <f t="shared" si="79"/>
        <v>3769461</v>
      </c>
      <c r="AB136" s="892">
        <f t="shared" si="80"/>
        <v>195842.0808</v>
      </c>
      <c r="AC136" s="892">
        <f t="shared" si="84"/>
        <v>169625.745</v>
      </c>
      <c r="AD136" s="892">
        <f t="shared" si="81"/>
        <v>105120.18</v>
      </c>
      <c r="AE136" s="892">
        <f t="shared" si="82"/>
        <v>169625.745</v>
      </c>
      <c r="AF136" s="892">
        <f t="shared" si="83"/>
        <v>4409674.7508000005</v>
      </c>
      <c r="AG136" s="892" t="s">
        <v>3</v>
      </c>
    </row>
    <row r="137" spans="1:33" ht="31.5">
      <c r="A137" s="918">
        <v>88</v>
      </c>
      <c r="B137" s="909" t="s">
        <v>488</v>
      </c>
      <c r="C137" s="909" t="s">
        <v>489</v>
      </c>
      <c r="D137" s="918">
        <v>1</v>
      </c>
      <c r="E137" s="934">
        <v>1</v>
      </c>
      <c r="F137" s="887"/>
      <c r="G137" s="888">
        <v>42780</v>
      </c>
      <c r="H137" s="895">
        <v>12</v>
      </c>
      <c r="I137" s="892">
        <f t="shared" si="69"/>
        <v>212364</v>
      </c>
      <c r="J137" s="892">
        <f t="shared" si="70"/>
        <v>21236.400000000001</v>
      </c>
      <c r="K137" s="887"/>
      <c r="L137" s="887"/>
      <c r="M137" s="887"/>
      <c r="N137" s="887"/>
      <c r="O137" s="892"/>
      <c r="P137" s="892"/>
      <c r="Q137" s="969"/>
      <c r="R137" s="969"/>
      <c r="S137" s="892">
        <f t="shared" si="71"/>
        <v>21236.400000000001</v>
      </c>
      <c r="T137" s="892">
        <f t="shared" si="72"/>
        <v>233600.4</v>
      </c>
      <c r="U137" s="892">
        <f t="shared" si="73"/>
        <v>23360.04</v>
      </c>
      <c r="V137" s="892">
        <f t="shared" si="74"/>
        <v>14749.635199999999</v>
      </c>
      <c r="W137" s="892">
        <f t="shared" si="75"/>
        <v>4672.0079999999998</v>
      </c>
      <c r="X137" s="892">
        <f t="shared" si="76"/>
        <v>190818.71679999999</v>
      </c>
      <c r="Y137" s="892">
        <f t="shared" si="77"/>
        <v>2803204.8</v>
      </c>
      <c r="Z137" s="892">
        <f t="shared" si="78"/>
        <v>212364</v>
      </c>
      <c r="AA137" s="892">
        <f t="shared" si="79"/>
        <v>3015568.8</v>
      </c>
      <c r="AB137" s="892">
        <f t="shared" si="80"/>
        <v>156673.66464</v>
      </c>
      <c r="AC137" s="892">
        <f t="shared" si="84"/>
        <v>135700.59599999999</v>
      </c>
      <c r="AD137" s="892">
        <f t="shared" si="81"/>
        <v>84096.143999999986</v>
      </c>
      <c r="AE137" s="892">
        <f t="shared" si="82"/>
        <v>135700.59599999999</v>
      </c>
      <c r="AF137" s="892">
        <f t="shared" si="83"/>
        <v>3527739.8006399996</v>
      </c>
      <c r="AG137" s="892" t="s">
        <v>3</v>
      </c>
    </row>
    <row r="138" spans="1:33">
      <c r="A138" s="918">
        <v>89</v>
      </c>
      <c r="B138" s="912" t="s">
        <v>490</v>
      </c>
      <c r="C138" s="909" t="s">
        <v>491</v>
      </c>
      <c r="D138" s="1562">
        <v>2</v>
      </c>
      <c r="E138" s="967">
        <v>1</v>
      </c>
      <c r="F138" s="887"/>
      <c r="G138" s="887"/>
      <c r="H138" s="898">
        <v>15</v>
      </c>
      <c r="I138" s="892">
        <f t="shared" si="69"/>
        <v>265455</v>
      </c>
      <c r="J138" s="892">
        <f t="shared" si="70"/>
        <v>26545.5</v>
      </c>
      <c r="K138" s="887"/>
      <c r="L138" s="887"/>
      <c r="M138" s="887"/>
      <c r="N138" s="887"/>
      <c r="O138" s="892"/>
      <c r="P138" s="892"/>
      <c r="Q138" s="969"/>
      <c r="R138" s="969"/>
      <c r="S138" s="892">
        <f t="shared" si="71"/>
        <v>26545.5</v>
      </c>
      <c r="T138" s="892">
        <f t="shared" si="72"/>
        <v>292000.5</v>
      </c>
      <c r="U138" s="892">
        <f t="shared" si="73"/>
        <v>29200.050000000003</v>
      </c>
      <c r="V138" s="892">
        <f t="shared" si="74"/>
        <v>19888.844000000001</v>
      </c>
      <c r="W138" s="892">
        <f t="shared" si="75"/>
        <v>5840.01</v>
      </c>
      <c r="X138" s="892">
        <f t="shared" si="76"/>
        <v>237071.59599999999</v>
      </c>
      <c r="Y138" s="892">
        <f t="shared" si="77"/>
        <v>3504006</v>
      </c>
      <c r="Z138" s="892">
        <f t="shared" si="78"/>
        <v>265455</v>
      </c>
      <c r="AA138" s="892">
        <f t="shared" si="79"/>
        <v>3769461</v>
      </c>
      <c r="AB138" s="892">
        <f t="shared" si="80"/>
        <v>195842.0808</v>
      </c>
      <c r="AC138" s="892">
        <f t="shared" si="84"/>
        <v>169625.745</v>
      </c>
      <c r="AD138" s="892">
        <f t="shared" si="81"/>
        <v>105120.18</v>
      </c>
      <c r="AE138" s="892">
        <f t="shared" si="82"/>
        <v>169625.745</v>
      </c>
      <c r="AF138" s="892">
        <f t="shared" si="83"/>
        <v>4409674.7508000005</v>
      </c>
      <c r="AG138" s="892" t="s">
        <v>3</v>
      </c>
    </row>
    <row r="139" spans="1:33" ht="19.5" customHeight="1">
      <c r="A139" s="918">
        <v>90</v>
      </c>
      <c r="B139" s="912" t="s">
        <v>490</v>
      </c>
      <c r="C139" s="909" t="s">
        <v>491</v>
      </c>
      <c r="D139" s="1563"/>
      <c r="E139" s="934">
        <v>1</v>
      </c>
      <c r="F139" s="887"/>
      <c r="G139" s="888">
        <v>43654</v>
      </c>
      <c r="H139" s="895">
        <v>12</v>
      </c>
      <c r="I139" s="892">
        <f t="shared" si="69"/>
        <v>212364</v>
      </c>
      <c r="J139" s="892">
        <f t="shared" si="70"/>
        <v>21236.400000000001</v>
      </c>
      <c r="K139" s="887"/>
      <c r="L139" s="887"/>
      <c r="M139" s="887"/>
      <c r="N139" s="887"/>
      <c r="O139" s="892"/>
      <c r="P139" s="892"/>
      <c r="Q139" s="969"/>
      <c r="R139" s="969"/>
      <c r="S139" s="892">
        <f t="shared" si="71"/>
        <v>21236.400000000001</v>
      </c>
      <c r="T139" s="892">
        <f t="shared" si="72"/>
        <v>233600.4</v>
      </c>
      <c r="U139" s="892">
        <f t="shared" si="73"/>
        <v>23360.04</v>
      </c>
      <c r="V139" s="892">
        <f t="shared" si="74"/>
        <v>14749.635199999999</v>
      </c>
      <c r="W139" s="892">
        <f t="shared" si="75"/>
        <v>4672.0079999999998</v>
      </c>
      <c r="X139" s="892">
        <f t="shared" si="76"/>
        <v>190818.71679999999</v>
      </c>
      <c r="Y139" s="892">
        <f t="shared" si="77"/>
        <v>2803204.8</v>
      </c>
      <c r="Z139" s="892">
        <f t="shared" si="78"/>
        <v>212364</v>
      </c>
      <c r="AA139" s="892">
        <f t="shared" si="79"/>
        <v>3015568.8</v>
      </c>
      <c r="AB139" s="892">
        <f t="shared" si="80"/>
        <v>156673.66464</v>
      </c>
      <c r="AC139" s="892">
        <f t="shared" si="84"/>
        <v>135700.59599999999</v>
      </c>
      <c r="AD139" s="892">
        <f t="shared" si="81"/>
        <v>84096.143999999986</v>
      </c>
      <c r="AE139" s="892">
        <f t="shared" si="82"/>
        <v>135700.59599999999</v>
      </c>
      <c r="AF139" s="892">
        <f t="shared" si="83"/>
        <v>3527739.8006399996</v>
      </c>
      <c r="AG139" s="892" t="s">
        <v>3</v>
      </c>
    </row>
    <row r="140" spans="1:33">
      <c r="A140" s="918">
        <v>91</v>
      </c>
      <c r="B140" s="909" t="s">
        <v>492</v>
      </c>
      <c r="C140" s="937" t="s">
        <v>493</v>
      </c>
      <c r="D140" s="918">
        <v>1</v>
      </c>
      <c r="E140" s="934">
        <v>1</v>
      </c>
      <c r="F140" s="887"/>
      <c r="G140" s="888">
        <v>44508</v>
      </c>
      <c r="H140" s="895">
        <v>11</v>
      </c>
      <c r="I140" s="892">
        <f t="shared" si="69"/>
        <v>194667</v>
      </c>
      <c r="J140" s="892">
        <f t="shared" si="70"/>
        <v>19466.7</v>
      </c>
      <c r="K140" s="887"/>
      <c r="L140" s="887"/>
      <c r="M140" s="887"/>
      <c r="N140" s="887"/>
      <c r="O140" s="892"/>
      <c r="P140" s="892"/>
      <c r="Q140" s="969"/>
      <c r="R140" s="969"/>
      <c r="S140" s="892">
        <f t="shared" si="71"/>
        <v>19466.7</v>
      </c>
      <c r="T140" s="892">
        <f t="shared" si="72"/>
        <v>214133.7</v>
      </c>
      <c r="U140" s="892">
        <f t="shared" si="73"/>
        <v>21413.370000000003</v>
      </c>
      <c r="V140" s="892">
        <f t="shared" si="74"/>
        <v>13036.565600000002</v>
      </c>
      <c r="W140" s="892">
        <f t="shared" si="75"/>
        <v>4282.674</v>
      </c>
      <c r="X140" s="892">
        <f t="shared" si="76"/>
        <v>175401.09040000002</v>
      </c>
      <c r="Y140" s="892">
        <f t="shared" si="77"/>
        <v>2569604.4000000004</v>
      </c>
      <c r="Z140" s="892">
        <f t="shared" si="78"/>
        <v>194667</v>
      </c>
      <c r="AA140" s="892">
        <f t="shared" si="79"/>
        <v>2764271.4000000004</v>
      </c>
      <c r="AB140" s="892">
        <f t="shared" si="80"/>
        <v>143617.52592000001</v>
      </c>
      <c r="AC140" s="892">
        <f t="shared" si="84"/>
        <v>124392.21300000002</v>
      </c>
      <c r="AD140" s="892">
        <f t="shared" si="81"/>
        <v>77088.132000000012</v>
      </c>
      <c r="AE140" s="892">
        <f t="shared" si="82"/>
        <v>124392.21300000002</v>
      </c>
      <c r="AF140" s="892">
        <f t="shared" si="83"/>
        <v>3233761.4839200005</v>
      </c>
      <c r="AG140" s="892" t="s">
        <v>3</v>
      </c>
    </row>
    <row r="141" spans="1:33">
      <c r="A141" s="918">
        <v>92</v>
      </c>
      <c r="B141" s="909" t="s">
        <v>53</v>
      </c>
      <c r="C141" s="972" t="s">
        <v>833</v>
      </c>
      <c r="D141" s="1562">
        <v>2</v>
      </c>
      <c r="E141" s="934">
        <v>1</v>
      </c>
      <c r="F141" s="887"/>
      <c r="G141" s="888">
        <v>45246</v>
      </c>
      <c r="H141" s="895">
        <v>12</v>
      </c>
      <c r="I141" s="892">
        <f t="shared" si="69"/>
        <v>212364</v>
      </c>
      <c r="J141" s="892">
        <f t="shared" si="70"/>
        <v>21236.400000000001</v>
      </c>
      <c r="K141" s="887"/>
      <c r="L141" s="887"/>
      <c r="M141" s="887"/>
      <c r="N141" s="887"/>
      <c r="O141" s="892"/>
      <c r="P141" s="892"/>
      <c r="Q141" s="969"/>
      <c r="R141" s="969"/>
      <c r="S141" s="892">
        <f t="shared" si="71"/>
        <v>21236.400000000001</v>
      </c>
      <c r="T141" s="892">
        <f t="shared" si="72"/>
        <v>233600.4</v>
      </c>
      <c r="U141" s="892">
        <f t="shared" si="73"/>
        <v>23360.04</v>
      </c>
      <c r="V141" s="892">
        <f t="shared" si="74"/>
        <v>14749.635199999999</v>
      </c>
      <c r="W141" s="892">
        <f t="shared" si="75"/>
        <v>4672.0079999999998</v>
      </c>
      <c r="X141" s="892">
        <f t="shared" si="76"/>
        <v>190818.71679999999</v>
      </c>
      <c r="Y141" s="892">
        <f t="shared" si="77"/>
        <v>2803204.8</v>
      </c>
      <c r="Z141" s="892">
        <f t="shared" si="78"/>
        <v>212364</v>
      </c>
      <c r="AA141" s="892">
        <f t="shared" si="79"/>
        <v>3015568.8</v>
      </c>
      <c r="AB141" s="892">
        <f t="shared" si="80"/>
        <v>156673.66464</v>
      </c>
      <c r="AC141" s="892">
        <f t="shared" si="84"/>
        <v>135700.59599999999</v>
      </c>
      <c r="AD141" s="892">
        <f t="shared" si="81"/>
        <v>84096.143999999986</v>
      </c>
      <c r="AE141" s="892">
        <f t="shared" si="82"/>
        <v>135700.59599999999</v>
      </c>
      <c r="AF141" s="892">
        <f t="shared" si="83"/>
        <v>3527739.8006399996</v>
      </c>
      <c r="AG141" s="892" t="s">
        <v>3</v>
      </c>
    </row>
    <row r="142" spans="1:33">
      <c r="A142" s="918">
        <v>93</v>
      </c>
      <c r="B142" s="915" t="s">
        <v>53</v>
      </c>
      <c r="C142" s="915" t="s">
        <v>494</v>
      </c>
      <c r="D142" s="1563"/>
      <c r="E142" s="967">
        <v>1</v>
      </c>
      <c r="F142" s="887"/>
      <c r="G142" s="888">
        <v>44219</v>
      </c>
      <c r="H142" s="898">
        <v>12</v>
      </c>
      <c r="I142" s="892">
        <f t="shared" si="69"/>
        <v>212364</v>
      </c>
      <c r="J142" s="892">
        <f t="shared" si="70"/>
        <v>21236.400000000001</v>
      </c>
      <c r="K142" s="887"/>
      <c r="L142" s="887"/>
      <c r="M142" s="887"/>
      <c r="N142" s="887"/>
      <c r="O142" s="892"/>
      <c r="P142" s="892"/>
      <c r="Q142" s="969"/>
      <c r="R142" s="969"/>
      <c r="S142" s="892">
        <f t="shared" si="71"/>
        <v>21236.400000000001</v>
      </c>
      <c r="T142" s="892">
        <f t="shared" si="72"/>
        <v>233600.4</v>
      </c>
      <c r="U142" s="892">
        <f t="shared" si="73"/>
        <v>23360.04</v>
      </c>
      <c r="V142" s="892">
        <f t="shared" si="74"/>
        <v>14749.635199999999</v>
      </c>
      <c r="W142" s="892">
        <f t="shared" si="75"/>
        <v>4672.0079999999998</v>
      </c>
      <c r="X142" s="892">
        <f t="shared" si="76"/>
        <v>190818.71679999999</v>
      </c>
      <c r="Y142" s="892">
        <f t="shared" si="77"/>
        <v>2803204.8</v>
      </c>
      <c r="Z142" s="892">
        <f t="shared" si="78"/>
        <v>212364</v>
      </c>
      <c r="AA142" s="892">
        <f t="shared" si="79"/>
        <v>3015568.8</v>
      </c>
      <c r="AB142" s="892">
        <f t="shared" si="80"/>
        <v>156673.66464</v>
      </c>
      <c r="AC142" s="892">
        <f t="shared" si="84"/>
        <v>135700.59599999999</v>
      </c>
      <c r="AD142" s="892">
        <f t="shared" si="81"/>
        <v>84096.143999999986</v>
      </c>
      <c r="AE142" s="892">
        <f t="shared" si="82"/>
        <v>135700.59599999999</v>
      </c>
      <c r="AF142" s="892">
        <f t="shared" si="83"/>
        <v>3527739.8006399996</v>
      </c>
      <c r="AG142" s="892" t="s">
        <v>3</v>
      </c>
    </row>
    <row r="143" spans="1:33" ht="47.25">
      <c r="A143" s="918">
        <v>94</v>
      </c>
      <c r="B143" s="909" t="s">
        <v>834</v>
      </c>
      <c r="C143" s="909" t="s">
        <v>495</v>
      </c>
      <c r="D143" s="1562">
        <v>2</v>
      </c>
      <c r="E143" s="934">
        <v>1</v>
      </c>
      <c r="F143" s="887"/>
      <c r="G143" s="888">
        <v>44201</v>
      </c>
      <c r="H143" s="895">
        <v>13</v>
      </c>
      <c r="I143" s="892">
        <f t="shared" si="69"/>
        <v>230061</v>
      </c>
      <c r="J143" s="892">
        <f t="shared" si="70"/>
        <v>23006.100000000002</v>
      </c>
      <c r="K143" s="887"/>
      <c r="L143" s="887"/>
      <c r="M143" s="887"/>
      <c r="N143" s="887"/>
      <c r="O143" s="892"/>
      <c r="P143" s="892"/>
      <c r="Q143" s="969"/>
      <c r="R143" s="892">
        <f t="shared" ref="R143:R144" si="85">25%*17697</f>
        <v>4424.25</v>
      </c>
      <c r="S143" s="892">
        <f t="shared" si="71"/>
        <v>27430.350000000002</v>
      </c>
      <c r="T143" s="892">
        <f t="shared" si="72"/>
        <v>257491.35</v>
      </c>
      <c r="U143" s="892">
        <f t="shared" si="73"/>
        <v>25749.135000000002</v>
      </c>
      <c r="V143" s="892">
        <f t="shared" si="74"/>
        <v>16852.038800000002</v>
      </c>
      <c r="W143" s="892">
        <f t="shared" si="75"/>
        <v>5149.8270000000002</v>
      </c>
      <c r="X143" s="892">
        <f t="shared" si="76"/>
        <v>209740.3492</v>
      </c>
      <c r="Y143" s="892">
        <f t="shared" si="77"/>
        <v>3089896.2</v>
      </c>
      <c r="Z143" s="892">
        <f t="shared" si="78"/>
        <v>230061</v>
      </c>
      <c r="AA143" s="892">
        <f t="shared" si="79"/>
        <v>3319957.2</v>
      </c>
      <c r="AB143" s="892">
        <f t="shared" si="80"/>
        <v>172479.91716000001</v>
      </c>
      <c r="AC143" s="892">
        <f t="shared" si="84"/>
        <v>149398.07400000002</v>
      </c>
      <c r="AD143" s="892">
        <f t="shared" si="81"/>
        <v>92696.885999999999</v>
      </c>
      <c r="AE143" s="892">
        <f t="shared" si="82"/>
        <v>149398.07399999999</v>
      </c>
      <c r="AF143" s="892">
        <f t="shared" si="83"/>
        <v>3883930.1511600004</v>
      </c>
      <c r="AG143" s="892" t="s">
        <v>3</v>
      </c>
    </row>
    <row r="144" spans="1:33" ht="47.25">
      <c r="A144" s="918">
        <v>95</v>
      </c>
      <c r="B144" s="909" t="s">
        <v>834</v>
      </c>
      <c r="C144" s="909" t="s">
        <v>496</v>
      </c>
      <c r="D144" s="1563"/>
      <c r="E144" s="934">
        <v>1</v>
      </c>
      <c r="F144" s="887"/>
      <c r="G144" s="888">
        <v>44593</v>
      </c>
      <c r="H144" s="895">
        <v>11</v>
      </c>
      <c r="I144" s="892">
        <f t="shared" si="69"/>
        <v>194667</v>
      </c>
      <c r="J144" s="892">
        <f t="shared" si="70"/>
        <v>19466.7</v>
      </c>
      <c r="K144" s="887"/>
      <c r="L144" s="887"/>
      <c r="M144" s="887"/>
      <c r="N144" s="887"/>
      <c r="O144" s="892"/>
      <c r="P144" s="892"/>
      <c r="Q144" s="969"/>
      <c r="R144" s="892">
        <f t="shared" si="85"/>
        <v>4424.25</v>
      </c>
      <c r="S144" s="892">
        <f t="shared" si="71"/>
        <v>23890.95</v>
      </c>
      <c r="T144" s="892">
        <f t="shared" si="72"/>
        <v>218557.95</v>
      </c>
      <c r="U144" s="892">
        <f t="shared" si="73"/>
        <v>21855.795000000002</v>
      </c>
      <c r="V144" s="892">
        <f t="shared" si="74"/>
        <v>13425.899599999999</v>
      </c>
      <c r="W144" s="892">
        <f t="shared" si="75"/>
        <v>4371.1590000000006</v>
      </c>
      <c r="X144" s="892">
        <f t="shared" si="76"/>
        <v>178905.09639999998</v>
      </c>
      <c r="Y144" s="892">
        <f t="shared" si="77"/>
        <v>2622695.4000000004</v>
      </c>
      <c r="Z144" s="892">
        <f t="shared" si="78"/>
        <v>194667</v>
      </c>
      <c r="AA144" s="892">
        <f t="shared" si="79"/>
        <v>2817362.4000000004</v>
      </c>
      <c r="AB144" s="892">
        <f t="shared" si="80"/>
        <v>146367.63972000009</v>
      </c>
      <c r="AC144" s="892">
        <f t="shared" si="84"/>
        <v>126781.30800000003</v>
      </c>
      <c r="AD144" s="892">
        <f t="shared" si="81"/>
        <v>78680.862000000008</v>
      </c>
      <c r="AE144" s="892">
        <f t="shared" si="82"/>
        <v>126781.30800000002</v>
      </c>
      <c r="AF144" s="892">
        <f t="shared" si="83"/>
        <v>3295973.5177200013</v>
      </c>
      <c r="AG144" s="892" t="s">
        <v>3</v>
      </c>
    </row>
    <row r="145" spans="1:33" ht="31.5">
      <c r="A145" s="918">
        <v>96</v>
      </c>
      <c r="B145" s="909" t="s">
        <v>14</v>
      </c>
      <c r="C145" s="970" t="s">
        <v>2344</v>
      </c>
      <c r="D145" s="1562">
        <v>25</v>
      </c>
      <c r="E145" s="934">
        <v>1</v>
      </c>
      <c r="F145" s="887"/>
      <c r="G145" s="888">
        <v>44204</v>
      </c>
      <c r="H145" s="895">
        <v>10</v>
      </c>
      <c r="I145" s="892">
        <f t="shared" si="69"/>
        <v>176970</v>
      </c>
      <c r="J145" s="892">
        <f t="shared" si="70"/>
        <v>17697</v>
      </c>
      <c r="K145" s="887"/>
      <c r="L145" s="887"/>
      <c r="M145" s="887"/>
      <c r="N145" s="887"/>
      <c r="O145" s="918"/>
      <c r="P145" s="939">
        <f>17697*30%</f>
        <v>5309.0999999999995</v>
      </c>
      <c r="Q145" s="973"/>
      <c r="R145" s="973"/>
      <c r="S145" s="892">
        <f t="shared" si="71"/>
        <v>23006.1</v>
      </c>
      <c r="T145" s="892">
        <f t="shared" si="72"/>
        <v>199976.1</v>
      </c>
      <c r="U145" s="892">
        <f t="shared" si="73"/>
        <v>19997.61</v>
      </c>
      <c r="V145" s="892">
        <f t="shared" si="74"/>
        <v>11790.6968</v>
      </c>
      <c r="W145" s="892">
        <f t="shared" si="75"/>
        <v>3999.5220000000004</v>
      </c>
      <c r="X145" s="892">
        <f t="shared" si="76"/>
        <v>164188.27119999999</v>
      </c>
      <c r="Y145" s="892">
        <f t="shared" si="77"/>
        <v>2399713.2000000002</v>
      </c>
      <c r="Z145" s="892">
        <f t="shared" si="78"/>
        <v>176970</v>
      </c>
      <c r="AA145" s="892">
        <f t="shared" si="79"/>
        <v>2576683.2000000002</v>
      </c>
      <c r="AB145" s="892">
        <f t="shared" si="80"/>
        <v>133861.52376000001</v>
      </c>
      <c r="AC145" s="892">
        <f t="shared" si="84"/>
        <v>115950.74400000002</v>
      </c>
      <c r="AD145" s="892">
        <f t="shared" si="81"/>
        <v>71991.396000000008</v>
      </c>
      <c r="AE145" s="892">
        <f t="shared" si="82"/>
        <v>115950.74400000001</v>
      </c>
      <c r="AF145" s="892">
        <f t="shared" si="83"/>
        <v>3014437.6077600005</v>
      </c>
      <c r="AG145" s="892" t="s">
        <v>3</v>
      </c>
    </row>
    <row r="146" spans="1:33" ht="31.5">
      <c r="A146" s="918">
        <v>97</v>
      </c>
      <c r="B146" s="909" t="s">
        <v>14</v>
      </c>
      <c r="C146" s="909" t="s">
        <v>2345</v>
      </c>
      <c r="D146" s="1564"/>
      <c r="E146" s="934">
        <v>1</v>
      </c>
      <c r="F146" s="887"/>
      <c r="G146" s="888">
        <v>42248</v>
      </c>
      <c r="H146" s="895">
        <v>10</v>
      </c>
      <c r="I146" s="892">
        <f t="shared" si="69"/>
        <v>176970</v>
      </c>
      <c r="J146" s="892">
        <f t="shared" si="70"/>
        <v>17697</v>
      </c>
      <c r="K146" s="887"/>
      <c r="L146" s="887"/>
      <c r="M146" s="887"/>
      <c r="N146" s="887"/>
      <c r="O146" s="887"/>
      <c r="P146" s="939">
        <f>17697*30%</f>
        <v>5309.0999999999995</v>
      </c>
      <c r="Q146" s="923"/>
      <c r="R146" s="923"/>
      <c r="S146" s="892">
        <f t="shared" si="71"/>
        <v>23006.1</v>
      </c>
      <c r="T146" s="892">
        <f t="shared" si="72"/>
        <v>199976.1</v>
      </c>
      <c r="U146" s="892">
        <f t="shared" si="73"/>
        <v>19997.61</v>
      </c>
      <c r="V146" s="892">
        <f t="shared" si="74"/>
        <v>11790.6968</v>
      </c>
      <c r="W146" s="892">
        <f t="shared" si="75"/>
        <v>3999.5220000000004</v>
      </c>
      <c r="X146" s="892">
        <f t="shared" si="76"/>
        <v>164188.27119999999</v>
      </c>
      <c r="Y146" s="892">
        <f t="shared" si="77"/>
        <v>2399713.2000000002</v>
      </c>
      <c r="Z146" s="892">
        <f t="shared" si="78"/>
        <v>176970</v>
      </c>
      <c r="AA146" s="892">
        <f t="shared" si="79"/>
        <v>2576683.2000000002</v>
      </c>
      <c r="AB146" s="892">
        <f t="shared" si="80"/>
        <v>133861.52376000001</v>
      </c>
      <c r="AC146" s="892">
        <f t="shared" si="84"/>
        <v>115950.74400000002</v>
      </c>
      <c r="AD146" s="892">
        <f t="shared" si="81"/>
        <v>71991.396000000008</v>
      </c>
      <c r="AE146" s="892">
        <f t="shared" si="82"/>
        <v>115950.74400000001</v>
      </c>
      <c r="AF146" s="892">
        <f t="shared" si="83"/>
        <v>3014437.6077600005</v>
      </c>
      <c r="AG146" s="892" t="s">
        <v>3</v>
      </c>
    </row>
    <row r="147" spans="1:33" ht="31.5">
      <c r="A147" s="918">
        <v>98</v>
      </c>
      <c r="B147" s="909" t="s">
        <v>14</v>
      </c>
      <c r="C147" s="915" t="s">
        <v>497</v>
      </c>
      <c r="D147" s="1564"/>
      <c r="E147" s="934">
        <v>1</v>
      </c>
      <c r="F147" s="887"/>
      <c r="G147" s="888">
        <v>44294</v>
      </c>
      <c r="H147" s="895">
        <v>10</v>
      </c>
      <c r="I147" s="892">
        <f t="shared" si="69"/>
        <v>176970</v>
      </c>
      <c r="J147" s="892">
        <f t="shared" si="70"/>
        <v>17697</v>
      </c>
      <c r="K147" s="887"/>
      <c r="L147" s="887"/>
      <c r="M147" s="887"/>
      <c r="N147" s="887"/>
      <c r="O147" s="887"/>
      <c r="P147" s="939"/>
      <c r="Q147" s="939">
        <f>17697*20%</f>
        <v>3539.4</v>
      </c>
      <c r="R147" s="923"/>
      <c r="S147" s="892">
        <f t="shared" si="71"/>
        <v>21236.400000000001</v>
      </c>
      <c r="T147" s="892">
        <f t="shared" si="72"/>
        <v>198206.4</v>
      </c>
      <c r="U147" s="892">
        <f t="shared" si="73"/>
        <v>19820.64</v>
      </c>
      <c r="V147" s="892">
        <f t="shared" si="74"/>
        <v>11634.963200000002</v>
      </c>
      <c r="W147" s="892">
        <f t="shared" si="75"/>
        <v>3964.1280000000002</v>
      </c>
      <c r="X147" s="892">
        <f t="shared" si="76"/>
        <v>162786.66880000001</v>
      </c>
      <c r="Y147" s="892">
        <f t="shared" si="77"/>
        <v>2378476.7999999998</v>
      </c>
      <c r="Z147" s="892">
        <f t="shared" si="78"/>
        <v>176970</v>
      </c>
      <c r="AA147" s="892">
        <f t="shared" si="79"/>
        <v>2555446.7999999998</v>
      </c>
      <c r="AB147" s="892">
        <f t="shared" si="80"/>
        <v>132761.47824000003</v>
      </c>
      <c r="AC147" s="892">
        <f t="shared" si="84"/>
        <v>114995.10600000001</v>
      </c>
      <c r="AD147" s="892">
        <f t="shared" si="81"/>
        <v>71354.303999999989</v>
      </c>
      <c r="AE147" s="892">
        <f t="shared" si="82"/>
        <v>114995.10599999999</v>
      </c>
      <c r="AF147" s="892">
        <f t="shared" si="83"/>
        <v>2989552.7942400002</v>
      </c>
      <c r="AG147" s="892" t="s">
        <v>3</v>
      </c>
    </row>
    <row r="148" spans="1:33" ht="31.5">
      <c r="A148" s="918">
        <v>99</v>
      </c>
      <c r="B148" s="909" t="s">
        <v>14</v>
      </c>
      <c r="C148" s="970" t="s">
        <v>2346</v>
      </c>
      <c r="D148" s="1564"/>
      <c r="E148" s="934">
        <v>1</v>
      </c>
      <c r="F148" s="887"/>
      <c r="G148" s="888">
        <v>42562</v>
      </c>
      <c r="H148" s="895">
        <v>10</v>
      </c>
      <c r="I148" s="892">
        <f t="shared" si="69"/>
        <v>176970</v>
      </c>
      <c r="J148" s="892">
        <f t="shared" si="70"/>
        <v>17697</v>
      </c>
      <c r="K148" s="887"/>
      <c r="L148" s="887"/>
      <c r="M148" s="887"/>
      <c r="N148" s="887"/>
      <c r="O148" s="887"/>
      <c r="P148" s="939">
        <f t="shared" ref="P148:P150" si="86">17697*30%</f>
        <v>5309.0999999999995</v>
      </c>
      <c r="Q148" s="939"/>
      <c r="R148" s="923"/>
      <c r="S148" s="892">
        <f t="shared" si="71"/>
        <v>23006.1</v>
      </c>
      <c r="T148" s="892">
        <f t="shared" si="72"/>
        <v>199976.1</v>
      </c>
      <c r="U148" s="892">
        <f t="shared" si="73"/>
        <v>19997.61</v>
      </c>
      <c r="V148" s="892">
        <f t="shared" si="74"/>
        <v>11790.6968</v>
      </c>
      <c r="W148" s="892">
        <f t="shared" si="75"/>
        <v>3999.5220000000004</v>
      </c>
      <c r="X148" s="892">
        <f t="shared" si="76"/>
        <v>164188.27119999999</v>
      </c>
      <c r="Y148" s="892">
        <f t="shared" si="77"/>
        <v>2399713.2000000002</v>
      </c>
      <c r="Z148" s="892">
        <f t="shared" si="78"/>
        <v>176970</v>
      </c>
      <c r="AA148" s="892">
        <f t="shared" si="79"/>
        <v>2576683.2000000002</v>
      </c>
      <c r="AB148" s="892">
        <f t="shared" si="80"/>
        <v>133861.52376000001</v>
      </c>
      <c r="AC148" s="892">
        <f t="shared" si="84"/>
        <v>115950.74400000002</v>
      </c>
      <c r="AD148" s="892">
        <f t="shared" si="81"/>
        <v>71991.396000000008</v>
      </c>
      <c r="AE148" s="892">
        <f t="shared" si="82"/>
        <v>115950.74400000001</v>
      </c>
      <c r="AF148" s="892">
        <f t="shared" si="83"/>
        <v>3014437.6077600005</v>
      </c>
      <c r="AG148" s="892" t="s">
        <v>3</v>
      </c>
    </row>
    <row r="149" spans="1:33" ht="31.5">
      <c r="A149" s="918">
        <v>100</v>
      </c>
      <c r="B149" s="909" t="s">
        <v>14</v>
      </c>
      <c r="C149" s="909" t="s">
        <v>2347</v>
      </c>
      <c r="D149" s="1564"/>
      <c r="E149" s="934">
        <v>1</v>
      </c>
      <c r="F149" s="887"/>
      <c r="G149" s="888">
        <v>42541</v>
      </c>
      <c r="H149" s="895">
        <v>10</v>
      </c>
      <c r="I149" s="892">
        <f t="shared" si="69"/>
        <v>176970</v>
      </c>
      <c r="J149" s="892">
        <f t="shared" si="70"/>
        <v>17697</v>
      </c>
      <c r="K149" s="887"/>
      <c r="L149" s="887"/>
      <c r="M149" s="887"/>
      <c r="N149" s="887"/>
      <c r="O149" s="887"/>
      <c r="P149" s="939">
        <f t="shared" si="86"/>
        <v>5309.0999999999995</v>
      </c>
      <c r="Q149" s="939"/>
      <c r="R149" s="923"/>
      <c r="S149" s="892">
        <f t="shared" si="71"/>
        <v>23006.1</v>
      </c>
      <c r="T149" s="892">
        <f t="shared" si="72"/>
        <v>199976.1</v>
      </c>
      <c r="U149" s="892">
        <f t="shared" si="73"/>
        <v>19997.61</v>
      </c>
      <c r="V149" s="892">
        <f t="shared" si="74"/>
        <v>11790.6968</v>
      </c>
      <c r="W149" s="892">
        <f t="shared" si="75"/>
        <v>3999.5220000000004</v>
      </c>
      <c r="X149" s="892">
        <f t="shared" si="76"/>
        <v>164188.27119999999</v>
      </c>
      <c r="Y149" s="892">
        <f t="shared" si="77"/>
        <v>2399713.2000000002</v>
      </c>
      <c r="Z149" s="892">
        <f t="shared" si="78"/>
        <v>176970</v>
      </c>
      <c r="AA149" s="892">
        <f t="shared" si="79"/>
        <v>2576683.2000000002</v>
      </c>
      <c r="AB149" s="892">
        <f t="shared" si="80"/>
        <v>133861.52376000001</v>
      </c>
      <c r="AC149" s="892">
        <f t="shared" si="84"/>
        <v>115950.74400000002</v>
      </c>
      <c r="AD149" s="892">
        <f t="shared" si="81"/>
        <v>71991.396000000008</v>
      </c>
      <c r="AE149" s="892">
        <f t="shared" si="82"/>
        <v>115950.74400000001</v>
      </c>
      <c r="AF149" s="892">
        <f t="shared" si="83"/>
        <v>3014437.6077600005</v>
      </c>
      <c r="AG149" s="892" t="s">
        <v>3</v>
      </c>
    </row>
    <row r="150" spans="1:33" ht="31.5">
      <c r="A150" s="918">
        <v>101</v>
      </c>
      <c r="B150" s="909" t="s">
        <v>14</v>
      </c>
      <c r="C150" s="909" t="s">
        <v>2348</v>
      </c>
      <c r="D150" s="1564"/>
      <c r="E150" s="934">
        <v>1</v>
      </c>
      <c r="F150" s="887"/>
      <c r="G150" s="888">
        <v>43752</v>
      </c>
      <c r="H150" s="895">
        <v>10</v>
      </c>
      <c r="I150" s="892">
        <f t="shared" si="69"/>
        <v>176970</v>
      </c>
      <c r="J150" s="892">
        <f t="shared" si="70"/>
        <v>17697</v>
      </c>
      <c r="K150" s="887"/>
      <c r="L150" s="887"/>
      <c r="M150" s="887"/>
      <c r="N150" s="887"/>
      <c r="O150" s="887"/>
      <c r="P150" s="939">
        <f t="shared" si="86"/>
        <v>5309.0999999999995</v>
      </c>
      <c r="Q150" s="939"/>
      <c r="R150" s="923"/>
      <c r="S150" s="892">
        <f t="shared" si="71"/>
        <v>23006.1</v>
      </c>
      <c r="T150" s="892">
        <f t="shared" si="72"/>
        <v>199976.1</v>
      </c>
      <c r="U150" s="892">
        <f t="shared" si="73"/>
        <v>19997.61</v>
      </c>
      <c r="V150" s="892">
        <f t="shared" si="74"/>
        <v>11790.6968</v>
      </c>
      <c r="W150" s="892">
        <f t="shared" si="75"/>
        <v>3999.5220000000004</v>
      </c>
      <c r="X150" s="892">
        <f t="shared" si="76"/>
        <v>164188.27119999999</v>
      </c>
      <c r="Y150" s="892">
        <f t="shared" si="77"/>
        <v>2399713.2000000002</v>
      </c>
      <c r="Z150" s="892">
        <f t="shared" si="78"/>
        <v>176970</v>
      </c>
      <c r="AA150" s="892">
        <f t="shared" si="79"/>
        <v>2576683.2000000002</v>
      </c>
      <c r="AB150" s="892">
        <f t="shared" si="80"/>
        <v>133861.52376000001</v>
      </c>
      <c r="AC150" s="892">
        <f t="shared" si="84"/>
        <v>115950.74400000002</v>
      </c>
      <c r="AD150" s="892">
        <f t="shared" si="81"/>
        <v>71991.396000000008</v>
      </c>
      <c r="AE150" s="892">
        <f t="shared" si="82"/>
        <v>115950.74400000001</v>
      </c>
      <c r="AF150" s="892">
        <f t="shared" si="83"/>
        <v>3014437.6077600005</v>
      </c>
      <c r="AG150" s="892" t="s">
        <v>3</v>
      </c>
    </row>
    <row r="151" spans="1:33" ht="31.5">
      <c r="A151" s="918">
        <v>102</v>
      </c>
      <c r="B151" s="909" t="s">
        <v>14</v>
      </c>
      <c r="C151" s="909" t="s">
        <v>498</v>
      </c>
      <c r="D151" s="1564"/>
      <c r="E151" s="934">
        <v>1</v>
      </c>
      <c r="F151" s="887"/>
      <c r="G151" s="888">
        <v>42342</v>
      </c>
      <c r="H151" s="895">
        <v>10</v>
      </c>
      <c r="I151" s="892">
        <f t="shared" si="69"/>
        <v>176970</v>
      </c>
      <c r="J151" s="892">
        <f t="shared" si="70"/>
        <v>17697</v>
      </c>
      <c r="K151" s="887"/>
      <c r="L151" s="887"/>
      <c r="M151" s="887"/>
      <c r="N151" s="887"/>
      <c r="O151" s="887"/>
      <c r="P151" s="939"/>
      <c r="Q151" s="939">
        <f>17697*20%</f>
        <v>3539.4</v>
      </c>
      <c r="R151" s="923"/>
      <c r="S151" s="892">
        <f t="shared" si="71"/>
        <v>21236.400000000001</v>
      </c>
      <c r="T151" s="892">
        <f t="shared" si="72"/>
        <v>198206.4</v>
      </c>
      <c r="U151" s="892">
        <f t="shared" si="73"/>
        <v>19820.64</v>
      </c>
      <c r="V151" s="892">
        <f t="shared" si="74"/>
        <v>11634.963200000002</v>
      </c>
      <c r="W151" s="892">
        <f t="shared" si="75"/>
        <v>3964.1280000000002</v>
      </c>
      <c r="X151" s="892">
        <f t="shared" si="76"/>
        <v>162786.66880000001</v>
      </c>
      <c r="Y151" s="892">
        <f t="shared" si="77"/>
        <v>2378476.7999999998</v>
      </c>
      <c r="Z151" s="892">
        <f t="shared" si="78"/>
        <v>176970</v>
      </c>
      <c r="AA151" s="892">
        <f t="shared" si="79"/>
        <v>2555446.7999999998</v>
      </c>
      <c r="AB151" s="892">
        <f t="shared" si="80"/>
        <v>132761.47824000003</v>
      </c>
      <c r="AC151" s="892">
        <f t="shared" si="84"/>
        <v>114995.10600000001</v>
      </c>
      <c r="AD151" s="892">
        <f t="shared" si="81"/>
        <v>71354.303999999989</v>
      </c>
      <c r="AE151" s="892">
        <f t="shared" si="82"/>
        <v>114995.10599999999</v>
      </c>
      <c r="AF151" s="892">
        <f t="shared" si="83"/>
        <v>2989552.7942400002</v>
      </c>
      <c r="AG151" s="892" t="s">
        <v>3</v>
      </c>
    </row>
    <row r="152" spans="1:33" ht="31.5">
      <c r="A152" s="918">
        <v>103</v>
      </c>
      <c r="B152" s="909" t="s">
        <v>14</v>
      </c>
      <c r="C152" s="909" t="s">
        <v>499</v>
      </c>
      <c r="D152" s="1564"/>
      <c r="E152" s="934">
        <v>1</v>
      </c>
      <c r="F152" s="887"/>
      <c r="G152" s="888">
        <v>44455</v>
      </c>
      <c r="H152" s="895">
        <v>10</v>
      </c>
      <c r="I152" s="892">
        <f t="shared" si="69"/>
        <v>176970</v>
      </c>
      <c r="J152" s="892">
        <f t="shared" si="70"/>
        <v>17697</v>
      </c>
      <c r="K152" s="887"/>
      <c r="L152" s="887"/>
      <c r="M152" s="887"/>
      <c r="N152" s="887"/>
      <c r="O152" s="887"/>
      <c r="P152" s="939">
        <f t="shared" ref="P152:P153" si="87">17697*30%</f>
        <v>5309.0999999999995</v>
      </c>
      <c r="Q152" s="939"/>
      <c r="R152" s="923"/>
      <c r="S152" s="892">
        <f t="shared" si="71"/>
        <v>23006.1</v>
      </c>
      <c r="T152" s="892">
        <f t="shared" si="72"/>
        <v>199976.1</v>
      </c>
      <c r="U152" s="892">
        <f t="shared" si="73"/>
        <v>19997.61</v>
      </c>
      <c r="V152" s="892">
        <f t="shared" si="74"/>
        <v>11790.6968</v>
      </c>
      <c r="W152" s="892">
        <f t="shared" si="75"/>
        <v>3999.5220000000004</v>
      </c>
      <c r="X152" s="892">
        <f t="shared" si="76"/>
        <v>164188.27119999999</v>
      </c>
      <c r="Y152" s="892">
        <f t="shared" si="77"/>
        <v>2399713.2000000002</v>
      </c>
      <c r="Z152" s="892">
        <f t="shared" si="78"/>
        <v>176970</v>
      </c>
      <c r="AA152" s="892">
        <f t="shared" si="79"/>
        <v>2576683.2000000002</v>
      </c>
      <c r="AB152" s="892">
        <f t="shared" si="80"/>
        <v>133861.52376000001</v>
      </c>
      <c r="AC152" s="892">
        <f t="shared" si="84"/>
        <v>115950.74400000002</v>
      </c>
      <c r="AD152" s="892">
        <f t="shared" si="81"/>
        <v>71991.396000000008</v>
      </c>
      <c r="AE152" s="892">
        <f t="shared" si="82"/>
        <v>115950.74400000001</v>
      </c>
      <c r="AF152" s="892">
        <f t="shared" si="83"/>
        <v>3014437.6077600005</v>
      </c>
      <c r="AG152" s="892" t="s">
        <v>3</v>
      </c>
    </row>
    <row r="153" spans="1:33" ht="31.5">
      <c r="A153" s="918">
        <v>104</v>
      </c>
      <c r="B153" s="909" t="s">
        <v>14</v>
      </c>
      <c r="C153" s="909" t="s">
        <v>2349</v>
      </c>
      <c r="D153" s="1564"/>
      <c r="E153" s="934">
        <v>1</v>
      </c>
      <c r="F153" s="887"/>
      <c r="G153" s="888">
        <v>44211</v>
      </c>
      <c r="H153" s="895">
        <v>10</v>
      </c>
      <c r="I153" s="892">
        <f t="shared" si="69"/>
        <v>176970</v>
      </c>
      <c r="J153" s="892">
        <f t="shared" si="70"/>
        <v>17697</v>
      </c>
      <c r="K153" s="887"/>
      <c r="L153" s="887"/>
      <c r="M153" s="887"/>
      <c r="N153" s="887"/>
      <c r="O153" s="887"/>
      <c r="P153" s="939">
        <f t="shared" si="87"/>
        <v>5309.0999999999995</v>
      </c>
      <c r="Q153" s="939"/>
      <c r="R153" s="923"/>
      <c r="S153" s="892">
        <f t="shared" si="71"/>
        <v>23006.1</v>
      </c>
      <c r="T153" s="892">
        <f t="shared" si="72"/>
        <v>199976.1</v>
      </c>
      <c r="U153" s="892">
        <f t="shared" si="73"/>
        <v>19997.61</v>
      </c>
      <c r="V153" s="892">
        <f t="shared" si="74"/>
        <v>11790.6968</v>
      </c>
      <c r="W153" s="892">
        <f t="shared" si="75"/>
        <v>3999.5220000000004</v>
      </c>
      <c r="X153" s="892">
        <f t="shared" si="76"/>
        <v>164188.27119999999</v>
      </c>
      <c r="Y153" s="892">
        <f t="shared" si="77"/>
        <v>2399713.2000000002</v>
      </c>
      <c r="Z153" s="892">
        <f t="shared" si="78"/>
        <v>176970</v>
      </c>
      <c r="AA153" s="892">
        <f t="shared" si="79"/>
        <v>2576683.2000000002</v>
      </c>
      <c r="AB153" s="892">
        <f t="shared" si="80"/>
        <v>133861.52376000001</v>
      </c>
      <c r="AC153" s="892">
        <f t="shared" si="84"/>
        <v>115950.74400000002</v>
      </c>
      <c r="AD153" s="892">
        <f t="shared" si="81"/>
        <v>71991.396000000008</v>
      </c>
      <c r="AE153" s="892">
        <f t="shared" si="82"/>
        <v>115950.74400000001</v>
      </c>
      <c r="AF153" s="892">
        <f t="shared" si="83"/>
        <v>3014437.6077600005</v>
      </c>
      <c r="AG153" s="892" t="s">
        <v>3</v>
      </c>
    </row>
    <row r="154" spans="1:33" ht="31.5">
      <c r="A154" s="918">
        <v>105</v>
      </c>
      <c r="B154" s="909" t="s">
        <v>14</v>
      </c>
      <c r="C154" s="909" t="s">
        <v>500</v>
      </c>
      <c r="D154" s="1564"/>
      <c r="E154" s="934">
        <v>1</v>
      </c>
      <c r="F154" s="887"/>
      <c r="G154" s="888">
        <v>42440</v>
      </c>
      <c r="H154" s="895">
        <v>10</v>
      </c>
      <c r="I154" s="892">
        <f t="shared" si="69"/>
        <v>176970</v>
      </c>
      <c r="J154" s="892">
        <f t="shared" si="70"/>
        <v>17697</v>
      </c>
      <c r="K154" s="887"/>
      <c r="L154" s="887"/>
      <c r="M154" s="887"/>
      <c r="N154" s="887"/>
      <c r="O154" s="887"/>
      <c r="P154" s="939"/>
      <c r="Q154" s="939">
        <f>17697*20%</f>
        <v>3539.4</v>
      </c>
      <c r="R154" s="923"/>
      <c r="S154" s="892">
        <f t="shared" si="71"/>
        <v>21236.400000000001</v>
      </c>
      <c r="T154" s="892">
        <f t="shared" si="72"/>
        <v>198206.4</v>
      </c>
      <c r="U154" s="892">
        <f t="shared" si="73"/>
        <v>19820.64</v>
      </c>
      <c r="V154" s="892">
        <f t="shared" si="74"/>
        <v>11634.963200000002</v>
      </c>
      <c r="W154" s="892">
        <f t="shared" si="75"/>
        <v>3964.1280000000002</v>
      </c>
      <c r="X154" s="892">
        <f t="shared" si="76"/>
        <v>162786.66880000001</v>
      </c>
      <c r="Y154" s="892">
        <f t="shared" si="77"/>
        <v>2378476.7999999998</v>
      </c>
      <c r="Z154" s="892">
        <f t="shared" si="78"/>
        <v>176970</v>
      </c>
      <c r="AA154" s="892">
        <f t="shared" si="79"/>
        <v>2555446.7999999998</v>
      </c>
      <c r="AB154" s="892">
        <f t="shared" si="80"/>
        <v>132761.47824000003</v>
      </c>
      <c r="AC154" s="892">
        <f t="shared" si="84"/>
        <v>114995.10600000001</v>
      </c>
      <c r="AD154" s="892">
        <f t="shared" si="81"/>
        <v>71354.303999999989</v>
      </c>
      <c r="AE154" s="892">
        <f t="shared" si="82"/>
        <v>114995.10599999999</v>
      </c>
      <c r="AF154" s="892">
        <f t="shared" si="83"/>
        <v>2989552.7942400002</v>
      </c>
      <c r="AG154" s="892" t="s">
        <v>3</v>
      </c>
    </row>
    <row r="155" spans="1:33" ht="31.5">
      <c r="A155" s="918">
        <v>106</v>
      </c>
      <c r="B155" s="909" t="s">
        <v>14</v>
      </c>
      <c r="C155" s="909" t="s">
        <v>501</v>
      </c>
      <c r="D155" s="1564"/>
      <c r="E155" s="934">
        <v>1</v>
      </c>
      <c r="F155" s="887"/>
      <c r="G155" s="888">
        <v>42284</v>
      </c>
      <c r="H155" s="895">
        <v>10</v>
      </c>
      <c r="I155" s="892">
        <f t="shared" si="69"/>
        <v>176970</v>
      </c>
      <c r="J155" s="892">
        <f t="shared" si="70"/>
        <v>17697</v>
      </c>
      <c r="K155" s="887"/>
      <c r="L155" s="887"/>
      <c r="M155" s="887"/>
      <c r="N155" s="887"/>
      <c r="O155" s="887"/>
      <c r="P155" s="939">
        <f t="shared" ref="P155:P156" si="88">17697*30%</f>
        <v>5309.0999999999995</v>
      </c>
      <c r="Q155" s="939"/>
      <c r="R155" s="923"/>
      <c r="S155" s="892">
        <f t="shared" si="71"/>
        <v>23006.1</v>
      </c>
      <c r="T155" s="892">
        <f t="shared" si="72"/>
        <v>199976.1</v>
      </c>
      <c r="U155" s="892">
        <f t="shared" si="73"/>
        <v>19997.61</v>
      </c>
      <c r="V155" s="892">
        <f t="shared" si="74"/>
        <v>11790.6968</v>
      </c>
      <c r="W155" s="892">
        <f t="shared" si="75"/>
        <v>3999.5220000000004</v>
      </c>
      <c r="X155" s="892">
        <f t="shared" si="76"/>
        <v>164188.27119999999</v>
      </c>
      <c r="Y155" s="892">
        <f t="shared" si="77"/>
        <v>2399713.2000000002</v>
      </c>
      <c r="Z155" s="892">
        <f t="shared" si="78"/>
        <v>176970</v>
      </c>
      <c r="AA155" s="892">
        <f t="shared" si="79"/>
        <v>2576683.2000000002</v>
      </c>
      <c r="AB155" s="892">
        <f t="shared" si="80"/>
        <v>133861.52376000001</v>
      </c>
      <c r="AC155" s="892">
        <f t="shared" si="84"/>
        <v>115950.74400000002</v>
      </c>
      <c r="AD155" s="892">
        <f t="shared" si="81"/>
        <v>71991.396000000008</v>
      </c>
      <c r="AE155" s="892">
        <f t="shared" si="82"/>
        <v>115950.74400000001</v>
      </c>
      <c r="AF155" s="892">
        <f t="shared" si="83"/>
        <v>3014437.6077600005</v>
      </c>
      <c r="AG155" s="892" t="s">
        <v>3</v>
      </c>
    </row>
    <row r="156" spans="1:33" ht="31.5">
      <c r="A156" s="918">
        <v>107</v>
      </c>
      <c r="B156" s="909" t="s">
        <v>14</v>
      </c>
      <c r="C156" s="909" t="s">
        <v>502</v>
      </c>
      <c r="D156" s="1564"/>
      <c r="E156" s="934">
        <v>1</v>
      </c>
      <c r="F156" s="887"/>
      <c r="G156" s="888">
        <v>44204</v>
      </c>
      <c r="H156" s="895">
        <v>10</v>
      </c>
      <c r="I156" s="892">
        <f t="shared" si="69"/>
        <v>176970</v>
      </c>
      <c r="J156" s="892">
        <f t="shared" si="70"/>
        <v>17697</v>
      </c>
      <c r="K156" s="887"/>
      <c r="L156" s="887"/>
      <c r="M156" s="887"/>
      <c r="N156" s="887"/>
      <c r="O156" s="887"/>
      <c r="P156" s="939">
        <f t="shared" si="88"/>
        <v>5309.0999999999995</v>
      </c>
      <c r="Q156" s="939"/>
      <c r="R156" s="923"/>
      <c r="S156" s="892">
        <f t="shared" si="71"/>
        <v>23006.1</v>
      </c>
      <c r="T156" s="892">
        <f t="shared" si="72"/>
        <v>199976.1</v>
      </c>
      <c r="U156" s="892">
        <f t="shared" si="73"/>
        <v>19997.61</v>
      </c>
      <c r="V156" s="892">
        <f t="shared" si="74"/>
        <v>11790.6968</v>
      </c>
      <c r="W156" s="892">
        <f t="shared" si="75"/>
        <v>3999.5220000000004</v>
      </c>
      <c r="X156" s="892">
        <f t="shared" si="76"/>
        <v>164188.27119999999</v>
      </c>
      <c r="Y156" s="892">
        <f t="shared" si="77"/>
        <v>2399713.2000000002</v>
      </c>
      <c r="Z156" s="892">
        <f t="shared" si="78"/>
        <v>176970</v>
      </c>
      <c r="AA156" s="892">
        <f t="shared" si="79"/>
        <v>2576683.2000000002</v>
      </c>
      <c r="AB156" s="892">
        <f t="shared" si="80"/>
        <v>133861.52376000001</v>
      </c>
      <c r="AC156" s="892">
        <f t="shared" si="84"/>
        <v>115950.74400000002</v>
      </c>
      <c r="AD156" s="892">
        <f t="shared" si="81"/>
        <v>71991.396000000008</v>
      </c>
      <c r="AE156" s="892">
        <f t="shared" si="82"/>
        <v>115950.74400000001</v>
      </c>
      <c r="AF156" s="892">
        <f t="shared" si="83"/>
        <v>3014437.6077600005</v>
      </c>
      <c r="AG156" s="892" t="s">
        <v>3</v>
      </c>
    </row>
    <row r="157" spans="1:33" ht="31.5">
      <c r="A157" s="918">
        <v>108</v>
      </c>
      <c r="B157" s="909" t="s">
        <v>14</v>
      </c>
      <c r="C157" s="909" t="s">
        <v>2350</v>
      </c>
      <c r="D157" s="1564"/>
      <c r="E157" s="934">
        <v>1</v>
      </c>
      <c r="F157" s="887"/>
      <c r="G157" s="888">
        <v>44502</v>
      </c>
      <c r="H157" s="895">
        <v>10</v>
      </c>
      <c r="I157" s="892">
        <f t="shared" si="69"/>
        <v>176970</v>
      </c>
      <c r="J157" s="892">
        <f t="shared" si="70"/>
        <v>17697</v>
      </c>
      <c r="K157" s="887"/>
      <c r="L157" s="887"/>
      <c r="M157" s="887"/>
      <c r="N157" s="887"/>
      <c r="O157" s="887"/>
      <c r="P157" s="939"/>
      <c r="Q157" s="939">
        <f t="shared" ref="Q157:Q158" si="89">17697*20%</f>
        <v>3539.4</v>
      </c>
      <c r="R157" s="923"/>
      <c r="S157" s="892">
        <f t="shared" si="71"/>
        <v>21236.400000000001</v>
      </c>
      <c r="T157" s="892">
        <f t="shared" si="72"/>
        <v>198206.4</v>
      </c>
      <c r="U157" s="892">
        <f t="shared" si="73"/>
        <v>19820.64</v>
      </c>
      <c r="V157" s="892">
        <f t="shared" si="74"/>
        <v>11634.963200000002</v>
      </c>
      <c r="W157" s="892">
        <f t="shared" si="75"/>
        <v>3964.1280000000002</v>
      </c>
      <c r="X157" s="892">
        <f t="shared" si="76"/>
        <v>162786.66880000001</v>
      </c>
      <c r="Y157" s="892">
        <f t="shared" si="77"/>
        <v>2378476.7999999998</v>
      </c>
      <c r="Z157" s="892">
        <f t="shared" si="78"/>
        <v>176970</v>
      </c>
      <c r="AA157" s="892">
        <f t="shared" si="79"/>
        <v>2555446.7999999998</v>
      </c>
      <c r="AB157" s="892">
        <f t="shared" si="80"/>
        <v>132761.47824000003</v>
      </c>
      <c r="AC157" s="892">
        <f t="shared" si="84"/>
        <v>114995.10600000001</v>
      </c>
      <c r="AD157" s="892">
        <f t="shared" si="81"/>
        <v>71354.303999999989</v>
      </c>
      <c r="AE157" s="892">
        <f t="shared" si="82"/>
        <v>114995.10599999999</v>
      </c>
      <c r="AF157" s="892">
        <f t="shared" si="83"/>
        <v>2989552.7942400002</v>
      </c>
      <c r="AG157" s="892" t="s">
        <v>3</v>
      </c>
    </row>
    <row r="158" spans="1:33" ht="31.5">
      <c r="A158" s="918">
        <v>109</v>
      </c>
      <c r="B158" s="909" t="s">
        <v>14</v>
      </c>
      <c r="C158" s="909" t="s">
        <v>503</v>
      </c>
      <c r="D158" s="1564"/>
      <c r="E158" s="934">
        <v>1</v>
      </c>
      <c r="F158" s="887"/>
      <c r="G158" s="888">
        <v>44204</v>
      </c>
      <c r="H158" s="895">
        <v>10</v>
      </c>
      <c r="I158" s="892">
        <f t="shared" si="69"/>
        <v>176970</v>
      </c>
      <c r="J158" s="892">
        <f t="shared" si="70"/>
        <v>17697</v>
      </c>
      <c r="K158" s="887"/>
      <c r="L158" s="887"/>
      <c r="M158" s="887"/>
      <c r="N158" s="887"/>
      <c r="O158" s="887"/>
      <c r="P158" s="939"/>
      <c r="Q158" s="939">
        <f t="shared" si="89"/>
        <v>3539.4</v>
      </c>
      <c r="R158" s="923"/>
      <c r="S158" s="892">
        <f t="shared" si="71"/>
        <v>21236.400000000001</v>
      </c>
      <c r="T158" s="892">
        <f t="shared" si="72"/>
        <v>198206.4</v>
      </c>
      <c r="U158" s="892">
        <f t="shared" si="73"/>
        <v>19820.64</v>
      </c>
      <c r="V158" s="892">
        <f t="shared" si="74"/>
        <v>11634.963200000002</v>
      </c>
      <c r="W158" s="892">
        <f t="shared" si="75"/>
        <v>3964.1280000000002</v>
      </c>
      <c r="X158" s="892">
        <f t="shared" si="76"/>
        <v>162786.66880000001</v>
      </c>
      <c r="Y158" s="892">
        <f t="shared" si="77"/>
        <v>2378476.7999999998</v>
      </c>
      <c r="Z158" s="892">
        <f t="shared" si="78"/>
        <v>176970</v>
      </c>
      <c r="AA158" s="892">
        <f t="shared" si="79"/>
        <v>2555446.7999999998</v>
      </c>
      <c r="AB158" s="892">
        <f t="shared" si="80"/>
        <v>132761.47824000003</v>
      </c>
      <c r="AC158" s="892">
        <f t="shared" si="84"/>
        <v>114995.10600000001</v>
      </c>
      <c r="AD158" s="892">
        <f t="shared" si="81"/>
        <v>71354.303999999989</v>
      </c>
      <c r="AE158" s="892">
        <f t="shared" si="82"/>
        <v>114995.10599999999</v>
      </c>
      <c r="AF158" s="892">
        <f t="shared" si="83"/>
        <v>2989552.7942400002</v>
      </c>
      <c r="AG158" s="892" t="s">
        <v>3</v>
      </c>
    </row>
    <row r="159" spans="1:33" ht="31.5">
      <c r="A159" s="918">
        <v>110</v>
      </c>
      <c r="B159" s="909" t="s">
        <v>14</v>
      </c>
      <c r="C159" s="909" t="s">
        <v>2351</v>
      </c>
      <c r="D159" s="1564"/>
      <c r="E159" s="934">
        <v>1</v>
      </c>
      <c r="F159" s="887"/>
      <c r="G159" s="888">
        <v>41348</v>
      </c>
      <c r="H159" s="895">
        <v>10</v>
      </c>
      <c r="I159" s="892">
        <f t="shared" si="69"/>
        <v>176970</v>
      </c>
      <c r="J159" s="892">
        <f t="shared" si="70"/>
        <v>17697</v>
      </c>
      <c r="K159" s="887"/>
      <c r="L159" s="887"/>
      <c r="M159" s="887"/>
      <c r="N159" s="887"/>
      <c r="O159" s="887"/>
      <c r="P159" s="939">
        <f t="shared" ref="P159:P162" si="90">17697*30%</f>
        <v>5309.0999999999995</v>
      </c>
      <c r="Q159" s="939"/>
      <c r="R159" s="923"/>
      <c r="S159" s="892">
        <f t="shared" si="71"/>
        <v>23006.1</v>
      </c>
      <c r="T159" s="892">
        <f t="shared" si="72"/>
        <v>199976.1</v>
      </c>
      <c r="U159" s="892">
        <f t="shared" si="73"/>
        <v>19997.61</v>
      </c>
      <c r="V159" s="892">
        <f t="shared" si="74"/>
        <v>11790.6968</v>
      </c>
      <c r="W159" s="892">
        <f t="shared" si="75"/>
        <v>3999.5220000000004</v>
      </c>
      <c r="X159" s="892">
        <f t="shared" si="76"/>
        <v>164188.27119999999</v>
      </c>
      <c r="Y159" s="892">
        <f t="shared" si="77"/>
        <v>2399713.2000000002</v>
      </c>
      <c r="Z159" s="892">
        <f t="shared" si="78"/>
        <v>176970</v>
      </c>
      <c r="AA159" s="892">
        <f t="shared" si="79"/>
        <v>2576683.2000000002</v>
      </c>
      <c r="AB159" s="892">
        <f t="shared" si="80"/>
        <v>133861.52376000001</v>
      </c>
      <c r="AC159" s="892">
        <f t="shared" si="84"/>
        <v>115950.74400000002</v>
      </c>
      <c r="AD159" s="892">
        <f t="shared" si="81"/>
        <v>71991.396000000008</v>
      </c>
      <c r="AE159" s="892">
        <f t="shared" si="82"/>
        <v>115950.74400000001</v>
      </c>
      <c r="AF159" s="892">
        <f t="shared" si="83"/>
        <v>3014437.6077600005</v>
      </c>
      <c r="AG159" s="892" t="s">
        <v>3</v>
      </c>
    </row>
    <row r="160" spans="1:33" ht="31.5">
      <c r="A160" s="918">
        <v>111</v>
      </c>
      <c r="B160" s="909" t="s">
        <v>14</v>
      </c>
      <c r="C160" s="909" t="s">
        <v>2352</v>
      </c>
      <c r="D160" s="1564"/>
      <c r="E160" s="934">
        <v>1</v>
      </c>
      <c r="F160" s="887"/>
      <c r="G160" s="888">
        <v>44222</v>
      </c>
      <c r="H160" s="895">
        <v>10</v>
      </c>
      <c r="I160" s="892">
        <f t="shared" si="69"/>
        <v>176970</v>
      </c>
      <c r="J160" s="892">
        <f t="shared" si="70"/>
        <v>17697</v>
      </c>
      <c r="K160" s="887"/>
      <c r="L160" s="887"/>
      <c r="M160" s="887"/>
      <c r="N160" s="887"/>
      <c r="O160" s="887"/>
      <c r="P160" s="939">
        <f t="shared" si="90"/>
        <v>5309.0999999999995</v>
      </c>
      <c r="Q160" s="939"/>
      <c r="R160" s="923"/>
      <c r="S160" s="892">
        <f t="shared" si="71"/>
        <v>23006.1</v>
      </c>
      <c r="T160" s="892">
        <f t="shared" si="72"/>
        <v>199976.1</v>
      </c>
      <c r="U160" s="892">
        <f t="shared" si="73"/>
        <v>19997.61</v>
      </c>
      <c r="V160" s="892">
        <f t="shared" si="74"/>
        <v>11790.6968</v>
      </c>
      <c r="W160" s="892">
        <f t="shared" si="75"/>
        <v>3999.5220000000004</v>
      </c>
      <c r="X160" s="892">
        <f t="shared" si="76"/>
        <v>164188.27119999999</v>
      </c>
      <c r="Y160" s="892">
        <f t="shared" si="77"/>
        <v>2399713.2000000002</v>
      </c>
      <c r="Z160" s="892">
        <f t="shared" si="78"/>
        <v>176970</v>
      </c>
      <c r="AA160" s="892">
        <f t="shared" si="79"/>
        <v>2576683.2000000002</v>
      </c>
      <c r="AB160" s="892">
        <f t="shared" si="80"/>
        <v>133861.52376000001</v>
      </c>
      <c r="AC160" s="892">
        <f t="shared" si="84"/>
        <v>115950.74400000002</v>
      </c>
      <c r="AD160" s="892">
        <f t="shared" si="81"/>
        <v>71991.396000000008</v>
      </c>
      <c r="AE160" s="892">
        <f t="shared" si="82"/>
        <v>115950.74400000001</v>
      </c>
      <c r="AF160" s="892">
        <f t="shared" si="83"/>
        <v>3014437.6077600005</v>
      </c>
      <c r="AG160" s="892" t="s">
        <v>3</v>
      </c>
    </row>
    <row r="161" spans="1:33" ht="31.5">
      <c r="A161" s="918">
        <v>112</v>
      </c>
      <c r="B161" s="909" t="s">
        <v>14</v>
      </c>
      <c r="C161" s="909" t="s">
        <v>504</v>
      </c>
      <c r="D161" s="1564"/>
      <c r="E161" s="934">
        <v>1</v>
      </c>
      <c r="F161" s="887"/>
      <c r="G161" s="888">
        <v>44453</v>
      </c>
      <c r="H161" s="895">
        <v>10</v>
      </c>
      <c r="I161" s="892">
        <f t="shared" si="69"/>
        <v>176970</v>
      </c>
      <c r="J161" s="892">
        <f t="shared" si="70"/>
        <v>17697</v>
      </c>
      <c r="K161" s="887"/>
      <c r="L161" s="887"/>
      <c r="M161" s="887"/>
      <c r="N161" s="887"/>
      <c r="O161" s="887"/>
      <c r="P161" s="939">
        <f t="shared" si="90"/>
        <v>5309.0999999999995</v>
      </c>
      <c r="Q161" s="939"/>
      <c r="R161" s="923"/>
      <c r="S161" s="892">
        <f t="shared" si="71"/>
        <v>23006.1</v>
      </c>
      <c r="T161" s="892">
        <f t="shared" si="72"/>
        <v>199976.1</v>
      </c>
      <c r="U161" s="892">
        <f t="shared" si="73"/>
        <v>19997.61</v>
      </c>
      <c r="V161" s="892">
        <f t="shared" si="74"/>
        <v>11790.6968</v>
      </c>
      <c r="W161" s="892">
        <f t="shared" si="75"/>
        <v>3999.5220000000004</v>
      </c>
      <c r="X161" s="892">
        <f t="shared" si="76"/>
        <v>164188.27119999999</v>
      </c>
      <c r="Y161" s="892">
        <f t="shared" si="77"/>
        <v>2399713.2000000002</v>
      </c>
      <c r="Z161" s="892">
        <f t="shared" si="78"/>
        <v>176970</v>
      </c>
      <c r="AA161" s="892">
        <f t="shared" si="79"/>
        <v>2576683.2000000002</v>
      </c>
      <c r="AB161" s="892">
        <f t="shared" si="80"/>
        <v>133861.52376000001</v>
      </c>
      <c r="AC161" s="892">
        <f t="shared" si="84"/>
        <v>115950.74400000002</v>
      </c>
      <c r="AD161" s="892">
        <f t="shared" si="81"/>
        <v>71991.396000000008</v>
      </c>
      <c r="AE161" s="892">
        <f t="shared" si="82"/>
        <v>115950.74400000001</v>
      </c>
      <c r="AF161" s="892">
        <f t="shared" si="83"/>
        <v>3014437.6077600005</v>
      </c>
      <c r="AG161" s="892" t="s">
        <v>3</v>
      </c>
    </row>
    <row r="162" spans="1:33" ht="31.5">
      <c r="A162" s="918">
        <v>113</v>
      </c>
      <c r="B162" s="909" t="s">
        <v>14</v>
      </c>
      <c r="C162" s="909" t="s">
        <v>505</v>
      </c>
      <c r="D162" s="1564"/>
      <c r="E162" s="934">
        <v>1</v>
      </c>
      <c r="F162" s="887"/>
      <c r="G162" s="888">
        <v>44797</v>
      </c>
      <c r="H162" s="895">
        <v>10</v>
      </c>
      <c r="I162" s="892">
        <f t="shared" si="69"/>
        <v>176970</v>
      </c>
      <c r="J162" s="892">
        <f t="shared" si="70"/>
        <v>17697</v>
      </c>
      <c r="K162" s="887"/>
      <c r="L162" s="887"/>
      <c r="M162" s="887"/>
      <c r="N162" s="887"/>
      <c r="O162" s="887"/>
      <c r="P162" s="939">
        <f t="shared" si="90"/>
        <v>5309.0999999999995</v>
      </c>
      <c r="Q162" s="939"/>
      <c r="R162" s="923"/>
      <c r="S162" s="892">
        <f t="shared" si="71"/>
        <v>23006.1</v>
      </c>
      <c r="T162" s="892">
        <f t="shared" si="72"/>
        <v>199976.1</v>
      </c>
      <c r="U162" s="892">
        <f t="shared" si="73"/>
        <v>19997.61</v>
      </c>
      <c r="V162" s="892">
        <f t="shared" si="74"/>
        <v>11790.6968</v>
      </c>
      <c r="W162" s="892">
        <f t="shared" si="75"/>
        <v>3999.5220000000004</v>
      </c>
      <c r="X162" s="892">
        <f t="shared" si="76"/>
        <v>164188.27119999999</v>
      </c>
      <c r="Y162" s="892">
        <f t="shared" si="77"/>
        <v>2399713.2000000002</v>
      </c>
      <c r="Z162" s="892">
        <f t="shared" si="78"/>
        <v>176970</v>
      </c>
      <c r="AA162" s="892">
        <f t="shared" si="79"/>
        <v>2576683.2000000002</v>
      </c>
      <c r="AB162" s="892">
        <f t="shared" si="80"/>
        <v>133861.52376000001</v>
      </c>
      <c r="AC162" s="892">
        <f t="shared" si="84"/>
        <v>115950.74400000002</v>
      </c>
      <c r="AD162" s="892">
        <f t="shared" si="81"/>
        <v>71991.396000000008</v>
      </c>
      <c r="AE162" s="892">
        <f t="shared" si="82"/>
        <v>115950.74400000001</v>
      </c>
      <c r="AF162" s="892">
        <f t="shared" si="83"/>
        <v>3014437.6077600005</v>
      </c>
      <c r="AG162" s="892" t="s">
        <v>3</v>
      </c>
    </row>
    <row r="163" spans="1:33" ht="31.5">
      <c r="A163" s="918">
        <v>114</v>
      </c>
      <c r="B163" s="909" t="s">
        <v>14</v>
      </c>
      <c r="C163" s="909" t="s">
        <v>506</v>
      </c>
      <c r="D163" s="1564"/>
      <c r="E163" s="934">
        <v>1</v>
      </c>
      <c r="F163" s="887"/>
      <c r="G163" s="888">
        <v>44204</v>
      </c>
      <c r="H163" s="895">
        <v>10</v>
      </c>
      <c r="I163" s="892">
        <f t="shared" si="69"/>
        <v>176970</v>
      </c>
      <c r="J163" s="892">
        <f t="shared" si="70"/>
        <v>17697</v>
      </c>
      <c r="K163" s="887"/>
      <c r="L163" s="887"/>
      <c r="M163" s="887"/>
      <c r="N163" s="887"/>
      <c r="O163" s="887"/>
      <c r="P163" s="939"/>
      <c r="Q163" s="939">
        <f t="shared" ref="Q163:Q164" si="91">17697*20%</f>
        <v>3539.4</v>
      </c>
      <c r="R163" s="923"/>
      <c r="S163" s="892">
        <f t="shared" si="71"/>
        <v>21236.400000000001</v>
      </c>
      <c r="T163" s="892">
        <f t="shared" si="72"/>
        <v>198206.4</v>
      </c>
      <c r="U163" s="892">
        <f t="shared" si="73"/>
        <v>19820.64</v>
      </c>
      <c r="V163" s="892">
        <f t="shared" si="74"/>
        <v>11634.963200000002</v>
      </c>
      <c r="W163" s="892">
        <f t="shared" si="75"/>
        <v>3964.1280000000002</v>
      </c>
      <c r="X163" s="892">
        <f t="shared" si="76"/>
        <v>162786.66880000001</v>
      </c>
      <c r="Y163" s="892">
        <f t="shared" si="77"/>
        <v>2378476.7999999998</v>
      </c>
      <c r="Z163" s="892">
        <f t="shared" si="78"/>
        <v>176970</v>
      </c>
      <c r="AA163" s="892">
        <f t="shared" si="79"/>
        <v>2555446.7999999998</v>
      </c>
      <c r="AB163" s="892">
        <f t="shared" si="80"/>
        <v>132761.47824000003</v>
      </c>
      <c r="AC163" s="892">
        <f t="shared" si="84"/>
        <v>114995.10600000001</v>
      </c>
      <c r="AD163" s="892">
        <f t="shared" si="81"/>
        <v>71354.303999999989</v>
      </c>
      <c r="AE163" s="892">
        <f t="shared" si="82"/>
        <v>114995.10599999999</v>
      </c>
      <c r="AF163" s="892">
        <f t="shared" si="83"/>
        <v>2989552.7942400002</v>
      </c>
      <c r="AG163" s="892" t="s">
        <v>3</v>
      </c>
    </row>
    <row r="164" spans="1:33" ht="31.5">
      <c r="A164" s="918">
        <v>115</v>
      </c>
      <c r="B164" s="909" t="s">
        <v>14</v>
      </c>
      <c r="C164" s="909" t="s">
        <v>507</v>
      </c>
      <c r="D164" s="1564"/>
      <c r="E164" s="934">
        <v>1.5</v>
      </c>
      <c r="F164" s="887"/>
      <c r="G164" s="888">
        <v>39314</v>
      </c>
      <c r="H164" s="895">
        <v>10</v>
      </c>
      <c r="I164" s="892">
        <f t="shared" si="69"/>
        <v>265455</v>
      </c>
      <c r="J164" s="892">
        <f t="shared" si="70"/>
        <v>26545.5</v>
      </c>
      <c r="K164" s="887"/>
      <c r="L164" s="887"/>
      <c r="M164" s="887"/>
      <c r="N164" s="887"/>
      <c r="O164" s="887"/>
      <c r="P164" s="939"/>
      <c r="Q164" s="939">
        <f t="shared" si="91"/>
        <v>3539.4</v>
      </c>
      <c r="R164" s="923"/>
      <c r="S164" s="892">
        <f t="shared" si="71"/>
        <v>30084.9</v>
      </c>
      <c r="T164" s="892">
        <f t="shared" si="72"/>
        <v>295539.90000000002</v>
      </c>
      <c r="U164" s="892">
        <f t="shared" si="73"/>
        <v>29553.990000000005</v>
      </c>
      <c r="V164" s="892">
        <f t="shared" si="74"/>
        <v>20200.311200000004</v>
      </c>
      <c r="W164" s="892">
        <f t="shared" si="75"/>
        <v>5910.7980000000007</v>
      </c>
      <c r="X164" s="892">
        <f t="shared" si="76"/>
        <v>239874.80080000003</v>
      </c>
      <c r="Y164" s="892">
        <f t="shared" si="77"/>
        <v>3546478.8000000003</v>
      </c>
      <c r="Z164" s="892">
        <f t="shared" si="78"/>
        <v>265455</v>
      </c>
      <c r="AA164" s="892">
        <f t="shared" si="79"/>
        <v>3811933.8000000003</v>
      </c>
      <c r="AB164" s="892">
        <f t="shared" si="80"/>
        <v>198042.17184</v>
      </c>
      <c r="AC164" s="892">
        <f t="shared" si="84"/>
        <v>171537.02100000004</v>
      </c>
      <c r="AD164" s="892">
        <f t="shared" si="81"/>
        <v>106394.364</v>
      </c>
      <c r="AE164" s="892">
        <f t="shared" si="82"/>
        <v>171537.02100000001</v>
      </c>
      <c r="AF164" s="892">
        <f t="shared" si="83"/>
        <v>4459444.3778400002</v>
      </c>
      <c r="AG164" s="892" t="s">
        <v>3</v>
      </c>
    </row>
    <row r="165" spans="1:33" ht="31.5">
      <c r="A165" s="918">
        <v>116</v>
      </c>
      <c r="B165" s="909" t="s">
        <v>14</v>
      </c>
      <c r="C165" s="909" t="s">
        <v>508</v>
      </c>
      <c r="D165" s="1564"/>
      <c r="E165" s="934">
        <v>1.5</v>
      </c>
      <c r="F165" s="887"/>
      <c r="G165" s="888">
        <v>44204</v>
      </c>
      <c r="H165" s="895">
        <v>10</v>
      </c>
      <c r="I165" s="892">
        <f t="shared" si="69"/>
        <v>265455</v>
      </c>
      <c r="J165" s="892">
        <f t="shared" si="70"/>
        <v>26545.5</v>
      </c>
      <c r="K165" s="887"/>
      <c r="L165" s="887"/>
      <c r="M165" s="887"/>
      <c r="N165" s="887"/>
      <c r="O165" s="887"/>
      <c r="P165" s="939">
        <f t="shared" ref="P165:P167" si="92">17697*30%</f>
        <v>5309.0999999999995</v>
      </c>
      <c r="Q165" s="923"/>
      <c r="R165" s="923"/>
      <c r="S165" s="892">
        <f t="shared" si="71"/>
        <v>31854.6</v>
      </c>
      <c r="T165" s="892">
        <f t="shared" si="72"/>
        <v>297309.59999999998</v>
      </c>
      <c r="U165" s="892">
        <f t="shared" si="73"/>
        <v>29730.959999999999</v>
      </c>
      <c r="V165" s="892">
        <f t="shared" si="74"/>
        <v>20356.044799999996</v>
      </c>
      <c r="W165" s="892">
        <f t="shared" si="75"/>
        <v>5946.192</v>
      </c>
      <c r="X165" s="892">
        <f t="shared" si="76"/>
        <v>241276.40319999994</v>
      </c>
      <c r="Y165" s="892">
        <f t="shared" si="77"/>
        <v>3567715.1999999997</v>
      </c>
      <c r="Z165" s="892">
        <f t="shared" si="78"/>
        <v>265455</v>
      </c>
      <c r="AA165" s="892">
        <f t="shared" si="79"/>
        <v>3833170.1999999997</v>
      </c>
      <c r="AB165" s="892">
        <f t="shared" si="80"/>
        <v>199142.21736000001</v>
      </c>
      <c r="AC165" s="892">
        <f t="shared" si="84"/>
        <v>172492.65899999999</v>
      </c>
      <c r="AD165" s="892">
        <f t="shared" si="81"/>
        <v>107031.45599999999</v>
      </c>
      <c r="AE165" s="892">
        <f t="shared" si="82"/>
        <v>172492.65899999999</v>
      </c>
      <c r="AF165" s="892">
        <f t="shared" si="83"/>
        <v>4484329.1913600005</v>
      </c>
      <c r="AG165" s="892" t="s">
        <v>3</v>
      </c>
    </row>
    <row r="166" spans="1:33" ht="31.5">
      <c r="A166" s="918">
        <v>117</v>
      </c>
      <c r="B166" s="909" t="s">
        <v>14</v>
      </c>
      <c r="C166" s="909" t="s">
        <v>2353</v>
      </c>
      <c r="D166" s="1564"/>
      <c r="E166" s="934">
        <v>1.5</v>
      </c>
      <c r="F166" s="887"/>
      <c r="G166" s="888">
        <v>44204</v>
      </c>
      <c r="H166" s="895">
        <v>10</v>
      </c>
      <c r="I166" s="892">
        <f t="shared" si="69"/>
        <v>265455</v>
      </c>
      <c r="J166" s="892">
        <f t="shared" si="70"/>
        <v>26545.5</v>
      </c>
      <c r="K166" s="887"/>
      <c r="L166" s="887"/>
      <c r="M166" s="887"/>
      <c r="N166" s="887"/>
      <c r="O166" s="887"/>
      <c r="P166" s="939">
        <f t="shared" si="92"/>
        <v>5309.0999999999995</v>
      </c>
      <c r="Q166" s="923"/>
      <c r="R166" s="923"/>
      <c r="S166" s="892">
        <f t="shared" si="71"/>
        <v>31854.6</v>
      </c>
      <c r="T166" s="892">
        <f t="shared" si="72"/>
        <v>297309.59999999998</v>
      </c>
      <c r="U166" s="892">
        <f t="shared" si="73"/>
        <v>29730.959999999999</v>
      </c>
      <c r="V166" s="892">
        <f t="shared" si="74"/>
        <v>20356.044799999996</v>
      </c>
      <c r="W166" s="892">
        <f t="shared" si="75"/>
        <v>5946.192</v>
      </c>
      <c r="X166" s="892">
        <f t="shared" si="76"/>
        <v>241276.40319999994</v>
      </c>
      <c r="Y166" s="892">
        <f t="shared" si="77"/>
        <v>3567715.1999999997</v>
      </c>
      <c r="Z166" s="892">
        <f t="shared" si="78"/>
        <v>265455</v>
      </c>
      <c r="AA166" s="892">
        <f t="shared" si="79"/>
        <v>3833170.1999999997</v>
      </c>
      <c r="AB166" s="892">
        <f t="shared" si="80"/>
        <v>199142.21736000001</v>
      </c>
      <c r="AC166" s="892">
        <f t="shared" si="84"/>
        <v>172492.65899999999</v>
      </c>
      <c r="AD166" s="892">
        <f t="shared" si="81"/>
        <v>107031.45599999999</v>
      </c>
      <c r="AE166" s="892">
        <f t="shared" si="82"/>
        <v>172492.65899999999</v>
      </c>
      <c r="AF166" s="892">
        <f t="shared" si="83"/>
        <v>4484329.1913600005</v>
      </c>
      <c r="AG166" s="892" t="s">
        <v>3</v>
      </c>
    </row>
    <row r="167" spans="1:33" ht="31.5">
      <c r="A167" s="918">
        <v>118</v>
      </c>
      <c r="B167" s="909" t="s">
        <v>14</v>
      </c>
      <c r="C167" s="909" t="s">
        <v>2354</v>
      </c>
      <c r="D167" s="1564"/>
      <c r="E167" s="934">
        <v>1.5</v>
      </c>
      <c r="F167" s="887"/>
      <c r="G167" s="888">
        <v>43741</v>
      </c>
      <c r="H167" s="895">
        <v>10</v>
      </c>
      <c r="I167" s="892">
        <f t="shared" si="69"/>
        <v>265455</v>
      </c>
      <c r="J167" s="892">
        <f t="shared" si="70"/>
        <v>26545.5</v>
      </c>
      <c r="K167" s="887"/>
      <c r="L167" s="887"/>
      <c r="M167" s="887"/>
      <c r="N167" s="887"/>
      <c r="O167" s="887"/>
      <c r="P167" s="939">
        <f t="shared" si="92"/>
        <v>5309.0999999999995</v>
      </c>
      <c r="Q167" s="923"/>
      <c r="R167" s="923"/>
      <c r="S167" s="892">
        <f t="shared" si="71"/>
        <v>31854.6</v>
      </c>
      <c r="T167" s="892">
        <f t="shared" si="72"/>
        <v>297309.59999999998</v>
      </c>
      <c r="U167" s="892">
        <f t="shared" si="73"/>
        <v>29730.959999999999</v>
      </c>
      <c r="V167" s="892">
        <f t="shared" si="74"/>
        <v>20356.044799999996</v>
      </c>
      <c r="W167" s="892">
        <f t="shared" si="75"/>
        <v>5946.192</v>
      </c>
      <c r="X167" s="892">
        <f t="shared" si="76"/>
        <v>241276.40319999994</v>
      </c>
      <c r="Y167" s="892">
        <f t="shared" si="77"/>
        <v>3567715.1999999997</v>
      </c>
      <c r="Z167" s="892">
        <f t="shared" si="78"/>
        <v>265455</v>
      </c>
      <c r="AA167" s="892">
        <f t="shared" si="79"/>
        <v>3833170.1999999997</v>
      </c>
      <c r="AB167" s="892">
        <f t="shared" si="80"/>
        <v>199142.21736000001</v>
      </c>
      <c r="AC167" s="892">
        <f t="shared" si="84"/>
        <v>172492.65899999999</v>
      </c>
      <c r="AD167" s="892">
        <f t="shared" si="81"/>
        <v>107031.45599999999</v>
      </c>
      <c r="AE167" s="892">
        <f t="shared" si="82"/>
        <v>172492.65899999999</v>
      </c>
      <c r="AF167" s="892">
        <f t="shared" si="83"/>
        <v>4484329.1913600005</v>
      </c>
      <c r="AG167" s="892" t="s">
        <v>3</v>
      </c>
    </row>
    <row r="168" spans="1:33" ht="18.75" customHeight="1">
      <c r="B168" s="919" t="s">
        <v>835</v>
      </c>
      <c r="C168" s="920"/>
      <c r="D168" s="921">
        <f>SUM(D130:D167)</f>
        <v>40</v>
      </c>
      <c r="E168" s="921">
        <f>SUM(E130:E167)</f>
        <v>40</v>
      </c>
      <c r="F168" s="918"/>
      <c r="G168" s="918"/>
      <c r="H168" s="918"/>
      <c r="I168" s="924">
        <f t="shared" ref="I168:AF168" si="93">SUM(I130:I167)</f>
        <v>8193711</v>
      </c>
      <c r="J168" s="924">
        <f t="shared" si="93"/>
        <v>819371.10000000009</v>
      </c>
      <c r="K168" s="924">
        <f t="shared" si="93"/>
        <v>0</v>
      </c>
      <c r="L168" s="924">
        <f t="shared" si="93"/>
        <v>0</v>
      </c>
      <c r="M168" s="924">
        <f t="shared" si="93"/>
        <v>0</v>
      </c>
      <c r="N168" s="924">
        <f t="shared" si="93"/>
        <v>0</v>
      </c>
      <c r="O168" s="924">
        <f t="shared" si="93"/>
        <v>6193.95</v>
      </c>
      <c r="P168" s="924">
        <f t="shared" si="93"/>
        <v>84945.600000000006</v>
      </c>
      <c r="Q168" s="924">
        <f t="shared" si="93"/>
        <v>24775.800000000003</v>
      </c>
      <c r="R168" s="924">
        <f t="shared" si="93"/>
        <v>13272.75</v>
      </c>
      <c r="S168" s="924">
        <f t="shared" si="93"/>
        <v>948559.19999999984</v>
      </c>
      <c r="T168" s="924">
        <f t="shared" si="93"/>
        <v>9142270.1999999974</v>
      </c>
      <c r="U168" s="924">
        <f t="shared" si="93"/>
        <v>914227.01999999979</v>
      </c>
      <c r="V168" s="924">
        <f t="shared" si="93"/>
        <v>583846.1775999997</v>
      </c>
      <c r="W168" s="924">
        <f t="shared" si="93"/>
        <v>182845.40400000001</v>
      </c>
      <c r="X168" s="924">
        <f t="shared" si="93"/>
        <v>7461351.5984000023</v>
      </c>
      <c r="Y168" s="924">
        <f t="shared" si="93"/>
        <v>109707242.40000002</v>
      </c>
      <c r="Z168" s="924">
        <f t="shared" si="93"/>
        <v>8193711</v>
      </c>
      <c r="AA168" s="924">
        <f t="shared" si="93"/>
        <v>117900953.40000002</v>
      </c>
      <c r="AB168" s="924">
        <f t="shared" si="93"/>
        <v>6125295.550320005</v>
      </c>
      <c r="AC168" s="924">
        <f t="shared" si="93"/>
        <v>5305542.9029999999</v>
      </c>
      <c r="AD168" s="924">
        <f t="shared" si="93"/>
        <v>3291217.2720000003</v>
      </c>
      <c r="AE168" s="924">
        <f t="shared" si="93"/>
        <v>5305542.902999999</v>
      </c>
      <c r="AF168" s="924">
        <f t="shared" si="93"/>
        <v>137928552.02831995</v>
      </c>
      <c r="AG168" s="923"/>
    </row>
    <row r="169" spans="1:33" ht="24.75" customHeight="1">
      <c r="A169" s="1565" t="s">
        <v>836</v>
      </c>
      <c r="B169" s="1565"/>
      <c r="C169" s="1565"/>
      <c r="D169" s="1565"/>
      <c r="E169" s="1565"/>
      <c r="F169" s="1565"/>
      <c r="G169" s="1565"/>
      <c r="H169" s="1565"/>
      <c r="I169" s="1565"/>
      <c r="J169" s="1565"/>
      <c r="K169" s="1565"/>
      <c r="L169" s="1565"/>
      <c r="M169" s="1565"/>
      <c r="N169" s="1565"/>
      <c r="O169" s="1565"/>
      <c r="P169" s="1565"/>
      <c r="Q169" s="1565"/>
      <c r="R169" s="1565"/>
      <c r="S169" s="1565"/>
      <c r="T169" s="1565"/>
      <c r="U169" s="1565"/>
      <c r="V169" s="1565"/>
      <c r="W169" s="1565"/>
      <c r="X169" s="1565"/>
      <c r="Y169" s="1565"/>
      <c r="Z169" s="1565"/>
      <c r="AA169" s="1565"/>
      <c r="AB169" s="1565"/>
      <c r="AC169" s="1565"/>
      <c r="AD169" s="1565"/>
      <c r="AE169" s="1565"/>
      <c r="AF169" s="1565"/>
      <c r="AG169" s="1565"/>
    </row>
    <row r="170" spans="1:33" ht="22.5" customHeight="1">
      <c r="A170" s="1544" t="s">
        <v>509</v>
      </c>
      <c r="B170" s="1544"/>
      <c r="C170" s="1544"/>
      <c r="D170" s="1544"/>
      <c r="E170" s="1544"/>
      <c r="F170" s="1544"/>
      <c r="G170" s="1544"/>
      <c r="H170" s="1544"/>
      <c r="I170" s="1544"/>
      <c r="J170" s="1544"/>
      <c r="K170" s="1544"/>
      <c r="L170" s="1544"/>
      <c r="M170" s="1544"/>
      <c r="N170" s="1544"/>
      <c r="O170" s="1544"/>
      <c r="P170" s="1544"/>
      <c r="Q170" s="1544"/>
      <c r="R170" s="1544"/>
      <c r="S170" s="1544"/>
      <c r="T170" s="1544"/>
      <c r="U170" s="1544"/>
      <c r="V170" s="1544"/>
      <c r="W170" s="1544"/>
      <c r="X170" s="1544"/>
      <c r="Y170" s="1544"/>
      <c r="Z170" s="1544"/>
      <c r="AA170" s="1544"/>
      <c r="AB170" s="1544"/>
      <c r="AC170" s="1544"/>
      <c r="AD170" s="1544"/>
      <c r="AE170" s="1544"/>
      <c r="AF170" s="1544"/>
      <c r="AG170" s="1544"/>
    </row>
    <row r="171" spans="1:33">
      <c r="A171" s="974">
        <v>120</v>
      </c>
      <c r="B171" s="893" t="s">
        <v>510</v>
      </c>
      <c r="C171" s="894" t="s">
        <v>511</v>
      </c>
      <c r="D171" s="918">
        <v>1</v>
      </c>
      <c r="E171" s="918">
        <v>1</v>
      </c>
      <c r="F171" s="918"/>
      <c r="G171" s="888">
        <v>44629</v>
      </c>
      <c r="H171" s="918">
        <v>31</v>
      </c>
      <c r="I171" s="892">
        <f t="shared" ref="I171" si="94">E171*17697*H171</f>
        <v>548607</v>
      </c>
      <c r="J171" s="892">
        <f t="shared" ref="J171" si="95">I171*10%</f>
        <v>54860.700000000004</v>
      </c>
      <c r="K171" s="924"/>
      <c r="L171" s="924"/>
      <c r="M171" s="924"/>
      <c r="N171" s="924"/>
      <c r="O171" s="924"/>
      <c r="P171" s="924"/>
      <c r="Q171" s="924"/>
      <c r="R171" s="924"/>
      <c r="S171" s="892">
        <f t="shared" ref="S171" si="96">SUM(J171:R171)</f>
        <v>54860.700000000004</v>
      </c>
      <c r="T171" s="892">
        <f t="shared" ref="T171" si="97">I171+S171</f>
        <v>603467.69999999995</v>
      </c>
      <c r="U171" s="892">
        <f t="shared" ref="U171" si="98">T171*10%</f>
        <v>60346.77</v>
      </c>
      <c r="V171" s="892">
        <f>((T171-U171-W171)-(14*4148))*10%</f>
        <v>47297.957599999994</v>
      </c>
      <c r="W171" s="892">
        <f t="shared" ref="W171" si="99">T171*2%</f>
        <v>12069.353999999999</v>
      </c>
      <c r="X171" s="892">
        <f t="shared" ref="X171" si="100">T171-U171-V171-W171</f>
        <v>483753.61839999998</v>
      </c>
      <c r="Y171" s="892">
        <f t="shared" ref="Y171" si="101">T171*12</f>
        <v>7241612.3999999994</v>
      </c>
      <c r="Z171" s="892">
        <f t="shared" ref="Z171" si="102">I171</f>
        <v>548607</v>
      </c>
      <c r="AA171" s="892">
        <f t="shared" ref="AA171" si="103">Y171+Z171</f>
        <v>7790219.3999999994</v>
      </c>
      <c r="AB171" s="892">
        <f>(AA171*0.9-(W171*12))*11%-AC171</f>
        <v>404740.30032000004</v>
      </c>
      <c r="AC171" s="892">
        <f>AA171*0.9*5%</f>
        <v>350559.87300000002</v>
      </c>
      <c r="AD171" s="892">
        <f t="shared" ref="AD171" si="104">Y171*3%</f>
        <v>217248.37199999997</v>
      </c>
      <c r="AE171" s="892">
        <f>AA171*4.5%</f>
        <v>350559.87299999996</v>
      </c>
      <c r="AF171" s="892">
        <f t="shared" ref="AF171" si="105">AA171+AB171+AC171+AD171+AE171</f>
        <v>9113327.8183199987</v>
      </c>
      <c r="AG171" s="892" t="s">
        <v>3</v>
      </c>
    </row>
    <row r="172" spans="1:33" ht="22.5" customHeight="1">
      <c r="B172" s="919" t="s">
        <v>827</v>
      </c>
      <c r="C172" s="920"/>
      <c r="D172" s="921">
        <f>SUM(D171)</f>
        <v>1</v>
      </c>
      <c r="E172" s="921">
        <f t="shared" ref="E172:AF172" si="106">SUM(E171)</f>
        <v>1</v>
      </c>
      <c r="F172" s="921">
        <f t="shared" si="106"/>
        <v>0</v>
      </c>
      <c r="G172" s="921"/>
      <c r="H172" s="921"/>
      <c r="I172" s="924">
        <f t="shared" si="106"/>
        <v>548607</v>
      </c>
      <c r="J172" s="924">
        <f t="shared" si="106"/>
        <v>54860.700000000004</v>
      </c>
      <c r="K172" s="921">
        <f t="shared" si="106"/>
        <v>0</v>
      </c>
      <c r="L172" s="921">
        <f t="shared" si="106"/>
        <v>0</v>
      </c>
      <c r="M172" s="921">
        <f t="shared" si="106"/>
        <v>0</v>
      </c>
      <c r="N172" s="921">
        <f t="shared" si="106"/>
        <v>0</v>
      </c>
      <c r="O172" s="921">
        <f t="shared" si="106"/>
        <v>0</v>
      </c>
      <c r="P172" s="921">
        <f t="shared" si="106"/>
        <v>0</v>
      </c>
      <c r="Q172" s="921">
        <f t="shared" si="106"/>
        <v>0</v>
      </c>
      <c r="R172" s="921">
        <f t="shared" si="106"/>
        <v>0</v>
      </c>
      <c r="S172" s="924">
        <f t="shared" si="106"/>
        <v>54860.700000000004</v>
      </c>
      <c r="T172" s="924">
        <f t="shared" si="106"/>
        <v>603467.69999999995</v>
      </c>
      <c r="U172" s="924">
        <f t="shared" si="106"/>
        <v>60346.77</v>
      </c>
      <c r="V172" s="924">
        <f t="shared" si="106"/>
        <v>47297.957599999994</v>
      </c>
      <c r="W172" s="924">
        <f t="shared" si="106"/>
        <v>12069.353999999999</v>
      </c>
      <c r="X172" s="924">
        <f t="shared" si="106"/>
        <v>483753.61839999998</v>
      </c>
      <c r="Y172" s="924">
        <f t="shared" si="106"/>
        <v>7241612.3999999994</v>
      </c>
      <c r="Z172" s="924">
        <f t="shared" si="106"/>
        <v>548607</v>
      </c>
      <c r="AA172" s="924">
        <f t="shared" si="106"/>
        <v>7790219.3999999994</v>
      </c>
      <c r="AB172" s="924">
        <f t="shared" si="106"/>
        <v>404740.30032000004</v>
      </c>
      <c r="AC172" s="924">
        <f t="shared" si="106"/>
        <v>350559.87300000002</v>
      </c>
      <c r="AD172" s="924">
        <f t="shared" si="106"/>
        <v>217248.37199999997</v>
      </c>
      <c r="AE172" s="924">
        <f t="shared" si="106"/>
        <v>350559.87299999996</v>
      </c>
      <c r="AF172" s="924">
        <f t="shared" si="106"/>
        <v>9113327.8183199987</v>
      </c>
      <c r="AG172" s="923"/>
    </row>
    <row r="173" spans="1:33" ht="24.75" customHeight="1">
      <c r="A173" s="1544" t="s">
        <v>445</v>
      </c>
      <c r="B173" s="1544"/>
      <c r="C173" s="1544"/>
      <c r="D173" s="1544"/>
      <c r="E173" s="1544"/>
      <c r="F173" s="1544"/>
      <c r="G173" s="1544"/>
      <c r="H173" s="1544"/>
      <c r="I173" s="1544"/>
      <c r="J173" s="1544"/>
      <c r="K173" s="1544"/>
      <c r="L173" s="1544"/>
      <c r="M173" s="1544"/>
      <c r="N173" s="1544"/>
      <c r="O173" s="1544"/>
      <c r="P173" s="1544"/>
      <c r="Q173" s="1544"/>
      <c r="R173" s="1544"/>
      <c r="S173" s="1544"/>
      <c r="T173" s="1544"/>
      <c r="U173" s="1544"/>
      <c r="V173" s="1544"/>
      <c r="W173" s="1544"/>
      <c r="X173" s="1544"/>
      <c r="Y173" s="1544"/>
      <c r="Z173" s="1544"/>
      <c r="AA173" s="1544"/>
      <c r="AB173" s="1544"/>
      <c r="AC173" s="1544"/>
      <c r="AD173" s="1544"/>
      <c r="AE173" s="1544"/>
      <c r="AF173" s="1544"/>
      <c r="AG173" s="1544"/>
    </row>
    <row r="174" spans="1:33">
      <c r="A174" s="918">
        <v>121</v>
      </c>
      <c r="B174" s="909" t="s">
        <v>512</v>
      </c>
      <c r="C174" s="914" t="s">
        <v>513</v>
      </c>
      <c r="D174" s="1559">
        <v>15</v>
      </c>
      <c r="E174" s="918">
        <v>1</v>
      </c>
      <c r="F174" s="918"/>
      <c r="G174" s="888">
        <v>44826</v>
      </c>
      <c r="H174" s="895">
        <v>17</v>
      </c>
      <c r="I174" s="892">
        <f t="shared" ref="I174:I215" si="107">E174*17697*H174</f>
        <v>300849</v>
      </c>
      <c r="J174" s="892">
        <f t="shared" ref="J174:J215" si="108">I174*10%</f>
        <v>30084.9</v>
      </c>
      <c r="K174" s="892">
        <f>10*4148</f>
        <v>41480</v>
      </c>
      <c r="L174" s="924"/>
      <c r="M174" s="924"/>
      <c r="N174" s="924"/>
      <c r="O174" s="924"/>
      <c r="P174" s="924"/>
      <c r="Q174" s="924"/>
      <c r="R174" s="924"/>
      <c r="S174" s="892">
        <f t="shared" ref="S174:S215" si="109">SUM(J174:R174)</f>
        <v>71564.899999999994</v>
      </c>
      <c r="T174" s="892">
        <f t="shared" ref="T174:T215" si="110">I174+S174</f>
        <v>372413.9</v>
      </c>
      <c r="U174" s="892">
        <f t="shared" ref="U174:U215" si="111">T174*10%</f>
        <v>37241.390000000007</v>
      </c>
      <c r="V174" s="892">
        <f t="shared" ref="V174:V198" si="112">((T174-U174-W174)-(14*4148))*10%</f>
        <v>26965.223200000004</v>
      </c>
      <c r="W174" s="892">
        <f t="shared" ref="W174:W215" si="113">T174*2%</f>
        <v>7448.2780000000002</v>
      </c>
      <c r="X174" s="892">
        <f t="shared" ref="X174:X215" si="114">T174-U174-V174-W174</f>
        <v>300759.00880000001</v>
      </c>
      <c r="Y174" s="892">
        <f t="shared" ref="Y174:Y215" si="115">T174*12</f>
        <v>4468966.8000000007</v>
      </c>
      <c r="Z174" s="892">
        <f t="shared" ref="Z174:Z198" si="116">I174</f>
        <v>300849</v>
      </c>
      <c r="AA174" s="892">
        <f t="shared" ref="AA174:AA215" si="117">Y174+Z174</f>
        <v>4769815.8000000007</v>
      </c>
      <c r="AB174" s="892">
        <f t="shared" ref="AB174:AB198" si="118">(AA174*0.9-(W174*12))*11%-AC174</f>
        <v>247738.32623999999</v>
      </c>
      <c r="AC174" s="892">
        <f>AA174*0.9*5%</f>
        <v>214641.71100000004</v>
      </c>
      <c r="AD174" s="892">
        <f t="shared" ref="AD174:AD215" si="119">Y174*3%</f>
        <v>134069.00400000002</v>
      </c>
      <c r="AE174" s="892">
        <f t="shared" ref="AE174:AE215" si="120">AA174*4.5%</f>
        <v>214641.71100000004</v>
      </c>
      <c r="AF174" s="892">
        <f t="shared" ref="AF174:AF215" si="121">AA174+AB174+AC174+AD174+AE174</f>
        <v>5580906.552240001</v>
      </c>
      <c r="AG174" s="892" t="s">
        <v>3</v>
      </c>
    </row>
    <row r="175" spans="1:33" ht="31.5">
      <c r="A175" s="918">
        <v>122</v>
      </c>
      <c r="B175" s="909" t="s">
        <v>512</v>
      </c>
      <c r="C175" s="928" t="s">
        <v>554</v>
      </c>
      <c r="D175" s="1560"/>
      <c r="E175" s="918">
        <v>1</v>
      </c>
      <c r="F175" s="918"/>
      <c r="G175" s="888">
        <v>45180</v>
      </c>
      <c r="H175" s="895">
        <v>17</v>
      </c>
      <c r="I175" s="892">
        <f t="shared" si="107"/>
        <v>300849</v>
      </c>
      <c r="J175" s="892">
        <f t="shared" si="108"/>
        <v>30084.9</v>
      </c>
      <c r="K175" s="892"/>
      <c r="L175" s="924"/>
      <c r="M175" s="924"/>
      <c r="N175" s="924"/>
      <c r="O175" s="924"/>
      <c r="P175" s="924"/>
      <c r="Q175" s="924"/>
      <c r="R175" s="924"/>
      <c r="S175" s="892">
        <f t="shared" si="109"/>
        <v>30084.9</v>
      </c>
      <c r="T175" s="892">
        <f t="shared" si="110"/>
        <v>330933.90000000002</v>
      </c>
      <c r="U175" s="892">
        <f t="shared" si="111"/>
        <v>33093.390000000007</v>
      </c>
      <c r="V175" s="892">
        <f t="shared" si="112"/>
        <v>23314.983200000002</v>
      </c>
      <c r="W175" s="892">
        <f t="shared" si="113"/>
        <v>6618.6780000000008</v>
      </c>
      <c r="X175" s="892">
        <f t="shared" si="114"/>
        <v>267906.84879999998</v>
      </c>
      <c r="Y175" s="892">
        <f t="shared" si="115"/>
        <v>3971206.8000000003</v>
      </c>
      <c r="Z175" s="892">
        <f t="shared" si="116"/>
        <v>300849</v>
      </c>
      <c r="AA175" s="892">
        <f t="shared" si="117"/>
        <v>4272055.8000000007</v>
      </c>
      <c r="AB175" s="892">
        <f t="shared" si="118"/>
        <v>221954.35824000003</v>
      </c>
      <c r="AC175" s="892">
        <f t="shared" ref="AC175:AC198" si="122">AA175*0.9*5%</f>
        <v>192242.51100000006</v>
      </c>
      <c r="AD175" s="892">
        <f t="shared" si="119"/>
        <v>119136.204</v>
      </c>
      <c r="AE175" s="892">
        <f t="shared" si="120"/>
        <v>192242.51100000003</v>
      </c>
      <c r="AF175" s="892">
        <f t="shared" si="121"/>
        <v>4997631.3842400005</v>
      </c>
      <c r="AG175" s="892" t="s">
        <v>3</v>
      </c>
    </row>
    <row r="176" spans="1:33">
      <c r="A176" s="918">
        <v>123</v>
      </c>
      <c r="B176" s="909" t="s">
        <v>512</v>
      </c>
      <c r="C176" s="909" t="s">
        <v>514</v>
      </c>
      <c r="D176" s="1560"/>
      <c r="E176" s="918">
        <v>1</v>
      </c>
      <c r="F176" s="918"/>
      <c r="G176" s="888">
        <v>39675</v>
      </c>
      <c r="H176" s="895">
        <v>21</v>
      </c>
      <c r="I176" s="892">
        <f t="shared" si="107"/>
        <v>371637</v>
      </c>
      <c r="J176" s="892">
        <f t="shared" si="108"/>
        <v>37163.700000000004</v>
      </c>
      <c r="K176" s="892"/>
      <c r="L176" s="924"/>
      <c r="M176" s="939">
        <f>I176*30%</f>
        <v>111491.09999999999</v>
      </c>
      <c r="N176" s="924"/>
      <c r="O176" s="924"/>
      <c r="P176" s="924"/>
      <c r="Q176" s="924"/>
      <c r="R176" s="924"/>
      <c r="S176" s="892">
        <f t="shared" si="109"/>
        <v>148654.79999999999</v>
      </c>
      <c r="T176" s="892">
        <f t="shared" si="110"/>
        <v>520291.8</v>
      </c>
      <c r="U176" s="892">
        <f t="shared" si="111"/>
        <v>52029.18</v>
      </c>
      <c r="V176" s="892">
        <f t="shared" si="112"/>
        <v>39978.4784</v>
      </c>
      <c r="W176" s="892">
        <f t="shared" si="113"/>
        <v>10405.835999999999</v>
      </c>
      <c r="X176" s="892">
        <f t="shared" si="114"/>
        <v>417878.30559999996</v>
      </c>
      <c r="Y176" s="892">
        <f t="shared" si="115"/>
        <v>6243501.5999999996</v>
      </c>
      <c r="Z176" s="892">
        <f t="shared" si="116"/>
        <v>371637</v>
      </c>
      <c r="AA176" s="892">
        <f t="shared" si="117"/>
        <v>6615138.5999999996</v>
      </c>
      <c r="AB176" s="892">
        <f t="shared" si="118"/>
        <v>343481.78088000003</v>
      </c>
      <c r="AC176" s="892">
        <f t="shared" si="122"/>
        <v>297681.23700000002</v>
      </c>
      <c r="AD176" s="892">
        <f t="shared" si="119"/>
        <v>187305.04799999998</v>
      </c>
      <c r="AE176" s="892">
        <f t="shared" si="120"/>
        <v>297681.23699999996</v>
      </c>
      <c r="AF176" s="892">
        <f t="shared" si="121"/>
        <v>7741287.90288</v>
      </c>
      <c r="AG176" s="892" t="s">
        <v>3</v>
      </c>
    </row>
    <row r="177" spans="1:33">
      <c r="A177" s="918">
        <v>124</v>
      </c>
      <c r="B177" s="915" t="s">
        <v>512</v>
      </c>
      <c r="C177" s="937" t="s">
        <v>2355</v>
      </c>
      <c r="D177" s="1560"/>
      <c r="E177" s="918">
        <v>1</v>
      </c>
      <c r="F177" s="918"/>
      <c r="G177" s="888">
        <v>42310</v>
      </c>
      <c r="H177" s="898">
        <v>17</v>
      </c>
      <c r="I177" s="892">
        <f t="shared" si="107"/>
        <v>300849</v>
      </c>
      <c r="J177" s="892">
        <f t="shared" si="108"/>
        <v>30084.9</v>
      </c>
      <c r="K177" s="892"/>
      <c r="L177" s="924"/>
      <c r="M177" s="975"/>
      <c r="N177" s="924"/>
      <c r="O177" s="924"/>
      <c r="P177" s="924"/>
      <c r="Q177" s="924"/>
      <c r="R177" s="924"/>
      <c r="S177" s="892">
        <f t="shared" si="109"/>
        <v>30084.9</v>
      </c>
      <c r="T177" s="892">
        <f t="shared" si="110"/>
        <v>330933.90000000002</v>
      </c>
      <c r="U177" s="892">
        <f t="shared" si="111"/>
        <v>33093.390000000007</v>
      </c>
      <c r="V177" s="892">
        <f t="shared" si="112"/>
        <v>23314.983200000002</v>
      </c>
      <c r="W177" s="892">
        <f t="shared" si="113"/>
        <v>6618.6780000000008</v>
      </c>
      <c r="X177" s="892">
        <f t="shared" si="114"/>
        <v>267906.84879999998</v>
      </c>
      <c r="Y177" s="892">
        <f t="shared" si="115"/>
        <v>3971206.8000000003</v>
      </c>
      <c r="Z177" s="892">
        <f t="shared" si="116"/>
        <v>300849</v>
      </c>
      <c r="AA177" s="892">
        <f t="shared" si="117"/>
        <v>4272055.8000000007</v>
      </c>
      <c r="AB177" s="892">
        <f t="shared" si="118"/>
        <v>221954.35824000003</v>
      </c>
      <c r="AC177" s="892">
        <f t="shared" si="122"/>
        <v>192242.51100000006</v>
      </c>
      <c r="AD177" s="892">
        <f t="shared" si="119"/>
        <v>119136.204</v>
      </c>
      <c r="AE177" s="892">
        <f t="shared" si="120"/>
        <v>192242.51100000003</v>
      </c>
      <c r="AF177" s="892">
        <f t="shared" si="121"/>
        <v>4997631.3842400005</v>
      </c>
      <c r="AG177" s="892" t="s">
        <v>3</v>
      </c>
    </row>
    <row r="178" spans="1:33">
      <c r="A178" s="918">
        <v>125</v>
      </c>
      <c r="B178" s="909" t="s">
        <v>512</v>
      </c>
      <c r="C178" s="909" t="s">
        <v>515</v>
      </c>
      <c r="D178" s="1560"/>
      <c r="E178" s="918">
        <v>1</v>
      </c>
      <c r="F178" s="918"/>
      <c r="G178" s="888">
        <v>33486</v>
      </c>
      <c r="H178" s="895">
        <v>24</v>
      </c>
      <c r="I178" s="892">
        <f t="shared" si="107"/>
        <v>424728</v>
      </c>
      <c r="J178" s="892">
        <f t="shared" si="108"/>
        <v>42472.800000000003</v>
      </c>
      <c r="K178" s="892"/>
      <c r="L178" s="924"/>
      <c r="M178" s="975">
        <f>I178*30%</f>
        <v>127418.4</v>
      </c>
      <c r="N178" s="939">
        <f t="shared" ref="N178:N181" si="123">17697*90%</f>
        <v>15927.300000000001</v>
      </c>
      <c r="O178" s="924"/>
      <c r="P178" s="924"/>
      <c r="Q178" s="924"/>
      <c r="R178" s="924"/>
      <c r="S178" s="892">
        <f t="shared" si="109"/>
        <v>185818.5</v>
      </c>
      <c r="T178" s="892">
        <f t="shared" si="110"/>
        <v>610546.5</v>
      </c>
      <c r="U178" s="892">
        <f t="shared" si="111"/>
        <v>61054.65</v>
      </c>
      <c r="V178" s="892">
        <f t="shared" si="112"/>
        <v>47920.891999999993</v>
      </c>
      <c r="W178" s="892">
        <f t="shared" si="113"/>
        <v>12210.93</v>
      </c>
      <c r="X178" s="892">
        <f t="shared" si="114"/>
        <v>489360.02799999999</v>
      </c>
      <c r="Y178" s="892">
        <f t="shared" si="115"/>
        <v>7326558</v>
      </c>
      <c r="Z178" s="892">
        <f t="shared" si="116"/>
        <v>424728</v>
      </c>
      <c r="AA178" s="892">
        <f t="shared" si="117"/>
        <v>7751286</v>
      </c>
      <c r="AB178" s="892">
        <f t="shared" si="118"/>
        <v>402451.01640000002</v>
      </c>
      <c r="AC178" s="892">
        <f t="shared" si="122"/>
        <v>348807.87000000005</v>
      </c>
      <c r="AD178" s="892">
        <f t="shared" si="119"/>
        <v>219796.74</v>
      </c>
      <c r="AE178" s="892">
        <f t="shared" si="120"/>
        <v>348807.87</v>
      </c>
      <c r="AF178" s="892">
        <f t="shared" si="121"/>
        <v>9071149.4963999987</v>
      </c>
      <c r="AG178" s="892" t="s">
        <v>3</v>
      </c>
    </row>
    <row r="179" spans="1:33" ht="31.5">
      <c r="A179" s="918">
        <v>126</v>
      </c>
      <c r="B179" s="909" t="s">
        <v>512</v>
      </c>
      <c r="C179" s="909" t="s">
        <v>516</v>
      </c>
      <c r="D179" s="1560"/>
      <c r="E179" s="918">
        <v>1</v>
      </c>
      <c r="F179" s="918"/>
      <c r="G179" s="888">
        <v>45170</v>
      </c>
      <c r="H179" s="895">
        <v>22</v>
      </c>
      <c r="I179" s="892">
        <f t="shared" si="107"/>
        <v>389334</v>
      </c>
      <c r="J179" s="892">
        <f t="shared" si="108"/>
        <v>38933.4</v>
      </c>
      <c r="K179" s="892"/>
      <c r="L179" s="924"/>
      <c r="M179" s="975"/>
      <c r="N179" s="939"/>
      <c r="O179" s="924"/>
      <c r="P179" s="924"/>
      <c r="Q179" s="924"/>
      <c r="R179" s="924"/>
      <c r="S179" s="892">
        <f t="shared" si="109"/>
        <v>38933.4</v>
      </c>
      <c r="T179" s="892">
        <f t="shared" si="110"/>
        <v>428267.4</v>
      </c>
      <c r="U179" s="892">
        <f t="shared" si="111"/>
        <v>42826.740000000005</v>
      </c>
      <c r="V179" s="892">
        <f t="shared" si="112"/>
        <v>31880.331200000004</v>
      </c>
      <c r="W179" s="892">
        <f t="shared" si="113"/>
        <v>8565.348</v>
      </c>
      <c r="X179" s="892">
        <f t="shared" si="114"/>
        <v>344994.98080000002</v>
      </c>
      <c r="Y179" s="892">
        <f t="shared" si="115"/>
        <v>5139208.8000000007</v>
      </c>
      <c r="Z179" s="892">
        <f t="shared" si="116"/>
        <v>389334</v>
      </c>
      <c r="AA179" s="892">
        <f t="shared" si="117"/>
        <v>5528542.8000000007</v>
      </c>
      <c r="AB179" s="892">
        <f t="shared" si="118"/>
        <v>287235.05184000003</v>
      </c>
      <c r="AC179" s="892">
        <f t="shared" si="122"/>
        <v>248784.42600000004</v>
      </c>
      <c r="AD179" s="892">
        <f t="shared" si="119"/>
        <v>154176.26400000002</v>
      </c>
      <c r="AE179" s="892">
        <f t="shared" si="120"/>
        <v>248784.42600000004</v>
      </c>
      <c r="AF179" s="892">
        <f t="shared" si="121"/>
        <v>6467522.967840001</v>
      </c>
      <c r="AG179" s="892" t="s">
        <v>3</v>
      </c>
    </row>
    <row r="180" spans="1:33" ht="31.5">
      <c r="A180" s="918">
        <v>127</v>
      </c>
      <c r="B180" s="909" t="s">
        <v>512</v>
      </c>
      <c r="C180" s="909" t="s">
        <v>517</v>
      </c>
      <c r="D180" s="1560"/>
      <c r="E180" s="918">
        <v>1</v>
      </c>
      <c r="F180" s="918"/>
      <c r="G180" s="888">
        <v>40045</v>
      </c>
      <c r="H180" s="895">
        <v>24</v>
      </c>
      <c r="I180" s="892">
        <f t="shared" si="107"/>
        <v>424728</v>
      </c>
      <c r="J180" s="892">
        <f t="shared" si="108"/>
        <v>42472.800000000003</v>
      </c>
      <c r="K180" s="892"/>
      <c r="L180" s="924"/>
      <c r="M180" s="975"/>
      <c r="N180" s="939">
        <f t="shared" si="123"/>
        <v>15927.300000000001</v>
      </c>
      <c r="O180" s="924"/>
      <c r="P180" s="924"/>
      <c r="Q180" s="924"/>
      <c r="R180" s="924"/>
      <c r="S180" s="892">
        <f t="shared" si="109"/>
        <v>58400.100000000006</v>
      </c>
      <c r="T180" s="892">
        <f t="shared" si="110"/>
        <v>483128.1</v>
      </c>
      <c r="U180" s="892">
        <f t="shared" si="111"/>
        <v>48312.81</v>
      </c>
      <c r="V180" s="892">
        <f t="shared" si="112"/>
        <v>36708.072800000002</v>
      </c>
      <c r="W180" s="892">
        <f t="shared" si="113"/>
        <v>9662.5619999999999</v>
      </c>
      <c r="X180" s="892">
        <f t="shared" si="114"/>
        <v>388444.65519999998</v>
      </c>
      <c r="Y180" s="892">
        <f t="shared" si="115"/>
        <v>5797537.1999999993</v>
      </c>
      <c r="Z180" s="892">
        <f t="shared" si="116"/>
        <v>424728</v>
      </c>
      <c r="AA180" s="892">
        <f t="shared" si="117"/>
        <v>6222265.1999999993</v>
      </c>
      <c r="AB180" s="892">
        <f t="shared" si="118"/>
        <v>323247.73895999999</v>
      </c>
      <c r="AC180" s="892">
        <f t="shared" si="122"/>
        <v>280001.93400000001</v>
      </c>
      <c r="AD180" s="892">
        <f t="shared" si="119"/>
        <v>173926.11599999998</v>
      </c>
      <c r="AE180" s="892">
        <f t="shared" si="120"/>
        <v>280001.93399999995</v>
      </c>
      <c r="AF180" s="892">
        <f t="shared" si="121"/>
        <v>7279442.9229600001</v>
      </c>
      <c r="AG180" s="892" t="s">
        <v>3</v>
      </c>
    </row>
    <row r="181" spans="1:33" ht="31.5">
      <c r="A181" s="918">
        <v>128</v>
      </c>
      <c r="B181" s="909" t="s">
        <v>512</v>
      </c>
      <c r="C181" s="909" t="s">
        <v>2356</v>
      </c>
      <c r="D181" s="1560"/>
      <c r="E181" s="918">
        <v>1</v>
      </c>
      <c r="F181" s="918"/>
      <c r="G181" s="888">
        <v>39336</v>
      </c>
      <c r="H181" s="895">
        <v>18</v>
      </c>
      <c r="I181" s="892">
        <f t="shared" si="107"/>
        <v>318546</v>
      </c>
      <c r="J181" s="892">
        <f t="shared" si="108"/>
        <v>31854.600000000002</v>
      </c>
      <c r="K181" s="892"/>
      <c r="L181" s="924"/>
      <c r="M181" s="975">
        <f t="shared" ref="M181:M183" si="124">I181*30%</f>
        <v>95563.8</v>
      </c>
      <c r="N181" s="939">
        <f t="shared" si="123"/>
        <v>15927.300000000001</v>
      </c>
      <c r="O181" s="924"/>
      <c r="P181" s="924"/>
      <c r="Q181" s="924"/>
      <c r="R181" s="924"/>
      <c r="S181" s="892">
        <f t="shared" si="109"/>
        <v>143345.70000000001</v>
      </c>
      <c r="T181" s="892">
        <f t="shared" si="110"/>
        <v>461891.7</v>
      </c>
      <c r="U181" s="892">
        <f t="shared" si="111"/>
        <v>46189.170000000006</v>
      </c>
      <c r="V181" s="892">
        <f t="shared" si="112"/>
        <v>34839.269600000007</v>
      </c>
      <c r="W181" s="892">
        <f t="shared" si="113"/>
        <v>9237.8340000000007</v>
      </c>
      <c r="X181" s="892">
        <f t="shared" si="114"/>
        <v>371625.42640000005</v>
      </c>
      <c r="Y181" s="892">
        <f t="shared" si="115"/>
        <v>5542700.4000000004</v>
      </c>
      <c r="Z181" s="892">
        <f t="shared" si="116"/>
        <v>318546</v>
      </c>
      <c r="AA181" s="892">
        <f t="shared" si="117"/>
        <v>5861246.4000000004</v>
      </c>
      <c r="AB181" s="892">
        <f t="shared" si="118"/>
        <v>304313.36472000001</v>
      </c>
      <c r="AC181" s="892">
        <f t="shared" si="122"/>
        <v>263756.08800000005</v>
      </c>
      <c r="AD181" s="892">
        <f t="shared" si="119"/>
        <v>166281.01200000002</v>
      </c>
      <c r="AE181" s="892">
        <f t="shared" si="120"/>
        <v>263756.08799999999</v>
      </c>
      <c r="AF181" s="892">
        <f t="shared" si="121"/>
        <v>6859352.9527200013</v>
      </c>
      <c r="AG181" s="892" t="s">
        <v>3</v>
      </c>
    </row>
    <row r="182" spans="1:33" ht="31.5">
      <c r="A182" s="918">
        <v>129</v>
      </c>
      <c r="B182" s="909" t="s">
        <v>512</v>
      </c>
      <c r="C182" s="909" t="s">
        <v>518</v>
      </c>
      <c r="D182" s="1560"/>
      <c r="E182" s="918">
        <v>1</v>
      </c>
      <c r="F182" s="918"/>
      <c r="G182" s="888">
        <v>38155</v>
      </c>
      <c r="H182" s="895">
        <v>22</v>
      </c>
      <c r="I182" s="892">
        <f t="shared" si="107"/>
        <v>389334</v>
      </c>
      <c r="J182" s="892">
        <f t="shared" si="108"/>
        <v>38933.4</v>
      </c>
      <c r="K182" s="892"/>
      <c r="L182" s="924"/>
      <c r="M182" s="975">
        <f t="shared" si="124"/>
        <v>116800.2</v>
      </c>
      <c r="N182" s="939"/>
      <c r="O182" s="924"/>
      <c r="P182" s="924"/>
      <c r="Q182" s="924"/>
      <c r="R182" s="924"/>
      <c r="S182" s="892">
        <f t="shared" si="109"/>
        <v>155733.6</v>
      </c>
      <c r="T182" s="892">
        <f t="shared" si="110"/>
        <v>545067.6</v>
      </c>
      <c r="U182" s="892">
        <f t="shared" si="111"/>
        <v>54506.76</v>
      </c>
      <c r="V182" s="892">
        <f t="shared" si="112"/>
        <v>42158.748800000001</v>
      </c>
      <c r="W182" s="892">
        <f t="shared" si="113"/>
        <v>10901.351999999999</v>
      </c>
      <c r="X182" s="892">
        <f t="shared" si="114"/>
        <v>437500.73919999995</v>
      </c>
      <c r="Y182" s="892">
        <f t="shared" si="115"/>
        <v>6540811.1999999993</v>
      </c>
      <c r="Z182" s="892">
        <f t="shared" si="116"/>
        <v>389334</v>
      </c>
      <c r="AA182" s="892">
        <f t="shared" si="117"/>
        <v>6930145.1999999993</v>
      </c>
      <c r="AB182" s="892">
        <f t="shared" si="118"/>
        <v>359838.05615999992</v>
      </c>
      <c r="AC182" s="892">
        <f t="shared" si="122"/>
        <v>311856.53399999999</v>
      </c>
      <c r="AD182" s="892">
        <f t="shared" si="119"/>
        <v>196224.33599999998</v>
      </c>
      <c r="AE182" s="892">
        <f t="shared" si="120"/>
        <v>311856.53399999993</v>
      </c>
      <c r="AF182" s="892">
        <f t="shared" si="121"/>
        <v>8109920.6601599995</v>
      </c>
      <c r="AG182" s="892" t="s">
        <v>3</v>
      </c>
    </row>
    <row r="183" spans="1:33">
      <c r="A183" s="918">
        <v>130</v>
      </c>
      <c r="B183" s="909" t="s">
        <v>512</v>
      </c>
      <c r="C183" s="937" t="s">
        <v>2357</v>
      </c>
      <c r="D183" s="1560"/>
      <c r="E183" s="918">
        <v>1</v>
      </c>
      <c r="F183" s="918"/>
      <c r="G183" s="888">
        <v>33504</v>
      </c>
      <c r="H183" s="895">
        <v>24</v>
      </c>
      <c r="I183" s="892">
        <f t="shared" si="107"/>
        <v>424728</v>
      </c>
      <c r="J183" s="892">
        <f t="shared" si="108"/>
        <v>42472.800000000003</v>
      </c>
      <c r="K183" s="892"/>
      <c r="L183" s="924"/>
      <c r="M183" s="975">
        <f t="shared" si="124"/>
        <v>127418.4</v>
      </c>
      <c r="N183" s="939"/>
      <c r="O183" s="924"/>
      <c r="P183" s="924"/>
      <c r="Q183" s="924"/>
      <c r="R183" s="924"/>
      <c r="S183" s="892">
        <f t="shared" si="109"/>
        <v>169891.20000000001</v>
      </c>
      <c r="T183" s="892">
        <f t="shared" si="110"/>
        <v>594619.19999999995</v>
      </c>
      <c r="U183" s="892">
        <f t="shared" si="111"/>
        <v>59461.919999999998</v>
      </c>
      <c r="V183" s="892">
        <f t="shared" si="112"/>
        <v>46519.289599999989</v>
      </c>
      <c r="W183" s="892">
        <f t="shared" si="113"/>
        <v>11892.384</v>
      </c>
      <c r="X183" s="892">
        <f t="shared" si="114"/>
        <v>476745.60639999987</v>
      </c>
      <c r="Y183" s="892">
        <f t="shared" si="115"/>
        <v>7135430.3999999994</v>
      </c>
      <c r="Z183" s="892">
        <f t="shared" si="116"/>
        <v>424728</v>
      </c>
      <c r="AA183" s="892">
        <f t="shared" si="117"/>
        <v>7560158.3999999994</v>
      </c>
      <c r="AB183" s="892">
        <f t="shared" si="118"/>
        <v>392550.60671999992</v>
      </c>
      <c r="AC183" s="892">
        <f t="shared" si="122"/>
        <v>340207.12800000003</v>
      </c>
      <c r="AD183" s="892">
        <f t="shared" si="119"/>
        <v>214062.91199999998</v>
      </c>
      <c r="AE183" s="892">
        <f t="shared" si="120"/>
        <v>340207.12799999997</v>
      </c>
      <c r="AF183" s="892">
        <f t="shared" si="121"/>
        <v>8847186.1747200005</v>
      </c>
      <c r="AG183" s="892" t="s">
        <v>3</v>
      </c>
    </row>
    <row r="184" spans="1:33">
      <c r="A184" s="918">
        <v>131</v>
      </c>
      <c r="B184" s="909" t="s">
        <v>512</v>
      </c>
      <c r="C184" s="937" t="s">
        <v>519</v>
      </c>
      <c r="D184" s="1560"/>
      <c r="E184" s="918">
        <v>1</v>
      </c>
      <c r="F184" s="918"/>
      <c r="G184" s="888">
        <v>44644</v>
      </c>
      <c r="H184" s="895">
        <v>17</v>
      </c>
      <c r="I184" s="892">
        <f t="shared" si="107"/>
        <v>300849</v>
      </c>
      <c r="J184" s="892">
        <f t="shared" si="108"/>
        <v>30084.9</v>
      </c>
      <c r="K184" s="892"/>
      <c r="L184" s="924"/>
      <c r="M184" s="939"/>
      <c r="N184" s="939"/>
      <c r="O184" s="924"/>
      <c r="P184" s="924"/>
      <c r="Q184" s="924"/>
      <c r="R184" s="924"/>
      <c r="S184" s="892">
        <f t="shared" si="109"/>
        <v>30084.9</v>
      </c>
      <c r="T184" s="892">
        <f t="shared" si="110"/>
        <v>330933.90000000002</v>
      </c>
      <c r="U184" s="892">
        <f t="shared" si="111"/>
        <v>33093.390000000007</v>
      </c>
      <c r="V184" s="892">
        <f t="shared" si="112"/>
        <v>23314.983200000002</v>
      </c>
      <c r="W184" s="892">
        <f t="shared" si="113"/>
        <v>6618.6780000000008</v>
      </c>
      <c r="X184" s="892">
        <f t="shared" si="114"/>
        <v>267906.84879999998</v>
      </c>
      <c r="Y184" s="892">
        <f t="shared" si="115"/>
        <v>3971206.8000000003</v>
      </c>
      <c r="Z184" s="892">
        <f t="shared" si="116"/>
        <v>300849</v>
      </c>
      <c r="AA184" s="892">
        <f t="shared" si="117"/>
        <v>4272055.8000000007</v>
      </c>
      <c r="AB184" s="892">
        <f t="shared" si="118"/>
        <v>221954.35824000003</v>
      </c>
      <c r="AC184" s="892">
        <f t="shared" si="122"/>
        <v>192242.51100000006</v>
      </c>
      <c r="AD184" s="892">
        <f t="shared" si="119"/>
        <v>119136.204</v>
      </c>
      <c r="AE184" s="892">
        <f t="shared" si="120"/>
        <v>192242.51100000003</v>
      </c>
      <c r="AF184" s="892">
        <f t="shared" si="121"/>
        <v>4997631.3842400005</v>
      </c>
      <c r="AG184" s="892" t="s">
        <v>3</v>
      </c>
    </row>
    <row r="185" spans="1:33">
      <c r="A185" s="918">
        <v>132</v>
      </c>
      <c r="B185" s="909" t="s">
        <v>512</v>
      </c>
      <c r="C185" s="909" t="s">
        <v>520</v>
      </c>
      <c r="D185" s="1560"/>
      <c r="E185" s="918">
        <v>1</v>
      </c>
      <c r="F185" s="918"/>
      <c r="G185" s="888">
        <v>42251</v>
      </c>
      <c r="H185" s="895">
        <v>17</v>
      </c>
      <c r="I185" s="892">
        <f t="shared" si="107"/>
        <v>300849</v>
      </c>
      <c r="J185" s="892">
        <f t="shared" si="108"/>
        <v>30084.9</v>
      </c>
      <c r="K185" s="892"/>
      <c r="L185" s="924"/>
      <c r="M185" s="975"/>
      <c r="N185" s="939">
        <f>17697*40%</f>
        <v>7078.8</v>
      </c>
      <c r="O185" s="924"/>
      <c r="P185" s="924"/>
      <c r="Q185" s="924"/>
      <c r="R185" s="924"/>
      <c r="S185" s="892">
        <f t="shared" si="109"/>
        <v>37163.700000000004</v>
      </c>
      <c r="T185" s="892">
        <f t="shared" si="110"/>
        <v>338012.7</v>
      </c>
      <c r="U185" s="892">
        <f t="shared" si="111"/>
        <v>33801.270000000004</v>
      </c>
      <c r="V185" s="892">
        <f t="shared" si="112"/>
        <v>23937.917600000001</v>
      </c>
      <c r="W185" s="892">
        <f t="shared" si="113"/>
        <v>6760.2540000000008</v>
      </c>
      <c r="X185" s="892">
        <f t="shared" si="114"/>
        <v>273513.25839999999</v>
      </c>
      <c r="Y185" s="892">
        <f t="shared" si="115"/>
        <v>4056152.4000000004</v>
      </c>
      <c r="Z185" s="892">
        <f t="shared" si="116"/>
        <v>300849</v>
      </c>
      <c r="AA185" s="892">
        <f t="shared" si="117"/>
        <v>4357001.4000000004</v>
      </c>
      <c r="AB185" s="892">
        <f t="shared" si="118"/>
        <v>226354.54032000003</v>
      </c>
      <c r="AC185" s="892">
        <f t="shared" si="122"/>
        <v>196065.06300000002</v>
      </c>
      <c r="AD185" s="892">
        <f t="shared" si="119"/>
        <v>121684.572</v>
      </c>
      <c r="AE185" s="892">
        <f t="shared" si="120"/>
        <v>196065.06300000002</v>
      </c>
      <c r="AF185" s="892">
        <f t="shared" si="121"/>
        <v>5097170.6383199999</v>
      </c>
      <c r="AG185" s="892" t="s">
        <v>3</v>
      </c>
    </row>
    <row r="186" spans="1:33">
      <c r="A186" s="918">
        <v>133</v>
      </c>
      <c r="B186" s="909" t="s">
        <v>512</v>
      </c>
      <c r="C186" s="909" t="s">
        <v>521</v>
      </c>
      <c r="D186" s="1560"/>
      <c r="E186" s="918">
        <v>1</v>
      </c>
      <c r="F186" s="918"/>
      <c r="G186" s="888">
        <v>41517</v>
      </c>
      <c r="H186" s="895">
        <v>22</v>
      </c>
      <c r="I186" s="892">
        <f t="shared" si="107"/>
        <v>389334</v>
      </c>
      <c r="J186" s="892">
        <f t="shared" si="108"/>
        <v>38933.4</v>
      </c>
      <c r="K186" s="892"/>
      <c r="L186" s="924"/>
      <c r="M186" s="975">
        <f t="shared" ref="M186:M187" si="125">I186*30%</f>
        <v>116800.2</v>
      </c>
      <c r="N186" s="924"/>
      <c r="O186" s="924"/>
      <c r="P186" s="924"/>
      <c r="Q186" s="924"/>
      <c r="R186" s="924"/>
      <c r="S186" s="892">
        <f t="shared" si="109"/>
        <v>155733.6</v>
      </c>
      <c r="T186" s="892">
        <f t="shared" si="110"/>
        <v>545067.6</v>
      </c>
      <c r="U186" s="892">
        <f t="shared" si="111"/>
        <v>54506.76</v>
      </c>
      <c r="V186" s="892">
        <f t="shared" si="112"/>
        <v>42158.748800000001</v>
      </c>
      <c r="W186" s="892">
        <f t="shared" si="113"/>
        <v>10901.351999999999</v>
      </c>
      <c r="X186" s="892">
        <f t="shared" si="114"/>
        <v>437500.73919999995</v>
      </c>
      <c r="Y186" s="892">
        <f t="shared" si="115"/>
        <v>6540811.1999999993</v>
      </c>
      <c r="Z186" s="892">
        <f t="shared" si="116"/>
        <v>389334</v>
      </c>
      <c r="AA186" s="892">
        <f t="shared" si="117"/>
        <v>6930145.1999999993</v>
      </c>
      <c r="AB186" s="892">
        <f t="shared" si="118"/>
        <v>359838.05615999992</v>
      </c>
      <c r="AC186" s="892">
        <f t="shared" si="122"/>
        <v>311856.53399999999</v>
      </c>
      <c r="AD186" s="892">
        <f t="shared" si="119"/>
        <v>196224.33599999998</v>
      </c>
      <c r="AE186" s="892">
        <f t="shared" si="120"/>
        <v>311856.53399999993</v>
      </c>
      <c r="AF186" s="892">
        <f t="shared" si="121"/>
        <v>8109920.6601599995</v>
      </c>
      <c r="AG186" s="892" t="s">
        <v>3</v>
      </c>
    </row>
    <row r="187" spans="1:33">
      <c r="A187" s="918">
        <v>134</v>
      </c>
      <c r="B187" s="909" t="s">
        <v>512</v>
      </c>
      <c r="C187" s="909" t="s">
        <v>522</v>
      </c>
      <c r="D187" s="1560"/>
      <c r="E187" s="918">
        <v>1</v>
      </c>
      <c r="F187" s="918"/>
      <c r="G187" s="888">
        <v>39685</v>
      </c>
      <c r="H187" s="895">
        <v>22</v>
      </c>
      <c r="I187" s="892">
        <f t="shared" si="107"/>
        <v>389334</v>
      </c>
      <c r="J187" s="892">
        <f t="shared" si="108"/>
        <v>38933.4</v>
      </c>
      <c r="K187" s="892"/>
      <c r="L187" s="924"/>
      <c r="M187" s="975">
        <f t="shared" si="125"/>
        <v>116800.2</v>
      </c>
      <c r="N187" s="924"/>
      <c r="O187" s="924"/>
      <c r="P187" s="924"/>
      <c r="Q187" s="924"/>
      <c r="R187" s="924"/>
      <c r="S187" s="892">
        <f t="shared" si="109"/>
        <v>155733.6</v>
      </c>
      <c r="T187" s="892">
        <f t="shared" si="110"/>
        <v>545067.6</v>
      </c>
      <c r="U187" s="892">
        <f t="shared" si="111"/>
        <v>54506.76</v>
      </c>
      <c r="V187" s="892">
        <f t="shared" si="112"/>
        <v>42158.748800000001</v>
      </c>
      <c r="W187" s="892">
        <f t="shared" si="113"/>
        <v>10901.351999999999</v>
      </c>
      <c r="X187" s="892">
        <f t="shared" si="114"/>
        <v>437500.73919999995</v>
      </c>
      <c r="Y187" s="892">
        <f t="shared" si="115"/>
        <v>6540811.1999999993</v>
      </c>
      <c r="Z187" s="892">
        <f t="shared" si="116"/>
        <v>389334</v>
      </c>
      <c r="AA187" s="892">
        <f t="shared" si="117"/>
        <v>6930145.1999999993</v>
      </c>
      <c r="AB187" s="892">
        <f t="shared" si="118"/>
        <v>359838.05615999992</v>
      </c>
      <c r="AC187" s="892">
        <f t="shared" si="122"/>
        <v>311856.53399999999</v>
      </c>
      <c r="AD187" s="892">
        <f t="shared" si="119"/>
        <v>196224.33599999998</v>
      </c>
      <c r="AE187" s="892">
        <f t="shared" si="120"/>
        <v>311856.53399999993</v>
      </c>
      <c r="AF187" s="892">
        <f t="shared" si="121"/>
        <v>8109920.6601599995</v>
      </c>
      <c r="AG187" s="892" t="s">
        <v>3</v>
      </c>
    </row>
    <row r="188" spans="1:33">
      <c r="A188" s="918">
        <v>135</v>
      </c>
      <c r="B188" s="909" t="s">
        <v>512</v>
      </c>
      <c r="C188" s="909" t="s">
        <v>837</v>
      </c>
      <c r="D188" s="1561"/>
      <c r="E188" s="918">
        <v>1</v>
      </c>
      <c r="F188" s="918"/>
      <c r="G188" s="888">
        <v>45231</v>
      </c>
      <c r="H188" s="895">
        <v>17</v>
      </c>
      <c r="I188" s="892">
        <f t="shared" si="107"/>
        <v>300849</v>
      </c>
      <c r="J188" s="892">
        <f t="shared" si="108"/>
        <v>30084.9</v>
      </c>
      <c r="K188" s="892"/>
      <c r="L188" s="924"/>
      <c r="M188" s="924"/>
      <c r="N188" s="924"/>
      <c r="O188" s="924"/>
      <c r="P188" s="924"/>
      <c r="Q188" s="924"/>
      <c r="R188" s="924"/>
      <c r="S188" s="892">
        <f t="shared" si="109"/>
        <v>30084.9</v>
      </c>
      <c r="T188" s="892">
        <f t="shared" si="110"/>
        <v>330933.90000000002</v>
      </c>
      <c r="U188" s="892">
        <f t="shared" si="111"/>
        <v>33093.390000000007</v>
      </c>
      <c r="V188" s="892">
        <f t="shared" si="112"/>
        <v>23314.983200000002</v>
      </c>
      <c r="W188" s="892">
        <f t="shared" si="113"/>
        <v>6618.6780000000008</v>
      </c>
      <c r="X188" s="892">
        <f t="shared" si="114"/>
        <v>267906.84879999998</v>
      </c>
      <c r="Y188" s="892">
        <f t="shared" si="115"/>
        <v>3971206.8000000003</v>
      </c>
      <c r="Z188" s="892">
        <f t="shared" si="116"/>
        <v>300849</v>
      </c>
      <c r="AA188" s="892">
        <f t="shared" si="117"/>
        <v>4272055.8000000007</v>
      </c>
      <c r="AB188" s="892">
        <f t="shared" si="118"/>
        <v>221954.35824000003</v>
      </c>
      <c r="AC188" s="892">
        <f t="shared" si="122"/>
        <v>192242.51100000006</v>
      </c>
      <c r="AD188" s="892">
        <f t="shared" si="119"/>
        <v>119136.204</v>
      </c>
      <c r="AE188" s="892">
        <f t="shared" si="120"/>
        <v>192242.51100000003</v>
      </c>
      <c r="AF188" s="892">
        <f t="shared" si="121"/>
        <v>4997631.3842400005</v>
      </c>
      <c r="AG188" s="892" t="s">
        <v>3</v>
      </c>
    </row>
    <row r="189" spans="1:33" ht="31.5">
      <c r="A189" s="918">
        <v>136</v>
      </c>
      <c r="B189" s="909" t="s">
        <v>523</v>
      </c>
      <c r="C189" s="909" t="s">
        <v>524</v>
      </c>
      <c r="D189" s="1559">
        <v>8</v>
      </c>
      <c r="E189" s="918">
        <v>1</v>
      </c>
      <c r="F189" s="918"/>
      <c r="G189" s="888">
        <v>41512</v>
      </c>
      <c r="H189" s="895">
        <v>13</v>
      </c>
      <c r="I189" s="892">
        <f t="shared" si="107"/>
        <v>230061</v>
      </c>
      <c r="J189" s="892">
        <f t="shared" si="108"/>
        <v>23006.100000000002</v>
      </c>
      <c r="K189" s="892"/>
      <c r="L189" s="924"/>
      <c r="M189" s="924"/>
      <c r="N189" s="924"/>
      <c r="O189" s="924"/>
      <c r="P189" s="924"/>
      <c r="Q189" s="924"/>
      <c r="R189" s="924"/>
      <c r="S189" s="892">
        <f t="shared" si="109"/>
        <v>23006.100000000002</v>
      </c>
      <c r="T189" s="892">
        <f t="shared" si="110"/>
        <v>253067.1</v>
      </c>
      <c r="U189" s="892">
        <f t="shared" si="111"/>
        <v>25306.710000000003</v>
      </c>
      <c r="V189" s="892">
        <f t="shared" si="112"/>
        <v>16462.704800000003</v>
      </c>
      <c r="W189" s="892">
        <f t="shared" si="113"/>
        <v>5061.3420000000006</v>
      </c>
      <c r="X189" s="892">
        <f t="shared" si="114"/>
        <v>206236.3432</v>
      </c>
      <c r="Y189" s="892">
        <f t="shared" si="115"/>
        <v>3036805.2</v>
      </c>
      <c r="Z189" s="892">
        <f t="shared" si="116"/>
        <v>230061</v>
      </c>
      <c r="AA189" s="892">
        <f t="shared" si="117"/>
        <v>3266866.2</v>
      </c>
      <c r="AB189" s="892">
        <f t="shared" si="118"/>
        <v>169729.80335999999</v>
      </c>
      <c r="AC189" s="892">
        <f t="shared" si="122"/>
        <v>147008.97900000002</v>
      </c>
      <c r="AD189" s="892">
        <f t="shared" si="119"/>
        <v>91104.156000000003</v>
      </c>
      <c r="AE189" s="892">
        <f t="shared" si="120"/>
        <v>147008.97899999999</v>
      </c>
      <c r="AF189" s="892">
        <f t="shared" si="121"/>
        <v>3821718.1173599996</v>
      </c>
      <c r="AG189" s="892" t="s">
        <v>3</v>
      </c>
    </row>
    <row r="190" spans="1:33" ht="31.5">
      <c r="A190" s="918">
        <v>137</v>
      </c>
      <c r="B190" s="909" t="s">
        <v>523</v>
      </c>
      <c r="C190" s="909" t="s">
        <v>525</v>
      </c>
      <c r="D190" s="1560"/>
      <c r="E190" s="918">
        <v>1</v>
      </c>
      <c r="F190" s="918"/>
      <c r="G190" s="888">
        <v>42248</v>
      </c>
      <c r="H190" s="895">
        <v>13</v>
      </c>
      <c r="I190" s="892">
        <f t="shared" si="107"/>
        <v>230061</v>
      </c>
      <c r="J190" s="892">
        <f t="shared" si="108"/>
        <v>23006.100000000002</v>
      </c>
      <c r="K190" s="892">
        <f>10*4148</f>
        <v>41480</v>
      </c>
      <c r="L190" s="924"/>
      <c r="M190" s="924"/>
      <c r="N190" s="924"/>
      <c r="O190" s="924"/>
      <c r="P190" s="924"/>
      <c r="Q190" s="924"/>
      <c r="R190" s="924"/>
      <c r="S190" s="892">
        <f t="shared" si="109"/>
        <v>64486.100000000006</v>
      </c>
      <c r="T190" s="892">
        <f t="shared" si="110"/>
        <v>294547.09999999998</v>
      </c>
      <c r="U190" s="892">
        <f t="shared" si="111"/>
        <v>29454.71</v>
      </c>
      <c r="V190" s="892">
        <f t="shared" si="112"/>
        <v>20112.944799999997</v>
      </c>
      <c r="W190" s="892">
        <f t="shared" si="113"/>
        <v>5890.942</v>
      </c>
      <c r="X190" s="892">
        <f t="shared" si="114"/>
        <v>239088.50319999995</v>
      </c>
      <c r="Y190" s="892">
        <f t="shared" si="115"/>
        <v>3534565.1999999997</v>
      </c>
      <c r="Z190" s="892">
        <f t="shared" si="116"/>
        <v>230061</v>
      </c>
      <c r="AA190" s="892">
        <f t="shared" si="117"/>
        <v>3764626.1999999997</v>
      </c>
      <c r="AB190" s="892">
        <f t="shared" si="118"/>
        <v>195513.77135999996</v>
      </c>
      <c r="AC190" s="892">
        <f t="shared" si="122"/>
        <v>169408.179</v>
      </c>
      <c r="AD190" s="892">
        <f t="shared" si="119"/>
        <v>106036.95599999999</v>
      </c>
      <c r="AE190" s="892">
        <f t="shared" si="120"/>
        <v>169408.17899999997</v>
      </c>
      <c r="AF190" s="892">
        <f t="shared" si="121"/>
        <v>4404993.2853599992</v>
      </c>
      <c r="AG190" s="892" t="s">
        <v>3</v>
      </c>
    </row>
    <row r="191" spans="1:33">
      <c r="A191" s="918">
        <v>138</v>
      </c>
      <c r="B191" s="909" t="s">
        <v>523</v>
      </c>
      <c r="C191" s="937" t="s">
        <v>526</v>
      </c>
      <c r="D191" s="1560"/>
      <c r="E191" s="918">
        <v>1</v>
      </c>
      <c r="F191" s="918"/>
      <c r="G191" s="888">
        <v>44593</v>
      </c>
      <c r="H191" s="895">
        <v>13</v>
      </c>
      <c r="I191" s="892">
        <f t="shared" si="107"/>
        <v>230061</v>
      </c>
      <c r="J191" s="892">
        <f t="shared" si="108"/>
        <v>23006.100000000002</v>
      </c>
      <c r="K191" s="924"/>
      <c r="L191" s="924"/>
      <c r="M191" s="924"/>
      <c r="N191" s="924"/>
      <c r="O191" s="924"/>
      <c r="P191" s="924"/>
      <c r="Q191" s="924"/>
      <c r="R191" s="924"/>
      <c r="S191" s="892">
        <f t="shared" si="109"/>
        <v>23006.100000000002</v>
      </c>
      <c r="T191" s="892">
        <f t="shared" si="110"/>
        <v>253067.1</v>
      </c>
      <c r="U191" s="892">
        <f t="shared" si="111"/>
        <v>25306.710000000003</v>
      </c>
      <c r="V191" s="892">
        <f t="shared" si="112"/>
        <v>16462.704800000003</v>
      </c>
      <c r="W191" s="892">
        <f t="shared" si="113"/>
        <v>5061.3420000000006</v>
      </c>
      <c r="X191" s="892">
        <f t="shared" si="114"/>
        <v>206236.3432</v>
      </c>
      <c r="Y191" s="892">
        <f t="shared" si="115"/>
        <v>3036805.2</v>
      </c>
      <c r="Z191" s="892">
        <f t="shared" si="116"/>
        <v>230061</v>
      </c>
      <c r="AA191" s="892">
        <f t="shared" si="117"/>
        <v>3266866.2</v>
      </c>
      <c r="AB191" s="892">
        <f t="shared" si="118"/>
        <v>169729.80335999999</v>
      </c>
      <c r="AC191" s="892">
        <f t="shared" si="122"/>
        <v>147008.97900000002</v>
      </c>
      <c r="AD191" s="892">
        <f t="shared" si="119"/>
        <v>91104.156000000003</v>
      </c>
      <c r="AE191" s="892">
        <f t="shared" si="120"/>
        <v>147008.97899999999</v>
      </c>
      <c r="AF191" s="892">
        <f t="shared" si="121"/>
        <v>3821718.1173599996</v>
      </c>
      <c r="AG191" s="892" t="s">
        <v>3</v>
      </c>
    </row>
    <row r="192" spans="1:33">
      <c r="A192" s="918">
        <v>139</v>
      </c>
      <c r="B192" s="909" t="s">
        <v>523</v>
      </c>
      <c r="C192" s="937" t="s">
        <v>527</v>
      </c>
      <c r="D192" s="1560"/>
      <c r="E192" s="918">
        <v>1</v>
      </c>
      <c r="F192" s="918"/>
      <c r="G192" s="888">
        <v>40716</v>
      </c>
      <c r="H192" s="895">
        <v>13</v>
      </c>
      <c r="I192" s="892">
        <f t="shared" si="107"/>
        <v>230061</v>
      </c>
      <c r="J192" s="892">
        <f t="shared" si="108"/>
        <v>23006.100000000002</v>
      </c>
      <c r="K192" s="924"/>
      <c r="L192" s="924"/>
      <c r="M192" s="924"/>
      <c r="N192" s="924"/>
      <c r="O192" s="924"/>
      <c r="P192" s="924"/>
      <c r="Q192" s="924"/>
      <c r="R192" s="924"/>
      <c r="S192" s="892">
        <f t="shared" si="109"/>
        <v>23006.100000000002</v>
      </c>
      <c r="T192" s="892">
        <f t="shared" si="110"/>
        <v>253067.1</v>
      </c>
      <c r="U192" s="892">
        <f t="shared" si="111"/>
        <v>25306.710000000003</v>
      </c>
      <c r="V192" s="892">
        <f t="shared" si="112"/>
        <v>16462.704800000003</v>
      </c>
      <c r="W192" s="892">
        <f t="shared" si="113"/>
        <v>5061.3420000000006</v>
      </c>
      <c r="X192" s="892">
        <f t="shared" si="114"/>
        <v>206236.3432</v>
      </c>
      <c r="Y192" s="892">
        <f t="shared" si="115"/>
        <v>3036805.2</v>
      </c>
      <c r="Z192" s="892">
        <f t="shared" si="116"/>
        <v>230061</v>
      </c>
      <c r="AA192" s="892">
        <f t="shared" si="117"/>
        <v>3266866.2</v>
      </c>
      <c r="AB192" s="892">
        <f t="shared" si="118"/>
        <v>169729.80335999999</v>
      </c>
      <c r="AC192" s="892">
        <f t="shared" si="122"/>
        <v>147008.97900000002</v>
      </c>
      <c r="AD192" s="892">
        <f t="shared" si="119"/>
        <v>91104.156000000003</v>
      </c>
      <c r="AE192" s="892">
        <f t="shared" si="120"/>
        <v>147008.97899999999</v>
      </c>
      <c r="AF192" s="892">
        <f t="shared" si="121"/>
        <v>3821718.1173599996</v>
      </c>
      <c r="AG192" s="892" t="s">
        <v>3</v>
      </c>
    </row>
    <row r="193" spans="1:33">
      <c r="A193" s="918">
        <v>140</v>
      </c>
      <c r="B193" s="909" t="s">
        <v>523</v>
      </c>
      <c r="C193" s="909" t="s">
        <v>528</v>
      </c>
      <c r="D193" s="1560"/>
      <c r="E193" s="918">
        <v>1</v>
      </c>
      <c r="F193" s="918"/>
      <c r="G193" s="888">
        <v>44818</v>
      </c>
      <c r="H193" s="895">
        <v>13</v>
      </c>
      <c r="I193" s="892">
        <f t="shared" si="107"/>
        <v>230061</v>
      </c>
      <c r="J193" s="892">
        <f t="shared" si="108"/>
        <v>23006.100000000002</v>
      </c>
      <c r="K193" s="924"/>
      <c r="L193" s="924"/>
      <c r="M193" s="924"/>
      <c r="N193" s="924"/>
      <c r="O193" s="924"/>
      <c r="P193" s="924"/>
      <c r="Q193" s="924"/>
      <c r="R193" s="924"/>
      <c r="S193" s="892">
        <f t="shared" si="109"/>
        <v>23006.100000000002</v>
      </c>
      <c r="T193" s="892">
        <f t="shared" si="110"/>
        <v>253067.1</v>
      </c>
      <c r="U193" s="892">
        <f t="shared" si="111"/>
        <v>25306.710000000003</v>
      </c>
      <c r="V193" s="892">
        <f t="shared" si="112"/>
        <v>16462.704800000003</v>
      </c>
      <c r="W193" s="892">
        <f t="shared" si="113"/>
        <v>5061.3420000000006</v>
      </c>
      <c r="X193" s="892">
        <f t="shared" si="114"/>
        <v>206236.3432</v>
      </c>
      <c r="Y193" s="892">
        <f t="shared" si="115"/>
        <v>3036805.2</v>
      </c>
      <c r="Z193" s="892">
        <f t="shared" si="116"/>
        <v>230061</v>
      </c>
      <c r="AA193" s="892">
        <f t="shared" si="117"/>
        <v>3266866.2</v>
      </c>
      <c r="AB193" s="892">
        <f t="shared" si="118"/>
        <v>169729.80335999999</v>
      </c>
      <c r="AC193" s="892">
        <f t="shared" si="122"/>
        <v>147008.97900000002</v>
      </c>
      <c r="AD193" s="892">
        <f t="shared" si="119"/>
        <v>91104.156000000003</v>
      </c>
      <c r="AE193" s="892">
        <f t="shared" si="120"/>
        <v>147008.97899999999</v>
      </c>
      <c r="AF193" s="892">
        <f t="shared" si="121"/>
        <v>3821718.1173599996</v>
      </c>
      <c r="AG193" s="892" t="s">
        <v>3</v>
      </c>
    </row>
    <row r="194" spans="1:33" ht="32.25" customHeight="1">
      <c r="A194" s="918">
        <v>141</v>
      </c>
      <c r="B194" s="935" t="s">
        <v>523</v>
      </c>
      <c r="C194" s="909" t="s">
        <v>529</v>
      </c>
      <c r="D194" s="1560"/>
      <c r="E194" s="918">
        <v>1</v>
      </c>
      <c r="F194" s="918"/>
      <c r="G194" s="888">
        <v>42249</v>
      </c>
      <c r="H194" s="895">
        <v>13</v>
      </c>
      <c r="I194" s="892">
        <f t="shared" si="107"/>
        <v>230061</v>
      </c>
      <c r="J194" s="892">
        <f t="shared" si="108"/>
        <v>23006.100000000002</v>
      </c>
      <c r="K194" s="924"/>
      <c r="L194" s="924"/>
      <c r="M194" s="924"/>
      <c r="N194" s="924"/>
      <c r="O194" s="924"/>
      <c r="P194" s="924"/>
      <c r="Q194" s="924"/>
      <c r="R194" s="924"/>
      <c r="S194" s="892">
        <f t="shared" si="109"/>
        <v>23006.100000000002</v>
      </c>
      <c r="T194" s="892">
        <f t="shared" si="110"/>
        <v>253067.1</v>
      </c>
      <c r="U194" s="892">
        <f t="shared" si="111"/>
        <v>25306.710000000003</v>
      </c>
      <c r="V194" s="892">
        <f t="shared" si="112"/>
        <v>16462.704800000003</v>
      </c>
      <c r="W194" s="892">
        <f t="shared" si="113"/>
        <v>5061.3420000000006</v>
      </c>
      <c r="X194" s="892">
        <f t="shared" si="114"/>
        <v>206236.3432</v>
      </c>
      <c r="Y194" s="892">
        <f t="shared" si="115"/>
        <v>3036805.2</v>
      </c>
      <c r="Z194" s="892">
        <f t="shared" si="116"/>
        <v>230061</v>
      </c>
      <c r="AA194" s="892">
        <f t="shared" si="117"/>
        <v>3266866.2</v>
      </c>
      <c r="AB194" s="892">
        <f t="shared" si="118"/>
        <v>169729.80335999999</v>
      </c>
      <c r="AC194" s="892">
        <f t="shared" si="122"/>
        <v>147008.97900000002</v>
      </c>
      <c r="AD194" s="892">
        <f t="shared" si="119"/>
        <v>91104.156000000003</v>
      </c>
      <c r="AE194" s="892">
        <f t="shared" si="120"/>
        <v>147008.97899999999</v>
      </c>
      <c r="AF194" s="892">
        <f t="shared" si="121"/>
        <v>3821718.1173599996</v>
      </c>
      <c r="AG194" s="892" t="s">
        <v>3</v>
      </c>
    </row>
    <row r="195" spans="1:33" ht="19.5" customHeight="1">
      <c r="A195" s="918">
        <v>142</v>
      </c>
      <c r="B195" s="935" t="s">
        <v>523</v>
      </c>
      <c r="C195" s="935" t="s">
        <v>530</v>
      </c>
      <c r="D195" s="1560"/>
      <c r="E195" s="918">
        <v>1</v>
      </c>
      <c r="F195" s="918"/>
      <c r="G195" s="888">
        <v>44827</v>
      </c>
      <c r="H195" s="895">
        <v>13</v>
      </c>
      <c r="I195" s="892">
        <f t="shared" si="107"/>
        <v>230061</v>
      </c>
      <c r="J195" s="892">
        <f t="shared" si="108"/>
        <v>23006.100000000002</v>
      </c>
      <c r="K195" s="924"/>
      <c r="L195" s="924"/>
      <c r="M195" s="924"/>
      <c r="N195" s="924"/>
      <c r="O195" s="924"/>
      <c r="P195" s="924"/>
      <c r="Q195" s="924"/>
      <c r="R195" s="924"/>
      <c r="S195" s="892">
        <f t="shared" si="109"/>
        <v>23006.100000000002</v>
      </c>
      <c r="T195" s="892">
        <f t="shared" si="110"/>
        <v>253067.1</v>
      </c>
      <c r="U195" s="892">
        <f t="shared" si="111"/>
        <v>25306.710000000003</v>
      </c>
      <c r="V195" s="892">
        <f t="shared" si="112"/>
        <v>16462.704800000003</v>
      </c>
      <c r="W195" s="892">
        <f t="shared" si="113"/>
        <v>5061.3420000000006</v>
      </c>
      <c r="X195" s="892">
        <f t="shared" si="114"/>
        <v>206236.3432</v>
      </c>
      <c r="Y195" s="892">
        <f t="shared" si="115"/>
        <v>3036805.2</v>
      </c>
      <c r="Z195" s="892">
        <f t="shared" si="116"/>
        <v>230061</v>
      </c>
      <c r="AA195" s="892">
        <f t="shared" si="117"/>
        <v>3266866.2</v>
      </c>
      <c r="AB195" s="892">
        <f t="shared" si="118"/>
        <v>169729.80335999999</v>
      </c>
      <c r="AC195" s="892">
        <f t="shared" si="122"/>
        <v>147008.97900000002</v>
      </c>
      <c r="AD195" s="892">
        <f t="shared" si="119"/>
        <v>91104.156000000003</v>
      </c>
      <c r="AE195" s="892">
        <f t="shared" si="120"/>
        <v>147008.97899999999</v>
      </c>
      <c r="AF195" s="892">
        <f t="shared" si="121"/>
        <v>3821718.1173599996</v>
      </c>
      <c r="AG195" s="892" t="s">
        <v>3</v>
      </c>
    </row>
    <row r="196" spans="1:33" ht="31.5">
      <c r="A196" s="918">
        <v>143</v>
      </c>
      <c r="B196" s="935" t="s">
        <v>523</v>
      </c>
      <c r="C196" s="935" t="s">
        <v>531</v>
      </c>
      <c r="D196" s="1561"/>
      <c r="E196" s="918">
        <v>1</v>
      </c>
      <c r="F196" s="918"/>
      <c r="G196" s="888">
        <v>42614</v>
      </c>
      <c r="H196" s="895">
        <v>13</v>
      </c>
      <c r="I196" s="892">
        <f t="shared" si="107"/>
        <v>230061</v>
      </c>
      <c r="J196" s="892">
        <f t="shared" si="108"/>
        <v>23006.100000000002</v>
      </c>
      <c r="K196" s="924"/>
      <c r="L196" s="924"/>
      <c r="M196" s="924"/>
      <c r="N196" s="924"/>
      <c r="O196" s="924"/>
      <c r="P196" s="924"/>
      <c r="Q196" s="924"/>
      <c r="R196" s="924"/>
      <c r="S196" s="892">
        <f t="shared" si="109"/>
        <v>23006.100000000002</v>
      </c>
      <c r="T196" s="892">
        <f t="shared" si="110"/>
        <v>253067.1</v>
      </c>
      <c r="U196" s="892">
        <f t="shared" si="111"/>
        <v>25306.710000000003</v>
      </c>
      <c r="V196" s="892">
        <f t="shared" si="112"/>
        <v>16462.704800000003</v>
      </c>
      <c r="W196" s="892">
        <f t="shared" si="113"/>
        <v>5061.3420000000006</v>
      </c>
      <c r="X196" s="892">
        <f t="shared" si="114"/>
        <v>206236.3432</v>
      </c>
      <c r="Y196" s="892">
        <f t="shared" si="115"/>
        <v>3036805.2</v>
      </c>
      <c r="Z196" s="892">
        <f t="shared" si="116"/>
        <v>230061</v>
      </c>
      <c r="AA196" s="892">
        <f t="shared" si="117"/>
        <v>3266866.2</v>
      </c>
      <c r="AB196" s="892">
        <f t="shared" si="118"/>
        <v>169729.80335999999</v>
      </c>
      <c r="AC196" s="892">
        <f t="shared" si="122"/>
        <v>147008.97900000002</v>
      </c>
      <c r="AD196" s="892">
        <f t="shared" si="119"/>
        <v>91104.156000000003</v>
      </c>
      <c r="AE196" s="892">
        <f t="shared" si="120"/>
        <v>147008.97899999999</v>
      </c>
      <c r="AF196" s="892">
        <f t="shared" si="121"/>
        <v>3821718.1173599996</v>
      </c>
      <c r="AG196" s="892" t="s">
        <v>3</v>
      </c>
    </row>
    <row r="197" spans="1:33" ht="31.5">
      <c r="A197" s="918">
        <v>144</v>
      </c>
      <c r="B197" s="909" t="s">
        <v>532</v>
      </c>
      <c r="C197" s="909" t="s">
        <v>533</v>
      </c>
      <c r="D197" s="1559">
        <v>2</v>
      </c>
      <c r="E197" s="918">
        <v>1</v>
      </c>
      <c r="F197" s="918"/>
      <c r="G197" s="888">
        <v>44645</v>
      </c>
      <c r="H197" s="895">
        <v>13</v>
      </c>
      <c r="I197" s="892">
        <f t="shared" si="107"/>
        <v>230061</v>
      </c>
      <c r="J197" s="892">
        <f t="shared" si="108"/>
        <v>23006.100000000002</v>
      </c>
      <c r="K197" s="924"/>
      <c r="L197" s="924"/>
      <c r="M197" s="924"/>
      <c r="N197" s="924"/>
      <c r="O197" s="924"/>
      <c r="P197" s="924"/>
      <c r="Q197" s="924"/>
      <c r="R197" s="924"/>
      <c r="S197" s="892">
        <f t="shared" si="109"/>
        <v>23006.100000000002</v>
      </c>
      <c r="T197" s="892">
        <f t="shared" si="110"/>
        <v>253067.1</v>
      </c>
      <c r="U197" s="892">
        <f t="shared" si="111"/>
        <v>25306.710000000003</v>
      </c>
      <c r="V197" s="892">
        <f t="shared" si="112"/>
        <v>16462.704800000003</v>
      </c>
      <c r="W197" s="892">
        <f t="shared" si="113"/>
        <v>5061.3420000000006</v>
      </c>
      <c r="X197" s="892">
        <f t="shared" si="114"/>
        <v>206236.3432</v>
      </c>
      <c r="Y197" s="892">
        <f t="shared" si="115"/>
        <v>3036805.2</v>
      </c>
      <c r="Z197" s="892">
        <f t="shared" si="116"/>
        <v>230061</v>
      </c>
      <c r="AA197" s="892">
        <f t="shared" si="117"/>
        <v>3266866.2</v>
      </c>
      <c r="AB197" s="892">
        <f t="shared" si="118"/>
        <v>169729.80335999999</v>
      </c>
      <c r="AC197" s="892">
        <f t="shared" si="122"/>
        <v>147008.97900000002</v>
      </c>
      <c r="AD197" s="892">
        <f t="shared" si="119"/>
        <v>91104.156000000003</v>
      </c>
      <c r="AE197" s="892">
        <f t="shared" si="120"/>
        <v>147008.97899999999</v>
      </c>
      <c r="AF197" s="892">
        <f t="shared" si="121"/>
        <v>3821718.1173599996</v>
      </c>
      <c r="AG197" s="892" t="s">
        <v>3</v>
      </c>
    </row>
    <row r="198" spans="1:33">
      <c r="A198" s="918">
        <v>145</v>
      </c>
      <c r="B198" s="909" t="s">
        <v>532</v>
      </c>
      <c r="C198" s="914" t="s">
        <v>534</v>
      </c>
      <c r="D198" s="1561"/>
      <c r="E198" s="918">
        <v>1</v>
      </c>
      <c r="F198" s="918"/>
      <c r="G198" s="888">
        <v>44874</v>
      </c>
      <c r="H198" s="895">
        <v>13</v>
      </c>
      <c r="I198" s="892">
        <f t="shared" si="107"/>
        <v>230061</v>
      </c>
      <c r="J198" s="892">
        <f t="shared" si="108"/>
        <v>23006.100000000002</v>
      </c>
      <c r="K198" s="924"/>
      <c r="L198" s="924"/>
      <c r="M198" s="924"/>
      <c r="N198" s="924"/>
      <c r="O198" s="924"/>
      <c r="P198" s="924"/>
      <c r="Q198" s="924"/>
      <c r="R198" s="924"/>
      <c r="S198" s="892">
        <f t="shared" si="109"/>
        <v>23006.100000000002</v>
      </c>
      <c r="T198" s="892">
        <f t="shared" si="110"/>
        <v>253067.1</v>
      </c>
      <c r="U198" s="892">
        <f t="shared" si="111"/>
        <v>25306.710000000003</v>
      </c>
      <c r="V198" s="892">
        <f t="shared" si="112"/>
        <v>16462.704800000003</v>
      </c>
      <c r="W198" s="892">
        <f t="shared" si="113"/>
        <v>5061.3420000000006</v>
      </c>
      <c r="X198" s="892">
        <f t="shared" si="114"/>
        <v>206236.3432</v>
      </c>
      <c r="Y198" s="892">
        <f t="shared" si="115"/>
        <v>3036805.2</v>
      </c>
      <c r="Z198" s="892">
        <f t="shared" si="116"/>
        <v>230061</v>
      </c>
      <c r="AA198" s="892">
        <f t="shared" si="117"/>
        <v>3266866.2</v>
      </c>
      <c r="AB198" s="892">
        <f t="shared" si="118"/>
        <v>169729.80335999999</v>
      </c>
      <c r="AC198" s="892">
        <f t="shared" si="122"/>
        <v>147008.97900000002</v>
      </c>
      <c r="AD198" s="892">
        <f t="shared" si="119"/>
        <v>91104.156000000003</v>
      </c>
      <c r="AE198" s="892">
        <f t="shared" si="120"/>
        <v>147008.97899999999</v>
      </c>
      <c r="AF198" s="892">
        <f t="shared" si="121"/>
        <v>3821718.1173599996</v>
      </c>
      <c r="AG198" s="892" t="s">
        <v>3</v>
      </c>
    </row>
    <row r="199" spans="1:33">
      <c r="A199" s="918">
        <v>146</v>
      </c>
      <c r="B199" s="957" t="s">
        <v>512</v>
      </c>
      <c r="C199" s="976" t="s">
        <v>513</v>
      </c>
      <c r="D199" s="1557">
        <v>6</v>
      </c>
      <c r="E199" s="944">
        <v>1</v>
      </c>
      <c r="F199" s="944"/>
      <c r="G199" s="945">
        <v>44826</v>
      </c>
      <c r="H199" s="977">
        <v>3</v>
      </c>
      <c r="I199" s="947">
        <f t="shared" si="107"/>
        <v>53091</v>
      </c>
      <c r="J199" s="947">
        <f t="shared" si="108"/>
        <v>5309.1</v>
      </c>
      <c r="K199" s="947">
        <f>10*4148</f>
        <v>41480</v>
      </c>
      <c r="L199" s="978"/>
      <c r="M199" s="979">
        <f>I199*30%</f>
        <v>15927.3</v>
      </c>
      <c r="N199" s="978"/>
      <c r="O199" s="978"/>
      <c r="P199" s="978"/>
      <c r="Q199" s="978"/>
      <c r="R199" s="978"/>
      <c r="S199" s="947">
        <f t="shared" si="109"/>
        <v>62716.399999999994</v>
      </c>
      <c r="T199" s="947">
        <f t="shared" si="110"/>
        <v>115807.4</v>
      </c>
      <c r="U199" s="947">
        <f t="shared" si="111"/>
        <v>11580.74</v>
      </c>
      <c r="V199" s="947">
        <f>((T199-U199-W199)-(14*4148))*10%</f>
        <v>4383.8511999999992</v>
      </c>
      <c r="W199" s="947">
        <f t="shared" si="113"/>
        <v>2316.1480000000001</v>
      </c>
      <c r="X199" s="947">
        <f t="shared" si="114"/>
        <v>97526.660799999983</v>
      </c>
      <c r="Y199" s="947">
        <f t="shared" si="115"/>
        <v>1389688.7999999998</v>
      </c>
      <c r="Z199" s="947">
        <f t="shared" ref="Z199:Z215" si="126">I199*2</f>
        <v>106182</v>
      </c>
      <c r="AA199" s="947">
        <f t="shared" si="117"/>
        <v>1495870.7999999998</v>
      </c>
      <c r="AB199" s="947">
        <f>(AA199*0.9-(W199*12))*11%-AC199</f>
        <v>77719.707840000003</v>
      </c>
      <c r="AC199" s="947">
        <f>AA199*0.9*5%</f>
        <v>67314.186000000002</v>
      </c>
      <c r="AD199" s="947">
        <f t="shared" si="119"/>
        <v>41690.66399999999</v>
      </c>
      <c r="AE199" s="947">
        <f t="shared" si="120"/>
        <v>67314.185999999987</v>
      </c>
      <c r="AF199" s="947">
        <f t="shared" si="121"/>
        <v>1749909.5438399997</v>
      </c>
      <c r="AG199" s="947" t="s">
        <v>3</v>
      </c>
    </row>
    <row r="200" spans="1:33" ht="31.5">
      <c r="A200" s="918">
        <v>147</v>
      </c>
      <c r="B200" s="957" t="s">
        <v>512</v>
      </c>
      <c r="C200" s="980" t="s">
        <v>554</v>
      </c>
      <c r="D200" s="1555"/>
      <c r="E200" s="944">
        <v>1</v>
      </c>
      <c r="F200" s="944"/>
      <c r="G200" s="945">
        <v>45180</v>
      </c>
      <c r="H200" s="977">
        <v>3</v>
      </c>
      <c r="I200" s="947">
        <f t="shared" si="107"/>
        <v>53091</v>
      </c>
      <c r="J200" s="947">
        <f t="shared" si="108"/>
        <v>5309.1</v>
      </c>
      <c r="K200" s="947"/>
      <c r="L200" s="978"/>
      <c r="M200" s="978"/>
      <c r="N200" s="978"/>
      <c r="O200" s="978"/>
      <c r="P200" s="978"/>
      <c r="Q200" s="978"/>
      <c r="R200" s="978"/>
      <c r="S200" s="947">
        <f t="shared" si="109"/>
        <v>5309.1</v>
      </c>
      <c r="T200" s="947">
        <f t="shared" si="110"/>
        <v>58400.1</v>
      </c>
      <c r="U200" s="947">
        <f t="shared" si="111"/>
        <v>5840.01</v>
      </c>
      <c r="V200" s="947">
        <f t="shared" ref="V200" si="127">(T200-U200-W200)*10%</f>
        <v>5139.2088000000003</v>
      </c>
      <c r="W200" s="947">
        <f t="shared" si="113"/>
        <v>1168.002</v>
      </c>
      <c r="X200" s="947">
        <f t="shared" si="114"/>
        <v>46252.879199999996</v>
      </c>
      <c r="Y200" s="947">
        <f t="shared" si="115"/>
        <v>700801.2</v>
      </c>
      <c r="Z200" s="947">
        <f t="shared" si="126"/>
        <v>106182</v>
      </c>
      <c r="AA200" s="947">
        <f t="shared" si="117"/>
        <v>806983.2</v>
      </c>
      <c r="AB200" s="947">
        <f t="shared" ref="AB200:AB215" si="128">(AA200*0.9-(W200*12))*11%-AC200</f>
        <v>42035.330160000005</v>
      </c>
      <c r="AC200" s="947">
        <f t="shared" ref="AC200:AC215" si="129">AA200*0.9*5%</f>
        <v>36314.243999999999</v>
      </c>
      <c r="AD200" s="947">
        <f t="shared" si="119"/>
        <v>21024.035999999996</v>
      </c>
      <c r="AE200" s="947">
        <f t="shared" si="120"/>
        <v>36314.243999999999</v>
      </c>
      <c r="AF200" s="947">
        <f t="shared" si="121"/>
        <v>942671.05415999983</v>
      </c>
      <c r="AG200" s="947" t="s">
        <v>3</v>
      </c>
    </row>
    <row r="201" spans="1:33" ht="31.5">
      <c r="A201" s="918">
        <v>148</v>
      </c>
      <c r="B201" s="943" t="s">
        <v>512</v>
      </c>
      <c r="C201" s="943" t="s">
        <v>448</v>
      </c>
      <c r="D201" s="1555"/>
      <c r="E201" s="944">
        <v>1</v>
      </c>
      <c r="F201" s="944"/>
      <c r="G201" s="945">
        <v>45902</v>
      </c>
      <c r="H201" s="946">
        <v>4</v>
      </c>
      <c r="I201" s="947">
        <f>E201*17697*H201</f>
        <v>70788</v>
      </c>
      <c r="J201" s="947">
        <f t="shared" si="108"/>
        <v>7078.8</v>
      </c>
      <c r="K201" s="947"/>
      <c r="L201" s="978"/>
      <c r="M201" s="960"/>
      <c r="N201" s="978"/>
      <c r="O201" s="978"/>
      <c r="P201" s="978"/>
      <c r="Q201" s="978"/>
      <c r="R201" s="978"/>
      <c r="S201" s="947">
        <f t="shared" si="109"/>
        <v>7078.8</v>
      </c>
      <c r="T201" s="947">
        <f t="shared" si="110"/>
        <v>77866.8</v>
      </c>
      <c r="U201" s="947">
        <f t="shared" si="111"/>
        <v>7786.68</v>
      </c>
      <c r="V201" s="947">
        <f>((T201-U201-W201)-(14*4148))*10%</f>
        <v>1045.0784000000001</v>
      </c>
      <c r="W201" s="947">
        <f t="shared" si="113"/>
        <v>1557.336</v>
      </c>
      <c r="X201" s="947">
        <f t="shared" si="114"/>
        <v>67477.705600000001</v>
      </c>
      <c r="Y201" s="947">
        <f t="shared" si="115"/>
        <v>934401.60000000009</v>
      </c>
      <c r="Z201" s="947">
        <f t="shared" si="126"/>
        <v>141576</v>
      </c>
      <c r="AA201" s="947">
        <f t="shared" si="117"/>
        <v>1075977.6000000001</v>
      </c>
      <c r="AB201" s="947">
        <f t="shared" si="128"/>
        <v>56047.106879999999</v>
      </c>
      <c r="AC201" s="947">
        <f t="shared" si="129"/>
        <v>48418.992000000006</v>
      </c>
      <c r="AD201" s="947">
        <f t="shared" si="119"/>
        <v>28032.048000000003</v>
      </c>
      <c r="AE201" s="947">
        <f t="shared" si="120"/>
        <v>48418.992000000006</v>
      </c>
      <c r="AF201" s="947">
        <f t="shared" si="121"/>
        <v>1256894.7388800003</v>
      </c>
      <c r="AG201" s="947" t="s">
        <v>3</v>
      </c>
    </row>
    <row r="202" spans="1:33">
      <c r="A202" s="918">
        <v>149</v>
      </c>
      <c r="B202" s="957" t="s">
        <v>512</v>
      </c>
      <c r="C202" s="957" t="s">
        <v>933</v>
      </c>
      <c r="D202" s="1555"/>
      <c r="E202" s="944">
        <v>1</v>
      </c>
      <c r="F202" s="944"/>
      <c r="G202" s="945">
        <v>45923</v>
      </c>
      <c r="H202" s="977">
        <v>5</v>
      </c>
      <c r="I202" s="947">
        <f t="shared" si="107"/>
        <v>88485</v>
      </c>
      <c r="J202" s="947">
        <f t="shared" si="108"/>
        <v>8848.5</v>
      </c>
      <c r="K202" s="947"/>
      <c r="L202" s="978"/>
      <c r="M202" s="960"/>
      <c r="N202" s="979"/>
      <c r="O202" s="978"/>
      <c r="P202" s="978"/>
      <c r="Q202" s="978"/>
      <c r="R202" s="978"/>
      <c r="S202" s="947">
        <f t="shared" si="109"/>
        <v>8848.5</v>
      </c>
      <c r="T202" s="947">
        <f t="shared" si="110"/>
        <v>97333.5</v>
      </c>
      <c r="U202" s="947">
        <f t="shared" si="111"/>
        <v>9733.35</v>
      </c>
      <c r="V202" s="947">
        <f>((T202-U202-W202)-(14*4148))*10%</f>
        <v>2758.1479999999997</v>
      </c>
      <c r="W202" s="947">
        <f t="shared" si="113"/>
        <v>1946.67</v>
      </c>
      <c r="X202" s="947">
        <f t="shared" si="114"/>
        <v>82895.331999999995</v>
      </c>
      <c r="Y202" s="947">
        <f t="shared" si="115"/>
        <v>1168002</v>
      </c>
      <c r="Z202" s="947">
        <f t="shared" si="126"/>
        <v>176970</v>
      </c>
      <c r="AA202" s="947">
        <f t="shared" si="117"/>
        <v>1344972</v>
      </c>
      <c r="AB202" s="947">
        <f t="shared" si="128"/>
        <v>70058.883600000001</v>
      </c>
      <c r="AC202" s="947">
        <f t="shared" si="129"/>
        <v>60523.740000000005</v>
      </c>
      <c r="AD202" s="947">
        <f t="shared" si="119"/>
        <v>35040.06</v>
      </c>
      <c r="AE202" s="947">
        <f t="shared" si="120"/>
        <v>60523.74</v>
      </c>
      <c r="AF202" s="947">
        <f t="shared" si="121"/>
        <v>1571118.4236000001</v>
      </c>
      <c r="AG202" s="947" t="s">
        <v>3</v>
      </c>
    </row>
    <row r="203" spans="1:33">
      <c r="A203" s="918">
        <v>150</v>
      </c>
      <c r="B203" s="957" t="s">
        <v>512</v>
      </c>
      <c r="C203" s="957" t="s">
        <v>520</v>
      </c>
      <c r="D203" s="1555"/>
      <c r="E203" s="944">
        <v>1</v>
      </c>
      <c r="F203" s="944"/>
      <c r="G203" s="945">
        <v>42251</v>
      </c>
      <c r="H203" s="977">
        <v>5</v>
      </c>
      <c r="I203" s="947">
        <f t="shared" si="107"/>
        <v>88485</v>
      </c>
      <c r="J203" s="947">
        <f t="shared" si="108"/>
        <v>8848.5</v>
      </c>
      <c r="K203" s="947"/>
      <c r="L203" s="978"/>
      <c r="M203" s="960"/>
      <c r="N203" s="979"/>
      <c r="O203" s="978"/>
      <c r="P203" s="978"/>
      <c r="Q203" s="978"/>
      <c r="R203" s="978"/>
      <c r="S203" s="947">
        <f t="shared" si="109"/>
        <v>8848.5</v>
      </c>
      <c r="T203" s="947">
        <f t="shared" si="110"/>
        <v>97333.5</v>
      </c>
      <c r="U203" s="947">
        <f t="shared" si="111"/>
        <v>9733.35</v>
      </c>
      <c r="V203" s="947">
        <f>((T203-U203-W203)-(14*4148))*10%</f>
        <v>2758.1479999999997</v>
      </c>
      <c r="W203" s="947">
        <f t="shared" si="113"/>
        <v>1946.67</v>
      </c>
      <c r="X203" s="947">
        <f t="shared" si="114"/>
        <v>82895.331999999995</v>
      </c>
      <c r="Y203" s="947">
        <f t="shared" si="115"/>
        <v>1168002</v>
      </c>
      <c r="Z203" s="947">
        <f t="shared" si="126"/>
        <v>176970</v>
      </c>
      <c r="AA203" s="947">
        <f t="shared" si="117"/>
        <v>1344972</v>
      </c>
      <c r="AB203" s="947">
        <f t="shared" si="128"/>
        <v>70058.883600000001</v>
      </c>
      <c r="AC203" s="947">
        <f t="shared" si="129"/>
        <v>60523.740000000005</v>
      </c>
      <c r="AD203" s="947">
        <f t="shared" si="119"/>
        <v>35040.06</v>
      </c>
      <c r="AE203" s="947">
        <f t="shared" si="120"/>
        <v>60523.74</v>
      </c>
      <c r="AF203" s="947">
        <f t="shared" si="121"/>
        <v>1571118.4236000001</v>
      </c>
      <c r="AG203" s="947" t="s">
        <v>3</v>
      </c>
    </row>
    <row r="204" spans="1:33">
      <c r="A204" s="918">
        <v>151</v>
      </c>
      <c r="B204" s="957" t="s">
        <v>512</v>
      </c>
      <c r="C204" s="957" t="s">
        <v>837</v>
      </c>
      <c r="D204" s="1555"/>
      <c r="E204" s="944">
        <v>1</v>
      </c>
      <c r="F204" s="944"/>
      <c r="G204" s="945">
        <v>45231</v>
      </c>
      <c r="H204" s="977">
        <v>3</v>
      </c>
      <c r="I204" s="947">
        <f t="shared" si="107"/>
        <v>53091</v>
      </c>
      <c r="J204" s="947">
        <f t="shared" si="108"/>
        <v>5309.1</v>
      </c>
      <c r="K204" s="947"/>
      <c r="L204" s="978"/>
      <c r="M204" s="978"/>
      <c r="N204" s="978"/>
      <c r="O204" s="978"/>
      <c r="P204" s="978"/>
      <c r="Q204" s="978"/>
      <c r="R204" s="978"/>
      <c r="S204" s="947">
        <f t="shared" si="109"/>
        <v>5309.1</v>
      </c>
      <c r="T204" s="947">
        <f t="shared" si="110"/>
        <v>58400.1</v>
      </c>
      <c r="U204" s="947">
        <f t="shared" si="111"/>
        <v>5840.01</v>
      </c>
      <c r="V204" s="947">
        <f t="shared" ref="V204" si="130">(T204-U204-W204)*10%</f>
        <v>5139.2088000000003</v>
      </c>
      <c r="W204" s="947">
        <f t="shared" si="113"/>
        <v>1168.002</v>
      </c>
      <c r="X204" s="947">
        <f t="shared" si="114"/>
        <v>46252.879199999996</v>
      </c>
      <c r="Y204" s="947">
        <f t="shared" si="115"/>
        <v>700801.2</v>
      </c>
      <c r="Z204" s="947">
        <f t="shared" si="126"/>
        <v>106182</v>
      </c>
      <c r="AA204" s="947">
        <f t="shared" si="117"/>
        <v>806983.2</v>
      </c>
      <c r="AB204" s="947">
        <f t="shared" si="128"/>
        <v>42035.330160000005</v>
      </c>
      <c r="AC204" s="947">
        <f t="shared" si="129"/>
        <v>36314.243999999999</v>
      </c>
      <c r="AD204" s="947">
        <f t="shared" si="119"/>
        <v>21024.035999999996</v>
      </c>
      <c r="AE204" s="947">
        <f t="shared" si="120"/>
        <v>36314.243999999999</v>
      </c>
      <c r="AF204" s="947">
        <f t="shared" si="121"/>
        <v>942671.05415999983</v>
      </c>
      <c r="AG204" s="947" t="s">
        <v>3</v>
      </c>
    </row>
    <row r="205" spans="1:33">
      <c r="A205" s="918">
        <v>152</v>
      </c>
      <c r="B205" s="943" t="s">
        <v>512</v>
      </c>
      <c r="C205" s="943" t="s">
        <v>837</v>
      </c>
      <c r="D205" s="1558"/>
      <c r="E205" s="944"/>
      <c r="F205" s="944"/>
      <c r="G205" s="945"/>
      <c r="H205" s="946">
        <v>18</v>
      </c>
      <c r="I205" s="947">
        <f>17697*H205</f>
        <v>318546</v>
      </c>
      <c r="J205" s="947">
        <f t="shared" si="108"/>
        <v>31854.600000000002</v>
      </c>
      <c r="K205" s="947"/>
      <c r="L205" s="978"/>
      <c r="M205" s="978"/>
      <c r="N205" s="978"/>
      <c r="O205" s="978"/>
      <c r="P205" s="978"/>
      <c r="Q205" s="978"/>
      <c r="R205" s="978"/>
      <c r="S205" s="947">
        <f t="shared" si="109"/>
        <v>31854.600000000002</v>
      </c>
      <c r="T205" s="947">
        <f t="shared" si="110"/>
        <v>350400.6</v>
      </c>
      <c r="U205" s="947">
        <f t="shared" si="111"/>
        <v>35040.06</v>
      </c>
      <c r="V205" s="947">
        <f>((T205-U205-W205)-(14*4148))*10%</f>
        <v>25028.052800000001</v>
      </c>
      <c r="W205" s="947">
        <f t="shared" si="113"/>
        <v>7008.0119999999997</v>
      </c>
      <c r="X205" s="947">
        <f t="shared" si="114"/>
        <v>283324.47519999999</v>
      </c>
      <c r="Y205" s="947">
        <f t="shared" si="115"/>
        <v>4204807.1999999993</v>
      </c>
      <c r="Z205" s="947">
        <f t="shared" si="126"/>
        <v>637092</v>
      </c>
      <c r="AA205" s="947">
        <f t="shared" si="117"/>
        <v>4841899.1999999993</v>
      </c>
      <c r="AB205" s="947">
        <f t="shared" si="128"/>
        <v>252211.9809599999</v>
      </c>
      <c r="AC205" s="947">
        <f t="shared" si="129"/>
        <v>217885.46399999998</v>
      </c>
      <c r="AD205" s="947">
        <f t="shared" si="119"/>
        <v>126144.21599999997</v>
      </c>
      <c r="AE205" s="947">
        <f t="shared" si="120"/>
        <v>217885.46399999995</v>
      </c>
      <c r="AF205" s="947">
        <f t="shared" si="121"/>
        <v>5656026.324959999</v>
      </c>
      <c r="AG205" s="947" t="s">
        <v>3</v>
      </c>
    </row>
    <row r="206" spans="1:33" ht="31.5">
      <c r="A206" s="918">
        <v>153</v>
      </c>
      <c r="B206" s="957" t="s">
        <v>523</v>
      </c>
      <c r="C206" s="957" t="s">
        <v>524</v>
      </c>
      <c r="D206" s="1557">
        <v>8</v>
      </c>
      <c r="E206" s="944">
        <v>1</v>
      </c>
      <c r="F206" s="944"/>
      <c r="G206" s="945">
        <v>41512</v>
      </c>
      <c r="H206" s="977">
        <v>3</v>
      </c>
      <c r="I206" s="947">
        <f t="shared" si="107"/>
        <v>53091</v>
      </c>
      <c r="J206" s="947">
        <f t="shared" si="108"/>
        <v>5309.1</v>
      </c>
      <c r="K206" s="947"/>
      <c r="L206" s="978"/>
      <c r="M206" s="978"/>
      <c r="N206" s="978"/>
      <c r="O206" s="978"/>
      <c r="P206" s="978"/>
      <c r="Q206" s="978"/>
      <c r="R206" s="978"/>
      <c r="S206" s="947">
        <f t="shared" si="109"/>
        <v>5309.1</v>
      </c>
      <c r="T206" s="947">
        <f t="shared" si="110"/>
        <v>58400.1</v>
      </c>
      <c r="U206" s="947">
        <f t="shared" si="111"/>
        <v>5840.01</v>
      </c>
      <c r="V206" s="947">
        <f t="shared" ref="V206" si="131">(T206-U206-W206)*10%</f>
        <v>5139.2088000000003</v>
      </c>
      <c r="W206" s="947">
        <f t="shared" si="113"/>
        <v>1168.002</v>
      </c>
      <c r="X206" s="947">
        <f t="shared" si="114"/>
        <v>46252.879199999996</v>
      </c>
      <c r="Y206" s="947">
        <f t="shared" si="115"/>
        <v>700801.2</v>
      </c>
      <c r="Z206" s="947">
        <f t="shared" si="126"/>
        <v>106182</v>
      </c>
      <c r="AA206" s="947">
        <f t="shared" si="117"/>
        <v>806983.2</v>
      </c>
      <c r="AB206" s="947">
        <f t="shared" si="128"/>
        <v>42035.330160000005</v>
      </c>
      <c r="AC206" s="947">
        <f t="shared" si="129"/>
        <v>36314.243999999999</v>
      </c>
      <c r="AD206" s="947">
        <f t="shared" si="119"/>
        <v>21024.035999999996</v>
      </c>
      <c r="AE206" s="947">
        <f t="shared" si="120"/>
        <v>36314.243999999999</v>
      </c>
      <c r="AF206" s="947">
        <f t="shared" si="121"/>
        <v>942671.05415999983</v>
      </c>
      <c r="AG206" s="947" t="s">
        <v>3</v>
      </c>
    </row>
    <row r="207" spans="1:33" ht="31.5">
      <c r="A207" s="918">
        <v>154</v>
      </c>
      <c r="B207" s="957" t="s">
        <v>523</v>
      </c>
      <c r="C207" s="957" t="s">
        <v>525</v>
      </c>
      <c r="D207" s="1555"/>
      <c r="E207" s="944">
        <v>1</v>
      </c>
      <c r="F207" s="944"/>
      <c r="G207" s="945">
        <v>42248</v>
      </c>
      <c r="H207" s="977">
        <v>3</v>
      </c>
      <c r="I207" s="947">
        <f t="shared" si="107"/>
        <v>53091</v>
      </c>
      <c r="J207" s="947">
        <f t="shared" si="108"/>
        <v>5309.1</v>
      </c>
      <c r="K207" s="947">
        <f>10*4148</f>
        <v>41480</v>
      </c>
      <c r="L207" s="978"/>
      <c r="M207" s="978"/>
      <c r="N207" s="978"/>
      <c r="O207" s="978"/>
      <c r="P207" s="978"/>
      <c r="Q207" s="978"/>
      <c r="R207" s="978"/>
      <c r="S207" s="947">
        <f t="shared" si="109"/>
        <v>46789.1</v>
      </c>
      <c r="T207" s="947">
        <f t="shared" si="110"/>
        <v>99880.1</v>
      </c>
      <c r="U207" s="947">
        <f t="shared" si="111"/>
        <v>9988.010000000002</v>
      </c>
      <c r="V207" s="947">
        <f>((T207-U207-W207)-(14*4148))*10%</f>
        <v>2982.2487999999998</v>
      </c>
      <c r="W207" s="947">
        <f t="shared" si="113"/>
        <v>1997.6020000000001</v>
      </c>
      <c r="X207" s="947">
        <f t="shared" si="114"/>
        <v>84912.239199999996</v>
      </c>
      <c r="Y207" s="947">
        <f t="shared" si="115"/>
        <v>1198561.2000000002</v>
      </c>
      <c r="Z207" s="947">
        <f t="shared" si="126"/>
        <v>106182</v>
      </c>
      <c r="AA207" s="947">
        <f t="shared" si="117"/>
        <v>1304743.2000000002</v>
      </c>
      <c r="AB207" s="947">
        <f t="shared" si="128"/>
        <v>67819.298160000006</v>
      </c>
      <c r="AC207" s="947">
        <f t="shared" si="129"/>
        <v>58713.44400000001</v>
      </c>
      <c r="AD207" s="947">
        <f t="shared" si="119"/>
        <v>35956.836000000003</v>
      </c>
      <c r="AE207" s="947">
        <f t="shared" si="120"/>
        <v>58713.444000000003</v>
      </c>
      <c r="AF207" s="947">
        <f t="shared" si="121"/>
        <v>1525946.2221599999</v>
      </c>
      <c r="AG207" s="947" t="s">
        <v>3</v>
      </c>
    </row>
    <row r="208" spans="1:33">
      <c r="A208" s="918">
        <v>155</v>
      </c>
      <c r="B208" s="957" t="s">
        <v>523</v>
      </c>
      <c r="C208" s="981" t="s">
        <v>526</v>
      </c>
      <c r="D208" s="1555"/>
      <c r="E208" s="944">
        <v>1</v>
      </c>
      <c r="F208" s="944"/>
      <c r="G208" s="945">
        <v>44593</v>
      </c>
      <c r="H208" s="977">
        <v>3</v>
      </c>
      <c r="I208" s="947">
        <f t="shared" si="107"/>
        <v>53091</v>
      </c>
      <c r="J208" s="947">
        <f t="shared" si="108"/>
        <v>5309.1</v>
      </c>
      <c r="K208" s="978"/>
      <c r="L208" s="978"/>
      <c r="M208" s="978"/>
      <c r="N208" s="978"/>
      <c r="O208" s="978"/>
      <c r="P208" s="978"/>
      <c r="Q208" s="978"/>
      <c r="R208" s="978"/>
      <c r="S208" s="947">
        <f t="shared" si="109"/>
        <v>5309.1</v>
      </c>
      <c r="T208" s="947">
        <f t="shared" si="110"/>
        <v>58400.1</v>
      </c>
      <c r="U208" s="947">
        <f t="shared" si="111"/>
        <v>5840.01</v>
      </c>
      <c r="V208" s="947">
        <f t="shared" ref="V208:V215" si="132">(T208-U208-W208)*10%</f>
        <v>5139.2088000000003</v>
      </c>
      <c r="W208" s="947">
        <f t="shared" si="113"/>
        <v>1168.002</v>
      </c>
      <c r="X208" s="947">
        <f t="shared" si="114"/>
        <v>46252.879199999996</v>
      </c>
      <c r="Y208" s="947">
        <f t="shared" si="115"/>
        <v>700801.2</v>
      </c>
      <c r="Z208" s="947">
        <f t="shared" si="126"/>
        <v>106182</v>
      </c>
      <c r="AA208" s="947">
        <f t="shared" si="117"/>
        <v>806983.2</v>
      </c>
      <c r="AB208" s="947">
        <f t="shared" si="128"/>
        <v>42035.330160000005</v>
      </c>
      <c r="AC208" s="947">
        <f t="shared" si="129"/>
        <v>36314.243999999999</v>
      </c>
      <c r="AD208" s="947">
        <f t="shared" si="119"/>
        <v>21024.035999999996</v>
      </c>
      <c r="AE208" s="947">
        <f t="shared" si="120"/>
        <v>36314.243999999999</v>
      </c>
      <c r="AF208" s="947">
        <f t="shared" si="121"/>
        <v>942671.05415999983</v>
      </c>
      <c r="AG208" s="947" t="s">
        <v>3</v>
      </c>
    </row>
    <row r="209" spans="1:33">
      <c r="A209" s="918">
        <v>156</v>
      </c>
      <c r="B209" s="957" t="s">
        <v>523</v>
      </c>
      <c r="C209" s="981" t="s">
        <v>527</v>
      </c>
      <c r="D209" s="1555"/>
      <c r="E209" s="944">
        <v>1</v>
      </c>
      <c r="F209" s="944"/>
      <c r="G209" s="945">
        <v>40716</v>
      </c>
      <c r="H209" s="977">
        <v>3</v>
      </c>
      <c r="I209" s="947">
        <f t="shared" si="107"/>
        <v>53091</v>
      </c>
      <c r="J209" s="947">
        <f t="shared" si="108"/>
        <v>5309.1</v>
      </c>
      <c r="K209" s="978"/>
      <c r="L209" s="978"/>
      <c r="M209" s="978"/>
      <c r="N209" s="978"/>
      <c r="O209" s="978"/>
      <c r="P209" s="978"/>
      <c r="Q209" s="978"/>
      <c r="R209" s="978"/>
      <c r="S209" s="947">
        <f t="shared" si="109"/>
        <v>5309.1</v>
      </c>
      <c r="T209" s="947">
        <f t="shared" si="110"/>
        <v>58400.1</v>
      </c>
      <c r="U209" s="947">
        <f t="shared" si="111"/>
        <v>5840.01</v>
      </c>
      <c r="V209" s="947">
        <f t="shared" si="132"/>
        <v>5139.2088000000003</v>
      </c>
      <c r="W209" s="947">
        <f t="shared" si="113"/>
        <v>1168.002</v>
      </c>
      <c r="X209" s="947">
        <f t="shared" si="114"/>
        <v>46252.879199999996</v>
      </c>
      <c r="Y209" s="947">
        <f t="shared" si="115"/>
        <v>700801.2</v>
      </c>
      <c r="Z209" s="947">
        <f t="shared" si="126"/>
        <v>106182</v>
      </c>
      <c r="AA209" s="947">
        <f t="shared" si="117"/>
        <v>806983.2</v>
      </c>
      <c r="AB209" s="947">
        <f t="shared" si="128"/>
        <v>42035.330160000005</v>
      </c>
      <c r="AC209" s="947">
        <f t="shared" si="129"/>
        <v>36314.243999999999</v>
      </c>
      <c r="AD209" s="947">
        <f t="shared" si="119"/>
        <v>21024.035999999996</v>
      </c>
      <c r="AE209" s="947">
        <f t="shared" si="120"/>
        <v>36314.243999999999</v>
      </c>
      <c r="AF209" s="947">
        <f t="shared" si="121"/>
        <v>942671.05415999983</v>
      </c>
      <c r="AG209" s="947" t="s">
        <v>3</v>
      </c>
    </row>
    <row r="210" spans="1:33">
      <c r="A210" s="918">
        <v>157</v>
      </c>
      <c r="B210" s="957" t="s">
        <v>523</v>
      </c>
      <c r="C210" s="957" t="s">
        <v>528</v>
      </c>
      <c r="D210" s="1555"/>
      <c r="E210" s="944">
        <v>1</v>
      </c>
      <c r="F210" s="944"/>
      <c r="G210" s="945">
        <v>44818</v>
      </c>
      <c r="H210" s="977">
        <v>3</v>
      </c>
      <c r="I210" s="947">
        <f t="shared" si="107"/>
        <v>53091</v>
      </c>
      <c r="J210" s="947">
        <f t="shared" si="108"/>
        <v>5309.1</v>
      </c>
      <c r="K210" s="978"/>
      <c r="L210" s="978"/>
      <c r="M210" s="978"/>
      <c r="N210" s="978"/>
      <c r="O210" s="978"/>
      <c r="P210" s="978"/>
      <c r="Q210" s="978"/>
      <c r="R210" s="978"/>
      <c r="S210" s="947">
        <f t="shared" si="109"/>
        <v>5309.1</v>
      </c>
      <c r="T210" s="947">
        <f t="shared" si="110"/>
        <v>58400.1</v>
      </c>
      <c r="U210" s="947">
        <f t="shared" si="111"/>
        <v>5840.01</v>
      </c>
      <c r="V210" s="947">
        <f t="shared" si="132"/>
        <v>5139.2088000000003</v>
      </c>
      <c r="W210" s="947">
        <f t="shared" si="113"/>
        <v>1168.002</v>
      </c>
      <c r="X210" s="947">
        <f t="shared" si="114"/>
        <v>46252.879199999996</v>
      </c>
      <c r="Y210" s="947">
        <f t="shared" si="115"/>
        <v>700801.2</v>
      </c>
      <c r="Z210" s="947">
        <f t="shared" si="126"/>
        <v>106182</v>
      </c>
      <c r="AA210" s="947">
        <f t="shared" si="117"/>
        <v>806983.2</v>
      </c>
      <c r="AB210" s="947">
        <f t="shared" si="128"/>
        <v>42035.330160000005</v>
      </c>
      <c r="AC210" s="947">
        <f t="shared" si="129"/>
        <v>36314.243999999999</v>
      </c>
      <c r="AD210" s="947">
        <f t="shared" si="119"/>
        <v>21024.035999999996</v>
      </c>
      <c r="AE210" s="947">
        <f t="shared" si="120"/>
        <v>36314.243999999999</v>
      </c>
      <c r="AF210" s="947">
        <f t="shared" si="121"/>
        <v>942671.05415999983</v>
      </c>
      <c r="AG210" s="947" t="s">
        <v>3</v>
      </c>
    </row>
    <row r="211" spans="1:33">
      <c r="A211" s="918">
        <v>158</v>
      </c>
      <c r="B211" s="982" t="s">
        <v>523</v>
      </c>
      <c r="C211" s="957" t="s">
        <v>529</v>
      </c>
      <c r="D211" s="1555"/>
      <c r="E211" s="944">
        <v>1</v>
      </c>
      <c r="F211" s="944"/>
      <c r="G211" s="945">
        <v>42249</v>
      </c>
      <c r="H211" s="977">
        <v>3</v>
      </c>
      <c r="I211" s="947">
        <f t="shared" si="107"/>
        <v>53091</v>
      </c>
      <c r="J211" s="947">
        <f t="shared" si="108"/>
        <v>5309.1</v>
      </c>
      <c r="K211" s="978"/>
      <c r="L211" s="978"/>
      <c r="M211" s="978"/>
      <c r="N211" s="978"/>
      <c r="O211" s="978"/>
      <c r="P211" s="978"/>
      <c r="Q211" s="978"/>
      <c r="R211" s="978"/>
      <c r="S211" s="947">
        <f t="shared" si="109"/>
        <v>5309.1</v>
      </c>
      <c r="T211" s="947">
        <f t="shared" si="110"/>
        <v>58400.1</v>
      </c>
      <c r="U211" s="947">
        <f t="shared" si="111"/>
        <v>5840.01</v>
      </c>
      <c r="V211" s="947">
        <f t="shared" si="132"/>
        <v>5139.2088000000003</v>
      </c>
      <c r="W211" s="947">
        <f t="shared" si="113"/>
        <v>1168.002</v>
      </c>
      <c r="X211" s="947">
        <f t="shared" si="114"/>
        <v>46252.879199999996</v>
      </c>
      <c r="Y211" s="947">
        <f t="shared" si="115"/>
        <v>700801.2</v>
      </c>
      <c r="Z211" s="947">
        <f t="shared" si="126"/>
        <v>106182</v>
      </c>
      <c r="AA211" s="947">
        <f t="shared" si="117"/>
        <v>806983.2</v>
      </c>
      <c r="AB211" s="947">
        <f t="shared" si="128"/>
        <v>42035.330160000005</v>
      </c>
      <c r="AC211" s="947">
        <f t="shared" si="129"/>
        <v>36314.243999999999</v>
      </c>
      <c r="AD211" s="947">
        <f t="shared" si="119"/>
        <v>21024.035999999996</v>
      </c>
      <c r="AE211" s="947">
        <f t="shared" si="120"/>
        <v>36314.243999999999</v>
      </c>
      <c r="AF211" s="947">
        <f t="shared" si="121"/>
        <v>942671.05415999983</v>
      </c>
      <c r="AG211" s="947" t="s">
        <v>3</v>
      </c>
    </row>
    <row r="212" spans="1:33">
      <c r="A212" s="918">
        <v>159</v>
      </c>
      <c r="B212" s="982" t="s">
        <v>523</v>
      </c>
      <c r="C212" s="982" t="s">
        <v>530</v>
      </c>
      <c r="D212" s="1555"/>
      <c r="E212" s="944">
        <v>1</v>
      </c>
      <c r="F212" s="944"/>
      <c r="G212" s="945">
        <v>44827</v>
      </c>
      <c r="H212" s="977">
        <v>3</v>
      </c>
      <c r="I212" s="947">
        <f t="shared" si="107"/>
        <v>53091</v>
      </c>
      <c r="J212" s="947">
        <f t="shared" si="108"/>
        <v>5309.1</v>
      </c>
      <c r="K212" s="978"/>
      <c r="L212" s="978"/>
      <c r="M212" s="978"/>
      <c r="N212" s="978"/>
      <c r="O212" s="978"/>
      <c r="P212" s="978"/>
      <c r="Q212" s="978"/>
      <c r="R212" s="978"/>
      <c r="S212" s="947">
        <f t="shared" si="109"/>
        <v>5309.1</v>
      </c>
      <c r="T212" s="947">
        <f t="shared" si="110"/>
        <v>58400.1</v>
      </c>
      <c r="U212" s="947">
        <f t="shared" si="111"/>
        <v>5840.01</v>
      </c>
      <c r="V212" s="947">
        <f t="shared" si="132"/>
        <v>5139.2088000000003</v>
      </c>
      <c r="W212" s="947">
        <f t="shared" si="113"/>
        <v>1168.002</v>
      </c>
      <c r="X212" s="947">
        <f t="shared" si="114"/>
        <v>46252.879199999996</v>
      </c>
      <c r="Y212" s="947">
        <f t="shared" si="115"/>
        <v>700801.2</v>
      </c>
      <c r="Z212" s="947">
        <f t="shared" si="126"/>
        <v>106182</v>
      </c>
      <c r="AA212" s="947">
        <f t="shared" si="117"/>
        <v>806983.2</v>
      </c>
      <c r="AB212" s="947">
        <f t="shared" si="128"/>
        <v>42035.330160000005</v>
      </c>
      <c r="AC212" s="947">
        <f t="shared" si="129"/>
        <v>36314.243999999999</v>
      </c>
      <c r="AD212" s="947">
        <f t="shared" si="119"/>
        <v>21024.035999999996</v>
      </c>
      <c r="AE212" s="947">
        <f t="shared" si="120"/>
        <v>36314.243999999999</v>
      </c>
      <c r="AF212" s="947">
        <f t="shared" si="121"/>
        <v>942671.05415999983</v>
      </c>
      <c r="AG212" s="947" t="s">
        <v>3</v>
      </c>
    </row>
    <row r="213" spans="1:33" ht="31.5">
      <c r="A213" s="918">
        <v>160</v>
      </c>
      <c r="B213" s="982" t="s">
        <v>523</v>
      </c>
      <c r="C213" s="982" t="s">
        <v>531</v>
      </c>
      <c r="D213" s="1558"/>
      <c r="E213" s="944">
        <v>1</v>
      </c>
      <c r="F213" s="944"/>
      <c r="G213" s="945">
        <v>42614</v>
      </c>
      <c r="H213" s="977">
        <v>3</v>
      </c>
      <c r="I213" s="947">
        <f t="shared" si="107"/>
        <v>53091</v>
      </c>
      <c r="J213" s="947">
        <f t="shared" si="108"/>
        <v>5309.1</v>
      </c>
      <c r="K213" s="978"/>
      <c r="L213" s="978"/>
      <c r="M213" s="978"/>
      <c r="N213" s="978"/>
      <c r="O213" s="978"/>
      <c r="P213" s="978"/>
      <c r="Q213" s="978"/>
      <c r="R213" s="978"/>
      <c r="S213" s="947">
        <f t="shared" si="109"/>
        <v>5309.1</v>
      </c>
      <c r="T213" s="947">
        <f t="shared" si="110"/>
        <v>58400.1</v>
      </c>
      <c r="U213" s="947">
        <f t="shared" si="111"/>
        <v>5840.01</v>
      </c>
      <c r="V213" s="947">
        <f t="shared" si="132"/>
        <v>5139.2088000000003</v>
      </c>
      <c r="W213" s="947">
        <f t="shared" si="113"/>
        <v>1168.002</v>
      </c>
      <c r="X213" s="947">
        <f t="shared" si="114"/>
        <v>46252.879199999996</v>
      </c>
      <c r="Y213" s="947">
        <f t="shared" si="115"/>
        <v>700801.2</v>
      </c>
      <c r="Z213" s="947">
        <f t="shared" si="126"/>
        <v>106182</v>
      </c>
      <c r="AA213" s="947">
        <f t="shared" si="117"/>
        <v>806983.2</v>
      </c>
      <c r="AB213" s="947">
        <f t="shared" si="128"/>
        <v>42035.330160000005</v>
      </c>
      <c r="AC213" s="947">
        <f t="shared" si="129"/>
        <v>36314.243999999999</v>
      </c>
      <c r="AD213" s="947">
        <f t="shared" si="119"/>
        <v>21024.035999999996</v>
      </c>
      <c r="AE213" s="947">
        <f t="shared" si="120"/>
        <v>36314.243999999999</v>
      </c>
      <c r="AF213" s="947">
        <f t="shared" si="121"/>
        <v>942671.05415999983</v>
      </c>
      <c r="AG213" s="947" t="s">
        <v>3</v>
      </c>
    </row>
    <row r="214" spans="1:33" ht="31.5">
      <c r="A214" s="918">
        <v>161</v>
      </c>
      <c r="B214" s="957" t="s">
        <v>532</v>
      </c>
      <c r="C214" s="957" t="s">
        <v>533</v>
      </c>
      <c r="D214" s="1557">
        <v>2</v>
      </c>
      <c r="E214" s="944">
        <v>1</v>
      </c>
      <c r="F214" s="944"/>
      <c r="G214" s="945">
        <v>44645</v>
      </c>
      <c r="H214" s="977">
        <v>3</v>
      </c>
      <c r="I214" s="947">
        <f t="shared" si="107"/>
        <v>53091</v>
      </c>
      <c r="J214" s="947">
        <f t="shared" si="108"/>
        <v>5309.1</v>
      </c>
      <c r="K214" s="978"/>
      <c r="L214" s="978"/>
      <c r="M214" s="978"/>
      <c r="N214" s="978"/>
      <c r="O214" s="978"/>
      <c r="P214" s="978"/>
      <c r="Q214" s="978"/>
      <c r="R214" s="978"/>
      <c r="S214" s="947">
        <f t="shared" si="109"/>
        <v>5309.1</v>
      </c>
      <c r="T214" s="947">
        <f t="shared" si="110"/>
        <v>58400.1</v>
      </c>
      <c r="U214" s="947">
        <f t="shared" si="111"/>
        <v>5840.01</v>
      </c>
      <c r="V214" s="947">
        <f t="shared" si="132"/>
        <v>5139.2088000000003</v>
      </c>
      <c r="W214" s="947">
        <f t="shared" si="113"/>
        <v>1168.002</v>
      </c>
      <c r="X214" s="947">
        <f t="shared" si="114"/>
        <v>46252.879199999996</v>
      </c>
      <c r="Y214" s="947">
        <f t="shared" si="115"/>
        <v>700801.2</v>
      </c>
      <c r="Z214" s="947">
        <f t="shared" si="126"/>
        <v>106182</v>
      </c>
      <c r="AA214" s="947">
        <f t="shared" si="117"/>
        <v>806983.2</v>
      </c>
      <c r="AB214" s="947">
        <f t="shared" si="128"/>
        <v>42035.330160000005</v>
      </c>
      <c r="AC214" s="947">
        <f t="shared" si="129"/>
        <v>36314.243999999999</v>
      </c>
      <c r="AD214" s="947">
        <f t="shared" si="119"/>
        <v>21024.035999999996</v>
      </c>
      <c r="AE214" s="947">
        <f t="shared" si="120"/>
        <v>36314.243999999999</v>
      </c>
      <c r="AF214" s="947">
        <f t="shared" si="121"/>
        <v>942671.05415999983</v>
      </c>
      <c r="AG214" s="947" t="s">
        <v>3</v>
      </c>
    </row>
    <row r="215" spans="1:33">
      <c r="A215" s="918">
        <v>162</v>
      </c>
      <c r="B215" s="957" t="s">
        <v>532</v>
      </c>
      <c r="C215" s="976" t="s">
        <v>534</v>
      </c>
      <c r="D215" s="1558"/>
      <c r="E215" s="944">
        <v>1</v>
      </c>
      <c r="F215" s="944"/>
      <c r="G215" s="945">
        <v>44874</v>
      </c>
      <c r="H215" s="977">
        <v>3</v>
      </c>
      <c r="I215" s="947">
        <f t="shared" si="107"/>
        <v>53091</v>
      </c>
      <c r="J215" s="947">
        <f t="shared" si="108"/>
        <v>5309.1</v>
      </c>
      <c r="K215" s="978"/>
      <c r="L215" s="978"/>
      <c r="M215" s="978"/>
      <c r="N215" s="978"/>
      <c r="O215" s="978"/>
      <c r="P215" s="978"/>
      <c r="Q215" s="978"/>
      <c r="R215" s="978"/>
      <c r="S215" s="947">
        <f t="shared" si="109"/>
        <v>5309.1</v>
      </c>
      <c r="T215" s="947">
        <f t="shared" si="110"/>
        <v>58400.1</v>
      </c>
      <c r="U215" s="947">
        <f t="shared" si="111"/>
        <v>5840.01</v>
      </c>
      <c r="V215" s="947">
        <f t="shared" si="132"/>
        <v>5139.2088000000003</v>
      </c>
      <c r="W215" s="947">
        <f t="shared" si="113"/>
        <v>1168.002</v>
      </c>
      <c r="X215" s="947">
        <f t="shared" si="114"/>
        <v>46252.879199999996</v>
      </c>
      <c r="Y215" s="947">
        <f t="shared" si="115"/>
        <v>700801.2</v>
      </c>
      <c r="Z215" s="947">
        <f t="shared" si="126"/>
        <v>106182</v>
      </c>
      <c r="AA215" s="947">
        <f t="shared" si="117"/>
        <v>806983.2</v>
      </c>
      <c r="AB215" s="947">
        <f t="shared" si="128"/>
        <v>42035.330160000005</v>
      </c>
      <c r="AC215" s="947">
        <f t="shared" si="129"/>
        <v>36314.243999999999</v>
      </c>
      <c r="AD215" s="947">
        <f t="shared" si="119"/>
        <v>21024.035999999996</v>
      </c>
      <c r="AE215" s="947">
        <f t="shared" si="120"/>
        <v>36314.243999999999</v>
      </c>
      <c r="AF215" s="947">
        <f t="shared" si="121"/>
        <v>942671.05415999983</v>
      </c>
      <c r="AG215" s="947" t="s">
        <v>3</v>
      </c>
    </row>
    <row r="216" spans="1:33" ht="20.25" customHeight="1">
      <c r="B216" s="919" t="s">
        <v>830</v>
      </c>
      <c r="C216" s="920"/>
      <c r="D216" s="921">
        <f>SUM(D174:D198)</f>
        <v>25</v>
      </c>
      <c r="E216" s="921">
        <f>SUM(E174:E198)</f>
        <v>25</v>
      </c>
      <c r="F216" s="921">
        <f>SUM(F174:F198)</f>
        <v>0</v>
      </c>
      <c r="G216" s="921"/>
      <c r="H216" s="921"/>
      <c r="I216" s="924">
        <f>SUM(I174:I215)</f>
        <v>8883894</v>
      </c>
      <c r="J216" s="924">
        <f t="shared" ref="J216:AF216" si="133">SUM(J174:J215)</f>
        <v>888389.39999999956</v>
      </c>
      <c r="K216" s="924">
        <f t="shared" si="133"/>
        <v>165920</v>
      </c>
      <c r="L216" s="924">
        <f t="shared" si="133"/>
        <v>0</v>
      </c>
      <c r="M216" s="924">
        <f t="shared" si="133"/>
        <v>828219.6</v>
      </c>
      <c r="N216" s="924">
        <f t="shared" si="133"/>
        <v>54860.700000000004</v>
      </c>
      <c r="O216" s="924">
        <f t="shared" si="133"/>
        <v>0</v>
      </c>
      <c r="P216" s="924">
        <f t="shared" si="133"/>
        <v>0</v>
      </c>
      <c r="Q216" s="924">
        <f t="shared" si="133"/>
        <v>0</v>
      </c>
      <c r="R216" s="924">
        <f t="shared" si="133"/>
        <v>0</v>
      </c>
      <c r="S216" s="924">
        <f t="shared" si="133"/>
        <v>1937389.700000002</v>
      </c>
      <c r="T216" s="924">
        <f t="shared" si="133"/>
        <v>10821283.699999994</v>
      </c>
      <c r="U216" s="924">
        <f t="shared" si="133"/>
        <v>1082128.3699999999</v>
      </c>
      <c r="V216" s="924">
        <f t="shared" si="133"/>
        <v>772249.76559999981</v>
      </c>
      <c r="W216" s="924">
        <f t="shared" si="133"/>
        <v>216425.67400000017</v>
      </c>
      <c r="X216" s="924">
        <f t="shared" si="133"/>
        <v>8750479.8904000018</v>
      </c>
      <c r="Y216" s="924">
        <f t="shared" si="133"/>
        <v>129855404.40000005</v>
      </c>
      <c r="Z216" s="924">
        <f t="shared" si="133"/>
        <v>10140381</v>
      </c>
      <c r="AA216" s="924">
        <f t="shared" si="133"/>
        <v>139995785.39999995</v>
      </c>
      <c r="AB216" s="924">
        <f t="shared" si="133"/>
        <v>7274090.5219200077</v>
      </c>
      <c r="AC216" s="924">
        <f t="shared" si="133"/>
        <v>6299810.3430000013</v>
      </c>
      <c r="AD216" s="924">
        <f t="shared" si="133"/>
        <v>3895662.1319999974</v>
      </c>
      <c r="AE216" s="924">
        <f t="shared" si="133"/>
        <v>6299810.3430000003</v>
      </c>
      <c r="AF216" s="924">
        <f t="shared" si="133"/>
        <v>163765158.73991993</v>
      </c>
      <c r="AG216" s="924"/>
    </row>
    <row r="217" spans="1:33" ht="22.5" customHeight="1">
      <c r="A217" s="1544" t="s">
        <v>474</v>
      </c>
      <c r="B217" s="1544"/>
      <c r="C217" s="1544"/>
      <c r="D217" s="1544"/>
      <c r="E217" s="1544"/>
      <c r="F217" s="1544"/>
      <c r="G217" s="1544"/>
      <c r="H217" s="1544"/>
      <c r="I217" s="1544"/>
      <c r="J217" s="1544"/>
      <c r="K217" s="1544"/>
      <c r="L217" s="1544"/>
      <c r="M217" s="1544"/>
      <c r="N217" s="1544"/>
      <c r="O217" s="1544"/>
      <c r="P217" s="1544"/>
      <c r="Q217" s="1544"/>
      <c r="R217" s="1544"/>
      <c r="S217" s="1544"/>
      <c r="T217" s="1544"/>
      <c r="U217" s="1544"/>
      <c r="V217" s="1544"/>
      <c r="W217" s="1544"/>
      <c r="X217" s="1544"/>
      <c r="Y217" s="1544"/>
      <c r="Z217" s="1544"/>
      <c r="AA217" s="1544"/>
      <c r="AB217" s="1544"/>
      <c r="AC217" s="1544"/>
      <c r="AD217" s="1544"/>
      <c r="AE217" s="1544"/>
      <c r="AF217" s="1544"/>
      <c r="AG217" s="1544"/>
    </row>
    <row r="218" spans="1:33" ht="31.5">
      <c r="A218" s="974">
        <v>146</v>
      </c>
      <c r="B218" s="893" t="s">
        <v>19</v>
      </c>
      <c r="C218" s="983" t="s">
        <v>2358</v>
      </c>
      <c r="D218" s="918">
        <v>1</v>
      </c>
      <c r="E218" s="918">
        <v>1</v>
      </c>
      <c r="F218" s="918"/>
      <c r="G218" s="918"/>
      <c r="H218" s="918">
        <v>16</v>
      </c>
      <c r="I218" s="892">
        <f>17697*H218</f>
        <v>283152</v>
      </c>
      <c r="J218" s="892">
        <f t="shared" ref="J218" si="134">I218*10%</f>
        <v>28315.200000000001</v>
      </c>
      <c r="K218" s="924"/>
      <c r="L218" s="924"/>
      <c r="M218" s="924"/>
      <c r="N218" s="924"/>
      <c r="O218" s="924"/>
      <c r="P218" s="924"/>
      <c r="Q218" s="924"/>
      <c r="R218" s="924"/>
      <c r="S218" s="892">
        <f t="shared" ref="S218" si="135">SUM(J218:R218)</f>
        <v>28315.200000000001</v>
      </c>
      <c r="T218" s="892">
        <f t="shared" ref="T218" si="136">I218+S218</f>
        <v>311467.2</v>
      </c>
      <c r="U218" s="892">
        <f t="shared" ref="U218" si="137">T218*10%</f>
        <v>31146.720000000001</v>
      </c>
      <c r="V218" s="892">
        <f>((T218-U218-W218)-(14*4148))*10%</f>
        <v>21601.9136</v>
      </c>
      <c r="W218" s="892">
        <f t="shared" ref="W218" si="138">T218*2%</f>
        <v>6229.3440000000001</v>
      </c>
      <c r="X218" s="892">
        <f t="shared" ref="X218" si="139">T218-U218-V218-W218</f>
        <v>252489.22239999997</v>
      </c>
      <c r="Y218" s="892">
        <f t="shared" ref="Y218" si="140">T218*12</f>
        <v>3737606.4000000004</v>
      </c>
      <c r="Z218" s="892">
        <f t="shared" ref="Z218" si="141">I218</f>
        <v>283152</v>
      </c>
      <c r="AA218" s="892">
        <f t="shared" ref="AA218" si="142">Y218+Z218</f>
        <v>4020758.4000000004</v>
      </c>
      <c r="AB218" s="892">
        <f>(AA218*0.9-(W218*12))*11%-AC218</f>
        <v>208898.21952000004</v>
      </c>
      <c r="AC218" s="892">
        <f>AA218*0.9*5%</f>
        <v>180934.12800000003</v>
      </c>
      <c r="AD218" s="892">
        <f t="shared" ref="AD218" si="143">Y218*3%</f>
        <v>112128.19200000001</v>
      </c>
      <c r="AE218" s="892">
        <f>AA218*4.5%</f>
        <v>180934.128</v>
      </c>
      <c r="AF218" s="892">
        <f t="shared" ref="AF218" si="144">AA218+AB218+AC218+AD218+AE218</f>
        <v>4703653.0675199991</v>
      </c>
      <c r="AG218" s="892" t="s">
        <v>3</v>
      </c>
    </row>
    <row r="219" spans="1:33" ht="20.25" customHeight="1">
      <c r="B219" s="919" t="s">
        <v>831</v>
      </c>
      <c r="C219" s="920"/>
      <c r="D219" s="921">
        <f>SUM(D218)</f>
        <v>1</v>
      </c>
      <c r="E219" s="921">
        <v>1</v>
      </c>
      <c r="F219" s="921">
        <f t="shared" ref="F219:AF219" si="145">SUM(F218)</f>
        <v>0</v>
      </c>
      <c r="G219" s="921"/>
      <c r="H219" s="921"/>
      <c r="I219" s="924">
        <f t="shared" si="145"/>
        <v>283152</v>
      </c>
      <c r="J219" s="924">
        <f t="shared" si="145"/>
        <v>28315.200000000001</v>
      </c>
      <c r="K219" s="924">
        <f t="shared" si="145"/>
        <v>0</v>
      </c>
      <c r="L219" s="924">
        <f t="shared" si="145"/>
        <v>0</v>
      </c>
      <c r="M219" s="924">
        <f t="shared" si="145"/>
        <v>0</v>
      </c>
      <c r="N219" s="924">
        <f t="shared" si="145"/>
        <v>0</v>
      </c>
      <c r="O219" s="924">
        <f t="shared" si="145"/>
        <v>0</v>
      </c>
      <c r="P219" s="924">
        <f t="shared" si="145"/>
        <v>0</v>
      </c>
      <c r="Q219" s="924">
        <f t="shared" si="145"/>
        <v>0</v>
      </c>
      <c r="R219" s="924">
        <f t="shared" si="145"/>
        <v>0</v>
      </c>
      <c r="S219" s="924">
        <f t="shared" si="145"/>
        <v>28315.200000000001</v>
      </c>
      <c r="T219" s="924">
        <f t="shared" si="145"/>
        <v>311467.2</v>
      </c>
      <c r="U219" s="924">
        <f t="shared" si="145"/>
        <v>31146.720000000001</v>
      </c>
      <c r="V219" s="924">
        <f t="shared" si="145"/>
        <v>21601.9136</v>
      </c>
      <c r="W219" s="924">
        <f t="shared" si="145"/>
        <v>6229.3440000000001</v>
      </c>
      <c r="X219" s="924">
        <f t="shared" si="145"/>
        <v>252489.22239999997</v>
      </c>
      <c r="Y219" s="924">
        <f t="shared" si="145"/>
        <v>3737606.4000000004</v>
      </c>
      <c r="Z219" s="924">
        <f t="shared" si="145"/>
        <v>283152</v>
      </c>
      <c r="AA219" s="924">
        <f t="shared" si="145"/>
        <v>4020758.4000000004</v>
      </c>
      <c r="AB219" s="924">
        <f t="shared" si="145"/>
        <v>208898.21952000004</v>
      </c>
      <c r="AC219" s="924">
        <f t="shared" si="145"/>
        <v>180934.12800000003</v>
      </c>
      <c r="AD219" s="924">
        <f t="shared" si="145"/>
        <v>112128.19200000001</v>
      </c>
      <c r="AE219" s="924">
        <f t="shared" si="145"/>
        <v>180934.128</v>
      </c>
      <c r="AF219" s="924">
        <f t="shared" si="145"/>
        <v>4703653.0675199991</v>
      </c>
      <c r="AG219" s="921"/>
    </row>
    <row r="220" spans="1:33" ht="20.25" customHeight="1">
      <c r="A220" s="1544" t="s">
        <v>535</v>
      </c>
      <c r="B220" s="1544"/>
      <c r="C220" s="1544"/>
      <c r="D220" s="1544"/>
      <c r="E220" s="1544"/>
      <c r="F220" s="1544"/>
      <c r="G220" s="1544"/>
      <c r="H220" s="1544"/>
      <c r="I220" s="1544"/>
      <c r="J220" s="1544"/>
      <c r="K220" s="1544"/>
      <c r="L220" s="1544"/>
      <c r="M220" s="1544"/>
      <c r="N220" s="1544"/>
      <c r="O220" s="1544"/>
      <c r="P220" s="1544"/>
      <c r="Q220" s="1544"/>
      <c r="R220" s="1544"/>
      <c r="S220" s="1544"/>
      <c r="T220" s="1544"/>
      <c r="U220" s="1544"/>
      <c r="V220" s="1544"/>
      <c r="W220" s="1544"/>
      <c r="X220" s="1544"/>
      <c r="Y220" s="1544"/>
      <c r="Z220" s="1544"/>
      <c r="AA220" s="1544"/>
      <c r="AB220" s="1544"/>
      <c r="AC220" s="1544"/>
      <c r="AD220" s="1544"/>
      <c r="AE220" s="1544"/>
      <c r="AF220" s="1544"/>
      <c r="AG220" s="1544"/>
    </row>
    <row r="221" spans="1:33" ht="36.75" customHeight="1">
      <c r="A221" s="885">
        <v>147</v>
      </c>
      <c r="B221" s="909" t="s">
        <v>838</v>
      </c>
      <c r="C221" s="909" t="s">
        <v>536</v>
      </c>
      <c r="D221" s="885">
        <v>1</v>
      </c>
      <c r="E221" s="984">
        <v>1</v>
      </c>
      <c r="F221" s="985"/>
      <c r="G221" s="888">
        <v>42719</v>
      </c>
      <c r="H221" s="911">
        <v>23</v>
      </c>
      <c r="I221" s="892">
        <f>E221*17697*H221</f>
        <v>407031</v>
      </c>
      <c r="J221" s="892">
        <f t="shared" ref="J221:J231" si="146">I221*10%</f>
        <v>40703.100000000006</v>
      </c>
      <c r="K221" s="985"/>
      <c r="L221" s="985"/>
      <c r="M221" s="985"/>
      <c r="N221" s="985"/>
      <c r="O221" s="985"/>
      <c r="P221" s="985"/>
      <c r="Q221" s="985"/>
      <c r="R221" s="985"/>
      <c r="S221" s="892">
        <f t="shared" ref="S221" si="147">SUM(J221:R221)</f>
        <v>40703.100000000006</v>
      </c>
      <c r="T221" s="892">
        <f t="shared" ref="T221:T231" si="148">I221+S221</f>
        <v>447734.1</v>
      </c>
      <c r="U221" s="892">
        <f t="shared" ref="U221:U231" si="149">T221*10%</f>
        <v>44773.41</v>
      </c>
      <c r="V221" s="892">
        <f t="shared" ref="V221:V231" si="150">((T221-U221-W221)-(14*4148))*10%</f>
        <v>33593.400799999996</v>
      </c>
      <c r="W221" s="892">
        <f t="shared" ref="W221:W231" si="151">T221*2%</f>
        <v>8954.6819999999989</v>
      </c>
      <c r="X221" s="892">
        <f t="shared" ref="X221:X231" si="152">T221-U221-V221-W221</f>
        <v>360412.60719999997</v>
      </c>
      <c r="Y221" s="892">
        <f t="shared" ref="Y221:Y231" si="153">T221*12</f>
        <v>5372809.1999999993</v>
      </c>
      <c r="Z221" s="892">
        <f t="shared" ref="Z221:Z231" si="154">I221</f>
        <v>407031</v>
      </c>
      <c r="AA221" s="892">
        <f t="shared" ref="AA221:AA231" si="155">Y221+Z221</f>
        <v>5779840.1999999993</v>
      </c>
      <c r="AB221" s="892">
        <f t="shared" ref="AB221:AB231" si="156">(AA221*0.9-(W221*12))*11%-AC221</f>
        <v>300291.1905599999</v>
      </c>
      <c r="AC221" s="892">
        <f>AA221*0.9*5%</f>
        <v>260092.80900000001</v>
      </c>
      <c r="AD221" s="892">
        <f t="shared" ref="AD221:AD231" si="157">Y221*3%</f>
        <v>161184.27599999998</v>
      </c>
      <c r="AE221" s="892">
        <f>AA221*4.5%+105180.77</f>
        <v>365273.57899999997</v>
      </c>
      <c r="AF221" s="892">
        <f t="shared" ref="AF221:AF231" si="158">AA221+AB221+AC221+AD221+AE221</f>
        <v>6866682.0545599991</v>
      </c>
      <c r="AG221" s="892" t="s">
        <v>3</v>
      </c>
    </row>
    <row r="222" spans="1:33">
      <c r="A222" s="885">
        <v>148</v>
      </c>
      <c r="B222" s="932" t="s">
        <v>490</v>
      </c>
      <c r="C222" s="932" t="s">
        <v>833</v>
      </c>
      <c r="D222" s="885">
        <v>1</v>
      </c>
      <c r="E222" s="986">
        <v>1</v>
      </c>
      <c r="F222" s="985"/>
      <c r="G222" s="985"/>
      <c r="H222" s="987">
        <v>15</v>
      </c>
      <c r="I222" s="892">
        <f>17697*H222</f>
        <v>265455</v>
      </c>
      <c r="J222" s="892">
        <f t="shared" si="146"/>
        <v>26545.5</v>
      </c>
      <c r="K222" s="985"/>
      <c r="L222" s="985"/>
      <c r="M222" s="985"/>
      <c r="N222" s="985"/>
      <c r="O222" s="985"/>
      <c r="P222" s="985"/>
      <c r="Q222" s="985"/>
      <c r="R222" s="985"/>
      <c r="S222" s="892">
        <f t="shared" ref="S222:S231" si="159">SUM(J222:R222)</f>
        <v>26545.5</v>
      </c>
      <c r="T222" s="892">
        <f t="shared" si="148"/>
        <v>292000.5</v>
      </c>
      <c r="U222" s="892">
        <f t="shared" si="149"/>
        <v>29200.050000000003</v>
      </c>
      <c r="V222" s="892">
        <f t="shared" si="150"/>
        <v>19888.844000000001</v>
      </c>
      <c r="W222" s="892">
        <f t="shared" si="151"/>
        <v>5840.01</v>
      </c>
      <c r="X222" s="892">
        <f t="shared" si="152"/>
        <v>237071.59599999999</v>
      </c>
      <c r="Y222" s="892">
        <f t="shared" si="153"/>
        <v>3504006</v>
      </c>
      <c r="Z222" s="892">
        <f t="shared" si="154"/>
        <v>265455</v>
      </c>
      <c r="AA222" s="892">
        <f t="shared" si="155"/>
        <v>3769461</v>
      </c>
      <c r="AB222" s="892">
        <f t="shared" si="156"/>
        <v>195842.0808</v>
      </c>
      <c r="AC222" s="892">
        <f t="shared" ref="AC222:AC231" si="160">AA222*0.9*5%</f>
        <v>169625.745</v>
      </c>
      <c r="AD222" s="892">
        <f t="shared" si="157"/>
        <v>105120.18</v>
      </c>
      <c r="AE222" s="892">
        <f t="shared" ref="AE222:AE231" si="161">AA222*4.5%</f>
        <v>169625.745</v>
      </c>
      <c r="AF222" s="892">
        <f t="shared" si="158"/>
        <v>4409674.7508000005</v>
      </c>
      <c r="AG222" s="892" t="s">
        <v>3</v>
      </c>
    </row>
    <row r="223" spans="1:33">
      <c r="A223" s="885">
        <v>149</v>
      </c>
      <c r="B223" s="915" t="s">
        <v>537</v>
      </c>
      <c r="C223" s="932" t="s">
        <v>494</v>
      </c>
      <c r="D223" s="885">
        <v>1</v>
      </c>
      <c r="E223" s="988">
        <v>1</v>
      </c>
      <c r="F223" s="985"/>
      <c r="G223" s="985"/>
      <c r="H223" s="913">
        <v>15</v>
      </c>
      <c r="I223" s="892">
        <f>17697*H223</f>
        <v>265455</v>
      </c>
      <c r="J223" s="892">
        <f t="shared" si="146"/>
        <v>26545.5</v>
      </c>
      <c r="K223" s="985"/>
      <c r="L223" s="985"/>
      <c r="M223" s="985"/>
      <c r="N223" s="985"/>
      <c r="O223" s="985"/>
      <c r="P223" s="985"/>
      <c r="Q223" s="985"/>
      <c r="R223" s="985"/>
      <c r="S223" s="892">
        <f t="shared" si="159"/>
        <v>26545.5</v>
      </c>
      <c r="T223" s="892">
        <f t="shared" si="148"/>
        <v>292000.5</v>
      </c>
      <c r="U223" s="892">
        <f t="shared" si="149"/>
        <v>29200.050000000003</v>
      </c>
      <c r="V223" s="892">
        <f t="shared" si="150"/>
        <v>19888.844000000001</v>
      </c>
      <c r="W223" s="892">
        <f t="shared" si="151"/>
        <v>5840.01</v>
      </c>
      <c r="X223" s="892">
        <f t="shared" si="152"/>
        <v>237071.59599999999</v>
      </c>
      <c r="Y223" s="892">
        <f t="shared" si="153"/>
        <v>3504006</v>
      </c>
      <c r="Z223" s="892">
        <f t="shared" si="154"/>
        <v>265455</v>
      </c>
      <c r="AA223" s="892">
        <f t="shared" si="155"/>
        <v>3769461</v>
      </c>
      <c r="AB223" s="892">
        <f t="shared" si="156"/>
        <v>195842.0808</v>
      </c>
      <c r="AC223" s="892">
        <f t="shared" si="160"/>
        <v>169625.745</v>
      </c>
      <c r="AD223" s="892">
        <f t="shared" si="157"/>
        <v>105120.18</v>
      </c>
      <c r="AE223" s="892">
        <f t="shared" si="161"/>
        <v>169625.745</v>
      </c>
      <c r="AF223" s="892">
        <f t="shared" si="158"/>
        <v>4409674.7508000005</v>
      </c>
      <c r="AG223" s="892" t="s">
        <v>3</v>
      </c>
    </row>
    <row r="224" spans="1:33">
      <c r="A224" s="885">
        <v>150</v>
      </c>
      <c r="B224" s="915" t="s">
        <v>15</v>
      </c>
      <c r="C224" s="989" t="s">
        <v>839</v>
      </c>
      <c r="D224" s="885">
        <v>1</v>
      </c>
      <c r="E224" s="988">
        <v>1</v>
      </c>
      <c r="F224" s="985"/>
      <c r="G224" s="901">
        <v>45231</v>
      </c>
      <c r="H224" s="913">
        <v>12</v>
      </c>
      <c r="I224" s="892">
        <f t="shared" ref="I224:I231" si="162">E224*17697*H224</f>
        <v>212364</v>
      </c>
      <c r="J224" s="892">
        <f t="shared" si="146"/>
        <v>21236.400000000001</v>
      </c>
      <c r="K224" s="985"/>
      <c r="L224" s="985"/>
      <c r="M224" s="985"/>
      <c r="N224" s="985"/>
      <c r="O224" s="985"/>
      <c r="P224" s="985"/>
      <c r="Q224" s="985"/>
      <c r="R224" s="985"/>
      <c r="S224" s="892">
        <f t="shared" si="159"/>
        <v>21236.400000000001</v>
      </c>
      <c r="T224" s="892">
        <f t="shared" si="148"/>
        <v>233600.4</v>
      </c>
      <c r="U224" s="892">
        <f t="shared" si="149"/>
        <v>23360.04</v>
      </c>
      <c r="V224" s="892">
        <f t="shared" si="150"/>
        <v>14749.635199999999</v>
      </c>
      <c r="W224" s="892">
        <f t="shared" si="151"/>
        <v>4672.0079999999998</v>
      </c>
      <c r="X224" s="892">
        <f t="shared" si="152"/>
        <v>190818.71679999999</v>
      </c>
      <c r="Y224" s="892">
        <f t="shared" si="153"/>
        <v>2803204.8</v>
      </c>
      <c r="Z224" s="892">
        <f t="shared" si="154"/>
        <v>212364</v>
      </c>
      <c r="AA224" s="892">
        <f t="shared" si="155"/>
        <v>3015568.8</v>
      </c>
      <c r="AB224" s="892">
        <f t="shared" si="156"/>
        <v>156673.66464</v>
      </c>
      <c r="AC224" s="892">
        <f t="shared" si="160"/>
        <v>135700.59599999999</v>
      </c>
      <c r="AD224" s="892">
        <f t="shared" si="157"/>
        <v>84096.143999999986</v>
      </c>
      <c r="AE224" s="892">
        <f t="shared" si="161"/>
        <v>135700.59599999999</v>
      </c>
      <c r="AF224" s="892">
        <f t="shared" si="158"/>
        <v>3527739.8006399996</v>
      </c>
      <c r="AG224" s="892" t="s">
        <v>3</v>
      </c>
    </row>
    <row r="225" spans="1:33" ht="31.5">
      <c r="A225" s="885">
        <v>151</v>
      </c>
      <c r="B225" s="915" t="s">
        <v>53</v>
      </c>
      <c r="C225" s="990" t="s">
        <v>538</v>
      </c>
      <c r="D225" s="885">
        <v>1</v>
      </c>
      <c r="E225" s="988">
        <v>1</v>
      </c>
      <c r="F225" s="985"/>
      <c r="G225" s="888">
        <v>44868</v>
      </c>
      <c r="H225" s="913">
        <v>12</v>
      </c>
      <c r="I225" s="892">
        <f t="shared" si="162"/>
        <v>212364</v>
      </c>
      <c r="J225" s="892">
        <f t="shared" si="146"/>
        <v>21236.400000000001</v>
      </c>
      <c r="K225" s="985"/>
      <c r="L225" s="985"/>
      <c r="M225" s="985"/>
      <c r="N225" s="985"/>
      <c r="O225" s="985"/>
      <c r="P225" s="985"/>
      <c r="Q225" s="985"/>
      <c r="R225" s="985"/>
      <c r="S225" s="892">
        <f t="shared" si="159"/>
        <v>21236.400000000001</v>
      </c>
      <c r="T225" s="892">
        <f t="shared" si="148"/>
        <v>233600.4</v>
      </c>
      <c r="U225" s="892">
        <f t="shared" si="149"/>
        <v>23360.04</v>
      </c>
      <c r="V225" s="892">
        <f t="shared" si="150"/>
        <v>14749.635199999999</v>
      </c>
      <c r="W225" s="892">
        <f t="shared" si="151"/>
        <v>4672.0079999999998</v>
      </c>
      <c r="X225" s="892">
        <f t="shared" si="152"/>
        <v>190818.71679999999</v>
      </c>
      <c r="Y225" s="892">
        <f t="shared" si="153"/>
        <v>2803204.8</v>
      </c>
      <c r="Z225" s="892">
        <f t="shared" si="154"/>
        <v>212364</v>
      </c>
      <c r="AA225" s="892">
        <f t="shared" si="155"/>
        <v>3015568.8</v>
      </c>
      <c r="AB225" s="892">
        <f t="shared" si="156"/>
        <v>156673.66464</v>
      </c>
      <c r="AC225" s="892">
        <f t="shared" si="160"/>
        <v>135700.59599999999</v>
      </c>
      <c r="AD225" s="892">
        <f t="shared" si="157"/>
        <v>84096.143999999986</v>
      </c>
      <c r="AE225" s="892">
        <f t="shared" si="161"/>
        <v>135700.59599999999</v>
      </c>
      <c r="AF225" s="892">
        <f t="shared" si="158"/>
        <v>3527739.8006399996</v>
      </c>
      <c r="AG225" s="892" t="s">
        <v>3</v>
      </c>
    </row>
    <row r="226" spans="1:33" ht="47.25">
      <c r="A226" s="885">
        <v>152</v>
      </c>
      <c r="B226" s="915" t="s">
        <v>834</v>
      </c>
      <c r="C226" s="912" t="s">
        <v>538</v>
      </c>
      <c r="D226" s="885">
        <v>1</v>
      </c>
      <c r="E226" s="988">
        <v>1</v>
      </c>
      <c r="F226" s="985"/>
      <c r="G226" s="985"/>
      <c r="H226" s="913">
        <v>15</v>
      </c>
      <c r="I226" s="892">
        <f t="shared" si="162"/>
        <v>265455</v>
      </c>
      <c r="J226" s="892">
        <f t="shared" si="146"/>
        <v>26545.5</v>
      </c>
      <c r="K226" s="985"/>
      <c r="L226" s="985"/>
      <c r="M226" s="985"/>
      <c r="N226" s="985"/>
      <c r="O226" s="985"/>
      <c r="P226" s="985"/>
      <c r="Q226" s="985"/>
      <c r="R226" s="985"/>
      <c r="S226" s="892">
        <f t="shared" si="159"/>
        <v>26545.5</v>
      </c>
      <c r="T226" s="892">
        <f t="shared" si="148"/>
        <v>292000.5</v>
      </c>
      <c r="U226" s="892">
        <f t="shared" si="149"/>
        <v>29200.050000000003</v>
      </c>
      <c r="V226" s="892">
        <f t="shared" si="150"/>
        <v>19888.844000000001</v>
      </c>
      <c r="W226" s="892">
        <f t="shared" si="151"/>
        <v>5840.01</v>
      </c>
      <c r="X226" s="892">
        <f t="shared" si="152"/>
        <v>237071.59599999999</v>
      </c>
      <c r="Y226" s="892">
        <f t="shared" si="153"/>
        <v>3504006</v>
      </c>
      <c r="Z226" s="892">
        <f t="shared" si="154"/>
        <v>265455</v>
      </c>
      <c r="AA226" s="892">
        <f t="shared" si="155"/>
        <v>3769461</v>
      </c>
      <c r="AB226" s="892">
        <f t="shared" si="156"/>
        <v>195842.0808</v>
      </c>
      <c r="AC226" s="892">
        <f t="shared" si="160"/>
        <v>169625.745</v>
      </c>
      <c r="AD226" s="892">
        <f t="shared" si="157"/>
        <v>105120.18</v>
      </c>
      <c r="AE226" s="892">
        <f t="shared" si="161"/>
        <v>169625.745</v>
      </c>
      <c r="AF226" s="892">
        <f t="shared" si="158"/>
        <v>4409674.7508000005</v>
      </c>
      <c r="AG226" s="892" t="s">
        <v>3</v>
      </c>
    </row>
    <row r="227" spans="1:33">
      <c r="A227" s="885">
        <v>153</v>
      </c>
      <c r="B227" s="909" t="s">
        <v>539</v>
      </c>
      <c r="C227" s="914" t="s">
        <v>540</v>
      </c>
      <c r="D227" s="885">
        <v>1</v>
      </c>
      <c r="E227" s="984">
        <v>1</v>
      </c>
      <c r="F227" s="985"/>
      <c r="G227" s="888">
        <v>44986</v>
      </c>
      <c r="H227" s="911">
        <v>13</v>
      </c>
      <c r="I227" s="892">
        <f t="shared" si="162"/>
        <v>230061</v>
      </c>
      <c r="J227" s="892">
        <f t="shared" si="146"/>
        <v>23006.100000000002</v>
      </c>
      <c r="K227" s="985"/>
      <c r="L227" s="985"/>
      <c r="M227" s="985"/>
      <c r="N227" s="985"/>
      <c r="O227" s="985"/>
      <c r="P227" s="985"/>
      <c r="Q227" s="985"/>
      <c r="R227" s="939">
        <f>17697*25%</f>
        <v>4424.25</v>
      </c>
      <c r="S227" s="892">
        <f t="shared" si="159"/>
        <v>27430.350000000002</v>
      </c>
      <c r="T227" s="892">
        <f t="shared" si="148"/>
        <v>257491.35</v>
      </c>
      <c r="U227" s="892">
        <f t="shared" si="149"/>
        <v>25749.135000000002</v>
      </c>
      <c r="V227" s="892">
        <f t="shared" si="150"/>
        <v>16852.038800000002</v>
      </c>
      <c r="W227" s="892">
        <f t="shared" si="151"/>
        <v>5149.8270000000002</v>
      </c>
      <c r="X227" s="892">
        <f t="shared" si="152"/>
        <v>209740.3492</v>
      </c>
      <c r="Y227" s="892">
        <f t="shared" si="153"/>
        <v>3089896.2</v>
      </c>
      <c r="Z227" s="892">
        <f t="shared" si="154"/>
        <v>230061</v>
      </c>
      <c r="AA227" s="892">
        <f t="shared" si="155"/>
        <v>3319957.2</v>
      </c>
      <c r="AB227" s="892">
        <f t="shared" si="156"/>
        <v>172479.91716000001</v>
      </c>
      <c r="AC227" s="892">
        <f t="shared" si="160"/>
        <v>149398.07400000002</v>
      </c>
      <c r="AD227" s="892">
        <f t="shared" si="157"/>
        <v>92696.885999999999</v>
      </c>
      <c r="AE227" s="892">
        <f t="shared" si="161"/>
        <v>149398.07399999999</v>
      </c>
      <c r="AF227" s="892">
        <f t="shared" si="158"/>
        <v>3883930.1511600004</v>
      </c>
      <c r="AG227" s="892" t="s">
        <v>3</v>
      </c>
    </row>
    <row r="228" spans="1:33" ht="31.5">
      <c r="A228" s="885">
        <v>154</v>
      </c>
      <c r="B228" s="909" t="s">
        <v>14</v>
      </c>
      <c r="C228" s="909" t="s">
        <v>541</v>
      </c>
      <c r="D228" s="1551">
        <v>4</v>
      </c>
      <c r="E228" s="984">
        <v>1</v>
      </c>
      <c r="F228" s="985"/>
      <c r="G228" s="888">
        <v>43468</v>
      </c>
      <c r="H228" s="911">
        <v>10</v>
      </c>
      <c r="I228" s="892">
        <f t="shared" si="162"/>
        <v>176970</v>
      </c>
      <c r="J228" s="892">
        <f t="shared" si="146"/>
        <v>17697</v>
      </c>
      <c r="K228" s="985"/>
      <c r="L228" s="985"/>
      <c r="M228" s="985"/>
      <c r="N228" s="985"/>
      <c r="O228" s="985"/>
      <c r="P228" s="939">
        <f>17697*30%</f>
        <v>5309.0999999999995</v>
      </c>
      <c r="Q228" s="985"/>
      <c r="R228" s="985"/>
      <c r="S228" s="892">
        <f t="shared" si="159"/>
        <v>23006.1</v>
      </c>
      <c r="T228" s="892">
        <f t="shared" si="148"/>
        <v>199976.1</v>
      </c>
      <c r="U228" s="892">
        <f t="shared" si="149"/>
        <v>19997.61</v>
      </c>
      <c r="V228" s="892">
        <f t="shared" si="150"/>
        <v>11790.6968</v>
      </c>
      <c r="W228" s="892">
        <f t="shared" si="151"/>
        <v>3999.5220000000004</v>
      </c>
      <c r="X228" s="892">
        <f t="shared" si="152"/>
        <v>164188.27119999999</v>
      </c>
      <c r="Y228" s="892">
        <f t="shared" si="153"/>
        <v>2399713.2000000002</v>
      </c>
      <c r="Z228" s="892">
        <f t="shared" si="154"/>
        <v>176970</v>
      </c>
      <c r="AA228" s="892">
        <f t="shared" si="155"/>
        <v>2576683.2000000002</v>
      </c>
      <c r="AB228" s="892">
        <f t="shared" si="156"/>
        <v>133861.52376000001</v>
      </c>
      <c r="AC228" s="892">
        <f t="shared" si="160"/>
        <v>115950.74400000002</v>
      </c>
      <c r="AD228" s="892">
        <f t="shared" si="157"/>
        <v>71991.396000000008</v>
      </c>
      <c r="AE228" s="892">
        <f t="shared" si="161"/>
        <v>115950.74400000001</v>
      </c>
      <c r="AF228" s="892">
        <f t="shared" si="158"/>
        <v>3014437.6077600005</v>
      </c>
      <c r="AG228" s="892" t="s">
        <v>3</v>
      </c>
    </row>
    <row r="229" spans="1:33" ht="31.5">
      <c r="A229" s="885">
        <v>155</v>
      </c>
      <c r="B229" s="909" t="s">
        <v>14</v>
      </c>
      <c r="C229" s="909" t="s">
        <v>542</v>
      </c>
      <c r="D229" s="1566"/>
      <c r="E229" s="984">
        <v>1.5</v>
      </c>
      <c r="F229" s="918"/>
      <c r="G229" s="888">
        <v>43332</v>
      </c>
      <c r="H229" s="911">
        <v>10</v>
      </c>
      <c r="I229" s="892">
        <f t="shared" si="162"/>
        <v>265455</v>
      </c>
      <c r="J229" s="892">
        <f t="shared" si="146"/>
        <v>26545.5</v>
      </c>
      <c r="K229" s="924"/>
      <c r="L229" s="924"/>
      <c r="M229" s="924"/>
      <c r="N229" s="924"/>
      <c r="O229" s="924"/>
      <c r="P229" s="939">
        <f t="shared" ref="P229:P230" si="163">17697*30%</f>
        <v>5309.0999999999995</v>
      </c>
      <c r="Q229" s="924"/>
      <c r="R229" s="924"/>
      <c r="S229" s="892">
        <f t="shared" si="159"/>
        <v>31854.6</v>
      </c>
      <c r="T229" s="892">
        <f t="shared" si="148"/>
        <v>297309.59999999998</v>
      </c>
      <c r="U229" s="892">
        <f t="shared" si="149"/>
        <v>29730.959999999999</v>
      </c>
      <c r="V229" s="892">
        <f t="shared" si="150"/>
        <v>20356.044799999996</v>
      </c>
      <c r="W229" s="892">
        <f t="shared" si="151"/>
        <v>5946.192</v>
      </c>
      <c r="X229" s="892">
        <f t="shared" si="152"/>
        <v>241276.40319999994</v>
      </c>
      <c r="Y229" s="892">
        <f t="shared" si="153"/>
        <v>3567715.1999999997</v>
      </c>
      <c r="Z229" s="892">
        <f t="shared" si="154"/>
        <v>265455</v>
      </c>
      <c r="AA229" s="892">
        <f t="shared" si="155"/>
        <v>3833170.1999999997</v>
      </c>
      <c r="AB229" s="892">
        <f t="shared" si="156"/>
        <v>199142.21736000001</v>
      </c>
      <c r="AC229" s="892">
        <f t="shared" si="160"/>
        <v>172492.65899999999</v>
      </c>
      <c r="AD229" s="892">
        <f t="shared" si="157"/>
        <v>107031.45599999999</v>
      </c>
      <c r="AE229" s="892">
        <f t="shared" si="161"/>
        <v>172492.65899999999</v>
      </c>
      <c r="AF229" s="892">
        <f t="shared" si="158"/>
        <v>4484329.1913600005</v>
      </c>
      <c r="AG229" s="892" t="s">
        <v>3</v>
      </c>
    </row>
    <row r="230" spans="1:33" ht="31.5">
      <c r="A230" s="885">
        <v>156</v>
      </c>
      <c r="B230" s="915" t="s">
        <v>14</v>
      </c>
      <c r="C230" s="966" t="s">
        <v>2359</v>
      </c>
      <c r="D230" s="1566"/>
      <c r="E230" s="988">
        <v>1.5</v>
      </c>
      <c r="F230" s="887"/>
      <c r="G230" s="888">
        <v>44811</v>
      </c>
      <c r="H230" s="913">
        <v>10</v>
      </c>
      <c r="I230" s="892">
        <f t="shared" si="162"/>
        <v>265455</v>
      </c>
      <c r="J230" s="892">
        <f t="shared" si="146"/>
        <v>26545.5</v>
      </c>
      <c r="K230" s="887"/>
      <c r="L230" s="887"/>
      <c r="M230" s="887"/>
      <c r="N230" s="887"/>
      <c r="O230" s="887"/>
      <c r="P230" s="939">
        <f t="shared" si="163"/>
        <v>5309.0999999999995</v>
      </c>
      <c r="Q230" s="923"/>
      <c r="R230" s="923"/>
      <c r="S230" s="892">
        <f t="shared" si="159"/>
        <v>31854.6</v>
      </c>
      <c r="T230" s="892">
        <f t="shared" si="148"/>
        <v>297309.59999999998</v>
      </c>
      <c r="U230" s="892">
        <f t="shared" si="149"/>
        <v>29730.959999999999</v>
      </c>
      <c r="V230" s="892">
        <f t="shared" si="150"/>
        <v>20356.044799999996</v>
      </c>
      <c r="W230" s="892">
        <f t="shared" si="151"/>
        <v>5946.192</v>
      </c>
      <c r="X230" s="892">
        <f t="shared" si="152"/>
        <v>241276.40319999994</v>
      </c>
      <c r="Y230" s="892">
        <f t="shared" si="153"/>
        <v>3567715.1999999997</v>
      </c>
      <c r="Z230" s="892">
        <f t="shared" si="154"/>
        <v>265455</v>
      </c>
      <c r="AA230" s="892">
        <f t="shared" si="155"/>
        <v>3833170.1999999997</v>
      </c>
      <c r="AB230" s="892">
        <f t="shared" si="156"/>
        <v>199142.21736000001</v>
      </c>
      <c r="AC230" s="892">
        <f t="shared" si="160"/>
        <v>172492.65899999999</v>
      </c>
      <c r="AD230" s="892">
        <f t="shared" si="157"/>
        <v>107031.45599999999</v>
      </c>
      <c r="AE230" s="892">
        <f t="shared" si="161"/>
        <v>172492.65899999999</v>
      </c>
      <c r="AF230" s="892">
        <f t="shared" si="158"/>
        <v>4484329.1913600005</v>
      </c>
      <c r="AG230" s="892" t="s">
        <v>3</v>
      </c>
    </row>
    <row r="231" spans="1:33" ht="19.5" customHeight="1">
      <c r="A231" s="885">
        <v>158</v>
      </c>
      <c r="B231" s="915" t="s">
        <v>543</v>
      </c>
      <c r="C231" s="915" t="s">
        <v>544</v>
      </c>
      <c r="D231" s="918">
        <v>1</v>
      </c>
      <c r="E231" s="988">
        <v>1</v>
      </c>
      <c r="F231" s="887"/>
      <c r="G231" s="888">
        <v>44987</v>
      </c>
      <c r="H231" s="913">
        <v>12</v>
      </c>
      <c r="I231" s="892">
        <f t="shared" si="162"/>
        <v>212364</v>
      </c>
      <c r="J231" s="892">
        <f t="shared" si="146"/>
        <v>21236.400000000001</v>
      </c>
      <c r="K231" s="887"/>
      <c r="L231" s="887"/>
      <c r="M231" s="887"/>
      <c r="N231" s="887"/>
      <c r="O231" s="887"/>
      <c r="P231" s="939">
        <f>17697*30%</f>
        <v>5309.0999999999995</v>
      </c>
      <c r="Q231" s="923"/>
      <c r="R231" s="923"/>
      <c r="S231" s="892">
        <f t="shared" si="159"/>
        <v>26545.5</v>
      </c>
      <c r="T231" s="892">
        <f t="shared" si="148"/>
        <v>238909.5</v>
      </c>
      <c r="U231" s="892">
        <f t="shared" si="149"/>
        <v>23890.95</v>
      </c>
      <c r="V231" s="892">
        <f t="shared" si="150"/>
        <v>15216.835999999999</v>
      </c>
      <c r="W231" s="892">
        <f t="shared" si="151"/>
        <v>4778.1900000000005</v>
      </c>
      <c r="X231" s="892">
        <f t="shared" si="152"/>
        <v>195023.52399999998</v>
      </c>
      <c r="Y231" s="892">
        <f t="shared" si="153"/>
        <v>2866914</v>
      </c>
      <c r="Z231" s="892">
        <f t="shared" si="154"/>
        <v>212364</v>
      </c>
      <c r="AA231" s="892">
        <f t="shared" si="155"/>
        <v>3079278</v>
      </c>
      <c r="AB231" s="892">
        <f t="shared" si="156"/>
        <v>159973.80120000005</v>
      </c>
      <c r="AC231" s="892">
        <f t="shared" si="160"/>
        <v>138567.51</v>
      </c>
      <c r="AD231" s="892">
        <f t="shared" si="157"/>
        <v>86007.42</v>
      </c>
      <c r="AE231" s="892">
        <f t="shared" si="161"/>
        <v>138567.51</v>
      </c>
      <c r="AF231" s="892">
        <f t="shared" si="158"/>
        <v>3602394.2412</v>
      </c>
      <c r="AG231" s="892" t="s">
        <v>3</v>
      </c>
    </row>
    <row r="232" spans="1:33" ht="24" customHeight="1">
      <c r="B232" s="919" t="s">
        <v>835</v>
      </c>
      <c r="C232" s="920"/>
      <c r="D232" s="921">
        <f>SUM(D221:D231)</f>
        <v>12</v>
      </c>
      <c r="E232" s="921">
        <f>SUM(E221:E231)</f>
        <v>12</v>
      </c>
      <c r="F232" s="921">
        <f>SUM(F221:F231)</f>
        <v>0</v>
      </c>
      <c r="G232" s="921"/>
      <c r="H232" s="921"/>
      <c r="I232" s="924">
        <f t="shared" ref="I232:AF232" si="164">SUM(I221:I231)</f>
        <v>2778429</v>
      </c>
      <c r="J232" s="924">
        <f t="shared" si="164"/>
        <v>277842.90000000002</v>
      </c>
      <c r="K232" s="924">
        <f t="shared" si="164"/>
        <v>0</v>
      </c>
      <c r="L232" s="924">
        <f t="shared" si="164"/>
        <v>0</v>
      </c>
      <c r="M232" s="924">
        <f t="shared" si="164"/>
        <v>0</v>
      </c>
      <c r="N232" s="924">
        <f t="shared" si="164"/>
        <v>0</v>
      </c>
      <c r="O232" s="924">
        <f t="shared" si="164"/>
        <v>0</v>
      </c>
      <c r="P232" s="924">
        <f t="shared" si="164"/>
        <v>21236.399999999998</v>
      </c>
      <c r="Q232" s="924">
        <f t="shared" si="164"/>
        <v>0</v>
      </c>
      <c r="R232" s="924">
        <f t="shared" si="164"/>
        <v>4424.25</v>
      </c>
      <c r="S232" s="924">
        <f t="shared" si="164"/>
        <v>303503.55</v>
      </c>
      <c r="T232" s="924">
        <f t="shared" si="164"/>
        <v>3081932.5500000003</v>
      </c>
      <c r="U232" s="924">
        <f t="shared" si="164"/>
        <v>308193.255</v>
      </c>
      <c r="V232" s="924">
        <f t="shared" si="164"/>
        <v>207330.86440000002</v>
      </c>
      <c r="W232" s="924">
        <f t="shared" si="164"/>
        <v>61638.651000000005</v>
      </c>
      <c r="X232" s="924">
        <f t="shared" si="164"/>
        <v>2504769.7796</v>
      </c>
      <c r="Y232" s="924">
        <f t="shared" si="164"/>
        <v>36983190.600000001</v>
      </c>
      <c r="Z232" s="924">
        <f t="shared" si="164"/>
        <v>2778429</v>
      </c>
      <c r="AA232" s="924">
        <f t="shared" si="164"/>
        <v>39761619.600000001</v>
      </c>
      <c r="AB232" s="924">
        <f t="shared" si="164"/>
        <v>2065764.4390799999</v>
      </c>
      <c r="AC232" s="924">
        <f t="shared" si="164"/>
        <v>1789272.882</v>
      </c>
      <c r="AD232" s="924">
        <f t="shared" si="164"/>
        <v>1109495.7179999999</v>
      </c>
      <c r="AE232" s="924">
        <f t="shared" si="164"/>
        <v>1894453.652</v>
      </c>
      <c r="AF232" s="924">
        <f t="shared" si="164"/>
        <v>46620606.291079998</v>
      </c>
      <c r="AG232" s="921"/>
    </row>
    <row r="233" spans="1:33" ht="26.25" customHeight="1">
      <c r="B233" s="919" t="s">
        <v>840</v>
      </c>
      <c r="C233" s="920"/>
      <c r="D233" s="921">
        <f t="shared" ref="D233:AF233" si="165">D232+D219+D216+D172+D168+D128+D123+D37</f>
        <v>149</v>
      </c>
      <c r="E233" s="921">
        <f t="shared" si="165"/>
        <v>149</v>
      </c>
      <c r="F233" s="921">
        <f t="shared" si="165"/>
        <v>0</v>
      </c>
      <c r="G233" s="921">
        <f t="shared" si="165"/>
        <v>0</v>
      </c>
      <c r="H233" s="921">
        <f t="shared" si="165"/>
        <v>0</v>
      </c>
      <c r="I233" s="924">
        <f t="shared" si="165"/>
        <v>53931607.5</v>
      </c>
      <c r="J233" s="924">
        <f t="shared" si="165"/>
        <v>5393160.7499999991</v>
      </c>
      <c r="K233" s="924">
        <f t="shared" si="165"/>
        <v>165920</v>
      </c>
      <c r="L233" s="924">
        <f t="shared" si="165"/>
        <v>0</v>
      </c>
      <c r="M233" s="924">
        <f t="shared" si="165"/>
        <v>962716.8</v>
      </c>
      <c r="N233" s="924">
        <f t="shared" si="165"/>
        <v>54860.700000000004</v>
      </c>
      <c r="O233" s="924">
        <f t="shared" si="165"/>
        <v>6193.95</v>
      </c>
      <c r="P233" s="924">
        <f t="shared" si="165"/>
        <v>122109.3</v>
      </c>
      <c r="Q233" s="924">
        <f t="shared" si="165"/>
        <v>24775.800000000003</v>
      </c>
      <c r="R233" s="924">
        <f t="shared" si="165"/>
        <v>17697</v>
      </c>
      <c r="S233" s="924">
        <f t="shared" si="165"/>
        <v>6747434.3000000007</v>
      </c>
      <c r="T233" s="924">
        <f t="shared" si="165"/>
        <v>60679041.799999975</v>
      </c>
      <c r="U233" s="924">
        <f t="shared" si="165"/>
        <v>6067904.1799999997</v>
      </c>
      <c r="V233" s="924">
        <f t="shared" si="165"/>
        <v>4271737.2880000006</v>
      </c>
      <c r="W233" s="924">
        <f t="shared" si="165"/>
        <v>1208516.7400000002</v>
      </c>
      <c r="X233" s="924">
        <f t="shared" si="165"/>
        <v>49130883.591999993</v>
      </c>
      <c r="Y233" s="924">
        <f t="shared" si="165"/>
        <v>728148501.60000014</v>
      </c>
      <c r="Z233" s="924">
        <f t="shared" si="165"/>
        <v>56878158</v>
      </c>
      <c r="AA233" s="924">
        <f t="shared" si="165"/>
        <v>785026659.60000014</v>
      </c>
      <c r="AB233" s="924">
        <f t="shared" si="165"/>
        <v>40796197.521600015</v>
      </c>
      <c r="AC233" s="924">
        <f t="shared" si="165"/>
        <v>35326199.682000004</v>
      </c>
      <c r="AD233" s="924">
        <f t="shared" si="165"/>
        <v>21844455.047999997</v>
      </c>
      <c r="AE233" s="924">
        <f t="shared" si="165"/>
        <v>35431380.452</v>
      </c>
      <c r="AF233" s="924">
        <f t="shared" si="165"/>
        <v>918424892.30360007</v>
      </c>
      <c r="AG233" s="921"/>
    </row>
    <row r="234" spans="1:33">
      <c r="A234" s="872"/>
      <c r="B234" s="991"/>
      <c r="C234" s="873"/>
      <c r="D234" s="880"/>
      <c r="E234" s="880"/>
      <c r="F234" s="880"/>
      <c r="G234" s="880"/>
      <c r="H234" s="880"/>
      <c r="I234" s="992"/>
      <c r="J234" s="992"/>
      <c r="K234" s="992"/>
      <c r="L234" s="992"/>
      <c r="M234" s="992"/>
      <c r="N234" s="992"/>
      <c r="O234" s="992"/>
      <c r="P234" s="992"/>
      <c r="Q234" s="992"/>
      <c r="R234" s="992"/>
      <c r="S234" s="992"/>
      <c r="T234" s="992"/>
      <c r="U234" s="992"/>
      <c r="V234" s="992"/>
      <c r="W234" s="992"/>
      <c r="X234" s="992"/>
      <c r="Y234" s="992"/>
      <c r="Z234" s="992"/>
      <c r="AA234" s="992"/>
      <c r="AB234" s="992"/>
      <c r="AC234" s="992"/>
      <c r="AD234" s="992"/>
      <c r="AE234" s="992"/>
      <c r="AF234" s="992"/>
      <c r="AG234" s="880"/>
    </row>
    <row r="235" spans="1:33">
      <c r="A235" s="872"/>
      <c r="B235" s="873"/>
      <c r="C235" s="873"/>
      <c r="D235" s="881"/>
      <c r="E235" s="872"/>
      <c r="F235" s="881"/>
      <c r="G235" s="881"/>
      <c r="H235" s="881"/>
      <c r="I235" s="881"/>
      <c r="J235" s="881"/>
      <c r="K235" s="881"/>
      <c r="L235" s="881"/>
      <c r="M235" s="881"/>
      <c r="N235" s="881"/>
      <c r="O235" s="881"/>
      <c r="P235" s="881"/>
      <c r="AF235" s="993"/>
    </row>
    <row r="236" spans="1:33" s="995" customFormat="1">
      <c r="A236" s="974"/>
      <c r="B236" s="994" t="s">
        <v>2360</v>
      </c>
      <c r="C236" s="876"/>
      <c r="D236" s="994" t="s">
        <v>841</v>
      </c>
      <c r="E236" s="974"/>
      <c r="F236" s="876"/>
      <c r="G236" s="876"/>
      <c r="H236" s="876"/>
      <c r="I236" s="876"/>
      <c r="J236" s="876"/>
      <c r="K236" s="876"/>
      <c r="L236" s="876"/>
      <c r="M236" s="876"/>
      <c r="N236" s="876"/>
      <c r="O236" s="876"/>
      <c r="P236" s="876"/>
      <c r="Q236" s="870"/>
      <c r="R236" s="870"/>
      <c r="S236" s="870"/>
      <c r="T236" s="870"/>
      <c r="U236" s="870"/>
      <c r="V236" s="870"/>
      <c r="W236" s="870"/>
      <c r="X236" s="870"/>
      <c r="Y236" s="870"/>
      <c r="Z236" s="870"/>
      <c r="AA236" s="870"/>
      <c r="AB236" s="870"/>
      <c r="AC236" s="870"/>
      <c r="AD236" s="870"/>
      <c r="AE236" s="870"/>
      <c r="AF236" s="870"/>
      <c r="AG236" s="870"/>
    </row>
    <row r="237" spans="1:33" s="995" customFormat="1">
      <c r="A237" s="974"/>
      <c r="B237" s="994"/>
      <c r="C237" s="876"/>
      <c r="E237" s="974"/>
      <c r="F237" s="876"/>
      <c r="G237" s="876"/>
      <c r="H237" s="876"/>
      <c r="I237" s="876"/>
      <c r="J237" s="876"/>
      <c r="K237" s="876"/>
      <c r="L237" s="876"/>
      <c r="M237" s="876"/>
      <c r="N237" s="876"/>
      <c r="O237" s="876"/>
      <c r="P237" s="876"/>
      <c r="Q237" s="870"/>
      <c r="R237" s="870"/>
      <c r="S237" s="870"/>
      <c r="T237" s="870"/>
      <c r="U237" s="870"/>
      <c r="V237" s="870"/>
      <c r="W237" s="870"/>
      <c r="X237" s="870"/>
      <c r="Y237" s="870"/>
      <c r="Z237" s="870"/>
      <c r="AA237" s="870"/>
      <c r="AB237" s="870"/>
      <c r="AC237" s="870"/>
      <c r="AD237" s="870"/>
      <c r="AE237" s="870"/>
      <c r="AF237" s="993"/>
      <c r="AG237" s="870"/>
    </row>
    <row r="238" spans="1:33" s="995" customFormat="1" ht="9.75" customHeight="1">
      <c r="A238" s="974"/>
      <c r="B238" s="994"/>
      <c r="C238" s="876"/>
      <c r="E238" s="974"/>
      <c r="F238" s="876"/>
      <c r="G238" s="876"/>
      <c r="H238" s="876"/>
      <c r="I238" s="876"/>
      <c r="J238" s="876"/>
      <c r="K238" s="876"/>
      <c r="L238" s="876"/>
      <c r="M238" s="876"/>
      <c r="N238" s="876"/>
      <c r="O238" s="876"/>
      <c r="P238" s="876"/>
      <c r="Q238" s="870"/>
      <c r="R238" s="870"/>
      <c r="S238" s="870"/>
      <c r="T238" s="870"/>
      <c r="U238" s="870"/>
      <c r="V238" s="870"/>
      <c r="W238" s="870"/>
      <c r="X238" s="870"/>
      <c r="Y238" s="870"/>
      <c r="Z238" s="870"/>
      <c r="AA238" s="870"/>
      <c r="AB238" s="870"/>
      <c r="AC238" s="870"/>
      <c r="AD238" s="870"/>
      <c r="AE238" s="870"/>
      <c r="AF238" s="870"/>
      <c r="AG238" s="870"/>
    </row>
    <row r="239" spans="1:33" s="995" customFormat="1">
      <c r="A239" s="974"/>
      <c r="B239" s="994" t="s">
        <v>54</v>
      </c>
      <c r="C239" s="876"/>
      <c r="D239" s="994" t="s">
        <v>842</v>
      </c>
      <c r="E239" s="974"/>
      <c r="F239" s="876"/>
      <c r="G239" s="876"/>
      <c r="H239" s="876"/>
      <c r="I239" s="876"/>
      <c r="J239" s="876"/>
      <c r="K239" s="876"/>
      <c r="L239" s="876"/>
      <c r="M239" s="876"/>
      <c r="N239" s="876"/>
      <c r="O239" s="876"/>
      <c r="P239" s="876"/>
      <c r="Q239" s="870"/>
      <c r="R239" s="870"/>
      <c r="S239" s="870"/>
      <c r="T239" s="870"/>
      <c r="U239" s="870"/>
      <c r="V239" s="870"/>
      <c r="W239" s="870"/>
      <c r="X239" s="870"/>
      <c r="Y239" s="870"/>
      <c r="Z239" s="870"/>
      <c r="AA239" s="870"/>
      <c r="AB239" s="870"/>
      <c r="AC239" s="870"/>
      <c r="AD239" s="870"/>
      <c r="AE239" s="870"/>
      <c r="AF239" s="870"/>
      <c r="AG239" s="870"/>
    </row>
    <row r="240" spans="1:33" s="995" customFormat="1">
      <c r="A240" s="974"/>
      <c r="B240" s="994"/>
      <c r="C240" s="876"/>
      <c r="E240" s="974"/>
      <c r="F240" s="876"/>
      <c r="G240" s="876"/>
      <c r="H240" s="876"/>
      <c r="I240" s="876"/>
      <c r="J240" s="876"/>
      <c r="K240" s="876"/>
      <c r="L240" s="876"/>
      <c r="M240" s="876"/>
      <c r="N240" s="876"/>
      <c r="O240" s="876"/>
      <c r="P240" s="876"/>
      <c r="Q240" s="870"/>
      <c r="R240" s="870"/>
      <c r="S240" s="870"/>
      <c r="T240" s="870"/>
      <c r="U240" s="870"/>
      <c r="V240" s="870"/>
      <c r="W240" s="870"/>
      <c r="X240" s="870"/>
      <c r="Y240" s="870"/>
      <c r="Z240" s="870"/>
      <c r="AA240" s="870"/>
      <c r="AB240" s="870"/>
      <c r="AC240" s="870"/>
      <c r="AD240" s="870"/>
      <c r="AE240" s="870"/>
      <c r="AF240" s="870"/>
      <c r="AG240" s="870"/>
    </row>
    <row r="241" spans="1:33" s="995" customFormat="1" ht="12" customHeight="1">
      <c r="A241" s="974"/>
      <c r="C241" s="876"/>
      <c r="E241" s="974"/>
      <c r="F241" s="876"/>
      <c r="G241" s="876"/>
      <c r="H241" s="876"/>
      <c r="I241" s="876"/>
      <c r="J241" s="876"/>
      <c r="K241" s="876"/>
      <c r="L241" s="876"/>
      <c r="M241" s="876"/>
      <c r="N241" s="876"/>
      <c r="O241" s="876"/>
      <c r="P241" s="876"/>
      <c r="Q241" s="870"/>
      <c r="R241" s="870"/>
      <c r="S241" s="870"/>
      <c r="T241" s="870"/>
      <c r="U241" s="870"/>
      <c r="V241" s="870"/>
      <c r="W241" s="870"/>
      <c r="X241" s="870"/>
      <c r="Y241" s="870"/>
      <c r="Z241" s="870"/>
      <c r="AA241" s="870"/>
      <c r="AB241" s="870"/>
      <c r="AC241" s="870"/>
      <c r="AD241" s="870"/>
      <c r="AE241" s="870"/>
      <c r="AF241" s="870"/>
      <c r="AG241" s="870"/>
    </row>
    <row r="242" spans="1:33" s="995" customFormat="1">
      <c r="A242" s="974"/>
      <c r="B242" s="994" t="s">
        <v>843</v>
      </c>
      <c r="C242" s="876"/>
      <c r="D242" s="994" t="s">
        <v>844</v>
      </c>
      <c r="E242" s="974"/>
      <c r="F242" s="876"/>
      <c r="G242" s="876"/>
      <c r="H242" s="876"/>
      <c r="I242" s="876"/>
      <c r="J242" s="876"/>
      <c r="K242" s="876"/>
      <c r="L242" s="876"/>
      <c r="M242" s="876"/>
      <c r="N242" s="876"/>
      <c r="O242" s="876"/>
      <c r="P242" s="876"/>
      <c r="Q242" s="870"/>
      <c r="R242" s="870"/>
      <c r="S242" s="870"/>
      <c r="T242" s="870"/>
      <c r="U242" s="870"/>
      <c r="V242" s="870"/>
      <c r="W242" s="870"/>
      <c r="X242" s="870"/>
      <c r="Y242" s="870"/>
      <c r="Z242" s="870"/>
      <c r="AA242" s="870"/>
      <c r="AB242" s="870"/>
      <c r="AC242" s="870"/>
      <c r="AD242" s="870"/>
      <c r="AE242" s="870"/>
      <c r="AF242" s="870"/>
      <c r="AG242" s="870"/>
    </row>
    <row r="243" spans="1:33" s="995" customFormat="1">
      <c r="A243" s="974"/>
      <c r="D243" s="876"/>
      <c r="E243" s="974"/>
      <c r="F243" s="876"/>
      <c r="G243" s="876"/>
      <c r="H243" s="876"/>
      <c r="I243" s="876"/>
      <c r="J243" s="876"/>
      <c r="K243" s="876"/>
      <c r="L243" s="876"/>
      <c r="M243" s="876"/>
      <c r="N243" s="876"/>
      <c r="O243" s="876"/>
      <c r="P243" s="876"/>
      <c r="Q243" s="870"/>
      <c r="R243" s="870"/>
      <c r="S243" s="870"/>
      <c r="T243" s="870"/>
      <c r="U243" s="870"/>
      <c r="V243" s="870"/>
      <c r="W243" s="870"/>
      <c r="X243" s="870"/>
      <c r="Y243" s="870"/>
      <c r="Z243" s="870"/>
      <c r="AA243" s="870"/>
      <c r="AB243" s="870"/>
      <c r="AC243" s="870"/>
      <c r="AD243" s="870"/>
      <c r="AE243" s="870"/>
      <c r="AF243" s="870"/>
      <c r="AG243" s="870"/>
    </row>
    <row r="244" spans="1:33" s="995" customFormat="1">
      <c r="A244" s="974"/>
      <c r="D244" s="876"/>
      <c r="E244" s="974"/>
      <c r="F244" s="876"/>
      <c r="G244" s="876"/>
      <c r="H244" s="876"/>
      <c r="I244" s="876"/>
      <c r="J244" s="876"/>
      <c r="K244" s="876"/>
      <c r="L244" s="876"/>
      <c r="M244" s="876"/>
      <c r="N244" s="876"/>
      <c r="O244" s="876"/>
      <c r="P244" s="876"/>
      <c r="Q244" s="870"/>
      <c r="R244" s="870"/>
      <c r="S244" s="870"/>
      <c r="T244" s="870"/>
      <c r="U244" s="870"/>
      <c r="V244" s="870"/>
      <c r="W244" s="870"/>
      <c r="X244" s="870"/>
      <c r="Y244" s="870"/>
      <c r="Z244" s="870"/>
      <c r="AA244" s="870"/>
      <c r="AB244" s="870"/>
      <c r="AC244" s="870"/>
      <c r="AD244" s="870"/>
      <c r="AE244" s="870"/>
      <c r="AF244" s="870"/>
      <c r="AG244" s="870"/>
    </row>
    <row r="245" spans="1:33" s="995" customFormat="1">
      <c r="A245" s="974"/>
      <c r="D245" s="876"/>
      <c r="E245" s="974"/>
      <c r="F245" s="876"/>
      <c r="G245" s="876"/>
      <c r="H245" s="876"/>
      <c r="I245" s="876"/>
      <c r="J245" s="876"/>
      <c r="K245" s="876"/>
      <c r="L245" s="876"/>
      <c r="M245" s="876"/>
      <c r="N245" s="876"/>
      <c r="O245" s="876"/>
      <c r="P245" s="876"/>
      <c r="Q245" s="870"/>
      <c r="R245" s="870"/>
      <c r="S245" s="870"/>
      <c r="T245" s="870"/>
      <c r="U245" s="870"/>
      <c r="V245" s="870"/>
      <c r="W245" s="870"/>
      <c r="X245" s="870"/>
      <c r="Y245" s="870"/>
      <c r="Z245" s="870"/>
      <c r="AA245" s="870"/>
      <c r="AB245" s="870"/>
      <c r="AC245" s="870"/>
      <c r="AD245" s="870"/>
      <c r="AE245" s="870"/>
      <c r="AF245" s="870"/>
      <c r="AG245" s="870"/>
    </row>
    <row r="246" spans="1:33" s="995" customFormat="1">
      <c r="A246" s="974"/>
      <c r="D246" s="876"/>
      <c r="E246" s="974"/>
      <c r="F246" s="876"/>
      <c r="G246" s="876"/>
      <c r="H246" s="876"/>
      <c r="I246" s="876"/>
      <c r="J246" s="876"/>
      <c r="K246" s="876"/>
      <c r="L246" s="876"/>
      <c r="M246" s="876"/>
      <c r="N246" s="876"/>
      <c r="O246" s="876"/>
      <c r="P246" s="876"/>
      <c r="Q246" s="870"/>
      <c r="R246" s="870"/>
      <c r="S246" s="870"/>
      <c r="T246" s="870"/>
      <c r="U246" s="870"/>
      <c r="V246" s="870"/>
      <c r="W246" s="870"/>
      <c r="X246" s="870"/>
      <c r="Y246" s="870"/>
      <c r="Z246" s="870"/>
      <c r="AA246" s="870"/>
      <c r="AB246" s="870"/>
      <c r="AC246" s="870"/>
      <c r="AD246" s="870"/>
      <c r="AE246" s="870"/>
      <c r="AF246" s="870"/>
      <c r="AG246" s="870"/>
    </row>
    <row r="247" spans="1:33" s="995" customFormat="1">
      <c r="A247" s="974"/>
      <c r="D247" s="876"/>
      <c r="E247" s="974"/>
      <c r="F247" s="876"/>
      <c r="G247" s="876"/>
      <c r="H247" s="876"/>
      <c r="I247" s="876"/>
      <c r="J247" s="876"/>
      <c r="K247" s="876"/>
      <c r="L247" s="876"/>
      <c r="M247" s="876"/>
      <c r="N247" s="876"/>
      <c r="O247" s="876"/>
      <c r="P247" s="876"/>
      <c r="Q247" s="870"/>
      <c r="R247" s="870"/>
      <c r="S247" s="870"/>
      <c r="T247" s="870"/>
      <c r="U247" s="870"/>
      <c r="V247" s="870"/>
      <c r="W247" s="870"/>
      <c r="X247" s="870"/>
      <c r="Y247" s="870"/>
      <c r="Z247" s="870"/>
      <c r="AA247" s="870"/>
      <c r="AB247" s="870"/>
      <c r="AC247" s="870"/>
      <c r="AD247" s="870"/>
      <c r="AE247" s="870"/>
      <c r="AF247" s="870"/>
      <c r="AG247" s="870"/>
    </row>
    <row r="248" spans="1:33" s="995" customFormat="1">
      <c r="A248" s="974"/>
      <c r="D248" s="876"/>
      <c r="E248" s="974"/>
      <c r="F248" s="876"/>
      <c r="G248" s="876"/>
      <c r="H248" s="876"/>
      <c r="I248" s="876"/>
      <c r="J248" s="876"/>
      <c r="K248" s="876"/>
      <c r="L248" s="876"/>
      <c r="M248" s="876"/>
      <c r="N248" s="876"/>
      <c r="O248" s="876"/>
      <c r="P248" s="876"/>
      <c r="Q248" s="870"/>
      <c r="R248" s="870"/>
      <c r="S248" s="870"/>
      <c r="T248" s="870"/>
      <c r="U248" s="870"/>
      <c r="V248" s="870"/>
      <c r="W248" s="870"/>
      <c r="X248" s="870"/>
      <c r="Y248" s="870"/>
      <c r="Z248" s="870"/>
      <c r="AA248" s="870"/>
      <c r="AB248" s="870"/>
      <c r="AC248" s="870"/>
      <c r="AD248" s="870"/>
      <c r="AE248" s="870"/>
      <c r="AF248" s="870"/>
      <c r="AG248" s="870"/>
    </row>
    <row r="249" spans="1:33" s="995" customFormat="1">
      <c r="A249" s="974"/>
      <c r="D249" s="876"/>
      <c r="E249" s="974"/>
      <c r="F249" s="876"/>
      <c r="G249" s="876"/>
      <c r="H249" s="876"/>
      <c r="I249" s="876"/>
      <c r="J249" s="876"/>
      <c r="K249" s="876"/>
      <c r="L249" s="876"/>
      <c r="M249" s="876"/>
      <c r="N249" s="876"/>
      <c r="O249" s="876"/>
      <c r="P249" s="876"/>
      <c r="Q249" s="870"/>
      <c r="R249" s="870"/>
      <c r="S249" s="870"/>
      <c r="T249" s="870"/>
      <c r="U249" s="870"/>
      <c r="V249" s="870"/>
      <c r="W249" s="870"/>
      <c r="X249" s="870"/>
      <c r="Y249" s="870"/>
      <c r="Z249" s="870"/>
      <c r="AA249" s="870"/>
      <c r="AB249" s="870"/>
      <c r="AC249" s="870"/>
      <c r="AD249" s="870"/>
      <c r="AE249" s="870"/>
      <c r="AF249" s="870"/>
      <c r="AG249" s="870"/>
    </row>
    <row r="250" spans="1:33" s="995" customFormat="1">
      <c r="A250" s="974"/>
      <c r="D250" s="876"/>
      <c r="E250" s="974"/>
      <c r="F250" s="876"/>
      <c r="G250" s="876"/>
      <c r="H250" s="876"/>
      <c r="I250" s="876"/>
      <c r="J250" s="876"/>
      <c r="K250" s="876"/>
      <c r="L250" s="876"/>
      <c r="M250" s="876"/>
      <c r="N250" s="876"/>
      <c r="O250" s="876"/>
      <c r="P250" s="876"/>
      <c r="Q250" s="870"/>
      <c r="R250" s="870"/>
      <c r="S250" s="870"/>
      <c r="T250" s="870"/>
      <c r="U250" s="870"/>
      <c r="V250" s="870"/>
      <c r="W250" s="870"/>
      <c r="X250" s="870"/>
      <c r="Y250" s="870"/>
      <c r="Z250" s="870"/>
      <c r="AA250" s="870"/>
      <c r="AB250" s="870"/>
      <c r="AC250" s="870"/>
      <c r="AD250" s="870"/>
      <c r="AE250" s="870"/>
      <c r="AF250" s="870"/>
      <c r="AG250" s="870"/>
    </row>
    <row r="251" spans="1:33" s="995" customFormat="1">
      <c r="A251" s="974"/>
      <c r="D251" s="876"/>
      <c r="E251" s="974"/>
      <c r="F251" s="876"/>
      <c r="G251" s="876"/>
      <c r="H251" s="876"/>
      <c r="I251" s="876"/>
      <c r="J251" s="876"/>
      <c r="K251" s="876"/>
      <c r="L251" s="876"/>
      <c r="M251" s="876"/>
      <c r="N251" s="876"/>
      <c r="O251" s="876"/>
      <c r="P251" s="876"/>
      <c r="Q251" s="870"/>
      <c r="R251" s="870"/>
      <c r="S251" s="870"/>
      <c r="T251" s="870"/>
      <c r="U251" s="870"/>
      <c r="V251" s="870"/>
      <c r="W251" s="870"/>
      <c r="X251" s="870"/>
      <c r="Y251" s="870"/>
      <c r="Z251" s="870"/>
      <c r="AA251" s="870"/>
      <c r="AB251" s="870"/>
      <c r="AC251" s="870"/>
      <c r="AD251" s="870"/>
      <c r="AE251" s="870"/>
      <c r="AF251" s="870"/>
      <c r="AG251" s="870"/>
    </row>
    <row r="252" spans="1:33" s="995" customFormat="1">
      <c r="A252" s="974"/>
      <c r="D252" s="876"/>
      <c r="E252" s="974"/>
      <c r="F252" s="876"/>
      <c r="G252" s="876"/>
      <c r="H252" s="876"/>
      <c r="I252" s="876"/>
      <c r="J252" s="876"/>
      <c r="K252" s="876"/>
      <c r="L252" s="876"/>
      <c r="M252" s="876"/>
      <c r="N252" s="876"/>
      <c r="O252" s="876"/>
      <c r="P252" s="876"/>
      <c r="Q252" s="870"/>
      <c r="R252" s="870"/>
      <c r="S252" s="870"/>
      <c r="T252" s="870"/>
      <c r="U252" s="870"/>
      <c r="V252" s="870"/>
      <c r="W252" s="870"/>
      <c r="X252" s="870"/>
      <c r="Y252" s="870"/>
      <c r="Z252" s="870"/>
      <c r="AA252" s="870"/>
      <c r="AB252" s="870"/>
      <c r="AC252" s="870"/>
      <c r="AD252" s="870"/>
      <c r="AE252" s="870"/>
      <c r="AF252" s="870"/>
      <c r="AG252" s="870"/>
    </row>
    <row r="253" spans="1:33" s="995" customFormat="1">
      <c r="A253" s="974"/>
      <c r="D253" s="876"/>
      <c r="E253" s="974"/>
      <c r="F253" s="876"/>
      <c r="G253" s="876"/>
      <c r="H253" s="876"/>
      <c r="I253" s="876"/>
      <c r="J253" s="876"/>
      <c r="K253" s="876"/>
      <c r="L253" s="876"/>
      <c r="M253" s="876"/>
      <c r="N253" s="876"/>
      <c r="O253" s="876"/>
      <c r="P253" s="876"/>
      <c r="Q253" s="870"/>
      <c r="R253" s="870"/>
      <c r="S253" s="870"/>
      <c r="T253" s="870"/>
      <c r="U253" s="870"/>
      <c r="V253" s="870"/>
      <c r="W253" s="870"/>
      <c r="X253" s="870"/>
      <c r="Y253" s="870"/>
      <c r="Z253" s="870"/>
      <c r="AA253" s="870"/>
      <c r="AB253" s="870"/>
      <c r="AC253" s="870"/>
      <c r="AD253" s="870"/>
      <c r="AE253" s="870"/>
      <c r="AF253" s="870"/>
      <c r="AG253" s="870"/>
    </row>
    <row r="254" spans="1:33" s="995" customFormat="1">
      <c r="A254" s="974"/>
      <c r="D254" s="876"/>
      <c r="E254" s="974"/>
      <c r="F254" s="876"/>
      <c r="G254" s="876"/>
      <c r="H254" s="876"/>
      <c r="I254" s="876"/>
      <c r="J254" s="876"/>
      <c r="K254" s="876"/>
      <c r="L254" s="876"/>
      <c r="M254" s="876"/>
      <c r="N254" s="876"/>
      <c r="O254" s="876"/>
      <c r="P254" s="876"/>
      <c r="Q254" s="870"/>
      <c r="R254" s="870"/>
      <c r="S254" s="870"/>
      <c r="T254" s="870"/>
      <c r="U254" s="870"/>
      <c r="V254" s="870"/>
      <c r="W254" s="870"/>
      <c r="X254" s="870"/>
      <c r="Y254" s="870"/>
      <c r="Z254" s="870"/>
      <c r="AA254" s="870"/>
      <c r="AB254" s="870"/>
      <c r="AC254" s="870"/>
      <c r="AD254" s="870"/>
      <c r="AE254" s="870"/>
      <c r="AF254" s="870"/>
      <c r="AG254" s="870"/>
    </row>
    <row r="255" spans="1:33" s="995" customFormat="1">
      <c r="A255" s="974"/>
      <c r="D255" s="876"/>
      <c r="E255" s="974"/>
      <c r="F255" s="876"/>
      <c r="G255" s="876"/>
      <c r="H255" s="876"/>
      <c r="I255" s="876"/>
      <c r="J255" s="876"/>
      <c r="K255" s="876"/>
      <c r="L255" s="876"/>
      <c r="M255" s="876"/>
      <c r="N255" s="876"/>
      <c r="O255" s="876"/>
      <c r="P255" s="876"/>
      <c r="Q255" s="870"/>
      <c r="R255" s="870"/>
      <c r="S255" s="870"/>
      <c r="T255" s="870"/>
      <c r="U255" s="870"/>
      <c r="V255" s="870"/>
      <c r="W255" s="870"/>
      <c r="X255" s="870"/>
      <c r="Y255" s="870"/>
      <c r="Z255" s="870"/>
      <c r="AA255" s="870"/>
      <c r="AB255" s="870"/>
      <c r="AC255" s="870"/>
      <c r="AD255" s="870"/>
      <c r="AE255" s="870"/>
      <c r="AF255" s="870"/>
      <c r="AG255" s="870"/>
    </row>
    <row r="256" spans="1:33" s="995" customFormat="1">
      <c r="A256" s="974"/>
      <c r="D256" s="876"/>
      <c r="E256" s="974"/>
      <c r="F256" s="876"/>
      <c r="G256" s="876"/>
      <c r="H256" s="876"/>
      <c r="I256" s="876"/>
      <c r="J256" s="876"/>
      <c r="K256" s="876"/>
      <c r="L256" s="876"/>
      <c r="M256" s="876"/>
      <c r="N256" s="876"/>
      <c r="O256" s="876"/>
      <c r="P256" s="876"/>
      <c r="Q256" s="870"/>
      <c r="R256" s="870"/>
      <c r="S256" s="870"/>
      <c r="T256" s="870"/>
      <c r="U256" s="870"/>
      <c r="V256" s="870"/>
      <c r="W256" s="870"/>
      <c r="X256" s="870"/>
      <c r="Y256" s="870"/>
      <c r="Z256" s="870"/>
      <c r="AA256" s="870"/>
      <c r="AB256" s="870"/>
      <c r="AC256" s="870"/>
      <c r="AD256" s="870"/>
      <c r="AE256" s="870"/>
      <c r="AF256" s="870"/>
      <c r="AG256" s="870"/>
    </row>
    <row r="257" spans="1:33" s="995" customFormat="1">
      <c r="A257" s="974"/>
      <c r="D257" s="876"/>
      <c r="E257" s="974"/>
      <c r="F257" s="876"/>
      <c r="G257" s="876"/>
      <c r="H257" s="876"/>
      <c r="I257" s="876"/>
      <c r="J257" s="876"/>
      <c r="K257" s="876"/>
      <c r="L257" s="876"/>
      <c r="M257" s="876"/>
      <c r="N257" s="876"/>
      <c r="O257" s="876"/>
      <c r="P257" s="876"/>
      <c r="Q257" s="870"/>
      <c r="R257" s="870"/>
      <c r="S257" s="870"/>
      <c r="T257" s="870"/>
      <c r="U257" s="870"/>
      <c r="V257" s="870"/>
      <c r="W257" s="870"/>
      <c r="X257" s="870"/>
      <c r="Y257" s="870"/>
      <c r="Z257" s="870"/>
      <c r="AA257" s="870"/>
      <c r="AB257" s="870"/>
      <c r="AC257" s="870"/>
      <c r="AD257" s="870"/>
      <c r="AE257" s="870"/>
      <c r="AF257" s="870"/>
      <c r="AG257" s="870"/>
    </row>
    <row r="258" spans="1:33" s="995" customFormat="1">
      <c r="A258" s="974"/>
      <c r="D258" s="876"/>
      <c r="E258" s="974"/>
      <c r="F258" s="876"/>
      <c r="G258" s="876"/>
      <c r="H258" s="876"/>
      <c r="I258" s="876"/>
      <c r="J258" s="876"/>
      <c r="K258" s="876"/>
      <c r="L258" s="876"/>
      <c r="M258" s="876"/>
      <c r="N258" s="876"/>
      <c r="O258" s="876"/>
      <c r="P258" s="876"/>
      <c r="Q258" s="870"/>
      <c r="R258" s="870"/>
      <c r="S258" s="870"/>
      <c r="T258" s="870"/>
      <c r="U258" s="870"/>
      <c r="V258" s="870"/>
      <c r="W258" s="870"/>
      <c r="X258" s="870"/>
      <c r="Y258" s="870"/>
      <c r="Z258" s="870"/>
      <c r="AA258" s="870"/>
      <c r="AB258" s="870"/>
      <c r="AC258" s="870"/>
      <c r="AD258" s="870"/>
      <c r="AE258" s="870"/>
      <c r="AF258" s="870"/>
      <c r="AG258" s="870"/>
    </row>
    <row r="259" spans="1:33">
      <c r="A259" s="974"/>
    </row>
    <row r="260" spans="1:33">
      <c r="A260" s="974"/>
    </row>
    <row r="261" spans="1:33">
      <c r="A261" s="974"/>
    </row>
    <row r="262" spans="1:33">
      <c r="A262" s="974"/>
    </row>
    <row r="263" spans="1:33">
      <c r="A263" s="974"/>
    </row>
    <row r="264" spans="1:33">
      <c r="A264" s="974"/>
    </row>
    <row r="265" spans="1:33">
      <c r="A265" s="974"/>
    </row>
    <row r="266" spans="1:33">
      <c r="A266" s="974"/>
    </row>
    <row r="267" spans="1:33" s="995" customFormat="1">
      <c r="A267" s="974"/>
      <c r="D267" s="876"/>
      <c r="E267" s="974"/>
      <c r="F267" s="876"/>
      <c r="G267" s="876"/>
      <c r="H267" s="876"/>
      <c r="I267" s="876"/>
      <c r="J267" s="876"/>
      <c r="K267" s="876"/>
      <c r="L267" s="876"/>
      <c r="M267" s="876"/>
      <c r="N267" s="876"/>
      <c r="O267" s="876"/>
      <c r="P267" s="876"/>
      <c r="Q267" s="870"/>
      <c r="R267" s="870"/>
      <c r="S267" s="870"/>
      <c r="T267" s="870"/>
      <c r="U267" s="870"/>
      <c r="V267" s="870"/>
      <c r="W267" s="870"/>
      <c r="X267" s="870"/>
      <c r="Y267" s="870"/>
      <c r="Z267" s="870"/>
      <c r="AA267" s="870"/>
      <c r="AB267" s="870"/>
      <c r="AC267" s="870"/>
      <c r="AD267" s="870"/>
      <c r="AE267" s="870"/>
      <c r="AF267" s="870"/>
      <c r="AG267" s="870"/>
    </row>
    <row r="268" spans="1:33" s="995" customFormat="1">
      <c r="A268" s="974"/>
      <c r="D268" s="876"/>
      <c r="E268" s="974"/>
      <c r="F268" s="876"/>
      <c r="G268" s="876"/>
      <c r="H268" s="876"/>
      <c r="I268" s="876"/>
      <c r="J268" s="876"/>
      <c r="K268" s="876"/>
      <c r="L268" s="876"/>
      <c r="M268" s="876"/>
      <c r="N268" s="876"/>
      <c r="O268" s="876"/>
      <c r="P268" s="876"/>
      <c r="Q268" s="870"/>
      <c r="R268" s="870"/>
      <c r="S268" s="870"/>
      <c r="T268" s="870"/>
      <c r="U268" s="870"/>
      <c r="V268" s="870"/>
      <c r="W268" s="870"/>
      <c r="X268" s="870"/>
      <c r="Y268" s="870"/>
      <c r="Z268" s="870"/>
      <c r="AA268" s="870"/>
      <c r="AB268" s="870"/>
      <c r="AC268" s="870"/>
      <c r="AD268" s="870"/>
      <c r="AE268" s="870"/>
      <c r="AF268" s="870"/>
      <c r="AG268" s="870"/>
    </row>
    <row r="269" spans="1:33" s="995" customFormat="1">
      <c r="A269" s="974"/>
      <c r="D269" s="876"/>
      <c r="E269" s="974"/>
      <c r="F269" s="876"/>
      <c r="G269" s="876"/>
      <c r="H269" s="876"/>
      <c r="I269" s="876"/>
      <c r="J269" s="876"/>
      <c r="K269" s="876"/>
      <c r="L269" s="876"/>
      <c r="M269" s="876"/>
      <c r="N269" s="876"/>
      <c r="O269" s="876"/>
      <c r="P269" s="876"/>
      <c r="Q269" s="870"/>
      <c r="R269" s="870"/>
      <c r="S269" s="870"/>
      <c r="T269" s="870"/>
      <c r="U269" s="870"/>
      <c r="V269" s="870"/>
      <c r="W269" s="870"/>
      <c r="X269" s="870"/>
      <c r="Y269" s="870"/>
      <c r="Z269" s="870"/>
      <c r="AA269" s="870"/>
      <c r="AB269" s="870"/>
      <c r="AC269" s="870"/>
      <c r="AD269" s="870"/>
      <c r="AE269" s="870"/>
      <c r="AF269" s="870"/>
      <c r="AG269" s="870"/>
    </row>
    <row r="270" spans="1:33" s="995" customFormat="1">
      <c r="A270" s="974"/>
      <c r="D270" s="876"/>
      <c r="E270" s="974"/>
      <c r="F270" s="876"/>
      <c r="G270" s="876"/>
      <c r="H270" s="876"/>
      <c r="I270" s="876"/>
      <c r="J270" s="876"/>
      <c r="K270" s="876"/>
      <c r="L270" s="876"/>
      <c r="M270" s="876"/>
      <c r="N270" s="876"/>
      <c r="O270" s="876"/>
      <c r="P270" s="876"/>
      <c r="Q270" s="870"/>
      <c r="R270" s="870"/>
      <c r="S270" s="870"/>
      <c r="T270" s="870"/>
      <c r="U270" s="870"/>
      <c r="V270" s="870"/>
      <c r="W270" s="870"/>
      <c r="X270" s="870"/>
      <c r="Y270" s="870"/>
      <c r="Z270" s="870"/>
      <c r="AA270" s="870"/>
      <c r="AB270" s="870"/>
      <c r="AC270" s="870"/>
      <c r="AD270" s="870"/>
      <c r="AE270" s="870"/>
      <c r="AF270" s="870"/>
      <c r="AG270" s="870"/>
    </row>
    <row r="271" spans="1:33" s="995" customFormat="1">
      <c r="A271" s="974"/>
      <c r="D271" s="876"/>
      <c r="E271" s="974"/>
      <c r="F271" s="876"/>
      <c r="G271" s="876"/>
      <c r="H271" s="876"/>
      <c r="I271" s="876"/>
      <c r="J271" s="876"/>
      <c r="K271" s="876"/>
      <c r="L271" s="876"/>
      <c r="M271" s="876"/>
      <c r="N271" s="876"/>
      <c r="O271" s="876"/>
      <c r="P271" s="876"/>
      <c r="Q271" s="870"/>
      <c r="R271" s="870"/>
      <c r="S271" s="870"/>
      <c r="T271" s="870"/>
      <c r="U271" s="870"/>
      <c r="V271" s="870"/>
      <c r="W271" s="870"/>
      <c r="X271" s="870"/>
      <c r="Y271" s="870"/>
      <c r="Z271" s="870"/>
      <c r="AA271" s="870"/>
      <c r="AB271" s="870"/>
      <c r="AC271" s="870"/>
      <c r="AD271" s="870"/>
      <c r="AE271" s="870"/>
      <c r="AF271" s="870"/>
      <c r="AG271" s="870"/>
    </row>
    <row r="272" spans="1:33" s="995" customFormat="1">
      <c r="A272" s="974"/>
      <c r="D272" s="876"/>
      <c r="E272" s="974"/>
      <c r="F272" s="876"/>
      <c r="G272" s="876"/>
      <c r="H272" s="876"/>
      <c r="I272" s="876"/>
      <c r="J272" s="876"/>
      <c r="K272" s="876"/>
      <c r="L272" s="876"/>
      <c r="M272" s="876"/>
      <c r="N272" s="876"/>
      <c r="O272" s="876"/>
      <c r="P272" s="876"/>
      <c r="Q272" s="870"/>
      <c r="R272" s="870"/>
      <c r="S272" s="870"/>
      <c r="T272" s="870"/>
      <c r="U272" s="870"/>
      <c r="V272" s="870"/>
      <c r="W272" s="870"/>
      <c r="X272" s="870"/>
      <c r="Y272" s="870"/>
      <c r="Z272" s="870"/>
      <c r="AA272" s="870"/>
      <c r="AB272" s="870"/>
      <c r="AC272" s="870"/>
      <c r="AD272" s="870"/>
      <c r="AE272" s="870"/>
      <c r="AF272" s="870"/>
      <c r="AG272" s="870"/>
    </row>
    <row r="273" spans="1:33" s="995" customFormat="1">
      <c r="A273" s="974"/>
      <c r="D273" s="876"/>
      <c r="E273" s="974"/>
      <c r="F273" s="876"/>
      <c r="G273" s="876"/>
      <c r="H273" s="876"/>
      <c r="I273" s="876"/>
      <c r="J273" s="876"/>
      <c r="K273" s="876"/>
      <c r="L273" s="876"/>
      <c r="M273" s="876"/>
      <c r="N273" s="876"/>
      <c r="O273" s="876"/>
      <c r="P273" s="876"/>
      <c r="Q273" s="870"/>
      <c r="R273" s="870"/>
      <c r="S273" s="870"/>
      <c r="T273" s="870"/>
      <c r="U273" s="870"/>
      <c r="V273" s="870"/>
      <c r="W273" s="870"/>
      <c r="X273" s="870"/>
      <c r="Y273" s="870"/>
      <c r="Z273" s="870"/>
      <c r="AA273" s="870"/>
      <c r="AB273" s="870"/>
      <c r="AC273" s="870"/>
      <c r="AD273" s="870"/>
      <c r="AE273" s="870"/>
      <c r="AF273" s="870"/>
      <c r="AG273" s="870"/>
    </row>
    <row r="274" spans="1:33" s="995" customFormat="1">
      <c r="A274" s="974"/>
      <c r="D274" s="876"/>
      <c r="E274" s="974"/>
      <c r="F274" s="876"/>
      <c r="G274" s="876"/>
      <c r="H274" s="876"/>
      <c r="I274" s="876"/>
      <c r="J274" s="876"/>
      <c r="K274" s="876"/>
      <c r="L274" s="876"/>
      <c r="M274" s="876"/>
      <c r="N274" s="876"/>
      <c r="O274" s="876"/>
      <c r="P274" s="876"/>
      <c r="Q274" s="870"/>
      <c r="R274" s="870"/>
      <c r="S274" s="870"/>
      <c r="T274" s="870"/>
      <c r="U274" s="870"/>
      <c r="V274" s="870"/>
      <c r="W274" s="870"/>
      <c r="X274" s="870"/>
      <c r="Y274" s="870"/>
      <c r="Z274" s="870"/>
      <c r="AA274" s="870"/>
      <c r="AB274" s="870"/>
      <c r="AC274" s="870"/>
      <c r="AD274" s="870"/>
      <c r="AE274" s="870"/>
      <c r="AF274" s="870"/>
      <c r="AG274" s="870"/>
    </row>
    <row r="275" spans="1:33" s="995" customFormat="1">
      <c r="A275" s="974"/>
      <c r="D275" s="876"/>
      <c r="E275" s="974"/>
      <c r="F275" s="876"/>
      <c r="G275" s="876"/>
      <c r="H275" s="876"/>
      <c r="I275" s="876"/>
      <c r="J275" s="876"/>
      <c r="K275" s="876"/>
      <c r="L275" s="876"/>
      <c r="M275" s="876"/>
      <c r="N275" s="876"/>
      <c r="O275" s="876"/>
      <c r="P275" s="876"/>
      <c r="Q275" s="870"/>
      <c r="R275" s="870"/>
      <c r="S275" s="870"/>
      <c r="T275" s="870"/>
      <c r="U275" s="870"/>
      <c r="V275" s="870"/>
      <c r="W275" s="870"/>
      <c r="X275" s="870"/>
      <c r="Y275" s="870"/>
      <c r="Z275" s="870"/>
      <c r="AA275" s="870"/>
      <c r="AB275" s="870"/>
      <c r="AC275" s="870"/>
      <c r="AD275" s="870"/>
      <c r="AE275" s="870"/>
      <c r="AF275" s="870"/>
      <c r="AG275" s="870"/>
    </row>
    <row r="276" spans="1:33" s="995" customFormat="1">
      <c r="A276" s="974"/>
      <c r="D276" s="876"/>
      <c r="E276" s="974"/>
      <c r="F276" s="876"/>
      <c r="G276" s="876"/>
      <c r="H276" s="876"/>
      <c r="I276" s="876"/>
      <c r="J276" s="876"/>
      <c r="K276" s="876"/>
      <c r="L276" s="876"/>
      <c r="M276" s="876"/>
      <c r="N276" s="876"/>
      <c r="O276" s="876"/>
      <c r="P276" s="876"/>
      <c r="Q276" s="870"/>
      <c r="R276" s="870"/>
      <c r="S276" s="870"/>
      <c r="T276" s="870"/>
      <c r="U276" s="870"/>
      <c r="V276" s="870"/>
      <c r="W276" s="870"/>
      <c r="X276" s="870"/>
      <c r="Y276" s="870"/>
      <c r="Z276" s="870"/>
      <c r="AA276" s="870"/>
      <c r="AB276" s="870"/>
      <c r="AC276" s="870"/>
      <c r="AD276" s="870"/>
      <c r="AE276" s="870"/>
      <c r="AF276" s="870"/>
      <c r="AG276" s="870"/>
    </row>
    <row r="277" spans="1:33" s="995" customFormat="1">
      <c r="A277" s="974"/>
      <c r="D277" s="876"/>
      <c r="E277" s="974"/>
      <c r="F277" s="876"/>
      <c r="G277" s="876"/>
      <c r="H277" s="876"/>
      <c r="I277" s="876"/>
      <c r="J277" s="876"/>
      <c r="K277" s="876"/>
      <c r="L277" s="876"/>
      <c r="M277" s="876"/>
      <c r="N277" s="876"/>
      <c r="O277" s="876"/>
      <c r="P277" s="876"/>
      <c r="Q277" s="870"/>
      <c r="R277" s="870"/>
      <c r="S277" s="870"/>
      <c r="T277" s="870"/>
      <c r="U277" s="870"/>
      <c r="V277" s="870"/>
      <c r="W277" s="870"/>
      <c r="X277" s="870"/>
      <c r="Y277" s="870"/>
      <c r="Z277" s="870"/>
      <c r="AA277" s="870"/>
      <c r="AB277" s="870"/>
      <c r="AC277" s="870"/>
      <c r="AD277" s="870"/>
      <c r="AE277" s="870"/>
      <c r="AF277" s="870"/>
      <c r="AG277" s="870"/>
    </row>
    <row r="278" spans="1:33" s="995" customFormat="1">
      <c r="A278" s="974"/>
      <c r="D278" s="876"/>
      <c r="E278" s="974"/>
      <c r="F278" s="876"/>
      <c r="G278" s="876"/>
      <c r="H278" s="876"/>
      <c r="I278" s="876"/>
      <c r="J278" s="876"/>
      <c r="K278" s="876"/>
      <c r="L278" s="876"/>
      <c r="M278" s="876"/>
      <c r="N278" s="876"/>
      <c r="O278" s="876"/>
      <c r="P278" s="876"/>
      <c r="Q278" s="870"/>
      <c r="R278" s="870"/>
      <c r="S278" s="870"/>
      <c r="T278" s="870"/>
      <c r="U278" s="870"/>
      <c r="V278" s="870"/>
      <c r="W278" s="870"/>
      <c r="X278" s="870"/>
      <c r="Y278" s="870"/>
      <c r="Z278" s="870"/>
      <c r="AA278" s="870"/>
      <c r="AB278" s="870"/>
      <c r="AC278" s="870"/>
      <c r="AD278" s="870"/>
      <c r="AE278" s="870"/>
      <c r="AF278" s="870"/>
      <c r="AG278" s="870"/>
    </row>
    <row r="279" spans="1:33" s="995" customFormat="1">
      <c r="A279" s="974"/>
      <c r="D279" s="876"/>
      <c r="E279" s="974"/>
      <c r="F279" s="876"/>
      <c r="G279" s="876"/>
      <c r="H279" s="876"/>
      <c r="I279" s="876"/>
      <c r="J279" s="876"/>
      <c r="K279" s="876"/>
      <c r="L279" s="876"/>
      <c r="M279" s="876"/>
      <c r="N279" s="876"/>
      <c r="O279" s="876"/>
      <c r="P279" s="876"/>
      <c r="Q279" s="870"/>
      <c r="R279" s="870"/>
      <c r="S279" s="870"/>
      <c r="T279" s="870"/>
      <c r="U279" s="870"/>
      <c r="V279" s="870"/>
      <c r="W279" s="870"/>
      <c r="X279" s="870"/>
      <c r="Y279" s="870"/>
      <c r="Z279" s="870"/>
      <c r="AA279" s="870"/>
      <c r="AB279" s="870"/>
      <c r="AC279" s="870"/>
      <c r="AD279" s="870"/>
      <c r="AE279" s="870"/>
      <c r="AF279" s="870"/>
      <c r="AG279" s="870"/>
    </row>
    <row r="280" spans="1:33" s="995" customFormat="1">
      <c r="A280" s="974"/>
      <c r="D280" s="876"/>
      <c r="E280" s="974"/>
      <c r="F280" s="876"/>
      <c r="G280" s="876"/>
      <c r="H280" s="876"/>
      <c r="I280" s="876"/>
      <c r="J280" s="876"/>
      <c r="K280" s="876"/>
      <c r="L280" s="876"/>
      <c r="M280" s="876"/>
      <c r="N280" s="876"/>
      <c r="O280" s="876"/>
      <c r="P280" s="876"/>
      <c r="Q280" s="870"/>
      <c r="R280" s="870"/>
      <c r="S280" s="870"/>
      <c r="T280" s="870"/>
      <c r="U280" s="870"/>
      <c r="V280" s="870"/>
      <c r="W280" s="870"/>
      <c r="X280" s="870"/>
      <c r="Y280" s="870"/>
      <c r="Z280" s="870"/>
      <c r="AA280" s="870"/>
      <c r="AB280" s="870"/>
      <c r="AC280" s="870"/>
      <c r="AD280" s="870"/>
      <c r="AE280" s="870"/>
      <c r="AF280" s="870"/>
      <c r="AG280" s="870"/>
    </row>
    <row r="281" spans="1:33" s="995" customFormat="1">
      <c r="A281" s="974"/>
      <c r="D281" s="876"/>
      <c r="E281" s="974"/>
      <c r="F281" s="876"/>
      <c r="G281" s="876"/>
      <c r="H281" s="876"/>
      <c r="I281" s="876"/>
      <c r="J281" s="876"/>
      <c r="K281" s="876"/>
      <c r="L281" s="876"/>
      <c r="M281" s="876"/>
      <c r="N281" s="876"/>
      <c r="O281" s="876"/>
      <c r="P281" s="876"/>
      <c r="Q281" s="870"/>
      <c r="R281" s="870"/>
      <c r="S281" s="870"/>
      <c r="T281" s="870"/>
      <c r="U281" s="870"/>
      <c r="V281" s="870"/>
      <c r="W281" s="870"/>
      <c r="X281" s="870"/>
      <c r="Y281" s="870"/>
      <c r="Z281" s="870"/>
      <c r="AA281" s="870"/>
      <c r="AB281" s="870"/>
      <c r="AC281" s="870"/>
      <c r="AD281" s="870"/>
      <c r="AE281" s="870"/>
      <c r="AF281" s="870"/>
      <c r="AG281" s="870"/>
    </row>
    <row r="282" spans="1:33" s="995" customFormat="1">
      <c r="A282" s="974"/>
      <c r="D282" s="876"/>
      <c r="E282" s="974"/>
      <c r="F282" s="876"/>
      <c r="G282" s="876"/>
      <c r="H282" s="876"/>
      <c r="I282" s="876"/>
      <c r="J282" s="876"/>
      <c r="K282" s="876"/>
      <c r="L282" s="876"/>
      <c r="M282" s="876"/>
      <c r="N282" s="876"/>
      <c r="O282" s="876"/>
      <c r="P282" s="876"/>
      <c r="Q282" s="870"/>
      <c r="R282" s="870"/>
      <c r="S282" s="870"/>
      <c r="T282" s="870"/>
      <c r="U282" s="870"/>
      <c r="V282" s="870"/>
      <c r="W282" s="870"/>
      <c r="X282" s="870"/>
      <c r="Y282" s="870"/>
      <c r="Z282" s="870"/>
      <c r="AA282" s="870"/>
      <c r="AB282" s="870"/>
      <c r="AC282" s="870"/>
      <c r="AD282" s="870"/>
      <c r="AE282" s="870"/>
      <c r="AF282" s="870"/>
      <c r="AG282" s="870"/>
    </row>
    <row r="283" spans="1:33" s="995" customFormat="1">
      <c r="A283" s="974"/>
      <c r="D283" s="876"/>
      <c r="E283" s="974"/>
      <c r="F283" s="876"/>
      <c r="G283" s="876"/>
      <c r="H283" s="876"/>
      <c r="I283" s="876"/>
      <c r="J283" s="876"/>
      <c r="K283" s="876"/>
      <c r="L283" s="876"/>
      <c r="M283" s="876"/>
      <c r="N283" s="876"/>
      <c r="O283" s="876"/>
      <c r="P283" s="876"/>
      <c r="Q283" s="870"/>
      <c r="R283" s="870"/>
      <c r="S283" s="870"/>
      <c r="T283" s="870"/>
      <c r="U283" s="870"/>
      <c r="V283" s="870"/>
      <c r="W283" s="870"/>
      <c r="X283" s="870"/>
      <c r="Y283" s="870"/>
      <c r="Z283" s="870"/>
      <c r="AA283" s="870"/>
      <c r="AB283" s="870"/>
      <c r="AC283" s="870"/>
      <c r="AD283" s="870"/>
      <c r="AE283" s="870"/>
      <c r="AF283" s="870"/>
      <c r="AG283" s="870"/>
    </row>
    <row r="284" spans="1:33" s="995" customFormat="1">
      <c r="A284" s="974"/>
      <c r="D284" s="876"/>
      <c r="E284" s="974"/>
      <c r="F284" s="876"/>
      <c r="G284" s="876"/>
      <c r="H284" s="876"/>
      <c r="I284" s="876"/>
      <c r="J284" s="876"/>
      <c r="K284" s="876"/>
      <c r="L284" s="876"/>
      <c r="M284" s="876"/>
      <c r="N284" s="876"/>
      <c r="O284" s="876"/>
      <c r="P284" s="876"/>
      <c r="Q284" s="870"/>
      <c r="R284" s="870"/>
      <c r="S284" s="870"/>
      <c r="T284" s="870"/>
      <c r="U284" s="870"/>
      <c r="V284" s="870"/>
      <c r="W284" s="870"/>
      <c r="X284" s="870"/>
      <c r="Y284" s="870"/>
      <c r="Z284" s="870"/>
      <c r="AA284" s="870"/>
      <c r="AB284" s="870"/>
      <c r="AC284" s="870"/>
      <c r="AD284" s="870"/>
      <c r="AE284" s="870"/>
      <c r="AF284" s="870"/>
      <c r="AG284" s="870"/>
    </row>
    <row r="285" spans="1:33" s="995" customFormat="1">
      <c r="A285" s="974"/>
      <c r="D285" s="876"/>
      <c r="E285" s="974"/>
      <c r="F285" s="876"/>
      <c r="G285" s="876"/>
      <c r="H285" s="876"/>
      <c r="I285" s="876"/>
      <c r="J285" s="876"/>
      <c r="K285" s="876"/>
      <c r="L285" s="876"/>
      <c r="M285" s="876"/>
      <c r="N285" s="876"/>
      <c r="O285" s="876"/>
      <c r="P285" s="876"/>
      <c r="Q285" s="870"/>
      <c r="R285" s="870"/>
      <c r="S285" s="870"/>
      <c r="T285" s="870"/>
      <c r="U285" s="870"/>
      <c r="V285" s="870"/>
      <c r="W285" s="870"/>
      <c r="X285" s="870"/>
      <c r="Y285" s="870"/>
      <c r="Z285" s="870"/>
      <c r="AA285" s="870"/>
      <c r="AB285" s="870"/>
      <c r="AC285" s="870"/>
      <c r="AD285" s="870"/>
      <c r="AE285" s="870"/>
      <c r="AF285" s="870"/>
      <c r="AG285" s="870"/>
    </row>
    <row r="286" spans="1:33" s="995" customFormat="1">
      <c r="A286" s="974"/>
      <c r="D286" s="876"/>
      <c r="E286" s="974"/>
      <c r="F286" s="876"/>
      <c r="G286" s="876"/>
      <c r="H286" s="876"/>
      <c r="I286" s="876"/>
      <c r="J286" s="876"/>
      <c r="K286" s="876"/>
      <c r="L286" s="876"/>
      <c r="M286" s="876"/>
      <c r="N286" s="876"/>
      <c r="O286" s="876"/>
      <c r="P286" s="876"/>
      <c r="Q286" s="870"/>
      <c r="R286" s="870"/>
      <c r="S286" s="870"/>
      <c r="T286" s="870"/>
      <c r="U286" s="870"/>
      <c r="V286" s="870"/>
      <c r="W286" s="870"/>
      <c r="X286" s="870"/>
      <c r="Y286" s="870"/>
      <c r="Z286" s="870"/>
      <c r="AA286" s="870"/>
      <c r="AB286" s="870"/>
      <c r="AC286" s="870"/>
      <c r="AD286" s="870"/>
      <c r="AE286" s="870"/>
      <c r="AF286" s="870"/>
      <c r="AG286" s="870"/>
    </row>
    <row r="287" spans="1:33" s="995" customFormat="1">
      <c r="A287" s="974"/>
      <c r="D287" s="876"/>
      <c r="E287" s="974"/>
      <c r="F287" s="876"/>
      <c r="G287" s="876"/>
      <c r="H287" s="876"/>
      <c r="I287" s="876"/>
      <c r="J287" s="876"/>
      <c r="K287" s="876"/>
      <c r="L287" s="876"/>
      <c r="M287" s="876"/>
      <c r="N287" s="876"/>
      <c r="O287" s="876"/>
      <c r="P287" s="876"/>
      <c r="Q287" s="870"/>
      <c r="R287" s="870"/>
      <c r="S287" s="870"/>
      <c r="T287" s="870"/>
      <c r="U287" s="870"/>
      <c r="V287" s="870"/>
      <c r="W287" s="870"/>
      <c r="X287" s="870"/>
      <c r="Y287" s="870"/>
      <c r="Z287" s="870"/>
      <c r="AA287" s="870"/>
      <c r="AB287" s="870"/>
      <c r="AC287" s="870"/>
      <c r="AD287" s="870"/>
      <c r="AE287" s="870"/>
      <c r="AF287" s="870"/>
      <c r="AG287" s="870"/>
    </row>
    <row r="288" spans="1:33" s="995" customFormat="1">
      <c r="A288" s="974"/>
      <c r="D288" s="876"/>
      <c r="E288" s="974"/>
      <c r="F288" s="876"/>
      <c r="G288" s="876"/>
      <c r="H288" s="876"/>
      <c r="I288" s="876"/>
      <c r="J288" s="876"/>
      <c r="K288" s="876"/>
      <c r="L288" s="876"/>
      <c r="M288" s="876"/>
      <c r="N288" s="876"/>
      <c r="O288" s="876"/>
      <c r="P288" s="876"/>
      <c r="Q288" s="870"/>
      <c r="R288" s="870"/>
      <c r="S288" s="870"/>
      <c r="T288" s="870"/>
      <c r="U288" s="870"/>
      <c r="V288" s="870"/>
      <c r="W288" s="870"/>
      <c r="X288" s="870"/>
      <c r="Y288" s="870"/>
      <c r="Z288" s="870"/>
      <c r="AA288" s="870"/>
      <c r="AB288" s="870"/>
      <c r="AC288" s="870"/>
      <c r="AD288" s="870"/>
      <c r="AE288" s="870"/>
      <c r="AF288" s="870"/>
      <c r="AG288" s="870"/>
    </row>
    <row r="289" spans="1:33" s="995" customFormat="1">
      <c r="A289" s="974"/>
      <c r="D289" s="876"/>
      <c r="E289" s="974"/>
      <c r="F289" s="876"/>
      <c r="G289" s="876"/>
      <c r="H289" s="876"/>
      <c r="I289" s="876"/>
      <c r="J289" s="876"/>
      <c r="K289" s="876"/>
      <c r="L289" s="876"/>
      <c r="M289" s="876"/>
      <c r="N289" s="876"/>
      <c r="O289" s="876"/>
      <c r="P289" s="876"/>
      <c r="Q289" s="870"/>
      <c r="R289" s="870"/>
      <c r="S289" s="870"/>
      <c r="T289" s="870"/>
      <c r="U289" s="870"/>
      <c r="V289" s="870"/>
      <c r="W289" s="870"/>
      <c r="X289" s="870"/>
      <c r="Y289" s="870"/>
      <c r="Z289" s="870"/>
      <c r="AA289" s="870"/>
      <c r="AB289" s="870"/>
      <c r="AC289" s="870"/>
      <c r="AD289" s="870"/>
      <c r="AE289" s="870"/>
      <c r="AF289" s="870"/>
      <c r="AG289" s="870"/>
    </row>
    <row r="290" spans="1:33" s="995" customFormat="1">
      <c r="A290" s="974"/>
      <c r="D290" s="876"/>
      <c r="E290" s="974"/>
      <c r="F290" s="876"/>
      <c r="G290" s="876"/>
      <c r="H290" s="876"/>
      <c r="I290" s="876"/>
      <c r="J290" s="876"/>
      <c r="K290" s="876"/>
      <c r="L290" s="876"/>
      <c r="M290" s="876"/>
      <c r="N290" s="876"/>
      <c r="O290" s="876"/>
      <c r="P290" s="876"/>
      <c r="Q290" s="870"/>
      <c r="R290" s="870"/>
      <c r="S290" s="870"/>
      <c r="T290" s="870"/>
      <c r="U290" s="870"/>
      <c r="V290" s="870"/>
      <c r="W290" s="870"/>
      <c r="X290" s="870"/>
      <c r="Y290" s="870"/>
      <c r="Z290" s="870"/>
      <c r="AA290" s="870"/>
      <c r="AB290" s="870"/>
      <c r="AC290" s="870"/>
      <c r="AD290" s="870"/>
      <c r="AE290" s="870"/>
      <c r="AF290" s="870"/>
      <c r="AG290" s="870"/>
    </row>
    <row r="291" spans="1:33" s="995" customFormat="1">
      <c r="A291" s="974"/>
      <c r="D291" s="876"/>
      <c r="E291" s="974"/>
      <c r="F291" s="876"/>
      <c r="G291" s="876"/>
      <c r="H291" s="876"/>
      <c r="I291" s="876"/>
      <c r="J291" s="876"/>
      <c r="K291" s="876"/>
      <c r="L291" s="876"/>
      <c r="M291" s="876"/>
      <c r="N291" s="876"/>
      <c r="O291" s="876"/>
      <c r="P291" s="876"/>
      <c r="Q291" s="870"/>
      <c r="R291" s="870"/>
      <c r="S291" s="870"/>
      <c r="T291" s="870"/>
      <c r="U291" s="870"/>
      <c r="V291" s="870"/>
      <c r="W291" s="870"/>
      <c r="X291" s="870"/>
      <c r="Y291" s="870"/>
      <c r="Z291" s="870"/>
      <c r="AA291" s="870"/>
      <c r="AB291" s="870"/>
      <c r="AC291" s="870"/>
      <c r="AD291" s="870"/>
      <c r="AE291" s="870"/>
      <c r="AF291" s="870"/>
      <c r="AG291" s="870"/>
    </row>
    <row r="292" spans="1:33" s="995" customFormat="1">
      <c r="A292" s="974"/>
      <c r="D292" s="876"/>
      <c r="E292" s="974"/>
      <c r="F292" s="876"/>
      <c r="G292" s="876"/>
      <c r="H292" s="876"/>
      <c r="I292" s="876"/>
      <c r="J292" s="876"/>
      <c r="K292" s="876"/>
      <c r="L292" s="876"/>
      <c r="M292" s="876"/>
      <c r="N292" s="876"/>
      <c r="O292" s="876"/>
      <c r="P292" s="876"/>
      <c r="Q292" s="870"/>
      <c r="R292" s="870"/>
      <c r="S292" s="870"/>
      <c r="T292" s="870"/>
      <c r="U292" s="870"/>
      <c r="V292" s="870"/>
      <c r="W292" s="870"/>
      <c r="X292" s="870"/>
      <c r="Y292" s="870"/>
      <c r="Z292" s="870"/>
      <c r="AA292" s="870"/>
      <c r="AB292" s="870"/>
      <c r="AC292" s="870"/>
      <c r="AD292" s="870"/>
      <c r="AE292" s="870"/>
      <c r="AF292" s="870"/>
      <c r="AG292" s="870"/>
    </row>
    <row r="293" spans="1:33" s="995" customFormat="1">
      <c r="A293" s="974"/>
      <c r="D293" s="876"/>
      <c r="E293" s="974"/>
      <c r="F293" s="876"/>
      <c r="G293" s="876"/>
      <c r="H293" s="876"/>
      <c r="I293" s="876"/>
      <c r="J293" s="876"/>
      <c r="K293" s="876"/>
      <c r="L293" s="876"/>
      <c r="M293" s="876"/>
      <c r="N293" s="876"/>
      <c r="O293" s="876"/>
      <c r="P293" s="876"/>
      <c r="Q293" s="870"/>
      <c r="R293" s="870"/>
      <c r="S293" s="870"/>
      <c r="T293" s="870"/>
      <c r="U293" s="870"/>
      <c r="V293" s="870"/>
      <c r="W293" s="870"/>
      <c r="X293" s="870"/>
      <c r="Y293" s="870"/>
      <c r="Z293" s="870"/>
      <c r="AA293" s="870"/>
      <c r="AB293" s="870"/>
      <c r="AC293" s="870"/>
      <c r="AD293" s="870"/>
      <c r="AE293" s="870"/>
      <c r="AF293" s="870"/>
      <c r="AG293" s="870"/>
    </row>
    <row r="294" spans="1:33" s="995" customFormat="1">
      <c r="A294" s="974"/>
      <c r="D294" s="876"/>
      <c r="E294" s="974"/>
      <c r="F294" s="876"/>
      <c r="G294" s="876"/>
      <c r="H294" s="876"/>
      <c r="I294" s="876"/>
      <c r="J294" s="876"/>
      <c r="K294" s="876"/>
      <c r="L294" s="876"/>
      <c r="M294" s="876"/>
      <c r="N294" s="876"/>
      <c r="O294" s="876"/>
      <c r="P294" s="876"/>
      <c r="Q294" s="870"/>
      <c r="R294" s="870"/>
      <c r="S294" s="870"/>
      <c r="T294" s="870"/>
      <c r="U294" s="870"/>
      <c r="V294" s="870"/>
      <c r="W294" s="870"/>
      <c r="X294" s="870"/>
      <c r="Y294" s="870"/>
      <c r="Z294" s="870"/>
      <c r="AA294" s="870"/>
      <c r="AB294" s="870"/>
      <c r="AC294" s="870"/>
      <c r="AD294" s="870"/>
      <c r="AE294" s="870"/>
      <c r="AF294" s="870"/>
      <c r="AG294" s="870"/>
    </row>
    <row r="295" spans="1:33" s="995" customFormat="1">
      <c r="A295" s="974"/>
      <c r="D295" s="876"/>
      <c r="E295" s="974"/>
      <c r="F295" s="876"/>
      <c r="G295" s="876"/>
      <c r="H295" s="876"/>
      <c r="I295" s="876"/>
      <c r="J295" s="876"/>
      <c r="K295" s="876"/>
      <c r="L295" s="876"/>
      <c r="M295" s="876"/>
      <c r="N295" s="876"/>
      <c r="O295" s="876"/>
      <c r="P295" s="876"/>
      <c r="Q295" s="870"/>
      <c r="R295" s="870"/>
      <c r="S295" s="870"/>
      <c r="T295" s="870"/>
      <c r="U295" s="870"/>
      <c r="V295" s="870"/>
      <c r="W295" s="870"/>
      <c r="X295" s="870"/>
      <c r="Y295" s="870"/>
      <c r="Z295" s="870"/>
      <c r="AA295" s="870"/>
      <c r="AB295" s="870"/>
      <c r="AC295" s="870"/>
      <c r="AD295" s="870"/>
      <c r="AE295" s="870"/>
      <c r="AF295" s="870"/>
      <c r="AG295" s="870"/>
    </row>
    <row r="296" spans="1:33" s="995" customFormat="1">
      <c r="A296" s="974"/>
      <c r="D296" s="876"/>
      <c r="E296" s="974"/>
      <c r="F296" s="876"/>
      <c r="G296" s="876"/>
      <c r="H296" s="876"/>
      <c r="I296" s="876"/>
      <c r="J296" s="876"/>
      <c r="K296" s="876"/>
      <c r="L296" s="876"/>
      <c r="M296" s="876"/>
      <c r="N296" s="876"/>
      <c r="O296" s="876"/>
      <c r="P296" s="876"/>
      <c r="Q296" s="870"/>
      <c r="R296" s="870"/>
      <c r="S296" s="870"/>
      <c r="T296" s="870"/>
      <c r="U296" s="870"/>
      <c r="V296" s="870"/>
      <c r="W296" s="870"/>
      <c r="X296" s="870"/>
      <c r="Y296" s="870"/>
      <c r="Z296" s="870"/>
      <c r="AA296" s="870"/>
      <c r="AB296" s="870"/>
      <c r="AC296" s="870"/>
      <c r="AD296" s="870"/>
      <c r="AE296" s="870"/>
      <c r="AF296" s="870"/>
      <c r="AG296" s="870"/>
    </row>
    <row r="297" spans="1:33" s="995" customFormat="1">
      <c r="A297" s="974"/>
      <c r="D297" s="876"/>
      <c r="E297" s="974"/>
      <c r="F297" s="876"/>
      <c r="G297" s="876"/>
      <c r="H297" s="876"/>
      <c r="I297" s="876"/>
      <c r="J297" s="876"/>
      <c r="K297" s="876"/>
      <c r="L297" s="876"/>
      <c r="M297" s="876"/>
      <c r="N297" s="876"/>
      <c r="O297" s="876"/>
      <c r="P297" s="876"/>
      <c r="Q297" s="870"/>
      <c r="R297" s="870"/>
      <c r="S297" s="870"/>
      <c r="T297" s="870"/>
      <c r="U297" s="870"/>
      <c r="V297" s="870"/>
      <c r="W297" s="870"/>
      <c r="X297" s="870"/>
      <c r="Y297" s="870"/>
      <c r="Z297" s="870"/>
      <c r="AA297" s="870"/>
      <c r="AB297" s="870"/>
      <c r="AC297" s="870"/>
      <c r="AD297" s="870"/>
      <c r="AE297" s="870"/>
      <c r="AF297" s="870"/>
      <c r="AG297" s="870"/>
    </row>
    <row r="298" spans="1:33" s="995" customFormat="1">
      <c r="A298" s="974"/>
      <c r="D298" s="876"/>
      <c r="E298" s="974"/>
      <c r="F298" s="876"/>
      <c r="G298" s="876"/>
      <c r="H298" s="876"/>
      <c r="I298" s="876"/>
      <c r="J298" s="876"/>
      <c r="K298" s="876"/>
      <c r="L298" s="876"/>
      <c r="M298" s="876"/>
      <c r="N298" s="876"/>
      <c r="O298" s="876"/>
      <c r="P298" s="876"/>
      <c r="Q298" s="870"/>
      <c r="R298" s="870"/>
      <c r="S298" s="870"/>
      <c r="T298" s="870"/>
      <c r="U298" s="870"/>
      <c r="V298" s="870"/>
      <c r="W298" s="870"/>
      <c r="X298" s="870"/>
      <c r="Y298" s="870"/>
      <c r="Z298" s="870"/>
      <c r="AA298" s="870"/>
      <c r="AB298" s="870"/>
      <c r="AC298" s="870"/>
      <c r="AD298" s="870"/>
      <c r="AE298" s="870"/>
      <c r="AF298" s="870"/>
      <c r="AG298" s="870"/>
    </row>
    <row r="299" spans="1:33" s="995" customFormat="1">
      <c r="A299" s="974"/>
      <c r="D299" s="876"/>
      <c r="E299" s="974"/>
      <c r="F299" s="876"/>
      <c r="G299" s="876"/>
      <c r="H299" s="876"/>
      <c r="I299" s="876"/>
      <c r="J299" s="876"/>
      <c r="K299" s="876"/>
      <c r="L299" s="876"/>
      <c r="M299" s="876"/>
      <c r="N299" s="876"/>
      <c r="O299" s="876"/>
      <c r="P299" s="876"/>
      <c r="Q299" s="870"/>
      <c r="R299" s="870"/>
      <c r="S299" s="870"/>
      <c r="T299" s="870"/>
      <c r="U299" s="870"/>
      <c r="V299" s="870"/>
      <c r="W299" s="870"/>
      <c r="X299" s="870"/>
      <c r="Y299" s="870"/>
      <c r="Z299" s="870"/>
      <c r="AA299" s="870"/>
      <c r="AB299" s="870"/>
      <c r="AC299" s="870"/>
      <c r="AD299" s="870"/>
      <c r="AE299" s="870"/>
      <c r="AF299" s="870"/>
      <c r="AG299" s="870"/>
    </row>
    <row r="300" spans="1:33" s="995" customFormat="1">
      <c r="A300" s="974"/>
      <c r="D300" s="876"/>
      <c r="E300" s="974"/>
      <c r="F300" s="876"/>
      <c r="G300" s="876"/>
      <c r="H300" s="876"/>
      <c r="I300" s="876"/>
      <c r="J300" s="876"/>
      <c r="K300" s="876"/>
      <c r="L300" s="876"/>
      <c r="M300" s="876"/>
      <c r="N300" s="876"/>
      <c r="O300" s="876"/>
      <c r="P300" s="876"/>
      <c r="Q300" s="870"/>
      <c r="R300" s="870"/>
      <c r="S300" s="870"/>
      <c r="T300" s="870"/>
      <c r="U300" s="870"/>
      <c r="V300" s="870"/>
      <c r="W300" s="870"/>
      <c r="X300" s="870"/>
      <c r="Y300" s="870"/>
      <c r="Z300" s="870"/>
      <c r="AA300" s="870"/>
      <c r="AB300" s="870"/>
      <c r="AC300" s="870"/>
      <c r="AD300" s="870"/>
      <c r="AE300" s="870"/>
      <c r="AF300" s="870"/>
      <c r="AG300" s="870"/>
    </row>
    <row r="301" spans="1:33" s="995" customFormat="1">
      <c r="A301" s="974"/>
      <c r="D301" s="876"/>
      <c r="E301" s="974"/>
      <c r="F301" s="876"/>
      <c r="G301" s="876"/>
      <c r="H301" s="876"/>
      <c r="I301" s="876"/>
      <c r="J301" s="876"/>
      <c r="K301" s="876"/>
      <c r="L301" s="876"/>
      <c r="M301" s="876"/>
      <c r="N301" s="876"/>
      <c r="O301" s="876"/>
      <c r="P301" s="876"/>
      <c r="Q301" s="870"/>
      <c r="R301" s="870"/>
      <c r="S301" s="870"/>
      <c r="T301" s="870"/>
      <c r="U301" s="870"/>
      <c r="V301" s="870"/>
      <c r="W301" s="870"/>
      <c r="X301" s="870"/>
      <c r="Y301" s="870"/>
      <c r="Z301" s="870"/>
      <c r="AA301" s="870"/>
      <c r="AB301" s="870"/>
      <c r="AC301" s="870"/>
      <c r="AD301" s="870"/>
      <c r="AE301" s="870"/>
      <c r="AF301" s="870"/>
      <c r="AG301" s="870"/>
    </row>
    <row r="302" spans="1:33" s="995" customFormat="1">
      <c r="A302" s="974"/>
      <c r="D302" s="876"/>
      <c r="E302" s="974"/>
      <c r="F302" s="876"/>
      <c r="G302" s="876"/>
      <c r="H302" s="876"/>
      <c r="I302" s="876"/>
      <c r="J302" s="876"/>
      <c r="K302" s="876"/>
      <c r="L302" s="876"/>
      <c r="M302" s="876"/>
      <c r="N302" s="876"/>
      <c r="O302" s="876"/>
      <c r="P302" s="876"/>
      <c r="Q302" s="870"/>
      <c r="R302" s="870"/>
      <c r="S302" s="870"/>
      <c r="T302" s="870"/>
      <c r="U302" s="870"/>
      <c r="V302" s="870"/>
      <c r="W302" s="870"/>
      <c r="X302" s="870"/>
      <c r="Y302" s="870"/>
      <c r="Z302" s="870"/>
      <c r="AA302" s="870"/>
      <c r="AB302" s="870"/>
      <c r="AC302" s="870"/>
      <c r="AD302" s="870"/>
      <c r="AE302" s="870"/>
      <c r="AF302" s="870"/>
      <c r="AG302" s="870"/>
    </row>
    <row r="303" spans="1:33" s="995" customFormat="1">
      <c r="A303" s="974"/>
      <c r="D303" s="876"/>
      <c r="E303" s="974"/>
      <c r="F303" s="876"/>
      <c r="G303" s="876"/>
      <c r="H303" s="876"/>
      <c r="I303" s="876"/>
      <c r="J303" s="876"/>
      <c r="K303" s="876"/>
      <c r="L303" s="876"/>
      <c r="M303" s="876"/>
      <c r="N303" s="876"/>
      <c r="O303" s="876"/>
      <c r="P303" s="876"/>
      <c r="Q303" s="870"/>
      <c r="R303" s="870"/>
      <c r="S303" s="870"/>
      <c r="T303" s="870"/>
      <c r="U303" s="870"/>
      <c r="V303" s="870"/>
      <c r="W303" s="870"/>
      <c r="X303" s="870"/>
      <c r="Y303" s="870"/>
      <c r="Z303" s="870"/>
      <c r="AA303" s="870"/>
      <c r="AB303" s="870"/>
      <c r="AC303" s="870"/>
      <c r="AD303" s="870"/>
      <c r="AE303" s="870"/>
      <c r="AF303" s="870"/>
      <c r="AG303" s="870"/>
    </row>
    <row r="304" spans="1:33" s="995" customFormat="1">
      <c r="A304" s="974"/>
      <c r="D304" s="876"/>
      <c r="E304" s="974"/>
      <c r="F304" s="876"/>
      <c r="G304" s="876"/>
      <c r="H304" s="876"/>
      <c r="I304" s="876"/>
      <c r="J304" s="876"/>
      <c r="K304" s="876"/>
      <c r="L304" s="876"/>
      <c r="M304" s="876"/>
      <c r="N304" s="876"/>
      <c r="O304" s="876"/>
      <c r="P304" s="876"/>
      <c r="Q304" s="870"/>
      <c r="R304" s="870"/>
      <c r="S304" s="870"/>
      <c r="T304" s="870"/>
      <c r="U304" s="870"/>
      <c r="V304" s="870"/>
      <c r="W304" s="870"/>
      <c r="X304" s="870"/>
      <c r="Y304" s="870"/>
      <c r="Z304" s="870"/>
      <c r="AA304" s="870"/>
      <c r="AB304" s="870"/>
      <c r="AC304" s="870"/>
      <c r="AD304" s="870"/>
      <c r="AE304" s="870"/>
      <c r="AF304" s="870"/>
      <c r="AG304" s="870"/>
    </row>
    <row r="305" spans="1:33" s="995" customFormat="1">
      <c r="A305" s="974"/>
      <c r="D305" s="876"/>
      <c r="E305" s="974"/>
      <c r="F305" s="876"/>
      <c r="G305" s="876"/>
      <c r="H305" s="876"/>
      <c r="I305" s="876"/>
      <c r="J305" s="876"/>
      <c r="K305" s="876"/>
      <c r="L305" s="876"/>
      <c r="M305" s="876"/>
      <c r="N305" s="876"/>
      <c r="O305" s="876"/>
      <c r="P305" s="876"/>
      <c r="Q305" s="870"/>
      <c r="R305" s="870"/>
      <c r="S305" s="870"/>
      <c r="T305" s="870"/>
      <c r="U305" s="870"/>
      <c r="V305" s="870"/>
      <c r="W305" s="870"/>
      <c r="X305" s="870"/>
      <c r="Y305" s="870"/>
      <c r="Z305" s="870"/>
      <c r="AA305" s="870"/>
      <c r="AB305" s="870"/>
      <c r="AC305" s="870"/>
      <c r="AD305" s="870"/>
      <c r="AE305" s="870"/>
      <c r="AF305" s="870"/>
      <c r="AG305" s="870"/>
    </row>
    <row r="306" spans="1:33" s="995" customFormat="1">
      <c r="A306" s="974"/>
      <c r="D306" s="876"/>
      <c r="E306" s="974"/>
      <c r="F306" s="876"/>
      <c r="G306" s="876"/>
      <c r="H306" s="876"/>
      <c r="I306" s="876"/>
      <c r="J306" s="876"/>
      <c r="K306" s="876"/>
      <c r="L306" s="876"/>
      <c r="M306" s="876"/>
      <c r="N306" s="876"/>
      <c r="O306" s="876"/>
      <c r="P306" s="876"/>
      <c r="Q306" s="870"/>
      <c r="R306" s="870"/>
      <c r="S306" s="870"/>
      <c r="T306" s="870"/>
      <c r="U306" s="870"/>
      <c r="V306" s="870"/>
      <c r="W306" s="870"/>
      <c r="X306" s="870"/>
      <c r="Y306" s="870"/>
      <c r="Z306" s="870"/>
      <c r="AA306" s="870"/>
      <c r="AB306" s="870"/>
      <c r="AC306" s="870"/>
      <c r="AD306" s="870"/>
      <c r="AE306" s="870"/>
      <c r="AF306" s="870"/>
      <c r="AG306" s="870"/>
    </row>
    <row r="307" spans="1:33" s="995" customFormat="1">
      <c r="A307" s="974"/>
      <c r="D307" s="876"/>
      <c r="E307" s="974"/>
      <c r="F307" s="876"/>
      <c r="G307" s="876"/>
      <c r="H307" s="876"/>
      <c r="I307" s="876"/>
      <c r="J307" s="876"/>
      <c r="K307" s="876"/>
      <c r="L307" s="876"/>
      <c r="M307" s="876"/>
      <c r="N307" s="876"/>
      <c r="O307" s="876"/>
      <c r="P307" s="876"/>
      <c r="Q307" s="870"/>
      <c r="R307" s="870"/>
      <c r="S307" s="870"/>
      <c r="T307" s="870"/>
      <c r="U307" s="870"/>
      <c r="V307" s="870"/>
      <c r="W307" s="870"/>
      <c r="X307" s="870"/>
      <c r="Y307" s="870"/>
      <c r="Z307" s="870"/>
      <c r="AA307" s="870"/>
      <c r="AB307" s="870"/>
      <c r="AC307" s="870"/>
      <c r="AD307" s="870"/>
      <c r="AE307" s="870"/>
      <c r="AF307" s="870"/>
      <c r="AG307" s="870"/>
    </row>
    <row r="308" spans="1:33" s="995" customFormat="1">
      <c r="A308" s="974"/>
      <c r="D308" s="876"/>
      <c r="E308" s="974"/>
      <c r="F308" s="876"/>
      <c r="G308" s="876"/>
      <c r="H308" s="876"/>
      <c r="I308" s="876"/>
      <c r="J308" s="876"/>
      <c r="K308" s="876"/>
      <c r="L308" s="876"/>
      <c r="M308" s="876"/>
      <c r="N308" s="876"/>
      <c r="O308" s="876"/>
      <c r="P308" s="876"/>
      <c r="Q308" s="870"/>
      <c r="R308" s="870"/>
      <c r="S308" s="870"/>
      <c r="T308" s="870"/>
      <c r="U308" s="870"/>
      <c r="V308" s="870"/>
      <c r="W308" s="870"/>
      <c r="X308" s="870"/>
      <c r="Y308" s="870"/>
      <c r="Z308" s="870"/>
      <c r="AA308" s="870"/>
      <c r="AB308" s="870"/>
      <c r="AC308" s="870"/>
      <c r="AD308" s="870"/>
      <c r="AE308" s="870"/>
      <c r="AF308" s="870"/>
      <c r="AG308" s="870"/>
    </row>
    <row r="309" spans="1:33" s="995" customFormat="1">
      <c r="A309" s="974"/>
      <c r="D309" s="876"/>
      <c r="E309" s="974"/>
      <c r="F309" s="876"/>
      <c r="G309" s="876"/>
      <c r="H309" s="876"/>
      <c r="I309" s="876"/>
      <c r="J309" s="876"/>
      <c r="K309" s="876"/>
      <c r="L309" s="876"/>
      <c r="M309" s="876"/>
      <c r="N309" s="876"/>
      <c r="O309" s="876"/>
      <c r="P309" s="876"/>
      <c r="Q309" s="870"/>
      <c r="R309" s="870"/>
      <c r="S309" s="870"/>
      <c r="T309" s="870"/>
      <c r="U309" s="870"/>
      <c r="V309" s="870"/>
      <c r="W309" s="870"/>
      <c r="X309" s="870"/>
      <c r="Y309" s="870"/>
      <c r="Z309" s="870"/>
      <c r="AA309" s="870"/>
      <c r="AB309" s="870"/>
      <c r="AC309" s="870"/>
      <c r="AD309" s="870"/>
      <c r="AE309" s="870"/>
      <c r="AF309" s="870"/>
      <c r="AG309" s="870"/>
    </row>
    <row r="310" spans="1:33" s="995" customFormat="1">
      <c r="A310" s="974"/>
      <c r="D310" s="876"/>
      <c r="E310" s="974"/>
      <c r="F310" s="876"/>
      <c r="G310" s="876"/>
      <c r="H310" s="876"/>
      <c r="I310" s="876"/>
      <c r="J310" s="876"/>
      <c r="K310" s="876"/>
      <c r="L310" s="876"/>
      <c r="M310" s="876"/>
      <c r="N310" s="876"/>
      <c r="O310" s="876"/>
      <c r="P310" s="876"/>
      <c r="Q310" s="870"/>
      <c r="R310" s="870"/>
      <c r="S310" s="870"/>
      <c r="T310" s="870"/>
      <c r="U310" s="870"/>
      <c r="V310" s="870"/>
      <c r="W310" s="870"/>
      <c r="X310" s="870"/>
      <c r="Y310" s="870"/>
      <c r="Z310" s="870"/>
      <c r="AA310" s="870"/>
      <c r="AB310" s="870"/>
      <c r="AC310" s="870"/>
      <c r="AD310" s="870"/>
      <c r="AE310" s="870"/>
      <c r="AF310" s="870"/>
      <c r="AG310" s="870"/>
    </row>
    <row r="311" spans="1:33" s="995" customFormat="1">
      <c r="A311" s="974"/>
      <c r="D311" s="876"/>
      <c r="E311" s="974"/>
      <c r="F311" s="876"/>
      <c r="G311" s="876"/>
      <c r="H311" s="876"/>
      <c r="I311" s="876"/>
      <c r="J311" s="876"/>
      <c r="K311" s="876"/>
      <c r="L311" s="876"/>
      <c r="M311" s="876"/>
      <c r="N311" s="876"/>
      <c r="O311" s="876"/>
      <c r="P311" s="876"/>
      <c r="Q311" s="870"/>
      <c r="R311" s="870"/>
      <c r="S311" s="870"/>
      <c r="T311" s="870"/>
      <c r="U311" s="870"/>
      <c r="V311" s="870"/>
      <c r="W311" s="870"/>
      <c r="X311" s="870"/>
      <c r="Y311" s="870"/>
      <c r="Z311" s="870"/>
      <c r="AA311" s="870"/>
      <c r="AB311" s="870"/>
      <c r="AC311" s="870"/>
      <c r="AD311" s="870"/>
      <c r="AE311" s="870"/>
      <c r="AF311" s="870"/>
      <c r="AG311" s="870"/>
    </row>
    <row r="312" spans="1:33" s="995" customFormat="1">
      <c r="A312" s="974"/>
      <c r="D312" s="876"/>
      <c r="E312" s="974"/>
      <c r="F312" s="876"/>
      <c r="G312" s="876"/>
      <c r="H312" s="876"/>
      <c r="I312" s="876"/>
      <c r="J312" s="876"/>
      <c r="K312" s="876"/>
      <c r="L312" s="876"/>
      <c r="M312" s="876"/>
      <c r="N312" s="876"/>
      <c r="O312" s="876"/>
      <c r="P312" s="876"/>
      <c r="Q312" s="870"/>
      <c r="R312" s="870"/>
      <c r="S312" s="870"/>
      <c r="T312" s="870"/>
      <c r="U312" s="870"/>
      <c r="V312" s="870"/>
      <c r="W312" s="870"/>
      <c r="X312" s="870"/>
      <c r="Y312" s="870"/>
      <c r="Z312" s="870"/>
      <c r="AA312" s="870"/>
      <c r="AB312" s="870"/>
      <c r="AC312" s="870"/>
      <c r="AD312" s="870"/>
      <c r="AE312" s="870"/>
      <c r="AF312" s="870"/>
      <c r="AG312" s="870"/>
    </row>
    <row r="313" spans="1:33" s="995" customFormat="1">
      <c r="A313" s="974"/>
      <c r="D313" s="876"/>
      <c r="E313" s="974"/>
      <c r="F313" s="876"/>
      <c r="G313" s="876"/>
      <c r="H313" s="876"/>
      <c r="I313" s="876"/>
      <c r="J313" s="876"/>
      <c r="K313" s="876"/>
      <c r="L313" s="876"/>
      <c r="M313" s="876"/>
      <c r="N313" s="876"/>
      <c r="O313" s="876"/>
      <c r="P313" s="876"/>
      <c r="Q313" s="870"/>
      <c r="R313" s="870"/>
      <c r="S313" s="870"/>
      <c r="T313" s="870"/>
      <c r="U313" s="870"/>
      <c r="V313" s="870"/>
      <c r="W313" s="870"/>
      <c r="X313" s="870"/>
      <c r="Y313" s="870"/>
      <c r="Z313" s="870"/>
      <c r="AA313" s="870"/>
      <c r="AB313" s="870"/>
      <c r="AC313" s="870"/>
      <c r="AD313" s="870"/>
      <c r="AE313" s="870"/>
      <c r="AF313" s="870"/>
      <c r="AG313" s="870"/>
    </row>
    <row r="314" spans="1:33" s="995" customFormat="1">
      <c r="A314" s="974"/>
      <c r="D314" s="876"/>
      <c r="E314" s="974"/>
      <c r="F314" s="876"/>
      <c r="G314" s="876"/>
      <c r="H314" s="876"/>
      <c r="I314" s="876"/>
      <c r="J314" s="876"/>
      <c r="K314" s="876"/>
      <c r="L314" s="876"/>
      <c r="M314" s="876"/>
      <c r="N314" s="876"/>
      <c r="O314" s="876"/>
      <c r="P314" s="876"/>
      <c r="Q314" s="870"/>
      <c r="R314" s="870"/>
      <c r="S314" s="870"/>
      <c r="T314" s="870"/>
      <c r="U314" s="870"/>
      <c r="V314" s="870"/>
      <c r="W314" s="870"/>
      <c r="X314" s="870"/>
      <c r="Y314" s="870"/>
      <c r="Z314" s="870"/>
      <c r="AA314" s="870"/>
      <c r="AB314" s="870"/>
      <c r="AC314" s="870"/>
      <c r="AD314" s="870"/>
      <c r="AE314" s="870"/>
      <c r="AF314" s="870"/>
      <c r="AG314" s="870"/>
    </row>
    <row r="315" spans="1:33" s="995" customFormat="1">
      <c r="A315" s="974"/>
      <c r="D315" s="876"/>
      <c r="E315" s="974"/>
      <c r="F315" s="876"/>
      <c r="G315" s="876"/>
      <c r="H315" s="876"/>
      <c r="I315" s="876"/>
      <c r="J315" s="876"/>
      <c r="K315" s="876"/>
      <c r="L315" s="876"/>
      <c r="M315" s="876"/>
      <c r="N315" s="876"/>
      <c r="O315" s="876"/>
      <c r="P315" s="876"/>
      <c r="Q315" s="870"/>
      <c r="R315" s="870"/>
      <c r="S315" s="870"/>
      <c r="T315" s="870"/>
      <c r="U315" s="870"/>
      <c r="V315" s="870"/>
      <c r="W315" s="870"/>
      <c r="X315" s="870"/>
      <c r="Y315" s="870"/>
      <c r="Z315" s="870"/>
      <c r="AA315" s="870"/>
      <c r="AB315" s="870"/>
      <c r="AC315" s="870"/>
      <c r="AD315" s="870"/>
      <c r="AE315" s="870"/>
      <c r="AF315" s="870"/>
      <c r="AG315" s="870"/>
    </row>
    <row r="316" spans="1:33" s="995" customFormat="1">
      <c r="A316" s="974"/>
      <c r="D316" s="876"/>
      <c r="E316" s="974"/>
      <c r="F316" s="876"/>
      <c r="G316" s="876"/>
      <c r="H316" s="876"/>
      <c r="I316" s="876"/>
      <c r="J316" s="876"/>
      <c r="K316" s="876"/>
      <c r="L316" s="876"/>
      <c r="M316" s="876"/>
      <c r="N316" s="876"/>
      <c r="O316" s="876"/>
      <c r="P316" s="876"/>
      <c r="Q316" s="870"/>
      <c r="R316" s="870"/>
      <c r="S316" s="870"/>
      <c r="T316" s="870"/>
      <c r="U316" s="870"/>
      <c r="V316" s="870"/>
      <c r="W316" s="870"/>
      <c r="X316" s="870"/>
      <c r="Y316" s="870"/>
      <c r="Z316" s="870"/>
      <c r="AA316" s="870"/>
      <c r="AB316" s="870"/>
      <c r="AC316" s="870"/>
      <c r="AD316" s="870"/>
      <c r="AE316" s="870"/>
      <c r="AF316" s="870"/>
      <c r="AG316" s="870"/>
    </row>
    <row r="317" spans="1:33" s="995" customFormat="1">
      <c r="A317" s="974"/>
      <c r="D317" s="876"/>
      <c r="E317" s="974"/>
      <c r="F317" s="876"/>
      <c r="G317" s="876"/>
      <c r="H317" s="876"/>
      <c r="I317" s="876"/>
      <c r="J317" s="876"/>
      <c r="K317" s="876"/>
      <c r="L317" s="876"/>
      <c r="M317" s="876"/>
      <c r="N317" s="876"/>
      <c r="O317" s="876"/>
      <c r="P317" s="876"/>
      <c r="Q317" s="870"/>
      <c r="R317" s="870"/>
      <c r="S317" s="870"/>
      <c r="T317" s="870"/>
      <c r="U317" s="870"/>
      <c r="V317" s="870"/>
      <c r="W317" s="870"/>
      <c r="X317" s="870"/>
      <c r="Y317" s="870"/>
      <c r="Z317" s="870"/>
      <c r="AA317" s="870"/>
      <c r="AB317" s="870"/>
      <c r="AC317" s="870"/>
      <c r="AD317" s="870"/>
      <c r="AE317" s="870"/>
      <c r="AF317" s="870"/>
      <c r="AG317" s="870"/>
    </row>
    <row r="318" spans="1:33" s="995" customFormat="1">
      <c r="A318" s="974"/>
      <c r="D318" s="876"/>
      <c r="E318" s="974"/>
      <c r="F318" s="876"/>
      <c r="G318" s="876"/>
      <c r="H318" s="876"/>
      <c r="I318" s="876"/>
      <c r="J318" s="876"/>
      <c r="K318" s="876"/>
      <c r="L318" s="876"/>
      <c r="M318" s="876"/>
      <c r="N318" s="876"/>
      <c r="O318" s="876"/>
      <c r="P318" s="876"/>
      <c r="Q318" s="870"/>
      <c r="R318" s="870"/>
      <c r="S318" s="870"/>
      <c r="T318" s="870"/>
      <c r="U318" s="870"/>
      <c r="V318" s="870"/>
      <c r="W318" s="870"/>
      <c r="X318" s="870"/>
      <c r="Y318" s="870"/>
      <c r="Z318" s="870"/>
      <c r="AA318" s="870"/>
      <c r="AB318" s="870"/>
      <c r="AC318" s="870"/>
      <c r="AD318" s="870"/>
      <c r="AE318" s="870"/>
      <c r="AF318" s="870"/>
      <c r="AG318" s="870"/>
    </row>
    <row r="319" spans="1:33" s="995" customFormat="1">
      <c r="A319" s="974"/>
      <c r="D319" s="876"/>
      <c r="E319" s="974"/>
      <c r="F319" s="876"/>
      <c r="G319" s="876"/>
      <c r="H319" s="876"/>
      <c r="I319" s="876"/>
      <c r="J319" s="876"/>
      <c r="K319" s="876"/>
      <c r="L319" s="876"/>
      <c r="M319" s="876"/>
      <c r="N319" s="876"/>
      <c r="O319" s="876"/>
      <c r="P319" s="876"/>
      <c r="Q319" s="870"/>
      <c r="R319" s="870"/>
      <c r="S319" s="870"/>
      <c r="T319" s="870"/>
      <c r="U319" s="870"/>
      <c r="V319" s="870"/>
      <c r="W319" s="870"/>
      <c r="X319" s="870"/>
      <c r="Y319" s="870"/>
      <c r="Z319" s="870"/>
      <c r="AA319" s="870"/>
      <c r="AB319" s="870"/>
      <c r="AC319" s="870"/>
      <c r="AD319" s="870"/>
      <c r="AE319" s="870"/>
      <c r="AF319" s="870"/>
      <c r="AG319" s="870"/>
    </row>
    <row r="320" spans="1:33" s="995" customFormat="1">
      <c r="A320" s="974"/>
      <c r="D320" s="876"/>
      <c r="E320" s="974"/>
      <c r="F320" s="876"/>
      <c r="G320" s="876"/>
      <c r="H320" s="876"/>
      <c r="I320" s="876"/>
      <c r="J320" s="876"/>
      <c r="K320" s="876"/>
      <c r="L320" s="876"/>
      <c r="M320" s="876"/>
      <c r="N320" s="876"/>
      <c r="O320" s="876"/>
      <c r="P320" s="876"/>
      <c r="Q320" s="870"/>
      <c r="R320" s="870"/>
      <c r="S320" s="870"/>
      <c r="T320" s="870"/>
      <c r="U320" s="870"/>
      <c r="V320" s="870"/>
      <c r="W320" s="870"/>
      <c r="X320" s="870"/>
      <c r="Y320" s="870"/>
      <c r="Z320" s="870"/>
      <c r="AA320" s="870"/>
      <c r="AB320" s="870"/>
      <c r="AC320" s="870"/>
      <c r="AD320" s="870"/>
      <c r="AE320" s="870"/>
      <c r="AF320" s="870"/>
      <c r="AG320" s="870"/>
    </row>
    <row r="321" spans="1:33" s="995" customFormat="1">
      <c r="A321" s="974"/>
      <c r="D321" s="876"/>
      <c r="E321" s="974"/>
      <c r="F321" s="876"/>
      <c r="G321" s="876"/>
      <c r="H321" s="876"/>
      <c r="I321" s="876"/>
      <c r="J321" s="876"/>
      <c r="K321" s="876"/>
      <c r="L321" s="876"/>
      <c r="M321" s="876"/>
      <c r="N321" s="876"/>
      <c r="O321" s="876"/>
      <c r="P321" s="876"/>
      <c r="Q321" s="870"/>
      <c r="R321" s="870"/>
      <c r="S321" s="870"/>
      <c r="T321" s="870"/>
      <c r="U321" s="870"/>
      <c r="V321" s="870"/>
      <c r="W321" s="870"/>
      <c r="X321" s="870"/>
      <c r="Y321" s="870"/>
      <c r="Z321" s="870"/>
      <c r="AA321" s="870"/>
      <c r="AB321" s="870"/>
      <c r="AC321" s="870"/>
      <c r="AD321" s="870"/>
      <c r="AE321" s="870"/>
      <c r="AF321" s="870"/>
      <c r="AG321" s="870"/>
    </row>
    <row r="322" spans="1:33" s="995" customFormat="1">
      <c r="A322" s="974"/>
      <c r="D322" s="876"/>
      <c r="E322" s="974"/>
      <c r="F322" s="876"/>
      <c r="G322" s="876"/>
      <c r="H322" s="876"/>
      <c r="I322" s="876"/>
      <c r="J322" s="876"/>
      <c r="K322" s="876"/>
      <c r="L322" s="876"/>
      <c r="M322" s="876"/>
      <c r="N322" s="876"/>
      <c r="O322" s="876"/>
      <c r="P322" s="876"/>
      <c r="Q322" s="870"/>
      <c r="R322" s="870"/>
      <c r="S322" s="870"/>
      <c r="T322" s="870"/>
      <c r="U322" s="870"/>
      <c r="V322" s="870"/>
      <c r="W322" s="870"/>
      <c r="X322" s="870"/>
      <c r="Y322" s="870"/>
      <c r="Z322" s="870"/>
      <c r="AA322" s="870"/>
      <c r="AB322" s="870"/>
      <c r="AC322" s="870"/>
      <c r="AD322" s="870"/>
      <c r="AE322" s="870"/>
      <c r="AF322" s="870"/>
      <c r="AG322" s="870"/>
    </row>
    <row r="323" spans="1:33" s="995" customFormat="1">
      <c r="A323" s="974"/>
      <c r="D323" s="876"/>
      <c r="E323" s="974"/>
      <c r="F323" s="876"/>
      <c r="G323" s="876"/>
      <c r="H323" s="876"/>
      <c r="I323" s="876"/>
      <c r="J323" s="876"/>
      <c r="K323" s="876"/>
      <c r="L323" s="876"/>
      <c r="M323" s="876"/>
      <c r="N323" s="876"/>
      <c r="O323" s="876"/>
      <c r="P323" s="876"/>
      <c r="Q323" s="870"/>
      <c r="R323" s="870"/>
      <c r="S323" s="870"/>
      <c r="T323" s="870"/>
      <c r="U323" s="870"/>
      <c r="V323" s="870"/>
      <c r="W323" s="870"/>
      <c r="X323" s="870"/>
      <c r="Y323" s="870"/>
      <c r="Z323" s="870"/>
      <c r="AA323" s="870"/>
      <c r="AB323" s="870"/>
      <c r="AC323" s="870"/>
      <c r="AD323" s="870"/>
      <c r="AE323" s="870"/>
      <c r="AF323" s="870"/>
      <c r="AG323" s="870"/>
    </row>
    <row r="324" spans="1:33" s="995" customFormat="1">
      <c r="A324" s="974"/>
      <c r="D324" s="876"/>
      <c r="E324" s="974"/>
      <c r="F324" s="876"/>
      <c r="G324" s="876"/>
      <c r="H324" s="876"/>
      <c r="I324" s="876"/>
      <c r="J324" s="876"/>
      <c r="K324" s="876"/>
      <c r="L324" s="876"/>
      <c r="M324" s="876"/>
      <c r="N324" s="876"/>
      <c r="O324" s="876"/>
      <c r="P324" s="876"/>
      <c r="Q324" s="870"/>
      <c r="R324" s="870"/>
      <c r="S324" s="870"/>
      <c r="T324" s="870"/>
      <c r="U324" s="870"/>
      <c r="V324" s="870"/>
      <c r="W324" s="870"/>
      <c r="X324" s="870"/>
      <c r="Y324" s="870"/>
      <c r="Z324" s="870"/>
      <c r="AA324" s="870"/>
      <c r="AB324" s="870"/>
      <c r="AC324" s="870"/>
      <c r="AD324" s="870"/>
      <c r="AE324" s="870"/>
      <c r="AF324" s="870"/>
      <c r="AG324" s="870"/>
    </row>
    <row r="325" spans="1:33" s="995" customFormat="1">
      <c r="A325" s="974"/>
      <c r="D325" s="876"/>
      <c r="E325" s="974"/>
      <c r="F325" s="876"/>
      <c r="G325" s="876"/>
      <c r="H325" s="876"/>
      <c r="I325" s="876"/>
      <c r="J325" s="876"/>
      <c r="K325" s="876"/>
      <c r="L325" s="876"/>
      <c r="M325" s="876"/>
      <c r="N325" s="876"/>
      <c r="O325" s="876"/>
      <c r="P325" s="876"/>
      <c r="Q325" s="870"/>
      <c r="R325" s="870"/>
      <c r="S325" s="870"/>
      <c r="T325" s="870"/>
      <c r="U325" s="870"/>
      <c r="V325" s="870"/>
      <c r="W325" s="870"/>
      <c r="X325" s="870"/>
      <c r="Y325" s="870"/>
      <c r="Z325" s="870"/>
      <c r="AA325" s="870"/>
      <c r="AB325" s="870"/>
      <c r="AC325" s="870"/>
      <c r="AD325" s="870"/>
      <c r="AE325" s="870"/>
      <c r="AF325" s="870"/>
      <c r="AG325" s="870"/>
    </row>
    <row r="326" spans="1:33" s="995" customFormat="1">
      <c r="A326" s="974"/>
      <c r="D326" s="876"/>
      <c r="E326" s="974"/>
      <c r="F326" s="876"/>
      <c r="G326" s="876"/>
      <c r="H326" s="876"/>
      <c r="I326" s="876"/>
      <c r="J326" s="876"/>
      <c r="K326" s="876"/>
      <c r="L326" s="876"/>
      <c r="M326" s="876"/>
      <c r="N326" s="876"/>
      <c r="O326" s="876"/>
      <c r="P326" s="876"/>
      <c r="Q326" s="870"/>
      <c r="R326" s="870"/>
      <c r="S326" s="870"/>
      <c r="T326" s="870"/>
      <c r="U326" s="870"/>
      <c r="V326" s="870"/>
      <c r="W326" s="870"/>
      <c r="X326" s="870"/>
      <c r="Y326" s="870"/>
      <c r="Z326" s="870"/>
      <c r="AA326" s="870"/>
      <c r="AB326" s="870"/>
      <c r="AC326" s="870"/>
      <c r="AD326" s="870"/>
      <c r="AE326" s="870"/>
      <c r="AF326" s="870"/>
      <c r="AG326" s="870"/>
    </row>
    <row r="327" spans="1:33" s="995" customFormat="1">
      <c r="A327" s="974"/>
      <c r="D327" s="876"/>
      <c r="E327" s="974"/>
      <c r="F327" s="876"/>
      <c r="G327" s="876"/>
      <c r="H327" s="876"/>
      <c r="I327" s="876"/>
      <c r="J327" s="876"/>
      <c r="K327" s="876"/>
      <c r="L327" s="876"/>
      <c r="M327" s="876"/>
      <c r="N327" s="876"/>
      <c r="O327" s="876"/>
      <c r="P327" s="876"/>
      <c r="Q327" s="870"/>
      <c r="R327" s="870"/>
      <c r="S327" s="870"/>
      <c r="T327" s="870"/>
      <c r="U327" s="870"/>
      <c r="V327" s="870"/>
      <c r="W327" s="870"/>
      <c r="X327" s="870"/>
      <c r="Y327" s="870"/>
      <c r="Z327" s="870"/>
      <c r="AA327" s="870"/>
      <c r="AB327" s="870"/>
      <c r="AC327" s="870"/>
      <c r="AD327" s="870"/>
      <c r="AE327" s="870"/>
      <c r="AF327" s="870"/>
      <c r="AG327" s="870"/>
    </row>
    <row r="328" spans="1:33" s="995" customFormat="1">
      <c r="A328" s="974"/>
      <c r="D328" s="876"/>
      <c r="E328" s="974"/>
      <c r="F328" s="876"/>
      <c r="G328" s="876"/>
      <c r="H328" s="876"/>
      <c r="I328" s="876"/>
      <c r="J328" s="876"/>
      <c r="K328" s="876"/>
      <c r="L328" s="876"/>
      <c r="M328" s="876"/>
      <c r="N328" s="876"/>
      <c r="O328" s="876"/>
      <c r="P328" s="876"/>
      <c r="Q328" s="870"/>
      <c r="R328" s="870"/>
      <c r="S328" s="870"/>
      <c r="T328" s="870"/>
      <c r="U328" s="870"/>
      <c r="V328" s="870"/>
      <c r="W328" s="870"/>
      <c r="X328" s="870"/>
      <c r="Y328" s="870"/>
      <c r="Z328" s="870"/>
      <c r="AA328" s="870"/>
      <c r="AB328" s="870"/>
      <c r="AC328" s="870"/>
      <c r="AD328" s="870"/>
      <c r="AE328" s="870"/>
      <c r="AF328" s="870"/>
      <c r="AG328" s="870"/>
    </row>
    <row r="329" spans="1:33" s="995" customFormat="1">
      <c r="A329" s="974"/>
      <c r="D329" s="876"/>
      <c r="E329" s="974"/>
      <c r="F329" s="876"/>
      <c r="G329" s="876"/>
      <c r="H329" s="876"/>
      <c r="I329" s="876"/>
      <c r="J329" s="876"/>
      <c r="K329" s="876"/>
      <c r="L329" s="876"/>
      <c r="M329" s="876"/>
      <c r="N329" s="876"/>
      <c r="O329" s="876"/>
      <c r="P329" s="876"/>
      <c r="Q329" s="870"/>
      <c r="R329" s="870"/>
      <c r="S329" s="870"/>
      <c r="T329" s="870"/>
      <c r="U329" s="870"/>
      <c r="V329" s="870"/>
      <c r="W329" s="870"/>
      <c r="X329" s="870"/>
      <c r="Y329" s="870"/>
      <c r="Z329" s="870"/>
      <c r="AA329" s="870"/>
      <c r="AB329" s="870"/>
      <c r="AC329" s="870"/>
      <c r="AD329" s="870"/>
      <c r="AE329" s="870"/>
      <c r="AF329" s="870"/>
      <c r="AG329" s="870"/>
    </row>
    <row r="330" spans="1:33" s="995" customFormat="1">
      <c r="A330" s="974"/>
      <c r="D330" s="876"/>
      <c r="E330" s="974"/>
      <c r="F330" s="876"/>
      <c r="G330" s="876"/>
      <c r="H330" s="876"/>
      <c r="I330" s="876"/>
      <c r="J330" s="876"/>
      <c r="K330" s="876"/>
      <c r="L330" s="876"/>
      <c r="M330" s="876"/>
      <c r="N330" s="876"/>
      <c r="O330" s="876"/>
      <c r="P330" s="876"/>
      <c r="Q330" s="870"/>
      <c r="R330" s="870"/>
      <c r="S330" s="870"/>
      <c r="T330" s="870"/>
      <c r="U330" s="870"/>
      <c r="V330" s="870"/>
      <c r="W330" s="870"/>
      <c r="X330" s="870"/>
      <c r="Y330" s="870"/>
      <c r="Z330" s="870"/>
      <c r="AA330" s="870"/>
      <c r="AB330" s="870"/>
      <c r="AC330" s="870"/>
      <c r="AD330" s="870"/>
      <c r="AE330" s="870"/>
      <c r="AF330" s="870"/>
      <c r="AG330" s="870"/>
    </row>
    <row r="331" spans="1:33" s="995" customFormat="1">
      <c r="A331" s="974"/>
      <c r="D331" s="876"/>
      <c r="E331" s="974"/>
      <c r="F331" s="876"/>
      <c r="G331" s="876"/>
      <c r="H331" s="876"/>
      <c r="I331" s="876"/>
      <c r="J331" s="876"/>
      <c r="K331" s="876"/>
      <c r="L331" s="876"/>
      <c r="M331" s="876"/>
      <c r="N331" s="876"/>
      <c r="O331" s="876"/>
      <c r="P331" s="876"/>
      <c r="Q331" s="870"/>
      <c r="R331" s="870"/>
      <c r="S331" s="870"/>
      <c r="T331" s="870"/>
      <c r="U331" s="870"/>
      <c r="V331" s="870"/>
      <c r="W331" s="870"/>
      <c r="X331" s="870"/>
      <c r="Y331" s="870"/>
      <c r="Z331" s="870"/>
      <c r="AA331" s="870"/>
      <c r="AB331" s="870"/>
      <c r="AC331" s="870"/>
      <c r="AD331" s="870"/>
      <c r="AE331" s="870"/>
      <c r="AF331" s="870"/>
      <c r="AG331" s="870"/>
    </row>
    <row r="332" spans="1:33" s="995" customFormat="1">
      <c r="A332" s="974"/>
      <c r="D332" s="876"/>
      <c r="E332" s="974"/>
      <c r="F332" s="876"/>
      <c r="G332" s="876"/>
      <c r="H332" s="876"/>
      <c r="I332" s="876"/>
      <c r="J332" s="876"/>
      <c r="K332" s="876"/>
      <c r="L332" s="876"/>
      <c r="M332" s="876"/>
      <c r="N332" s="876"/>
      <c r="O332" s="876"/>
      <c r="P332" s="876"/>
      <c r="Q332" s="870"/>
      <c r="R332" s="870"/>
      <c r="S332" s="870"/>
      <c r="T332" s="870"/>
      <c r="U332" s="870"/>
      <c r="V332" s="870"/>
      <c r="W332" s="870"/>
      <c r="X332" s="870"/>
      <c r="Y332" s="870"/>
      <c r="Z332" s="870"/>
      <c r="AA332" s="870"/>
      <c r="AB332" s="870"/>
      <c r="AC332" s="870"/>
      <c r="AD332" s="870"/>
      <c r="AE332" s="870"/>
      <c r="AF332" s="870"/>
      <c r="AG332" s="870"/>
    </row>
    <row r="333" spans="1:33" s="995" customFormat="1">
      <c r="A333" s="974"/>
      <c r="D333" s="876"/>
      <c r="E333" s="974"/>
      <c r="F333" s="876"/>
      <c r="G333" s="876"/>
      <c r="H333" s="876"/>
      <c r="I333" s="876"/>
      <c r="J333" s="876"/>
      <c r="K333" s="876"/>
      <c r="L333" s="876"/>
      <c r="M333" s="876"/>
      <c r="N333" s="876"/>
      <c r="O333" s="876"/>
      <c r="P333" s="876"/>
      <c r="Q333" s="870"/>
      <c r="R333" s="870"/>
      <c r="S333" s="870"/>
      <c r="T333" s="870"/>
      <c r="U333" s="870"/>
      <c r="V333" s="870"/>
      <c r="W333" s="870"/>
      <c r="X333" s="870"/>
      <c r="Y333" s="870"/>
      <c r="Z333" s="870"/>
      <c r="AA333" s="870"/>
      <c r="AB333" s="870"/>
      <c r="AC333" s="870"/>
      <c r="AD333" s="870"/>
      <c r="AE333" s="870"/>
      <c r="AF333" s="870"/>
      <c r="AG333" s="870"/>
    </row>
    <row r="334" spans="1:33" s="995" customFormat="1">
      <c r="A334" s="974"/>
      <c r="D334" s="876"/>
      <c r="E334" s="974"/>
      <c r="F334" s="876"/>
      <c r="G334" s="876"/>
      <c r="H334" s="876"/>
      <c r="I334" s="876"/>
      <c r="J334" s="876"/>
      <c r="K334" s="876"/>
      <c r="L334" s="876"/>
      <c r="M334" s="876"/>
      <c r="N334" s="876"/>
      <c r="O334" s="876"/>
      <c r="P334" s="876"/>
      <c r="Q334" s="870"/>
      <c r="R334" s="870"/>
      <c r="S334" s="870"/>
      <c r="T334" s="870"/>
      <c r="U334" s="870"/>
      <c r="V334" s="870"/>
      <c r="W334" s="870"/>
      <c r="X334" s="870"/>
      <c r="Y334" s="870"/>
      <c r="Z334" s="870"/>
      <c r="AA334" s="870"/>
      <c r="AB334" s="870"/>
      <c r="AC334" s="870"/>
      <c r="AD334" s="870"/>
      <c r="AE334" s="870"/>
      <c r="AF334" s="870"/>
      <c r="AG334" s="870"/>
    </row>
    <row r="335" spans="1:33" s="995" customFormat="1">
      <c r="A335" s="974"/>
      <c r="D335" s="876"/>
      <c r="E335" s="974"/>
      <c r="F335" s="876"/>
      <c r="G335" s="876"/>
      <c r="H335" s="876"/>
      <c r="I335" s="876"/>
      <c r="J335" s="876"/>
      <c r="K335" s="876"/>
      <c r="L335" s="876"/>
      <c r="M335" s="876"/>
      <c r="N335" s="876"/>
      <c r="O335" s="876"/>
      <c r="P335" s="876"/>
      <c r="Q335" s="870"/>
      <c r="R335" s="870"/>
      <c r="S335" s="870"/>
      <c r="T335" s="870"/>
      <c r="U335" s="870"/>
      <c r="V335" s="870"/>
      <c r="W335" s="870"/>
      <c r="X335" s="870"/>
      <c r="Y335" s="870"/>
      <c r="Z335" s="870"/>
      <c r="AA335" s="870"/>
      <c r="AB335" s="870"/>
      <c r="AC335" s="870"/>
      <c r="AD335" s="870"/>
      <c r="AE335" s="870"/>
      <c r="AF335" s="870"/>
      <c r="AG335" s="870"/>
    </row>
    <row r="336" spans="1:33" s="995" customFormat="1">
      <c r="A336" s="974"/>
      <c r="D336" s="876"/>
      <c r="E336" s="974"/>
      <c r="F336" s="876"/>
      <c r="G336" s="876"/>
      <c r="H336" s="876"/>
      <c r="I336" s="876"/>
      <c r="J336" s="876"/>
      <c r="K336" s="876"/>
      <c r="L336" s="876"/>
      <c r="M336" s="876"/>
      <c r="N336" s="876"/>
      <c r="O336" s="876"/>
      <c r="P336" s="876"/>
      <c r="Q336" s="870"/>
      <c r="R336" s="870"/>
      <c r="S336" s="870"/>
      <c r="T336" s="870"/>
      <c r="U336" s="870"/>
      <c r="V336" s="870"/>
      <c r="W336" s="870"/>
      <c r="X336" s="870"/>
      <c r="Y336" s="870"/>
      <c r="Z336" s="870"/>
      <c r="AA336" s="870"/>
      <c r="AB336" s="870"/>
      <c r="AC336" s="870"/>
      <c r="AD336" s="870"/>
      <c r="AE336" s="870"/>
      <c r="AF336" s="870"/>
      <c r="AG336" s="870"/>
    </row>
    <row r="337" spans="1:33" s="995" customFormat="1">
      <c r="A337" s="974"/>
      <c r="D337" s="876"/>
      <c r="E337" s="974"/>
      <c r="F337" s="876"/>
      <c r="G337" s="876"/>
      <c r="H337" s="876"/>
      <c r="I337" s="876"/>
      <c r="J337" s="876"/>
      <c r="K337" s="876"/>
      <c r="L337" s="876"/>
      <c r="M337" s="876"/>
      <c r="N337" s="876"/>
      <c r="O337" s="876"/>
      <c r="P337" s="876"/>
      <c r="Q337" s="870"/>
      <c r="R337" s="870"/>
      <c r="S337" s="870"/>
      <c r="T337" s="870"/>
      <c r="U337" s="870"/>
      <c r="V337" s="870"/>
      <c r="W337" s="870"/>
      <c r="X337" s="870"/>
      <c r="Y337" s="870"/>
      <c r="Z337" s="870"/>
      <c r="AA337" s="870"/>
      <c r="AB337" s="870"/>
      <c r="AC337" s="870"/>
      <c r="AD337" s="870"/>
      <c r="AE337" s="870"/>
      <c r="AF337" s="870"/>
      <c r="AG337" s="870"/>
    </row>
    <row r="338" spans="1:33" s="995" customFormat="1">
      <c r="A338" s="974"/>
      <c r="D338" s="876"/>
      <c r="E338" s="974"/>
      <c r="F338" s="876"/>
      <c r="G338" s="876"/>
      <c r="H338" s="876"/>
      <c r="I338" s="876"/>
      <c r="J338" s="876"/>
      <c r="K338" s="876"/>
      <c r="L338" s="876"/>
      <c r="M338" s="876"/>
      <c r="N338" s="876"/>
      <c r="O338" s="876"/>
      <c r="P338" s="876"/>
      <c r="Q338" s="870"/>
      <c r="R338" s="870"/>
      <c r="S338" s="870"/>
      <c r="T338" s="870"/>
      <c r="U338" s="870"/>
      <c r="V338" s="870"/>
      <c r="W338" s="870"/>
      <c r="X338" s="870"/>
      <c r="Y338" s="870"/>
      <c r="Z338" s="870"/>
      <c r="AA338" s="870"/>
      <c r="AB338" s="870"/>
      <c r="AC338" s="870"/>
      <c r="AD338" s="870"/>
      <c r="AE338" s="870"/>
      <c r="AF338" s="870"/>
      <c r="AG338" s="870"/>
    </row>
    <row r="339" spans="1:33" s="995" customFormat="1">
      <c r="A339" s="974"/>
      <c r="D339" s="876"/>
      <c r="E339" s="974"/>
      <c r="F339" s="876"/>
      <c r="G339" s="876"/>
      <c r="H339" s="876"/>
      <c r="I339" s="876"/>
      <c r="J339" s="876"/>
      <c r="K339" s="876"/>
      <c r="L339" s="876"/>
      <c r="M339" s="876"/>
      <c r="N339" s="876"/>
      <c r="O339" s="876"/>
      <c r="P339" s="876"/>
      <c r="Q339" s="870"/>
      <c r="R339" s="870"/>
      <c r="S339" s="870"/>
      <c r="T339" s="870"/>
      <c r="U339" s="870"/>
      <c r="V339" s="870"/>
      <c r="W339" s="870"/>
      <c r="X339" s="870"/>
      <c r="Y339" s="870"/>
      <c r="Z339" s="870"/>
      <c r="AA339" s="870"/>
      <c r="AB339" s="870"/>
      <c r="AC339" s="870"/>
      <c r="AD339" s="870"/>
      <c r="AE339" s="870"/>
      <c r="AF339" s="870"/>
      <c r="AG339" s="870"/>
    </row>
    <row r="340" spans="1:33" s="995" customFormat="1">
      <c r="A340" s="974"/>
      <c r="D340" s="876"/>
      <c r="E340" s="974"/>
      <c r="F340" s="876"/>
      <c r="G340" s="876"/>
      <c r="H340" s="876"/>
      <c r="I340" s="876"/>
      <c r="J340" s="876"/>
      <c r="K340" s="876"/>
      <c r="L340" s="876"/>
      <c r="M340" s="876"/>
      <c r="N340" s="876"/>
      <c r="O340" s="876"/>
      <c r="P340" s="876"/>
      <c r="Q340" s="870"/>
      <c r="R340" s="870"/>
      <c r="S340" s="870"/>
      <c r="T340" s="870"/>
      <c r="U340" s="870"/>
      <c r="V340" s="870"/>
      <c r="W340" s="870"/>
      <c r="X340" s="870"/>
      <c r="Y340" s="870"/>
      <c r="Z340" s="870"/>
      <c r="AA340" s="870"/>
      <c r="AB340" s="870"/>
      <c r="AC340" s="870"/>
      <c r="AD340" s="870"/>
      <c r="AE340" s="870"/>
      <c r="AF340" s="870"/>
      <c r="AG340" s="870"/>
    </row>
    <row r="341" spans="1:33" s="995" customFormat="1">
      <c r="A341" s="974"/>
      <c r="D341" s="876"/>
      <c r="E341" s="974"/>
      <c r="F341" s="876"/>
      <c r="G341" s="876"/>
      <c r="H341" s="876"/>
      <c r="I341" s="876"/>
      <c r="J341" s="876"/>
      <c r="K341" s="876"/>
      <c r="L341" s="876"/>
      <c r="M341" s="876"/>
      <c r="N341" s="876"/>
      <c r="O341" s="876"/>
      <c r="P341" s="876"/>
      <c r="Q341" s="870"/>
      <c r="R341" s="870"/>
      <c r="S341" s="870"/>
      <c r="T341" s="870"/>
      <c r="U341" s="870"/>
      <c r="V341" s="870"/>
      <c r="W341" s="870"/>
      <c r="X341" s="870"/>
      <c r="Y341" s="870"/>
      <c r="Z341" s="870"/>
      <c r="AA341" s="870"/>
      <c r="AB341" s="870"/>
      <c r="AC341" s="870"/>
      <c r="AD341" s="870"/>
      <c r="AE341" s="870"/>
      <c r="AF341" s="870"/>
      <c r="AG341" s="870"/>
    </row>
    <row r="342" spans="1:33" s="995" customFormat="1">
      <c r="A342" s="974"/>
      <c r="D342" s="876"/>
      <c r="E342" s="974"/>
      <c r="F342" s="876"/>
      <c r="G342" s="876"/>
      <c r="H342" s="876"/>
      <c r="I342" s="876"/>
      <c r="J342" s="876"/>
      <c r="K342" s="876"/>
      <c r="L342" s="876"/>
      <c r="M342" s="876"/>
      <c r="N342" s="876"/>
      <c r="O342" s="876"/>
      <c r="P342" s="876"/>
      <c r="Q342" s="870"/>
      <c r="R342" s="870"/>
      <c r="S342" s="870"/>
      <c r="T342" s="870"/>
      <c r="U342" s="870"/>
      <c r="V342" s="870"/>
      <c r="W342" s="870"/>
      <c r="X342" s="870"/>
      <c r="Y342" s="870"/>
      <c r="Z342" s="870"/>
      <c r="AA342" s="870"/>
      <c r="AB342" s="870"/>
      <c r="AC342" s="870"/>
      <c r="AD342" s="870"/>
      <c r="AE342" s="870"/>
      <c r="AF342" s="870"/>
      <c r="AG342" s="870"/>
    </row>
    <row r="343" spans="1:33" s="995" customFormat="1">
      <c r="A343" s="974"/>
      <c r="D343" s="876"/>
      <c r="E343" s="974"/>
      <c r="F343" s="876"/>
      <c r="G343" s="876"/>
      <c r="H343" s="876"/>
      <c r="I343" s="876"/>
      <c r="J343" s="876"/>
      <c r="K343" s="876"/>
      <c r="L343" s="876"/>
      <c r="M343" s="876"/>
      <c r="N343" s="876"/>
      <c r="O343" s="876"/>
      <c r="P343" s="876"/>
      <c r="Q343" s="870"/>
      <c r="R343" s="870"/>
      <c r="S343" s="870"/>
      <c r="T343" s="870"/>
      <c r="U343" s="870"/>
      <c r="V343" s="870"/>
      <c r="W343" s="870"/>
      <c r="X343" s="870"/>
      <c r="Y343" s="870"/>
      <c r="Z343" s="870"/>
      <c r="AA343" s="870"/>
      <c r="AB343" s="870"/>
      <c r="AC343" s="870"/>
      <c r="AD343" s="870"/>
      <c r="AE343" s="870"/>
      <c r="AF343" s="870"/>
      <c r="AG343" s="870"/>
    </row>
    <row r="344" spans="1:33" s="995" customFormat="1">
      <c r="A344" s="974"/>
      <c r="D344" s="876"/>
      <c r="E344" s="974"/>
      <c r="F344" s="876"/>
      <c r="G344" s="876"/>
      <c r="H344" s="876"/>
      <c r="I344" s="876"/>
      <c r="J344" s="876"/>
      <c r="K344" s="876"/>
      <c r="L344" s="876"/>
      <c r="M344" s="876"/>
      <c r="N344" s="876"/>
      <c r="O344" s="876"/>
      <c r="P344" s="876"/>
      <c r="Q344" s="870"/>
      <c r="R344" s="870"/>
      <c r="S344" s="870"/>
      <c r="T344" s="870"/>
      <c r="U344" s="870"/>
      <c r="V344" s="870"/>
      <c r="W344" s="870"/>
      <c r="X344" s="870"/>
      <c r="Y344" s="870"/>
      <c r="Z344" s="870"/>
      <c r="AA344" s="870"/>
      <c r="AB344" s="870"/>
      <c r="AC344" s="870"/>
      <c r="AD344" s="870"/>
      <c r="AE344" s="870"/>
      <c r="AF344" s="870"/>
      <c r="AG344" s="870"/>
    </row>
    <row r="345" spans="1:33" s="995" customFormat="1">
      <c r="A345" s="974"/>
      <c r="D345" s="876"/>
      <c r="E345" s="974"/>
      <c r="F345" s="876"/>
      <c r="G345" s="876"/>
      <c r="H345" s="876"/>
      <c r="I345" s="876"/>
      <c r="J345" s="876"/>
      <c r="K345" s="876"/>
      <c r="L345" s="876"/>
      <c r="M345" s="876"/>
      <c r="N345" s="876"/>
      <c r="O345" s="876"/>
      <c r="P345" s="876"/>
      <c r="Q345" s="870"/>
      <c r="R345" s="870"/>
      <c r="S345" s="870"/>
      <c r="T345" s="870"/>
      <c r="U345" s="870"/>
      <c r="V345" s="870"/>
      <c r="W345" s="870"/>
      <c r="X345" s="870"/>
      <c r="Y345" s="870"/>
      <c r="Z345" s="870"/>
      <c r="AA345" s="870"/>
      <c r="AB345" s="870"/>
      <c r="AC345" s="870"/>
      <c r="AD345" s="870"/>
      <c r="AE345" s="870"/>
      <c r="AF345" s="870"/>
      <c r="AG345" s="870"/>
    </row>
    <row r="346" spans="1:33" s="995" customFormat="1">
      <c r="A346" s="974"/>
      <c r="D346" s="876"/>
      <c r="E346" s="974"/>
      <c r="F346" s="876"/>
      <c r="G346" s="876"/>
      <c r="H346" s="876"/>
      <c r="I346" s="876"/>
      <c r="J346" s="876"/>
      <c r="K346" s="876"/>
      <c r="L346" s="876"/>
      <c r="M346" s="876"/>
      <c r="N346" s="876"/>
      <c r="O346" s="876"/>
      <c r="P346" s="876"/>
      <c r="Q346" s="870"/>
      <c r="R346" s="870"/>
      <c r="S346" s="870"/>
      <c r="T346" s="870"/>
      <c r="U346" s="870"/>
      <c r="V346" s="870"/>
      <c r="W346" s="870"/>
      <c r="X346" s="870"/>
      <c r="Y346" s="870"/>
      <c r="Z346" s="870"/>
      <c r="AA346" s="870"/>
      <c r="AB346" s="870"/>
      <c r="AC346" s="870"/>
      <c r="AD346" s="870"/>
      <c r="AE346" s="870"/>
      <c r="AF346" s="870"/>
      <c r="AG346" s="870"/>
    </row>
    <row r="347" spans="1:33" s="995" customFormat="1">
      <c r="A347" s="974"/>
      <c r="D347" s="876"/>
      <c r="E347" s="974"/>
      <c r="F347" s="876"/>
      <c r="G347" s="876"/>
      <c r="H347" s="876"/>
      <c r="I347" s="876"/>
      <c r="J347" s="876"/>
      <c r="K347" s="876"/>
      <c r="L347" s="876"/>
      <c r="M347" s="876"/>
      <c r="N347" s="876"/>
      <c r="O347" s="876"/>
      <c r="P347" s="876"/>
      <c r="Q347" s="870"/>
      <c r="R347" s="870"/>
      <c r="S347" s="870"/>
      <c r="T347" s="870"/>
      <c r="U347" s="870"/>
      <c r="V347" s="870"/>
      <c r="W347" s="870"/>
      <c r="X347" s="870"/>
      <c r="Y347" s="870"/>
      <c r="Z347" s="870"/>
      <c r="AA347" s="870"/>
      <c r="AB347" s="870"/>
      <c r="AC347" s="870"/>
      <c r="AD347" s="870"/>
      <c r="AE347" s="870"/>
      <c r="AF347" s="870"/>
      <c r="AG347" s="870"/>
    </row>
    <row r="348" spans="1:33" s="995" customFormat="1">
      <c r="A348" s="974"/>
      <c r="D348" s="876"/>
      <c r="E348" s="974"/>
      <c r="F348" s="876"/>
      <c r="G348" s="876"/>
      <c r="H348" s="876"/>
      <c r="I348" s="876"/>
      <c r="J348" s="876"/>
      <c r="K348" s="876"/>
      <c r="L348" s="876"/>
      <c r="M348" s="876"/>
      <c r="N348" s="876"/>
      <c r="O348" s="876"/>
      <c r="P348" s="876"/>
      <c r="Q348" s="870"/>
      <c r="R348" s="870"/>
      <c r="S348" s="870"/>
      <c r="T348" s="870"/>
      <c r="U348" s="870"/>
      <c r="V348" s="870"/>
      <c r="W348" s="870"/>
      <c r="X348" s="870"/>
      <c r="Y348" s="870"/>
      <c r="Z348" s="870"/>
      <c r="AA348" s="870"/>
      <c r="AB348" s="870"/>
      <c r="AC348" s="870"/>
      <c r="AD348" s="870"/>
      <c r="AE348" s="870"/>
      <c r="AF348" s="870"/>
      <c r="AG348" s="870"/>
    </row>
    <row r="349" spans="1:33" s="995" customFormat="1">
      <c r="A349" s="974"/>
      <c r="D349" s="876"/>
      <c r="E349" s="974"/>
      <c r="F349" s="876"/>
      <c r="G349" s="876"/>
      <c r="H349" s="876"/>
      <c r="I349" s="876"/>
      <c r="J349" s="876"/>
      <c r="K349" s="876"/>
      <c r="L349" s="876"/>
      <c r="M349" s="876"/>
      <c r="N349" s="876"/>
      <c r="O349" s="876"/>
      <c r="P349" s="876"/>
      <c r="Q349" s="870"/>
      <c r="R349" s="870"/>
      <c r="S349" s="870"/>
      <c r="T349" s="870"/>
      <c r="U349" s="870"/>
      <c r="V349" s="870"/>
      <c r="W349" s="870"/>
      <c r="X349" s="870"/>
      <c r="Y349" s="870"/>
      <c r="Z349" s="870"/>
      <c r="AA349" s="870"/>
      <c r="AB349" s="870"/>
      <c r="AC349" s="870"/>
      <c r="AD349" s="870"/>
      <c r="AE349" s="870"/>
      <c r="AF349" s="870"/>
      <c r="AG349" s="870"/>
    </row>
    <row r="350" spans="1:33" s="995" customFormat="1">
      <c r="A350" s="974"/>
      <c r="D350" s="876"/>
      <c r="E350" s="974"/>
      <c r="F350" s="876"/>
      <c r="G350" s="876"/>
      <c r="H350" s="876"/>
      <c r="I350" s="876"/>
      <c r="J350" s="876"/>
      <c r="K350" s="876"/>
      <c r="L350" s="876"/>
      <c r="M350" s="876"/>
      <c r="N350" s="876"/>
      <c r="O350" s="876"/>
      <c r="P350" s="876"/>
      <c r="Q350" s="870"/>
      <c r="R350" s="870"/>
      <c r="S350" s="870"/>
      <c r="T350" s="870"/>
      <c r="U350" s="870"/>
      <c r="V350" s="870"/>
      <c r="W350" s="870"/>
      <c r="X350" s="870"/>
      <c r="Y350" s="870"/>
      <c r="Z350" s="870"/>
      <c r="AA350" s="870"/>
      <c r="AB350" s="870"/>
      <c r="AC350" s="870"/>
      <c r="AD350" s="870"/>
      <c r="AE350" s="870"/>
      <c r="AF350" s="870"/>
      <c r="AG350" s="870"/>
    </row>
    <row r="351" spans="1:33" s="995" customFormat="1">
      <c r="A351" s="974"/>
      <c r="D351" s="876"/>
      <c r="E351" s="974"/>
      <c r="F351" s="876"/>
      <c r="G351" s="876"/>
      <c r="H351" s="876"/>
      <c r="I351" s="876"/>
      <c r="J351" s="876"/>
      <c r="K351" s="876"/>
      <c r="L351" s="876"/>
      <c r="M351" s="876"/>
      <c r="N351" s="876"/>
      <c r="O351" s="876"/>
      <c r="P351" s="876"/>
      <c r="Q351" s="870"/>
      <c r="R351" s="870"/>
      <c r="S351" s="870"/>
      <c r="T351" s="870"/>
      <c r="U351" s="870"/>
      <c r="V351" s="870"/>
      <c r="W351" s="870"/>
      <c r="X351" s="870"/>
      <c r="Y351" s="870"/>
      <c r="Z351" s="870"/>
      <c r="AA351" s="870"/>
      <c r="AB351" s="870"/>
      <c r="AC351" s="870"/>
      <c r="AD351" s="870"/>
      <c r="AE351" s="870"/>
      <c r="AF351" s="870"/>
      <c r="AG351" s="870"/>
    </row>
    <row r="352" spans="1:33" s="995" customFormat="1">
      <c r="A352" s="974"/>
      <c r="D352" s="876"/>
      <c r="E352" s="974"/>
      <c r="F352" s="876"/>
      <c r="G352" s="876"/>
      <c r="H352" s="876"/>
      <c r="I352" s="876"/>
      <c r="J352" s="876"/>
      <c r="K352" s="876"/>
      <c r="L352" s="876"/>
      <c r="M352" s="876"/>
      <c r="N352" s="876"/>
      <c r="O352" s="876"/>
      <c r="P352" s="876"/>
      <c r="Q352" s="870"/>
      <c r="R352" s="870"/>
      <c r="S352" s="870"/>
      <c r="T352" s="870"/>
      <c r="U352" s="870"/>
      <c r="V352" s="870"/>
      <c r="W352" s="870"/>
      <c r="X352" s="870"/>
      <c r="Y352" s="870"/>
      <c r="Z352" s="870"/>
      <c r="AA352" s="870"/>
      <c r="AB352" s="870"/>
      <c r="AC352" s="870"/>
      <c r="AD352" s="870"/>
      <c r="AE352" s="870"/>
      <c r="AF352" s="870"/>
      <c r="AG352" s="870"/>
    </row>
    <row r="353" spans="1:33" s="995" customFormat="1">
      <c r="A353" s="974"/>
      <c r="D353" s="876"/>
      <c r="E353" s="974"/>
      <c r="F353" s="876"/>
      <c r="G353" s="876"/>
      <c r="H353" s="876"/>
      <c r="I353" s="876"/>
      <c r="J353" s="876"/>
      <c r="K353" s="876"/>
      <c r="L353" s="876"/>
      <c r="M353" s="876"/>
      <c r="N353" s="876"/>
      <c r="O353" s="876"/>
      <c r="P353" s="876"/>
      <c r="Q353" s="870"/>
      <c r="R353" s="870"/>
      <c r="S353" s="870"/>
      <c r="T353" s="870"/>
      <c r="U353" s="870"/>
      <c r="V353" s="870"/>
      <c r="W353" s="870"/>
      <c r="X353" s="870"/>
      <c r="Y353" s="870"/>
      <c r="Z353" s="870"/>
      <c r="AA353" s="870"/>
      <c r="AB353" s="870"/>
      <c r="AC353" s="870"/>
      <c r="AD353" s="870"/>
      <c r="AE353" s="870"/>
      <c r="AF353" s="870"/>
      <c r="AG353" s="870"/>
    </row>
    <row r="354" spans="1:33" s="995" customFormat="1">
      <c r="A354" s="974"/>
      <c r="D354" s="876"/>
      <c r="E354" s="974"/>
      <c r="F354" s="876"/>
      <c r="G354" s="876"/>
      <c r="H354" s="876"/>
      <c r="I354" s="876"/>
      <c r="J354" s="876"/>
      <c r="K354" s="876"/>
      <c r="L354" s="876"/>
      <c r="M354" s="876"/>
      <c r="N354" s="876"/>
      <c r="O354" s="876"/>
      <c r="P354" s="876"/>
      <c r="Q354" s="870"/>
      <c r="R354" s="870"/>
      <c r="S354" s="870"/>
      <c r="T354" s="870"/>
      <c r="U354" s="870"/>
      <c r="V354" s="870"/>
      <c r="W354" s="870"/>
      <c r="X354" s="870"/>
      <c r="Y354" s="870"/>
      <c r="Z354" s="870"/>
      <c r="AA354" s="870"/>
      <c r="AB354" s="870"/>
      <c r="AC354" s="870"/>
      <c r="AD354" s="870"/>
      <c r="AE354" s="870"/>
      <c r="AF354" s="870"/>
      <c r="AG354" s="870"/>
    </row>
    <row r="355" spans="1:33" s="995" customFormat="1">
      <c r="A355" s="974"/>
      <c r="D355" s="876"/>
      <c r="E355" s="974"/>
      <c r="F355" s="876"/>
      <c r="G355" s="876"/>
      <c r="H355" s="876"/>
      <c r="I355" s="876"/>
      <c r="J355" s="876"/>
      <c r="K355" s="876"/>
      <c r="L355" s="876"/>
      <c r="M355" s="876"/>
      <c r="N355" s="876"/>
      <c r="O355" s="876"/>
      <c r="P355" s="876"/>
      <c r="Q355" s="870"/>
      <c r="R355" s="870"/>
      <c r="S355" s="870"/>
      <c r="T355" s="870"/>
      <c r="U355" s="870"/>
      <c r="V355" s="870"/>
      <c r="W355" s="870"/>
      <c r="X355" s="870"/>
      <c r="Y355" s="870"/>
      <c r="Z355" s="870"/>
      <c r="AA355" s="870"/>
      <c r="AB355" s="870"/>
      <c r="AC355" s="870"/>
      <c r="AD355" s="870"/>
      <c r="AE355" s="870"/>
      <c r="AF355" s="870"/>
      <c r="AG355" s="870"/>
    </row>
    <row r="356" spans="1:33" s="995" customFormat="1">
      <c r="A356" s="974"/>
      <c r="D356" s="876"/>
      <c r="E356" s="974"/>
      <c r="F356" s="876"/>
      <c r="G356" s="876"/>
      <c r="H356" s="876"/>
      <c r="I356" s="876"/>
      <c r="J356" s="876"/>
      <c r="K356" s="876"/>
      <c r="L356" s="876"/>
      <c r="M356" s="876"/>
      <c r="N356" s="876"/>
      <c r="O356" s="876"/>
      <c r="P356" s="876"/>
      <c r="Q356" s="870"/>
      <c r="R356" s="870"/>
      <c r="S356" s="870"/>
      <c r="T356" s="870"/>
      <c r="U356" s="870"/>
      <c r="V356" s="870"/>
      <c r="W356" s="870"/>
      <c r="X356" s="870"/>
      <c r="Y356" s="870"/>
      <c r="Z356" s="870"/>
      <c r="AA356" s="870"/>
      <c r="AB356" s="870"/>
      <c r="AC356" s="870"/>
      <c r="AD356" s="870"/>
      <c r="AE356" s="870"/>
      <c r="AF356" s="870"/>
      <c r="AG356" s="870"/>
    </row>
    <row r="357" spans="1:33" s="995" customFormat="1">
      <c r="A357" s="974"/>
      <c r="D357" s="876"/>
      <c r="E357" s="974"/>
      <c r="F357" s="876"/>
      <c r="G357" s="876"/>
      <c r="H357" s="876"/>
      <c r="I357" s="876"/>
      <c r="J357" s="876"/>
      <c r="K357" s="876"/>
      <c r="L357" s="876"/>
      <c r="M357" s="876"/>
      <c r="N357" s="876"/>
      <c r="O357" s="876"/>
      <c r="P357" s="876"/>
      <c r="Q357" s="870"/>
      <c r="R357" s="870"/>
      <c r="S357" s="870"/>
      <c r="T357" s="870"/>
      <c r="U357" s="870"/>
      <c r="V357" s="870"/>
      <c r="W357" s="870"/>
      <c r="X357" s="870"/>
      <c r="Y357" s="870"/>
      <c r="Z357" s="870"/>
      <c r="AA357" s="870"/>
      <c r="AB357" s="870"/>
      <c r="AC357" s="870"/>
      <c r="AD357" s="870"/>
      <c r="AE357" s="870"/>
      <c r="AF357" s="870"/>
      <c r="AG357" s="870"/>
    </row>
    <row r="358" spans="1:33" s="995" customFormat="1">
      <c r="A358" s="974"/>
      <c r="D358" s="876"/>
      <c r="E358" s="974"/>
      <c r="F358" s="876"/>
      <c r="G358" s="876"/>
      <c r="H358" s="876"/>
      <c r="I358" s="876"/>
      <c r="J358" s="876"/>
      <c r="K358" s="876"/>
      <c r="L358" s="876"/>
      <c r="M358" s="876"/>
      <c r="N358" s="876"/>
      <c r="O358" s="876"/>
      <c r="P358" s="876"/>
      <c r="Q358" s="870"/>
      <c r="R358" s="870"/>
      <c r="S358" s="870"/>
      <c r="T358" s="870"/>
      <c r="U358" s="870"/>
      <c r="V358" s="870"/>
      <c r="W358" s="870"/>
      <c r="X358" s="870"/>
      <c r="Y358" s="870"/>
      <c r="Z358" s="870"/>
      <c r="AA358" s="870"/>
      <c r="AB358" s="870"/>
      <c r="AC358" s="870"/>
      <c r="AD358" s="870"/>
      <c r="AE358" s="870"/>
      <c r="AF358" s="870"/>
      <c r="AG358" s="870"/>
    </row>
    <row r="359" spans="1:33" s="995" customFormat="1">
      <c r="A359" s="974"/>
      <c r="D359" s="876"/>
      <c r="E359" s="974"/>
      <c r="F359" s="876"/>
      <c r="G359" s="876"/>
      <c r="H359" s="876"/>
      <c r="I359" s="876"/>
      <c r="J359" s="876"/>
      <c r="K359" s="876"/>
      <c r="L359" s="876"/>
      <c r="M359" s="876"/>
      <c r="N359" s="876"/>
      <c r="O359" s="876"/>
      <c r="P359" s="876"/>
      <c r="Q359" s="870"/>
      <c r="R359" s="870"/>
      <c r="S359" s="870"/>
      <c r="T359" s="870"/>
      <c r="U359" s="870"/>
      <c r="V359" s="870"/>
      <c r="W359" s="870"/>
      <c r="X359" s="870"/>
      <c r="Y359" s="870"/>
      <c r="Z359" s="870"/>
      <c r="AA359" s="870"/>
      <c r="AB359" s="870"/>
      <c r="AC359" s="870"/>
      <c r="AD359" s="870"/>
      <c r="AE359" s="870"/>
      <c r="AF359" s="870"/>
      <c r="AG359" s="870"/>
    </row>
    <row r="360" spans="1:33" s="995" customFormat="1">
      <c r="A360" s="974"/>
      <c r="D360" s="876"/>
      <c r="E360" s="974"/>
      <c r="F360" s="876"/>
      <c r="G360" s="876"/>
      <c r="H360" s="876"/>
      <c r="I360" s="876"/>
      <c r="J360" s="876"/>
      <c r="K360" s="876"/>
      <c r="L360" s="876"/>
      <c r="M360" s="876"/>
      <c r="N360" s="876"/>
      <c r="O360" s="876"/>
      <c r="P360" s="876"/>
      <c r="Q360" s="870"/>
      <c r="R360" s="870"/>
      <c r="S360" s="870"/>
      <c r="T360" s="870"/>
      <c r="U360" s="870"/>
      <c r="V360" s="870"/>
      <c r="W360" s="870"/>
      <c r="X360" s="870"/>
      <c r="Y360" s="870"/>
      <c r="Z360" s="870"/>
      <c r="AA360" s="870"/>
      <c r="AB360" s="870"/>
      <c r="AC360" s="870"/>
      <c r="AD360" s="870"/>
      <c r="AE360" s="870"/>
      <c r="AF360" s="870"/>
      <c r="AG360" s="870"/>
    </row>
    <row r="361" spans="1:33" s="995" customFormat="1">
      <c r="A361" s="974"/>
      <c r="D361" s="876"/>
      <c r="E361" s="974"/>
      <c r="F361" s="876"/>
      <c r="G361" s="876"/>
      <c r="H361" s="876"/>
      <c r="I361" s="876"/>
      <c r="J361" s="876"/>
      <c r="K361" s="876"/>
      <c r="L361" s="876"/>
      <c r="M361" s="876"/>
      <c r="N361" s="876"/>
      <c r="O361" s="876"/>
      <c r="P361" s="876"/>
      <c r="Q361" s="870"/>
      <c r="R361" s="870"/>
      <c r="S361" s="870"/>
      <c r="T361" s="870"/>
      <c r="U361" s="870"/>
      <c r="V361" s="870"/>
      <c r="W361" s="870"/>
      <c r="X361" s="870"/>
      <c r="Y361" s="870"/>
      <c r="Z361" s="870"/>
      <c r="AA361" s="870"/>
      <c r="AB361" s="870"/>
      <c r="AC361" s="870"/>
      <c r="AD361" s="870"/>
      <c r="AE361" s="870"/>
      <c r="AF361" s="870"/>
      <c r="AG361" s="870"/>
    </row>
    <row r="362" spans="1:33" s="995" customFormat="1">
      <c r="A362" s="974"/>
      <c r="D362" s="876"/>
      <c r="E362" s="974"/>
      <c r="F362" s="876"/>
      <c r="G362" s="876"/>
      <c r="H362" s="876"/>
      <c r="I362" s="876"/>
      <c r="J362" s="876"/>
      <c r="K362" s="876"/>
      <c r="L362" s="876"/>
      <c r="M362" s="876"/>
      <c r="N362" s="876"/>
      <c r="O362" s="876"/>
      <c r="P362" s="876"/>
      <c r="Q362" s="870"/>
      <c r="R362" s="870"/>
      <c r="S362" s="870"/>
      <c r="T362" s="870"/>
      <c r="U362" s="870"/>
      <c r="V362" s="870"/>
      <c r="W362" s="870"/>
      <c r="X362" s="870"/>
      <c r="Y362" s="870"/>
      <c r="Z362" s="870"/>
      <c r="AA362" s="870"/>
      <c r="AB362" s="870"/>
      <c r="AC362" s="870"/>
      <c r="AD362" s="870"/>
      <c r="AE362" s="870"/>
      <c r="AF362" s="870"/>
      <c r="AG362" s="870"/>
    </row>
    <row r="363" spans="1:33" s="995" customFormat="1">
      <c r="A363" s="974"/>
      <c r="D363" s="876"/>
      <c r="E363" s="974"/>
      <c r="F363" s="876"/>
      <c r="G363" s="876"/>
      <c r="H363" s="876"/>
      <c r="I363" s="876"/>
      <c r="J363" s="876"/>
      <c r="K363" s="876"/>
      <c r="L363" s="876"/>
      <c r="M363" s="876"/>
      <c r="N363" s="876"/>
      <c r="O363" s="876"/>
      <c r="P363" s="876"/>
      <c r="Q363" s="870"/>
      <c r="R363" s="870"/>
      <c r="S363" s="870"/>
      <c r="T363" s="870"/>
      <c r="U363" s="870"/>
      <c r="V363" s="870"/>
      <c r="W363" s="870"/>
      <c r="X363" s="870"/>
      <c r="Y363" s="870"/>
      <c r="Z363" s="870"/>
      <c r="AA363" s="870"/>
      <c r="AB363" s="870"/>
      <c r="AC363" s="870"/>
      <c r="AD363" s="870"/>
      <c r="AE363" s="870"/>
      <c r="AF363" s="870"/>
      <c r="AG363" s="870"/>
    </row>
    <row r="364" spans="1:33" s="995" customFormat="1">
      <c r="A364" s="974"/>
      <c r="D364" s="876"/>
      <c r="E364" s="974"/>
      <c r="F364" s="876"/>
      <c r="G364" s="876"/>
      <c r="H364" s="876"/>
      <c r="I364" s="876"/>
      <c r="J364" s="876"/>
      <c r="K364" s="876"/>
      <c r="L364" s="876"/>
      <c r="M364" s="876"/>
      <c r="N364" s="876"/>
      <c r="O364" s="876"/>
      <c r="P364" s="876"/>
      <c r="Q364" s="870"/>
      <c r="R364" s="870"/>
      <c r="S364" s="870"/>
      <c r="T364" s="870"/>
      <c r="U364" s="870"/>
      <c r="V364" s="870"/>
      <c r="W364" s="870"/>
      <c r="X364" s="870"/>
      <c r="Y364" s="870"/>
      <c r="Z364" s="870"/>
      <c r="AA364" s="870"/>
      <c r="AB364" s="870"/>
      <c r="AC364" s="870"/>
      <c r="AD364" s="870"/>
      <c r="AE364" s="870"/>
      <c r="AF364" s="870"/>
      <c r="AG364" s="870"/>
    </row>
    <row r="365" spans="1:33" s="995" customFormat="1">
      <c r="A365" s="974"/>
      <c r="D365" s="876"/>
      <c r="E365" s="974"/>
      <c r="F365" s="876"/>
      <c r="G365" s="876"/>
      <c r="H365" s="876"/>
      <c r="I365" s="876"/>
      <c r="J365" s="876"/>
      <c r="K365" s="876"/>
      <c r="L365" s="876"/>
      <c r="M365" s="876"/>
      <c r="N365" s="876"/>
      <c r="O365" s="876"/>
      <c r="P365" s="876"/>
      <c r="Q365" s="870"/>
      <c r="R365" s="870"/>
      <c r="S365" s="870"/>
      <c r="T365" s="870"/>
      <c r="U365" s="870"/>
      <c r="V365" s="870"/>
      <c r="W365" s="870"/>
      <c r="X365" s="870"/>
      <c r="Y365" s="870"/>
      <c r="Z365" s="870"/>
      <c r="AA365" s="870"/>
      <c r="AB365" s="870"/>
      <c r="AC365" s="870"/>
      <c r="AD365" s="870"/>
      <c r="AE365" s="870"/>
      <c r="AF365" s="870"/>
      <c r="AG365" s="870"/>
    </row>
    <row r="366" spans="1:33" s="995" customFormat="1">
      <c r="A366" s="974"/>
      <c r="D366" s="876"/>
      <c r="E366" s="974"/>
      <c r="F366" s="876"/>
      <c r="G366" s="876"/>
      <c r="H366" s="876"/>
      <c r="I366" s="876"/>
      <c r="J366" s="876"/>
      <c r="K366" s="876"/>
      <c r="L366" s="876"/>
      <c r="M366" s="876"/>
      <c r="N366" s="876"/>
      <c r="O366" s="876"/>
      <c r="P366" s="876"/>
      <c r="Q366" s="870"/>
      <c r="R366" s="870"/>
      <c r="S366" s="870"/>
      <c r="T366" s="870"/>
      <c r="U366" s="870"/>
      <c r="V366" s="870"/>
      <c r="W366" s="870"/>
      <c r="X366" s="870"/>
      <c r="Y366" s="870"/>
      <c r="Z366" s="870"/>
      <c r="AA366" s="870"/>
      <c r="AB366" s="870"/>
      <c r="AC366" s="870"/>
      <c r="AD366" s="870"/>
      <c r="AE366" s="870"/>
      <c r="AF366" s="870"/>
      <c r="AG366" s="870"/>
    </row>
    <row r="367" spans="1:33" s="995" customFormat="1">
      <c r="A367" s="974"/>
      <c r="D367" s="876"/>
      <c r="E367" s="974"/>
      <c r="F367" s="876"/>
      <c r="G367" s="876"/>
      <c r="H367" s="876"/>
      <c r="I367" s="876"/>
      <c r="J367" s="876"/>
      <c r="K367" s="876"/>
      <c r="L367" s="876"/>
      <c r="M367" s="876"/>
      <c r="N367" s="876"/>
      <c r="O367" s="876"/>
      <c r="P367" s="876"/>
      <c r="Q367" s="870"/>
      <c r="R367" s="870"/>
      <c r="S367" s="870"/>
      <c r="T367" s="870"/>
      <c r="U367" s="870"/>
      <c r="V367" s="870"/>
      <c r="W367" s="870"/>
      <c r="X367" s="870"/>
      <c r="Y367" s="870"/>
      <c r="Z367" s="870"/>
      <c r="AA367" s="870"/>
      <c r="AB367" s="870"/>
      <c r="AC367" s="870"/>
      <c r="AD367" s="870"/>
      <c r="AE367" s="870"/>
      <c r="AF367" s="870"/>
      <c r="AG367" s="870"/>
    </row>
    <row r="368" spans="1:33" s="995" customFormat="1">
      <c r="A368" s="974"/>
      <c r="D368" s="876"/>
      <c r="E368" s="974"/>
      <c r="F368" s="876"/>
      <c r="G368" s="876"/>
      <c r="H368" s="876"/>
      <c r="I368" s="876"/>
      <c r="J368" s="876"/>
      <c r="K368" s="876"/>
      <c r="L368" s="876"/>
      <c r="M368" s="876"/>
      <c r="N368" s="876"/>
      <c r="O368" s="876"/>
      <c r="P368" s="876"/>
      <c r="Q368" s="870"/>
      <c r="R368" s="870"/>
      <c r="S368" s="870"/>
      <c r="T368" s="870"/>
      <c r="U368" s="870"/>
      <c r="V368" s="870"/>
      <c r="W368" s="870"/>
      <c r="X368" s="870"/>
      <c r="Y368" s="870"/>
      <c r="Z368" s="870"/>
      <c r="AA368" s="870"/>
      <c r="AB368" s="870"/>
      <c r="AC368" s="870"/>
      <c r="AD368" s="870"/>
      <c r="AE368" s="870"/>
      <c r="AF368" s="870"/>
      <c r="AG368" s="870"/>
    </row>
    <row r="369" spans="1:33" s="995" customFormat="1">
      <c r="A369" s="974"/>
      <c r="D369" s="876"/>
      <c r="E369" s="974"/>
      <c r="F369" s="876"/>
      <c r="G369" s="876"/>
      <c r="H369" s="876"/>
      <c r="I369" s="876"/>
      <c r="J369" s="876"/>
      <c r="K369" s="876"/>
      <c r="L369" s="876"/>
      <c r="M369" s="876"/>
      <c r="N369" s="876"/>
      <c r="O369" s="876"/>
      <c r="P369" s="876"/>
      <c r="Q369" s="870"/>
      <c r="R369" s="870"/>
      <c r="S369" s="870"/>
      <c r="T369" s="870"/>
      <c r="U369" s="870"/>
      <c r="V369" s="870"/>
      <c r="W369" s="870"/>
      <c r="X369" s="870"/>
      <c r="Y369" s="870"/>
      <c r="Z369" s="870"/>
      <c r="AA369" s="870"/>
      <c r="AB369" s="870"/>
      <c r="AC369" s="870"/>
      <c r="AD369" s="870"/>
      <c r="AE369" s="870"/>
      <c r="AF369" s="870"/>
      <c r="AG369" s="870"/>
    </row>
    <row r="370" spans="1:33" s="995" customFormat="1">
      <c r="A370" s="974"/>
      <c r="D370" s="876"/>
      <c r="E370" s="974"/>
      <c r="F370" s="876"/>
      <c r="G370" s="876"/>
      <c r="H370" s="876"/>
      <c r="I370" s="876"/>
      <c r="J370" s="876"/>
      <c r="K370" s="876"/>
      <c r="L370" s="876"/>
      <c r="M370" s="876"/>
      <c r="N370" s="876"/>
      <c r="O370" s="876"/>
      <c r="P370" s="876"/>
      <c r="Q370" s="870"/>
      <c r="R370" s="870"/>
      <c r="S370" s="870"/>
      <c r="T370" s="870"/>
      <c r="U370" s="870"/>
      <c r="V370" s="870"/>
      <c r="W370" s="870"/>
      <c r="X370" s="870"/>
      <c r="Y370" s="870"/>
      <c r="Z370" s="870"/>
      <c r="AA370" s="870"/>
      <c r="AB370" s="870"/>
      <c r="AC370" s="870"/>
      <c r="AD370" s="870"/>
      <c r="AE370" s="870"/>
      <c r="AF370" s="870"/>
      <c r="AG370" s="870"/>
    </row>
    <row r="371" spans="1:33" s="995" customFormat="1">
      <c r="A371" s="974"/>
      <c r="D371" s="876"/>
      <c r="E371" s="974"/>
      <c r="F371" s="876"/>
      <c r="G371" s="876"/>
      <c r="H371" s="876"/>
      <c r="I371" s="876"/>
      <c r="J371" s="876"/>
      <c r="K371" s="876"/>
      <c r="L371" s="876"/>
      <c r="M371" s="876"/>
      <c r="N371" s="876"/>
      <c r="O371" s="876"/>
      <c r="P371" s="876"/>
      <c r="Q371" s="870"/>
      <c r="R371" s="870"/>
      <c r="S371" s="870"/>
      <c r="T371" s="870"/>
      <c r="U371" s="870"/>
      <c r="V371" s="870"/>
      <c r="W371" s="870"/>
      <c r="X371" s="870"/>
      <c r="Y371" s="870"/>
      <c r="Z371" s="870"/>
      <c r="AA371" s="870"/>
      <c r="AB371" s="870"/>
      <c r="AC371" s="870"/>
      <c r="AD371" s="870"/>
      <c r="AE371" s="870"/>
      <c r="AF371" s="870"/>
      <c r="AG371" s="870"/>
    </row>
    <row r="372" spans="1:33" s="995" customFormat="1">
      <c r="A372" s="974"/>
      <c r="D372" s="876"/>
      <c r="E372" s="974"/>
      <c r="F372" s="876"/>
      <c r="G372" s="876"/>
      <c r="H372" s="876"/>
      <c r="I372" s="876"/>
      <c r="J372" s="876"/>
      <c r="K372" s="876"/>
      <c r="L372" s="876"/>
      <c r="M372" s="876"/>
      <c r="N372" s="876"/>
      <c r="O372" s="876"/>
      <c r="P372" s="876"/>
      <c r="Q372" s="870"/>
      <c r="R372" s="870"/>
      <c r="S372" s="870"/>
      <c r="T372" s="870"/>
      <c r="U372" s="870"/>
      <c r="V372" s="870"/>
      <c r="W372" s="870"/>
      <c r="X372" s="870"/>
      <c r="Y372" s="870"/>
      <c r="Z372" s="870"/>
      <c r="AA372" s="870"/>
      <c r="AB372" s="870"/>
      <c r="AC372" s="870"/>
      <c r="AD372" s="870"/>
      <c r="AE372" s="870"/>
      <c r="AF372" s="870"/>
      <c r="AG372" s="870"/>
    </row>
    <row r="373" spans="1:33" s="995" customFormat="1">
      <c r="A373" s="974"/>
      <c r="D373" s="876"/>
      <c r="E373" s="974"/>
      <c r="F373" s="876"/>
      <c r="G373" s="876"/>
      <c r="H373" s="876"/>
      <c r="I373" s="876"/>
      <c r="J373" s="876"/>
      <c r="K373" s="876"/>
      <c r="L373" s="876"/>
      <c r="M373" s="876"/>
      <c r="N373" s="876"/>
      <c r="O373" s="876"/>
      <c r="P373" s="876"/>
      <c r="Q373" s="870"/>
      <c r="R373" s="870"/>
      <c r="S373" s="870"/>
      <c r="T373" s="870"/>
      <c r="U373" s="870"/>
      <c r="V373" s="870"/>
      <c r="W373" s="870"/>
      <c r="X373" s="870"/>
      <c r="Y373" s="870"/>
      <c r="Z373" s="870"/>
      <c r="AA373" s="870"/>
      <c r="AB373" s="870"/>
      <c r="AC373" s="870"/>
      <c r="AD373" s="870"/>
      <c r="AE373" s="870"/>
      <c r="AF373" s="870"/>
      <c r="AG373" s="870"/>
    </row>
    <row r="374" spans="1:33" s="995" customFormat="1">
      <c r="A374" s="974"/>
      <c r="D374" s="876"/>
      <c r="E374" s="974"/>
      <c r="F374" s="876"/>
      <c r="G374" s="876"/>
      <c r="H374" s="876"/>
      <c r="I374" s="876"/>
      <c r="J374" s="876"/>
      <c r="K374" s="876"/>
      <c r="L374" s="876"/>
      <c r="M374" s="876"/>
      <c r="N374" s="876"/>
      <c r="O374" s="876"/>
      <c r="P374" s="876"/>
      <c r="Q374" s="870"/>
      <c r="R374" s="870"/>
      <c r="S374" s="870"/>
      <c r="T374" s="870"/>
      <c r="U374" s="870"/>
      <c r="V374" s="870"/>
      <c r="W374" s="870"/>
      <c r="X374" s="870"/>
      <c r="Y374" s="870"/>
      <c r="Z374" s="870"/>
      <c r="AA374" s="870"/>
      <c r="AB374" s="870"/>
      <c r="AC374" s="870"/>
      <c r="AD374" s="870"/>
      <c r="AE374" s="870"/>
      <c r="AF374" s="870"/>
      <c r="AG374" s="870"/>
    </row>
    <row r="375" spans="1:33" s="995" customFormat="1">
      <c r="A375" s="974"/>
      <c r="D375" s="876"/>
      <c r="E375" s="974"/>
      <c r="F375" s="876"/>
      <c r="G375" s="876"/>
      <c r="H375" s="876"/>
      <c r="I375" s="876"/>
      <c r="J375" s="876"/>
      <c r="K375" s="876"/>
      <c r="L375" s="876"/>
      <c r="M375" s="876"/>
      <c r="N375" s="876"/>
      <c r="O375" s="876"/>
      <c r="P375" s="876"/>
      <c r="Q375" s="870"/>
      <c r="R375" s="870"/>
      <c r="S375" s="870"/>
      <c r="T375" s="870"/>
      <c r="U375" s="870"/>
      <c r="V375" s="870"/>
      <c r="W375" s="870"/>
      <c r="X375" s="870"/>
      <c r="Y375" s="870"/>
      <c r="Z375" s="870"/>
      <c r="AA375" s="870"/>
      <c r="AB375" s="870"/>
      <c r="AC375" s="870"/>
      <c r="AD375" s="870"/>
      <c r="AE375" s="870"/>
      <c r="AF375" s="870"/>
      <c r="AG375" s="870"/>
    </row>
    <row r="376" spans="1:33" s="995" customFormat="1">
      <c r="A376" s="974"/>
      <c r="D376" s="876"/>
      <c r="E376" s="974"/>
      <c r="F376" s="876"/>
      <c r="G376" s="876"/>
      <c r="H376" s="876"/>
      <c r="I376" s="876"/>
      <c r="J376" s="876"/>
      <c r="K376" s="876"/>
      <c r="L376" s="876"/>
      <c r="M376" s="876"/>
      <c r="N376" s="876"/>
      <c r="O376" s="876"/>
      <c r="P376" s="876"/>
      <c r="Q376" s="870"/>
      <c r="R376" s="870"/>
      <c r="S376" s="870"/>
      <c r="T376" s="870"/>
      <c r="U376" s="870"/>
      <c r="V376" s="870"/>
      <c r="W376" s="870"/>
      <c r="X376" s="870"/>
      <c r="Y376" s="870"/>
      <c r="Z376" s="870"/>
      <c r="AA376" s="870"/>
      <c r="AB376" s="870"/>
      <c r="AC376" s="870"/>
      <c r="AD376" s="870"/>
      <c r="AE376" s="870"/>
      <c r="AF376" s="870"/>
      <c r="AG376" s="870"/>
    </row>
    <row r="377" spans="1:33" s="995" customFormat="1">
      <c r="A377" s="974"/>
      <c r="D377" s="876"/>
      <c r="E377" s="974"/>
      <c r="F377" s="876"/>
      <c r="G377" s="876"/>
      <c r="H377" s="876"/>
      <c r="I377" s="876"/>
      <c r="J377" s="876"/>
      <c r="K377" s="876"/>
      <c r="L377" s="876"/>
      <c r="M377" s="876"/>
      <c r="N377" s="876"/>
      <c r="O377" s="876"/>
      <c r="P377" s="876"/>
      <c r="Q377" s="870"/>
      <c r="R377" s="870"/>
      <c r="S377" s="870"/>
      <c r="T377" s="870"/>
      <c r="U377" s="870"/>
      <c r="V377" s="870"/>
      <c r="W377" s="870"/>
      <c r="X377" s="870"/>
      <c r="Y377" s="870"/>
      <c r="Z377" s="870"/>
      <c r="AA377" s="870"/>
      <c r="AB377" s="870"/>
      <c r="AC377" s="870"/>
      <c r="AD377" s="870"/>
      <c r="AE377" s="870"/>
      <c r="AF377" s="870"/>
      <c r="AG377" s="870"/>
    </row>
    <row r="378" spans="1:33" s="995" customFormat="1">
      <c r="A378" s="974"/>
      <c r="D378" s="876"/>
      <c r="E378" s="974"/>
      <c r="F378" s="876"/>
      <c r="G378" s="876"/>
      <c r="H378" s="876"/>
      <c r="I378" s="876"/>
      <c r="J378" s="876"/>
      <c r="K378" s="876"/>
      <c r="L378" s="876"/>
      <c r="M378" s="876"/>
      <c r="N378" s="876"/>
      <c r="O378" s="876"/>
      <c r="P378" s="876"/>
      <c r="Q378" s="870"/>
      <c r="R378" s="870"/>
      <c r="S378" s="870"/>
      <c r="T378" s="870"/>
      <c r="U378" s="870"/>
      <c r="V378" s="870"/>
      <c r="W378" s="870"/>
      <c r="X378" s="870"/>
      <c r="Y378" s="870"/>
      <c r="Z378" s="870"/>
      <c r="AA378" s="870"/>
      <c r="AB378" s="870"/>
      <c r="AC378" s="870"/>
      <c r="AD378" s="870"/>
      <c r="AE378" s="870"/>
      <c r="AF378" s="870"/>
      <c r="AG378" s="870"/>
    </row>
    <row r="379" spans="1:33" s="995" customFormat="1">
      <c r="A379" s="974"/>
      <c r="D379" s="876"/>
      <c r="E379" s="974"/>
      <c r="F379" s="876"/>
      <c r="G379" s="876"/>
      <c r="H379" s="876"/>
      <c r="I379" s="876"/>
      <c r="J379" s="876"/>
      <c r="K379" s="876"/>
      <c r="L379" s="876"/>
      <c r="M379" s="876"/>
      <c r="N379" s="876"/>
      <c r="O379" s="876"/>
      <c r="P379" s="876"/>
      <c r="Q379" s="870"/>
      <c r="R379" s="870"/>
      <c r="S379" s="870"/>
      <c r="T379" s="870"/>
      <c r="U379" s="870"/>
      <c r="V379" s="870"/>
      <c r="W379" s="870"/>
      <c r="X379" s="870"/>
      <c r="Y379" s="870"/>
      <c r="Z379" s="870"/>
      <c r="AA379" s="870"/>
      <c r="AB379" s="870"/>
      <c r="AC379" s="870"/>
      <c r="AD379" s="870"/>
      <c r="AE379" s="870"/>
      <c r="AF379" s="870"/>
      <c r="AG379" s="870"/>
    </row>
    <row r="380" spans="1:33" s="995" customFormat="1">
      <c r="A380" s="974"/>
      <c r="D380" s="876"/>
      <c r="E380" s="974"/>
      <c r="F380" s="876"/>
      <c r="G380" s="876"/>
      <c r="H380" s="876"/>
      <c r="I380" s="876"/>
      <c r="J380" s="876"/>
      <c r="K380" s="876"/>
      <c r="L380" s="876"/>
      <c r="M380" s="876"/>
      <c r="N380" s="876"/>
      <c r="O380" s="876"/>
      <c r="P380" s="876"/>
      <c r="Q380" s="870"/>
      <c r="R380" s="870"/>
      <c r="S380" s="870"/>
      <c r="T380" s="870"/>
      <c r="U380" s="870"/>
      <c r="V380" s="870"/>
      <c r="W380" s="870"/>
      <c r="X380" s="870"/>
      <c r="Y380" s="870"/>
      <c r="Z380" s="870"/>
      <c r="AA380" s="870"/>
      <c r="AB380" s="870"/>
      <c r="AC380" s="870"/>
      <c r="AD380" s="870"/>
      <c r="AE380" s="870"/>
      <c r="AF380" s="870"/>
      <c r="AG380" s="870"/>
    </row>
    <row r="381" spans="1:33" s="995" customFormat="1">
      <c r="A381" s="974"/>
      <c r="D381" s="876"/>
      <c r="E381" s="974"/>
      <c r="F381" s="876"/>
      <c r="G381" s="876"/>
      <c r="H381" s="876"/>
      <c r="I381" s="876"/>
      <c r="J381" s="876"/>
      <c r="K381" s="876"/>
      <c r="L381" s="876"/>
      <c r="M381" s="876"/>
      <c r="N381" s="876"/>
      <c r="O381" s="876"/>
      <c r="P381" s="876"/>
      <c r="Q381" s="870"/>
      <c r="R381" s="870"/>
      <c r="S381" s="870"/>
      <c r="T381" s="870"/>
      <c r="U381" s="870"/>
      <c r="V381" s="870"/>
      <c r="W381" s="870"/>
      <c r="X381" s="870"/>
      <c r="Y381" s="870"/>
      <c r="Z381" s="870"/>
      <c r="AA381" s="870"/>
      <c r="AB381" s="870"/>
      <c r="AC381" s="870"/>
      <c r="AD381" s="870"/>
      <c r="AE381" s="870"/>
      <c r="AF381" s="870"/>
      <c r="AG381" s="870"/>
    </row>
    <row r="382" spans="1:33" s="995" customFormat="1">
      <c r="A382" s="974"/>
      <c r="D382" s="876"/>
      <c r="E382" s="974"/>
      <c r="F382" s="876"/>
      <c r="G382" s="876"/>
      <c r="H382" s="876"/>
      <c r="I382" s="876"/>
      <c r="J382" s="876"/>
      <c r="K382" s="876"/>
      <c r="L382" s="876"/>
      <c r="M382" s="876"/>
      <c r="N382" s="876"/>
      <c r="O382" s="876"/>
      <c r="P382" s="876"/>
      <c r="Q382" s="870"/>
      <c r="R382" s="870"/>
      <c r="S382" s="870"/>
      <c r="T382" s="870"/>
      <c r="U382" s="870"/>
      <c r="V382" s="870"/>
      <c r="W382" s="870"/>
      <c r="X382" s="870"/>
      <c r="Y382" s="870"/>
      <c r="Z382" s="870"/>
      <c r="AA382" s="870"/>
      <c r="AB382" s="870"/>
      <c r="AC382" s="870"/>
      <c r="AD382" s="870"/>
      <c r="AE382" s="870"/>
      <c r="AF382" s="870"/>
      <c r="AG382" s="870"/>
    </row>
    <row r="383" spans="1:33" s="995" customFormat="1">
      <c r="A383" s="974"/>
      <c r="D383" s="876"/>
      <c r="E383" s="974"/>
      <c r="F383" s="876"/>
      <c r="G383" s="876"/>
      <c r="H383" s="876"/>
      <c r="I383" s="876"/>
      <c r="J383" s="876"/>
      <c r="K383" s="876"/>
      <c r="L383" s="876"/>
      <c r="M383" s="876"/>
      <c r="N383" s="876"/>
      <c r="O383" s="876"/>
      <c r="P383" s="876"/>
      <c r="Q383" s="870"/>
      <c r="R383" s="870"/>
      <c r="S383" s="870"/>
      <c r="T383" s="870"/>
      <c r="U383" s="870"/>
      <c r="V383" s="870"/>
      <c r="W383" s="870"/>
      <c r="X383" s="870"/>
      <c r="Y383" s="870"/>
      <c r="Z383" s="870"/>
      <c r="AA383" s="870"/>
      <c r="AB383" s="870"/>
      <c r="AC383" s="870"/>
      <c r="AD383" s="870"/>
      <c r="AE383" s="870"/>
      <c r="AF383" s="870"/>
      <c r="AG383" s="870"/>
    </row>
    <row r="384" spans="1:33" s="995" customFormat="1">
      <c r="A384" s="974"/>
      <c r="D384" s="876"/>
      <c r="E384" s="974"/>
      <c r="F384" s="876"/>
      <c r="G384" s="876"/>
      <c r="H384" s="876"/>
      <c r="I384" s="876"/>
      <c r="J384" s="876"/>
      <c r="K384" s="876"/>
      <c r="L384" s="876"/>
      <c r="M384" s="876"/>
      <c r="N384" s="876"/>
      <c r="O384" s="876"/>
      <c r="P384" s="876"/>
      <c r="Q384" s="870"/>
      <c r="R384" s="870"/>
      <c r="S384" s="870"/>
      <c r="T384" s="870"/>
      <c r="U384" s="870"/>
      <c r="V384" s="870"/>
      <c r="W384" s="870"/>
      <c r="X384" s="870"/>
      <c r="Y384" s="870"/>
      <c r="Z384" s="870"/>
      <c r="AA384" s="870"/>
      <c r="AB384" s="870"/>
      <c r="AC384" s="870"/>
      <c r="AD384" s="870"/>
      <c r="AE384" s="870"/>
      <c r="AF384" s="870"/>
      <c r="AG384" s="870"/>
    </row>
    <row r="385" spans="1:33" s="995" customFormat="1">
      <c r="A385" s="974"/>
      <c r="D385" s="876"/>
      <c r="E385" s="974"/>
      <c r="F385" s="876"/>
      <c r="G385" s="876"/>
      <c r="H385" s="876"/>
      <c r="I385" s="876"/>
      <c r="J385" s="876"/>
      <c r="K385" s="876"/>
      <c r="L385" s="876"/>
      <c r="M385" s="876"/>
      <c r="N385" s="876"/>
      <c r="O385" s="876"/>
      <c r="P385" s="876"/>
      <c r="Q385" s="870"/>
      <c r="R385" s="870"/>
      <c r="S385" s="870"/>
      <c r="T385" s="870"/>
      <c r="U385" s="870"/>
      <c r="V385" s="870"/>
      <c r="W385" s="870"/>
      <c r="X385" s="870"/>
      <c r="Y385" s="870"/>
      <c r="Z385" s="870"/>
      <c r="AA385" s="870"/>
      <c r="AB385" s="870"/>
      <c r="AC385" s="870"/>
      <c r="AD385" s="870"/>
      <c r="AE385" s="870"/>
      <c r="AF385" s="870"/>
      <c r="AG385" s="870"/>
    </row>
    <row r="386" spans="1:33" s="995" customFormat="1">
      <c r="A386" s="974"/>
      <c r="D386" s="876"/>
      <c r="E386" s="974"/>
      <c r="F386" s="876"/>
      <c r="G386" s="876"/>
      <c r="H386" s="876"/>
      <c r="I386" s="876"/>
      <c r="J386" s="876"/>
      <c r="K386" s="876"/>
      <c r="L386" s="876"/>
      <c r="M386" s="876"/>
      <c r="N386" s="876"/>
      <c r="O386" s="876"/>
      <c r="P386" s="876"/>
      <c r="Q386" s="870"/>
      <c r="R386" s="870"/>
      <c r="S386" s="870"/>
      <c r="T386" s="870"/>
      <c r="U386" s="870"/>
      <c r="V386" s="870"/>
      <c r="W386" s="870"/>
      <c r="X386" s="870"/>
      <c r="Y386" s="870"/>
      <c r="Z386" s="870"/>
      <c r="AA386" s="870"/>
      <c r="AB386" s="870"/>
      <c r="AC386" s="870"/>
      <c r="AD386" s="870"/>
      <c r="AE386" s="870"/>
      <c r="AF386" s="870"/>
      <c r="AG386" s="870"/>
    </row>
    <row r="387" spans="1:33" s="995" customFormat="1">
      <c r="A387" s="974"/>
      <c r="D387" s="876"/>
      <c r="E387" s="974"/>
      <c r="F387" s="876"/>
      <c r="G387" s="876"/>
      <c r="H387" s="876"/>
      <c r="I387" s="876"/>
      <c r="J387" s="876"/>
      <c r="K387" s="876"/>
      <c r="L387" s="876"/>
      <c r="M387" s="876"/>
      <c r="N387" s="876"/>
      <c r="O387" s="876"/>
      <c r="P387" s="876"/>
      <c r="Q387" s="870"/>
      <c r="R387" s="870"/>
      <c r="S387" s="870"/>
      <c r="T387" s="870"/>
      <c r="U387" s="870"/>
      <c r="V387" s="870"/>
      <c r="W387" s="870"/>
      <c r="X387" s="870"/>
      <c r="Y387" s="870"/>
      <c r="Z387" s="870"/>
      <c r="AA387" s="870"/>
      <c r="AB387" s="870"/>
      <c r="AC387" s="870"/>
      <c r="AD387" s="870"/>
      <c r="AE387" s="870"/>
      <c r="AF387" s="870"/>
      <c r="AG387" s="870"/>
    </row>
    <row r="388" spans="1:33" s="995" customFormat="1">
      <c r="A388" s="974"/>
      <c r="D388" s="876"/>
      <c r="E388" s="974"/>
      <c r="F388" s="876"/>
      <c r="G388" s="876"/>
      <c r="H388" s="876"/>
      <c r="I388" s="876"/>
      <c r="J388" s="876"/>
      <c r="K388" s="876"/>
      <c r="L388" s="876"/>
      <c r="M388" s="876"/>
      <c r="N388" s="876"/>
      <c r="O388" s="876"/>
      <c r="P388" s="876"/>
      <c r="Q388" s="870"/>
      <c r="R388" s="870"/>
      <c r="S388" s="870"/>
      <c r="T388" s="870"/>
      <c r="U388" s="870"/>
      <c r="V388" s="870"/>
      <c r="W388" s="870"/>
      <c r="X388" s="870"/>
      <c r="Y388" s="870"/>
      <c r="Z388" s="870"/>
      <c r="AA388" s="870"/>
      <c r="AB388" s="870"/>
      <c r="AC388" s="870"/>
      <c r="AD388" s="870"/>
      <c r="AE388" s="870"/>
      <c r="AF388" s="870"/>
      <c r="AG388" s="870"/>
    </row>
    <row r="389" spans="1:33" s="995" customFormat="1">
      <c r="A389" s="974"/>
      <c r="D389" s="876"/>
      <c r="E389" s="974"/>
      <c r="F389" s="876"/>
      <c r="G389" s="876"/>
      <c r="H389" s="876"/>
      <c r="I389" s="876"/>
      <c r="J389" s="876"/>
      <c r="K389" s="876"/>
      <c r="L389" s="876"/>
      <c r="M389" s="876"/>
      <c r="N389" s="876"/>
      <c r="O389" s="876"/>
      <c r="P389" s="876"/>
      <c r="Q389" s="870"/>
      <c r="R389" s="870"/>
      <c r="S389" s="870"/>
      <c r="T389" s="870"/>
      <c r="U389" s="870"/>
      <c r="V389" s="870"/>
      <c r="W389" s="870"/>
      <c r="X389" s="870"/>
      <c r="Y389" s="870"/>
      <c r="Z389" s="870"/>
      <c r="AA389" s="870"/>
      <c r="AB389" s="870"/>
      <c r="AC389" s="870"/>
      <c r="AD389" s="870"/>
      <c r="AE389" s="870"/>
      <c r="AF389" s="870"/>
      <c r="AG389" s="870"/>
    </row>
    <row r="390" spans="1:33" s="995" customFormat="1">
      <c r="A390" s="974"/>
      <c r="D390" s="876"/>
      <c r="E390" s="974"/>
      <c r="F390" s="876"/>
      <c r="G390" s="876"/>
      <c r="H390" s="876"/>
      <c r="I390" s="876"/>
      <c r="J390" s="876"/>
      <c r="K390" s="876"/>
      <c r="L390" s="876"/>
      <c r="M390" s="876"/>
      <c r="N390" s="876"/>
      <c r="O390" s="876"/>
      <c r="P390" s="876"/>
      <c r="Q390" s="870"/>
      <c r="R390" s="870"/>
      <c r="S390" s="870"/>
      <c r="T390" s="870"/>
      <c r="U390" s="870"/>
      <c r="V390" s="870"/>
      <c r="W390" s="870"/>
      <c r="X390" s="870"/>
      <c r="Y390" s="870"/>
      <c r="Z390" s="870"/>
      <c r="AA390" s="870"/>
      <c r="AB390" s="870"/>
      <c r="AC390" s="870"/>
      <c r="AD390" s="870"/>
      <c r="AE390" s="870"/>
      <c r="AF390" s="870"/>
      <c r="AG390" s="870"/>
    </row>
    <row r="391" spans="1:33" s="995" customFormat="1">
      <c r="A391" s="974"/>
      <c r="D391" s="876"/>
      <c r="E391" s="974"/>
      <c r="F391" s="876"/>
      <c r="G391" s="876"/>
      <c r="H391" s="876"/>
      <c r="I391" s="876"/>
      <c r="J391" s="876"/>
      <c r="K391" s="876"/>
      <c r="L391" s="876"/>
      <c r="M391" s="876"/>
      <c r="N391" s="876"/>
      <c r="O391" s="876"/>
      <c r="P391" s="876"/>
      <c r="Q391" s="870"/>
      <c r="R391" s="870"/>
      <c r="S391" s="870"/>
      <c r="T391" s="870"/>
      <c r="U391" s="870"/>
      <c r="V391" s="870"/>
      <c r="W391" s="870"/>
      <c r="X391" s="870"/>
      <c r="Y391" s="870"/>
      <c r="Z391" s="870"/>
      <c r="AA391" s="870"/>
      <c r="AB391" s="870"/>
      <c r="AC391" s="870"/>
      <c r="AD391" s="870"/>
      <c r="AE391" s="870"/>
      <c r="AF391" s="870"/>
      <c r="AG391" s="870"/>
    </row>
    <row r="392" spans="1:33" s="995" customFormat="1">
      <c r="A392" s="974"/>
      <c r="D392" s="876"/>
      <c r="E392" s="974"/>
      <c r="F392" s="876"/>
      <c r="G392" s="876"/>
      <c r="H392" s="876"/>
      <c r="I392" s="876"/>
      <c r="J392" s="876"/>
      <c r="K392" s="876"/>
      <c r="L392" s="876"/>
      <c r="M392" s="876"/>
      <c r="N392" s="876"/>
      <c r="O392" s="876"/>
      <c r="P392" s="876"/>
      <c r="Q392" s="870"/>
      <c r="R392" s="870"/>
      <c r="S392" s="870"/>
      <c r="T392" s="870"/>
      <c r="U392" s="870"/>
      <c r="V392" s="870"/>
      <c r="W392" s="870"/>
      <c r="X392" s="870"/>
      <c r="Y392" s="870"/>
      <c r="Z392" s="870"/>
      <c r="AA392" s="870"/>
      <c r="AB392" s="870"/>
      <c r="AC392" s="870"/>
      <c r="AD392" s="870"/>
      <c r="AE392" s="870"/>
      <c r="AF392" s="870"/>
      <c r="AG392" s="870"/>
    </row>
    <row r="393" spans="1:33" s="995" customFormat="1">
      <c r="A393" s="974"/>
      <c r="D393" s="876"/>
      <c r="E393" s="974"/>
      <c r="F393" s="876"/>
      <c r="G393" s="876"/>
      <c r="H393" s="876"/>
      <c r="I393" s="876"/>
      <c r="J393" s="876"/>
      <c r="K393" s="876"/>
      <c r="L393" s="876"/>
      <c r="M393" s="876"/>
      <c r="N393" s="876"/>
      <c r="O393" s="876"/>
      <c r="P393" s="876"/>
      <c r="Q393" s="870"/>
      <c r="R393" s="870"/>
      <c r="S393" s="870"/>
      <c r="T393" s="870"/>
      <c r="U393" s="870"/>
      <c r="V393" s="870"/>
      <c r="W393" s="870"/>
      <c r="X393" s="870"/>
      <c r="Y393" s="870"/>
      <c r="Z393" s="870"/>
      <c r="AA393" s="870"/>
      <c r="AB393" s="870"/>
      <c r="AC393" s="870"/>
      <c r="AD393" s="870"/>
      <c r="AE393" s="870"/>
      <c r="AF393" s="870"/>
      <c r="AG393" s="870"/>
    </row>
    <row r="394" spans="1:33" s="995" customFormat="1">
      <c r="A394" s="974"/>
      <c r="D394" s="876"/>
      <c r="E394" s="974"/>
      <c r="F394" s="876"/>
      <c r="G394" s="876"/>
      <c r="H394" s="876"/>
      <c r="I394" s="876"/>
      <c r="J394" s="876"/>
      <c r="K394" s="876"/>
      <c r="L394" s="876"/>
      <c r="M394" s="876"/>
      <c r="N394" s="876"/>
      <c r="O394" s="876"/>
      <c r="P394" s="876"/>
      <c r="Q394" s="870"/>
      <c r="R394" s="870"/>
      <c r="S394" s="870"/>
      <c r="T394" s="870"/>
      <c r="U394" s="870"/>
      <c r="V394" s="870"/>
      <c r="W394" s="870"/>
      <c r="X394" s="870"/>
      <c r="Y394" s="870"/>
      <c r="Z394" s="870"/>
      <c r="AA394" s="870"/>
      <c r="AB394" s="870"/>
      <c r="AC394" s="870"/>
      <c r="AD394" s="870"/>
      <c r="AE394" s="870"/>
      <c r="AF394" s="870"/>
      <c r="AG394" s="870"/>
    </row>
    <row r="395" spans="1:33" s="995" customFormat="1">
      <c r="A395" s="974"/>
      <c r="D395" s="876"/>
      <c r="E395" s="974"/>
      <c r="F395" s="876"/>
      <c r="G395" s="876"/>
      <c r="H395" s="876"/>
      <c r="I395" s="876"/>
      <c r="J395" s="876"/>
      <c r="K395" s="876"/>
      <c r="L395" s="876"/>
      <c r="M395" s="876"/>
      <c r="N395" s="876"/>
      <c r="O395" s="876"/>
      <c r="P395" s="876"/>
      <c r="Q395" s="870"/>
      <c r="R395" s="870"/>
      <c r="S395" s="870"/>
      <c r="T395" s="870"/>
      <c r="U395" s="870"/>
      <c r="V395" s="870"/>
      <c r="W395" s="870"/>
      <c r="X395" s="870"/>
      <c r="Y395" s="870"/>
      <c r="Z395" s="870"/>
      <c r="AA395" s="870"/>
      <c r="AB395" s="870"/>
      <c r="AC395" s="870"/>
      <c r="AD395" s="870"/>
      <c r="AE395" s="870"/>
      <c r="AF395" s="870"/>
      <c r="AG395" s="870"/>
    </row>
    <row r="396" spans="1:33" s="995" customFormat="1">
      <c r="A396" s="974"/>
      <c r="D396" s="876"/>
      <c r="E396" s="974"/>
      <c r="F396" s="876"/>
      <c r="G396" s="876"/>
      <c r="H396" s="876"/>
      <c r="I396" s="876"/>
      <c r="J396" s="876"/>
      <c r="K396" s="876"/>
      <c r="L396" s="876"/>
      <c r="M396" s="876"/>
      <c r="N396" s="876"/>
      <c r="O396" s="876"/>
      <c r="P396" s="876"/>
      <c r="Q396" s="870"/>
      <c r="R396" s="870"/>
      <c r="S396" s="870"/>
      <c r="T396" s="870"/>
      <c r="U396" s="870"/>
      <c r="V396" s="870"/>
      <c r="W396" s="870"/>
      <c r="X396" s="870"/>
      <c r="Y396" s="870"/>
      <c r="Z396" s="870"/>
      <c r="AA396" s="870"/>
      <c r="AB396" s="870"/>
      <c r="AC396" s="870"/>
      <c r="AD396" s="870"/>
      <c r="AE396" s="870"/>
      <c r="AF396" s="870"/>
      <c r="AG396" s="870"/>
    </row>
    <row r="397" spans="1:33" s="995" customFormat="1">
      <c r="A397" s="974"/>
      <c r="D397" s="876"/>
      <c r="E397" s="974"/>
      <c r="F397" s="876"/>
      <c r="G397" s="876"/>
      <c r="H397" s="876"/>
      <c r="I397" s="876"/>
      <c r="J397" s="876"/>
      <c r="K397" s="876"/>
      <c r="L397" s="876"/>
      <c r="M397" s="876"/>
      <c r="N397" s="876"/>
      <c r="O397" s="876"/>
      <c r="P397" s="876"/>
      <c r="Q397" s="870"/>
      <c r="R397" s="870"/>
      <c r="S397" s="870"/>
      <c r="T397" s="870"/>
      <c r="U397" s="870"/>
      <c r="V397" s="870"/>
      <c r="W397" s="870"/>
      <c r="X397" s="870"/>
      <c r="Y397" s="870"/>
      <c r="Z397" s="870"/>
      <c r="AA397" s="870"/>
      <c r="AB397" s="870"/>
      <c r="AC397" s="870"/>
      <c r="AD397" s="870"/>
      <c r="AE397" s="870"/>
      <c r="AF397" s="870"/>
      <c r="AG397" s="870"/>
    </row>
    <row r="398" spans="1:33" s="995" customFormat="1">
      <c r="A398" s="974"/>
      <c r="D398" s="876"/>
      <c r="E398" s="974"/>
      <c r="F398" s="876"/>
      <c r="G398" s="876"/>
      <c r="H398" s="876"/>
      <c r="I398" s="876"/>
      <c r="J398" s="876"/>
      <c r="K398" s="876"/>
      <c r="L398" s="876"/>
      <c r="M398" s="876"/>
      <c r="N398" s="876"/>
      <c r="O398" s="876"/>
      <c r="P398" s="876"/>
      <c r="Q398" s="870"/>
      <c r="R398" s="870"/>
      <c r="S398" s="870"/>
      <c r="T398" s="870"/>
      <c r="U398" s="870"/>
      <c r="V398" s="870"/>
      <c r="W398" s="870"/>
      <c r="X398" s="870"/>
      <c r="Y398" s="870"/>
      <c r="Z398" s="870"/>
      <c r="AA398" s="870"/>
      <c r="AB398" s="870"/>
      <c r="AC398" s="870"/>
      <c r="AD398" s="870"/>
      <c r="AE398" s="870"/>
      <c r="AF398" s="870"/>
      <c r="AG398" s="870"/>
    </row>
    <row r="399" spans="1:33" s="995" customFormat="1">
      <c r="A399" s="974"/>
      <c r="D399" s="876"/>
      <c r="E399" s="974"/>
      <c r="F399" s="876"/>
      <c r="G399" s="876"/>
      <c r="H399" s="876"/>
      <c r="I399" s="876"/>
      <c r="J399" s="876"/>
      <c r="K399" s="876"/>
      <c r="L399" s="876"/>
      <c r="M399" s="876"/>
      <c r="N399" s="876"/>
      <c r="O399" s="876"/>
      <c r="P399" s="876"/>
      <c r="Q399" s="870"/>
      <c r="R399" s="870"/>
      <c r="S399" s="870"/>
      <c r="T399" s="870"/>
      <c r="U399" s="870"/>
      <c r="V399" s="870"/>
      <c r="W399" s="870"/>
      <c r="X399" s="870"/>
      <c r="Y399" s="870"/>
      <c r="Z399" s="870"/>
      <c r="AA399" s="870"/>
      <c r="AB399" s="870"/>
      <c r="AC399" s="870"/>
      <c r="AD399" s="870"/>
      <c r="AE399" s="870"/>
      <c r="AF399" s="870"/>
      <c r="AG399" s="870"/>
    </row>
    <row r="400" spans="1:33" s="995" customFormat="1">
      <c r="A400" s="974"/>
      <c r="D400" s="876"/>
      <c r="E400" s="974"/>
      <c r="F400" s="876"/>
      <c r="G400" s="876"/>
      <c r="H400" s="876"/>
      <c r="I400" s="876"/>
      <c r="J400" s="876"/>
      <c r="K400" s="876"/>
      <c r="L400" s="876"/>
      <c r="M400" s="876"/>
      <c r="N400" s="876"/>
      <c r="O400" s="876"/>
      <c r="P400" s="876"/>
      <c r="Q400" s="870"/>
      <c r="R400" s="870"/>
      <c r="S400" s="870"/>
      <c r="T400" s="870"/>
      <c r="U400" s="870"/>
      <c r="V400" s="870"/>
      <c r="W400" s="870"/>
      <c r="X400" s="870"/>
      <c r="Y400" s="870"/>
      <c r="Z400" s="870"/>
      <c r="AA400" s="870"/>
      <c r="AB400" s="870"/>
      <c r="AC400" s="870"/>
      <c r="AD400" s="870"/>
      <c r="AE400" s="870"/>
      <c r="AF400" s="870"/>
      <c r="AG400" s="870"/>
    </row>
    <row r="401" spans="1:33" s="995" customFormat="1">
      <c r="A401" s="974"/>
      <c r="D401" s="876"/>
      <c r="E401" s="974"/>
      <c r="F401" s="876"/>
      <c r="G401" s="876"/>
      <c r="H401" s="876"/>
      <c r="I401" s="876"/>
      <c r="J401" s="876"/>
      <c r="K401" s="876"/>
      <c r="L401" s="876"/>
      <c r="M401" s="876"/>
      <c r="N401" s="876"/>
      <c r="O401" s="876"/>
      <c r="P401" s="876"/>
      <c r="Q401" s="870"/>
      <c r="R401" s="870"/>
      <c r="S401" s="870"/>
      <c r="T401" s="870"/>
      <c r="U401" s="870"/>
      <c r="V401" s="870"/>
      <c r="W401" s="870"/>
      <c r="X401" s="870"/>
      <c r="Y401" s="870"/>
      <c r="Z401" s="870"/>
      <c r="AA401" s="870"/>
      <c r="AB401" s="870"/>
      <c r="AC401" s="870"/>
      <c r="AD401" s="870"/>
      <c r="AE401" s="870"/>
      <c r="AF401" s="870"/>
      <c r="AG401" s="870"/>
    </row>
    <row r="402" spans="1:33" s="995" customFormat="1">
      <c r="A402" s="974"/>
      <c r="D402" s="876"/>
      <c r="E402" s="974"/>
      <c r="F402" s="876"/>
      <c r="G402" s="876"/>
      <c r="H402" s="876"/>
      <c r="I402" s="876"/>
      <c r="J402" s="876"/>
      <c r="K402" s="876"/>
      <c r="L402" s="876"/>
      <c r="M402" s="876"/>
      <c r="N402" s="876"/>
      <c r="O402" s="876"/>
      <c r="P402" s="876"/>
      <c r="Q402" s="870"/>
      <c r="R402" s="870"/>
      <c r="S402" s="870"/>
      <c r="T402" s="870"/>
      <c r="U402" s="870"/>
      <c r="V402" s="870"/>
      <c r="W402" s="870"/>
      <c r="X402" s="870"/>
      <c r="Y402" s="870"/>
      <c r="Z402" s="870"/>
      <c r="AA402" s="870"/>
      <c r="AB402" s="870"/>
      <c r="AC402" s="870"/>
      <c r="AD402" s="870"/>
      <c r="AE402" s="870"/>
      <c r="AF402" s="870"/>
      <c r="AG402" s="870"/>
    </row>
    <row r="403" spans="1:33" s="995" customFormat="1">
      <c r="A403" s="974"/>
      <c r="D403" s="876"/>
      <c r="E403" s="974"/>
      <c r="F403" s="876"/>
      <c r="G403" s="876"/>
      <c r="H403" s="876"/>
      <c r="I403" s="876"/>
      <c r="J403" s="876"/>
      <c r="K403" s="876"/>
      <c r="L403" s="876"/>
      <c r="M403" s="876"/>
      <c r="N403" s="876"/>
      <c r="O403" s="876"/>
      <c r="P403" s="876"/>
      <c r="Q403" s="870"/>
      <c r="R403" s="870"/>
      <c r="S403" s="870"/>
      <c r="T403" s="870"/>
      <c r="U403" s="870"/>
      <c r="V403" s="870"/>
      <c r="W403" s="870"/>
      <c r="X403" s="870"/>
      <c r="Y403" s="870"/>
      <c r="Z403" s="870"/>
      <c r="AA403" s="870"/>
      <c r="AB403" s="870"/>
      <c r="AC403" s="870"/>
      <c r="AD403" s="870"/>
      <c r="AE403" s="870"/>
      <c r="AF403" s="870"/>
      <c r="AG403" s="870"/>
    </row>
    <row r="404" spans="1:33" s="995" customFormat="1">
      <c r="A404" s="974"/>
      <c r="D404" s="876"/>
      <c r="E404" s="974"/>
      <c r="F404" s="876"/>
      <c r="G404" s="876"/>
      <c r="H404" s="876"/>
      <c r="I404" s="876"/>
      <c r="J404" s="876"/>
      <c r="K404" s="876"/>
      <c r="L404" s="876"/>
      <c r="M404" s="876"/>
      <c r="N404" s="876"/>
      <c r="O404" s="876"/>
      <c r="P404" s="876"/>
      <c r="Q404" s="870"/>
      <c r="R404" s="870"/>
      <c r="S404" s="870"/>
      <c r="T404" s="870"/>
      <c r="U404" s="870"/>
      <c r="V404" s="870"/>
      <c r="W404" s="870"/>
      <c r="X404" s="870"/>
      <c r="Y404" s="870"/>
      <c r="Z404" s="870"/>
      <c r="AA404" s="870"/>
      <c r="AB404" s="870"/>
      <c r="AC404" s="870"/>
      <c r="AD404" s="870"/>
      <c r="AE404" s="870"/>
      <c r="AF404" s="870"/>
      <c r="AG404" s="870"/>
    </row>
    <row r="405" spans="1:33" s="995" customFormat="1">
      <c r="A405" s="974"/>
      <c r="D405" s="876"/>
      <c r="E405" s="974"/>
      <c r="F405" s="876"/>
      <c r="G405" s="876"/>
      <c r="H405" s="876"/>
      <c r="I405" s="876"/>
      <c r="J405" s="876"/>
      <c r="K405" s="876"/>
      <c r="L405" s="876"/>
      <c r="M405" s="876"/>
      <c r="N405" s="876"/>
      <c r="O405" s="876"/>
      <c r="P405" s="876"/>
      <c r="Q405" s="870"/>
      <c r="R405" s="870"/>
      <c r="S405" s="870"/>
      <c r="T405" s="870"/>
      <c r="U405" s="870"/>
      <c r="V405" s="870"/>
      <c r="W405" s="870"/>
      <c r="X405" s="870"/>
      <c r="Y405" s="870"/>
      <c r="Z405" s="870"/>
      <c r="AA405" s="870"/>
      <c r="AB405" s="870"/>
      <c r="AC405" s="870"/>
      <c r="AD405" s="870"/>
      <c r="AE405" s="870"/>
      <c r="AF405" s="870"/>
      <c r="AG405" s="870"/>
    </row>
    <row r="406" spans="1:33" s="995" customFormat="1">
      <c r="A406" s="974"/>
      <c r="D406" s="876"/>
      <c r="E406" s="974"/>
      <c r="F406" s="876"/>
      <c r="G406" s="876"/>
      <c r="H406" s="876"/>
      <c r="I406" s="876"/>
      <c r="J406" s="876"/>
      <c r="K406" s="876"/>
      <c r="L406" s="876"/>
      <c r="M406" s="876"/>
      <c r="N406" s="876"/>
      <c r="O406" s="876"/>
      <c r="P406" s="876"/>
      <c r="Q406" s="870"/>
      <c r="R406" s="870"/>
      <c r="S406" s="870"/>
      <c r="T406" s="870"/>
      <c r="U406" s="870"/>
      <c r="V406" s="870"/>
      <c r="W406" s="870"/>
      <c r="X406" s="870"/>
      <c r="Y406" s="870"/>
      <c r="Z406" s="870"/>
      <c r="AA406" s="870"/>
      <c r="AB406" s="870"/>
      <c r="AC406" s="870"/>
      <c r="AD406" s="870"/>
      <c r="AE406" s="870"/>
      <c r="AF406" s="870"/>
      <c r="AG406" s="870"/>
    </row>
    <row r="407" spans="1:33" s="995" customFormat="1">
      <c r="A407" s="974"/>
      <c r="D407" s="876"/>
      <c r="E407" s="974"/>
      <c r="F407" s="876"/>
      <c r="G407" s="876"/>
      <c r="H407" s="876"/>
      <c r="I407" s="876"/>
      <c r="J407" s="876"/>
      <c r="K407" s="876"/>
      <c r="L407" s="876"/>
      <c r="M407" s="876"/>
      <c r="N407" s="876"/>
      <c r="O407" s="876"/>
      <c r="P407" s="876"/>
      <c r="Q407" s="870"/>
      <c r="R407" s="870"/>
      <c r="S407" s="870"/>
      <c r="T407" s="870"/>
      <c r="U407" s="870"/>
      <c r="V407" s="870"/>
      <c r="W407" s="870"/>
      <c r="X407" s="870"/>
      <c r="Y407" s="870"/>
      <c r="Z407" s="870"/>
      <c r="AA407" s="870"/>
      <c r="AB407" s="870"/>
      <c r="AC407" s="870"/>
      <c r="AD407" s="870"/>
      <c r="AE407" s="870"/>
      <c r="AF407" s="870"/>
      <c r="AG407" s="870"/>
    </row>
    <row r="408" spans="1:33" s="995" customFormat="1">
      <c r="A408" s="974"/>
      <c r="D408" s="876"/>
      <c r="E408" s="974"/>
      <c r="F408" s="876"/>
      <c r="G408" s="876"/>
      <c r="H408" s="876"/>
      <c r="I408" s="876"/>
      <c r="J408" s="876"/>
      <c r="K408" s="876"/>
      <c r="L408" s="876"/>
      <c r="M408" s="876"/>
      <c r="N408" s="876"/>
      <c r="O408" s="876"/>
      <c r="P408" s="876"/>
      <c r="Q408" s="870"/>
      <c r="R408" s="870"/>
      <c r="S408" s="870"/>
      <c r="T408" s="870"/>
      <c r="U408" s="870"/>
      <c r="V408" s="870"/>
      <c r="W408" s="870"/>
      <c r="X408" s="870"/>
      <c r="Y408" s="870"/>
      <c r="Z408" s="870"/>
      <c r="AA408" s="870"/>
      <c r="AB408" s="870"/>
      <c r="AC408" s="870"/>
      <c r="AD408" s="870"/>
      <c r="AE408" s="870"/>
      <c r="AF408" s="870"/>
      <c r="AG408" s="870"/>
    </row>
    <row r="409" spans="1:33" s="995" customFormat="1">
      <c r="A409" s="974"/>
      <c r="D409" s="876"/>
      <c r="E409" s="974"/>
      <c r="F409" s="876"/>
      <c r="G409" s="876"/>
      <c r="H409" s="876"/>
      <c r="I409" s="876"/>
      <c r="J409" s="876"/>
      <c r="K409" s="876"/>
      <c r="L409" s="876"/>
      <c r="M409" s="876"/>
      <c r="N409" s="876"/>
      <c r="O409" s="876"/>
      <c r="P409" s="876"/>
      <c r="Q409" s="870"/>
      <c r="R409" s="870"/>
      <c r="S409" s="870"/>
      <c r="T409" s="870"/>
      <c r="U409" s="870"/>
      <c r="V409" s="870"/>
      <c r="W409" s="870"/>
      <c r="X409" s="870"/>
      <c r="Y409" s="870"/>
      <c r="Z409" s="870"/>
      <c r="AA409" s="870"/>
      <c r="AB409" s="870"/>
      <c r="AC409" s="870"/>
      <c r="AD409" s="870"/>
      <c r="AE409" s="870"/>
      <c r="AF409" s="870"/>
      <c r="AG409" s="870"/>
    </row>
    <row r="410" spans="1:33" s="995" customFormat="1">
      <c r="A410" s="974"/>
      <c r="D410" s="876"/>
      <c r="E410" s="974"/>
      <c r="F410" s="876"/>
      <c r="G410" s="876"/>
      <c r="H410" s="876"/>
      <c r="I410" s="876"/>
      <c r="J410" s="876"/>
      <c r="K410" s="876"/>
      <c r="L410" s="876"/>
      <c r="M410" s="876"/>
      <c r="N410" s="876"/>
      <c r="O410" s="876"/>
      <c r="P410" s="876"/>
      <c r="Q410" s="870"/>
      <c r="R410" s="870"/>
      <c r="S410" s="870"/>
      <c r="T410" s="870"/>
      <c r="U410" s="870"/>
      <c r="V410" s="870"/>
      <c r="W410" s="870"/>
      <c r="X410" s="870"/>
      <c r="Y410" s="870"/>
      <c r="Z410" s="870"/>
      <c r="AA410" s="870"/>
      <c r="AB410" s="870"/>
      <c r="AC410" s="870"/>
      <c r="AD410" s="870"/>
      <c r="AE410" s="870"/>
      <c r="AF410" s="870"/>
      <c r="AG410" s="870"/>
    </row>
    <row r="411" spans="1:33" s="995" customFormat="1">
      <c r="A411" s="974"/>
      <c r="D411" s="876"/>
      <c r="E411" s="974"/>
      <c r="F411" s="876"/>
      <c r="G411" s="876"/>
      <c r="H411" s="876"/>
      <c r="I411" s="876"/>
      <c r="J411" s="876"/>
      <c r="K411" s="876"/>
      <c r="L411" s="876"/>
      <c r="M411" s="876"/>
      <c r="N411" s="876"/>
      <c r="O411" s="876"/>
      <c r="P411" s="876"/>
      <c r="Q411" s="870"/>
      <c r="R411" s="870"/>
      <c r="S411" s="870"/>
      <c r="T411" s="870"/>
      <c r="U411" s="870"/>
      <c r="V411" s="870"/>
      <c r="W411" s="870"/>
      <c r="X411" s="870"/>
      <c r="Y411" s="870"/>
      <c r="Z411" s="870"/>
      <c r="AA411" s="870"/>
      <c r="AB411" s="870"/>
      <c r="AC411" s="870"/>
      <c r="AD411" s="870"/>
      <c r="AE411" s="870"/>
      <c r="AF411" s="870"/>
      <c r="AG411" s="870"/>
    </row>
    <row r="412" spans="1:33" s="995" customFormat="1">
      <c r="A412" s="974"/>
      <c r="D412" s="876"/>
      <c r="E412" s="974"/>
      <c r="F412" s="876"/>
      <c r="G412" s="876"/>
      <c r="H412" s="876"/>
      <c r="I412" s="876"/>
      <c r="J412" s="876"/>
      <c r="K412" s="876"/>
      <c r="L412" s="876"/>
      <c r="M412" s="876"/>
      <c r="N412" s="876"/>
      <c r="O412" s="876"/>
      <c r="P412" s="876"/>
      <c r="Q412" s="870"/>
      <c r="R412" s="870"/>
      <c r="S412" s="870"/>
      <c r="T412" s="870"/>
      <c r="U412" s="870"/>
      <c r="V412" s="870"/>
      <c r="W412" s="870"/>
      <c r="X412" s="870"/>
      <c r="Y412" s="870"/>
      <c r="Z412" s="870"/>
      <c r="AA412" s="870"/>
      <c r="AB412" s="870"/>
      <c r="AC412" s="870"/>
      <c r="AD412" s="870"/>
      <c r="AE412" s="870"/>
      <c r="AF412" s="870"/>
      <c r="AG412" s="870"/>
    </row>
    <row r="413" spans="1:33" s="995" customFormat="1">
      <c r="A413" s="974"/>
      <c r="D413" s="876"/>
      <c r="E413" s="974"/>
      <c r="F413" s="876"/>
      <c r="G413" s="876"/>
      <c r="H413" s="876"/>
      <c r="I413" s="876"/>
      <c r="J413" s="876"/>
      <c r="K413" s="876"/>
      <c r="L413" s="876"/>
      <c r="M413" s="876"/>
      <c r="N413" s="876"/>
      <c r="O413" s="876"/>
      <c r="P413" s="876"/>
      <c r="Q413" s="870"/>
      <c r="R413" s="870"/>
      <c r="S413" s="870"/>
      <c r="T413" s="870"/>
      <c r="U413" s="870"/>
      <c r="V413" s="870"/>
      <c r="W413" s="870"/>
      <c r="X413" s="870"/>
      <c r="Y413" s="870"/>
      <c r="Z413" s="870"/>
      <c r="AA413" s="870"/>
      <c r="AB413" s="870"/>
      <c r="AC413" s="870"/>
      <c r="AD413" s="870"/>
      <c r="AE413" s="870"/>
      <c r="AF413" s="870"/>
      <c r="AG413" s="870"/>
    </row>
    <row r="414" spans="1:33" s="995" customFormat="1">
      <c r="A414" s="974"/>
      <c r="D414" s="876"/>
      <c r="E414" s="974"/>
      <c r="F414" s="876"/>
      <c r="G414" s="876"/>
      <c r="H414" s="876"/>
      <c r="I414" s="876"/>
      <c r="J414" s="876"/>
      <c r="K414" s="876"/>
      <c r="L414" s="876"/>
      <c r="M414" s="876"/>
      <c r="N414" s="876"/>
      <c r="O414" s="876"/>
      <c r="P414" s="876"/>
      <c r="Q414" s="870"/>
      <c r="R414" s="870"/>
      <c r="S414" s="870"/>
      <c r="T414" s="870"/>
      <c r="U414" s="870"/>
      <c r="V414" s="870"/>
      <c r="W414" s="870"/>
      <c r="X414" s="870"/>
      <c r="Y414" s="870"/>
      <c r="Z414" s="870"/>
      <c r="AA414" s="870"/>
      <c r="AB414" s="870"/>
      <c r="AC414" s="870"/>
      <c r="AD414" s="870"/>
      <c r="AE414" s="870"/>
      <c r="AF414" s="870"/>
      <c r="AG414" s="870"/>
    </row>
    <row r="415" spans="1:33" s="995" customFormat="1">
      <c r="A415" s="974"/>
      <c r="D415" s="876"/>
      <c r="E415" s="974"/>
      <c r="F415" s="876"/>
      <c r="G415" s="876"/>
      <c r="H415" s="876"/>
      <c r="I415" s="876"/>
      <c r="J415" s="876"/>
      <c r="K415" s="876"/>
      <c r="L415" s="876"/>
      <c r="M415" s="876"/>
      <c r="N415" s="876"/>
      <c r="O415" s="876"/>
      <c r="P415" s="876"/>
      <c r="Q415" s="870"/>
      <c r="R415" s="870"/>
      <c r="S415" s="870"/>
      <c r="T415" s="870"/>
      <c r="U415" s="870"/>
      <c r="V415" s="870"/>
      <c r="W415" s="870"/>
      <c r="X415" s="870"/>
      <c r="Y415" s="870"/>
      <c r="Z415" s="870"/>
      <c r="AA415" s="870"/>
      <c r="AB415" s="870"/>
      <c r="AC415" s="870"/>
      <c r="AD415" s="870"/>
      <c r="AE415" s="870"/>
      <c r="AF415" s="870"/>
      <c r="AG415" s="870"/>
    </row>
    <row r="416" spans="1:33" s="995" customFormat="1">
      <c r="A416" s="974"/>
      <c r="D416" s="876"/>
      <c r="E416" s="974"/>
      <c r="F416" s="876"/>
      <c r="G416" s="876"/>
      <c r="H416" s="876"/>
      <c r="I416" s="876"/>
      <c r="J416" s="876"/>
      <c r="K416" s="876"/>
      <c r="L416" s="876"/>
      <c r="M416" s="876"/>
      <c r="N416" s="876"/>
      <c r="O416" s="876"/>
      <c r="P416" s="876"/>
      <c r="Q416" s="870"/>
      <c r="R416" s="870"/>
      <c r="S416" s="870"/>
      <c r="T416" s="870"/>
      <c r="U416" s="870"/>
      <c r="V416" s="870"/>
      <c r="W416" s="870"/>
      <c r="X416" s="870"/>
      <c r="Y416" s="870"/>
      <c r="Z416" s="870"/>
      <c r="AA416" s="870"/>
      <c r="AB416" s="870"/>
      <c r="AC416" s="870"/>
      <c r="AD416" s="870"/>
      <c r="AE416" s="870"/>
      <c r="AF416" s="870"/>
      <c r="AG416" s="870"/>
    </row>
    <row r="417" spans="1:33" s="995" customFormat="1">
      <c r="A417" s="974"/>
      <c r="D417" s="876"/>
      <c r="E417" s="974"/>
      <c r="F417" s="876"/>
      <c r="G417" s="876"/>
      <c r="H417" s="876"/>
      <c r="I417" s="876"/>
      <c r="J417" s="876"/>
      <c r="K417" s="876"/>
      <c r="L417" s="876"/>
      <c r="M417" s="876"/>
      <c r="N417" s="876"/>
      <c r="O417" s="876"/>
      <c r="P417" s="876"/>
      <c r="Q417" s="870"/>
      <c r="R417" s="870"/>
      <c r="S417" s="870"/>
      <c r="T417" s="870"/>
      <c r="U417" s="870"/>
      <c r="V417" s="870"/>
      <c r="W417" s="870"/>
      <c r="X417" s="870"/>
      <c r="Y417" s="870"/>
      <c r="Z417" s="870"/>
      <c r="AA417" s="870"/>
      <c r="AB417" s="870"/>
      <c r="AC417" s="870"/>
      <c r="AD417" s="870"/>
      <c r="AE417" s="870"/>
      <c r="AF417" s="870"/>
      <c r="AG417" s="870"/>
    </row>
    <row r="418" spans="1:33" s="995" customFormat="1">
      <c r="A418" s="974"/>
      <c r="D418" s="876"/>
      <c r="E418" s="974"/>
      <c r="F418" s="876"/>
      <c r="G418" s="876"/>
      <c r="H418" s="876"/>
      <c r="I418" s="876"/>
      <c r="J418" s="876"/>
      <c r="K418" s="876"/>
      <c r="L418" s="876"/>
      <c r="M418" s="876"/>
      <c r="N418" s="876"/>
      <c r="O418" s="876"/>
      <c r="P418" s="876"/>
      <c r="Q418" s="870"/>
      <c r="R418" s="870"/>
      <c r="S418" s="870"/>
      <c r="T418" s="870"/>
      <c r="U418" s="870"/>
      <c r="V418" s="870"/>
      <c r="W418" s="870"/>
      <c r="X418" s="870"/>
      <c r="Y418" s="870"/>
      <c r="Z418" s="870"/>
      <c r="AA418" s="870"/>
      <c r="AB418" s="870"/>
      <c r="AC418" s="870"/>
      <c r="AD418" s="870"/>
      <c r="AE418" s="870"/>
      <c r="AF418" s="870"/>
      <c r="AG418" s="870"/>
    </row>
    <row r="419" spans="1:33" s="995" customFormat="1">
      <c r="A419" s="974"/>
      <c r="D419" s="876"/>
      <c r="E419" s="974"/>
      <c r="F419" s="876"/>
      <c r="G419" s="876"/>
      <c r="H419" s="876"/>
      <c r="I419" s="876"/>
      <c r="J419" s="876"/>
      <c r="K419" s="876"/>
      <c r="L419" s="876"/>
      <c r="M419" s="876"/>
      <c r="N419" s="876"/>
      <c r="O419" s="876"/>
      <c r="P419" s="876"/>
      <c r="Q419" s="870"/>
      <c r="R419" s="870"/>
      <c r="S419" s="870"/>
      <c r="T419" s="870"/>
      <c r="U419" s="870"/>
      <c r="V419" s="870"/>
      <c r="W419" s="870"/>
      <c r="X419" s="870"/>
      <c r="Y419" s="870"/>
      <c r="Z419" s="870"/>
      <c r="AA419" s="870"/>
      <c r="AB419" s="870"/>
      <c r="AC419" s="870"/>
      <c r="AD419" s="870"/>
      <c r="AE419" s="870"/>
      <c r="AF419" s="870"/>
      <c r="AG419" s="870"/>
    </row>
    <row r="420" spans="1:33" s="995" customFormat="1">
      <c r="A420" s="974"/>
      <c r="D420" s="876"/>
      <c r="E420" s="974"/>
      <c r="F420" s="876"/>
      <c r="G420" s="876"/>
      <c r="H420" s="876"/>
      <c r="I420" s="876"/>
      <c r="J420" s="876"/>
      <c r="K420" s="876"/>
      <c r="L420" s="876"/>
      <c r="M420" s="876"/>
      <c r="N420" s="876"/>
      <c r="O420" s="876"/>
      <c r="P420" s="876"/>
      <c r="Q420" s="870"/>
      <c r="R420" s="870"/>
      <c r="S420" s="870"/>
      <c r="T420" s="870"/>
      <c r="U420" s="870"/>
      <c r="V420" s="870"/>
      <c r="W420" s="870"/>
      <c r="X420" s="870"/>
      <c r="Y420" s="870"/>
      <c r="Z420" s="870"/>
      <c r="AA420" s="870"/>
      <c r="AB420" s="870"/>
      <c r="AC420" s="870"/>
      <c r="AD420" s="870"/>
      <c r="AE420" s="870"/>
      <c r="AF420" s="870"/>
      <c r="AG420" s="870"/>
    </row>
    <row r="421" spans="1:33" s="995" customFormat="1">
      <c r="A421" s="974"/>
      <c r="D421" s="876"/>
      <c r="E421" s="974"/>
      <c r="F421" s="876"/>
      <c r="G421" s="876"/>
      <c r="H421" s="876"/>
      <c r="I421" s="876"/>
      <c r="J421" s="876"/>
      <c r="K421" s="876"/>
      <c r="L421" s="876"/>
      <c r="M421" s="876"/>
      <c r="N421" s="876"/>
      <c r="O421" s="876"/>
      <c r="P421" s="876"/>
      <c r="Q421" s="870"/>
      <c r="R421" s="870"/>
      <c r="S421" s="870"/>
      <c r="T421" s="870"/>
      <c r="U421" s="870"/>
      <c r="V421" s="870"/>
      <c r="W421" s="870"/>
      <c r="X421" s="870"/>
      <c r="Y421" s="870"/>
      <c r="Z421" s="870"/>
      <c r="AA421" s="870"/>
      <c r="AB421" s="870"/>
      <c r="AC421" s="870"/>
      <c r="AD421" s="870"/>
      <c r="AE421" s="870"/>
      <c r="AF421" s="870"/>
      <c r="AG421" s="870"/>
    </row>
    <row r="422" spans="1:33" s="995" customFormat="1">
      <c r="A422" s="974"/>
      <c r="D422" s="876"/>
      <c r="E422" s="974"/>
      <c r="F422" s="876"/>
      <c r="G422" s="876"/>
      <c r="H422" s="876"/>
      <c r="I422" s="876"/>
      <c r="J422" s="876"/>
      <c r="K422" s="876"/>
      <c r="L422" s="876"/>
      <c r="M422" s="876"/>
      <c r="N422" s="876"/>
      <c r="O422" s="876"/>
      <c r="P422" s="876"/>
      <c r="Q422" s="870"/>
      <c r="R422" s="870"/>
      <c r="S422" s="870"/>
      <c r="T422" s="870"/>
      <c r="U422" s="870"/>
      <c r="V422" s="870"/>
      <c r="W422" s="870"/>
      <c r="X422" s="870"/>
      <c r="Y422" s="870"/>
      <c r="Z422" s="870"/>
      <c r="AA422" s="870"/>
      <c r="AB422" s="870"/>
      <c r="AC422" s="870"/>
      <c r="AD422" s="870"/>
      <c r="AE422" s="870"/>
      <c r="AF422" s="870"/>
      <c r="AG422" s="870"/>
    </row>
    <row r="423" spans="1:33" s="995" customFormat="1">
      <c r="A423" s="974"/>
      <c r="D423" s="876"/>
      <c r="E423" s="974"/>
      <c r="F423" s="876"/>
      <c r="G423" s="876"/>
      <c r="H423" s="876"/>
      <c r="I423" s="876"/>
      <c r="J423" s="876"/>
      <c r="K423" s="876"/>
      <c r="L423" s="876"/>
      <c r="M423" s="876"/>
      <c r="N423" s="876"/>
      <c r="O423" s="876"/>
      <c r="P423" s="876"/>
      <c r="Q423" s="870"/>
      <c r="R423" s="870"/>
      <c r="S423" s="870"/>
      <c r="T423" s="870"/>
      <c r="U423" s="870"/>
      <c r="V423" s="870"/>
      <c r="W423" s="870"/>
      <c r="X423" s="870"/>
      <c r="Y423" s="870"/>
      <c r="Z423" s="870"/>
      <c r="AA423" s="870"/>
      <c r="AB423" s="870"/>
      <c r="AC423" s="870"/>
      <c r="AD423" s="870"/>
      <c r="AE423" s="870"/>
      <c r="AF423" s="870"/>
      <c r="AG423" s="870"/>
    </row>
    <row r="424" spans="1:33" s="995" customFormat="1">
      <c r="A424" s="974"/>
      <c r="D424" s="876"/>
      <c r="E424" s="974"/>
      <c r="F424" s="876"/>
      <c r="G424" s="876"/>
      <c r="H424" s="876"/>
      <c r="I424" s="876"/>
      <c r="J424" s="876"/>
      <c r="K424" s="876"/>
      <c r="L424" s="876"/>
      <c r="M424" s="876"/>
      <c r="N424" s="876"/>
      <c r="O424" s="876"/>
      <c r="P424" s="876"/>
      <c r="Q424" s="870"/>
      <c r="R424" s="870"/>
      <c r="S424" s="870"/>
      <c r="T424" s="870"/>
      <c r="U424" s="870"/>
      <c r="V424" s="870"/>
      <c r="W424" s="870"/>
      <c r="X424" s="870"/>
      <c r="Y424" s="870"/>
      <c r="Z424" s="870"/>
      <c r="AA424" s="870"/>
      <c r="AB424" s="870"/>
      <c r="AC424" s="870"/>
      <c r="AD424" s="870"/>
      <c r="AE424" s="870"/>
      <c r="AF424" s="870"/>
      <c r="AG424" s="870"/>
    </row>
    <row r="425" spans="1:33" s="995" customFormat="1">
      <c r="A425" s="974"/>
      <c r="D425" s="876"/>
      <c r="E425" s="974"/>
      <c r="F425" s="876"/>
      <c r="G425" s="876"/>
      <c r="H425" s="876"/>
      <c r="I425" s="876"/>
      <c r="J425" s="876"/>
      <c r="K425" s="876"/>
      <c r="L425" s="876"/>
      <c r="M425" s="876"/>
      <c r="N425" s="876"/>
      <c r="O425" s="876"/>
      <c r="P425" s="876"/>
      <c r="Q425" s="870"/>
      <c r="R425" s="870"/>
      <c r="S425" s="870"/>
      <c r="T425" s="870"/>
      <c r="U425" s="870"/>
      <c r="V425" s="870"/>
      <c r="W425" s="870"/>
      <c r="X425" s="870"/>
      <c r="Y425" s="870"/>
      <c r="Z425" s="870"/>
      <c r="AA425" s="870"/>
      <c r="AB425" s="870"/>
      <c r="AC425" s="870"/>
      <c r="AD425" s="870"/>
      <c r="AE425" s="870"/>
      <c r="AF425" s="870"/>
      <c r="AG425" s="870"/>
    </row>
    <row r="426" spans="1:33" s="995" customFormat="1">
      <c r="A426" s="974"/>
      <c r="D426" s="876"/>
      <c r="E426" s="974"/>
      <c r="F426" s="876"/>
      <c r="G426" s="876"/>
      <c r="H426" s="876"/>
      <c r="I426" s="876"/>
      <c r="J426" s="876"/>
      <c r="K426" s="876"/>
      <c r="L426" s="876"/>
      <c r="M426" s="876"/>
      <c r="N426" s="876"/>
      <c r="O426" s="876"/>
      <c r="P426" s="876"/>
      <c r="Q426" s="870"/>
      <c r="R426" s="870"/>
      <c r="S426" s="870"/>
      <c r="T426" s="870"/>
      <c r="U426" s="870"/>
      <c r="V426" s="870"/>
      <c r="W426" s="870"/>
      <c r="X426" s="870"/>
      <c r="Y426" s="870"/>
      <c r="Z426" s="870"/>
      <c r="AA426" s="870"/>
      <c r="AB426" s="870"/>
      <c r="AC426" s="870"/>
      <c r="AD426" s="870"/>
      <c r="AE426" s="870"/>
      <c r="AF426" s="870"/>
      <c r="AG426" s="870"/>
    </row>
    <row r="427" spans="1:33" s="995" customFormat="1">
      <c r="A427" s="974"/>
      <c r="D427" s="876"/>
      <c r="E427" s="974"/>
      <c r="F427" s="876"/>
      <c r="G427" s="876"/>
      <c r="H427" s="876"/>
      <c r="I427" s="876"/>
      <c r="J427" s="876"/>
      <c r="K427" s="876"/>
      <c r="L427" s="876"/>
      <c r="M427" s="876"/>
      <c r="N427" s="876"/>
      <c r="O427" s="876"/>
      <c r="P427" s="876"/>
      <c r="Q427" s="870"/>
      <c r="R427" s="870"/>
      <c r="S427" s="870"/>
      <c r="T427" s="870"/>
      <c r="U427" s="870"/>
      <c r="V427" s="870"/>
      <c r="W427" s="870"/>
      <c r="X427" s="870"/>
      <c r="Y427" s="870"/>
      <c r="Z427" s="870"/>
      <c r="AA427" s="870"/>
      <c r="AB427" s="870"/>
      <c r="AC427" s="870"/>
      <c r="AD427" s="870"/>
      <c r="AE427" s="870"/>
      <c r="AF427" s="870"/>
      <c r="AG427" s="870"/>
    </row>
    <row r="428" spans="1:33" s="995" customFormat="1">
      <c r="A428" s="974"/>
      <c r="D428" s="876"/>
      <c r="E428" s="974"/>
      <c r="F428" s="876"/>
      <c r="G428" s="876"/>
      <c r="H428" s="876"/>
      <c r="I428" s="876"/>
      <c r="J428" s="876"/>
      <c r="K428" s="876"/>
      <c r="L428" s="876"/>
      <c r="M428" s="876"/>
      <c r="N428" s="876"/>
      <c r="O428" s="876"/>
      <c r="P428" s="876"/>
      <c r="Q428" s="870"/>
      <c r="R428" s="870"/>
      <c r="S428" s="870"/>
      <c r="T428" s="870"/>
      <c r="U428" s="870"/>
      <c r="V428" s="870"/>
      <c r="W428" s="870"/>
      <c r="X428" s="870"/>
      <c r="Y428" s="870"/>
      <c r="Z428" s="870"/>
      <c r="AA428" s="870"/>
      <c r="AB428" s="870"/>
      <c r="AC428" s="870"/>
      <c r="AD428" s="870"/>
      <c r="AE428" s="870"/>
      <c r="AF428" s="870"/>
      <c r="AG428" s="870"/>
    </row>
    <row r="429" spans="1:33" s="995" customFormat="1">
      <c r="A429" s="974"/>
      <c r="D429" s="876"/>
      <c r="E429" s="974"/>
      <c r="F429" s="876"/>
      <c r="G429" s="876"/>
      <c r="H429" s="876"/>
      <c r="I429" s="876"/>
      <c r="J429" s="876"/>
      <c r="K429" s="876"/>
      <c r="L429" s="876"/>
      <c r="M429" s="876"/>
      <c r="N429" s="876"/>
      <c r="O429" s="876"/>
      <c r="P429" s="876"/>
      <c r="Q429" s="870"/>
      <c r="R429" s="870"/>
      <c r="S429" s="870"/>
      <c r="T429" s="870"/>
      <c r="U429" s="870"/>
      <c r="V429" s="870"/>
      <c r="W429" s="870"/>
      <c r="X429" s="870"/>
      <c r="Y429" s="870"/>
      <c r="Z429" s="870"/>
      <c r="AA429" s="870"/>
      <c r="AB429" s="870"/>
      <c r="AC429" s="870"/>
      <c r="AD429" s="870"/>
      <c r="AE429" s="870"/>
      <c r="AF429" s="870"/>
      <c r="AG429" s="870"/>
    </row>
    <row r="430" spans="1:33" s="995" customFormat="1">
      <c r="A430" s="974"/>
      <c r="D430" s="876"/>
      <c r="E430" s="974"/>
      <c r="F430" s="876"/>
      <c r="G430" s="876"/>
      <c r="H430" s="876"/>
      <c r="I430" s="876"/>
      <c r="J430" s="876"/>
      <c r="K430" s="876"/>
      <c r="L430" s="876"/>
      <c r="M430" s="876"/>
      <c r="N430" s="876"/>
      <c r="O430" s="876"/>
      <c r="P430" s="876"/>
      <c r="Q430" s="870"/>
      <c r="R430" s="870"/>
      <c r="S430" s="870"/>
      <c r="T430" s="870"/>
      <c r="U430" s="870"/>
      <c r="V430" s="870"/>
      <c r="W430" s="870"/>
      <c r="X430" s="870"/>
      <c r="Y430" s="870"/>
      <c r="Z430" s="870"/>
      <c r="AA430" s="870"/>
      <c r="AB430" s="870"/>
      <c r="AC430" s="870"/>
      <c r="AD430" s="870"/>
      <c r="AE430" s="870"/>
      <c r="AF430" s="870"/>
      <c r="AG430" s="870"/>
    </row>
    <row r="431" spans="1:33" s="995" customFormat="1">
      <c r="A431" s="974"/>
      <c r="D431" s="876"/>
      <c r="E431" s="974"/>
      <c r="F431" s="876"/>
      <c r="G431" s="876"/>
      <c r="H431" s="876"/>
      <c r="I431" s="876"/>
      <c r="J431" s="876"/>
      <c r="K431" s="876"/>
      <c r="L431" s="876"/>
      <c r="M431" s="876"/>
      <c r="N431" s="876"/>
      <c r="O431" s="876"/>
      <c r="P431" s="876"/>
      <c r="Q431" s="870"/>
      <c r="R431" s="870"/>
      <c r="S431" s="870"/>
      <c r="T431" s="870"/>
      <c r="U431" s="870"/>
      <c r="V431" s="870"/>
      <c r="W431" s="870"/>
      <c r="X431" s="870"/>
      <c r="Y431" s="870"/>
      <c r="Z431" s="870"/>
      <c r="AA431" s="870"/>
      <c r="AB431" s="870"/>
      <c r="AC431" s="870"/>
      <c r="AD431" s="870"/>
      <c r="AE431" s="870"/>
      <c r="AF431" s="870"/>
      <c r="AG431" s="870"/>
    </row>
    <row r="432" spans="1:33" s="995" customFormat="1">
      <c r="A432" s="974"/>
      <c r="D432" s="876"/>
      <c r="E432" s="974"/>
      <c r="F432" s="876"/>
      <c r="G432" s="876"/>
      <c r="H432" s="876"/>
      <c r="I432" s="876"/>
      <c r="J432" s="876"/>
      <c r="K432" s="876"/>
      <c r="L432" s="876"/>
      <c r="M432" s="876"/>
      <c r="N432" s="876"/>
      <c r="O432" s="876"/>
      <c r="P432" s="876"/>
      <c r="Q432" s="870"/>
      <c r="R432" s="870"/>
      <c r="S432" s="870"/>
      <c r="T432" s="870"/>
      <c r="U432" s="870"/>
      <c r="V432" s="870"/>
      <c r="W432" s="870"/>
      <c r="X432" s="870"/>
      <c r="Y432" s="870"/>
      <c r="Z432" s="870"/>
      <c r="AA432" s="870"/>
      <c r="AB432" s="870"/>
      <c r="AC432" s="870"/>
      <c r="AD432" s="870"/>
      <c r="AE432" s="870"/>
      <c r="AF432" s="870"/>
      <c r="AG432" s="870"/>
    </row>
    <row r="433" spans="1:33" s="995" customFormat="1">
      <c r="A433" s="974"/>
      <c r="D433" s="876"/>
      <c r="E433" s="974"/>
      <c r="F433" s="876"/>
      <c r="G433" s="876"/>
      <c r="H433" s="876"/>
      <c r="I433" s="876"/>
      <c r="J433" s="876"/>
      <c r="K433" s="876"/>
      <c r="L433" s="876"/>
      <c r="M433" s="876"/>
      <c r="N433" s="876"/>
      <c r="O433" s="876"/>
      <c r="P433" s="876"/>
      <c r="Q433" s="870"/>
      <c r="R433" s="870"/>
      <c r="S433" s="870"/>
      <c r="T433" s="870"/>
      <c r="U433" s="870"/>
      <c r="V433" s="870"/>
      <c r="W433" s="870"/>
      <c r="X433" s="870"/>
      <c r="Y433" s="870"/>
      <c r="Z433" s="870"/>
      <c r="AA433" s="870"/>
      <c r="AB433" s="870"/>
      <c r="AC433" s="870"/>
      <c r="AD433" s="870"/>
      <c r="AE433" s="870"/>
      <c r="AF433" s="870"/>
      <c r="AG433" s="870"/>
    </row>
    <row r="434" spans="1:33" s="995" customFormat="1">
      <c r="A434" s="974"/>
      <c r="D434" s="876"/>
      <c r="E434" s="974"/>
      <c r="F434" s="876"/>
      <c r="G434" s="876"/>
      <c r="H434" s="876"/>
      <c r="I434" s="876"/>
      <c r="J434" s="876"/>
      <c r="K434" s="876"/>
      <c r="L434" s="876"/>
      <c r="M434" s="876"/>
      <c r="N434" s="876"/>
      <c r="O434" s="876"/>
      <c r="P434" s="876"/>
      <c r="Q434" s="870"/>
      <c r="R434" s="870"/>
      <c r="S434" s="870"/>
      <c r="T434" s="870"/>
      <c r="U434" s="870"/>
      <c r="V434" s="870"/>
      <c r="W434" s="870"/>
      <c r="X434" s="870"/>
      <c r="Y434" s="870"/>
      <c r="Z434" s="870"/>
      <c r="AA434" s="870"/>
      <c r="AB434" s="870"/>
      <c r="AC434" s="870"/>
      <c r="AD434" s="870"/>
      <c r="AE434" s="870"/>
      <c r="AF434" s="870"/>
      <c r="AG434" s="870"/>
    </row>
    <row r="435" spans="1:33" s="995" customFormat="1">
      <c r="A435" s="974"/>
      <c r="D435" s="876"/>
      <c r="E435" s="974"/>
      <c r="F435" s="876"/>
      <c r="G435" s="876"/>
      <c r="H435" s="876"/>
      <c r="I435" s="876"/>
      <c r="J435" s="876"/>
      <c r="K435" s="876"/>
      <c r="L435" s="876"/>
      <c r="M435" s="876"/>
      <c r="N435" s="876"/>
      <c r="O435" s="876"/>
      <c r="P435" s="876"/>
      <c r="Q435" s="870"/>
      <c r="R435" s="870"/>
      <c r="S435" s="870"/>
      <c r="T435" s="870"/>
      <c r="U435" s="870"/>
      <c r="V435" s="870"/>
      <c r="W435" s="870"/>
      <c r="X435" s="870"/>
      <c r="Y435" s="870"/>
      <c r="Z435" s="870"/>
      <c r="AA435" s="870"/>
      <c r="AB435" s="870"/>
      <c r="AC435" s="870"/>
      <c r="AD435" s="870"/>
      <c r="AE435" s="870"/>
      <c r="AF435" s="870"/>
      <c r="AG435" s="870"/>
    </row>
    <row r="436" spans="1:33" s="995" customFormat="1">
      <c r="A436" s="974"/>
      <c r="D436" s="876"/>
      <c r="E436" s="974"/>
      <c r="F436" s="876"/>
      <c r="G436" s="876"/>
      <c r="H436" s="876"/>
      <c r="I436" s="876"/>
      <c r="J436" s="876"/>
      <c r="K436" s="876"/>
      <c r="L436" s="876"/>
      <c r="M436" s="876"/>
      <c r="N436" s="876"/>
      <c r="O436" s="876"/>
      <c r="P436" s="876"/>
      <c r="Q436" s="870"/>
      <c r="R436" s="870"/>
      <c r="S436" s="870"/>
      <c r="T436" s="870"/>
      <c r="U436" s="870"/>
      <c r="V436" s="870"/>
      <c r="W436" s="870"/>
      <c r="X436" s="870"/>
      <c r="Y436" s="870"/>
      <c r="Z436" s="870"/>
      <c r="AA436" s="870"/>
      <c r="AB436" s="870"/>
      <c r="AC436" s="870"/>
      <c r="AD436" s="870"/>
      <c r="AE436" s="870"/>
      <c r="AF436" s="870"/>
      <c r="AG436" s="870"/>
    </row>
    <row r="437" spans="1:33" s="995" customFormat="1">
      <c r="A437" s="974"/>
      <c r="D437" s="876"/>
      <c r="E437" s="974"/>
      <c r="F437" s="876"/>
      <c r="G437" s="876"/>
      <c r="H437" s="876"/>
      <c r="I437" s="876"/>
      <c r="J437" s="876"/>
      <c r="K437" s="876"/>
      <c r="L437" s="876"/>
      <c r="M437" s="876"/>
      <c r="N437" s="876"/>
      <c r="O437" s="876"/>
      <c r="P437" s="876"/>
      <c r="Q437" s="870"/>
      <c r="R437" s="870"/>
      <c r="S437" s="870"/>
      <c r="T437" s="870"/>
      <c r="U437" s="870"/>
      <c r="V437" s="870"/>
      <c r="W437" s="870"/>
      <c r="X437" s="870"/>
      <c r="Y437" s="870"/>
      <c r="Z437" s="870"/>
      <c r="AA437" s="870"/>
      <c r="AB437" s="870"/>
      <c r="AC437" s="870"/>
      <c r="AD437" s="870"/>
      <c r="AE437" s="870"/>
      <c r="AF437" s="870"/>
      <c r="AG437" s="870"/>
    </row>
    <row r="438" spans="1:33" s="995" customFormat="1">
      <c r="A438" s="974"/>
      <c r="D438" s="876"/>
      <c r="E438" s="974"/>
      <c r="F438" s="876"/>
      <c r="G438" s="876"/>
      <c r="H438" s="876"/>
      <c r="I438" s="876"/>
      <c r="J438" s="876"/>
      <c r="K438" s="876"/>
      <c r="L438" s="876"/>
      <c r="M438" s="876"/>
      <c r="N438" s="876"/>
      <c r="O438" s="876"/>
      <c r="P438" s="876"/>
      <c r="Q438" s="870"/>
      <c r="R438" s="870"/>
      <c r="S438" s="870"/>
      <c r="T438" s="870"/>
      <c r="U438" s="870"/>
      <c r="V438" s="870"/>
      <c r="W438" s="870"/>
      <c r="X438" s="870"/>
      <c r="Y438" s="870"/>
      <c r="Z438" s="870"/>
      <c r="AA438" s="870"/>
      <c r="AB438" s="870"/>
      <c r="AC438" s="870"/>
      <c r="AD438" s="870"/>
      <c r="AE438" s="870"/>
      <c r="AF438" s="870"/>
      <c r="AG438" s="870"/>
    </row>
    <row r="439" spans="1:33" s="995" customFormat="1">
      <c r="A439" s="974"/>
      <c r="D439" s="876"/>
      <c r="E439" s="974"/>
      <c r="F439" s="876"/>
      <c r="G439" s="876"/>
      <c r="H439" s="876"/>
      <c r="I439" s="876"/>
      <c r="J439" s="876"/>
      <c r="K439" s="876"/>
      <c r="L439" s="876"/>
      <c r="M439" s="876"/>
      <c r="N439" s="876"/>
      <c r="O439" s="876"/>
      <c r="P439" s="876"/>
      <c r="Q439" s="870"/>
      <c r="R439" s="870"/>
      <c r="S439" s="870"/>
      <c r="T439" s="870"/>
      <c r="U439" s="870"/>
      <c r="V439" s="870"/>
      <c r="W439" s="870"/>
      <c r="X439" s="870"/>
      <c r="Y439" s="870"/>
      <c r="Z439" s="870"/>
      <c r="AA439" s="870"/>
      <c r="AB439" s="870"/>
      <c r="AC439" s="870"/>
      <c r="AD439" s="870"/>
      <c r="AE439" s="870"/>
      <c r="AF439" s="870"/>
      <c r="AG439" s="870"/>
    </row>
    <row r="440" spans="1:33" s="995" customFormat="1">
      <c r="A440" s="974"/>
      <c r="D440" s="876"/>
      <c r="E440" s="974"/>
      <c r="F440" s="876"/>
      <c r="G440" s="876"/>
      <c r="H440" s="876"/>
      <c r="I440" s="876"/>
      <c r="J440" s="876"/>
      <c r="K440" s="876"/>
      <c r="L440" s="876"/>
      <c r="M440" s="876"/>
      <c r="N440" s="876"/>
      <c r="O440" s="876"/>
      <c r="P440" s="876"/>
      <c r="Q440" s="870"/>
      <c r="R440" s="870"/>
      <c r="S440" s="870"/>
      <c r="T440" s="870"/>
      <c r="U440" s="870"/>
      <c r="V440" s="870"/>
      <c r="W440" s="870"/>
      <c r="X440" s="870"/>
      <c r="Y440" s="870"/>
      <c r="Z440" s="870"/>
      <c r="AA440" s="870"/>
      <c r="AB440" s="870"/>
      <c r="AC440" s="870"/>
      <c r="AD440" s="870"/>
      <c r="AE440" s="870"/>
      <c r="AF440" s="870"/>
      <c r="AG440" s="870"/>
    </row>
    <row r="441" spans="1:33" s="995" customFormat="1">
      <c r="A441" s="974"/>
      <c r="D441" s="876"/>
      <c r="E441" s="974"/>
      <c r="F441" s="876"/>
      <c r="G441" s="876"/>
      <c r="H441" s="876"/>
      <c r="I441" s="876"/>
      <c r="J441" s="876"/>
      <c r="K441" s="876"/>
      <c r="L441" s="876"/>
      <c r="M441" s="876"/>
      <c r="N441" s="876"/>
      <c r="O441" s="876"/>
      <c r="P441" s="876"/>
      <c r="Q441" s="870"/>
      <c r="R441" s="870"/>
      <c r="S441" s="870"/>
      <c r="T441" s="870"/>
      <c r="U441" s="870"/>
      <c r="V441" s="870"/>
      <c r="W441" s="870"/>
      <c r="X441" s="870"/>
      <c r="Y441" s="870"/>
      <c r="Z441" s="870"/>
      <c r="AA441" s="870"/>
      <c r="AB441" s="870"/>
      <c r="AC441" s="870"/>
      <c r="AD441" s="870"/>
      <c r="AE441" s="870"/>
      <c r="AF441" s="870"/>
      <c r="AG441" s="870"/>
    </row>
    <row r="442" spans="1:33" s="995" customFormat="1">
      <c r="A442" s="974"/>
      <c r="D442" s="876"/>
      <c r="E442" s="974"/>
      <c r="F442" s="876"/>
      <c r="G442" s="876"/>
      <c r="H442" s="876"/>
      <c r="I442" s="876"/>
      <c r="J442" s="876"/>
      <c r="K442" s="876"/>
      <c r="L442" s="876"/>
      <c r="M442" s="876"/>
      <c r="N442" s="876"/>
      <c r="O442" s="876"/>
      <c r="P442" s="876"/>
      <c r="Q442" s="870"/>
      <c r="R442" s="870"/>
      <c r="S442" s="870"/>
      <c r="T442" s="870"/>
      <c r="U442" s="870"/>
      <c r="V442" s="870"/>
      <c r="W442" s="870"/>
      <c r="X442" s="870"/>
      <c r="Y442" s="870"/>
      <c r="Z442" s="870"/>
      <c r="AA442" s="870"/>
      <c r="AB442" s="870"/>
      <c r="AC442" s="870"/>
      <c r="AD442" s="870"/>
      <c r="AE442" s="870"/>
      <c r="AF442" s="870"/>
      <c r="AG442" s="870"/>
    </row>
    <row r="443" spans="1:33" s="995" customFormat="1">
      <c r="A443" s="974"/>
      <c r="D443" s="876"/>
      <c r="E443" s="974"/>
      <c r="F443" s="876"/>
      <c r="G443" s="876"/>
      <c r="H443" s="876"/>
      <c r="I443" s="876"/>
      <c r="J443" s="876"/>
      <c r="K443" s="876"/>
      <c r="L443" s="876"/>
      <c r="M443" s="876"/>
      <c r="N443" s="876"/>
      <c r="O443" s="876"/>
      <c r="P443" s="876"/>
      <c r="Q443" s="870"/>
      <c r="R443" s="870"/>
      <c r="S443" s="870"/>
      <c r="T443" s="870"/>
      <c r="U443" s="870"/>
      <c r="V443" s="870"/>
      <c r="W443" s="870"/>
      <c r="X443" s="870"/>
      <c r="Y443" s="870"/>
      <c r="Z443" s="870"/>
      <c r="AA443" s="870"/>
      <c r="AB443" s="870"/>
      <c r="AC443" s="870"/>
      <c r="AD443" s="870"/>
      <c r="AE443" s="870"/>
      <c r="AF443" s="870"/>
      <c r="AG443" s="870"/>
    </row>
    <row r="444" spans="1:33" s="995" customFormat="1">
      <c r="A444" s="974"/>
      <c r="D444" s="876"/>
      <c r="E444" s="974"/>
      <c r="F444" s="876"/>
      <c r="G444" s="876"/>
      <c r="H444" s="876"/>
      <c r="I444" s="876"/>
      <c r="J444" s="876"/>
      <c r="K444" s="876"/>
      <c r="L444" s="876"/>
      <c r="M444" s="876"/>
      <c r="N444" s="876"/>
      <c r="O444" s="876"/>
      <c r="P444" s="876"/>
      <c r="Q444" s="870"/>
      <c r="R444" s="870"/>
      <c r="S444" s="870"/>
      <c r="T444" s="870"/>
      <c r="U444" s="870"/>
      <c r="V444" s="870"/>
      <c r="W444" s="870"/>
      <c r="X444" s="870"/>
      <c r="Y444" s="870"/>
      <c r="Z444" s="870"/>
      <c r="AA444" s="870"/>
      <c r="AB444" s="870"/>
      <c r="AC444" s="870"/>
      <c r="AD444" s="870"/>
      <c r="AE444" s="870"/>
      <c r="AF444" s="870"/>
      <c r="AG444" s="870"/>
    </row>
    <row r="445" spans="1:33" s="995" customFormat="1">
      <c r="A445" s="974"/>
      <c r="D445" s="876"/>
      <c r="E445" s="974"/>
      <c r="F445" s="876"/>
      <c r="G445" s="876"/>
      <c r="H445" s="876"/>
      <c r="I445" s="876"/>
      <c r="J445" s="876"/>
      <c r="K445" s="876"/>
      <c r="L445" s="876"/>
      <c r="M445" s="876"/>
      <c r="N445" s="876"/>
      <c r="O445" s="876"/>
      <c r="P445" s="876"/>
      <c r="Q445" s="870"/>
      <c r="R445" s="870"/>
      <c r="S445" s="870"/>
      <c r="T445" s="870"/>
      <c r="U445" s="870"/>
      <c r="V445" s="870"/>
      <c r="W445" s="870"/>
      <c r="X445" s="870"/>
      <c r="Y445" s="870"/>
      <c r="Z445" s="870"/>
      <c r="AA445" s="870"/>
      <c r="AB445" s="870"/>
      <c r="AC445" s="870"/>
      <c r="AD445" s="870"/>
      <c r="AE445" s="870"/>
      <c r="AF445" s="870"/>
      <c r="AG445" s="870"/>
    </row>
    <row r="446" spans="1:33" s="995" customFormat="1">
      <c r="A446" s="974"/>
      <c r="D446" s="876"/>
      <c r="E446" s="974"/>
      <c r="F446" s="876"/>
      <c r="G446" s="876"/>
      <c r="H446" s="876"/>
      <c r="I446" s="876"/>
      <c r="J446" s="876"/>
      <c r="K446" s="876"/>
      <c r="L446" s="876"/>
      <c r="M446" s="876"/>
      <c r="N446" s="876"/>
      <c r="O446" s="876"/>
      <c r="P446" s="876"/>
      <c r="Q446" s="870"/>
      <c r="R446" s="870"/>
      <c r="S446" s="870"/>
      <c r="T446" s="870"/>
      <c r="U446" s="870"/>
      <c r="V446" s="870"/>
      <c r="W446" s="870"/>
      <c r="X446" s="870"/>
      <c r="Y446" s="870"/>
      <c r="Z446" s="870"/>
      <c r="AA446" s="870"/>
      <c r="AB446" s="870"/>
      <c r="AC446" s="870"/>
      <c r="AD446" s="870"/>
      <c r="AE446" s="870"/>
      <c r="AF446" s="870"/>
      <c r="AG446" s="870"/>
    </row>
    <row r="447" spans="1:33" s="995" customFormat="1">
      <c r="A447" s="974"/>
      <c r="D447" s="876"/>
      <c r="E447" s="974"/>
      <c r="F447" s="876"/>
      <c r="G447" s="876"/>
      <c r="H447" s="876"/>
      <c r="I447" s="876"/>
      <c r="J447" s="876"/>
      <c r="K447" s="876"/>
      <c r="L447" s="876"/>
      <c r="M447" s="876"/>
      <c r="N447" s="876"/>
      <c r="O447" s="876"/>
      <c r="P447" s="876"/>
      <c r="Q447" s="870"/>
      <c r="R447" s="870"/>
      <c r="S447" s="870"/>
      <c r="T447" s="870"/>
      <c r="U447" s="870"/>
      <c r="V447" s="870"/>
      <c r="W447" s="870"/>
      <c r="X447" s="870"/>
      <c r="Y447" s="870"/>
      <c r="Z447" s="870"/>
      <c r="AA447" s="870"/>
      <c r="AB447" s="870"/>
      <c r="AC447" s="870"/>
      <c r="AD447" s="870"/>
      <c r="AE447" s="870"/>
      <c r="AF447" s="870"/>
      <c r="AG447" s="870"/>
    </row>
    <row r="448" spans="1:33" s="995" customFormat="1">
      <c r="A448" s="974"/>
      <c r="D448" s="876"/>
      <c r="E448" s="974"/>
      <c r="F448" s="876"/>
      <c r="G448" s="876"/>
      <c r="H448" s="876"/>
      <c r="I448" s="876"/>
      <c r="J448" s="876"/>
      <c r="K448" s="876"/>
      <c r="L448" s="876"/>
      <c r="M448" s="876"/>
      <c r="N448" s="876"/>
      <c r="O448" s="876"/>
      <c r="P448" s="876"/>
      <c r="Q448" s="870"/>
      <c r="R448" s="870"/>
      <c r="S448" s="870"/>
      <c r="T448" s="870"/>
      <c r="U448" s="870"/>
      <c r="V448" s="870"/>
      <c r="W448" s="870"/>
      <c r="X448" s="870"/>
      <c r="Y448" s="870"/>
      <c r="Z448" s="870"/>
      <c r="AA448" s="870"/>
      <c r="AB448" s="870"/>
      <c r="AC448" s="870"/>
      <c r="AD448" s="870"/>
      <c r="AE448" s="870"/>
      <c r="AF448" s="870"/>
      <c r="AG448" s="870"/>
    </row>
    <row r="449" spans="1:33" s="995" customFormat="1">
      <c r="A449" s="974"/>
      <c r="D449" s="876"/>
      <c r="E449" s="974"/>
      <c r="F449" s="876"/>
      <c r="G449" s="876"/>
      <c r="H449" s="876"/>
      <c r="I449" s="876"/>
      <c r="J449" s="876"/>
      <c r="K449" s="876"/>
      <c r="L449" s="876"/>
      <c r="M449" s="876"/>
      <c r="N449" s="876"/>
      <c r="O449" s="876"/>
      <c r="P449" s="876"/>
      <c r="Q449" s="870"/>
      <c r="R449" s="870"/>
      <c r="S449" s="870"/>
      <c r="T449" s="870"/>
      <c r="U449" s="870"/>
      <c r="V449" s="870"/>
      <c r="W449" s="870"/>
      <c r="X449" s="870"/>
      <c r="Y449" s="870"/>
      <c r="Z449" s="870"/>
      <c r="AA449" s="870"/>
      <c r="AB449" s="870"/>
      <c r="AC449" s="870"/>
      <c r="AD449" s="870"/>
      <c r="AE449" s="870"/>
      <c r="AF449" s="870"/>
      <c r="AG449" s="870"/>
    </row>
    <row r="450" spans="1:33" s="995" customFormat="1">
      <c r="A450" s="974"/>
      <c r="D450" s="876"/>
      <c r="E450" s="974"/>
      <c r="F450" s="876"/>
      <c r="G450" s="876"/>
      <c r="H450" s="876"/>
      <c r="I450" s="876"/>
      <c r="J450" s="876"/>
      <c r="K450" s="876"/>
      <c r="L450" s="876"/>
      <c r="M450" s="876"/>
      <c r="N450" s="876"/>
      <c r="O450" s="876"/>
      <c r="P450" s="876"/>
      <c r="Q450" s="870"/>
      <c r="R450" s="870"/>
      <c r="S450" s="870"/>
      <c r="T450" s="870"/>
      <c r="U450" s="870"/>
      <c r="V450" s="870"/>
      <c r="W450" s="870"/>
      <c r="X450" s="870"/>
      <c r="Y450" s="870"/>
      <c r="Z450" s="870"/>
      <c r="AA450" s="870"/>
      <c r="AB450" s="870"/>
      <c r="AC450" s="870"/>
      <c r="AD450" s="870"/>
      <c r="AE450" s="870"/>
      <c r="AF450" s="870"/>
      <c r="AG450" s="870"/>
    </row>
    <row r="451" spans="1:33" s="995" customFormat="1">
      <c r="A451" s="974"/>
      <c r="D451" s="876"/>
      <c r="E451" s="974"/>
      <c r="F451" s="876"/>
      <c r="G451" s="876"/>
      <c r="H451" s="876"/>
      <c r="I451" s="876"/>
      <c r="J451" s="876"/>
      <c r="K451" s="876"/>
      <c r="L451" s="876"/>
      <c r="M451" s="876"/>
      <c r="N451" s="876"/>
      <c r="O451" s="876"/>
      <c r="P451" s="876"/>
      <c r="Q451" s="870"/>
      <c r="R451" s="870"/>
      <c r="S451" s="870"/>
      <c r="T451" s="870"/>
      <c r="U451" s="870"/>
      <c r="V451" s="870"/>
      <c r="W451" s="870"/>
      <c r="X451" s="870"/>
      <c r="Y451" s="870"/>
      <c r="Z451" s="870"/>
      <c r="AA451" s="870"/>
      <c r="AB451" s="870"/>
      <c r="AC451" s="870"/>
      <c r="AD451" s="870"/>
      <c r="AE451" s="870"/>
      <c r="AF451" s="870"/>
      <c r="AG451" s="870"/>
    </row>
    <row r="452" spans="1:33" s="995" customFormat="1">
      <c r="A452" s="974"/>
      <c r="D452" s="876"/>
      <c r="E452" s="974"/>
      <c r="F452" s="876"/>
      <c r="G452" s="876"/>
      <c r="H452" s="876"/>
      <c r="I452" s="876"/>
      <c r="J452" s="876"/>
      <c r="K452" s="876"/>
      <c r="L452" s="876"/>
      <c r="M452" s="876"/>
      <c r="N452" s="876"/>
      <c r="O452" s="876"/>
      <c r="P452" s="876"/>
      <c r="Q452" s="870"/>
      <c r="R452" s="870"/>
      <c r="S452" s="870"/>
      <c r="T452" s="870"/>
      <c r="U452" s="870"/>
      <c r="V452" s="870"/>
      <c r="W452" s="870"/>
      <c r="X452" s="870"/>
      <c r="Y452" s="870"/>
      <c r="Z452" s="870"/>
      <c r="AA452" s="870"/>
      <c r="AB452" s="870"/>
      <c r="AC452" s="870"/>
      <c r="AD452" s="870"/>
      <c r="AE452" s="870"/>
      <c r="AF452" s="870"/>
      <c r="AG452" s="870"/>
    </row>
    <row r="453" spans="1:33" s="995" customFormat="1">
      <c r="A453" s="974"/>
      <c r="D453" s="876"/>
      <c r="E453" s="974"/>
      <c r="F453" s="876"/>
      <c r="G453" s="876"/>
      <c r="H453" s="876"/>
      <c r="I453" s="876"/>
      <c r="J453" s="876"/>
      <c r="K453" s="876"/>
      <c r="L453" s="876"/>
      <c r="M453" s="876"/>
      <c r="N453" s="876"/>
      <c r="O453" s="876"/>
      <c r="P453" s="876"/>
      <c r="Q453" s="870"/>
      <c r="R453" s="870"/>
      <c r="S453" s="870"/>
      <c r="T453" s="870"/>
      <c r="U453" s="870"/>
      <c r="V453" s="870"/>
      <c r="W453" s="870"/>
      <c r="X453" s="870"/>
      <c r="Y453" s="870"/>
      <c r="Z453" s="870"/>
      <c r="AA453" s="870"/>
      <c r="AB453" s="870"/>
      <c r="AC453" s="870"/>
      <c r="AD453" s="870"/>
      <c r="AE453" s="870"/>
      <c r="AF453" s="870"/>
      <c r="AG453" s="870"/>
    </row>
    <row r="454" spans="1:33" s="995" customFormat="1">
      <c r="A454" s="974"/>
      <c r="D454" s="876"/>
      <c r="E454" s="974"/>
      <c r="F454" s="876"/>
      <c r="G454" s="876"/>
      <c r="H454" s="876"/>
      <c r="I454" s="876"/>
      <c r="J454" s="876"/>
      <c r="K454" s="876"/>
      <c r="L454" s="876"/>
      <c r="M454" s="876"/>
      <c r="N454" s="876"/>
      <c r="O454" s="876"/>
      <c r="P454" s="876"/>
      <c r="Q454" s="870"/>
      <c r="R454" s="870"/>
      <c r="S454" s="870"/>
      <c r="T454" s="870"/>
      <c r="U454" s="870"/>
      <c r="V454" s="870"/>
      <c r="W454" s="870"/>
      <c r="X454" s="870"/>
      <c r="Y454" s="870"/>
      <c r="Z454" s="870"/>
      <c r="AA454" s="870"/>
      <c r="AB454" s="870"/>
      <c r="AC454" s="870"/>
      <c r="AD454" s="870"/>
      <c r="AE454" s="870"/>
      <c r="AF454" s="870"/>
      <c r="AG454" s="870"/>
    </row>
    <row r="455" spans="1:33" s="995" customFormat="1">
      <c r="A455" s="974"/>
      <c r="D455" s="876"/>
      <c r="E455" s="974"/>
      <c r="F455" s="876"/>
      <c r="G455" s="876"/>
      <c r="H455" s="876"/>
      <c r="I455" s="876"/>
      <c r="J455" s="876"/>
      <c r="K455" s="876"/>
      <c r="L455" s="876"/>
      <c r="M455" s="876"/>
      <c r="N455" s="876"/>
      <c r="O455" s="876"/>
      <c r="P455" s="876"/>
      <c r="Q455" s="870"/>
      <c r="R455" s="870"/>
      <c r="S455" s="870"/>
      <c r="T455" s="870"/>
      <c r="U455" s="870"/>
      <c r="V455" s="870"/>
      <c r="W455" s="870"/>
      <c r="X455" s="870"/>
      <c r="Y455" s="870"/>
      <c r="Z455" s="870"/>
      <c r="AA455" s="870"/>
      <c r="AB455" s="870"/>
      <c r="AC455" s="870"/>
      <c r="AD455" s="870"/>
      <c r="AE455" s="870"/>
      <c r="AF455" s="870"/>
      <c r="AG455" s="870"/>
    </row>
    <row r="456" spans="1:33" s="995" customFormat="1">
      <c r="A456" s="974"/>
      <c r="D456" s="876"/>
      <c r="E456" s="974"/>
      <c r="F456" s="876"/>
      <c r="G456" s="876"/>
      <c r="H456" s="876"/>
      <c r="I456" s="876"/>
      <c r="J456" s="876"/>
      <c r="K456" s="876"/>
      <c r="L456" s="876"/>
      <c r="M456" s="876"/>
      <c r="N456" s="876"/>
      <c r="O456" s="876"/>
      <c r="P456" s="876"/>
      <c r="Q456" s="870"/>
      <c r="R456" s="870"/>
      <c r="S456" s="870"/>
      <c r="T456" s="870"/>
      <c r="U456" s="870"/>
      <c r="V456" s="870"/>
      <c r="W456" s="870"/>
      <c r="X456" s="870"/>
      <c r="Y456" s="870"/>
      <c r="Z456" s="870"/>
      <c r="AA456" s="870"/>
      <c r="AB456" s="870"/>
      <c r="AC456" s="870"/>
      <c r="AD456" s="870"/>
      <c r="AE456" s="870"/>
      <c r="AF456" s="870"/>
      <c r="AG456" s="870"/>
    </row>
    <row r="457" spans="1:33" s="995" customFormat="1">
      <c r="A457" s="974"/>
      <c r="D457" s="876"/>
      <c r="E457" s="974"/>
      <c r="F457" s="876"/>
      <c r="G457" s="876"/>
      <c r="H457" s="876"/>
      <c r="I457" s="876"/>
      <c r="J457" s="876"/>
      <c r="K457" s="876"/>
      <c r="L457" s="876"/>
      <c r="M457" s="876"/>
      <c r="N457" s="876"/>
      <c r="O457" s="876"/>
      <c r="P457" s="876"/>
      <c r="Q457" s="870"/>
      <c r="R457" s="870"/>
      <c r="S457" s="870"/>
      <c r="T457" s="870"/>
      <c r="U457" s="870"/>
      <c r="V457" s="870"/>
      <c r="W457" s="870"/>
      <c r="X457" s="870"/>
      <c r="Y457" s="870"/>
      <c r="Z457" s="870"/>
      <c r="AA457" s="870"/>
      <c r="AB457" s="870"/>
      <c r="AC457" s="870"/>
      <c r="AD457" s="870"/>
      <c r="AE457" s="870"/>
      <c r="AF457" s="870"/>
      <c r="AG457" s="870"/>
    </row>
    <row r="458" spans="1:33" s="995" customFormat="1">
      <c r="A458" s="974"/>
      <c r="D458" s="876"/>
      <c r="E458" s="974"/>
      <c r="F458" s="876"/>
      <c r="G458" s="876"/>
      <c r="H458" s="876"/>
      <c r="I458" s="876"/>
      <c r="J458" s="876"/>
      <c r="K458" s="876"/>
      <c r="L458" s="876"/>
      <c r="M458" s="876"/>
      <c r="N458" s="876"/>
      <c r="O458" s="876"/>
      <c r="P458" s="876"/>
      <c r="Q458" s="870"/>
      <c r="R458" s="870"/>
      <c r="S458" s="870"/>
      <c r="T458" s="870"/>
      <c r="U458" s="870"/>
      <c r="V458" s="870"/>
      <c r="W458" s="870"/>
      <c r="X458" s="870"/>
      <c r="Y458" s="870"/>
      <c r="Z458" s="870"/>
      <c r="AA458" s="870"/>
      <c r="AB458" s="870"/>
      <c r="AC458" s="870"/>
      <c r="AD458" s="870"/>
      <c r="AE458" s="870"/>
      <c r="AF458" s="870"/>
      <c r="AG458" s="870"/>
    </row>
    <row r="459" spans="1:33" s="995" customFormat="1">
      <c r="A459" s="974"/>
      <c r="D459" s="876"/>
      <c r="E459" s="974"/>
      <c r="F459" s="876"/>
      <c r="G459" s="876"/>
      <c r="H459" s="876"/>
      <c r="I459" s="876"/>
      <c r="J459" s="876"/>
      <c r="K459" s="876"/>
      <c r="L459" s="876"/>
      <c r="M459" s="876"/>
      <c r="N459" s="876"/>
      <c r="O459" s="876"/>
      <c r="P459" s="876"/>
      <c r="Q459" s="870"/>
      <c r="R459" s="870"/>
      <c r="S459" s="870"/>
      <c r="T459" s="870"/>
      <c r="U459" s="870"/>
      <c r="V459" s="870"/>
      <c r="W459" s="870"/>
      <c r="X459" s="870"/>
      <c r="Y459" s="870"/>
      <c r="Z459" s="870"/>
      <c r="AA459" s="870"/>
      <c r="AB459" s="870"/>
      <c r="AC459" s="870"/>
      <c r="AD459" s="870"/>
      <c r="AE459" s="870"/>
      <c r="AF459" s="870"/>
      <c r="AG459" s="870"/>
    </row>
    <row r="460" spans="1:33" s="995" customFormat="1">
      <c r="A460" s="974"/>
      <c r="D460" s="876"/>
      <c r="E460" s="974"/>
      <c r="F460" s="876"/>
      <c r="G460" s="876"/>
      <c r="H460" s="876"/>
      <c r="I460" s="876"/>
      <c r="J460" s="876"/>
      <c r="K460" s="876"/>
      <c r="L460" s="876"/>
      <c r="M460" s="876"/>
      <c r="N460" s="876"/>
      <c r="O460" s="876"/>
      <c r="P460" s="876"/>
      <c r="Q460" s="870"/>
      <c r="R460" s="870"/>
      <c r="S460" s="870"/>
      <c r="T460" s="870"/>
      <c r="U460" s="870"/>
      <c r="V460" s="870"/>
      <c r="W460" s="870"/>
      <c r="X460" s="870"/>
      <c r="Y460" s="870"/>
      <c r="Z460" s="870"/>
      <c r="AA460" s="870"/>
      <c r="AB460" s="870"/>
      <c r="AC460" s="870"/>
      <c r="AD460" s="870"/>
      <c r="AE460" s="870"/>
      <c r="AF460" s="870"/>
      <c r="AG460" s="870"/>
    </row>
    <row r="461" spans="1:33" s="995" customFormat="1">
      <c r="A461" s="974"/>
      <c r="D461" s="876"/>
      <c r="E461" s="974"/>
      <c r="F461" s="876"/>
      <c r="G461" s="876"/>
      <c r="H461" s="876"/>
      <c r="I461" s="876"/>
      <c r="J461" s="876"/>
      <c r="K461" s="876"/>
      <c r="L461" s="876"/>
      <c r="M461" s="876"/>
      <c r="N461" s="876"/>
      <c r="O461" s="876"/>
      <c r="P461" s="876"/>
      <c r="Q461" s="870"/>
      <c r="R461" s="870"/>
      <c r="S461" s="870"/>
      <c r="T461" s="870"/>
      <c r="U461" s="870"/>
      <c r="V461" s="870"/>
      <c r="W461" s="870"/>
      <c r="X461" s="870"/>
      <c r="Y461" s="870"/>
      <c r="Z461" s="870"/>
      <c r="AA461" s="870"/>
      <c r="AB461" s="870"/>
      <c r="AC461" s="870"/>
      <c r="AD461" s="870"/>
      <c r="AE461" s="870"/>
      <c r="AF461" s="870"/>
      <c r="AG461" s="870"/>
    </row>
    <row r="462" spans="1:33" s="995" customFormat="1">
      <c r="A462" s="974"/>
      <c r="D462" s="876"/>
      <c r="E462" s="974"/>
      <c r="F462" s="876"/>
      <c r="G462" s="876"/>
      <c r="H462" s="876"/>
      <c r="I462" s="876"/>
      <c r="J462" s="876"/>
      <c r="K462" s="876"/>
      <c r="L462" s="876"/>
      <c r="M462" s="876"/>
      <c r="N462" s="876"/>
      <c r="O462" s="876"/>
      <c r="P462" s="876"/>
      <c r="Q462" s="870"/>
      <c r="R462" s="870"/>
      <c r="S462" s="870"/>
      <c r="T462" s="870"/>
      <c r="U462" s="870"/>
      <c r="V462" s="870"/>
      <c r="W462" s="870"/>
      <c r="X462" s="870"/>
      <c r="Y462" s="870"/>
      <c r="Z462" s="870"/>
      <c r="AA462" s="870"/>
      <c r="AB462" s="870"/>
      <c r="AC462" s="870"/>
      <c r="AD462" s="870"/>
      <c r="AE462" s="870"/>
      <c r="AF462" s="870"/>
      <c r="AG462" s="870"/>
    </row>
    <row r="463" spans="1:33" s="995" customFormat="1">
      <c r="A463" s="974"/>
      <c r="D463" s="876"/>
      <c r="E463" s="974"/>
      <c r="F463" s="876"/>
      <c r="G463" s="876"/>
      <c r="H463" s="876"/>
      <c r="I463" s="876"/>
      <c r="J463" s="876"/>
      <c r="K463" s="876"/>
      <c r="L463" s="876"/>
      <c r="M463" s="876"/>
      <c r="N463" s="876"/>
      <c r="O463" s="876"/>
      <c r="P463" s="876"/>
      <c r="Q463" s="870"/>
      <c r="R463" s="870"/>
      <c r="S463" s="870"/>
      <c r="T463" s="870"/>
      <c r="U463" s="870"/>
      <c r="V463" s="870"/>
      <c r="W463" s="870"/>
      <c r="X463" s="870"/>
      <c r="Y463" s="870"/>
      <c r="Z463" s="870"/>
      <c r="AA463" s="870"/>
      <c r="AB463" s="870"/>
      <c r="AC463" s="870"/>
      <c r="AD463" s="870"/>
      <c r="AE463" s="870"/>
      <c r="AF463" s="870"/>
      <c r="AG463" s="870"/>
    </row>
    <row r="464" spans="1:33" s="995" customFormat="1">
      <c r="A464" s="974"/>
      <c r="D464" s="876"/>
      <c r="E464" s="974"/>
      <c r="F464" s="876"/>
      <c r="G464" s="876"/>
      <c r="H464" s="876"/>
      <c r="I464" s="876"/>
      <c r="J464" s="876"/>
      <c r="K464" s="876"/>
      <c r="L464" s="876"/>
      <c r="M464" s="876"/>
      <c r="N464" s="876"/>
      <c r="O464" s="876"/>
      <c r="P464" s="876"/>
      <c r="Q464" s="870"/>
      <c r="R464" s="870"/>
      <c r="S464" s="870"/>
      <c r="T464" s="870"/>
      <c r="U464" s="870"/>
      <c r="V464" s="870"/>
      <c r="W464" s="870"/>
      <c r="X464" s="870"/>
      <c r="Y464" s="870"/>
      <c r="Z464" s="870"/>
      <c r="AA464" s="870"/>
      <c r="AB464" s="870"/>
      <c r="AC464" s="870"/>
      <c r="AD464" s="870"/>
      <c r="AE464" s="870"/>
      <c r="AF464" s="870"/>
      <c r="AG464" s="870"/>
    </row>
    <row r="465" spans="1:33" s="995" customFormat="1">
      <c r="A465" s="974"/>
      <c r="D465" s="876"/>
      <c r="E465" s="974"/>
      <c r="F465" s="876"/>
      <c r="G465" s="876"/>
      <c r="H465" s="876"/>
      <c r="I465" s="876"/>
      <c r="J465" s="876"/>
      <c r="K465" s="876"/>
      <c r="L465" s="876"/>
      <c r="M465" s="876"/>
      <c r="N465" s="876"/>
      <c r="O465" s="876"/>
      <c r="P465" s="876"/>
      <c r="Q465" s="870"/>
      <c r="R465" s="870"/>
      <c r="S465" s="870"/>
      <c r="T465" s="870"/>
      <c r="U465" s="870"/>
      <c r="V465" s="870"/>
      <c r="W465" s="870"/>
      <c r="X465" s="870"/>
      <c r="Y465" s="870"/>
      <c r="Z465" s="870"/>
      <c r="AA465" s="870"/>
      <c r="AB465" s="870"/>
      <c r="AC465" s="870"/>
      <c r="AD465" s="870"/>
      <c r="AE465" s="870"/>
      <c r="AF465" s="870"/>
      <c r="AG465" s="870"/>
    </row>
    <row r="466" spans="1:33" s="995" customFormat="1">
      <c r="A466" s="974"/>
      <c r="D466" s="876"/>
      <c r="E466" s="974"/>
      <c r="F466" s="876"/>
      <c r="G466" s="876"/>
      <c r="H466" s="876"/>
      <c r="I466" s="876"/>
      <c r="J466" s="876"/>
      <c r="K466" s="876"/>
      <c r="L466" s="876"/>
      <c r="M466" s="876"/>
      <c r="N466" s="876"/>
      <c r="O466" s="876"/>
      <c r="P466" s="876"/>
      <c r="Q466" s="870"/>
      <c r="R466" s="870"/>
      <c r="S466" s="870"/>
      <c r="T466" s="870"/>
      <c r="U466" s="870"/>
      <c r="V466" s="870"/>
      <c r="W466" s="870"/>
      <c r="X466" s="870"/>
      <c r="Y466" s="870"/>
      <c r="Z466" s="870"/>
      <c r="AA466" s="870"/>
      <c r="AB466" s="870"/>
      <c r="AC466" s="870"/>
      <c r="AD466" s="870"/>
      <c r="AE466" s="870"/>
      <c r="AF466" s="870"/>
      <c r="AG466" s="870"/>
    </row>
    <row r="467" spans="1:33" s="995" customFormat="1">
      <c r="A467" s="974"/>
      <c r="D467" s="876"/>
      <c r="E467" s="974"/>
      <c r="F467" s="876"/>
      <c r="G467" s="876"/>
      <c r="H467" s="876"/>
      <c r="I467" s="876"/>
      <c r="J467" s="876"/>
      <c r="K467" s="876"/>
      <c r="L467" s="876"/>
      <c r="M467" s="876"/>
      <c r="N467" s="876"/>
      <c r="O467" s="876"/>
      <c r="P467" s="876"/>
      <c r="Q467" s="870"/>
      <c r="R467" s="870"/>
      <c r="S467" s="870"/>
      <c r="T467" s="870"/>
      <c r="U467" s="870"/>
      <c r="V467" s="870"/>
      <c r="W467" s="870"/>
      <c r="X467" s="870"/>
      <c r="Y467" s="870"/>
      <c r="Z467" s="870"/>
      <c r="AA467" s="870"/>
      <c r="AB467" s="870"/>
      <c r="AC467" s="870"/>
      <c r="AD467" s="870"/>
      <c r="AE467" s="870"/>
      <c r="AF467" s="870"/>
      <c r="AG467" s="870"/>
    </row>
    <row r="468" spans="1:33" s="995" customFormat="1">
      <c r="A468" s="974"/>
      <c r="D468" s="876"/>
      <c r="E468" s="974"/>
      <c r="F468" s="876"/>
      <c r="G468" s="876"/>
      <c r="H468" s="876"/>
      <c r="I468" s="876"/>
      <c r="J468" s="876"/>
      <c r="K468" s="876"/>
      <c r="L468" s="876"/>
      <c r="M468" s="876"/>
      <c r="N468" s="876"/>
      <c r="O468" s="876"/>
      <c r="P468" s="876"/>
      <c r="Q468" s="870"/>
      <c r="R468" s="870"/>
      <c r="S468" s="870"/>
      <c r="T468" s="870"/>
      <c r="U468" s="870"/>
      <c r="V468" s="870"/>
      <c r="W468" s="870"/>
      <c r="X468" s="870"/>
      <c r="Y468" s="870"/>
      <c r="Z468" s="870"/>
      <c r="AA468" s="870"/>
      <c r="AB468" s="870"/>
      <c r="AC468" s="870"/>
      <c r="AD468" s="870"/>
      <c r="AE468" s="870"/>
      <c r="AF468" s="870"/>
      <c r="AG468" s="870"/>
    </row>
    <row r="469" spans="1:33" s="995" customFormat="1">
      <c r="A469" s="974"/>
      <c r="D469" s="876"/>
      <c r="E469" s="974"/>
      <c r="F469" s="876"/>
      <c r="G469" s="876"/>
      <c r="H469" s="876"/>
      <c r="I469" s="876"/>
      <c r="J469" s="876"/>
      <c r="K469" s="876"/>
      <c r="L469" s="876"/>
      <c r="M469" s="876"/>
      <c r="N469" s="876"/>
      <c r="O469" s="876"/>
      <c r="P469" s="876"/>
      <c r="Q469" s="870"/>
      <c r="R469" s="870"/>
      <c r="S469" s="870"/>
      <c r="T469" s="870"/>
      <c r="U469" s="870"/>
      <c r="V469" s="870"/>
      <c r="W469" s="870"/>
      <c r="X469" s="870"/>
      <c r="Y469" s="870"/>
      <c r="Z469" s="870"/>
      <c r="AA469" s="870"/>
      <c r="AB469" s="870"/>
      <c r="AC469" s="870"/>
      <c r="AD469" s="870"/>
      <c r="AE469" s="870"/>
      <c r="AF469" s="870"/>
      <c r="AG469" s="870"/>
    </row>
    <row r="470" spans="1:33" s="995" customFormat="1">
      <c r="A470" s="974"/>
      <c r="D470" s="876"/>
      <c r="E470" s="974"/>
      <c r="F470" s="876"/>
      <c r="G470" s="876"/>
      <c r="H470" s="876"/>
      <c r="I470" s="876"/>
      <c r="J470" s="876"/>
      <c r="K470" s="876"/>
      <c r="L470" s="876"/>
      <c r="M470" s="876"/>
      <c r="N470" s="876"/>
      <c r="O470" s="876"/>
      <c r="P470" s="876"/>
      <c r="Q470" s="870"/>
      <c r="R470" s="870"/>
      <c r="S470" s="870"/>
      <c r="T470" s="870"/>
      <c r="U470" s="870"/>
      <c r="V470" s="870"/>
      <c r="W470" s="870"/>
      <c r="X470" s="870"/>
      <c r="Y470" s="870"/>
      <c r="Z470" s="870"/>
      <c r="AA470" s="870"/>
      <c r="AB470" s="870"/>
      <c r="AC470" s="870"/>
      <c r="AD470" s="870"/>
      <c r="AE470" s="870"/>
      <c r="AF470" s="870"/>
      <c r="AG470" s="870"/>
    </row>
    <row r="471" spans="1:33" s="995" customFormat="1">
      <c r="A471" s="974"/>
      <c r="D471" s="876"/>
      <c r="E471" s="974"/>
      <c r="F471" s="876"/>
      <c r="G471" s="876"/>
      <c r="H471" s="876"/>
      <c r="I471" s="876"/>
      <c r="J471" s="876"/>
      <c r="K471" s="876"/>
      <c r="L471" s="876"/>
      <c r="M471" s="876"/>
      <c r="N471" s="876"/>
      <c r="O471" s="876"/>
      <c r="P471" s="876"/>
      <c r="Q471" s="870"/>
      <c r="R471" s="870"/>
      <c r="S471" s="870"/>
      <c r="T471" s="870"/>
      <c r="U471" s="870"/>
      <c r="V471" s="870"/>
      <c r="W471" s="870"/>
      <c r="X471" s="870"/>
      <c r="Y471" s="870"/>
      <c r="Z471" s="870"/>
      <c r="AA471" s="870"/>
      <c r="AB471" s="870"/>
      <c r="AC471" s="870"/>
      <c r="AD471" s="870"/>
      <c r="AE471" s="870"/>
      <c r="AF471" s="870"/>
      <c r="AG471" s="870"/>
    </row>
    <row r="472" spans="1:33" s="995" customFormat="1">
      <c r="A472" s="974"/>
      <c r="D472" s="876"/>
      <c r="E472" s="974"/>
      <c r="F472" s="876"/>
      <c r="G472" s="876"/>
      <c r="H472" s="876"/>
      <c r="I472" s="876"/>
      <c r="J472" s="876"/>
      <c r="K472" s="876"/>
      <c r="L472" s="876"/>
      <c r="M472" s="876"/>
      <c r="N472" s="876"/>
      <c r="O472" s="876"/>
      <c r="P472" s="876"/>
      <c r="Q472" s="870"/>
      <c r="R472" s="870"/>
      <c r="S472" s="870"/>
      <c r="T472" s="870"/>
      <c r="U472" s="870"/>
      <c r="V472" s="870"/>
      <c r="W472" s="870"/>
      <c r="X472" s="870"/>
      <c r="Y472" s="870"/>
      <c r="Z472" s="870"/>
      <c r="AA472" s="870"/>
      <c r="AB472" s="870"/>
      <c r="AC472" s="870"/>
      <c r="AD472" s="870"/>
      <c r="AE472" s="870"/>
      <c r="AF472" s="870"/>
      <c r="AG472" s="870"/>
    </row>
    <row r="473" spans="1:33" s="995" customFormat="1">
      <c r="A473" s="974"/>
      <c r="D473" s="876"/>
      <c r="E473" s="974"/>
      <c r="F473" s="876"/>
      <c r="G473" s="876"/>
      <c r="H473" s="876"/>
      <c r="I473" s="876"/>
      <c r="J473" s="876"/>
      <c r="K473" s="876"/>
      <c r="L473" s="876"/>
      <c r="M473" s="876"/>
      <c r="N473" s="876"/>
      <c r="O473" s="876"/>
      <c r="P473" s="876"/>
      <c r="Q473" s="870"/>
      <c r="R473" s="870"/>
      <c r="S473" s="870"/>
      <c r="T473" s="870"/>
      <c r="U473" s="870"/>
      <c r="V473" s="870"/>
      <c r="W473" s="870"/>
      <c r="X473" s="870"/>
      <c r="Y473" s="870"/>
      <c r="Z473" s="870"/>
      <c r="AA473" s="870"/>
      <c r="AB473" s="870"/>
      <c r="AC473" s="870"/>
      <c r="AD473" s="870"/>
      <c r="AE473" s="870"/>
      <c r="AF473" s="870"/>
      <c r="AG473" s="870"/>
    </row>
    <row r="474" spans="1:33" s="995" customFormat="1">
      <c r="A474" s="974"/>
      <c r="D474" s="876"/>
      <c r="E474" s="974"/>
      <c r="F474" s="876"/>
      <c r="G474" s="876"/>
      <c r="H474" s="876"/>
      <c r="I474" s="876"/>
      <c r="J474" s="876"/>
      <c r="K474" s="876"/>
      <c r="L474" s="876"/>
      <c r="M474" s="876"/>
      <c r="N474" s="876"/>
      <c r="O474" s="876"/>
      <c r="P474" s="876"/>
      <c r="Q474" s="870"/>
      <c r="R474" s="870"/>
      <c r="S474" s="870"/>
      <c r="T474" s="870"/>
      <c r="U474" s="870"/>
      <c r="V474" s="870"/>
      <c r="W474" s="870"/>
      <c r="X474" s="870"/>
      <c r="Y474" s="870"/>
      <c r="Z474" s="870"/>
      <c r="AA474" s="870"/>
      <c r="AB474" s="870"/>
      <c r="AC474" s="870"/>
      <c r="AD474" s="870"/>
      <c r="AE474" s="870"/>
      <c r="AF474" s="870"/>
      <c r="AG474" s="870"/>
    </row>
    <row r="475" spans="1:33" s="995" customFormat="1">
      <c r="A475" s="974"/>
      <c r="D475" s="876"/>
      <c r="E475" s="974"/>
      <c r="F475" s="876"/>
      <c r="G475" s="876"/>
      <c r="H475" s="876"/>
      <c r="I475" s="876"/>
      <c r="J475" s="876"/>
      <c r="K475" s="876"/>
      <c r="L475" s="876"/>
      <c r="M475" s="876"/>
      <c r="N475" s="876"/>
      <c r="O475" s="876"/>
      <c r="P475" s="876"/>
      <c r="Q475" s="870"/>
      <c r="R475" s="870"/>
      <c r="S475" s="870"/>
      <c r="T475" s="870"/>
      <c r="U475" s="870"/>
      <c r="V475" s="870"/>
      <c r="W475" s="870"/>
      <c r="X475" s="870"/>
      <c r="Y475" s="870"/>
      <c r="Z475" s="870"/>
      <c r="AA475" s="870"/>
      <c r="AB475" s="870"/>
      <c r="AC475" s="870"/>
      <c r="AD475" s="870"/>
      <c r="AE475" s="870"/>
      <c r="AF475" s="870"/>
      <c r="AG475" s="870"/>
    </row>
    <row r="476" spans="1:33" s="995" customFormat="1">
      <c r="A476" s="974"/>
      <c r="D476" s="876"/>
      <c r="E476" s="974"/>
      <c r="F476" s="876"/>
      <c r="G476" s="876"/>
      <c r="H476" s="876"/>
      <c r="I476" s="876"/>
      <c r="J476" s="876"/>
      <c r="K476" s="876"/>
      <c r="L476" s="876"/>
      <c r="M476" s="876"/>
      <c r="N476" s="876"/>
      <c r="O476" s="876"/>
      <c r="P476" s="876"/>
      <c r="Q476" s="870"/>
      <c r="R476" s="870"/>
      <c r="S476" s="870"/>
      <c r="T476" s="870"/>
      <c r="U476" s="870"/>
      <c r="V476" s="870"/>
      <c r="W476" s="870"/>
      <c r="X476" s="870"/>
      <c r="Y476" s="870"/>
      <c r="Z476" s="870"/>
      <c r="AA476" s="870"/>
      <c r="AB476" s="870"/>
      <c r="AC476" s="870"/>
      <c r="AD476" s="870"/>
      <c r="AE476" s="870"/>
      <c r="AF476" s="870"/>
      <c r="AG476" s="870"/>
    </row>
    <row r="477" spans="1:33" s="995" customFormat="1">
      <c r="A477" s="974"/>
      <c r="D477" s="876"/>
      <c r="E477" s="974"/>
      <c r="F477" s="876"/>
      <c r="G477" s="876"/>
      <c r="H477" s="876"/>
      <c r="I477" s="876"/>
      <c r="J477" s="876"/>
      <c r="K477" s="876"/>
      <c r="L477" s="876"/>
      <c r="M477" s="876"/>
      <c r="N477" s="876"/>
      <c r="O477" s="876"/>
      <c r="P477" s="876"/>
      <c r="Q477" s="870"/>
      <c r="R477" s="870"/>
      <c r="S477" s="870"/>
      <c r="T477" s="870"/>
      <c r="U477" s="870"/>
      <c r="V477" s="870"/>
      <c r="W477" s="870"/>
      <c r="X477" s="870"/>
      <c r="Y477" s="870"/>
      <c r="Z477" s="870"/>
      <c r="AA477" s="870"/>
      <c r="AB477" s="870"/>
      <c r="AC477" s="870"/>
      <c r="AD477" s="870"/>
      <c r="AE477" s="870"/>
      <c r="AF477" s="870"/>
      <c r="AG477" s="870"/>
    </row>
    <row r="478" spans="1:33" s="995" customFormat="1">
      <c r="A478" s="974"/>
      <c r="D478" s="876"/>
      <c r="E478" s="974"/>
      <c r="F478" s="876"/>
      <c r="G478" s="876"/>
      <c r="H478" s="876"/>
      <c r="I478" s="876"/>
      <c r="J478" s="876"/>
      <c r="K478" s="876"/>
      <c r="L478" s="876"/>
      <c r="M478" s="876"/>
      <c r="N478" s="876"/>
      <c r="O478" s="876"/>
      <c r="P478" s="876"/>
      <c r="Q478" s="870"/>
      <c r="R478" s="870"/>
      <c r="S478" s="870"/>
      <c r="T478" s="870"/>
      <c r="U478" s="870"/>
      <c r="V478" s="870"/>
      <c r="W478" s="870"/>
      <c r="X478" s="870"/>
      <c r="Y478" s="870"/>
      <c r="Z478" s="870"/>
      <c r="AA478" s="870"/>
      <c r="AB478" s="870"/>
      <c r="AC478" s="870"/>
      <c r="AD478" s="870"/>
      <c r="AE478" s="870"/>
      <c r="AF478" s="870"/>
      <c r="AG478" s="870"/>
    </row>
    <row r="479" spans="1:33" s="995" customFormat="1">
      <c r="A479" s="974"/>
      <c r="D479" s="876"/>
      <c r="E479" s="974"/>
      <c r="F479" s="876"/>
      <c r="G479" s="876"/>
      <c r="H479" s="876"/>
      <c r="I479" s="876"/>
      <c r="J479" s="876"/>
      <c r="K479" s="876"/>
      <c r="L479" s="876"/>
      <c r="M479" s="876"/>
      <c r="N479" s="876"/>
      <c r="O479" s="876"/>
      <c r="P479" s="876"/>
      <c r="Q479" s="870"/>
      <c r="R479" s="870"/>
      <c r="S479" s="870"/>
      <c r="T479" s="870"/>
      <c r="U479" s="870"/>
      <c r="V479" s="870"/>
      <c r="W479" s="870"/>
      <c r="X479" s="870"/>
      <c r="Y479" s="870"/>
      <c r="Z479" s="870"/>
      <c r="AA479" s="870"/>
      <c r="AB479" s="870"/>
      <c r="AC479" s="870"/>
      <c r="AD479" s="870"/>
      <c r="AE479" s="870"/>
      <c r="AF479" s="870"/>
      <c r="AG479" s="870"/>
    </row>
    <row r="480" spans="1:33" s="995" customFormat="1">
      <c r="A480" s="974"/>
      <c r="D480" s="876"/>
      <c r="E480" s="974"/>
      <c r="F480" s="876"/>
      <c r="G480" s="876"/>
      <c r="H480" s="876"/>
      <c r="I480" s="876"/>
      <c r="J480" s="876"/>
      <c r="K480" s="876"/>
      <c r="L480" s="876"/>
      <c r="M480" s="876"/>
      <c r="N480" s="876"/>
      <c r="O480" s="876"/>
      <c r="P480" s="876"/>
      <c r="Q480" s="870"/>
      <c r="R480" s="870"/>
      <c r="S480" s="870"/>
      <c r="T480" s="870"/>
      <c r="U480" s="870"/>
      <c r="V480" s="870"/>
      <c r="W480" s="870"/>
      <c r="X480" s="870"/>
      <c r="Y480" s="870"/>
      <c r="Z480" s="870"/>
      <c r="AA480" s="870"/>
      <c r="AB480" s="870"/>
      <c r="AC480" s="870"/>
      <c r="AD480" s="870"/>
      <c r="AE480" s="870"/>
      <c r="AF480" s="870"/>
      <c r="AG480" s="870"/>
    </row>
    <row r="481" spans="1:33" s="995" customFormat="1">
      <c r="A481" s="974"/>
      <c r="D481" s="876"/>
      <c r="E481" s="974"/>
      <c r="F481" s="876"/>
      <c r="G481" s="876"/>
      <c r="H481" s="876"/>
      <c r="I481" s="876"/>
      <c r="J481" s="876"/>
      <c r="K481" s="876"/>
      <c r="L481" s="876"/>
      <c r="M481" s="876"/>
      <c r="N481" s="876"/>
      <c r="O481" s="876"/>
      <c r="P481" s="876"/>
      <c r="Q481" s="870"/>
      <c r="R481" s="870"/>
      <c r="S481" s="870"/>
      <c r="T481" s="870"/>
      <c r="U481" s="870"/>
      <c r="V481" s="870"/>
      <c r="W481" s="870"/>
      <c r="X481" s="870"/>
      <c r="Y481" s="870"/>
      <c r="Z481" s="870"/>
      <c r="AA481" s="870"/>
      <c r="AB481" s="870"/>
      <c r="AC481" s="870"/>
      <c r="AD481" s="870"/>
      <c r="AE481" s="870"/>
      <c r="AF481" s="870"/>
      <c r="AG481" s="870"/>
    </row>
    <row r="482" spans="1:33" s="995" customFormat="1">
      <c r="A482" s="974"/>
      <c r="D482" s="876"/>
      <c r="E482" s="974"/>
      <c r="F482" s="876"/>
      <c r="G482" s="876"/>
      <c r="H482" s="876"/>
      <c r="I482" s="876"/>
      <c r="J482" s="876"/>
      <c r="K482" s="876"/>
      <c r="L482" s="876"/>
      <c r="M482" s="876"/>
      <c r="N482" s="876"/>
      <c r="O482" s="876"/>
      <c r="P482" s="876"/>
      <c r="Q482" s="870"/>
      <c r="R482" s="870"/>
      <c r="S482" s="870"/>
      <c r="T482" s="870"/>
      <c r="U482" s="870"/>
      <c r="V482" s="870"/>
      <c r="W482" s="870"/>
      <c r="X482" s="870"/>
      <c r="Y482" s="870"/>
      <c r="Z482" s="870"/>
      <c r="AA482" s="870"/>
      <c r="AB482" s="870"/>
      <c r="AC482" s="870"/>
      <c r="AD482" s="870"/>
      <c r="AE482" s="870"/>
      <c r="AF482" s="870"/>
      <c r="AG482" s="870"/>
    </row>
    <row r="483" spans="1:33" s="995" customFormat="1">
      <c r="A483" s="974"/>
      <c r="D483" s="876"/>
      <c r="E483" s="974"/>
      <c r="F483" s="876"/>
      <c r="G483" s="876"/>
      <c r="H483" s="876"/>
      <c r="I483" s="876"/>
      <c r="J483" s="876"/>
      <c r="K483" s="876"/>
      <c r="L483" s="876"/>
      <c r="M483" s="876"/>
      <c r="N483" s="876"/>
      <c r="O483" s="876"/>
      <c r="P483" s="876"/>
      <c r="Q483" s="870"/>
      <c r="R483" s="870"/>
      <c r="S483" s="870"/>
      <c r="T483" s="870"/>
      <c r="U483" s="870"/>
      <c r="V483" s="870"/>
      <c r="W483" s="870"/>
      <c r="X483" s="870"/>
      <c r="Y483" s="870"/>
      <c r="Z483" s="870"/>
      <c r="AA483" s="870"/>
      <c r="AB483" s="870"/>
      <c r="AC483" s="870"/>
      <c r="AD483" s="870"/>
      <c r="AE483" s="870"/>
      <c r="AF483" s="870"/>
      <c r="AG483" s="870"/>
    </row>
    <row r="484" spans="1:33" s="995" customFormat="1">
      <c r="A484" s="974"/>
      <c r="D484" s="876"/>
      <c r="E484" s="974"/>
      <c r="F484" s="876"/>
      <c r="G484" s="876"/>
      <c r="H484" s="876"/>
      <c r="I484" s="876"/>
      <c r="J484" s="876"/>
      <c r="K484" s="876"/>
      <c r="L484" s="876"/>
      <c r="M484" s="876"/>
      <c r="N484" s="876"/>
      <c r="O484" s="876"/>
      <c r="P484" s="876"/>
      <c r="Q484" s="870"/>
      <c r="R484" s="870"/>
      <c r="S484" s="870"/>
      <c r="T484" s="870"/>
      <c r="U484" s="870"/>
      <c r="V484" s="870"/>
      <c r="W484" s="870"/>
      <c r="X484" s="870"/>
      <c r="Y484" s="870"/>
      <c r="Z484" s="870"/>
      <c r="AA484" s="870"/>
      <c r="AB484" s="870"/>
      <c r="AC484" s="870"/>
      <c r="AD484" s="870"/>
      <c r="AE484" s="870"/>
      <c r="AF484" s="870"/>
      <c r="AG484" s="870"/>
    </row>
    <row r="485" spans="1:33" s="995" customFormat="1">
      <c r="A485" s="974"/>
      <c r="D485" s="876"/>
      <c r="E485" s="974"/>
      <c r="F485" s="876"/>
      <c r="G485" s="876"/>
      <c r="H485" s="876"/>
      <c r="I485" s="876"/>
      <c r="J485" s="876"/>
      <c r="K485" s="876"/>
      <c r="L485" s="876"/>
      <c r="M485" s="876"/>
      <c r="N485" s="876"/>
      <c r="O485" s="876"/>
      <c r="P485" s="876"/>
      <c r="Q485" s="870"/>
      <c r="R485" s="870"/>
      <c r="S485" s="870"/>
      <c r="T485" s="870"/>
      <c r="U485" s="870"/>
      <c r="V485" s="870"/>
      <c r="W485" s="870"/>
      <c r="X485" s="870"/>
      <c r="Y485" s="870"/>
      <c r="Z485" s="870"/>
      <c r="AA485" s="870"/>
      <c r="AB485" s="870"/>
      <c r="AC485" s="870"/>
      <c r="AD485" s="870"/>
      <c r="AE485" s="870"/>
      <c r="AF485" s="870"/>
      <c r="AG485" s="870"/>
    </row>
    <row r="486" spans="1:33" s="995" customFormat="1">
      <c r="A486" s="974"/>
      <c r="D486" s="876"/>
      <c r="E486" s="974"/>
      <c r="F486" s="876"/>
      <c r="G486" s="876"/>
      <c r="H486" s="876"/>
      <c r="I486" s="876"/>
      <c r="J486" s="876"/>
      <c r="K486" s="876"/>
      <c r="L486" s="876"/>
      <c r="M486" s="876"/>
      <c r="N486" s="876"/>
      <c r="O486" s="876"/>
      <c r="P486" s="876"/>
      <c r="Q486" s="870"/>
      <c r="R486" s="870"/>
      <c r="S486" s="870"/>
      <c r="T486" s="870"/>
      <c r="U486" s="870"/>
      <c r="V486" s="870"/>
      <c r="W486" s="870"/>
      <c r="X486" s="870"/>
      <c r="Y486" s="870"/>
      <c r="Z486" s="870"/>
      <c r="AA486" s="870"/>
      <c r="AB486" s="870"/>
      <c r="AC486" s="870"/>
      <c r="AD486" s="870"/>
      <c r="AE486" s="870"/>
      <c r="AF486" s="870"/>
      <c r="AG486" s="870"/>
    </row>
    <row r="487" spans="1:33" s="995" customFormat="1">
      <c r="A487" s="974"/>
      <c r="D487" s="876"/>
      <c r="E487" s="974"/>
      <c r="F487" s="876"/>
      <c r="G487" s="876"/>
      <c r="H487" s="876"/>
      <c r="I487" s="876"/>
      <c r="J487" s="876"/>
      <c r="K487" s="876"/>
      <c r="L487" s="876"/>
      <c r="M487" s="876"/>
      <c r="N487" s="876"/>
      <c r="O487" s="876"/>
      <c r="P487" s="876"/>
      <c r="Q487" s="870"/>
      <c r="R487" s="870"/>
      <c r="S487" s="870"/>
      <c r="T487" s="870"/>
      <c r="U487" s="870"/>
      <c r="V487" s="870"/>
      <c r="W487" s="870"/>
      <c r="X487" s="870"/>
      <c r="Y487" s="870"/>
      <c r="Z487" s="870"/>
      <c r="AA487" s="870"/>
      <c r="AB487" s="870"/>
      <c r="AC487" s="870"/>
      <c r="AD487" s="870"/>
      <c r="AE487" s="870"/>
      <c r="AF487" s="870"/>
      <c r="AG487" s="870"/>
    </row>
    <row r="488" spans="1:33" s="995" customFormat="1">
      <c r="A488" s="974"/>
      <c r="D488" s="876"/>
      <c r="E488" s="974"/>
      <c r="F488" s="876"/>
      <c r="G488" s="876"/>
      <c r="H488" s="876"/>
      <c r="I488" s="876"/>
      <c r="J488" s="876"/>
      <c r="K488" s="876"/>
      <c r="L488" s="876"/>
      <c r="M488" s="876"/>
      <c r="N488" s="876"/>
      <c r="O488" s="876"/>
      <c r="P488" s="876"/>
      <c r="Q488" s="870"/>
      <c r="R488" s="870"/>
      <c r="S488" s="870"/>
      <c r="T488" s="870"/>
      <c r="U488" s="870"/>
      <c r="V488" s="870"/>
      <c r="W488" s="870"/>
      <c r="X488" s="870"/>
      <c r="Y488" s="870"/>
      <c r="Z488" s="870"/>
      <c r="AA488" s="870"/>
      <c r="AB488" s="870"/>
      <c r="AC488" s="870"/>
      <c r="AD488" s="870"/>
      <c r="AE488" s="870"/>
      <c r="AF488" s="870"/>
      <c r="AG488" s="870"/>
    </row>
    <row r="489" spans="1:33" s="995" customFormat="1">
      <c r="A489" s="974"/>
      <c r="D489" s="876"/>
      <c r="E489" s="974"/>
      <c r="F489" s="876"/>
      <c r="G489" s="876"/>
      <c r="H489" s="876"/>
      <c r="I489" s="876"/>
      <c r="J489" s="876"/>
      <c r="K489" s="876"/>
      <c r="L489" s="876"/>
      <c r="M489" s="876"/>
      <c r="N489" s="876"/>
      <c r="O489" s="876"/>
      <c r="P489" s="876"/>
      <c r="Q489" s="870"/>
      <c r="R489" s="870"/>
      <c r="S489" s="870"/>
      <c r="T489" s="870"/>
      <c r="U489" s="870"/>
      <c r="V489" s="870"/>
      <c r="W489" s="870"/>
      <c r="X489" s="870"/>
      <c r="Y489" s="870"/>
      <c r="Z489" s="870"/>
      <c r="AA489" s="870"/>
      <c r="AB489" s="870"/>
      <c r="AC489" s="870"/>
      <c r="AD489" s="870"/>
      <c r="AE489" s="870"/>
      <c r="AF489" s="870"/>
      <c r="AG489" s="870"/>
    </row>
    <row r="490" spans="1:33" s="995" customFormat="1">
      <c r="A490" s="974"/>
      <c r="D490" s="876"/>
      <c r="E490" s="974"/>
      <c r="F490" s="876"/>
      <c r="G490" s="876"/>
      <c r="H490" s="876"/>
      <c r="I490" s="876"/>
      <c r="J490" s="876"/>
      <c r="K490" s="876"/>
      <c r="L490" s="876"/>
      <c r="M490" s="876"/>
      <c r="N490" s="876"/>
      <c r="O490" s="876"/>
      <c r="P490" s="876"/>
      <c r="Q490" s="870"/>
      <c r="R490" s="870"/>
      <c r="S490" s="870"/>
      <c r="T490" s="870"/>
      <c r="U490" s="870"/>
      <c r="V490" s="870"/>
      <c r="W490" s="870"/>
      <c r="X490" s="870"/>
      <c r="Y490" s="870"/>
      <c r="Z490" s="870"/>
      <c r="AA490" s="870"/>
      <c r="AB490" s="870"/>
      <c r="AC490" s="870"/>
      <c r="AD490" s="870"/>
      <c r="AE490" s="870"/>
      <c r="AF490" s="870"/>
      <c r="AG490" s="870"/>
    </row>
    <row r="491" spans="1:33" s="995" customFormat="1">
      <c r="A491" s="974"/>
      <c r="D491" s="876"/>
      <c r="E491" s="974"/>
      <c r="F491" s="876"/>
      <c r="G491" s="876"/>
      <c r="H491" s="876"/>
      <c r="I491" s="876"/>
      <c r="J491" s="876"/>
      <c r="K491" s="876"/>
      <c r="L491" s="876"/>
      <c r="M491" s="876"/>
      <c r="N491" s="876"/>
      <c r="O491" s="876"/>
      <c r="P491" s="876"/>
      <c r="Q491" s="870"/>
      <c r="R491" s="870"/>
      <c r="S491" s="870"/>
      <c r="T491" s="870"/>
      <c r="U491" s="870"/>
      <c r="V491" s="870"/>
      <c r="W491" s="870"/>
      <c r="X491" s="870"/>
      <c r="Y491" s="870"/>
      <c r="Z491" s="870"/>
      <c r="AA491" s="870"/>
      <c r="AB491" s="870"/>
      <c r="AC491" s="870"/>
      <c r="AD491" s="870"/>
      <c r="AE491" s="870"/>
      <c r="AF491" s="870"/>
      <c r="AG491" s="870"/>
    </row>
    <row r="492" spans="1:33" s="995" customFormat="1">
      <c r="A492" s="974"/>
      <c r="D492" s="876"/>
      <c r="E492" s="974"/>
      <c r="F492" s="876"/>
      <c r="G492" s="876"/>
      <c r="H492" s="876"/>
      <c r="I492" s="876"/>
      <c r="J492" s="876"/>
      <c r="K492" s="876"/>
      <c r="L492" s="876"/>
      <c r="M492" s="876"/>
      <c r="N492" s="876"/>
      <c r="O492" s="876"/>
      <c r="P492" s="876"/>
      <c r="Q492" s="870"/>
      <c r="R492" s="870"/>
      <c r="S492" s="870"/>
      <c r="T492" s="870"/>
      <c r="U492" s="870"/>
      <c r="V492" s="870"/>
      <c r="W492" s="870"/>
      <c r="X492" s="870"/>
      <c r="Y492" s="870"/>
      <c r="Z492" s="870"/>
      <c r="AA492" s="870"/>
      <c r="AB492" s="870"/>
      <c r="AC492" s="870"/>
      <c r="AD492" s="870"/>
      <c r="AE492" s="870"/>
      <c r="AF492" s="870"/>
      <c r="AG492" s="870"/>
    </row>
    <row r="493" spans="1:33" s="995" customFormat="1">
      <c r="A493" s="974"/>
      <c r="D493" s="876"/>
      <c r="E493" s="974"/>
      <c r="F493" s="876"/>
      <c r="G493" s="876"/>
      <c r="H493" s="876"/>
      <c r="I493" s="876"/>
      <c r="J493" s="876"/>
      <c r="K493" s="876"/>
      <c r="L493" s="876"/>
      <c r="M493" s="876"/>
      <c r="N493" s="876"/>
      <c r="O493" s="876"/>
      <c r="P493" s="876"/>
      <c r="Q493" s="870"/>
      <c r="R493" s="870"/>
      <c r="S493" s="870"/>
      <c r="T493" s="870"/>
      <c r="U493" s="870"/>
      <c r="V493" s="870"/>
      <c r="W493" s="870"/>
      <c r="X493" s="870"/>
      <c r="Y493" s="870"/>
      <c r="Z493" s="870"/>
      <c r="AA493" s="870"/>
      <c r="AB493" s="870"/>
      <c r="AC493" s="870"/>
      <c r="AD493" s="870"/>
      <c r="AE493" s="870"/>
      <c r="AF493" s="870"/>
      <c r="AG493" s="870"/>
    </row>
    <row r="494" spans="1:33" s="995" customFormat="1">
      <c r="A494" s="974"/>
      <c r="D494" s="876"/>
      <c r="E494" s="974"/>
      <c r="F494" s="876"/>
      <c r="G494" s="876"/>
      <c r="H494" s="876"/>
      <c r="I494" s="876"/>
      <c r="J494" s="876"/>
      <c r="K494" s="876"/>
      <c r="L494" s="876"/>
      <c r="M494" s="876"/>
      <c r="N494" s="876"/>
      <c r="O494" s="876"/>
      <c r="P494" s="876"/>
      <c r="Q494" s="870"/>
      <c r="R494" s="870"/>
      <c r="S494" s="870"/>
      <c r="T494" s="870"/>
      <c r="U494" s="870"/>
      <c r="V494" s="870"/>
      <c r="W494" s="870"/>
      <c r="X494" s="870"/>
      <c r="Y494" s="870"/>
      <c r="Z494" s="870"/>
      <c r="AA494" s="870"/>
      <c r="AB494" s="870"/>
      <c r="AC494" s="870"/>
      <c r="AD494" s="870"/>
      <c r="AE494" s="870"/>
      <c r="AF494" s="870"/>
      <c r="AG494" s="870"/>
    </row>
    <row r="495" spans="1:33" s="995" customFormat="1">
      <c r="A495" s="974"/>
      <c r="D495" s="876"/>
      <c r="E495" s="974"/>
      <c r="F495" s="876"/>
      <c r="G495" s="876"/>
      <c r="H495" s="876"/>
      <c r="I495" s="876"/>
      <c r="J495" s="876"/>
      <c r="K495" s="876"/>
      <c r="L495" s="876"/>
      <c r="M495" s="876"/>
      <c r="N495" s="876"/>
      <c r="O495" s="876"/>
      <c r="P495" s="876"/>
      <c r="Q495" s="870"/>
      <c r="R495" s="870"/>
      <c r="S495" s="870"/>
      <c r="T495" s="870"/>
      <c r="U495" s="870"/>
      <c r="V495" s="870"/>
      <c r="W495" s="870"/>
      <c r="X495" s="870"/>
      <c r="Y495" s="870"/>
      <c r="Z495" s="870"/>
      <c r="AA495" s="870"/>
      <c r="AB495" s="870"/>
      <c r="AC495" s="870"/>
      <c r="AD495" s="870"/>
      <c r="AE495" s="870"/>
      <c r="AF495" s="870"/>
      <c r="AG495" s="870"/>
    </row>
    <row r="496" spans="1:33" s="995" customFormat="1">
      <c r="A496" s="974"/>
      <c r="D496" s="876"/>
      <c r="E496" s="974"/>
      <c r="F496" s="876"/>
      <c r="G496" s="876"/>
      <c r="H496" s="876"/>
      <c r="I496" s="876"/>
      <c r="J496" s="876"/>
      <c r="K496" s="876"/>
      <c r="L496" s="876"/>
      <c r="M496" s="876"/>
      <c r="N496" s="876"/>
      <c r="O496" s="876"/>
      <c r="P496" s="876"/>
      <c r="Q496" s="870"/>
      <c r="R496" s="870"/>
      <c r="S496" s="870"/>
      <c r="T496" s="870"/>
      <c r="U496" s="870"/>
      <c r="V496" s="870"/>
      <c r="W496" s="870"/>
      <c r="X496" s="870"/>
      <c r="Y496" s="870"/>
      <c r="Z496" s="870"/>
      <c r="AA496" s="870"/>
      <c r="AB496" s="870"/>
      <c r="AC496" s="870"/>
      <c r="AD496" s="870"/>
      <c r="AE496" s="870"/>
      <c r="AF496" s="870"/>
      <c r="AG496" s="870"/>
    </row>
    <row r="497" spans="1:33" s="995" customFormat="1">
      <c r="A497" s="974"/>
      <c r="D497" s="876"/>
      <c r="E497" s="974"/>
      <c r="F497" s="876"/>
      <c r="G497" s="876"/>
      <c r="H497" s="876"/>
      <c r="I497" s="876"/>
      <c r="J497" s="876"/>
      <c r="K497" s="876"/>
      <c r="L497" s="876"/>
      <c r="M497" s="876"/>
      <c r="N497" s="876"/>
      <c r="O497" s="876"/>
      <c r="P497" s="876"/>
      <c r="Q497" s="870"/>
      <c r="R497" s="870"/>
      <c r="S497" s="870"/>
      <c r="T497" s="870"/>
      <c r="U497" s="870"/>
      <c r="V497" s="870"/>
      <c r="W497" s="870"/>
      <c r="X497" s="870"/>
      <c r="Y497" s="870"/>
      <c r="Z497" s="870"/>
      <c r="AA497" s="870"/>
      <c r="AB497" s="870"/>
      <c r="AC497" s="870"/>
      <c r="AD497" s="870"/>
      <c r="AE497" s="870"/>
      <c r="AF497" s="870"/>
      <c r="AG497" s="870"/>
    </row>
    <row r="498" spans="1:33" s="995" customFormat="1">
      <c r="A498" s="974"/>
      <c r="D498" s="876"/>
      <c r="E498" s="974"/>
      <c r="F498" s="876"/>
      <c r="G498" s="876"/>
      <c r="H498" s="876"/>
      <c r="I498" s="876"/>
      <c r="J498" s="876"/>
      <c r="K498" s="876"/>
      <c r="L498" s="876"/>
      <c r="M498" s="876"/>
      <c r="N498" s="876"/>
      <c r="O498" s="876"/>
      <c r="P498" s="876"/>
      <c r="Q498" s="870"/>
      <c r="R498" s="870"/>
      <c r="S498" s="870"/>
      <c r="T498" s="870"/>
      <c r="U498" s="870"/>
      <c r="V498" s="870"/>
      <c r="W498" s="870"/>
      <c r="X498" s="870"/>
      <c r="Y498" s="870"/>
      <c r="Z498" s="870"/>
      <c r="AA498" s="870"/>
      <c r="AB498" s="870"/>
      <c r="AC498" s="870"/>
      <c r="AD498" s="870"/>
      <c r="AE498" s="870"/>
      <c r="AF498" s="870"/>
      <c r="AG498" s="870"/>
    </row>
    <row r="499" spans="1:33" s="995" customFormat="1">
      <c r="A499" s="974"/>
      <c r="D499" s="876"/>
      <c r="E499" s="974"/>
      <c r="F499" s="876"/>
      <c r="G499" s="876"/>
      <c r="H499" s="876"/>
      <c r="I499" s="876"/>
      <c r="J499" s="876"/>
      <c r="K499" s="876"/>
      <c r="L499" s="876"/>
      <c r="M499" s="876"/>
      <c r="N499" s="876"/>
      <c r="O499" s="876"/>
      <c r="P499" s="876"/>
      <c r="Q499" s="870"/>
      <c r="R499" s="870"/>
      <c r="S499" s="870"/>
      <c r="T499" s="870"/>
      <c r="U499" s="870"/>
      <c r="V499" s="870"/>
      <c r="W499" s="870"/>
      <c r="X499" s="870"/>
      <c r="Y499" s="870"/>
      <c r="Z499" s="870"/>
      <c r="AA499" s="870"/>
      <c r="AB499" s="870"/>
      <c r="AC499" s="870"/>
      <c r="AD499" s="870"/>
      <c r="AE499" s="870"/>
      <c r="AF499" s="870"/>
      <c r="AG499" s="870"/>
    </row>
    <row r="500" spans="1:33" s="995" customFormat="1">
      <c r="A500" s="974"/>
      <c r="D500" s="876"/>
      <c r="E500" s="974"/>
      <c r="F500" s="876"/>
      <c r="G500" s="876"/>
      <c r="H500" s="876"/>
      <c r="I500" s="876"/>
      <c r="J500" s="876"/>
      <c r="K500" s="876"/>
      <c r="L500" s="876"/>
      <c r="M500" s="876"/>
      <c r="N500" s="876"/>
      <c r="O500" s="876"/>
      <c r="P500" s="876"/>
      <c r="Q500" s="870"/>
      <c r="R500" s="870"/>
      <c r="S500" s="870"/>
      <c r="T500" s="870"/>
      <c r="U500" s="870"/>
      <c r="V500" s="870"/>
      <c r="W500" s="870"/>
      <c r="X500" s="870"/>
      <c r="Y500" s="870"/>
      <c r="Z500" s="870"/>
      <c r="AA500" s="870"/>
      <c r="AB500" s="870"/>
      <c r="AC500" s="870"/>
      <c r="AD500" s="870"/>
      <c r="AE500" s="870"/>
      <c r="AF500" s="870"/>
      <c r="AG500" s="870"/>
    </row>
    <row r="501" spans="1:33" s="995" customFormat="1">
      <c r="A501" s="974"/>
      <c r="D501" s="876"/>
      <c r="E501" s="974"/>
      <c r="F501" s="876"/>
      <c r="G501" s="876"/>
      <c r="H501" s="876"/>
      <c r="I501" s="876"/>
      <c r="J501" s="876"/>
      <c r="K501" s="876"/>
      <c r="L501" s="876"/>
      <c r="M501" s="876"/>
      <c r="N501" s="876"/>
      <c r="O501" s="876"/>
      <c r="P501" s="876"/>
      <c r="Q501" s="870"/>
      <c r="R501" s="870"/>
      <c r="S501" s="870"/>
      <c r="T501" s="870"/>
      <c r="U501" s="870"/>
      <c r="V501" s="870"/>
      <c r="W501" s="870"/>
      <c r="X501" s="870"/>
      <c r="Y501" s="870"/>
      <c r="Z501" s="870"/>
      <c r="AA501" s="870"/>
      <c r="AB501" s="870"/>
      <c r="AC501" s="870"/>
      <c r="AD501" s="870"/>
      <c r="AE501" s="870"/>
      <c r="AF501" s="870"/>
      <c r="AG501" s="870"/>
    </row>
    <row r="502" spans="1:33" s="995" customFormat="1">
      <c r="A502" s="974"/>
      <c r="D502" s="876"/>
      <c r="E502" s="974"/>
      <c r="F502" s="876"/>
      <c r="G502" s="876"/>
      <c r="H502" s="876"/>
      <c r="I502" s="876"/>
      <c r="J502" s="876"/>
      <c r="K502" s="876"/>
      <c r="L502" s="876"/>
      <c r="M502" s="876"/>
      <c r="N502" s="876"/>
      <c r="O502" s="876"/>
      <c r="P502" s="876"/>
      <c r="Q502" s="870"/>
      <c r="R502" s="870"/>
      <c r="S502" s="870"/>
      <c r="T502" s="870"/>
      <c r="U502" s="870"/>
      <c r="V502" s="870"/>
      <c r="W502" s="870"/>
      <c r="X502" s="870"/>
      <c r="Y502" s="870"/>
      <c r="Z502" s="870"/>
      <c r="AA502" s="870"/>
      <c r="AB502" s="870"/>
      <c r="AC502" s="870"/>
      <c r="AD502" s="870"/>
      <c r="AE502" s="870"/>
      <c r="AF502" s="870"/>
      <c r="AG502" s="870"/>
    </row>
    <row r="503" spans="1:33" s="995" customFormat="1">
      <c r="A503" s="974"/>
      <c r="D503" s="876"/>
      <c r="E503" s="974"/>
      <c r="F503" s="876"/>
      <c r="G503" s="876"/>
      <c r="H503" s="876"/>
      <c r="I503" s="876"/>
      <c r="J503" s="876"/>
      <c r="K503" s="876"/>
      <c r="L503" s="876"/>
      <c r="M503" s="876"/>
      <c r="N503" s="876"/>
      <c r="O503" s="876"/>
      <c r="P503" s="876"/>
      <c r="Q503" s="870"/>
      <c r="R503" s="870"/>
      <c r="S503" s="870"/>
      <c r="T503" s="870"/>
      <c r="U503" s="870"/>
      <c r="V503" s="870"/>
      <c r="W503" s="870"/>
      <c r="X503" s="870"/>
      <c r="Y503" s="870"/>
      <c r="Z503" s="870"/>
      <c r="AA503" s="870"/>
      <c r="AB503" s="870"/>
      <c r="AC503" s="870"/>
      <c r="AD503" s="870"/>
      <c r="AE503" s="870"/>
      <c r="AF503" s="870"/>
      <c r="AG503" s="870"/>
    </row>
    <row r="504" spans="1:33" s="995" customFormat="1">
      <c r="A504" s="974"/>
      <c r="D504" s="876"/>
      <c r="E504" s="974"/>
      <c r="F504" s="876"/>
      <c r="G504" s="876"/>
      <c r="H504" s="876"/>
      <c r="I504" s="876"/>
      <c r="J504" s="876"/>
      <c r="K504" s="876"/>
      <c r="L504" s="876"/>
      <c r="M504" s="876"/>
      <c r="N504" s="876"/>
      <c r="O504" s="876"/>
      <c r="P504" s="876"/>
      <c r="Q504" s="870"/>
      <c r="R504" s="870"/>
      <c r="S504" s="870"/>
      <c r="T504" s="870"/>
      <c r="U504" s="870"/>
      <c r="V504" s="870"/>
      <c r="W504" s="870"/>
      <c r="X504" s="870"/>
      <c r="Y504" s="870"/>
      <c r="Z504" s="870"/>
      <c r="AA504" s="870"/>
      <c r="AB504" s="870"/>
      <c r="AC504" s="870"/>
      <c r="AD504" s="870"/>
      <c r="AE504" s="870"/>
      <c r="AF504" s="870"/>
      <c r="AG504" s="870"/>
    </row>
    <row r="505" spans="1:33" s="995" customFormat="1">
      <c r="A505" s="974"/>
      <c r="D505" s="876"/>
      <c r="E505" s="974"/>
      <c r="F505" s="876"/>
      <c r="G505" s="876"/>
      <c r="H505" s="876"/>
      <c r="I505" s="876"/>
      <c r="J505" s="876"/>
      <c r="K505" s="876"/>
      <c r="L505" s="876"/>
      <c r="M505" s="876"/>
      <c r="N505" s="876"/>
      <c r="O505" s="876"/>
      <c r="P505" s="876"/>
      <c r="Q505" s="870"/>
      <c r="R505" s="870"/>
      <c r="S505" s="870"/>
      <c r="T505" s="870"/>
      <c r="U505" s="870"/>
      <c r="V505" s="870"/>
      <c r="W505" s="870"/>
      <c r="X505" s="870"/>
      <c r="Y505" s="870"/>
      <c r="Z505" s="870"/>
      <c r="AA505" s="870"/>
      <c r="AB505" s="870"/>
      <c r="AC505" s="870"/>
      <c r="AD505" s="870"/>
      <c r="AE505" s="870"/>
      <c r="AF505" s="870"/>
      <c r="AG505" s="870"/>
    </row>
    <row r="506" spans="1:33" s="995" customFormat="1">
      <c r="A506" s="974"/>
      <c r="D506" s="876"/>
      <c r="E506" s="974"/>
      <c r="F506" s="876"/>
      <c r="G506" s="876"/>
      <c r="H506" s="876"/>
      <c r="I506" s="876"/>
      <c r="J506" s="876"/>
      <c r="K506" s="876"/>
      <c r="L506" s="876"/>
      <c r="M506" s="876"/>
      <c r="N506" s="876"/>
      <c r="O506" s="876"/>
      <c r="P506" s="876"/>
      <c r="Q506" s="870"/>
      <c r="R506" s="870"/>
      <c r="S506" s="870"/>
      <c r="T506" s="870"/>
      <c r="U506" s="870"/>
      <c r="V506" s="870"/>
      <c r="W506" s="870"/>
      <c r="X506" s="870"/>
      <c r="Y506" s="870"/>
      <c r="Z506" s="870"/>
      <c r="AA506" s="870"/>
      <c r="AB506" s="870"/>
      <c r="AC506" s="870"/>
      <c r="AD506" s="870"/>
      <c r="AE506" s="870"/>
      <c r="AF506" s="870"/>
      <c r="AG506" s="870"/>
    </row>
    <row r="507" spans="1:33" s="995" customFormat="1">
      <c r="A507" s="974"/>
      <c r="D507" s="876"/>
      <c r="E507" s="974"/>
      <c r="F507" s="876"/>
      <c r="G507" s="876"/>
      <c r="H507" s="876"/>
      <c r="I507" s="876"/>
      <c r="J507" s="876"/>
      <c r="K507" s="876"/>
      <c r="L507" s="876"/>
      <c r="M507" s="876"/>
      <c r="N507" s="876"/>
      <c r="O507" s="876"/>
      <c r="P507" s="876"/>
      <c r="Q507" s="870"/>
      <c r="R507" s="870"/>
      <c r="S507" s="870"/>
      <c r="T507" s="870"/>
      <c r="U507" s="870"/>
      <c r="V507" s="870"/>
      <c r="W507" s="870"/>
      <c r="X507" s="870"/>
      <c r="Y507" s="870"/>
      <c r="Z507" s="870"/>
      <c r="AA507" s="870"/>
      <c r="AB507" s="870"/>
      <c r="AC507" s="870"/>
      <c r="AD507" s="870"/>
      <c r="AE507" s="870"/>
      <c r="AF507" s="870"/>
      <c r="AG507" s="870"/>
    </row>
    <row r="508" spans="1:33" s="995" customFormat="1">
      <c r="A508" s="974"/>
      <c r="D508" s="876"/>
      <c r="E508" s="974"/>
      <c r="F508" s="876"/>
      <c r="G508" s="876"/>
      <c r="H508" s="876"/>
      <c r="I508" s="876"/>
      <c r="J508" s="876"/>
      <c r="K508" s="876"/>
      <c r="L508" s="876"/>
      <c r="M508" s="876"/>
      <c r="N508" s="876"/>
      <c r="O508" s="876"/>
      <c r="P508" s="876"/>
      <c r="Q508" s="870"/>
      <c r="R508" s="870"/>
      <c r="S508" s="870"/>
      <c r="T508" s="870"/>
      <c r="U508" s="870"/>
      <c r="V508" s="870"/>
      <c r="W508" s="870"/>
      <c r="X508" s="870"/>
      <c r="Y508" s="870"/>
      <c r="Z508" s="870"/>
      <c r="AA508" s="870"/>
      <c r="AB508" s="870"/>
      <c r="AC508" s="870"/>
      <c r="AD508" s="870"/>
      <c r="AE508" s="870"/>
      <c r="AF508" s="870"/>
      <c r="AG508" s="870"/>
    </row>
    <row r="509" spans="1:33" s="995" customFormat="1">
      <c r="A509" s="974"/>
      <c r="D509" s="876"/>
      <c r="E509" s="974"/>
      <c r="F509" s="876"/>
      <c r="G509" s="876"/>
      <c r="H509" s="876"/>
      <c r="I509" s="876"/>
      <c r="J509" s="876"/>
      <c r="K509" s="876"/>
      <c r="L509" s="876"/>
      <c r="M509" s="876"/>
      <c r="N509" s="876"/>
      <c r="O509" s="876"/>
      <c r="P509" s="876"/>
      <c r="Q509" s="870"/>
      <c r="R509" s="870"/>
      <c r="S509" s="870"/>
      <c r="T509" s="870"/>
      <c r="U509" s="870"/>
      <c r="V509" s="870"/>
      <c r="W509" s="870"/>
      <c r="X509" s="870"/>
      <c r="Y509" s="870"/>
      <c r="Z509" s="870"/>
      <c r="AA509" s="870"/>
      <c r="AB509" s="870"/>
      <c r="AC509" s="870"/>
      <c r="AD509" s="870"/>
      <c r="AE509" s="870"/>
      <c r="AF509" s="870"/>
      <c r="AG509" s="870"/>
    </row>
    <row r="510" spans="1:33" s="995" customFormat="1">
      <c r="A510" s="974"/>
      <c r="D510" s="876"/>
      <c r="E510" s="974"/>
      <c r="F510" s="876"/>
      <c r="G510" s="876"/>
      <c r="H510" s="876"/>
      <c r="I510" s="876"/>
      <c r="J510" s="876"/>
      <c r="K510" s="876"/>
      <c r="L510" s="876"/>
      <c r="M510" s="876"/>
      <c r="N510" s="876"/>
      <c r="O510" s="876"/>
      <c r="P510" s="876"/>
      <c r="Q510" s="870"/>
      <c r="R510" s="870"/>
      <c r="S510" s="870"/>
      <c r="T510" s="870"/>
      <c r="U510" s="870"/>
      <c r="V510" s="870"/>
      <c r="W510" s="870"/>
      <c r="X510" s="870"/>
      <c r="Y510" s="870"/>
      <c r="Z510" s="870"/>
      <c r="AA510" s="870"/>
      <c r="AB510" s="870"/>
      <c r="AC510" s="870"/>
      <c r="AD510" s="870"/>
      <c r="AE510" s="870"/>
      <c r="AF510" s="870"/>
      <c r="AG510" s="870"/>
    </row>
    <row r="511" spans="1:33" s="995" customFormat="1">
      <c r="A511" s="974"/>
      <c r="D511" s="876"/>
      <c r="E511" s="974"/>
      <c r="F511" s="876"/>
      <c r="G511" s="876"/>
      <c r="H511" s="876"/>
      <c r="I511" s="876"/>
      <c r="J511" s="876"/>
      <c r="K511" s="876"/>
      <c r="L511" s="876"/>
      <c r="M511" s="876"/>
      <c r="N511" s="876"/>
      <c r="O511" s="876"/>
      <c r="P511" s="876"/>
      <c r="Q511" s="870"/>
      <c r="R511" s="870"/>
      <c r="S511" s="870"/>
      <c r="T511" s="870"/>
      <c r="U511" s="870"/>
      <c r="V511" s="870"/>
      <c r="W511" s="870"/>
      <c r="X511" s="870"/>
      <c r="Y511" s="870"/>
      <c r="Z511" s="870"/>
      <c r="AA511" s="870"/>
      <c r="AB511" s="870"/>
      <c r="AC511" s="870"/>
      <c r="AD511" s="870"/>
      <c r="AE511" s="870"/>
      <c r="AF511" s="870"/>
      <c r="AG511" s="870"/>
    </row>
    <row r="512" spans="1:33" s="995" customFormat="1">
      <c r="A512" s="974"/>
      <c r="D512" s="876"/>
      <c r="E512" s="974"/>
      <c r="F512" s="876"/>
      <c r="G512" s="876"/>
      <c r="H512" s="876"/>
      <c r="I512" s="876"/>
      <c r="J512" s="876"/>
      <c r="K512" s="876"/>
      <c r="L512" s="876"/>
      <c r="M512" s="876"/>
      <c r="N512" s="876"/>
      <c r="O512" s="876"/>
      <c r="P512" s="876"/>
      <c r="Q512" s="870"/>
      <c r="R512" s="870"/>
      <c r="S512" s="870"/>
      <c r="T512" s="870"/>
      <c r="U512" s="870"/>
      <c r="V512" s="870"/>
      <c r="W512" s="870"/>
      <c r="X512" s="870"/>
      <c r="Y512" s="870"/>
      <c r="Z512" s="870"/>
      <c r="AA512" s="870"/>
      <c r="AB512" s="870"/>
      <c r="AC512" s="870"/>
      <c r="AD512" s="870"/>
      <c r="AE512" s="870"/>
      <c r="AF512" s="870"/>
      <c r="AG512" s="870"/>
    </row>
    <row r="513" spans="1:33" s="995" customFormat="1">
      <c r="A513" s="974"/>
      <c r="D513" s="876"/>
      <c r="E513" s="974"/>
      <c r="F513" s="876"/>
      <c r="G513" s="876"/>
      <c r="H513" s="876"/>
      <c r="I513" s="876"/>
      <c r="J513" s="876"/>
      <c r="K513" s="876"/>
      <c r="L513" s="876"/>
      <c r="M513" s="876"/>
      <c r="N513" s="876"/>
      <c r="O513" s="876"/>
      <c r="P513" s="876"/>
      <c r="Q513" s="870"/>
      <c r="R513" s="870"/>
      <c r="S513" s="870"/>
      <c r="T513" s="870"/>
      <c r="U513" s="870"/>
      <c r="V513" s="870"/>
      <c r="W513" s="870"/>
      <c r="X513" s="870"/>
      <c r="Y513" s="870"/>
      <c r="Z513" s="870"/>
      <c r="AA513" s="870"/>
      <c r="AB513" s="870"/>
      <c r="AC513" s="870"/>
      <c r="AD513" s="870"/>
      <c r="AE513" s="870"/>
      <c r="AF513" s="870"/>
      <c r="AG513" s="870"/>
    </row>
    <row r="514" spans="1:33" s="995" customFormat="1">
      <c r="A514" s="974"/>
      <c r="D514" s="876"/>
      <c r="E514" s="974"/>
      <c r="F514" s="876"/>
      <c r="G514" s="876"/>
      <c r="H514" s="876"/>
      <c r="I514" s="876"/>
      <c r="J514" s="876"/>
      <c r="K514" s="876"/>
      <c r="L514" s="876"/>
      <c r="M514" s="876"/>
      <c r="N514" s="876"/>
      <c r="O514" s="876"/>
      <c r="P514" s="876"/>
      <c r="Q514" s="870"/>
      <c r="R514" s="870"/>
      <c r="S514" s="870"/>
      <c r="T514" s="870"/>
      <c r="U514" s="870"/>
      <c r="V514" s="870"/>
      <c r="W514" s="870"/>
      <c r="X514" s="870"/>
      <c r="Y514" s="870"/>
      <c r="Z514" s="870"/>
      <c r="AA514" s="870"/>
      <c r="AB514" s="870"/>
      <c r="AC514" s="870"/>
      <c r="AD514" s="870"/>
      <c r="AE514" s="870"/>
      <c r="AF514" s="870"/>
      <c r="AG514" s="870"/>
    </row>
    <row r="515" spans="1:33" s="995" customFormat="1">
      <c r="A515" s="974"/>
      <c r="D515" s="876"/>
      <c r="E515" s="974"/>
      <c r="F515" s="876"/>
      <c r="G515" s="876"/>
      <c r="H515" s="876"/>
      <c r="I515" s="876"/>
      <c r="J515" s="876"/>
      <c r="K515" s="876"/>
      <c r="L515" s="876"/>
      <c r="M515" s="876"/>
      <c r="N515" s="876"/>
      <c r="O515" s="876"/>
      <c r="P515" s="876"/>
      <c r="Q515" s="870"/>
      <c r="R515" s="870"/>
      <c r="S515" s="870"/>
      <c r="T515" s="870"/>
      <c r="U515" s="870"/>
      <c r="V515" s="870"/>
      <c r="W515" s="870"/>
      <c r="X515" s="870"/>
      <c r="Y515" s="870"/>
      <c r="Z515" s="870"/>
      <c r="AA515" s="870"/>
      <c r="AB515" s="870"/>
      <c r="AC515" s="870"/>
      <c r="AD515" s="870"/>
      <c r="AE515" s="870"/>
      <c r="AF515" s="870"/>
      <c r="AG515" s="870"/>
    </row>
    <row r="516" spans="1:33" s="995" customFormat="1">
      <c r="A516" s="974"/>
      <c r="D516" s="876"/>
      <c r="E516" s="974"/>
      <c r="F516" s="876"/>
      <c r="G516" s="876"/>
      <c r="H516" s="876"/>
      <c r="I516" s="876"/>
      <c r="J516" s="876"/>
      <c r="K516" s="876"/>
      <c r="L516" s="876"/>
      <c r="M516" s="876"/>
      <c r="N516" s="876"/>
      <c r="O516" s="876"/>
      <c r="P516" s="876"/>
      <c r="Q516" s="870"/>
      <c r="R516" s="870"/>
      <c r="S516" s="870"/>
      <c r="T516" s="870"/>
      <c r="U516" s="870"/>
      <c r="V516" s="870"/>
      <c r="W516" s="870"/>
      <c r="X516" s="870"/>
      <c r="Y516" s="870"/>
      <c r="Z516" s="870"/>
      <c r="AA516" s="870"/>
      <c r="AB516" s="870"/>
      <c r="AC516" s="870"/>
      <c r="AD516" s="870"/>
      <c r="AE516" s="870"/>
      <c r="AF516" s="870"/>
      <c r="AG516" s="870"/>
    </row>
    <row r="517" spans="1:33" s="995" customFormat="1">
      <c r="A517" s="974"/>
      <c r="D517" s="876"/>
      <c r="E517" s="974"/>
      <c r="F517" s="876"/>
      <c r="G517" s="876"/>
      <c r="H517" s="876"/>
      <c r="I517" s="876"/>
      <c r="J517" s="876"/>
      <c r="K517" s="876"/>
      <c r="L517" s="876"/>
      <c r="M517" s="876"/>
      <c r="N517" s="876"/>
      <c r="O517" s="876"/>
      <c r="P517" s="876"/>
      <c r="Q517" s="870"/>
      <c r="R517" s="870"/>
      <c r="S517" s="870"/>
      <c r="T517" s="870"/>
      <c r="U517" s="870"/>
      <c r="V517" s="870"/>
      <c r="W517" s="870"/>
      <c r="X517" s="870"/>
      <c r="Y517" s="870"/>
      <c r="Z517" s="870"/>
      <c r="AA517" s="870"/>
      <c r="AB517" s="870"/>
      <c r="AC517" s="870"/>
      <c r="AD517" s="870"/>
      <c r="AE517" s="870"/>
      <c r="AF517" s="870"/>
      <c r="AG517" s="870"/>
    </row>
    <row r="518" spans="1:33" s="995" customFormat="1">
      <c r="A518" s="974"/>
      <c r="D518" s="876"/>
      <c r="E518" s="974"/>
      <c r="F518" s="876"/>
      <c r="G518" s="876"/>
      <c r="H518" s="876"/>
      <c r="I518" s="876"/>
      <c r="J518" s="876"/>
      <c r="K518" s="876"/>
      <c r="L518" s="876"/>
      <c r="M518" s="876"/>
      <c r="N518" s="876"/>
      <c r="O518" s="876"/>
      <c r="P518" s="876"/>
      <c r="Q518" s="870"/>
      <c r="R518" s="870"/>
      <c r="S518" s="870"/>
      <c r="T518" s="870"/>
      <c r="U518" s="870"/>
      <c r="V518" s="870"/>
      <c r="W518" s="870"/>
      <c r="X518" s="870"/>
      <c r="Y518" s="870"/>
      <c r="Z518" s="870"/>
      <c r="AA518" s="870"/>
      <c r="AB518" s="870"/>
      <c r="AC518" s="870"/>
      <c r="AD518" s="870"/>
      <c r="AE518" s="870"/>
      <c r="AF518" s="870"/>
      <c r="AG518" s="870"/>
    </row>
    <row r="519" spans="1:33" s="995" customFormat="1">
      <c r="A519" s="974"/>
      <c r="D519" s="876"/>
      <c r="E519" s="974"/>
      <c r="F519" s="876"/>
      <c r="G519" s="876"/>
      <c r="H519" s="876"/>
      <c r="I519" s="876"/>
      <c r="J519" s="876"/>
      <c r="K519" s="876"/>
      <c r="L519" s="876"/>
      <c r="M519" s="876"/>
      <c r="N519" s="876"/>
      <c r="O519" s="876"/>
      <c r="P519" s="876"/>
      <c r="Q519" s="870"/>
      <c r="R519" s="870"/>
      <c r="S519" s="870"/>
      <c r="T519" s="870"/>
      <c r="U519" s="870"/>
      <c r="V519" s="870"/>
      <c r="W519" s="870"/>
      <c r="X519" s="870"/>
      <c r="Y519" s="870"/>
      <c r="Z519" s="870"/>
      <c r="AA519" s="870"/>
      <c r="AB519" s="870"/>
      <c r="AC519" s="870"/>
      <c r="AD519" s="870"/>
      <c r="AE519" s="870"/>
      <c r="AF519" s="870"/>
      <c r="AG519" s="870"/>
    </row>
    <row r="520" spans="1:33" s="995" customFormat="1">
      <c r="A520" s="974"/>
      <c r="D520" s="876"/>
      <c r="E520" s="974"/>
      <c r="F520" s="876"/>
      <c r="G520" s="876"/>
      <c r="H520" s="876"/>
      <c r="I520" s="876"/>
      <c r="J520" s="876"/>
      <c r="K520" s="876"/>
      <c r="L520" s="876"/>
      <c r="M520" s="876"/>
      <c r="N520" s="876"/>
      <c r="O520" s="876"/>
      <c r="P520" s="876"/>
      <c r="Q520" s="870"/>
      <c r="R520" s="870"/>
      <c r="S520" s="870"/>
      <c r="T520" s="870"/>
      <c r="U520" s="870"/>
      <c r="V520" s="870"/>
      <c r="W520" s="870"/>
      <c r="X520" s="870"/>
      <c r="Y520" s="870"/>
      <c r="Z520" s="870"/>
      <c r="AA520" s="870"/>
      <c r="AB520" s="870"/>
      <c r="AC520" s="870"/>
      <c r="AD520" s="870"/>
      <c r="AE520" s="870"/>
      <c r="AF520" s="870"/>
      <c r="AG520" s="870"/>
    </row>
    <row r="521" spans="1:33" s="995" customFormat="1">
      <c r="A521" s="974"/>
      <c r="D521" s="876"/>
      <c r="E521" s="974"/>
      <c r="F521" s="876"/>
      <c r="G521" s="876"/>
      <c r="H521" s="876"/>
      <c r="I521" s="876"/>
      <c r="J521" s="876"/>
      <c r="K521" s="876"/>
      <c r="L521" s="876"/>
      <c r="M521" s="876"/>
      <c r="N521" s="876"/>
      <c r="O521" s="876"/>
      <c r="P521" s="876"/>
      <c r="Q521" s="870"/>
      <c r="R521" s="870"/>
      <c r="S521" s="870"/>
      <c r="T521" s="870"/>
      <c r="U521" s="870"/>
      <c r="V521" s="870"/>
      <c r="W521" s="870"/>
      <c r="X521" s="870"/>
      <c r="Y521" s="870"/>
      <c r="Z521" s="870"/>
      <c r="AA521" s="870"/>
      <c r="AB521" s="870"/>
      <c r="AC521" s="870"/>
      <c r="AD521" s="870"/>
      <c r="AE521" s="870"/>
      <c r="AF521" s="870"/>
      <c r="AG521" s="870"/>
    </row>
    <row r="522" spans="1:33" s="995" customFormat="1">
      <c r="A522" s="974"/>
      <c r="D522" s="876"/>
      <c r="E522" s="974"/>
      <c r="F522" s="876"/>
      <c r="G522" s="876"/>
      <c r="H522" s="876"/>
      <c r="I522" s="876"/>
      <c r="J522" s="876"/>
      <c r="K522" s="876"/>
      <c r="L522" s="876"/>
      <c r="M522" s="876"/>
      <c r="N522" s="876"/>
      <c r="O522" s="876"/>
      <c r="P522" s="876"/>
      <c r="Q522" s="870"/>
      <c r="R522" s="870"/>
      <c r="S522" s="870"/>
      <c r="T522" s="870"/>
      <c r="U522" s="870"/>
      <c r="V522" s="870"/>
      <c r="W522" s="870"/>
      <c r="X522" s="870"/>
      <c r="Y522" s="870"/>
      <c r="Z522" s="870"/>
      <c r="AA522" s="870"/>
      <c r="AB522" s="870"/>
      <c r="AC522" s="870"/>
      <c r="AD522" s="870"/>
      <c r="AE522" s="870"/>
      <c r="AF522" s="870"/>
      <c r="AG522" s="870"/>
    </row>
    <row r="523" spans="1:33" s="995" customFormat="1">
      <c r="A523" s="974"/>
      <c r="D523" s="876"/>
      <c r="E523" s="974"/>
      <c r="F523" s="876"/>
      <c r="G523" s="876"/>
      <c r="H523" s="876"/>
      <c r="I523" s="876"/>
      <c r="J523" s="876"/>
      <c r="K523" s="876"/>
      <c r="L523" s="876"/>
      <c r="M523" s="876"/>
      <c r="N523" s="876"/>
      <c r="O523" s="876"/>
      <c r="P523" s="876"/>
      <c r="Q523" s="870"/>
      <c r="R523" s="870"/>
      <c r="S523" s="870"/>
      <c r="T523" s="870"/>
      <c r="U523" s="870"/>
      <c r="V523" s="870"/>
      <c r="W523" s="870"/>
      <c r="X523" s="870"/>
      <c r="Y523" s="870"/>
      <c r="Z523" s="870"/>
      <c r="AA523" s="870"/>
      <c r="AB523" s="870"/>
      <c r="AC523" s="870"/>
      <c r="AD523" s="870"/>
      <c r="AE523" s="870"/>
      <c r="AF523" s="870"/>
      <c r="AG523" s="870"/>
    </row>
    <row r="524" spans="1:33" s="995" customFormat="1">
      <c r="A524" s="974"/>
      <c r="D524" s="876"/>
      <c r="E524" s="974"/>
      <c r="F524" s="876"/>
      <c r="G524" s="876"/>
      <c r="H524" s="876"/>
      <c r="I524" s="876"/>
      <c r="J524" s="876"/>
      <c r="K524" s="876"/>
      <c r="L524" s="876"/>
      <c r="M524" s="876"/>
      <c r="N524" s="876"/>
      <c r="O524" s="876"/>
      <c r="P524" s="876"/>
      <c r="Q524" s="870"/>
      <c r="R524" s="870"/>
      <c r="S524" s="870"/>
      <c r="T524" s="870"/>
      <c r="U524" s="870"/>
      <c r="V524" s="870"/>
      <c r="W524" s="870"/>
      <c r="X524" s="870"/>
      <c r="Y524" s="870"/>
      <c r="Z524" s="870"/>
      <c r="AA524" s="870"/>
      <c r="AB524" s="870"/>
      <c r="AC524" s="870"/>
      <c r="AD524" s="870"/>
      <c r="AE524" s="870"/>
      <c r="AF524" s="870"/>
      <c r="AG524" s="870"/>
    </row>
    <row r="525" spans="1:33" s="995" customFormat="1">
      <c r="A525" s="974"/>
      <c r="D525" s="876"/>
      <c r="E525" s="974"/>
      <c r="F525" s="876"/>
      <c r="G525" s="876"/>
      <c r="H525" s="876"/>
      <c r="I525" s="876"/>
      <c r="J525" s="876"/>
      <c r="K525" s="876"/>
      <c r="L525" s="876"/>
      <c r="M525" s="876"/>
      <c r="N525" s="876"/>
      <c r="O525" s="876"/>
      <c r="P525" s="876"/>
      <c r="Q525" s="870"/>
      <c r="R525" s="870"/>
      <c r="S525" s="870"/>
      <c r="T525" s="870"/>
      <c r="U525" s="870"/>
      <c r="V525" s="870"/>
      <c r="W525" s="870"/>
      <c r="X525" s="870"/>
      <c r="Y525" s="870"/>
      <c r="Z525" s="870"/>
      <c r="AA525" s="870"/>
      <c r="AB525" s="870"/>
      <c r="AC525" s="870"/>
      <c r="AD525" s="870"/>
      <c r="AE525" s="870"/>
      <c r="AF525" s="870"/>
      <c r="AG525" s="870"/>
    </row>
    <row r="526" spans="1:33" s="995" customFormat="1">
      <c r="A526" s="974"/>
      <c r="D526" s="876"/>
      <c r="E526" s="974"/>
      <c r="F526" s="876"/>
      <c r="G526" s="876"/>
      <c r="H526" s="876"/>
      <c r="I526" s="876"/>
      <c r="J526" s="876"/>
      <c r="K526" s="876"/>
      <c r="L526" s="876"/>
      <c r="M526" s="876"/>
      <c r="N526" s="876"/>
      <c r="O526" s="876"/>
      <c r="P526" s="876"/>
      <c r="Q526" s="870"/>
      <c r="R526" s="870"/>
      <c r="S526" s="870"/>
      <c r="T526" s="870"/>
      <c r="U526" s="870"/>
      <c r="V526" s="870"/>
      <c r="W526" s="870"/>
      <c r="X526" s="870"/>
      <c r="Y526" s="870"/>
      <c r="Z526" s="870"/>
      <c r="AA526" s="870"/>
      <c r="AB526" s="870"/>
      <c r="AC526" s="870"/>
      <c r="AD526" s="870"/>
      <c r="AE526" s="870"/>
      <c r="AF526" s="870"/>
      <c r="AG526" s="870"/>
    </row>
    <row r="527" spans="1:33" s="995" customFormat="1">
      <c r="A527" s="974"/>
      <c r="D527" s="876"/>
      <c r="E527" s="974"/>
      <c r="F527" s="876"/>
      <c r="G527" s="876"/>
      <c r="H527" s="876"/>
      <c r="I527" s="876"/>
      <c r="J527" s="876"/>
      <c r="K527" s="876"/>
      <c r="L527" s="876"/>
      <c r="M527" s="876"/>
      <c r="N527" s="876"/>
      <c r="O527" s="876"/>
      <c r="P527" s="876"/>
      <c r="Q527" s="870"/>
      <c r="R527" s="870"/>
      <c r="S527" s="870"/>
      <c r="T527" s="870"/>
      <c r="U527" s="870"/>
      <c r="V527" s="870"/>
      <c r="W527" s="870"/>
      <c r="X527" s="870"/>
      <c r="Y527" s="870"/>
      <c r="Z527" s="870"/>
      <c r="AA527" s="870"/>
      <c r="AB527" s="870"/>
      <c r="AC527" s="870"/>
      <c r="AD527" s="870"/>
      <c r="AE527" s="870"/>
      <c r="AF527" s="870"/>
      <c r="AG527" s="870"/>
    </row>
    <row r="528" spans="1:33" s="995" customFormat="1">
      <c r="A528" s="974"/>
      <c r="D528" s="876"/>
      <c r="E528" s="974"/>
      <c r="F528" s="876"/>
      <c r="G528" s="876"/>
      <c r="H528" s="876"/>
      <c r="I528" s="876"/>
      <c r="J528" s="876"/>
      <c r="K528" s="876"/>
      <c r="L528" s="876"/>
      <c r="M528" s="876"/>
      <c r="N528" s="876"/>
      <c r="O528" s="876"/>
      <c r="P528" s="876"/>
      <c r="Q528" s="870"/>
      <c r="R528" s="870"/>
      <c r="S528" s="870"/>
      <c r="T528" s="870"/>
      <c r="U528" s="870"/>
      <c r="V528" s="870"/>
      <c r="W528" s="870"/>
      <c r="X528" s="870"/>
      <c r="Y528" s="870"/>
      <c r="Z528" s="870"/>
      <c r="AA528" s="870"/>
      <c r="AB528" s="870"/>
      <c r="AC528" s="870"/>
      <c r="AD528" s="870"/>
      <c r="AE528" s="870"/>
      <c r="AF528" s="870"/>
      <c r="AG528" s="870"/>
    </row>
    <row r="529" spans="1:33" s="995" customFormat="1">
      <c r="A529" s="974"/>
      <c r="D529" s="876"/>
      <c r="E529" s="974"/>
      <c r="F529" s="876"/>
      <c r="G529" s="876"/>
      <c r="H529" s="876"/>
      <c r="I529" s="876"/>
      <c r="J529" s="876"/>
      <c r="K529" s="876"/>
      <c r="L529" s="876"/>
      <c r="M529" s="876"/>
      <c r="N529" s="876"/>
      <c r="O529" s="876"/>
      <c r="P529" s="876"/>
      <c r="Q529" s="870"/>
      <c r="R529" s="870"/>
      <c r="S529" s="870"/>
      <c r="T529" s="870"/>
      <c r="U529" s="870"/>
      <c r="V529" s="870"/>
      <c r="W529" s="870"/>
      <c r="X529" s="870"/>
      <c r="Y529" s="870"/>
      <c r="Z529" s="870"/>
      <c r="AA529" s="870"/>
      <c r="AB529" s="870"/>
      <c r="AC529" s="870"/>
      <c r="AD529" s="870"/>
      <c r="AE529" s="870"/>
      <c r="AF529" s="870"/>
      <c r="AG529" s="870"/>
    </row>
    <row r="530" spans="1:33" s="995" customFormat="1">
      <c r="A530" s="974"/>
      <c r="D530" s="876"/>
      <c r="E530" s="974"/>
      <c r="F530" s="876"/>
      <c r="G530" s="876"/>
      <c r="H530" s="876"/>
      <c r="I530" s="876"/>
      <c r="J530" s="876"/>
      <c r="K530" s="876"/>
      <c r="L530" s="876"/>
      <c r="M530" s="876"/>
      <c r="N530" s="876"/>
      <c r="O530" s="876"/>
      <c r="P530" s="876"/>
      <c r="Q530" s="870"/>
      <c r="R530" s="870"/>
      <c r="S530" s="870"/>
      <c r="T530" s="870"/>
      <c r="U530" s="870"/>
      <c r="V530" s="870"/>
      <c r="W530" s="870"/>
      <c r="X530" s="870"/>
      <c r="Y530" s="870"/>
      <c r="Z530" s="870"/>
      <c r="AA530" s="870"/>
      <c r="AB530" s="870"/>
      <c r="AC530" s="870"/>
      <c r="AD530" s="870"/>
      <c r="AE530" s="870"/>
      <c r="AF530" s="870"/>
      <c r="AG530" s="870"/>
    </row>
    <row r="531" spans="1:33" s="995" customFormat="1">
      <c r="A531" s="974"/>
      <c r="D531" s="876"/>
      <c r="E531" s="974"/>
      <c r="F531" s="876"/>
      <c r="G531" s="876"/>
      <c r="H531" s="876"/>
      <c r="I531" s="876"/>
      <c r="J531" s="876"/>
      <c r="K531" s="876"/>
      <c r="L531" s="876"/>
      <c r="M531" s="876"/>
      <c r="N531" s="876"/>
      <c r="O531" s="876"/>
      <c r="P531" s="876"/>
      <c r="Q531" s="870"/>
      <c r="R531" s="870"/>
      <c r="S531" s="870"/>
      <c r="T531" s="870"/>
      <c r="U531" s="870"/>
      <c r="V531" s="870"/>
      <c r="W531" s="870"/>
      <c r="X531" s="870"/>
      <c r="Y531" s="870"/>
      <c r="Z531" s="870"/>
      <c r="AA531" s="870"/>
      <c r="AB531" s="870"/>
      <c r="AC531" s="870"/>
      <c r="AD531" s="870"/>
      <c r="AE531" s="870"/>
      <c r="AF531" s="870"/>
      <c r="AG531" s="870"/>
    </row>
    <row r="532" spans="1:33" s="995" customFormat="1">
      <c r="A532" s="974"/>
      <c r="D532" s="876"/>
      <c r="E532" s="974"/>
      <c r="F532" s="876"/>
      <c r="G532" s="876"/>
      <c r="H532" s="876"/>
      <c r="I532" s="876"/>
      <c r="J532" s="876"/>
      <c r="K532" s="876"/>
      <c r="L532" s="876"/>
      <c r="M532" s="876"/>
      <c r="N532" s="876"/>
      <c r="O532" s="876"/>
      <c r="P532" s="876"/>
      <c r="Q532" s="870"/>
      <c r="R532" s="870"/>
      <c r="S532" s="870"/>
      <c r="T532" s="870"/>
      <c r="U532" s="870"/>
      <c r="V532" s="870"/>
      <c r="W532" s="870"/>
      <c r="X532" s="870"/>
      <c r="Y532" s="870"/>
      <c r="Z532" s="870"/>
      <c r="AA532" s="870"/>
      <c r="AB532" s="870"/>
      <c r="AC532" s="870"/>
      <c r="AD532" s="870"/>
      <c r="AE532" s="870"/>
      <c r="AF532" s="870"/>
      <c r="AG532" s="870"/>
    </row>
    <row r="533" spans="1:33" s="995" customFormat="1">
      <c r="A533" s="974"/>
      <c r="D533" s="876"/>
      <c r="E533" s="974"/>
      <c r="F533" s="876"/>
      <c r="G533" s="876"/>
      <c r="H533" s="876"/>
      <c r="I533" s="876"/>
      <c r="J533" s="876"/>
      <c r="K533" s="876"/>
      <c r="L533" s="876"/>
      <c r="M533" s="876"/>
      <c r="N533" s="876"/>
      <c r="O533" s="876"/>
      <c r="P533" s="876"/>
      <c r="Q533" s="870"/>
      <c r="R533" s="870"/>
      <c r="S533" s="870"/>
      <c r="T533" s="870"/>
      <c r="U533" s="870"/>
      <c r="V533" s="870"/>
      <c r="W533" s="870"/>
      <c r="X533" s="870"/>
      <c r="Y533" s="870"/>
      <c r="Z533" s="870"/>
      <c r="AA533" s="870"/>
      <c r="AB533" s="870"/>
      <c r="AC533" s="870"/>
      <c r="AD533" s="870"/>
      <c r="AE533" s="870"/>
      <c r="AF533" s="870"/>
      <c r="AG533" s="870"/>
    </row>
    <row r="534" spans="1:33" s="995" customFormat="1">
      <c r="A534" s="974"/>
      <c r="D534" s="876"/>
      <c r="E534" s="974"/>
      <c r="F534" s="876"/>
      <c r="G534" s="876"/>
      <c r="H534" s="876"/>
      <c r="I534" s="876"/>
      <c r="J534" s="876"/>
      <c r="K534" s="876"/>
      <c r="L534" s="876"/>
      <c r="M534" s="876"/>
      <c r="N534" s="876"/>
      <c r="O534" s="876"/>
      <c r="P534" s="876"/>
      <c r="Q534" s="870"/>
      <c r="R534" s="870"/>
      <c r="S534" s="870"/>
      <c r="T534" s="870"/>
      <c r="U534" s="870"/>
      <c r="V534" s="870"/>
      <c r="W534" s="870"/>
      <c r="X534" s="870"/>
      <c r="Y534" s="870"/>
      <c r="Z534" s="870"/>
      <c r="AA534" s="870"/>
      <c r="AB534" s="870"/>
      <c r="AC534" s="870"/>
      <c r="AD534" s="870"/>
      <c r="AE534" s="870"/>
      <c r="AF534" s="870"/>
      <c r="AG534" s="870"/>
    </row>
    <row r="535" spans="1:33" s="995" customFormat="1">
      <c r="A535" s="974"/>
      <c r="D535" s="876"/>
      <c r="E535" s="974"/>
      <c r="F535" s="876"/>
      <c r="G535" s="876"/>
      <c r="H535" s="876"/>
      <c r="I535" s="876"/>
      <c r="J535" s="876"/>
      <c r="K535" s="876"/>
      <c r="L535" s="876"/>
      <c r="M535" s="876"/>
      <c r="N535" s="876"/>
      <c r="O535" s="876"/>
      <c r="P535" s="876"/>
      <c r="Q535" s="870"/>
      <c r="R535" s="870"/>
      <c r="S535" s="870"/>
      <c r="T535" s="870"/>
      <c r="U535" s="870"/>
      <c r="V535" s="870"/>
      <c r="W535" s="870"/>
      <c r="X535" s="870"/>
      <c r="Y535" s="870"/>
      <c r="Z535" s="870"/>
      <c r="AA535" s="870"/>
      <c r="AB535" s="870"/>
      <c r="AC535" s="870"/>
      <c r="AD535" s="870"/>
      <c r="AE535" s="870"/>
      <c r="AF535" s="870"/>
      <c r="AG535" s="870"/>
    </row>
    <row r="536" spans="1:33" s="995" customFormat="1">
      <c r="A536" s="974"/>
      <c r="D536" s="876"/>
      <c r="E536" s="974"/>
      <c r="F536" s="876"/>
      <c r="G536" s="876"/>
      <c r="H536" s="876"/>
      <c r="I536" s="876"/>
      <c r="J536" s="876"/>
      <c r="K536" s="876"/>
      <c r="L536" s="876"/>
      <c r="M536" s="876"/>
      <c r="N536" s="876"/>
      <c r="O536" s="876"/>
      <c r="P536" s="876"/>
      <c r="Q536" s="870"/>
      <c r="R536" s="870"/>
      <c r="S536" s="870"/>
      <c r="T536" s="870"/>
      <c r="U536" s="870"/>
      <c r="V536" s="870"/>
      <c r="W536" s="870"/>
      <c r="X536" s="870"/>
      <c r="Y536" s="870"/>
      <c r="Z536" s="870"/>
      <c r="AA536" s="870"/>
      <c r="AB536" s="870"/>
      <c r="AC536" s="870"/>
      <c r="AD536" s="870"/>
      <c r="AE536" s="870"/>
      <c r="AF536" s="870"/>
      <c r="AG536" s="870"/>
    </row>
    <row r="537" spans="1:33" s="995" customFormat="1">
      <c r="A537" s="974"/>
      <c r="D537" s="876"/>
      <c r="E537" s="974"/>
      <c r="F537" s="876"/>
      <c r="G537" s="876"/>
      <c r="H537" s="876"/>
      <c r="I537" s="876"/>
      <c r="J537" s="876"/>
      <c r="K537" s="876"/>
      <c r="L537" s="876"/>
      <c r="M537" s="876"/>
      <c r="N537" s="876"/>
      <c r="O537" s="876"/>
      <c r="P537" s="876"/>
      <c r="Q537" s="870"/>
      <c r="R537" s="870"/>
      <c r="S537" s="870"/>
      <c r="T537" s="870"/>
      <c r="U537" s="870"/>
      <c r="V537" s="870"/>
      <c r="W537" s="870"/>
      <c r="X537" s="870"/>
      <c r="Y537" s="870"/>
      <c r="Z537" s="870"/>
      <c r="AA537" s="870"/>
      <c r="AB537" s="870"/>
      <c r="AC537" s="870"/>
      <c r="AD537" s="870"/>
      <c r="AE537" s="870"/>
      <c r="AF537" s="870"/>
      <c r="AG537" s="870"/>
    </row>
    <row r="538" spans="1:33" s="995" customFormat="1">
      <c r="A538" s="974"/>
      <c r="D538" s="876"/>
      <c r="E538" s="974"/>
      <c r="F538" s="876"/>
      <c r="G538" s="876"/>
      <c r="H538" s="876"/>
      <c r="I538" s="876"/>
      <c r="J538" s="876"/>
      <c r="K538" s="876"/>
      <c r="L538" s="876"/>
      <c r="M538" s="876"/>
      <c r="N538" s="876"/>
      <c r="O538" s="876"/>
      <c r="P538" s="876"/>
      <c r="Q538" s="870"/>
      <c r="R538" s="870"/>
      <c r="S538" s="870"/>
      <c r="T538" s="870"/>
      <c r="U538" s="870"/>
      <c r="V538" s="870"/>
      <c r="W538" s="870"/>
      <c r="X538" s="870"/>
      <c r="Y538" s="870"/>
      <c r="Z538" s="870"/>
      <c r="AA538" s="870"/>
      <c r="AB538" s="870"/>
      <c r="AC538" s="870"/>
      <c r="AD538" s="870"/>
      <c r="AE538" s="870"/>
      <c r="AF538" s="870"/>
      <c r="AG538" s="870"/>
    </row>
    <row r="539" spans="1:33" s="995" customFormat="1">
      <c r="A539" s="974"/>
      <c r="D539" s="876"/>
      <c r="E539" s="974"/>
      <c r="F539" s="876"/>
      <c r="G539" s="876"/>
      <c r="H539" s="876"/>
      <c r="I539" s="876"/>
      <c r="J539" s="876"/>
      <c r="K539" s="876"/>
      <c r="L539" s="876"/>
      <c r="M539" s="876"/>
      <c r="N539" s="876"/>
      <c r="O539" s="876"/>
      <c r="P539" s="876"/>
      <c r="Q539" s="870"/>
      <c r="R539" s="870"/>
      <c r="S539" s="870"/>
      <c r="T539" s="870"/>
      <c r="U539" s="870"/>
      <c r="V539" s="870"/>
      <c r="W539" s="870"/>
      <c r="X539" s="870"/>
      <c r="Y539" s="870"/>
      <c r="Z539" s="870"/>
      <c r="AA539" s="870"/>
      <c r="AB539" s="870"/>
      <c r="AC539" s="870"/>
      <c r="AD539" s="870"/>
      <c r="AE539" s="870"/>
      <c r="AF539" s="870"/>
      <c r="AG539" s="870"/>
    </row>
    <row r="540" spans="1:33" s="995" customFormat="1">
      <c r="A540" s="974"/>
      <c r="D540" s="876"/>
      <c r="E540" s="974"/>
      <c r="F540" s="876"/>
      <c r="G540" s="876"/>
      <c r="H540" s="876"/>
      <c r="I540" s="876"/>
      <c r="J540" s="876"/>
      <c r="K540" s="876"/>
      <c r="L540" s="876"/>
      <c r="M540" s="876"/>
      <c r="N540" s="876"/>
      <c r="O540" s="876"/>
      <c r="P540" s="876"/>
      <c r="Q540" s="870"/>
      <c r="R540" s="870"/>
      <c r="S540" s="870"/>
      <c r="T540" s="870"/>
      <c r="U540" s="870"/>
      <c r="V540" s="870"/>
      <c r="W540" s="870"/>
      <c r="X540" s="870"/>
      <c r="Y540" s="870"/>
      <c r="Z540" s="870"/>
      <c r="AA540" s="870"/>
      <c r="AB540" s="870"/>
      <c r="AC540" s="870"/>
      <c r="AD540" s="870"/>
      <c r="AE540" s="870"/>
      <c r="AF540" s="870"/>
      <c r="AG540" s="870"/>
    </row>
    <row r="541" spans="1:33" s="995" customFormat="1">
      <c r="A541" s="974"/>
      <c r="D541" s="876"/>
      <c r="E541" s="974"/>
      <c r="F541" s="876"/>
      <c r="G541" s="876"/>
      <c r="H541" s="876"/>
      <c r="I541" s="876"/>
      <c r="J541" s="876"/>
      <c r="K541" s="876"/>
      <c r="L541" s="876"/>
      <c r="M541" s="876"/>
      <c r="N541" s="876"/>
      <c r="O541" s="876"/>
      <c r="P541" s="876"/>
      <c r="Q541" s="870"/>
      <c r="R541" s="870"/>
      <c r="S541" s="870"/>
      <c r="T541" s="870"/>
      <c r="U541" s="870"/>
      <c r="V541" s="870"/>
      <c r="W541" s="870"/>
      <c r="X541" s="870"/>
      <c r="Y541" s="870"/>
      <c r="Z541" s="870"/>
      <c r="AA541" s="870"/>
      <c r="AB541" s="870"/>
      <c r="AC541" s="870"/>
      <c r="AD541" s="870"/>
      <c r="AE541" s="870"/>
      <c r="AF541" s="870"/>
      <c r="AG541" s="870"/>
    </row>
    <row r="542" spans="1:33" s="995" customFormat="1">
      <c r="A542" s="974"/>
      <c r="D542" s="876"/>
      <c r="E542" s="974"/>
      <c r="F542" s="876"/>
      <c r="G542" s="876"/>
      <c r="H542" s="876"/>
      <c r="I542" s="876"/>
      <c r="J542" s="876"/>
      <c r="K542" s="876"/>
      <c r="L542" s="876"/>
      <c r="M542" s="876"/>
      <c r="N542" s="876"/>
      <c r="O542" s="876"/>
      <c r="P542" s="876"/>
      <c r="Q542" s="870"/>
      <c r="R542" s="870"/>
      <c r="S542" s="870"/>
      <c r="T542" s="870"/>
      <c r="U542" s="870"/>
      <c r="V542" s="870"/>
      <c r="W542" s="870"/>
      <c r="X542" s="870"/>
      <c r="Y542" s="870"/>
      <c r="Z542" s="870"/>
      <c r="AA542" s="870"/>
      <c r="AB542" s="870"/>
      <c r="AC542" s="870"/>
      <c r="AD542" s="870"/>
      <c r="AE542" s="870"/>
      <c r="AF542" s="870"/>
      <c r="AG542" s="870"/>
    </row>
    <row r="543" spans="1:33" s="995" customFormat="1">
      <c r="A543" s="974"/>
      <c r="D543" s="876"/>
      <c r="E543" s="974"/>
      <c r="F543" s="876"/>
      <c r="G543" s="876"/>
      <c r="H543" s="876"/>
      <c r="I543" s="876"/>
      <c r="J543" s="876"/>
      <c r="K543" s="876"/>
      <c r="L543" s="876"/>
      <c r="M543" s="876"/>
      <c r="N543" s="876"/>
      <c r="O543" s="876"/>
      <c r="P543" s="876"/>
      <c r="Q543" s="870"/>
      <c r="R543" s="870"/>
      <c r="S543" s="870"/>
      <c r="T543" s="870"/>
      <c r="U543" s="870"/>
      <c r="V543" s="870"/>
      <c r="W543" s="870"/>
      <c r="X543" s="870"/>
      <c r="Y543" s="870"/>
      <c r="Z543" s="870"/>
      <c r="AA543" s="870"/>
      <c r="AB543" s="870"/>
      <c r="AC543" s="870"/>
      <c r="AD543" s="870"/>
      <c r="AE543" s="870"/>
      <c r="AF543" s="870"/>
      <c r="AG543" s="870"/>
    </row>
    <row r="544" spans="1:33" s="995" customFormat="1">
      <c r="A544" s="974"/>
      <c r="D544" s="876"/>
      <c r="E544" s="974"/>
      <c r="F544" s="876"/>
      <c r="G544" s="876"/>
      <c r="H544" s="876"/>
      <c r="I544" s="876"/>
      <c r="J544" s="876"/>
      <c r="K544" s="876"/>
      <c r="L544" s="876"/>
      <c r="M544" s="876"/>
      <c r="N544" s="876"/>
      <c r="O544" s="876"/>
      <c r="P544" s="876"/>
      <c r="Q544" s="870"/>
      <c r="R544" s="870"/>
      <c r="S544" s="870"/>
      <c r="T544" s="870"/>
      <c r="U544" s="870"/>
      <c r="V544" s="870"/>
      <c r="W544" s="870"/>
      <c r="X544" s="870"/>
      <c r="Y544" s="870"/>
      <c r="Z544" s="870"/>
      <c r="AA544" s="870"/>
      <c r="AB544" s="870"/>
      <c r="AC544" s="870"/>
      <c r="AD544" s="870"/>
      <c r="AE544" s="870"/>
      <c r="AF544" s="870"/>
      <c r="AG544" s="870"/>
    </row>
    <row r="545" spans="1:33" s="995" customFormat="1">
      <c r="A545" s="974"/>
      <c r="D545" s="876"/>
      <c r="E545" s="974"/>
      <c r="F545" s="876"/>
      <c r="G545" s="876"/>
      <c r="H545" s="876"/>
      <c r="I545" s="876"/>
      <c r="J545" s="876"/>
      <c r="K545" s="876"/>
      <c r="L545" s="876"/>
      <c r="M545" s="876"/>
      <c r="N545" s="876"/>
      <c r="O545" s="876"/>
      <c r="P545" s="876"/>
      <c r="Q545" s="870"/>
      <c r="R545" s="870"/>
      <c r="S545" s="870"/>
      <c r="T545" s="870"/>
      <c r="U545" s="870"/>
      <c r="V545" s="870"/>
      <c r="W545" s="870"/>
      <c r="X545" s="870"/>
      <c r="Y545" s="870"/>
      <c r="Z545" s="870"/>
      <c r="AA545" s="870"/>
      <c r="AB545" s="870"/>
      <c r="AC545" s="870"/>
      <c r="AD545" s="870"/>
      <c r="AE545" s="870"/>
      <c r="AF545" s="870"/>
      <c r="AG545" s="870"/>
    </row>
    <row r="546" spans="1:33" s="995" customFormat="1">
      <c r="A546" s="974"/>
      <c r="D546" s="876"/>
      <c r="E546" s="974"/>
      <c r="F546" s="876"/>
      <c r="G546" s="876"/>
      <c r="H546" s="876"/>
      <c r="I546" s="876"/>
      <c r="J546" s="876"/>
      <c r="K546" s="876"/>
      <c r="L546" s="876"/>
      <c r="M546" s="876"/>
      <c r="N546" s="876"/>
      <c r="O546" s="876"/>
      <c r="P546" s="876"/>
      <c r="Q546" s="870"/>
      <c r="R546" s="870"/>
      <c r="S546" s="870"/>
      <c r="T546" s="870"/>
      <c r="U546" s="870"/>
      <c r="V546" s="870"/>
      <c r="W546" s="870"/>
      <c r="X546" s="870"/>
      <c r="Y546" s="870"/>
      <c r="Z546" s="870"/>
      <c r="AA546" s="870"/>
      <c r="AB546" s="870"/>
      <c r="AC546" s="870"/>
      <c r="AD546" s="870"/>
      <c r="AE546" s="870"/>
      <c r="AF546" s="870"/>
      <c r="AG546" s="870"/>
    </row>
    <row r="547" spans="1:33" s="995" customFormat="1">
      <c r="A547" s="974"/>
      <c r="D547" s="876"/>
      <c r="E547" s="974"/>
      <c r="F547" s="876"/>
      <c r="G547" s="876"/>
      <c r="H547" s="876"/>
      <c r="I547" s="876"/>
      <c r="J547" s="876"/>
      <c r="K547" s="876"/>
      <c r="L547" s="876"/>
      <c r="M547" s="876"/>
      <c r="N547" s="876"/>
      <c r="O547" s="876"/>
      <c r="P547" s="876"/>
      <c r="Q547" s="870"/>
      <c r="R547" s="870"/>
      <c r="S547" s="870"/>
      <c r="T547" s="870"/>
      <c r="U547" s="870"/>
      <c r="V547" s="870"/>
      <c r="W547" s="870"/>
      <c r="X547" s="870"/>
      <c r="Y547" s="870"/>
      <c r="Z547" s="870"/>
      <c r="AA547" s="870"/>
      <c r="AB547" s="870"/>
      <c r="AC547" s="870"/>
      <c r="AD547" s="870"/>
      <c r="AE547" s="870"/>
      <c r="AF547" s="870"/>
      <c r="AG547" s="870"/>
    </row>
    <row r="548" spans="1:33" s="995" customFormat="1">
      <c r="A548" s="974"/>
      <c r="D548" s="876"/>
      <c r="E548" s="974"/>
      <c r="F548" s="876"/>
      <c r="G548" s="876"/>
      <c r="H548" s="876"/>
      <c r="I548" s="876"/>
      <c r="J548" s="876"/>
      <c r="K548" s="876"/>
      <c r="L548" s="876"/>
      <c r="M548" s="876"/>
      <c r="N548" s="876"/>
      <c r="O548" s="876"/>
      <c r="P548" s="876"/>
      <c r="Q548" s="870"/>
      <c r="R548" s="870"/>
      <c r="S548" s="870"/>
      <c r="T548" s="870"/>
      <c r="U548" s="870"/>
      <c r="V548" s="870"/>
      <c r="W548" s="870"/>
      <c r="X548" s="870"/>
      <c r="Y548" s="870"/>
      <c r="Z548" s="870"/>
      <c r="AA548" s="870"/>
      <c r="AB548" s="870"/>
      <c r="AC548" s="870"/>
      <c r="AD548" s="870"/>
      <c r="AE548" s="870"/>
      <c r="AF548" s="870"/>
      <c r="AG548" s="870"/>
    </row>
    <row r="549" spans="1:33" s="995" customFormat="1">
      <c r="A549" s="974"/>
      <c r="D549" s="876"/>
      <c r="E549" s="974"/>
      <c r="F549" s="876"/>
      <c r="G549" s="876"/>
      <c r="H549" s="876"/>
      <c r="I549" s="876"/>
      <c r="J549" s="876"/>
      <c r="K549" s="876"/>
      <c r="L549" s="876"/>
      <c r="M549" s="876"/>
      <c r="N549" s="876"/>
      <c r="O549" s="876"/>
      <c r="P549" s="876"/>
      <c r="Q549" s="870"/>
      <c r="R549" s="870"/>
      <c r="S549" s="870"/>
      <c r="T549" s="870"/>
      <c r="U549" s="870"/>
      <c r="V549" s="870"/>
      <c r="W549" s="870"/>
      <c r="X549" s="870"/>
      <c r="Y549" s="870"/>
      <c r="Z549" s="870"/>
      <c r="AA549" s="870"/>
      <c r="AB549" s="870"/>
      <c r="AC549" s="870"/>
      <c r="AD549" s="870"/>
      <c r="AE549" s="870"/>
      <c r="AF549" s="870"/>
      <c r="AG549" s="870"/>
    </row>
    <row r="550" spans="1:33" s="995" customFormat="1">
      <c r="A550" s="974"/>
      <c r="D550" s="876"/>
      <c r="E550" s="974"/>
      <c r="F550" s="876"/>
      <c r="G550" s="876"/>
      <c r="H550" s="876"/>
      <c r="I550" s="876"/>
      <c r="J550" s="876"/>
      <c r="K550" s="876"/>
      <c r="L550" s="876"/>
      <c r="M550" s="876"/>
      <c r="N550" s="876"/>
      <c r="O550" s="876"/>
      <c r="P550" s="876"/>
      <c r="Q550" s="870"/>
      <c r="R550" s="870"/>
      <c r="S550" s="870"/>
      <c r="T550" s="870"/>
      <c r="U550" s="870"/>
      <c r="V550" s="870"/>
      <c r="W550" s="870"/>
      <c r="X550" s="870"/>
      <c r="Y550" s="870"/>
      <c r="Z550" s="870"/>
      <c r="AA550" s="870"/>
      <c r="AB550" s="870"/>
      <c r="AC550" s="870"/>
      <c r="AD550" s="870"/>
      <c r="AE550" s="870"/>
      <c r="AF550" s="870"/>
      <c r="AG550" s="870"/>
    </row>
    <row r="551" spans="1:33" s="995" customFormat="1">
      <c r="A551" s="974"/>
      <c r="D551" s="876"/>
      <c r="E551" s="974"/>
      <c r="F551" s="876"/>
      <c r="G551" s="876"/>
      <c r="H551" s="876"/>
      <c r="I551" s="876"/>
      <c r="J551" s="876"/>
      <c r="K551" s="876"/>
      <c r="L551" s="876"/>
      <c r="M551" s="876"/>
      <c r="N551" s="876"/>
      <c r="O551" s="876"/>
      <c r="P551" s="876"/>
      <c r="Q551" s="870"/>
      <c r="R551" s="870"/>
      <c r="S551" s="870"/>
      <c r="T551" s="870"/>
      <c r="U551" s="870"/>
      <c r="V551" s="870"/>
      <c r="W551" s="870"/>
      <c r="X551" s="870"/>
      <c r="Y551" s="870"/>
      <c r="Z551" s="870"/>
      <c r="AA551" s="870"/>
      <c r="AB551" s="870"/>
      <c r="AC551" s="870"/>
      <c r="AD551" s="870"/>
      <c r="AE551" s="870"/>
      <c r="AF551" s="870"/>
      <c r="AG551" s="870"/>
    </row>
    <row r="552" spans="1:33" s="995" customFormat="1">
      <c r="A552" s="974"/>
      <c r="D552" s="876"/>
      <c r="E552" s="974"/>
      <c r="F552" s="876"/>
      <c r="G552" s="876"/>
      <c r="H552" s="876"/>
      <c r="I552" s="876"/>
      <c r="J552" s="876"/>
      <c r="K552" s="876"/>
      <c r="L552" s="876"/>
      <c r="M552" s="876"/>
      <c r="N552" s="876"/>
      <c r="O552" s="876"/>
      <c r="P552" s="876"/>
      <c r="Q552" s="870"/>
      <c r="R552" s="870"/>
      <c r="S552" s="870"/>
      <c r="T552" s="870"/>
      <c r="U552" s="870"/>
      <c r="V552" s="870"/>
      <c r="W552" s="870"/>
      <c r="X552" s="870"/>
      <c r="Y552" s="870"/>
      <c r="Z552" s="870"/>
      <c r="AA552" s="870"/>
      <c r="AB552" s="870"/>
      <c r="AC552" s="870"/>
      <c r="AD552" s="870"/>
      <c r="AE552" s="870"/>
      <c r="AF552" s="870"/>
      <c r="AG552" s="870"/>
    </row>
    <row r="553" spans="1:33" s="995" customFormat="1">
      <c r="A553" s="974"/>
      <c r="D553" s="876"/>
      <c r="E553" s="974"/>
      <c r="F553" s="876"/>
      <c r="G553" s="876"/>
      <c r="H553" s="876"/>
      <c r="I553" s="876"/>
      <c r="J553" s="876"/>
      <c r="K553" s="876"/>
      <c r="L553" s="876"/>
      <c r="M553" s="876"/>
      <c r="N553" s="876"/>
      <c r="O553" s="876"/>
      <c r="P553" s="876"/>
      <c r="Q553" s="870"/>
      <c r="R553" s="870"/>
      <c r="S553" s="870"/>
      <c r="T553" s="870"/>
      <c r="U553" s="870"/>
      <c r="V553" s="870"/>
      <c r="W553" s="870"/>
      <c r="X553" s="870"/>
      <c r="Y553" s="870"/>
      <c r="Z553" s="870"/>
      <c r="AA553" s="870"/>
      <c r="AB553" s="870"/>
      <c r="AC553" s="870"/>
      <c r="AD553" s="870"/>
      <c r="AE553" s="870"/>
      <c r="AF553" s="870"/>
      <c r="AG553" s="870"/>
    </row>
    <row r="554" spans="1:33" s="995" customFormat="1">
      <c r="A554" s="974"/>
      <c r="D554" s="876"/>
      <c r="E554" s="974"/>
      <c r="F554" s="876"/>
      <c r="G554" s="876"/>
      <c r="H554" s="876"/>
      <c r="I554" s="876"/>
      <c r="J554" s="876"/>
      <c r="K554" s="876"/>
      <c r="L554" s="876"/>
      <c r="M554" s="876"/>
      <c r="N554" s="876"/>
      <c r="O554" s="876"/>
      <c r="P554" s="876"/>
      <c r="Q554" s="870"/>
      <c r="R554" s="870"/>
      <c r="S554" s="870"/>
      <c r="T554" s="870"/>
      <c r="U554" s="870"/>
      <c r="V554" s="870"/>
      <c r="W554" s="870"/>
      <c r="X554" s="870"/>
      <c r="Y554" s="870"/>
      <c r="Z554" s="870"/>
      <c r="AA554" s="870"/>
      <c r="AB554" s="870"/>
      <c r="AC554" s="870"/>
      <c r="AD554" s="870"/>
      <c r="AE554" s="870"/>
      <c r="AF554" s="870"/>
      <c r="AG554" s="870"/>
    </row>
    <row r="555" spans="1:33" s="995" customFormat="1">
      <c r="A555" s="974"/>
      <c r="D555" s="876"/>
      <c r="E555" s="974"/>
      <c r="F555" s="876"/>
      <c r="G555" s="876"/>
      <c r="H555" s="876"/>
      <c r="I555" s="876"/>
      <c r="J555" s="876"/>
      <c r="K555" s="876"/>
      <c r="L555" s="876"/>
      <c r="M555" s="876"/>
      <c r="N555" s="876"/>
      <c r="O555" s="876"/>
      <c r="P555" s="876"/>
      <c r="Q555" s="870"/>
      <c r="R555" s="870"/>
      <c r="S555" s="870"/>
      <c r="T555" s="870"/>
      <c r="U555" s="870"/>
      <c r="V555" s="870"/>
      <c r="W555" s="870"/>
      <c r="X555" s="870"/>
      <c r="Y555" s="870"/>
      <c r="Z555" s="870"/>
      <c r="AA555" s="870"/>
      <c r="AB555" s="870"/>
      <c r="AC555" s="870"/>
      <c r="AD555" s="870"/>
      <c r="AE555" s="870"/>
      <c r="AF555" s="870"/>
      <c r="AG555" s="870"/>
    </row>
    <row r="556" spans="1:33" s="995" customFormat="1">
      <c r="A556" s="974"/>
      <c r="D556" s="876"/>
      <c r="E556" s="974"/>
      <c r="F556" s="876"/>
      <c r="G556" s="876"/>
      <c r="H556" s="876"/>
      <c r="I556" s="876"/>
      <c r="J556" s="876"/>
      <c r="K556" s="876"/>
      <c r="L556" s="876"/>
      <c r="M556" s="876"/>
      <c r="N556" s="876"/>
      <c r="O556" s="876"/>
      <c r="P556" s="876"/>
      <c r="Q556" s="870"/>
      <c r="R556" s="870"/>
      <c r="S556" s="870"/>
      <c r="T556" s="870"/>
      <c r="U556" s="870"/>
      <c r="V556" s="870"/>
      <c r="W556" s="870"/>
      <c r="X556" s="870"/>
      <c r="Y556" s="870"/>
      <c r="Z556" s="870"/>
      <c r="AA556" s="870"/>
      <c r="AB556" s="870"/>
      <c r="AC556" s="870"/>
      <c r="AD556" s="870"/>
      <c r="AE556" s="870"/>
      <c r="AF556" s="870"/>
      <c r="AG556" s="870"/>
    </row>
    <row r="557" spans="1:33" s="995" customFormat="1">
      <c r="A557" s="974"/>
      <c r="D557" s="876"/>
      <c r="E557" s="974"/>
      <c r="F557" s="876"/>
      <c r="G557" s="876"/>
      <c r="H557" s="876"/>
      <c r="I557" s="876"/>
      <c r="J557" s="876"/>
      <c r="K557" s="876"/>
      <c r="L557" s="876"/>
      <c r="M557" s="876"/>
      <c r="N557" s="876"/>
      <c r="O557" s="876"/>
      <c r="P557" s="876"/>
      <c r="Q557" s="870"/>
      <c r="R557" s="870"/>
      <c r="S557" s="870"/>
      <c r="T557" s="870"/>
      <c r="U557" s="870"/>
      <c r="V557" s="870"/>
      <c r="W557" s="870"/>
      <c r="X557" s="870"/>
      <c r="Y557" s="870"/>
      <c r="Z557" s="870"/>
      <c r="AA557" s="870"/>
      <c r="AB557" s="870"/>
      <c r="AC557" s="870"/>
      <c r="AD557" s="870"/>
      <c r="AE557" s="870"/>
      <c r="AF557" s="870"/>
      <c r="AG557" s="870"/>
    </row>
    <row r="558" spans="1:33" s="995" customFormat="1">
      <c r="A558" s="974"/>
      <c r="D558" s="876"/>
      <c r="E558" s="974"/>
      <c r="F558" s="876"/>
      <c r="G558" s="876"/>
      <c r="H558" s="876"/>
      <c r="I558" s="876"/>
      <c r="J558" s="876"/>
      <c r="K558" s="876"/>
      <c r="L558" s="876"/>
      <c r="M558" s="876"/>
      <c r="N558" s="876"/>
      <c r="O558" s="876"/>
      <c r="P558" s="876"/>
      <c r="Q558" s="870"/>
      <c r="R558" s="870"/>
      <c r="S558" s="870"/>
      <c r="T558" s="870"/>
      <c r="U558" s="870"/>
      <c r="V558" s="870"/>
      <c r="W558" s="870"/>
      <c r="X558" s="870"/>
      <c r="Y558" s="870"/>
      <c r="Z558" s="870"/>
      <c r="AA558" s="870"/>
      <c r="AB558" s="870"/>
      <c r="AC558" s="870"/>
      <c r="AD558" s="870"/>
      <c r="AE558" s="870"/>
      <c r="AF558" s="870"/>
      <c r="AG558" s="870"/>
    </row>
    <row r="559" spans="1:33" s="995" customFormat="1">
      <c r="A559" s="974"/>
      <c r="D559" s="876"/>
      <c r="E559" s="974"/>
      <c r="F559" s="876"/>
      <c r="G559" s="876"/>
      <c r="H559" s="876"/>
      <c r="I559" s="876"/>
      <c r="J559" s="876"/>
      <c r="K559" s="876"/>
      <c r="L559" s="876"/>
      <c r="M559" s="876"/>
      <c r="N559" s="876"/>
      <c r="O559" s="876"/>
      <c r="P559" s="876"/>
      <c r="Q559" s="870"/>
      <c r="R559" s="870"/>
      <c r="S559" s="870"/>
      <c r="T559" s="870"/>
      <c r="U559" s="870"/>
      <c r="V559" s="870"/>
      <c r="W559" s="870"/>
      <c r="X559" s="870"/>
      <c r="Y559" s="870"/>
      <c r="Z559" s="870"/>
      <c r="AA559" s="870"/>
      <c r="AB559" s="870"/>
      <c r="AC559" s="870"/>
      <c r="AD559" s="870"/>
      <c r="AE559" s="870"/>
      <c r="AF559" s="870"/>
      <c r="AG559" s="870"/>
    </row>
    <row r="560" spans="1:33" s="995" customFormat="1">
      <c r="A560" s="974"/>
      <c r="D560" s="876"/>
      <c r="E560" s="974"/>
      <c r="F560" s="876"/>
      <c r="G560" s="876"/>
      <c r="H560" s="876"/>
      <c r="I560" s="876"/>
      <c r="J560" s="876"/>
      <c r="K560" s="876"/>
      <c r="L560" s="876"/>
      <c r="M560" s="876"/>
      <c r="N560" s="876"/>
      <c r="O560" s="876"/>
      <c r="P560" s="876"/>
      <c r="Q560" s="870"/>
      <c r="R560" s="870"/>
      <c r="S560" s="870"/>
      <c r="T560" s="870"/>
      <c r="U560" s="870"/>
      <c r="V560" s="870"/>
      <c r="W560" s="870"/>
      <c r="X560" s="870"/>
      <c r="Y560" s="870"/>
      <c r="Z560" s="870"/>
      <c r="AA560" s="870"/>
      <c r="AB560" s="870"/>
      <c r="AC560" s="870"/>
      <c r="AD560" s="870"/>
      <c r="AE560" s="870"/>
      <c r="AF560" s="870"/>
      <c r="AG560" s="870"/>
    </row>
    <row r="561" spans="1:33" s="995" customFormat="1">
      <c r="A561" s="974"/>
      <c r="D561" s="876"/>
      <c r="E561" s="974"/>
      <c r="F561" s="876"/>
      <c r="G561" s="876"/>
      <c r="H561" s="876"/>
      <c r="I561" s="876"/>
      <c r="J561" s="876"/>
      <c r="K561" s="876"/>
      <c r="L561" s="876"/>
      <c r="M561" s="876"/>
      <c r="N561" s="876"/>
      <c r="O561" s="876"/>
      <c r="P561" s="876"/>
      <c r="Q561" s="870"/>
      <c r="R561" s="870"/>
      <c r="S561" s="870"/>
      <c r="T561" s="870"/>
      <c r="U561" s="870"/>
      <c r="V561" s="870"/>
      <c r="W561" s="870"/>
      <c r="X561" s="870"/>
      <c r="Y561" s="870"/>
      <c r="Z561" s="870"/>
      <c r="AA561" s="870"/>
      <c r="AB561" s="870"/>
      <c r="AC561" s="870"/>
      <c r="AD561" s="870"/>
      <c r="AE561" s="870"/>
      <c r="AF561" s="870"/>
      <c r="AG561" s="870"/>
    </row>
    <row r="562" spans="1:33" s="995" customFormat="1">
      <c r="A562" s="974"/>
      <c r="D562" s="876"/>
      <c r="E562" s="974"/>
      <c r="F562" s="876"/>
      <c r="G562" s="876"/>
      <c r="H562" s="876"/>
      <c r="I562" s="876"/>
      <c r="J562" s="876"/>
      <c r="K562" s="876"/>
      <c r="L562" s="876"/>
      <c r="M562" s="876"/>
      <c r="N562" s="876"/>
      <c r="O562" s="876"/>
      <c r="P562" s="876"/>
      <c r="Q562" s="870"/>
      <c r="R562" s="870"/>
      <c r="S562" s="870"/>
      <c r="T562" s="870"/>
      <c r="U562" s="870"/>
      <c r="V562" s="870"/>
      <c r="W562" s="870"/>
      <c r="X562" s="870"/>
      <c r="Y562" s="870"/>
      <c r="Z562" s="870"/>
      <c r="AA562" s="870"/>
      <c r="AB562" s="870"/>
      <c r="AC562" s="870"/>
      <c r="AD562" s="870"/>
      <c r="AE562" s="870"/>
      <c r="AF562" s="870"/>
      <c r="AG562" s="870"/>
    </row>
    <row r="563" spans="1:33" s="995" customFormat="1">
      <c r="A563" s="974"/>
      <c r="D563" s="876"/>
      <c r="E563" s="974"/>
      <c r="F563" s="876"/>
      <c r="G563" s="876"/>
      <c r="H563" s="876"/>
      <c r="I563" s="876"/>
      <c r="J563" s="876"/>
      <c r="K563" s="876"/>
      <c r="L563" s="876"/>
      <c r="M563" s="876"/>
      <c r="N563" s="876"/>
      <c r="O563" s="876"/>
      <c r="P563" s="876"/>
      <c r="Q563" s="870"/>
      <c r="R563" s="870"/>
      <c r="S563" s="870"/>
      <c r="T563" s="870"/>
      <c r="U563" s="870"/>
      <c r="V563" s="870"/>
      <c r="W563" s="870"/>
      <c r="X563" s="870"/>
      <c r="Y563" s="870"/>
      <c r="Z563" s="870"/>
      <c r="AA563" s="870"/>
      <c r="AB563" s="870"/>
      <c r="AC563" s="870"/>
      <c r="AD563" s="870"/>
      <c r="AE563" s="870"/>
      <c r="AF563" s="870"/>
      <c r="AG563" s="870"/>
    </row>
    <row r="564" spans="1:33" s="995" customFormat="1">
      <c r="A564" s="974"/>
      <c r="D564" s="876"/>
      <c r="E564" s="974"/>
      <c r="F564" s="876"/>
      <c r="G564" s="876"/>
      <c r="H564" s="876"/>
      <c r="I564" s="876"/>
      <c r="J564" s="876"/>
      <c r="K564" s="876"/>
      <c r="L564" s="876"/>
      <c r="M564" s="876"/>
      <c r="N564" s="876"/>
      <c r="O564" s="876"/>
      <c r="P564" s="876"/>
      <c r="Q564" s="870"/>
      <c r="R564" s="870"/>
      <c r="S564" s="870"/>
      <c r="T564" s="870"/>
      <c r="U564" s="870"/>
      <c r="V564" s="870"/>
      <c r="W564" s="870"/>
      <c r="X564" s="870"/>
      <c r="Y564" s="870"/>
      <c r="Z564" s="870"/>
      <c r="AA564" s="870"/>
      <c r="AB564" s="870"/>
      <c r="AC564" s="870"/>
      <c r="AD564" s="870"/>
      <c r="AE564" s="870"/>
      <c r="AF564" s="870"/>
      <c r="AG564" s="870"/>
    </row>
    <row r="565" spans="1:33" s="995" customFormat="1">
      <c r="A565" s="974"/>
      <c r="D565" s="876"/>
      <c r="E565" s="974"/>
      <c r="F565" s="876"/>
      <c r="G565" s="876"/>
      <c r="H565" s="876"/>
      <c r="I565" s="876"/>
      <c r="J565" s="876"/>
      <c r="K565" s="876"/>
      <c r="L565" s="876"/>
      <c r="M565" s="876"/>
      <c r="N565" s="876"/>
      <c r="O565" s="876"/>
      <c r="P565" s="876"/>
      <c r="Q565" s="870"/>
      <c r="R565" s="870"/>
      <c r="S565" s="870"/>
      <c r="T565" s="870"/>
      <c r="U565" s="870"/>
      <c r="V565" s="870"/>
      <c r="W565" s="870"/>
      <c r="X565" s="870"/>
      <c r="Y565" s="870"/>
      <c r="Z565" s="870"/>
      <c r="AA565" s="870"/>
      <c r="AB565" s="870"/>
      <c r="AC565" s="870"/>
      <c r="AD565" s="870"/>
      <c r="AE565" s="870"/>
      <c r="AF565" s="870"/>
      <c r="AG565" s="870"/>
    </row>
    <row r="566" spans="1:33" s="995" customFormat="1">
      <c r="A566" s="974"/>
      <c r="D566" s="876"/>
      <c r="E566" s="974"/>
      <c r="F566" s="876"/>
      <c r="G566" s="876"/>
      <c r="H566" s="876"/>
      <c r="I566" s="876"/>
      <c r="J566" s="876"/>
      <c r="K566" s="876"/>
      <c r="L566" s="876"/>
      <c r="M566" s="876"/>
      <c r="N566" s="876"/>
      <c r="O566" s="876"/>
      <c r="P566" s="876"/>
      <c r="Q566" s="870"/>
      <c r="R566" s="870"/>
      <c r="S566" s="870"/>
      <c r="T566" s="870"/>
      <c r="U566" s="870"/>
      <c r="V566" s="870"/>
      <c r="W566" s="870"/>
      <c r="X566" s="870"/>
      <c r="Y566" s="870"/>
      <c r="Z566" s="870"/>
      <c r="AA566" s="870"/>
      <c r="AB566" s="870"/>
      <c r="AC566" s="870"/>
      <c r="AD566" s="870"/>
      <c r="AE566" s="870"/>
      <c r="AF566" s="870"/>
      <c r="AG566" s="870"/>
    </row>
    <row r="567" spans="1:33" s="995" customFormat="1">
      <c r="A567" s="974"/>
      <c r="D567" s="876"/>
      <c r="E567" s="974"/>
      <c r="F567" s="876"/>
      <c r="G567" s="876"/>
      <c r="H567" s="876"/>
      <c r="I567" s="876"/>
      <c r="J567" s="876"/>
      <c r="K567" s="876"/>
      <c r="L567" s="876"/>
      <c r="M567" s="876"/>
      <c r="N567" s="876"/>
      <c r="O567" s="876"/>
      <c r="P567" s="876"/>
      <c r="Q567" s="870"/>
      <c r="R567" s="870"/>
      <c r="S567" s="870"/>
      <c r="T567" s="870"/>
      <c r="U567" s="870"/>
      <c r="V567" s="870"/>
      <c r="W567" s="870"/>
      <c r="X567" s="870"/>
      <c r="Y567" s="870"/>
      <c r="Z567" s="870"/>
      <c r="AA567" s="870"/>
      <c r="AB567" s="870"/>
      <c r="AC567" s="870"/>
      <c r="AD567" s="870"/>
      <c r="AE567" s="870"/>
      <c r="AF567" s="870"/>
      <c r="AG567" s="870"/>
    </row>
    <row r="568" spans="1:33" s="995" customFormat="1">
      <c r="A568" s="974"/>
      <c r="D568" s="876"/>
      <c r="E568" s="974"/>
      <c r="F568" s="876"/>
      <c r="G568" s="876"/>
      <c r="H568" s="876"/>
      <c r="I568" s="876"/>
      <c r="J568" s="876"/>
      <c r="K568" s="876"/>
      <c r="L568" s="876"/>
      <c r="M568" s="876"/>
      <c r="N568" s="876"/>
      <c r="O568" s="876"/>
      <c r="P568" s="876"/>
      <c r="Q568" s="870"/>
      <c r="R568" s="870"/>
      <c r="S568" s="870"/>
      <c r="T568" s="870"/>
      <c r="U568" s="870"/>
      <c r="V568" s="870"/>
      <c r="W568" s="870"/>
      <c r="X568" s="870"/>
      <c r="Y568" s="870"/>
      <c r="Z568" s="870"/>
      <c r="AA568" s="870"/>
      <c r="AB568" s="870"/>
      <c r="AC568" s="870"/>
      <c r="AD568" s="870"/>
      <c r="AE568" s="870"/>
      <c r="AF568" s="870"/>
      <c r="AG568" s="870"/>
    </row>
    <row r="569" spans="1:33" s="995" customFormat="1">
      <c r="A569" s="974"/>
      <c r="D569" s="876"/>
      <c r="E569" s="974"/>
      <c r="F569" s="876"/>
      <c r="G569" s="876"/>
      <c r="H569" s="876"/>
      <c r="I569" s="876"/>
      <c r="J569" s="876"/>
      <c r="K569" s="876"/>
      <c r="L569" s="876"/>
      <c r="M569" s="876"/>
      <c r="N569" s="876"/>
      <c r="O569" s="876"/>
      <c r="P569" s="876"/>
      <c r="Q569" s="870"/>
      <c r="R569" s="870"/>
      <c r="S569" s="870"/>
      <c r="T569" s="870"/>
      <c r="U569" s="870"/>
      <c r="V569" s="870"/>
      <c r="W569" s="870"/>
      <c r="X569" s="870"/>
      <c r="Y569" s="870"/>
      <c r="Z569" s="870"/>
      <c r="AA569" s="870"/>
      <c r="AB569" s="870"/>
      <c r="AC569" s="870"/>
      <c r="AD569" s="870"/>
      <c r="AE569" s="870"/>
      <c r="AF569" s="870"/>
      <c r="AG569" s="870"/>
    </row>
    <row r="570" spans="1:33" s="995" customFormat="1">
      <c r="A570" s="974"/>
      <c r="D570" s="876"/>
      <c r="E570" s="974"/>
      <c r="F570" s="876"/>
      <c r="G570" s="876"/>
      <c r="H570" s="876"/>
      <c r="I570" s="876"/>
      <c r="J570" s="876"/>
      <c r="K570" s="876"/>
      <c r="L570" s="876"/>
      <c r="M570" s="876"/>
      <c r="N570" s="876"/>
      <c r="O570" s="876"/>
      <c r="P570" s="876"/>
      <c r="Q570" s="870"/>
      <c r="R570" s="870"/>
      <c r="S570" s="870"/>
      <c r="T570" s="870"/>
      <c r="U570" s="870"/>
      <c r="V570" s="870"/>
      <c r="W570" s="870"/>
      <c r="X570" s="870"/>
      <c r="Y570" s="870"/>
      <c r="Z570" s="870"/>
      <c r="AA570" s="870"/>
      <c r="AB570" s="870"/>
      <c r="AC570" s="870"/>
      <c r="AD570" s="870"/>
      <c r="AE570" s="870"/>
      <c r="AF570" s="870"/>
      <c r="AG570" s="870"/>
    </row>
    <row r="571" spans="1:33" s="995" customFormat="1">
      <c r="A571" s="974"/>
      <c r="D571" s="876"/>
      <c r="E571" s="974"/>
      <c r="F571" s="876"/>
      <c r="G571" s="876"/>
      <c r="H571" s="876"/>
      <c r="I571" s="876"/>
      <c r="J571" s="876"/>
      <c r="K571" s="876"/>
      <c r="L571" s="876"/>
      <c r="M571" s="876"/>
      <c r="N571" s="876"/>
      <c r="O571" s="876"/>
      <c r="P571" s="876"/>
      <c r="Q571" s="870"/>
      <c r="R571" s="870"/>
      <c r="S571" s="870"/>
      <c r="T571" s="870"/>
      <c r="U571" s="870"/>
      <c r="V571" s="870"/>
      <c r="W571" s="870"/>
      <c r="X571" s="870"/>
      <c r="Y571" s="870"/>
      <c r="Z571" s="870"/>
      <c r="AA571" s="870"/>
      <c r="AB571" s="870"/>
      <c r="AC571" s="870"/>
      <c r="AD571" s="870"/>
      <c r="AE571" s="870"/>
      <c r="AF571" s="870"/>
      <c r="AG571" s="870"/>
    </row>
    <row r="572" spans="1:33" s="995" customFormat="1">
      <c r="A572" s="974"/>
      <c r="D572" s="876"/>
      <c r="E572" s="974"/>
      <c r="F572" s="876"/>
      <c r="G572" s="876"/>
      <c r="H572" s="876"/>
      <c r="I572" s="876"/>
      <c r="J572" s="876"/>
      <c r="K572" s="876"/>
      <c r="L572" s="876"/>
      <c r="M572" s="876"/>
      <c r="N572" s="876"/>
      <c r="O572" s="876"/>
      <c r="P572" s="876"/>
      <c r="Q572" s="870"/>
      <c r="R572" s="870"/>
      <c r="S572" s="870"/>
      <c r="T572" s="870"/>
      <c r="U572" s="870"/>
      <c r="V572" s="870"/>
      <c r="W572" s="870"/>
      <c r="X572" s="870"/>
      <c r="Y572" s="870"/>
      <c r="Z572" s="870"/>
      <c r="AA572" s="870"/>
      <c r="AB572" s="870"/>
      <c r="AC572" s="870"/>
      <c r="AD572" s="870"/>
      <c r="AE572" s="870"/>
      <c r="AF572" s="870"/>
      <c r="AG572" s="870"/>
    </row>
    <row r="573" spans="1:33" s="995" customFormat="1">
      <c r="A573" s="974"/>
      <c r="D573" s="876"/>
      <c r="E573" s="974"/>
      <c r="F573" s="876"/>
      <c r="G573" s="876"/>
      <c r="H573" s="876"/>
      <c r="I573" s="876"/>
      <c r="J573" s="876"/>
      <c r="K573" s="876"/>
      <c r="L573" s="876"/>
      <c r="M573" s="876"/>
      <c r="N573" s="876"/>
      <c r="O573" s="876"/>
      <c r="P573" s="876"/>
      <c r="Q573" s="870"/>
      <c r="R573" s="870"/>
      <c r="S573" s="870"/>
      <c r="T573" s="870"/>
      <c r="U573" s="870"/>
      <c r="V573" s="870"/>
      <c r="W573" s="870"/>
      <c r="X573" s="870"/>
      <c r="Y573" s="870"/>
      <c r="Z573" s="870"/>
      <c r="AA573" s="870"/>
      <c r="AB573" s="870"/>
      <c r="AC573" s="870"/>
      <c r="AD573" s="870"/>
      <c r="AE573" s="870"/>
      <c r="AF573" s="870"/>
      <c r="AG573" s="870"/>
    </row>
    <row r="574" spans="1:33" s="995" customFormat="1">
      <c r="A574" s="974"/>
      <c r="D574" s="876"/>
      <c r="E574" s="974"/>
      <c r="F574" s="876"/>
      <c r="G574" s="876"/>
      <c r="H574" s="876"/>
      <c r="I574" s="876"/>
      <c r="J574" s="876"/>
      <c r="K574" s="876"/>
      <c r="L574" s="876"/>
      <c r="M574" s="876"/>
      <c r="N574" s="876"/>
      <c r="O574" s="876"/>
      <c r="P574" s="876"/>
      <c r="Q574" s="870"/>
      <c r="R574" s="870"/>
      <c r="S574" s="870"/>
      <c r="T574" s="870"/>
      <c r="U574" s="870"/>
      <c r="V574" s="870"/>
      <c r="W574" s="870"/>
      <c r="X574" s="870"/>
      <c r="Y574" s="870"/>
      <c r="Z574" s="870"/>
      <c r="AA574" s="870"/>
      <c r="AB574" s="870"/>
      <c r="AC574" s="870"/>
      <c r="AD574" s="870"/>
      <c r="AE574" s="870"/>
      <c r="AF574" s="870"/>
      <c r="AG574" s="870"/>
    </row>
    <row r="575" spans="1:33" s="995" customFormat="1">
      <c r="A575" s="974"/>
      <c r="D575" s="876"/>
      <c r="E575" s="974"/>
      <c r="F575" s="876"/>
      <c r="G575" s="876"/>
      <c r="H575" s="876"/>
      <c r="I575" s="876"/>
      <c r="J575" s="876"/>
      <c r="K575" s="876"/>
      <c r="L575" s="876"/>
      <c r="M575" s="876"/>
      <c r="N575" s="876"/>
      <c r="O575" s="876"/>
      <c r="P575" s="876"/>
      <c r="Q575" s="870"/>
      <c r="R575" s="870"/>
      <c r="S575" s="870"/>
      <c r="T575" s="870"/>
      <c r="U575" s="870"/>
      <c r="V575" s="870"/>
      <c r="W575" s="870"/>
      <c r="X575" s="870"/>
      <c r="Y575" s="870"/>
      <c r="Z575" s="870"/>
      <c r="AA575" s="870"/>
      <c r="AB575" s="870"/>
      <c r="AC575" s="870"/>
      <c r="AD575" s="870"/>
      <c r="AE575" s="870"/>
      <c r="AF575" s="870"/>
      <c r="AG575" s="870"/>
    </row>
    <row r="576" spans="1:33" s="995" customFormat="1">
      <c r="A576" s="974"/>
      <c r="D576" s="876"/>
      <c r="E576" s="974"/>
      <c r="F576" s="876"/>
      <c r="G576" s="876"/>
      <c r="H576" s="876"/>
      <c r="I576" s="876"/>
      <c r="J576" s="876"/>
      <c r="K576" s="876"/>
      <c r="L576" s="876"/>
      <c r="M576" s="876"/>
      <c r="N576" s="876"/>
      <c r="O576" s="876"/>
      <c r="P576" s="876"/>
      <c r="Q576" s="870"/>
      <c r="R576" s="870"/>
      <c r="S576" s="870"/>
      <c r="T576" s="870"/>
      <c r="U576" s="870"/>
      <c r="V576" s="870"/>
      <c r="W576" s="870"/>
      <c r="X576" s="870"/>
      <c r="Y576" s="870"/>
      <c r="Z576" s="870"/>
      <c r="AA576" s="870"/>
      <c r="AB576" s="870"/>
      <c r="AC576" s="870"/>
      <c r="AD576" s="870"/>
      <c r="AE576" s="870"/>
      <c r="AF576" s="870"/>
      <c r="AG576" s="870"/>
    </row>
    <row r="577" spans="1:33" s="995" customFormat="1">
      <c r="A577" s="974"/>
      <c r="D577" s="876"/>
      <c r="E577" s="974"/>
      <c r="F577" s="876"/>
      <c r="G577" s="876"/>
      <c r="H577" s="876"/>
      <c r="I577" s="876"/>
      <c r="J577" s="876"/>
      <c r="K577" s="876"/>
      <c r="L577" s="876"/>
      <c r="M577" s="876"/>
      <c r="N577" s="876"/>
      <c r="O577" s="876"/>
      <c r="P577" s="876"/>
      <c r="Q577" s="870"/>
      <c r="R577" s="870"/>
      <c r="S577" s="870"/>
      <c r="T577" s="870"/>
      <c r="U577" s="870"/>
      <c r="V577" s="870"/>
      <c r="W577" s="870"/>
      <c r="X577" s="870"/>
      <c r="Y577" s="870"/>
      <c r="Z577" s="870"/>
      <c r="AA577" s="870"/>
      <c r="AB577" s="870"/>
      <c r="AC577" s="870"/>
      <c r="AD577" s="870"/>
      <c r="AE577" s="870"/>
      <c r="AF577" s="870"/>
      <c r="AG577" s="870"/>
    </row>
    <row r="578" spans="1:33" s="995" customFormat="1">
      <c r="A578" s="974"/>
      <c r="D578" s="876"/>
      <c r="E578" s="974"/>
      <c r="F578" s="876"/>
      <c r="G578" s="876"/>
      <c r="H578" s="876"/>
      <c r="I578" s="876"/>
      <c r="J578" s="876"/>
      <c r="K578" s="876"/>
      <c r="L578" s="876"/>
      <c r="M578" s="876"/>
      <c r="N578" s="876"/>
      <c r="O578" s="876"/>
      <c r="P578" s="876"/>
      <c r="Q578" s="870"/>
      <c r="R578" s="870"/>
      <c r="S578" s="870"/>
      <c r="T578" s="870"/>
      <c r="U578" s="870"/>
      <c r="V578" s="870"/>
      <c r="W578" s="870"/>
      <c r="X578" s="870"/>
      <c r="Y578" s="870"/>
      <c r="Z578" s="870"/>
      <c r="AA578" s="870"/>
      <c r="AB578" s="870"/>
      <c r="AC578" s="870"/>
      <c r="AD578" s="870"/>
      <c r="AE578" s="870"/>
      <c r="AF578" s="870"/>
      <c r="AG578" s="870"/>
    </row>
    <row r="579" spans="1:33" s="995" customFormat="1">
      <c r="A579" s="974"/>
      <c r="D579" s="876"/>
      <c r="E579" s="974"/>
      <c r="F579" s="876"/>
      <c r="G579" s="876"/>
      <c r="H579" s="876"/>
      <c r="I579" s="876"/>
      <c r="J579" s="876"/>
      <c r="K579" s="876"/>
      <c r="L579" s="876"/>
      <c r="M579" s="876"/>
      <c r="N579" s="876"/>
      <c r="O579" s="876"/>
      <c r="P579" s="876"/>
      <c r="Q579" s="870"/>
      <c r="R579" s="870"/>
      <c r="S579" s="870"/>
      <c r="T579" s="870"/>
      <c r="U579" s="870"/>
      <c r="V579" s="870"/>
      <c r="W579" s="870"/>
      <c r="X579" s="870"/>
      <c r="Y579" s="870"/>
      <c r="Z579" s="870"/>
      <c r="AA579" s="870"/>
      <c r="AB579" s="870"/>
      <c r="AC579" s="870"/>
      <c r="AD579" s="870"/>
      <c r="AE579" s="870"/>
      <c r="AF579" s="870"/>
      <c r="AG579" s="870"/>
    </row>
    <row r="580" spans="1:33" s="995" customFormat="1">
      <c r="A580" s="974"/>
      <c r="D580" s="876"/>
      <c r="E580" s="974"/>
      <c r="F580" s="876"/>
      <c r="G580" s="876"/>
      <c r="H580" s="876"/>
      <c r="I580" s="876"/>
      <c r="J580" s="876"/>
      <c r="K580" s="876"/>
      <c r="L580" s="876"/>
      <c r="M580" s="876"/>
      <c r="N580" s="876"/>
      <c r="O580" s="876"/>
      <c r="P580" s="876"/>
      <c r="Q580" s="870"/>
      <c r="R580" s="870"/>
      <c r="S580" s="870"/>
      <c r="T580" s="870"/>
      <c r="U580" s="870"/>
      <c r="V580" s="870"/>
      <c r="W580" s="870"/>
      <c r="X580" s="870"/>
      <c r="Y580" s="870"/>
      <c r="Z580" s="870"/>
      <c r="AA580" s="870"/>
      <c r="AB580" s="870"/>
      <c r="AC580" s="870"/>
      <c r="AD580" s="870"/>
      <c r="AE580" s="870"/>
      <c r="AF580" s="870"/>
      <c r="AG580" s="870"/>
    </row>
    <row r="581" spans="1:33" s="995" customFormat="1">
      <c r="A581" s="974"/>
      <c r="D581" s="876"/>
      <c r="E581" s="974"/>
      <c r="F581" s="876"/>
      <c r="G581" s="876"/>
      <c r="H581" s="876"/>
      <c r="I581" s="876"/>
      <c r="J581" s="876"/>
      <c r="K581" s="876"/>
      <c r="L581" s="876"/>
      <c r="M581" s="876"/>
      <c r="N581" s="876"/>
      <c r="O581" s="876"/>
      <c r="P581" s="876"/>
      <c r="Q581" s="870"/>
      <c r="R581" s="870"/>
      <c r="S581" s="870"/>
      <c r="T581" s="870"/>
      <c r="U581" s="870"/>
      <c r="V581" s="870"/>
      <c r="W581" s="870"/>
      <c r="X581" s="870"/>
      <c r="Y581" s="870"/>
      <c r="Z581" s="870"/>
      <c r="AA581" s="870"/>
      <c r="AB581" s="870"/>
      <c r="AC581" s="870"/>
      <c r="AD581" s="870"/>
      <c r="AE581" s="870"/>
      <c r="AF581" s="870"/>
      <c r="AG581" s="870"/>
    </row>
    <row r="582" spans="1:33" s="995" customFormat="1">
      <c r="A582" s="974"/>
      <c r="D582" s="876"/>
      <c r="E582" s="974"/>
      <c r="F582" s="876"/>
      <c r="G582" s="876"/>
      <c r="H582" s="876"/>
      <c r="I582" s="876"/>
      <c r="J582" s="876"/>
      <c r="K582" s="876"/>
      <c r="L582" s="876"/>
      <c r="M582" s="876"/>
      <c r="N582" s="876"/>
      <c r="O582" s="876"/>
      <c r="P582" s="876"/>
      <c r="Q582" s="870"/>
      <c r="R582" s="870"/>
      <c r="S582" s="870"/>
      <c r="T582" s="870"/>
      <c r="U582" s="870"/>
      <c r="V582" s="870"/>
      <c r="W582" s="870"/>
      <c r="X582" s="870"/>
      <c r="Y582" s="870"/>
      <c r="Z582" s="870"/>
      <c r="AA582" s="870"/>
      <c r="AB582" s="870"/>
      <c r="AC582" s="870"/>
      <c r="AD582" s="870"/>
      <c r="AE582" s="870"/>
      <c r="AF582" s="870"/>
      <c r="AG582" s="870"/>
    </row>
    <row r="583" spans="1:33" s="995" customFormat="1">
      <c r="A583" s="974"/>
      <c r="D583" s="876"/>
      <c r="E583" s="974"/>
      <c r="F583" s="876"/>
      <c r="G583" s="876"/>
      <c r="H583" s="876"/>
      <c r="I583" s="876"/>
      <c r="J583" s="876"/>
      <c r="K583" s="876"/>
      <c r="L583" s="876"/>
      <c r="M583" s="876"/>
      <c r="N583" s="876"/>
      <c r="O583" s="876"/>
      <c r="P583" s="876"/>
      <c r="Q583" s="870"/>
      <c r="R583" s="870"/>
      <c r="S583" s="870"/>
      <c r="T583" s="870"/>
      <c r="U583" s="870"/>
      <c r="V583" s="870"/>
      <c r="W583" s="870"/>
      <c r="X583" s="870"/>
      <c r="Y583" s="870"/>
      <c r="Z583" s="870"/>
      <c r="AA583" s="870"/>
      <c r="AB583" s="870"/>
      <c r="AC583" s="870"/>
      <c r="AD583" s="870"/>
      <c r="AE583" s="870"/>
      <c r="AF583" s="870"/>
      <c r="AG583" s="870"/>
    </row>
    <row r="584" spans="1:33" s="995" customFormat="1">
      <c r="A584" s="974"/>
      <c r="D584" s="876"/>
      <c r="E584" s="974"/>
      <c r="F584" s="876"/>
      <c r="G584" s="876"/>
      <c r="H584" s="876"/>
      <c r="I584" s="876"/>
      <c r="J584" s="876"/>
      <c r="K584" s="876"/>
      <c r="L584" s="876"/>
      <c r="M584" s="876"/>
      <c r="N584" s="876"/>
      <c r="O584" s="876"/>
      <c r="P584" s="876"/>
      <c r="Q584" s="870"/>
      <c r="R584" s="870"/>
      <c r="S584" s="870"/>
      <c r="T584" s="870"/>
      <c r="U584" s="870"/>
      <c r="V584" s="870"/>
      <c r="W584" s="870"/>
      <c r="X584" s="870"/>
      <c r="Y584" s="870"/>
      <c r="Z584" s="870"/>
      <c r="AA584" s="870"/>
      <c r="AB584" s="870"/>
      <c r="AC584" s="870"/>
      <c r="AD584" s="870"/>
      <c r="AE584" s="870"/>
      <c r="AF584" s="870"/>
      <c r="AG584" s="870"/>
    </row>
    <row r="585" spans="1:33" s="995" customFormat="1">
      <c r="A585" s="974"/>
      <c r="D585" s="876"/>
      <c r="E585" s="974"/>
      <c r="F585" s="876"/>
      <c r="G585" s="876"/>
      <c r="H585" s="876"/>
      <c r="I585" s="876"/>
      <c r="J585" s="876"/>
      <c r="K585" s="876"/>
      <c r="L585" s="876"/>
      <c r="M585" s="876"/>
      <c r="N585" s="876"/>
      <c r="O585" s="876"/>
      <c r="P585" s="876"/>
      <c r="Q585" s="870"/>
      <c r="R585" s="870"/>
      <c r="S585" s="870"/>
      <c r="T585" s="870"/>
      <c r="U585" s="870"/>
      <c r="V585" s="870"/>
      <c r="W585" s="870"/>
      <c r="X585" s="870"/>
      <c r="Y585" s="870"/>
      <c r="Z585" s="870"/>
      <c r="AA585" s="870"/>
      <c r="AB585" s="870"/>
      <c r="AC585" s="870"/>
      <c r="AD585" s="870"/>
      <c r="AE585" s="870"/>
      <c r="AF585" s="870"/>
      <c r="AG585" s="870"/>
    </row>
    <row r="586" spans="1:33" s="995" customFormat="1">
      <c r="A586" s="974"/>
      <c r="D586" s="876"/>
      <c r="E586" s="974"/>
      <c r="F586" s="876"/>
      <c r="G586" s="876"/>
      <c r="H586" s="876"/>
      <c r="I586" s="876"/>
      <c r="J586" s="876"/>
      <c r="K586" s="876"/>
      <c r="L586" s="876"/>
      <c r="M586" s="876"/>
      <c r="N586" s="876"/>
      <c r="O586" s="876"/>
      <c r="P586" s="876"/>
      <c r="Q586" s="870"/>
      <c r="R586" s="870"/>
      <c r="S586" s="870"/>
      <c r="T586" s="870"/>
      <c r="U586" s="870"/>
      <c r="V586" s="870"/>
      <c r="W586" s="870"/>
      <c r="X586" s="870"/>
      <c r="Y586" s="870"/>
      <c r="Z586" s="870"/>
      <c r="AA586" s="870"/>
      <c r="AB586" s="870"/>
      <c r="AC586" s="870"/>
      <c r="AD586" s="870"/>
      <c r="AE586" s="870"/>
      <c r="AF586" s="870"/>
      <c r="AG586" s="870"/>
    </row>
    <row r="587" spans="1:33" s="995" customFormat="1">
      <c r="A587" s="974"/>
      <c r="D587" s="876"/>
      <c r="E587" s="974"/>
      <c r="F587" s="876"/>
      <c r="G587" s="876"/>
      <c r="H587" s="876"/>
      <c r="I587" s="876"/>
      <c r="J587" s="876"/>
      <c r="K587" s="876"/>
      <c r="L587" s="876"/>
      <c r="M587" s="876"/>
      <c r="N587" s="876"/>
      <c r="O587" s="876"/>
      <c r="P587" s="876"/>
      <c r="Q587" s="870"/>
      <c r="R587" s="870"/>
      <c r="S587" s="870"/>
      <c r="T587" s="870"/>
      <c r="U587" s="870"/>
      <c r="V587" s="870"/>
      <c r="W587" s="870"/>
      <c r="X587" s="870"/>
      <c r="Y587" s="870"/>
      <c r="Z587" s="870"/>
      <c r="AA587" s="870"/>
      <c r="AB587" s="870"/>
      <c r="AC587" s="870"/>
      <c r="AD587" s="870"/>
      <c r="AE587" s="870"/>
      <c r="AF587" s="870"/>
      <c r="AG587" s="870"/>
    </row>
    <row r="588" spans="1:33" s="995" customFormat="1">
      <c r="A588" s="974"/>
      <c r="D588" s="876"/>
      <c r="E588" s="974"/>
      <c r="F588" s="876"/>
      <c r="G588" s="876"/>
      <c r="H588" s="876"/>
      <c r="I588" s="876"/>
      <c r="J588" s="876"/>
      <c r="K588" s="876"/>
      <c r="L588" s="876"/>
      <c r="M588" s="876"/>
      <c r="N588" s="876"/>
      <c r="O588" s="876"/>
      <c r="P588" s="876"/>
      <c r="Q588" s="870"/>
      <c r="R588" s="870"/>
      <c r="S588" s="870"/>
      <c r="T588" s="870"/>
      <c r="U588" s="870"/>
      <c r="V588" s="870"/>
      <c r="W588" s="870"/>
      <c r="X588" s="870"/>
      <c r="Y588" s="870"/>
      <c r="Z588" s="870"/>
      <c r="AA588" s="870"/>
      <c r="AB588" s="870"/>
      <c r="AC588" s="870"/>
      <c r="AD588" s="870"/>
      <c r="AE588" s="870"/>
      <c r="AF588" s="870"/>
      <c r="AG588" s="870"/>
    </row>
    <row r="589" spans="1:33" s="995" customFormat="1">
      <c r="A589" s="974"/>
      <c r="D589" s="876"/>
      <c r="E589" s="974"/>
      <c r="F589" s="876"/>
      <c r="G589" s="876"/>
      <c r="H589" s="876"/>
      <c r="I589" s="876"/>
      <c r="J589" s="876"/>
      <c r="K589" s="876"/>
      <c r="L589" s="876"/>
      <c r="M589" s="876"/>
      <c r="N589" s="876"/>
      <c r="O589" s="876"/>
      <c r="P589" s="876"/>
      <c r="Q589" s="870"/>
      <c r="R589" s="870"/>
      <c r="S589" s="870"/>
      <c r="T589" s="870"/>
      <c r="U589" s="870"/>
      <c r="V589" s="870"/>
      <c r="W589" s="870"/>
      <c r="X589" s="870"/>
      <c r="Y589" s="870"/>
      <c r="Z589" s="870"/>
      <c r="AA589" s="870"/>
      <c r="AB589" s="870"/>
      <c r="AC589" s="870"/>
      <c r="AD589" s="870"/>
      <c r="AE589" s="870"/>
      <c r="AF589" s="870"/>
      <c r="AG589" s="870"/>
    </row>
    <row r="590" spans="1:33" s="995" customFormat="1">
      <c r="A590" s="974"/>
      <c r="D590" s="876"/>
      <c r="E590" s="974"/>
      <c r="F590" s="876"/>
      <c r="G590" s="876"/>
      <c r="H590" s="876"/>
      <c r="I590" s="876"/>
      <c r="J590" s="876"/>
      <c r="K590" s="876"/>
      <c r="L590" s="876"/>
      <c r="M590" s="876"/>
      <c r="N590" s="876"/>
      <c r="O590" s="876"/>
      <c r="P590" s="876"/>
      <c r="Q590" s="870"/>
      <c r="R590" s="870"/>
      <c r="S590" s="870"/>
      <c r="T590" s="870"/>
      <c r="U590" s="870"/>
      <c r="V590" s="870"/>
      <c r="W590" s="870"/>
      <c r="X590" s="870"/>
      <c r="Y590" s="870"/>
      <c r="Z590" s="870"/>
      <c r="AA590" s="870"/>
      <c r="AB590" s="870"/>
      <c r="AC590" s="870"/>
      <c r="AD590" s="870"/>
      <c r="AE590" s="870"/>
      <c r="AF590" s="870"/>
      <c r="AG590" s="870"/>
    </row>
    <row r="591" spans="1:33" s="995" customFormat="1">
      <c r="A591" s="974"/>
      <c r="D591" s="876"/>
      <c r="E591" s="974"/>
      <c r="F591" s="876"/>
      <c r="G591" s="876"/>
      <c r="H591" s="876"/>
      <c r="I591" s="876"/>
      <c r="J591" s="876"/>
      <c r="K591" s="876"/>
      <c r="L591" s="876"/>
      <c r="M591" s="876"/>
      <c r="N591" s="876"/>
      <c r="O591" s="876"/>
      <c r="P591" s="876"/>
      <c r="Q591" s="870"/>
      <c r="R591" s="870"/>
      <c r="S591" s="870"/>
      <c r="T591" s="870"/>
      <c r="U591" s="870"/>
      <c r="V591" s="870"/>
      <c r="W591" s="870"/>
      <c r="X591" s="870"/>
      <c r="Y591" s="870"/>
      <c r="Z591" s="870"/>
      <c r="AA591" s="870"/>
      <c r="AB591" s="870"/>
      <c r="AC591" s="870"/>
      <c r="AD591" s="870"/>
      <c r="AE591" s="870"/>
      <c r="AF591" s="870"/>
      <c r="AG591" s="870"/>
    </row>
    <row r="592" spans="1:33" s="995" customFormat="1">
      <c r="A592" s="974"/>
      <c r="D592" s="876"/>
      <c r="E592" s="974"/>
      <c r="F592" s="876"/>
      <c r="G592" s="876"/>
      <c r="H592" s="876"/>
      <c r="I592" s="876"/>
      <c r="J592" s="876"/>
      <c r="K592" s="876"/>
      <c r="L592" s="876"/>
      <c r="M592" s="876"/>
      <c r="N592" s="876"/>
      <c r="O592" s="876"/>
      <c r="P592" s="876"/>
      <c r="Q592" s="870"/>
      <c r="R592" s="870"/>
      <c r="S592" s="870"/>
      <c r="T592" s="870"/>
      <c r="U592" s="870"/>
      <c r="V592" s="870"/>
      <c r="W592" s="870"/>
      <c r="X592" s="870"/>
      <c r="Y592" s="870"/>
      <c r="Z592" s="870"/>
      <c r="AA592" s="870"/>
      <c r="AB592" s="870"/>
      <c r="AC592" s="870"/>
      <c r="AD592" s="870"/>
      <c r="AE592" s="870"/>
      <c r="AF592" s="870"/>
      <c r="AG592" s="870"/>
    </row>
    <row r="593" spans="1:33" s="995" customFormat="1">
      <c r="A593" s="974"/>
      <c r="D593" s="876"/>
      <c r="E593" s="974"/>
      <c r="F593" s="876"/>
      <c r="G593" s="876"/>
      <c r="H593" s="876"/>
      <c r="I593" s="876"/>
      <c r="J593" s="876"/>
      <c r="K593" s="876"/>
      <c r="L593" s="876"/>
      <c r="M593" s="876"/>
      <c r="N593" s="876"/>
      <c r="O593" s="876"/>
      <c r="P593" s="876"/>
      <c r="Q593" s="870"/>
      <c r="R593" s="870"/>
      <c r="S593" s="870"/>
      <c r="T593" s="870"/>
      <c r="U593" s="870"/>
      <c r="V593" s="870"/>
      <c r="W593" s="870"/>
      <c r="X593" s="870"/>
      <c r="Y593" s="870"/>
      <c r="Z593" s="870"/>
      <c r="AA593" s="870"/>
      <c r="AB593" s="870"/>
      <c r="AC593" s="870"/>
      <c r="AD593" s="870"/>
      <c r="AE593" s="870"/>
      <c r="AF593" s="870"/>
      <c r="AG593" s="870"/>
    </row>
    <row r="594" spans="1:33" s="995" customFormat="1">
      <c r="A594" s="974"/>
      <c r="D594" s="876"/>
      <c r="E594" s="974"/>
      <c r="F594" s="876"/>
      <c r="G594" s="876"/>
      <c r="H594" s="876"/>
      <c r="I594" s="876"/>
      <c r="J594" s="876"/>
      <c r="K594" s="876"/>
      <c r="L594" s="876"/>
      <c r="M594" s="876"/>
      <c r="N594" s="876"/>
      <c r="O594" s="876"/>
      <c r="P594" s="876"/>
      <c r="Q594" s="870"/>
      <c r="R594" s="870"/>
      <c r="S594" s="870"/>
      <c r="T594" s="870"/>
      <c r="U594" s="870"/>
      <c r="V594" s="870"/>
      <c r="W594" s="870"/>
      <c r="X594" s="870"/>
      <c r="Y594" s="870"/>
      <c r="Z594" s="870"/>
      <c r="AA594" s="870"/>
      <c r="AB594" s="870"/>
      <c r="AC594" s="870"/>
      <c r="AD594" s="870"/>
      <c r="AE594" s="870"/>
      <c r="AF594" s="870"/>
      <c r="AG594" s="870"/>
    </row>
    <row r="595" spans="1:33" s="995" customFormat="1">
      <c r="A595" s="974"/>
      <c r="D595" s="876"/>
      <c r="E595" s="974"/>
      <c r="F595" s="876"/>
      <c r="G595" s="876"/>
      <c r="H595" s="876"/>
      <c r="I595" s="876"/>
      <c r="J595" s="876"/>
      <c r="K595" s="876"/>
      <c r="L595" s="876"/>
      <c r="M595" s="876"/>
      <c r="N595" s="876"/>
      <c r="O595" s="876"/>
      <c r="P595" s="876"/>
      <c r="Q595" s="870"/>
      <c r="R595" s="870"/>
      <c r="S595" s="870"/>
      <c r="T595" s="870"/>
      <c r="U595" s="870"/>
      <c r="V595" s="870"/>
      <c r="W595" s="870"/>
      <c r="X595" s="870"/>
      <c r="Y595" s="870"/>
      <c r="Z595" s="870"/>
      <c r="AA595" s="870"/>
      <c r="AB595" s="870"/>
      <c r="AC595" s="870"/>
      <c r="AD595" s="870"/>
      <c r="AE595" s="870"/>
      <c r="AF595" s="870"/>
      <c r="AG595" s="870"/>
    </row>
    <row r="596" spans="1:33" s="995" customFormat="1">
      <c r="A596" s="974"/>
      <c r="D596" s="876"/>
      <c r="E596" s="974"/>
      <c r="F596" s="876"/>
      <c r="G596" s="876"/>
      <c r="H596" s="876"/>
      <c r="I596" s="876"/>
      <c r="J596" s="876"/>
      <c r="K596" s="876"/>
      <c r="L596" s="876"/>
      <c r="M596" s="876"/>
      <c r="N596" s="876"/>
      <c r="O596" s="876"/>
      <c r="P596" s="876"/>
      <c r="Q596" s="870"/>
      <c r="R596" s="870"/>
      <c r="S596" s="870"/>
      <c r="T596" s="870"/>
      <c r="U596" s="870"/>
      <c r="V596" s="870"/>
      <c r="W596" s="870"/>
      <c r="X596" s="870"/>
      <c r="Y596" s="870"/>
      <c r="Z596" s="870"/>
      <c r="AA596" s="870"/>
      <c r="AB596" s="870"/>
      <c r="AC596" s="870"/>
      <c r="AD596" s="870"/>
      <c r="AE596" s="870"/>
      <c r="AF596" s="870"/>
      <c r="AG596" s="870"/>
    </row>
    <row r="597" spans="1:33" s="995" customFormat="1">
      <c r="A597" s="974"/>
      <c r="D597" s="876"/>
      <c r="E597" s="974"/>
      <c r="F597" s="876"/>
      <c r="G597" s="876"/>
      <c r="H597" s="876"/>
      <c r="I597" s="876"/>
      <c r="J597" s="876"/>
      <c r="K597" s="876"/>
      <c r="L597" s="876"/>
      <c r="M597" s="876"/>
      <c r="N597" s="876"/>
      <c r="O597" s="876"/>
      <c r="P597" s="876"/>
      <c r="Q597" s="870"/>
      <c r="R597" s="870"/>
      <c r="S597" s="870"/>
      <c r="T597" s="870"/>
      <c r="U597" s="870"/>
      <c r="V597" s="870"/>
      <c r="W597" s="870"/>
      <c r="X597" s="870"/>
      <c r="Y597" s="870"/>
      <c r="Z597" s="870"/>
      <c r="AA597" s="870"/>
      <c r="AB597" s="870"/>
      <c r="AC597" s="870"/>
      <c r="AD597" s="870"/>
      <c r="AE597" s="870"/>
      <c r="AF597" s="870"/>
      <c r="AG597" s="870"/>
    </row>
    <row r="598" spans="1:33" s="995" customFormat="1">
      <c r="A598" s="974"/>
      <c r="D598" s="876"/>
      <c r="E598" s="974"/>
      <c r="F598" s="876"/>
      <c r="G598" s="876"/>
      <c r="H598" s="876"/>
      <c r="I598" s="876"/>
      <c r="J598" s="876"/>
      <c r="K598" s="876"/>
      <c r="L598" s="876"/>
      <c r="M598" s="876"/>
      <c r="N598" s="876"/>
      <c r="O598" s="876"/>
      <c r="P598" s="876"/>
      <c r="Q598" s="870"/>
      <c r="R598" s="870"/>
      <c r="S598" s="870"/>
      <c r="T598" s="870"/>
      <c r="U598" s="870"/>
      <c r="V598" s="870"/>
      <c r="W598" s="870"/>
      <c r="X598" s="870"/>
      <c r="Y598" s="870"/>
      <c r="Z598" s="870"/>
      <c r="AA598" s="870"/>
      <c r="AB598" s="870"/>
      <c r="AC598" s="870"/>
      <c r="AD598" s="870"/>
      <c r="AE598" s="870"/>
      <c r="AF598" s="870"/>
      <c r="AG598" s="870"/>
    </row>
    <row r="599" spans="1:33" s="995" customFormat="1">
      <c r="A599" s="974"/>
      <c r="D599" s="876"/>
      <c r="E599" s="974"/>
      <c r="F599" s="876"/>
      <c r="G599" s="876"/>
      <c r="H599" s="876"/>
      <c r="I599" s="876"/>
      <c r="J599" s="876"/>
      <c r="K599" s="876"/>
      <c r="L599" s="876"/>
      <c r="M599" s="876"/>
      <c r="N599" s="876"/>
      <c r="O599" s="876"/>
      <c r="P599" s="876"/>
      <c r="Q599" s="870"/>
      <c r="R599" s="870"/>
      <c r="S599" s="870"/>
      <c r="T599" s="870"/>
      <c r="U599" s="870"/>
      <c r="V599" s="870"/>
      <c r="W599" s="870"/>
      <c r="X599" s="870"/>
      <c r="Y599" s="870"/>
      <c r="Z599" s="870"/>
      <c r="AA599" s="870"/>
      <c r="AB599" s="870"/>
      <c r="AC599" s="870"/>
      <c r="AD599" s="870"/>
      <c r="AE599" s="870"/>
      <c r="AF599" s="870"/>
      <c r="AG599" s="870"/>
    </row>
    <row r="600" spans="1:33" s="995" customFormat="1">
      <c r="A600" s="974"/>
      <c r="D600" s="876"/>
      <c r="E600" s="974"/>
      <c r="F600" s="876"/>
      <c r="G600" s="876"/>
      <c r="H600" s="876"/>
      <c r="I600" s="876"/>
      <c r="J600" s="876"/>
      <c r="K600" s="876"/>
      <c r="L600" s="876"/>
      <c r="M600" s="876"/>
      <c r="N600" s="876"/>
      <c r="O600" s="876"/>
      <c r="P600" s="876"/>
      <c r="Q600" s="870"/>
      <c r="R600" s="870"/>
      <c r="S600" s="870"/>
      <c r="T600" s="870"/>
      <c r="U600" s="870"/>
      <c r="V600" s="870"/>
      <c r="W600" s="870"/>
      <c r="X600" s="870"/>
      <c r="Y600" s="870"/>
      <c r="Z600" s="870"/>
      <c r="AA600" s="870"/>
      <c r="AB600" s="870"/>
      <c r="AC600" s="870"/>
      <c r="AD600" s="870"/>
      <c r="AE600" s="870"/>
      <c r="AF600" s="870"/>
      <c r="AG600" s="870"/>
    </row>
    <row r="601" spans="1:33" s="995" customFormat="1">
      <c r="A601" s="974"/>
      <c r="D601" s="876"/>
      <c r="E601" s="974"/>
      <c r="F601" s="876"/>
      <c r="G601" s="876"/>
      <c r="H601" s="876"/>
      <c r="I601" s="876"/>
      <c r="J601" s="876"/>
      <c r="K601" s="876"/>
      <c r="L601" s="876"/>
      <c r="M601" s="876"/>
      <c r="N601" s="876"/>
      <c r="O601" s="876"/>
      <c r="P601" s="876"/>
      <c r="Q601" s="870"/>
      <c r="R601" s="870"/>
      <c r="S601" s="870"/>
      <c r="T601" s="870"/>
      <c r="U601" s="870"/>
      <c r="V601" s="870"/>
      <c r="W601" s="870"/>
      <c r="X601" s="870"/>
      <c r="Y601" s="870"/>
      <c r="Z601" s="870"/>
      <c r="AA601" s="870"/>
      <c r="AB601" s="870"/>
      <c r="AC601" s="870"/>
      <c r="AD601" s="870"/>
      <c r="AE601" s="870"/>
      <c r="AF601" s="870"/>
      <c r="AG601" s="870"/>
    </row>
    <row r="602" spans="1:33" s="995" customFormat="1">
      <c r="A602" s="974"/>
      <c r="D602" s="876"/>
      <c r="E602" s="974"/>
      <c r="F602" s="876"/>
      <c r="G602" s="876"/>
      <c r="H602" s="876"/>
      <c r="I602" s="876"/>
      <c r="J602" s="876"/>
      <c r="K602" s="876"/>
      <c r="L602" s="876"/>
      <c r="M602" s="876"/>
      <c r="N602" s="876"/>
      <c r="O602" s="876"/>
      <c r="P602" s="876"/>
      <c r="Q602" s="870"/>
      <c r="R602" s="870"/>
      <c r="S602" s="870"/>
      <c r="T602" s="870"/>
      <c r="U602" s="870"/>
      <c r="V602" s="870"/>
      <c r="W602" s="870"/>
      <c r="X602" s="870"/>
      <c r="Y602" s="870"/>
      <c r="Z602" s="870"/>
      <c r="AA602" s="870"/>
      <c r="AB602" s="870"/>
      <c r="AC602" s="870"/>
      <c r="AD602" s="870"/>
      <c r="AE602" s="870"/>
      <c r="AF602" s="870"/>
      <c r="AG602" s="870"/>
    </row>
    <row r="603" spans="1:33" s="995" customFormat="1">
      <c r="A603" s="974"/>
      <c r="D603" s="876"/>
      <c r="E603" s="974"/>
      <c r="F603" s="876"/>
      <c r="G603" s="876"/>
      <c r="H603" s="876"/>
      <c r="I603" s="876"/>
      <c r="J603" s="876"/>
      <c r="K603" s="876"/>
      <c r="L603" s="876"/>
      <c r="M603" s="876"/>
      <c r="N603" s="876"/>
      <c r="O603" s="876"/>
      <c r="P603" s="876"/>
      <c r="Q603" s="870"/>
      <c r="R603" s="870"/>
      <c r="S603" s="870"/>
      <c r="T603" s="870"/>
      <c r="U603" s="870"/>
      <c r="V603" s="870"/>
      <c r="W603" s="870"/>
      <c r="X603" s="870"/>
      <c r="Y603" s="870"/>
      <c r="Z603" s="870"/>
      <c r="AA603" s="870"/>
      <c r="AB603" s="870"/>
      <c r="AC603" s="870"/>
      <c r="AD603" s="870"/>
      <c r="AE603" s="870"/>
      <c r="AF603" s="870"/>
      <c r="AG603" s="870"/>
    </row>
    <row r="604" spans="1:33" s="995" customFormat="1">
      <c r="A604" s="974"/>
      <c r="D604" s="876"/>
      <c r="E604" s="974"/>
      <c r="F604" s="876"/>
      <c r="G604" s="876"/>
      <c r="H604" s="876"/>
      <c r="I604" s="876"/>
      <c r="J604" s="876"/>
      <c r="K604" s="876"/>
      <c r="L604" s="876"/>
      <c r="M604" s="876"/>
      <c r="N604" s="876"/>
      <c r="O604" s="876"/>
      <c r="P604" s="876"/>
      <c r="Q604" s="870"/>
      <c r="R604" s="870"/>
      <c r="S604" s="870"/>
      <c r="T604" s="870"/>
      <c r="U604" s="870"/>
      <c r="V604" s="870"/>
      <c r="W604" s="870"/>
      <c r="X604" s="870"/>
      <c r="Y604" s="870"/>
      <c r="Z604" s="870"/>
      <c r="AA604" s="870"/>
      <c r="AB604" s="870"/>
      <c r="AC604" s="870"/>
      <c r="AD604" s="870"/>
      <c r="AE604" s="870"/>
      <c r="AF604" s="870"/>
      <c r="AG604" s="870"/>
    </row>
    <row r="605" spans="1:33" s="995" customFormat="1">
      <c r="A605" s="974"/>
      <c r="D605" s="876"/>
      <c r="E605" s="974"/>
      <c r="F605" s="876"/>
      <c r="G605" s="876"/>
      <c r="H605" s="876"/>
      <c r="I605" s="876"/>
      <c r="J605" s="876"/>
      <c r="K605" s="876"/>
      <c r="L605" s="876"/>
      <c r="M605" s="876"/>
      <c r="N605" s="876"/>
      <c r="O605" s="876"/>
      <c r="P605" s="876"/>
      <c r="Q605" s="870"/>
      <c r="R605" s="870"/>
      <c r="S605" s="870"/>
      <c r="T605" s="870"/>
      <c r="U605" s="870"/>
      <c r="V605" s="870"/>
      <c r="W605" s="870"/>
      <c r="X605" s="870"/>
      <c r="Y605" s="870"/>
      <c r="Z605" s="870"/>
      <c r="AA605" s="870"/>
      <c r="AB605" s="870"/>
      <c r="AC605" s="870"/>
      <c r="AD605" s="870"/>
      <c r="AE605" s="870"/>
      <c r="AF605" s="870"/>
      <c r="AG605" s="870"/>
    </row>
    <row r="606" spans="1:33" s="995" customFormat="1">
      <c r="A606" s="974"/>
      <c r="D606" s="876"/>
      <c r="E606" s="974"/>
      <c r="F606" s="876"/>
      <c r="G606" s="876"/>
      <c r="H606" s="876"/>
      <c r="I606" s="876"/>
      <c r="J606" s="876"/>
      <c r="K606" s="876"/>
      <c r="L606" s="876"/>
      <c r="M606" s="876"/>
      <c r="N606" s="876"/>
      <c r="O606" s="876"/>
      <c r="P606" s="876"/>
      <c r="Q606" s="870"/>
      <c r="R606" s="870"/>
      <c r="S606" s="870"/>
      <c r="T606" s="870"/>
      <c r="U606" s="870"/>
      <c r="V606" s="870"/>
      <c r="W606" s="870"/>
      <c r="X606" s="870"/>
      <c r="Y606" s="870"/>
      <c r="Z606" s="870"/>
      <c r="AA606" s="870"/>
      <c r="AB606" s="870"/>
      <c r="AC606" s="870"/>
      <c r="AD606" s="870"/>
      <c r="AE606" s="870"/>
      <c r="AF606" s="870"/>
      <c r="AG606" s="870"/>
    </row>
    <row r="607" spans="1:33" s="995" customFormat="1">
      <c r="A607" s="974"/>
      <c r="D607" s="876"/>
      <c r="E607" s="974"/>
      <c r="F607" s="876"/>
      <c r="G607" s="876"/>
      <c r="H607" s="876"/>
      <c r="I607" s="876"/>
      <c r="J607" s="876"/>
      <c r="K607" s="876"/>
      <c r="L607" s="876"/>
      <c r="M607" s="876"/>
      <c r="N607" s="876"/>
      <c r="O607" s="876"/>
      <c r="P607" s="876"/>
      <c r="Q607" s="870"/>
      <c r="R607" s="870"/>
      <c r="S607" s="870"/>
      <c r="T607" s="870"/>
      <c r="U607" s="870"/>
      <c r="V607" s="870"/>
      <c r="W607" s="870"/>
      <c r="X607" s="870"/>
      <c r="Y607" s="870"/>
      <c r="Z607" s="870"/>
      <c r="AA607" s="870"/>
      <c r="AB607" s="870"/>
      <c r="AC607" s="870"/>
      <c r="AD607" s="870"/>
      <c r="AE607" s="870"/>
      <c r="AF607" s="870"/>
      <c r="AG607" s="870"/>
    </row>
    <row r="608" spans="1:33" s="995" customFormat="1">
      <c r="A608" s="974"/>
      <c r="D608" s="876"/>
      <c r="E608" s="974"/>
      <c r="F608" s="876"/>
      <c r="G608" s="876"/>
      <c r="H608" s="876"/>
      <c r="I608" s="876"/>
      <c r="J608" s="876"/>
      <c r="K608" s="876"/>
      <c r="L608" s="876"/>
      <c r="M608" s="876"/>
      <c r="N608" s="876"/>
      <c r="O608" s="876"/>
      <c r="P608" s="876"/>
      <c r="Q608" s="870"/>
      <c r="R608" s="870"/>
      <c r="S608" s="870"/>
      <c r="T608" s="870"/>
      <c r="U608" s="870"/>
      <c r="V608" s="870"/>
      <c r="W608" s="870"/>
      <c r="X608" s="870"/>
      <c r="Y608" s="870"/>
      <c r="Z608" s="870"/>
      <c r="AA608" s="870"/>
      <c r="AB608" s="870"/>
      <c r="AC608" s="870"/>
      <c r="AD608" s="870"/>
      <c r="AE608" s="870"/>
      <c r="AF608" s="870"/>
      <c r="AG608" s="870"/>
    </row>
    <row r="609" spans="1:33" s="995" customFormat="1">
      <c r="A609" s="974"/>
      <c r="D609" s="876"/>
      <c r="E609" s="974"/>
      <c r="F609" s="876"/>
      <c r="G609" s="876"/>
      <c r="H609" s="876"/>
      <c r="I609" s="876"/>
      <c r="J609" s="876"/>
      <c r="K609" s="876"/>
      <c r="L609" s="876"/>
      <c r="M609" s="876"/>
      <c r="N609" s="876"/>
      <c r="O609" s="876"/>
      <c r="P609" s="876"/>
      <c r="Q609" s="870"/>
      <c r="R609" s="870"/>
      <c r="S609" s="870"/>
      <c r="T609" s="870"/>
      <c r="U609" s="870"/>
      <c r="V609" s="870"/>
      <c r="W609" s="870"/>
      <c r="X609" s="870"/>
      <c r="Y609" s="870"/>
      <c r="Z609" s="870"/>
      <c r="AA609" s="870"/>
      <c r="AB609" s="870"/>
      <c r="AC609" s="870"/>
      <c r="AD609" s="870"/>
      <c r="AE609" s="870"/>
      <c r="AF609" s="870"/>
      <c r="AG609" s="870"/>
    </row>
    <row r="610" spans="1:33" s="995" customFormat="1">
      <c r="A610" s="974"/>
      <c r="D610" s="876"/>
      <c r="E610" s="974"/>
      <c r="F610" s="876"/>
      <c r="G610" s="876"/>
      <c r="H610" s="876"/>
      <c r="I610" s="876"/>
      <c r="J610" s="876"/>
      <c r="K610" s="876"/>
      <c r="L610" s="876"/>
      <c r="M610" s="876"/>
      <c r="N610" s="876"/>
      <c r="O610" s="876"/>
      <c r="P610" s="876"/>
      <c r="Q610" s="870"/>
      <c r="R610" s="870"/>
      <c r="S610" s="870"/>
      <c r="T610" s="870"/>
      <c r="U610" s="870"/>
      <c r="V610" s="870"/>
      <c r="W610" s="870"/>
      <c r="X610" s="870"/>
      <c r="Y610" s="870"/>
      <c r="Z610" s="870"/>
      <c r="AA610" s="870"/>
      <c r="AB610" s="870"/>
      <c r="AC610" s="870"/>
      <c r="AD610" s="870"/>
      <c r="AE610" s="870"/>
      <c r="AF610" s="870"/>
      <c r="AG610" s="870"/>
    </row>
    <row r="611" spans="1:33" s="995" customFormat="1">
      <c r="A611" s="974"/>
      <c r="D611" s="876"/>
      <c r="E611" s="974"/>
      <c r="F611" s="876"/>
      <c r="G611" s="876"/>
      <c r="H611" s="876"/>
      <c r="I611" s="876"/>
      <c r="J611" s="876"/>
      <c r="K611" s="876"/>
      <c r="L611" s="876"/>
      <c r="M611" s="876"/>
      <c r="N611" s="876"/>
      <c r="O611" s="876"/>
      <c r="P611" s="876"/>
      <c r="Q611" s="870"/>
      <c r="R611" s="870"/>
      <c r="S611" s="870"/>
      <c r="T611" s="870"/>
      <c r="U611" s="870"/>
      <c r="V611" s="870"/>
      <c r="W611" s="870"/>
      <c r="X611" s="870"/>
      <c r="Y611" s="870"/>
      <c r="Z611" s="870"/>
      <c r="AA611" s="870"/>
      <c r="AB611" s="870"/>
      <c r="AC611" s="870"/>
      <c r="AD611" s="870"/>
      <c r="AE611" s="870"/>
      <c r="AF611" s="870"/>
      <c r="AG611" s="870"/>
    </row>
    <row r="612" spans="1:33" s="995" customFormat="1">
      <c r="A612" s="974"/>
      <c r="D612" s="876"/>
      <c r="E612" s="974"/>
      <c r="F612" s="876"/>
      <c r="G612" s="876"/>
      <c r="H612" s="876"/>
      <c r="I612" s="876"/>
      <c r="J612" s="876"/>
      <c r="K612" s="876"/>
      <c r="L612" s="876"/>
      <c r="M612" s="876"/>
      <c r="N612" s="876"/>
      <c r="O612" s="876"/>
      <c r="P612" s="876"/>
      <c r="Q612" s="870"/>
      <c r="R612" s="870"/>
      <c r="S612" s="870"/>
      <c r="T612" s="870"/>
      <c r="U612" s="870"/>
      <c r="V612" s="870"/>
      <c r="W612" s="870"/>
      <c r="X612" s="870"/>
      <c r="Y612" s="870"/>
      <c r="Z612" s="870"/>
      <c r="AA612" s="870"/>
      <c r="AB612" s="870"/>
      <c r="AC612" s="870"/>
      <c r="AD612" s="870"/>
      <c r="AE612" s="870"/>
      <c r="AF612" s="870"/>
      <c r="AG612" s="870"/>
    </row>
    <row r="613" spans="1:33" s="995" customFormat="1">
      <c r="A613" s="974"/>
      <c r="D613" s="876"/>
      <c r="E613" s="974"/>
      <c r="F613" s="876"/>
      <c r="G613" s="876"/>
      <c r="H613" s="876"/>
      <c r="I613" s="876"/>
      <c r="J613" s="876"/>
      <c r="K613" s="876"/>
      <c r="L613" s="876"/>
      <c r="M613" s="876"/>
      <c r="N613" s="876"/>
      <c r="O613" s="876"/>
      <c r="P613" s="876"/>
      <c r="Q613" s="870"/>
      <c r="R613" s="870"/>
      <c r="S613" s="870"/>
      <c r="T613" s="870"/>
      <c r="U613" s="870"/>
      <c r="V613" s="870"/>
      <c r="W613" s="870"/>
      <c r="X613" s="870"/>
      <c r="Y613" s="870"/>
      <c r="Z613" s="870"/>
      <c r="AA613" s="870"/>
      <c r="AB613" s="870"/>
      <c r="AC613" s="870"/>
      <c r="AD613" s="870"/>
      <c r="AE613" s="870"/>
      <c r="AF613" s="870"/>
      <c r="AG613" s="870"/>
    </row>
    <row r="614" spans="1:33" s="995" customFormat="1">
      <c r="A614" s="974"/>
      <c r="D614" s="876"/>
      <c r="E614" s="974"/>
      <c r="F614" s="876"/>
      <c r="G614" s="876"/>
      <c r="H614" s="876"/>
      <c r="I614" s="876"/>
      <c r="J614" s="876"/>
      <c r="K614" s="876"/>
      <c r="L614" s="876"/>
      <c r="M614" s="876"/>
      <c r="N614" s="876"/>
      <c r="O614" s="876"/>
      <c r="P614" s="876"/>
      <c r="Q614" s="870"/>
      <c r="R614" s="870"/>
      <c r="S614" s="870"/>
      <c r="T614" s="870"/>
      <c r="U614" s="870"/>
      <c r="V614" s="870"/>
      <c r="W614" s="870"/>
      <c r="X614" s="870"/>
      <c r="Y614" s="870"/>
      <c r="Z614" s="870"/>
      <c r="AA614" s="870"/>
      <c r="AB614" s="870"/>
      <c r="AC614" s="870"/>
      <c r="AD614" s="870"/>
      <c r="AE614" s="870"/>
      <c r="AF614" s="870"/>
      <c r="AG614" s="870"/>
    </row>
    <row r="615" spans="1:33" s="995" customFormat="1">
      <c r="A615" s="974"/>
      <c r="D615" s="876"/>
      <c r="E615" s="974"/>
      <c r="F615" s="876"/>
      <c r="G615" s="876"/>
      <c r="H615" s="876"/>
      <c r="I615" s="876"/>
      <c r="J615" s="876"/>
      <c r="K615" s="876"/>
      <c r="L615" s="876"/>
      <c r="M615" s="876"/>
      <c r="N615" s="876"/>
      <c r="O615" s="876"/>
      <c r="P615" s="876"/>
      <c r="Q615" s="870"/>
      <c r="R615" s="870"/>
      <c r="S615" s="870"/>
      <c r="T615" s="870"/>
      <c r="U615" s="870"/>
      <c r="V615" s="870"/>
      <c r="W615" s="870"/>
      <c r="X615" s="870"/>
      <c r="Y615" s="870"/>
      <c r="Z615" s="870"/>
      <c r="AA615" s="870"/>
      <c r="AB615" s="870"/>
      <c r="AC615" s="870"/>
      <c r="AD615" s="870"/>
      <c r="AE615" s="870"/>
      <c r="AF615" s="870"/>
      <c r="AG615" s="870"/>
    </row>
    <row r="616" spans="1:33" s="995" customFormat="1">
      <c r="A616" s="974"/>
      <c r="D616" s="876"/>
      <c r="E616" s="974"/>
      <c r="F616" s="876"/>
      <c r="G616" s="876"/>
      <c r="H616" s="876"/>
      <c r="I616" s="876"/>
      <c r="J616" s="876"/>
      <c r="K616" s="876"/>
      <c r="L616" s="876"/>
      <c r="M616" s="876"/>
      <c r="N616" s="876"/>
      <c r="O616" s="876"/>
      <c r="P616" s="876"/>
      <c r="Q616" s="870"/>
      <c r="R616" s="870"/>
      <c r="S616" s="870"/>
      <c r="T616" s="870"/>
      <c r="U616" s="870"/>
      <c r="V616" s="870"/>
      <c r="W616" s="870"/>
      <c r="X616" s="870"/>
      <c r="Y616" s="870"/>
      <c r="Z616" s="870"/>
      <c r="AA616" s="870"/>
      <c r="AB616" s="870"/>
      <c r="AC616" s="870"/>
      <c r="AD616" s="870"/>
      <c r="AE616" s="870"/>
      <c r="AF616" s="870"/>
      <c r="AG616" s="870"/>
    </row>
    <row r="617" spans="1:33" s="995" customFormat="1">
      <c r="A617" s="974"/>
      <c r="D617" s="876"/>
      <c r="E617" s="974"/>
      <c r="F617" s="876"/>
      <c r="G617" s="876"/>
      <c r="H617" s="876"/>
      <c r="I617" s="876"/>
      <c r="J617" s="876"/>
      <c r="K617" s="876"/>
      <c r="L617" s="876"/>
      <c r="M617" s="876"/>
      <c r="N617" s="876"/>
      <c r="O617" s="876"/>
      <c r="P617" s="876"/>
      <c r="Q617" s="870"/>
      <c r="R617" s="870"/>
      <c r="S617" s="870"/>
      <c r="T617" s="870"/>
      <c r="U617" s="870"/>
      <c r="V617" s="870"/>
      <c r="W617" s="870"/>
      <c r="X617" s="870"/>
      <c r="Y617" s="870"/>
      <c r="Z617" s="870"/>
      <c r="AA617" s="870"/>
      <c r="AB617" s="870"/>
      <c r="AC617" s="870"/>
      <c r="AD617" s="870"/>
      <c r="AE617" s="870"/>
      <c r="AF617" s="870"/>
      <c r="AG617" s="870"/>
    </row>
    <row r="618" spans="1:33" s="995" customFormat="1">
      <c r="A618" s="974"/>
      <c r="D618" s="876"/>
      <c r="E618" s="974"/>
      <c r="F618" s="876"/>
      <c r="G618" s="876"/>
      <c r="H618" s="876"/>
      <c r="I618" s="876"/>
      <c r="J618" s="876"/>
      <c r="K618" s="876"/>
      <c r="L618" s="876"/>
      <c r="M618" s="876"/>
      <c r="N618" s="876"/>
      <c r="O618" s="876"/>
      <c r="P618" s="876"/>
      <c r="Q618" s="870"/>
      <c r="R618" s="870"/>
      <c r="S618" s="870"/>
      <c r="T618" s="870"/>
      <c r="U618" s="870"/>
      <c r="V618" s="870"/>
      <c r="W618" s="870"/>
      <c r="X618" s="870"/>
      <c r="Y618" s="870"/>
      <c r="Z618" s="870"/>
      <c r="AA618" s="870"/>
      <c r="AB618" s="870"/>
      <c r="AC618" s="870"/>
      <c r="AD618" s="870"/>
      <c r="AE618" s="870"/>
      <c r="AF618" s="870"/>
      <c r="AG618" s="870"/>
    </row>
    <row r="619" spans="1:33" s="995" customFormat="1">
      <c r="A619" s="974"/>
      <c r="D619" s="876"/>
      <c r="E619" s="974"/>
      <c r="F619" s="876"/>
      <c r="G619" s="876"/>
      <c r="H619" s="876"/>
      <c r="I619" s="876"/>
      <c r="J619" s="876"/>
      <c r="K619" s="876"/>
      <c r="L619" s="876"/>
      <c r="M619" s="876"/>
      <c r="N619" s="876"/>
      <c r="O619" s="876"/>
      <c r="P619" s="876"/>
      <c r="Q619" s="870"/>
      <c r="R619" s="870"/>
      <c r="S619" s="870"/>
      <c r="T619" s="870"/>
      <c r="U619" s="870"/>
      <c r="V619" s="870"/>
      <c r="W619" s="870"/>
      <c r="X619" s="870"/>
      <c r="Y619" s="870"/>
      <c r="Z619" s="870"/>
      <c r="AA619" s="870"/>
      <c r="AB619" s="870"/>
      <c r="AC619" s="870"/>
      <c r="AD619" s="870"/>
      <c r="AE619" s="870"/>
      <c r="AF619" s="870"/>
      <c r="AG619" s="870"/>
    </row>
    <row r="620" spans="1:33" s="995" customFormat="1">
      <c r="A620" s="974"/>
      <c r="D620" s="876"/>
      <c r="E620" s="974"/>
      <c r="F620" s="876"/>
      <c r="G620" s="876"/>
      <c r="H620" s="876"/>
      <c r="I620" s="876"/>
      <c r="J620" s="876"/>
      <c r="K620" s="876"/>
      <c r="L620" s="876"/>
      <c r="M620" s="876"/>
      <c r="N620" s="876"/>
      <c r="O620" s="876"/>
      <c r="P620" s="876"/>
      <c r="Q620" s="870"/>
      <c r="R620" s="870"/>
      <c r="S620" s="870"/>
      <c r="T620" s="870"/>
      <c r="U620" s="870"/>
      <c r="V620" s="870"/>
      <c r="W620" s="870"/>
      <c r="X620" s="870"/>
      <c r="Y620" s="870"/>
      <c r="Z620" s="870"/>
      <c r="AA620" s="870"/>
      <c r="AB620" s="870"/>
      <c r="AC620" s="870"/>
      <c r="AD620" s="870"/>
      <c r="AE620" s="870"/>
      <c r="AF620" s="870"/>
      <c r="AG620" s="870"/>
    </row>
    <row r="621" spans="1:33" s="995" customFormat="1">
      <c r="A621" s="974"/>
      <c r="D621" s="876"/>
      <c r="E621" s="974"/>
      <c r="F621" s="876"/>
      <c r="G621" s="876"/>
      <c r="H621" s="876"/>
      <c r="I621" s="876"/>
      <c r="J621" s="876"/>
      <c r="K621" s="876"/>
      <c r="L621" s="876"/>
      <c r="M621" s="876"/>
      <c r="N621" s="876"/>
      <c r="O621" s="876"/>
      <c r="P621" s="876"/>
      <c r="Q621" s="870"/>
      <c r="R621" s="870"/>
      <c r="S621" s="870"/>
      <c r="T621" s="870"/>
      <c r="U621" s="870"/>
      <c r="V621" s="870"/>
      <c r="W621" s="870"/>
      <c r="X621" s="870"/>
      <c r="Y621" s="870"/>
      <c r="Z621" s="870"/>
      <c r="AA621" s="870"/>
      <c r="AB621" s="870"/>
      <c r="AC621" s="870"/>
      <c r="AD621" s="870"/>
      <c r="AE621" s="870"/>
      <c r="AF621" s="870"/>
      <c r="AG621" s="870"/>
    </row>
    <row r="622" spans="1:33" s="995" customFormat="1">
      <c r="A622" s="974"/>
      <c r="D622" s="876"/>
      <c r="E622" s="974"/>
      <c r="F622" s="876"/>
      <c r="G622" s="876"/>
      <c r="H622" s="876"/>
      <c r="I622" s="876"/>
      <c r="J622" s="876"/>
      <c r="K622" s="876"/>
      <c r="L622" s="876"/>
      <c r="M622" s="876"/>
      <c r="N622" s="876"/>
      <c r="O622" s="876"/>
      <c r="P622" s="876"/>
      <c r="Q622" s="870"/>
      <c r="R622" s="870"/>
      <c r="S622" s="870"/>
      <c r="T622" s="870"/>
      <c r="U622" s="870"/>
      <c r="V622" s="870"/>
      <c r="W622" s="870"/>
      <c r="X622" s="870"/>
      <c r="Y622" s="870"/>
      <c r="Z622" s="870"/>
      <c r="AA622" s="870"/>
      <c r="AB622" s="870"/>
      <c r="AC622" s="870"/>
      <c r="AD622" s="870"/>
      <c r="AE622" s="870"/>
      <c r="AF622" s="870"/>
      <c r="AG622" s="870"/>
    </row>
    <row r="623" spans="1:33" s="995" customFormat="1">
      <c r="A623" s="974"/>
      <c r="D623" s="876"/>
      <c r="E623" s="974"/>
      <c r="F623" s="876"/>
      <c r="G623" s="876"/>
      <c r="H623" s="876"/>
      <c r="I623" s="876"/>
      <c r="J623" s="876"/>
      <c r="K623" s="876"/>
      <c r="L623" s="876"/>
      <c r="M623" s="876"/>
      <c r="N623" s="876"/>
      <c r="O623" s="876"/>
      <c r="P623" s="876"/>
      <c r="Q623" s="870"/>
      <c r="R623" s="870"/>
      <c r="S623" s="870"/>
      <c r="T623" s="870"/>
      <c r="U623" s="870"/>
      <c r="V623" s="870"/>
      <c r="W623" s="870"/>
      <c r="X623" s="870"/>
      <c r="Y623" s="870"/>
      <c r="Z623" s="870"/>
      <c r="AA623" s="870"/>
      <c r="AB623" s="870"/>
      <c r="AC623" s="870"/>
      <c r="AD623" s="870"/>
      <c r="AE623" s="870"/>
      <c r="AF623" s="870"/>
      <c r="AG623" s="870"/>
    </row>
    <row r="624" spans="1:33" s="995" customFormat="1">
      <c r="A624" s="974"/>
      <c r="D624" s="876"/>
      <c r="E624" s="974"/>
      <c r="F624" s="876"/>
      <c r="G624" s="876"/>
      <c r="H624" s="876"/>
      <c r="I624" s="876"/>
      <c r="J624" s="876"/>
      <c r="K624" s="876"/>
      <c r="L624" s="876"/>
      <c r="M624" s="876"/>
      <c r="N624" s="876"/>
      <c r="O624" s="876"/>
      <c r="P624" s="876"/>
      <c r="Q624" s="870"/>
      <c r="R624" s="870"/>
      <c r="S624" s="870"/>
      <c r="T624" s="870"/>
      <c r="U624" s="870"/>
      <c r="V624" s="870"/>
      <c r="W624" s="870"/>
      <c r="X624" s="870"/>
      <c r="Y624" s="870"/>
      <c r="Z624" s="870"/>
      <c r="AA624" s="870"/>
      <c r="AB624" s="870"/>
      <c r="AC624" s="870"/>
      <c r="AD624" s="870"/>
      <c r="AE624" s="870"/>
      <c r="AF624" s="870"/>
      <c r="AG624" s="870"/>
    </row>
    <row r="625" spans="1:33" s="995" customFormat="1">
      <c r="A625" s="974"/>
      <c r="D625" s="876"/>
      <c r="E625" s="974"/>
      <c r="F625" s="876"/>
      <c r="G625" s="876"/>
      <c r="H625" s="876"/>
      <c r="I625" s="876"/>
      <c r="J625" s="876"/>
      <c r="K625" s="876"/>
      <c r="L625" s="876"/>
      <c r="M625" s="876"/>
      <c r="N625" s="876"/>
      <c r="O625" s="876"/>
      <c r="P625" s="876"/>
      <c r="Q625" s="870"/>
      <c r="R625" s="870"/>
      <c r="S625" s="870"/>
      <c r="T625" s="870"/>
      <c r="U625" s="870"/>
      <c r="V625" s="870"/>
      <c r="W625" s="870"/>
      <c r="X625" s="870"/>
      <c r="Y625" s="870"/>
      <c r="Z625" s="870"/>
      <c r="AA625" s="870"/>
      <c r="AB625" s="870"/>
      <c r="AC625" s="870"/>
      <c r="AD625" s="870"/>
      <c r="AE625" s="870"/>
      <c r="AF625" s="870"/>
      <c r="AG625" s="870"/>
    </row>
    <row r="626" spans="1:33" s="995" customFormat="1">
      <c r="A626" s="974"/>
      <c r="D626" s="876"/>
      <c r="E626" s="974"/>
      <c r="F626" s="876"/>
      <c r="G626" s="876"/>
      <c r="H626" s="876"/>
      <c r="I626" s="876"/>
      <c r="J626" s="876"/>
      <c r="K626" s="876"/>
      <c r="L626" s="876"/>
      <c r="M626" s="876"/>
      <c r="N626" s="876"/>
      <c r="O626" s="876"/>
      <c r="P626" s="876"/>
      <c r="Q626" s="870"/>
      <c r="R626" s="870"/>
      <c r="S626" s="870"/>
      <c r="T626" s="870"/>
      <c r="U626" s="870"/>
      <c r="V626" s="870"/>
      <c r="W626" s="870"/>
      <c r="X626" s="870"/>
      <c r="Y626" s="870"/>
      <c r="Z626" s="870"/>
      <c r="AA626" s="870"/>
      <c r="AB626" s="870"/>
      <c r="AC626" s="870"/>
      <c r="AD626" s="870"/>
      <c r="AE626" s="870"/>
      <c r="AF626" s="870"/>
      <c r="AG626" s="870"/>
    </row>
    <row r="627" spans="1:33" s="995" customFormat="1">
      <c r="A627" s="974"/>
      <c r="D627" s="876"/>
      <c r="E627" s="974"/>
      <c r="F627" s="876"/>
      <c r="G627" s="876"/>
      <c r="H627" s="876"/>
      <c r="I627" s="876"/>
      <c r="J627" s="876"/>
      <c r="K627" s="876"/>
      <c r="L627" s="876"/>
      <c r="M627" s="876"/>
      <c r="N627" s="876"/>
      <c r="O627" s="876"/>
      <c r="P627" s="876"/>
      <c r="Q627" s="870"/>
      <c r="R627" s="870"/>
      <c r="S627" s="870"/>
      <c r="T627" s="870"/>
      <c r="U627" s="870"/>
      <c r="V627" s="870"/>
      <c r="W627" s="870"/>
      <c r="X627" s="870"/>
      <c r="Y627" s="870"/>
      <c r="Z627" s="870"/>
      <c r="AA627" s="870"/>
      <c r="AB627" s="870"/>
      <c r="AC627" s="870"/>
      <c r="AD627" s="870"/>
      <c r="AE627" s="870"/>
      <c r="AF627" s="870"/>
      <c r="AG627" s="870"/>
    </row>
    <row r="628" spans="1:33" s="995" customFormat="1">
      <c r="A628" s="974"/>
      <c r="D628" s="876"/>
      <c r="E628" s="974"/>
      <c r="F628" s="876"/>
      <c r="G628" s="876"/>
      <c r="H628" s="876"/>
      <c r="I628" s="876"/>
      <c r="J628" s="876"/>
      <c r="K628" s="876"/>
      <c r="L628" s="876"/>
      <c r="M628" s="876"/>
      <c r="N628" s="876"/>
      <c r="O628" s="876"/>
      <c r="P628" s="876"/>
      <c r="Q628" s="870"/>
      <c r="R628" s="870"/>
      <c r="S628" s="870"/>
      <c r="T628" s="870"/>
      <c r="U628" s="870"/>
      <c r="V628" s="870"/>
      <c r="W628" s="870"/>
      <c r="X628" s="870"/>
      <c r="Y628" s="870"/>
      <c r="Z628" s="870"/>
      <c r="AA628" s="870"/>
      <c r="AB628" s="870"/>
      <c r="AC628" s="870"/>
      <c r="AD628" s="870"/>
      <c r="AE628" s="870"/>
      <c r="AF628" s="870"/>
      <c r="AG628" s="870"/>
    </row>
    <row r="629" spans="1:33" s="995" customFormat="1">
      <c r="A629" s="974"/>
      <c r="D629" s="876"/>
      <c r="E629" s="974"/>
      <c r="F629" s="876"/>
      <c r="G629" s="876"/>
      <c r="H629" s="876"/>
      <c r="I629" s="876"/>
      <c r="J629" s="876"/>
      <c r="K629" s="876"/>
      <c r="L629" s="876"/>
      <c r="M629" s="876"/>
      <c r="N629" s="876"/>
      <c r="O629" s="876"/>
      <c r="P629" s="876"/>
      <c r="Q629" s="870"/>
      <c r="R629" s="870"/>
      <c r="S629" s="870"/>
      <c r="T629" s="870"/>
      <c r="U629" s="870"/>
      <c r="V629" s="870"/>
      <c r="W629" s="870"/>
      <c r="X629" s="870"/>
      <c r="Y629" s="870"/>
      <c r="Z629" s="870"/>
      <c r="AA629" s="870"/>
      <c r="AB629" s="870"/>
      <c r="AC629" s="870"/>
      <c r="AD629" s="870"/>
      <c r="AE629" s="870"/>
      <c r="AF629" s="870"/>
      <c r="AG629" s="870"/>
    </row>
    <row r="630" spans="1:33" s="995" customFormat="1">
      <c r="A630" s="974"/>
      <c r="D630" s="876"/>
      <c r="E630" s="974"/>
      <c r="F630" s="876"/>
      <c r="G630" s="876"/>
      <c r="H630" s="876"/>
      <c r="I630" s="876"/>
      <c r="J630" s="876"/>
      <c r="K630" s="876"/>
      <c r="L630" s="876"/>
      <c r="M630" s="876"/>
      <c r="N630" s="876"/>
      <c r="O630" s="876"/>
      <c r="P630" s="876"/>
      <c r="Q630" s="870"/>
      <c r="R630" s="870"/>
      <c r="S630" s="870"/>
      <c r="T630" s="870"/>
      <c r="U630" s="870"/>
      <c r="V630" s="870"/>
      <c r="W630" s="870"/>
      <c r="X630" s="870"/>
      <c r="Y630" s="870"/>
      <c r="Z630" s="870"/>
      <c r="AA630" s="870"/>
      <c r="AB630" s="870"/>
      <c r="AC630" s="870"/>
      <c r="AD630" s="870"/>
      <c r="AE630" s="870"/>
      <c r="AF630" s="870"/>
      <c r="AG630" s="870"/>
    </row>
    <row r="631" spans="1:33" s="995" customFormat="1">
      <c r="A631" s="974"/>
      <c r="D631" s="876"/>
      <c r="E631" s="974"/>
      <c r="F631" s="876"/>
      <c r="G631" s="876"/>
      <c r="H631" s="876"/>
      <c r="I631" s="876"/>
      <c r="J631" s="876"/>
      <c r="K631" s="876"/>
      <c r="L631" s="876"/>
      <c r="M631" s="876"/>
      <c r="N631" s="876"/>
      <c r="O631" s="876"/>
      <c r="P631" s="876"/>
      <c r="Q631" s="870"/>
      <c r="R631" s="870"/>
      <c r="S631" s="870"/>
      <c r="T631" s="870"/>
      <c r="U631" s="870"/>
      <c r="V631" s="870"/>
      <c r="W631" s="870"/>
      <c r="X631" s="870"/>
      <c r="Y631" s="870"/>
      <c r="Z631" s="870"/>
      <c r="AA631" s="870"/>
      <c r="AB631" s="870"/>
      <c r="AC631" s="870"/>
      <c r="AD631" s="870"/>
      <c r="AE631" s="870"/>
      <c r="AF631" s="870"/>
      <c r="AG631" s="870"/>
    </row>
    <row r="632" spans="1:33" s="995" customFormat="1">
      <c r="A632" s="974"/>
      <c r="D632" s="876"/>
      <c r="E632" s="974"/>
      <c r="F632" s="876"/>
      <c r="G632" s="876"/>
      <c r="H632" s="876"/>
      <c r="I632" s="876"/>
      <c r="J632" s="876"/>
      <c r="K632" s="876"/>
      <c r="L632" s="876"/>
      <c r="M632" s="876"/>
      <c r="N632" s="876"/>
      <c r="O632" s="876"/>
      <c r="P632" s="876"/>
      <c r="Q632" s="870"/>
      <c r="R632" s="870"/>
      <c r="S632" s="870"/>
      <c r="T632" s="870"/>
      <c r="U632" s="870"/>
      <c r="V632" s="870"/>
      <c r="W632" s="870"/>
      <c r="X632" s="870"/>
      <c r="Y632" s="870"/>
      <c r="Z632" s="870"/>
      <c r="AA632" s="870"/>
      <c r="AB632" s="870"/>
      <c r="AC632" s="870"/>
      <c r="AD632" s="870"/>
      <c r="AE632" s="870"/>
      <c r="AF632" s="870"/>
      <c r="AG632" s="870"/>
    </row>
    <row r="633" spans="1:33" s="995" customFormat="1">
      <c r="A633" s="974"/>
      <c r="D633" s="876"/>
      <c r="E633" s="974"/>
      <c r="F633" s="876"/>
      <c r="G633" s="876"/>
      <c r="H633" s="876"/>
      <c r="I633" s="876"/>
      <c r="J633" s="876"/>
      <c r="K633" s="876"/>
      <c r="L633" s="876"/>
      <c r="M633" s="876"/>
      <c r="N633" s="876"/>
      <c r="O633" s="876"/>
      <c r="P633" s="876"/>
      <c r="Q633" s="870"/>
      <c r="R633" s="870"/>
      <c r="S633" s="870"/>
      <c r="T633" s="870"/>
      <c r="U633" s="870"/>
      <c r="V633" s="870"/>
      <c r="W633" s="870"/>
      <c r="X633" s="870"/>
      <c r="Y633" s="870"/>
      <c r="Z633" s="870"/>
      <c r="AA633" s="870"/>
      <c r="AB633" s="870"/>
      <c r="AC633" s="870"/>
      <c r="AD633" s="870"/>
      <c r="AE633" s="870"/>
      <c r="AF633" s="870"/>
      <c r="AG633" s="870"/>
    </row>
    <row r="634" spans="1:33" s="995" customFormat="1">
      <c r="A634" s="974"/>
      <c r="D634" s="876"/>
      <c r="E634" s="974"/>
      <c r="F634" s="876"/>
      <c r="G634" s="876"/>
      <c r="H634" s="876"/>
      <c r="I634" s="876"/>
      <c r="J634" s="876"/>
      <c r="K634" s="876"/>
      <c r="L634" s="876"/>
      <c r="M634" s="876"/>
      <c r="N634" s="876"/>
      <c r="O634" s="876"/>
      <c r="P634" s="876"/>
      <c r="Q634" s="870"/>
      <c r="R634" s="870"/>
      <c r="S634" s="870"/>
      <c r="T634" s="870"/>
      <c r="U634" s="870"/>
      <c r="V634" s="870"/>
      <c r="W634" s="870"/>
      <c r="X634" s="870"/>
      <c r="Y634" s="870"/>
      <c r="Z634" s="870"/>
      <c r="AA634" s="870"/>
      <c r="AB634" s="870"/>
      <c r="AC634" s="870"/>
      <c r="AD634" s="870"/>
      <c r="AE634" s="870"/>
      <c r="AF634" s="870"/>
      <c r="AG634" s="870"/>
    </row>
    <row r="635" spans="1:33" s="995" customFormat="1">
      <c r="A635" s="974"/>
      <c r="D635" s="876"/>
      <c r="E635" s="974"/>
      <c r="F635" s="876"/>
      <c r="G635" s="876"/>
      <c r="H635" s="876"/>
      <c r="I635" s="876"/>
      <c r="J635" s="876"/>
      <c r="K635" s="876"/>
      <c r="L635" s="876"/>
      <c r="M635" s="876"/>
      <c r="N635" s="876"/>
      <c r="O635" s="876"/>
      <c r="P635" s="876"/>
      <c r="Q635" s="870"/>
      <c r="R635" s="870"/>
      <c r="S635" s="870"/>
      <c r="T635" s="870"/>
      <c r="U635" s="870"/>
      <c r="V635" s="870"/>
      <c r="W635" s="870"/>
      <c r="X635" s="870"/>
      <c r="Y635" s="870"/>
      <c r="Z635" s="870"/>
      <c r="AA635" s="870"/>
      <c r="AB635" s="870"/>
      <c r="AC635" s="870"/>
      <c r="AD635" s="870"/>
      <c r="AE635" s="870"/>
      <c r="AF635" s="870"/>
      <c r="AG635" s="870"/>
    </row>
    <row r="636" spans="1:33" s="995" customFormat="1">
      <c r="A636" s="974"/>
      <c r="D636" s="876"/>
      <c r="E636" s="974"/>
      <c r="F636" s="876"/>
      <c r="G636" s="876"/>
      <c r="H636" s="876"/>
      <c r="I636" s="876"/>
      <c r="J636" s="876"/>
      <c r="K636" s="876"/>
      <c r="L636" s="876"/>
      <c r="M636" s="876"/>
      <c r="N636" s="876"/>
      <c r="O636" s="876"/>
      <c r="P636" s="876"/>
      <c r="Q636" s="870"/>
      <c r="R636" s="870"/>
      <c r="S636" s="870"/>
      <c r="T636" s="870"/>
      <c r="U636" s="870"/>
      <c r="V636" s="870"/>
      <c r="W636" s="870"/>
      <c r="X636" s="870"/>
      <c r="Y636" s="870"/>
      <c r="Z636" s="870"/>
      <c r="AA636" s="870"/>
      <c r="AB636" s="870"/>
      <c r="AC636" s="870"/>
      <c r="AD636" s="870"/>
      <c r="AE636" s="870"/>
      <c r="AF636" s="870"/>
      <c r="AG636" s="870"/>
    </row>
    <row r="637" spans="1:33" s="995" customFormat="1">
      <c r="A637" s="974"/>
      <c r="D637" s="876"/>
      <c r="E637" s="974"/>
      <c r="F637" s="876"/>
      <c r="G637" s="876"/>
      <c r="H637" s="876"/>
      <c r="I637" s="876"/>
      <c r="J637" s="876"/>
      <c r="K637" s="876"/>
      <c r="L637" s="876"/>
      <c r="M637" s="876"/>
      <c r="N637" s="876"/>
      <c r="O637" s="876"/>
      <c r="P637" s="876"/>
      <c r="Q637" s="870"/>
      <c r="R637" s="870"/>
      <c r="S637" s="870"/>
      <c r="T637" s="870"/>
      <c r="U637" s="870"/>
      <c r="V637" s="870"/>
      <c r="W637" s="870"/>
      <c r="X637" s="870"/>
      <c r="Y637" s="870"/>
      <c r="Z637" s="870"/>
      <c r="AA637" s="870"/>
      <c r="AB637" s="870"/>
      <c r="AC637" s="870"/>
      <c r="AD637" s="870"/>
      <c r="AE637" s="870"/>
      <c r="AF637" s="870"/>
      <c r="AG637" s="870"/>
    </row>
    <row r="638" spans="1:33" s="995" customFormat="1">
      <c r="A638" s="974"/>
      <c r="D638" s="876"/>
      <c r="E638" s="974"/>
      <c r="F638" s="876"/>
      <c r="G638" s="876"/>
      <c r="H638" s="876"/>
      <c r="I638" s="876"/>
      <c r="J638" s="876"/>
      <c r="K638" s="876"/>
      <c r="L638" s="876"/>
      <c r="M638" s="876"/>
      <c r="N638" s="876"/>
      <c r="O638" s="876"/>
      <c r="P638" s="876"/>
      <c r="Q638" s="870"/>
      <c r="R638" s="870"/>
      <c r="S638" s="870"/>
      <c r="T638" s="870"/>
      <c r="U638" s="870"/>
      <c r="V638" s="870"/>
      <c r="W638" s="870"/>
      <c r="X638" s="870"/>
      <c r="Y638" s="870"/>
      <c r="Z638" s="870"/>
      <c r="AA638" s="870"/>
      <c r="AB638" s="870"/>
      <c r="AC638" s="870"/>
      <c r="AD638" s="870"/>
      <c r="AE638" s="870"/>
      <c r="AF638" s="870"/>
      <c r="AG638" s="870"/>
    </row>
    <row r="639" spans="1:33" s="995" customFormat="1">
      <c r="A639" s="974"/>
      <c r="D639" s="876"/>
      <c r="E639" s="974"/>
      <c r="F639" s="876"/>
      <c r="G639" s="876"/>
      <c r="H639" s="876"/>
      <c r="I639" s="876"/>
      <c r="J639" s="876"/>
      <c r="K639" s="876"/>
      <c r="L639" s="876"/>
      <c r="M639" s="876"/>
      <c r="N639" s="876"/>
      <c r="O639" s="876"/>
      <c r="P639" s="876"/>
      <c r="Q639" s="870"/>
      <c r="R639" s="870"/>
      <c r="S639" s="870"/>
      <c r="T639" s="870"/>
      <c r="U639" s="870"/>
      <c r="V639" s="870"/>
      <c r="W639" s="870"/>
      <c r="X639" s="870"/>
      <c r="Y639" s="870"/>
      <c r="Z639" s="870"/>
      <c r="AA639" s="870"/>
      <c r="AB639" s="870"/>
      <c r="AC639" s="870"/>
      <c r="AD639" s="870"/>
      <c r="AE639" s="870"/>
      <c r="AF639" s="870"/>
      <c r="AG639" s="870"/>
    </row>
    <row r="640" spans="1:33" s="995" customFormat="1">
      <c r="A640" s="974"/>
      <c r="D640" s="876"/>
      <c r="E640" s="974"/>
      <c r="F640" s="876"/>
      <c r="G640" s="876"/>
      <c r="H640" s="876"/>
      <c r="I640" s="876"/>
      <c r="J640" s="876"/>
      <c r="K640" s="876"/>
      <c r="L640" s="876"/>
      <c r="M640" s="876"/>
      <c r="N640" s="876"/>
      <c r="O640" s="876"/>
      <c r="P640" s="876"/>
      <c r="Q640" s="870"/>
      <c r="R640" s="870"/>
      <c r="S640" s="870"/>
      <c r="T640" s="870"/>
      <c r="U640" s="870"/>
      <c r="V640" s="870"/>
      <c r="W640" s="870"/>
      <c r="X640" s="870"/>
      <c r="Y640" s="870"/>
      <c r="Z640" s="870"/>
      <c r="AA640" s="870"/>
      <c r="AB640" s="870"/>
      <c r="AC640" s="870"/>
      <c r="AD640" s="870"/>
      <c r="AE640" s="870"/>
      <c r="AF640" s="870"/>
      <c r="AG640" s="870"/>
    </row>
    <row r="641" spans="1:33" s="995" customFormat="1">
      <c r="A641" s="974"/>
      <c r="D641" s="876"/>
      <c r="E641" s="974"/>
      <c r="F641" s="876"/>
      <c r="G641" s="876"/>
      <c r="H641" s="876"/>
      <c r="I641" s="876"/>
      <c r="J641" s="876"/>
      <c r="K641" s="876"/>
      <c r="L641" s="876"/>
      <c r="M641" s="876"/>
      <c r="N641" s="876"/>
      <c r="O641" s="876"/>
      <c r="P641" s="876"/>
      <c r="Q641" s="870"/>
      <c r="R641" s="870"/>
      <c r="S641" s="870"/>
      <c r="T641" s="870"/>
      <c r="U641" s="870"/>
      <c r="V641" s="870"/>
      <c r="W641" s="870"/>
      <c r="X641" s="870"/>
      <c r="Y641" s="870"/>
      <c r="Z641" s="870"/>
      <c r="AA641" s="870"/>
      <c r="AB641" s="870"/>
      <c r="AC641" s="870"/>
      <c r="AD641" s="870"/>
      <c r="AE641" s="870"/>
      <c r="AF641" s="870"/>
      <c r="AG641" s="870"/>
    </row>
    <row r="642" spans="1:33" s="995" customFormat="1">
      <c r="A642" s="974"/>
      <c r="D642" s="876"/>
      <c r="E642" s="974"/>
      <c r="F642" s="876"/>
      <c r="G642" s="876"/>
      <c r="H642" s="876"/>
      <c r="I642" s="876"/>
      <c r="J642" s="876"/>
      <c r="K642" s="876"/>
      <c r="L642" s="876"/>
      <c r="M642" s="876"/>
      <c r="N642" s="876"/>
      <c r="O642" s="876"/>
      <c r="P642" s="876"/>
      <c r="Q642" s="870"/>
      <c r="R642" s="870"/>
      <c r="S642" s="870"/>
      <c r="T642" s="870"/>
      <c r="U642" s="870"/>
      <c r="V642" s="870"/>
      <c r="W642" s="870"/>
      <c r="X642" s="870"/>
      <c r="Y642" s="870"/>
      <c r="Z642" s="870"/>
      <c r="AA642" s="870"/>
      <c r="AB642" s="870"/>
      <c r="AC642" s="870"/>
      <c r="AD642" s="870"/>
      <c r="AE642" s="870"/>
      <c r="AF642" s="870"/>
      <c r="AG642" s="870"/>
    </row>
    <row r="643" spans="1:33" s="995" customFormat="1">
      <c r="A643" s="974"/>
      <c r="D643" s="876"/>
      <c r="E643" s="974"/>
      <c r="F643" s="876"/>
      <c r="G643" s="876"/>
      <c r="H643" s="876"/>
      <c r="I643" s="876"/>
      <c r="J643" s="876"/>
      <c r="K643" s="876"/>
      <c r="L643" s="876"/>
      <c r="M643" s="876"/>
      <c r="N643" s="876"/>
      <c r="O643" s="876"/>
      <c r="P643" s="876"/>
      <c r="Q643" s="870"/>
      <c r="R643" s="870"/>
      <c r="S643" s="870"/>
      <c r="T643" s="870"/>
      <c r="U643" s="870"/>
      <c r="V643" s="870"/>
      <c r="W643" s="870"/>
      <c r="X643" s="870"/>
      <c r="Y643" s="870"/>
      <c r="Z643" s="870"/>
      <c r="AA643" s="870"/>
      <c r="AB643" s="870"/>
      <c r="AC643" s="870"/>
      <c r="AD643" s="870"/>
      <c r="AE643" s="870"/>
      <c r="AF643" s="870"/>
      <c r="AG643" s="870"/>
    </row>
    <row r="644" spans="1:33" s="995" customFormat="1">
      <c r="A644" s="974"/>
      <c r="D644" s="876"/>
      <c r="E644" s="974"/>
      <c r="F644" s="876"/>
      <c r="G644" s="876"/>
      <c r="H644" s="876"/>
      <c r="I644" s="876"/>
      <c r="J644" s="876"/>
      <c r="K644" s="876"/>
      <c r="L644" s="876"/>
      <c r="M644" s="876"/>
      <c r="N644" s="876"/>
      <c r="O644" s="876"/>
      <c r="P644" s="876"/>
      <c r="Q644" s="870"/>
      <c r="R644" s="870"/>
      <c r="S644" s="870"/>
      <c r="T644" s="870"/>
      <c r="U644" s="870"/>
      <c r="V644" s="870"/>
      <c r="W644" s="870"/>
      <c r="X644" s="870"/>
      <c r="Y644" s="870"/>
      <c r="Z644" s="870"/>
      <c r="AA644" s="870"/>
      <c r="AB644" s="870"/>
      <c r="AC644" s="870"/>
      <c r="AD644" s="870"/>
      <c r="AE644" s="870"/>
      <c r="AF644" s="870"/>
      <c r="AG644" s="870"/>
    </row>
    <row r="645" spans="1:33" s="995" customFormat="1">
      <c r="A645" s="974"/>
      <c r="D645" s="876"/>
      <c r="E645" s="974"/>
      <c r="F645" s="876"/>
      <c r="G645" s="876"/>
      <c r="H645" s="876"/>
      <c r="I645" s="876"/>
      <c r="J645" s="876"/>
      <c r="K645" s="876"/>
      <c r="L645" s="876"/>
      <c r="M645" s="876"/>
      <c r="N645" s="876"/>
      <c r="O645" s="876"/>
      <c r="P645" s="876"/>
      <c r="Q645" s="870"/>
      <c r="R645" s="870"/>
      <c r="S645" s="870"/>
      <c r="T645" s="870"/>
      <c r="U645" s="870"/>
      <c r="V645" s="870"/>
      <c r="W645" s="870"/>
      <c r="X645" s="870"/>
      <c r="Y645" s="870"/>
      <c r="Z645" s="870"/>
      <c r="AA645" s="870"/>
      <c r="AB645" s="870"/>
      <c r="AC645" s="870"/>
      <c r="AD645" s="870"/>
      <c r="AE645" s="870"/>
      <c r="AF645" s="870"/>
      <c r="AG645" s="870"/>
    </row>
    <row r="646" spans="1:33" s="995" customFormat="1">
      <c r="A646" s="974"/>
      <c r="D646" s="876"/>
      <c r="E646" s="974"/>
      <c r="F646" s="876"/>
      <c r="G646" s="876"/>
      <c r="H646" s="876"/>
      <c r="I646" s="876"/>
      <c r="J646" s="876"/>
      <c r="K646" s="876"/>
      <c r="L646" s="876"/>
      <c r="M646" s="876"/>
      <c r="N646" s="876"/>
      <c r="O646" s="876"/>
      <c r="P646" s="876"/>
      <c r="Q646" s="870"/>
      <c r="R646" s="870"/>
      <c r="S646" s="870"/>
      <c r="T646" s="870"/>
      <c r="U646" s="870"/>
      <c r="V646" s="870"/>
      <c r="W646" s="870"/>
      <c r="X646" s="870"/>
      <c r="Y646" s="870"/>
      <c r="Z646" s="870"/>
      <c r="AA646" s="870"/>
      <c r="AB646" s="870"/>
      <c r="AC646" s="870"/>
      <c r="AD646" s="870"/>
      <c r="AE646" s="870"/>
      <c r="AF646" s="870"/>
      <c r="AG646" s="870"/>
    </row>
    <row r="647" spans="1:33" s="995" customFormat="1">
      <c r="A647" s="974"/>
      <c r="D647" s="876"/>
      <c r="E647" s="974"/>
      <c r="F647" s="876"/>
      <c r="G647" s="876"/>
      <c r="H647" s="876"/>
      <c r="I647" s="876"/>
      <c r="J647" s="876"/>
      <c r="K647" s="876"/>
      <c r="L647" s="876"/>
      <c r="M647" s="876"/>
      <c r="N647" s="876"/>
      <c r="O647" s="876"/>
      <c r="P647" s="876"/>
      <c r="Q647" s="870"/>
      <c r="R647" s="870"/>
      <c r="S647" s="870"/>
      <c r="T647" s="870"/>
      <c r="U647" s="870"/>
      <c r="V647" s="870"/>
      <c r="W647" s="870"/>
      <c r="X647" s="870"/>
      <c r="Y647" s="870"/>
      <c r="Z647" s="870"/>
      <c r="AA647" s="870"/>
      <c r="AB647" s="870"/>
      <c r="AC647" s="870"/>
      <c r="AD647" s="870"/>
      <c r="AE647" s="870"/>
      <c r="AF647" s="870"/>
      <c r="AG647" s="870"/>
    </row>
    <row r="648" spans="1:33" s="995" customFormat="1">
      <c r="A648" s="974"/>
      <c r="D648" s="876"/>
      <c r="E648" s="974"/>
      <c r="F648" s="876"/>
      <c r="G648" s="876"/>
      <c r="H648" s="876"/>
      <c r="I648" s="876"/>
      <c r="J648" s="876"/>
      <c r="K648" s="876"/>
      <c r="L648" s="876"/>
      <c r="M648" s="876"/>
      <c r="N648" s="876"/>
      <c r="O648" s="876"/>
      <c r="P648" s="876"/>
      <c r="Q648" s="870"/>
      <c r="R648" s="870"/>
      <c r="S648" s="870"/>
      <c r="T648" s="870"/>
      <c r="U648" s="870"/>
      <c r="V648" s="870"/>
      <c r="W648" s="870"/>
      <c r="X648" s="870"/>
      <c r="Y648" s="870"/>
      <c r="Z648" s="870"/>
      <c r="AA648" s="870"/>
      <c r="AB648" s="870"/>
      <c r="AC648" s="870"/>
      <c r="AD648" s="870"/>
      <c r="AE648" s="870"/>
      <c r="AF648" s="870"/>
      <c r="AG648" s="870"/>
    </row>
    <row r="649" spans="1:33" s="995" customFormat="1">
      <c r="A649" s="974"/>
      <c r="D649" s="876"/>
      <c r="E649" s="974"/>
      <c r="F649" s="876"/>
      <c r="G649" s="876"/>
      <c r="H649" s="876"/>
      <c r="I649" s="876"/>
      <c r="J649" s="876"/>
      <c r="K649" s="876"/>
      <c r="L649" s="876"/>
      <c r="M649" s="876"/>
      <c r="N649" s="876"/>
      <c r="O649" s="876"/>
      <c r="P649" s="876"/>
      <c r="Q649" s="870"/>
      <c r="R649" s="870"/>
      <c r="S649" s="870"/>
      <c r="T649" s="870"/>
      <c r="U649" s="870"/>
      <c r="V649" s="870"/>
      <c r="W649" s="870"/>
      <c r="X649" s="870"/>
      <c r="Y649" s="870"/>
      <c r="Z649" s="870"/>
      <c r="AA649" s="870"/>
      <c r="AB649" s="870"/>
      <c r="AC649" s="870"/>
      <c r="AD649" s="870"/>
      <c r="AE649" s="870"/>
      <c r="AF649" s="870"/>
      <c r="AG649" s="870"/>
    </row>
    <row r="650" spans="1:33" s="995" customFormat="1">
      <c r="A650" s="974"/>
      <c r="D650" s="876"/>
      <c r="E650" s="974"/>
      <c r="F650" s="876"/>
      <c r="G650" s="876"/>
      <c r="H650" s="876"/>
      <c r="I650" s="876"/>
      <c r="J650" s="876"/>
      <c r="K650" s="876"/>
      <c r="L650" s="876"/>
      <c r="M650" s="876"/>
      <c r="N650" s="876"/>
      <c r="O650" s="876"/>
      <c r="P650" s="876"/>
      <c r="Q650" s="870"/>
      <c r="R650" s="870"/>
      <c r="S650" s="870"/>
      <c r="T650" s="870"/>
      <c r="U650" s="870"/>
      <c r="V650" s="870"/>
      <c r="W650" s="870"/>
      <c r="X650" s="870"/>
      <c r="Y650" s="870"/>
      <c r="Z650" s="870"/>
      <c r="AA650" s="870"/>
      <c r="AB650" s="870"/>
      <c r="AC650" s="870"/>
      <c r="AD650" s="870"/>
      <c r="AE650" s="870"/>
      <c r="AF650" s="870"/>
      <c r="AG650" s="870"/>
    </row>
    <row r="651" spans="1:33" s="995" customFormat="1">
      <c r="A651" s="974"/>
      <c r="D651" s="876"/>
      <c r="E651" s="974"/>
      <c r="F651" s="876"/>
      <c r="G651" s="876"/>
      <c r="H651" s="876"/>
      <c r="I651" s="876"/>
      <c r="J651" s="876"/>
      <c r="K651" s="876"/>
      <c r="L651" s="876"/>
      <c r="M651" s="876"/>
      <c r="N651" s="876"/>
      <c r="O651" s="876"/>
      <c r="P651" s="876"/>
      <c r="Q651" s="870"/>
      <c r="R651" s="870"/>
      <c r="S651" s="870"/>
      <c r="T651" s="870"/>
      <c r="U651" s="870"/>
      <c r="V651" s="870"/>
      <c r="W651" s="870"/>
      <c r="X651" s="870"/>
      <c r="Y651" s="870"/>
      <c r="Z651" s="870"/>
      <c r="AA651" s="870"/>
      <c r="AB651" s="870"/>
      <c r="AC651" s="870"/>
      <c r="AD651" s="870"/>
      <c r="AE651" s="870"/>
      <c r="AF651" s="870"/>
      <c r="AG651" s="870"/>
    </row>
    <row r="652" spans="1:33" s="995" customFormat="1">
      <c r="A652" s="974"/>
      <c r="D652" s="876"/>
      <c r="E652" s="974"/>
      <c r="F652" s="876"/>
      <c r="G652" s="876"/>
      <c r="H652" s="876"/>
      <c r="I652" s="876"/>
      <c r="J652" s="876"/>
      <c r="K652" s="876"/>
      <c r="L652" s="876"/>
      <c r="M652" s="876"/>
      <c r="N652" s="876"/>
      <c r="O652" s="876"/>
      <c r="P652" s="876"/>
      <c r="Q652" s="870"/>
      <c r="R652" s="870"/>
      <c r="S652" s="870"/>
      <c r="T652" s="870"/>
      <c r="U652" s="870"/>
      <c r="V652" s="870"/>
      <c r="W652" s="870"/>
      <c r="X652" s="870"/>
      <c r="Y652" s="870"/>
      <c r="Z652" s="870"/>
      <c r="AA652" s="870"/>
      <c r="AB652" s="870"/>
      <c r="AC652" s="870"/>
      <c r="AD652" s="870"/>
      <c r="AE652" s="870"/>
      <c r="AF652" s="870"/>
      <c r="AG652" s="870"/>
    </row>
    <row r="653" spans="1:33" s="995" customFormat="1">
      <c r="A653" s="974"/>
      <c r="D653" s="876"/>
      <c r="E653" s="974"/>
      <c r="F653" s="876"/>
      <c r="G653" s="876"/>
      <c r="H653" s="876"/>
      <c r="I653" s="876"/>
      <c r="J653" s="876"/>
      <c r="K653" s="876"/>
      <c r="L653" s="876"/>
      <c r="M653" s="876"/>
      <c r="N653" s="876"/>
      <c r="O653" s="876"/>
      <c r="P653" s="876"/>
      <c r="Q653" s="870"/>
      <c r="R653" s="870"/>
      <c r="S653" s="870"/>
      <c r="T653" s="870"/>
      <c r="U653" s="870"/>
      <c r="V653" s="870"/>
      <c r="W653" s="870"/>
      <c r="X653" s="870"/>
      <c r="Y653" s="870"/>
      <c r="Z653" s="870"/>
      <c r="AA653" s="870"/>
      <c r="AB653" s="870"/>
      <c r="AC653" s="870"/>
      <c r="AD653" s="870"/>
      <c r="AE653" s="870"/>
      <c r="AF653" s="870"/>
      <c r="AG653" s="870"/>
    </row>
    <row r="654" spans="1:33" s="995" customFormat="1">
      <c r="A654" s="974"/>
      <c r="D654" s="876"/>
      <c r="E654" s="974"/>
      <c r="F654" s="876"/>
      <c r="G654" s="876"/>
      <c r="H654" s="876"/>
      <c r="I654" s="876"/>
      <c r="J654" s="876"/>
      <c r="K654" s="876"/>
      <c r="L654" s="876"/>
      <c r="M654" s="876"/>
      <c r="N654" s="876"/>
      <c r="O654" s="876"/>
      <c r="P654" s="876"/>
      <c r="Q654" s="870"/>
      <c r="R654" s="870"/>
      <c r="S654" s="870"/>
      <c r="T654" s="870"/>
      <c r="U654" s="870"/>
      <c r="V654" s="870"/>
      <c r="W654" s="870"/>
      <c r="X654" s="870"/>
      <c r="Y654" s="870"/>
      <c r="Z654" s="870"/>
      <c r="AA654" s="870"/>
      <c r="AB654" s="870"/>
      <c r="AC654" s="870"/>
      <c r="AD654" s="870"/>
      <c r="AE654" s="870"/>
      <c r="AF654" s="870"/>
      <c r="AG654" s="870"/>
    </row>
    <row r="655" spans="1:33" s="995" customFormat="1">
      <c r="A655" s="974"/>
      <c r="D655" s="876"/>
      <c r="E655" s="974"/>
      <c r="F655" s="876"/>
      <c r="G655" s="876"/>
      <c r="H655" s="876"/>
      <c r="I655" s="876"/>
      <c r="J655" s="876"/>
      <c r="K655" s="876"/>
      <c r="L655" s="876"/>
      <c r="M655" s="876"/>
      <c r="N655" s="876"/>
      <c r="O655" s="876"/>
      <c r="P655" s="876"/>
      <c r="Q655" s="870"/>
      <c r="R655" s="870"/>
      <c r="S655" s="870"/>
      <c r="T655" s="870"/>
      <c r="U655" s="870"/>
      <c r="V655" s="870"/>
      <c r="W655" s="870"/>
      <c r="X655" s="870"/>
      <c r="Y655" s="870"/>
      <c r="Z655" s="870"/>
      <c r="AA655" s="870"/>
      <c r="AB655" s="870"/>
      <c r="AC655" s="870"/>
      <c r="AD655" s="870"/>
      <c r="AE655" s="870"/>
      <c r="AF655" s="870"/>
      <c r="AG655" s="870"/>
    </row>
    <row r="656" spans="1:33" s="995" customFormat="1">
      <c r="A656" s="974"/>
      <c r="D656" s="876"/>
      <c r="E656" s="974"/>
      <c r="F656" s="876"/>
      <c r="G656" s="876"/>
      <c r="H656" s="876"/>
      <c r="I656" s="876"/>
      <c r="J656" s="876"/>
      <c r="K656" s="876"/>
      <c r="L656" s="876"/>
      <c r="M656" s="876"/>
      <c r="N656" s="876"/>
      <c r="O656" s="876"/>
      <c r="P656" s="876"/>
      <c r="Q656" s="870"/>
      <c r="R656" s="870"/>
      <c r="S656" s="870"/>
      <c r="T656" s="870"/>
      <c r="U656" s="870"/>
      <c r="V656" s="870"/>
      <c r="W656" s="870"/>
      <c r="X656" s="870"/>
      <c r="Y656" s="870"/>
      <c r="Z656" s="870"/>
      <c r="AA656" s="870"/>
      <c r="AB656" s="870"/>
      <c r="AC656" s="870"/>
      <c r="AD656" s="870"/>
      <c r="AE656" s="870"/>
      <c r="AF656" s="870"/>
      <c r="AG656" s="870"/>
    </row>
    <row r="657" spans="1:33" s="995" customFormat="1">
      <c r="A657" s="974"/>
      <c r="D657" s="876"/>
      <c r="E657" s="974"/>
      <c r="F657" s="876"/>
      <c r="G657" s="876"/>
      <c r="H657" s="876"/>
      <c r="I657" s="876"/>
      <c r="J657" s="876"/>
      <c r="K657" s="876"/>
      <c r="L657" s="876"/>
      <c r="M657" s="876"/>
      <c r="N657" s="876"/>
      <c r="O657" s="876"/>
      <c r="P657" s="876"/>
      <c r="Q657" s="870"/>
      <c r="R657" s="870"/>
      <c r="S657" s="870"/>
      <c r="T657" s="870"/>
      <c r="U657" s="870"/>
      <c r="V657" s="870"/>
      <c r="W657" s="870"/>
      <c r="X657" s="870"/>
      <c r="Y657" s="870"/>
      <c r="Z657" s="870"/>
      <c r="AA657" s="870"/>
      <c r="AB657" s="870"/>
      <c r="AC657" s="870"/>
      <c r="AD657" s="870"/>
      <c r="AE657" s="870"/>
      <c r="AF657" s="870"/>
      <c r="AG657" s="870"/>
    </row>
    <row r="658" spans="1:33" s="995" customFormat="1">
      <c r="A658" s="974"/>
      <c r="D658" s="876"/>
      <c r="E658" s="974"/>
      <c r="F658" s="876"/>
      <c r="G658" s="876"/>
      <c r="H658" s="876"/>
      <c r="I658" s="876"/>
      <c r="J658" s="876"/>
      <c r="K658" s="876"/>
      <c r="L658" s="876"/>
      <c r="M658" s="876"/>
      <c r="N658" s="876"/>
      <c r="O658" s="876"/>
      <c r="P658" s="876"/>
      <c r="Q658" s="870"/>
      <c r="R658" s="870"/>
      <c r="S658" s="870"/>
      <c r="T658" s="870"/>
      <c r="U658" s="870"/>
      <c r="V658" s="870"/>
      <c r="W658" s="870"/>
      <c r="X658" s="870"/>
      <c r="Y658" s="870"/>
      <c r="Z658" s="870"/>
      <c r="AA658" s="870"/>
      <c r="AB658" s="870"/>
      <c r="AC658" s="870"/>
      <c r="AD658" s="870"/>
      <c r="AE658" s="870"/>
      <c r="AF658" s="870"/>
      <c r="AG658" s="870"/>
    </row>
    <row r="659" spans="1:33" s="995" customFormat="1">
      <c r="A659" s="974"/>
      <c r="D659" s="876"/>
      <c r="E659" s="974"/>
      <c r="F659" s="876"/>
      <c r="G659" s="876"/>
      <c r="H659" s="876"/>
      <c r="I659" s="876"/>
      <c r="J659" s="876"/>
      <c r="K659" s="876"/>
      <c r="L659" s="876"/>
      <c r="M659" s="876"/>
      <c r="N659" s="876"/>
      <c r="O659" s="876"/>
      <c r="P659" s="876"/>
      <c r="Q659" s="870"/>
      <c r="R659" s="870"/>
      <c r="S659" s="870"/>
      <c r="T659" s="870"/>
      <c r="U659" s="870"/>
      <c r="V659" s="870"/>
      <c r="W659" s="870"/>
      <c r="X659" s="870"/>
      <c r="Y659" s="870"/>
      <c r="Z659" s="870"/>
      <c r="AA659" s="870"/>
      <c r="AB659" s="870"/>
      <c r="AC659" s="870"/>
      <c r="AD659" s="870"/>
      <c r="AE659" s="870"/>
      <c r="AF659" s="870"/>
      <c r="AG659" s="870"/>
    </row>
    <row r="660" spans="1:33" s="995" customFormat="1">
      <c r="A660" s="974"/>
      <c r="D660" s="876"/>
      <c r="E660" s="974"/>
      <c r="F660" s="876"/>
      <c r="G660" s="876"/>
      <c r="H660" s="876"/>
      <c r="I660" s="876"/>
      <c r="J660" s="876"/>
      <c r="K660" s="876"/>
      <c r="L660" s="876"/>
      <c r="M660" s="876"/>
      <c r="N660" s="876"/>
      <c r="O660" s="876"/>
      <c r="P660" s="876"/>
      <c r="Q660" s="870"/>
      <c r="R660" s="870"/>
      <c r="S660" s="870"/>
      <c r="T660" s="870"/>
      <c r="U660" s="870"/>
      <c r="V660" s="870"/>
      <c r="W660" s="870"/>
      <c r="X660" s="870"/>
      <c r="Y660" s="870"/>
      <c r="Z660" s="870"/>
      <c r="AA660" s="870"/>
      <c r="AB660" s="870"/>
      <c r="AC660" s="870"/>
      <c r="AD660" s="870"/>
      <c r="AE660" s="870"/>
      <c r="AF660" s="870"/>
      <c r="AG660" s="870"/>
    </row>
    <row r="661" spans="1:33" s="995" customFormat="1">
      <c r="A661" s="974"/>
      <c r="D661" s="876"/>
      <c r="E661" s="974"/>
      <c r="F661" s="876"/>
      <c r="G661" s="876"/>
      <c r="H661" s="876"/>
      <c r="I661" s="876"/>
      <c r="J661" s="876"/>
      <c r="K661" s="876"/>
      <c r="L661" s="876"/>
      <c r="M661" s="876"/>
      <c r="N661" s="876"/>
      <c r="O661" s="876"/>
      <c r="P661" s="876"/>
      <c r="Q661" s="870"/>
      <c r="R661" s="870"/>
      <c r="S661" s="870"/>
      <c r="T661" s="870"/>
      <c r="U661" s="870"/>
      <c r="V661" s="870"/>
      <c r="W661" s="870"/>
      <c r="X661" s="870"/>
      <c r="Y661" s="870"/>
      <c r="Z661" s="870"/>
      <c r="AA661" s="870"/>
      <c r="AB661" s="870"/>
      <c r="AC661" s="870"/>
      <c r="AD661" s="870"/>
      <c r="AE661" s="870"/>
      <c r="AF661" s="870"/>
      <c r="AG661" s="870"/>
    </row>
    <row r="662" spans="1:33" s="995" customFormat="1">
      <c r="A662" s="974"/>
      <c r="D662" s="876"/>
      <c r="E662" s="974"/>
      <c r="F662" s="876"/>
      <c r="G662" s="876"/>
      <c r="H662" s="876"/>
      <c r="I662" s="876"/>
      <c r="J662" s="876"/>
      <c r="K662" s="876"/>
      <c r="L662" s="876"/>
      <c r="M662" s="876"/>
      <c r="N662" s="876"/>
      <c r="O662" s="876"/>
      <c r="P662" s="876"/>
      <c r="Q662" s="870"/>
      <c r="R662" s="870"/>
      <c r="S662" s="870"/>
      <c r="T662" s="870"/>
      <c r="U662" s="870"/>
      <c r="V662" s="870"/>
      <c r="W662" s="870"/>
      <c r="X662" s="870"/>
      <c r="Y662" s="870"/>
      <c r="Z662" s="870"/>
      <c r="AA662" s="870"/>
      <c r="AB662" s="870"/>
      <c r="AC662" s="870"/>
      <c r="AD662" s="870"/>
      <c r="AE662" s="870"/>
      <c r="AF662" s="870"/>
      <c r="AG662" s="870"/>
    </row>
    <row r="663" spans="1:33" s="995" customFormat="1">
      <c r="A663" s="974"/>
      <c r="D663" s="876"/>
      <c r="E663" s="974"/>
      <c r="F663" s="876"/>
      <c r="G663" s="876"/>
      <c r="H663" s="876"/>
      <c r="I663" s="876"/>
      <c r="J663" s="876"/>
      <c r="K663" s="876"/>
      <c r="L663" s="876"/>
      <c r="M663" s="876"/>
      <c r="N663" s="876"/>
      <c r="O663" s="876"/>
      <c r="P663" s="876"/>
      <c r="Q663" s="870"/>
      <c r="R663" s="870"/>
      <c r="S663" s="870"/>
      <c r="T663" s="870"/>
      <c r="U663" s="870"/>
      <c r="V663" s="870"/>
      <c r="W663" s="870"/>
      <c r="X663" s="870"/>
      <c r="Y663" s="870"/>
      <c r="Z663" s="870"/>
      <c r="AA663" s="870"/>
      <c r="AB663" s="870"/>
      <c r="AC663" s="870"/>
      <c r="AD663" s="870"/>
      <c r="AE663" s="870"/>
      <c r="AF663" s="870"/>
      <c r="AG663" s="870"/>
    </row>
    <row r="664" spans="1:33" s="995" customFormat="1">
      <c r="A664" s="974"/>
      <c r="D664" s="876"/>
      <c r="E664" s="974"/>
      <c r="F664" s="876"/>
      <c r="G664" s="876"/>
      <c r="H664" s="876"/>
      <c r="I664" s="876"/>
      <c r="J664" s="876"/>
      <c r="K664" s="876"/>
      <c r="L664" s="876"/>
      <c r="M664" s="876"/>
      <c r="N664" s="876"/>
      <c r="O664" s="876"/>
      <c r="P664" s="876"/>
      <c r="Q664" s="870"/>
      <c r="R664" s="870"/>
      <c r="S664" s="870"/>
      <c r="T664" s="870"/>
      <c r="U664" s="870"/>
      <c r="V664" s="870"/>
      <c r="W664" s="870"/>
      <c r="X664" s="870"/>
      <c r="Y664" s="870"/>
      <c r="Z664" s="870"/>
      <c r="AA664" s="870"/>
      <c r="AB664" s="870"/>
      <c r="AC664" s="870"/>
      <c r="AD664" s="870"/>
      <c r="AE664" s="870"/>
      <c r="AF664" s="870"/>
      <c r="AG664" s="870"/>
    </row>
    <row r="665" spans="1:33" s="995" customFormat="1">
      <c r="A665" s="974"/>
      <c r="D665" s="876"/>
      <c r="E665" s="974"/>
      <c r="F665" s="876"/>
      <c r="G665" s="876"/>
      <c r="H665" s="876"/>
      <c r="I665" s="876"/>
      <c r="J665" s="876"/>
      <c r="K665" s="876"/>
      <c r="L665" s="876"/>
      <c r="M665" s="876"/>
      <c r="N665" s="876"/>
      <c r="O665" s="876"/>
      <c r="P665" s="876"/>
      <c r="Q665" s="870"/>
      <c r="R665" s="870"/>
      <c r="S665" s="870"/>
      <c r="T665" s="870"/>
      <c r="U665" s="870"/>
      <c r="V665" s="870"/>
      <c r="W665" s="870"/>
      <c r="X665" s="870"/>
      <c r="Y665" s="870"/>
      <c r="Z665" s="870"/>
      <c r="AA665" s="870"/>
      <c r="AB665" s="870"/>
      <c r="AC665" s="870"/>
      <c r="AD665" s="870"/>
      <c r="AE665" s="870"/>
      <c r="AF665" s="870"/>
      <c r="AG665" s="870"/>
    </row>
    <row r="666" spans="1:33" s="995" customFormat="1">
      <c r="A666" s="974"/>
      <c r="D666" s="876"/>
      <c r="E666" s="974"/>
      <c r="F666" s="876"/>
      <c r="G666" s="876"/>
      <c r="H666" s="876"/>
      <c r="I666" s="876"/>
      <c r="J666" s="876"/>
      <c r="K666" s="876"/>
      <c r="L666" s="876"/>
      <c r="M666" s="876"/>
      <c r="N666" s="876"/>
      <c r="O666" s="876"/>
      <c r="P666" s="876"/>
      <c r="Q666" s="870"/>
      <c r="R666" s="870"/>
      <c r="S666" s="870"/>
      <c r="T666" s="870"/>
      <c r="U666" s="870"/>
      <c r="V666" s="870"/>
      <c r="W666" s="870"/>
      <c r="X666" s="870"/>
      <c r="Y666" s="870"/>
      <c r="Z666" s="870"/>
      <c r="AA666" s="870"/>
      <c r="AB666" s="870"/>
      <c r="AC666" s="870"/>
      <c r="AD666" s="870"/>
      <c r="AE666" s="870"/>
      <c r="AF666" s="870"/>
      <c r="AG666" s="870"/>
    </row>
    <row r="667" spans="1:33" s="995" customFormat="1">
      <c r="A667" s="974"/>
      <c r="D667" s="876"/>
      <c r="E667" s="974"/>
      <c r="F667" s="876"/>
      <c r="G667" s="876"/>
      <c r="H667" s="876"/>
      <c r="I667" s="876"/>
      <c r="J667" s="876"/>
      <c r="K667" s="876"/>
      <c r="L667" s="876"/>
      <c r="M667" s="876"/>
      <c r="N667" s="876"/>
      <c r="O667" s="876"/>
      <c r="P667" s="876"/>
      <c r="Q667" s="870"/>
      <c r="R667" s="870"/>
      <c r="S667" s="870"/>
      <c r="T667" s="870"/>
      <c r="U667" s="870"/>
      <c r="V667" s="870"/>
      <c r="W667" s="870"/>
      <c r="X667" s="870"/>
      <c r="Y667" s="870"/>
      <c r="Z667" s="870"/>
      <c r="AA667" s="870"/>
      <c r="AB667" s="870"/>
      <c r="AC667" s="870"/>
      <c r="AD667" s="870"/>
      <c r="AE667" s="870"/>
      <c r="AF667" s="870"/>
      <c r="AG667" s="870"/>
    </row>
    <row r="668" spans="1:33" s="995" customFormat="1">
      <c r="A668" s="974"/>
      <c r="D668" s="876"/>
      <c r="E668" s="974"/>
      <c r="F668" s="876"/>
      <c r="G668" s="876"/>
      <c r="H668" s="876"/>
      <c r="I668" s="876"/>
      <c r="J668" s="876"/>
      <c r="K668" s="876"/>
      <c r="L668" s="876"/>
      <c r="M668" s="876"/>
      <c r="N668" s="876"/>
      <c r="O668" s="876"/>
      <c r="P668" s="876"/>
      <c r="Q668" s="870"/>
      <c r="R668" s="870"/>
      <c r="S668" s="870"/>
      <c r="T668" s="870"/>
      <c r="U668" s="870"/>
      <c r="V668" s="870"/>
      <c r="W668" s="870"/>
      <c r="X668" s="870"/>
      <c r="Y668" s="870"/>
      <c r="Z668" s="870"/>
      <c r="AA668" s="870"/>
      <c r="AB668" s="870"/>
      <c r="AC668" s="870"/>
      <c r="AD668" s="870"/>
      <c r="AE668" s="870"/>
      <c r="AF668" s="870"/>
      <c r="AG668" s="870"/>
    </row>
    <row r="669" spans="1:33" s="995" customFormat="1">
      <c r="A669" s="974"/>
      <c r="D669" s="876"/>
      <c r="E669" s="974"/>
      <c r="F669" s="876"/>
      <c r="G669" s="876"/>
      <c r="H669" s="876"/>
      <c r="I669" s="876"/>
      <c r="J669" s="876"/>
      <c r="K669" s="876"/>
      <c r="L669" s="876"/>
      <c r="M669" s="876"/>
      <c r="N669" s="876"/>
      <c r="O669" s="876"/>
      <c r="P669" s="876"/>
      <c r="Q669" s="870"/>
      <c r="R669" s="870"/>
      <c r="S669" s="870"/>
      <c r="T669" s="870"/>
      <c r="U669" s="870"/>
      <c r="V669" s="870"/>
      <c r="W669" s="870"/>
      <c r="X669" s="870"/>
      <c r="Y669" s="870"/>
      <c r="Z669" s="870"/>
      <c r="AA669" s="870"/>
      <c r="AB669" s="870"/>
      <c r="AC669" s="870"/>
      <c r="AD669" s="870"/>
      <c r="AE669" s="870"/>
      <c r="AF669" s="870"/>
      <c r="AG669" s="870"/>
    </row>
    <row r="670" spans="1:33" s="995" customFormat="1">
      <c r="A670" s="974"/>
      <c r="D670" s="876"/>
      <c r="E670" s="974"/>
      <c r="F670" s="876"/>
      <c r="G670" s="876"/>
      <c r="H670" s="876"/>
      <c r="I670" s="876"/>
      <c r="J670" s="876"/>
      <c r="K670" s="876"/>
      <c r="L670" s="876"/>
      <c r="M670" s="876"/>
      <c r="N670" s="876"/>
      <c r="O670" s="876"/>
      <c r="P670" s="876"/>
      <c r="Q670" s="870"/>
      <c r="R670" s="870"/>
      <c r="S670" s="870"/>
      <c r="T670" s="870"/>
      <c r="U670" s="870"/>
      <c r="V670" s="870"/>
      <c r="W670" s="870"/>
      <c r="X670" s="870"/>
      <c r="Y670" s="870"/>
      <c r="Z670" s="870"/>
      <c r="AA670" s="870"/>
      <c r="AB670" s="870"/>
      <c r="AC670" s="870"/>
      <c r="AD670" s="870"/>
      <c r="AE670" s="870"/>
      <c r="AF670" s="870"/>
      <c r="AG670" s="870"/>
    </row>
    <row r="671" spans="1:33" s="995" customFormat="1">
      <c r="A671" s="974"/>
      <c r="D671" s="876"/>
      <c r="E671" s="974"/>
      <c r="F671" s="876"/>
      <c r="G671" s="876"/>
      <c r="H671" s="876"/>
      <c r="I671" s="876"/>
      <c r="J671" s="876"/>
      <c r="K671" s="876"/>
      <c r="L671" s="876"/>
      <c r="M671" s="876"/>
      <c r="N671" s="876"/>
      <c r="O671" s="876"/>
      <c r="P671" s="876"/>
      <c r="Q671" s="870"/>
      <c r="R671" s="870"/>
      <c r="S671" s="870"/>
      <c r="T671" s="870"/>
      <c r="U671" s="870"/>
      <c r="V671" s="870"/>
      <c r="W671" s="870"/>
      <c r="X671" s="870"/>
      <c r="Y671" s="870"/>
      <c r="Z671" s="870"/>
      <c r="AA671" s="870"/>
      <c r="AB671" s="870"/>
      <c r="AC671" s="870"/>
      <c r="AD671" s="870"/>
      <c r="AE671" s="870"/>
      <c r="AF671" s="870"/>
      <c r="AG671" s="870"/>
    </row>
    <row r="672" spans="1:33" s="995" customFormat="1">
      <c r="A672" s="974"/>
      <c r="D672" s="876"/>
      <c r="E672" s="974"/>
      <c r="F672" s="876"/>
      <c r="G672" s="876"/>
      <c r="H672" s="876"/>
      <c r="I672" s="876"/>
      <c r="J672" s="876"/>
      <c r="K672" s="876"/>
      <c r="L672" s="876"/>
      <c r="M672" s="876"/>
      <c r="N672" s="876"/>
      <c r="O672" s="876"/>
      <c r="P672" s="876"/>
      <c r="Q672" s="870"/>
      <c r="R672" s="870"/>
      <c r="S672" s="870"/>
      <c r="T672" s="870"/>
      <c r="U672" s="870"/>
      <c r="V672" s="870"/>
      <c r="W672" s="870"/>
      <c r="X672" s="870"/>
      <c r="Y672" s="870"/>
      <c r="Z672" s="870"/>
      <c r="AA672" s="870"/>
      <c r="AB672" s="870"/>
      <c r="AC672" s="870"/>
      <c r="AD672" s="870"/>
      <c r="AE672" s="870"/>
      <c r="AF672" s="870"/>
      <c r="AG672" s="870"/>
    </row>
    <row r="673" spans="1:33" s="995" customFormat="1">
      <c r="A673" s="974"/>
      <c r="D673" s="876"/>
      <c r="E673" s="974"/>
      <c r="F673" s="876"/>
      <c r="G673" s="876"/>
      <c r="H673" s="876"/>
      <c r="I673" s="876"/>
      <c r="J673" s="876"/>
      <c r="K673" s="876"/>
      <c r="L673" s="876"/>
      <c r="M673" s="876"/>
      <c r="N673" s="876"/>
      <c r="O673" s="876"/>
      <c r="P673" s="876"/>
      <c r="Q673" s="870"/>
      <c r="R673" s="870"/>
      <c r="S673" s="870"/>
      <c r="T673" s="870"/>
      <c r="U673" s="870"/>
      <c r="V673" s="870"/>
      <c r="W673" s="870"/>
      <c r="X673" s="870"/>
      <c r="Y673" s="870"/>
      <c r="Z673" s="870"/>
      <c r="AA673" s="870"/>
      <c r="AB673" s="870"/>
      <c r="AC673" s="870"/>
      <c r="AD673" s="870"/>
      <c r="AE673" s="870"/>
      <c r="AF673" s="870"/>
      <c r="AG673" s="870"/>
    </row>
    <row r="674" spans="1:33" s="995" customFormat="1">
      <c r="A674" s="974"/>
      <c r="D674" s="876"/>
      <c r="E674" s="974"/>
      <c r="F674" s="876"/>
      <c r="G674" s="876"/>
      <c r="H674" s="876"/>
      <c r="I674" s="876"/>
      <c r="J674" s="876"/>
      <c r="K674" s="876"/>
      <c r="L674" s="876"/>
      <c r="M674" s="876"/>
      <c r="N674" s="876"/>
      <c r="O674" s="876"/>
      <c r="P674" s="876"/>
      <c r="Q674" s="870"/>
      <c r="R674" s="870"/>
      <c r="S674" s="870"/>
      <c r="T674" s="870"/>
      <c r="U674" s="870"/>
      <c r="V674" s="870"/>
      <c r="W674" s="870"/>
      <c r="X674" s="870"/>
      <c r="Y674" s="870"/>
      <c r="Z674" s="870"/>
      <c r="AA674" s="870"/>
      <c r="AB674" s="870"/>
      <c r="AC674" s="870"/>
      <c r="AD674" s="870"/>
      <c r="AE674" s="870"/>
      <c r="AF674" s="870"/>
      <c r="AG674" s="870"/>
    </row>
    <row r="675" spans="1:33" s="995" customFormat="1">
      <c r="A675" s="974"/>
      <c r="D675" s="876"/>
      <c r="E675" s="974"/>
      <c r="F675" s="876"/>
      <c r="G675" s="876"/>
      <c r="H675" s="876"/>
      <c r="I675" s="876"/>
      <c r="J675" s="876"/>
      <c r="K675" s="876"/>
      <c r="L675" s="876"/>
      <c r="M675" s="876"/>
      <c r="N675" s="876"/>
      <c r="O675" s="876"/>
      <c r="P675" s="876"/>
      <c r="Q675" s="870"/>
      <c r="R675" s="870"/>
      <c r="S675" s="870"/>
      <c r="T675" s="870"/>
      <c r="U675" s="870"/>
      <c r="V675" s="870"/>
      <c r="W675" s="870"/>
      <c r="X675" s="870"/>
      <c r="Y675" s="870"/>
      <c r="Z675" s="870"/>
      <c r="AA675" s="870"/>
      <c r="AB675" s="870"/>
      <c r="AC675" s="870"/>
      <c r="AD675" s="870"/>
      <c r="AE675" s="870"/>
      <c r="AF675" s="870"/>
      <c r="AG675" s="870"/>
    </row>
    <row r="676" spans="1:33" s="995" customFormat="1">
      <c r="A676" s="974"/>
      <c r="D676" s="876"/>
      <c r="E676" s="974"/>
      <c r="F676" s="876"/>
      <c r="G676" s="876"/>
      <c r="H676" s="876"/>
      <c r="I676" s="876"/>
      <c r="J676" s="876"/>
      <c r="K676" s="876"/>
      <c r="L676" s="876"/>
      <c r="M676" s="876"/>
      <c r="N676" s="876"/>
      <c r="O676" s="876"/>
      <c r="P676" s="876"/>
      <c r="Q676" s="870"/>
      <c r="R676" s="870"/>
      <c r="S676" s="870"/>
      <c r="T676" s="870"/>
      <c r="U676" s="870"/>
      <c r="V676" s="870"/>
      <c r="W676" s="870"/>
      <c r="X676" s="870"/>
      <c r="Y676" s="870"/>
      <c r="Z676" s="870"/>
      <c r="AA676" s="870"/>
      <c r="AB676" s="870"/>
      <c r="AC676" s="870"/>
      <c r="AD676" s="870"/>
      <c r="AE676" s="870"/>
      <c r="AF676" s="870"/>
      <c r="AG676" s="870"/>
    </row>
    <row r="677" spans="1:33" s="995" customFormat="1">
      <c r="A677" s="974"/>
      <c r="D677" s="876"/>
      <c r="E677" s="974"/>
      <c r="F677" s="876"/>
      <c r="G677" s="876"/>
      <c r="H677" s="876"/>
      <c r="I677" s="876"/>
      <c r="J677" s="876"/>
      <c r="K677" s="876"/>
      <c r="L677" s="876"/>
      <c r="M677" s="876"/>
      <c r="N677" s="876"/>
      <c r="O677" s="876"/>
      <c r="P677" s="876"/>
      <c r="Q677" s="870"/>
      <c r="R677" s="870"/>
      <c r="S677" s="870"/>
      <c r="T677" s="870"/>
      <c r="U677" s="870"/>
      <c r="V677" s="870"/>
      <c r="W677" s="870"/>
      <c r="X677" s="870"/>
      <c r="Y677" s="870"/>
      <c r="Z677" s="870"/>
      <c r="AA677" s="870"/>
      <c r="AB677" s="870"/>
      <c r="AC677" s="870"/>
      <c r="AD677" s="870"/>
      <c r="AE677" s="870"/>
      <c r="AF677" s="870"/>
      <c r="AG677" s="870"/>
    </row>
    <row r="678" spans="1:33" s="995" customFormat="1">
      <c r="A678" s="974"/>
      <c r="D678" s="876"/>
      <c r="E678" s="974"/>
      <c r="F678" s="876"/>
      <c r="G678" s="876"/>
      <c r="H678" s="876"/>
      <c r="I678" s="876"/>
      <c r="J678" s="876"/>
      <c r="K678" s="876"/>
      <c r="L678" s="876"/>
      <c r="M678" s="876"/>
      <c r="N678" s="876"/>
      <c r="O678" s="876"/>
      <c r="P678" s="876"/>
      <c r="Q678" s="870"/>
      <c r="R678" s="870"/>
      <c r="S678" s="870"/>
      <c r="T678" s="870"/>
      <c r="U678" s="870"/>
      <c r="V678" s="870"/>
      <c r="W678" s="870"/>
      <c r="X678" s="870"/>
      <c r="Y678" s="870"/>
      <c r="Z678" s="870"/>
      <c r="AA678" s="870"/>
      <c r="AB678" s="870"/>
      <c r="AC678" s="870"/>
      <c r="AD678" s="870"/>
      <c r="AE678" s="870"/>
      <c r="AF678" s="870"/>
      <c r="AG678" s="870"/>
    </row>
    <row r="679" spans="1:33" s="995" customFormat="1">
      <c r="A679" s="974"/>
      <c r="D679" s="876"/>
      <c r="E679" s="974"/>
      <c r="F679" s="876"/>
      <c r="G679" s="876"/>
      <c r="H679" s="876"/>
      <c r="I679" s="876"/>
      <c r="J679" s="876"/>
      <c r="K679" s="876"/>
      <c r="L679" s="876"/>
      <c r="M679" s="876"/>
      <c r="N679" s="876"/>
      <c r="O679" s="876"/>
      <c r="P679" s="876"/>
      <c r="Q679" s="870"/>
      <c r="R679" s="870"/>
      <c r="S679" s="870"/>
      <c r="T679" s="870"/>
      <c r="U679" s="870"/>
      <c r="V679" s="870"/>
      <c r="W679" s="870"/>
      <c r="X679" s="870"/>
      <c r="Y679" s="870"/>
      <c r="Z679" s="870"/>
      <c r="AA679" s="870"/>
      <c r="AB679" s="870"/>
      <c r="AC679" s="870"/>
      <c r="AD679" s="870"/>
      <c r="AE679" s="870"/>
      <c r="AF679" s="870"/>
      <c r="AG679" s="870"/>
    </row>
    <row r="680" spans="1:33" s="995" customFormat="1">
      <c r="A680" s="974"/>
      <c r="D680" s="876"/>
      <c r="E680" s="974"/>
      <c r="F680" s="876"/>
      <c r="G680" s="876"/>
      <c r="H680" s="876"/>
      <c r="I680" s="876"/>
      <c r="J680" s="876"/>
      <c r="K680" s="876"/>
      <c r="L680" s="876"/>
      <c r="M680" s="876"/>
      <c r="N680" s="876"/>
      <c r="O680" s="876"/>
      <c r="P680" s="876"/>
      <c r="Q680" s="870"/>
      <c r="R680" s="870"/>
      <c r="S680" s="870"/>
      <c r="T680" s="870"/>
      <c r="U680" s="870"/>
      <c r="V680" s="870"/>
      <c r="W680" s="870"/>
      <c r="X680" s="870"/>
      <c r="Y680" s="870"/>
      <c r="Z680" s="870"/>
      <c r="AA680" s="870"/>
      <c r="AB680" s="870"/>
      <c r="AC680" s="870"/>
      <c r="AD680" s="870"/>
      <c r="AE680" s="870"/>
      <c r="AF680" s="870"/>
      <c r="AG680" s="870"/>
    </row>
    <row r="681" spans="1:33" s="995" customFormat="1">
      <c r="A681" s="974"/>
      <c r="D681" s="876"/>
      <c r="E681" s="974"/>
      <c r="F681" s="876"/>
      <c r="G681" s="876"/>
      <c r="H681" s="876"/>
      <c r="I681" s="876"/>
      <c r="J681" s="876"/>
      <c r="K681" s="876"/>
      <c r="L681" s="876"/>
      <c r="M681" s="876"/>
      <c r="N681" s="876"/>
      <c r="O681" s="876"/>
      <c r="P681" s="876"/>
      <c r="Q681" s="870"/>
      <c r="R681" s="870"/>
      <c r="S681" s="870"/>
      <c r="T681" s="870"/>
      <c r="U681" s="870"/>
      <c r="V681" s="870"/>
      <c r="W681" s="870"/>
      <c r="X681" s="870"/>
      <c r="Y681" s="870"/>
      <c r="Z681" s="870"/>
      <c r="AA681" s="870"/>
      <c r="AB681" s="870"/>
      <c r="AC681" s="870"/>
      <c r="AD681" s="870"/>
      <c r="AE681" s="870"/>
      <c r="AF681" s="870"/>
      <c r="AG681" s="870"/>
    </row>
    <row r="682" spans="1:33" s="995" customFormat="1">
      <c r="A682" s="974"/>
      <c r="D682" s="876"/>
      <c r="E682" s="974"/>
      <c r="F682" s="876"/>
      <c r="G682" s="876"/>
      <c r="H682" s="876"/>
      <c r="I682" s="876"/>
      <c r="J682" s="876"/>
      <c r="K682" s="876"/>
      <c r="L682" s="876"/>
      <c r="M682" s="876"/>
      <c r="N682" s="876"/>
      <c r="O682" s="876"/>
      <c r="P682" s="876"/>
      <c r="Q682" s="870"/>
      <c r="R682" s="870"/>
      <c r="S682" s="870"/>
      <c r="T682" s="870"/>
      <c r="U682" s="870"/>
      <c r="V682" s="870"/>
      <c r="W682" s="870"/>
      <c r="X682" s="870"/>
      <c r="Y682" s="870"/>
      <c r="Z682" s="870"/>
      <c r="AA682" s="870"/>
      <c r="AB682" s="870"/>
      <c r="AC682" s="870"/>
      <c r="AD682" s="870"/>
      <c r="AE682" s="870"/>
      <c r="AF682" s="870"/>
      <c r="AG682" s="870"/>
    </row>
    <row r="683" spans="1:33" s="995" customFormat="1">
      <c r="A683" s="974"/>
      <c r="D683" s="876"/>
      <c r="E683" s="974"/>
      <c r="F683" s="876"/>
      <c r="G683" s="876"/>
      <c r="H683" s="876"/>
      <c r="I683" s="876"/>
      <c r="J683" s="876"/>
      <c r="K683" s="876"/>
      <c r="L683" s="876"/>
      <c r="M683" s="876"/>
      <c r="N683" s="876"/>
      <c r="O683" s="876"/>
      <c r="P683" s="876"/>
      <c r="Q683" s="870"/>
      <c r="R683" s="870"/>
      <c r="S683" s="870"/>
      <c r="T683" s="870"/>
      <c r="U683" s="870"/>
      <c r="V683" s="870"/>
      <c r="W683" s="870"/>
      <c r="X683" s="870"/>
      <c r="Y683" s="870"/>
      <c r="Z683" s="870"/>
      <c r="AA683" s="870"/>
      <c r="AB683" s="870"/>
      <c r="AC683" s="870"/>
      <c r="AD683" s="870"/>
      <c r="AE683" s="870"/>
      <c r="AF683" s="870"/>
      <c r="AG683" s="870"/>
    </row>
    <row r="684" spans="1:33" s="995" customFormat="1">
      <c r="A684" s="974"/>
      <c r="D684" s="876"/>
      <c r="E684" s="974"/>
      <c r="F684" s="876"/>
      <c r="G684" s="876"/>
      <c r="H684" s="876"/>
      <c r="I684" s="876"/>
      <c r="J684" s="876"/>
      <c r="K684" s="876"/>
      <c r="L684" s="876"/>
      <c r="M684" s="876"/>
      <c r="N684" s="876"/>
      <c r="O684" s="876"/>
      <c r="P684" s="876"/>
      <c r="Q684" s="870"/>
      <c r="R684" s="870"/>
      <c r="S684" s="870"/>
      <c r="T684" s="870"/>
      <c r="U684" s="870"/>
      <c r="V684" s="870"/>
      <c r="W684" s="870"/>
      <c r="X684" s="870"/>
      <c r="Y684" s="870"/>
      <c r="Z684" s="870"/>
      <c r="AA684" s="870"/>
      <c r="AB684" s="870"/>
      <c r="AC684" s="870"/>
      <c r="AD684" s="870"/>
      <c r="AE684" s="870"/>
      <c r="AF684" s="870"/>
      <c r="AG684" s="870"/>
    </row>
    <row r="685" spans="1:33" s="995" customFormat="1">
      <c r="A685" s="974"/>
      <c r="D685" s="876"/>
      <c r="E685" s="974"/>
      <c r="F685" s="876"/>
      <c r="G685" s="876"/>
      <c r="H685" s="876"/>
      <c r="I685" s="876"/>
      <c r="J685" s="876"/>
      <c r="K685" s="876"/>
      <c r="L685" s="876"/>
      <c r="M685" s="876"/>
      <c r="N685" s="876"/>
      <c r="O685" s="876"/>
      <c r="P685" s="876"/>
      <c r="Q685" s="870"/>
      <c r="R685" s="870"/>
      <c r="S685" s="870"/>
      <c r="T685" s="870"/>
      <c r="U685" s="870"/>
      <c r="V685" s="870"/>
      <c r="W685" s="870"/>
      <c r="X685" s="870"/>
      <c r="Y685" s="870"/>
      <c r="Z685" s="870"/>
      <c r="AA685" s="870"/>
      <c r="AB685" s="870"/>
      <c r="AC685" s="870"/>
      <c r="AD685" s="870"/>
      <c r="AE685" s="870"/>
      <c r="AF685" s="870"/>
      <c r="AG685" s="870"/>
    </row>
    <row r="686" spans="1:33" s="995" customFormat="1">
      <c r="A686" s="974"/>
      <c r="D686" s="876"/>
      <c r="E686" s="974"/>
      <c r="F686" s="876"/>
      <c r="G686" s="876"/>
      <c r="H686" s="876"/>
      <c r="I686" s="876"/>
      <c r="J686" s="876"/>
      <c r="K686" s="876"/>
      <c r="L686" s="876"/>
      <c r="M686" s="876"/>
      <c r="N686" s="876"/>
      <c r="O686" s="876"/>
      <c r="P686" s="876"/>
      <c r="Q686" s="870"/>
      <c r="R686" s="870"/>
      <c r="S686" s="870"/>
      <c r="T686" s="870"/>
      <c r="U686" s="870"/>
      <c r="V686" s="870"/>
      <c r="W686" s="870"/>
      <c r="X686" s="870"/>
      <c r="Y686" s="870"/>
      <c r="Z686" s="870"/>
      <c r="AA686" s="870"/>
      <c r="AB686" s="870"/>
      <c r="AC686" s="870"/>
      <c r="AD686" s="870"/>
      <c r="AE686" s="870"/>
      <c r="AF686" s="870"/>
      <c r="AG686" s="870"/>
    </row>
    <row r="687" spans="1:33" s="995" customFormat="1">
      <c r="A687" s="974"/>
      <c r="D687" s="876"/>
      <c r="E687" s="974"/>
      <c r="F687" s="876"/>
      <c r="G687" s="876"/>
      <c r="H687" s="876"/>
      <c r="I687" s="876"/>
      <c r="J687" s="876"/>
      <c r="K687" s="876"/>
      <c r="L687" s="876"/>
      <c r="M687" s="876"/>
      <c r="N687" s="876"/>
      <c r="O687" s="876"/>
      <c r="P687" s="876"/>
      <c r="Q687" s="870"/>
      <c r="R687" s="870"/>
      <c r="S687" s="870"/>
      <c r="T687" s="870"/>
      <c r="U687" s="870"/>
      <c r="V687" s="870"/>
      <c r="W687" s="870"/>
      <c r="X687" s="870"/>
      <c r="Y687" s="870"/>
      <c r="Z687" s="870"/>
      <c r="AA687" s="870"/>
      <c r="AB687" s="870"/>
      <c r="AC687" s="870"/>
      <c r="AD687" s="870"/>
      <c r="AE687" s="870"/>
      <c r="AF687" s="870"/>
      <c r="AG687" s="870"/>
    </row>
    <row r="688" spans="1:33" s="995" customFormat="1">
      <c r="A688" s="974"/>
      <c r="D688" s="876"/>
      <c r="E688" s="974"/>
      <c r="F688" s="876"/>
      <c r="G688" s="876"/>
      <c r="H688" s="876"/>
      <c r="I688" s="876"/>
      <c r="J688" s="876"/>
      <c r="K688" s="876"/>
      <c r="L688" s="876"/>
      <c r="M688" s="876"/>
      <c r="N688" s="876"/>
      <c r="O688" s="876"/>
      <c r="P688" s="876"/>
      <c r="Q688" s="870"/>
      <c r="R688" s="870"/>
      <c r="S688" s="870"/>
      <c r="T688" s="870"/>
      <c r="U688" s="870"/>
      <c r="V688" s="870"/>
      <c r="W688" s="870"/>
      <c r="X688" s="870"/>
      <c r="Y688" s="870"/>
      <c r="Z688" s="870"/>
      <c r="AA688" s="870"/>
      <c r="AB688" s="870"/>
      <c r="AC688" s="870"/>
      <c r="AD688" s="870"/>
      <c r="AE688" s="870"/>
      <c r="AF688" s="870"/>
      <c r="AG688" s="870"/>
    </row>
    <row r="689" spans="1:33" s="995" customFormat="1">
      <c r="A689" s="974"/>
      <c r="D689" s="876"/>
      <c r="E689" s="974"/>
      <c r="F689" s="876"/>
      <c r="G689" s="876"/>
      <c r="H689" s="876"/>
      <c r="I689" s="876"/>
      <c r="J689" s="876"/>
      <c r="K689" s="876"/>
      <c r="L689" s="876"/>
      <c r="M689" s="876"/>
      <c r="N689" s="876"/>
      <c r="O689" s="876"/>
      <c r="P689" s="876"/>
      <c r="Q689" s="870"/>
      <c r="R689" s="870"/>
      <c r="S689" s="870"/>
      <c r="T689" s="870"/>
      <c r="U689" s="870"/>
      <c r="V689" s="870"/>
      <c r="W689" s="870"/>
      <c r="X689" s="870"/>
      <c r="Y689" s="870"/>
      <c r="Z689" s="870"/>
      <c r="AA689" s="870"/>
      <c r="AB689" s="870"/>
      <c r="AC689" s="870"/>
      <c r="AD689" s="870"/>
      <c r="AE689" s="870"/>
      <c r="AF689" s="870"/>
      <c r="AG689" s="870"/>
    </row>
    <row r="690" spans="1:33" s="995" customFormat="1">
      <c r="A690" s="974"/>
      <c r="D690" s="876"/>
      <c r="E690" s="974"/>
      <c r="F690" s="876"/>
      <c r="G690" s="876"/>
      <c r="H690" s="876"/>
      <c r="I690" s="876"/>
      <c r="J690" s="876"/>
      <c r="K690" s="876"/>
      <c r="L690" s="876"/>
      <c r="M690" s="876"/>
      <c r="N690" s="876"/>
      <c r="O690" s="876"/>
      <c r="P690" s="876"/>
      <c r="Q690" s="870"/>
      <c r="R690" s="870"/>
      <c r="S690" s="870"/>
      <c r="T690" s="870"/>
      <c r="U690" s="870"/>
      <c r="V690" s="870"/>
      <c r="W690" s="870"/>
      <c r="X690" s="870"/>
      <c r="Y690" s="870"/>
      <c r="Z690" s="870"/>
      <c r="AA690" s="870"/>
      <c r="AB690" s="870"/>
      <c r="AC690" s="870"/>
      <c r="AD690" s="870"/>
      <c r="AE690" s="870"/>
      <c r="AF690" s="870"/>
      <c r="AG690" s="870"/>
    </row>
    <row r="691" spans="1:33" s="995" customFormat="1">
      <c r="A691" s="974"/>
      <c r="D691" s="876"/>
      <c r="E691" s="974"/>
      <c r="F691" s="876"/>
      <c r="G691" s="876"/>
      <c r="H691" s="876"/>
      <c r="I691" s="876"/>
      <c r="J691" s="876"/>
      <c r="K691" s="876"/>
      <c r="L691" s="876"/>
      <c r="M691" s="876"/>
      <c r="N691" s="876"/>
      <c r="O691" s="876"/>
      <c r="P691" s="876"/>
      <c r="Q691" s="870"/>
      <c r="R691" s="870"/>
      <c r="S691" s="870"/>
      <c r="T691" s="870"/>
      <c r="U691" s="870"/>
      <c r="V691" s="870"/>
      <c r="W691" s="870"/>
      <c r="X691" s="870"/>
      <c r="Y691" s="870"/>
      <c r="Z691" s="870"/>
      <c r="AA691" s="870"/>
      <c r="AB691" s="870"/>
      <c r="AC691" s="870"/>
      <c r="AD691" s="870"/>
      <c r="AE691" s="870"/>
      <c r="AF691" s="870"/>
      <c r="AG691" s="870"/>
    </row>
    <row r="692" spans="1:33" s="995" customFormat="1">
      <c r="A692" s="974"/>
      <c r="D692" s="876"/>
      <c r="E692" s="974"/>
      <c r="F692" s="876"/>
      <c r="G692" s="876"/>
      <c r="H692" s="876"/>
      <c r="I692" s="876"/>
      <c r="J692" s="876"/>
      <c r="K692" s="876"/>
      <c r="L692" s="876"/>
      <c r="M692" s="876"/>
      <c r="N692" s="876"/>
      <c r="O692" s="876"/>
      <c r="P692" s="876"/>
      <c r="Q692" s="870"/>
      <c r="R692" s="870"/>
      <c r="S692" s="870"/>
      <c r="T692" s="870"/>
      <c r="U692" s="870"/>
      <c r="V692" s="870"/>
      <c r="W692" s="870"/>
      <c r="X692" s="870"/>
      <c r="Y692" s="870"/>
      <c r="Z692" s="870"/>
      <c r="AA692" s="870"/>
      <c r="AB692" s="870"/>
      <c r="AC692" s="870"/>
      <c r="AD692" s="870"/>
      <c r="AE692" s="870"/>
      <c r="AF692" s="870"/>
      <c r="AG692" s="870"/>
    </row>
    <row r="693" spans="1:33" s="995" customFormat="1">
      <c r="A693" s="974"/>
      <c r="D693" s="876"/>
      <c r="E693" s="974"/>
      <c r="F693" s="876"/>
      <c r="G693" s="876"/>
      <c r="H693" s="876"/>
      <c r="I693" s="876"/>
      <c r="J693" s="876"/>
      <c r="K693" s="876"/>
      <c r="L693" s="876"/>
      <c r="M693" s="876"/>
      <c r="N693" s="876"/>
      <c r="O693" s="876"/>
      <c r="P693" s="876"/>
      <c r="Q693" s="870"/>
      <c r="R693" s="870"/>
      <c r="S693" s="870"/>
      <c r="T693" s="870"/>
      <c r="U693" s="870"/>
      <c r="V693" s="870"/>
      <c r="W693" s="870"/>
      <c r="X693" s="870"/>
      <c r="Y693" s="870"/>
      <c r="Z693" s="870"/>
      <c r="AA693" s="870"/>
      <c r="AB693" s="870"/>
      <c r="AC693" s="870"/>
      <c r="AD693" s="870"/>
      <c r="AE693" s="870"/>
      <c r="AF693" s="870"/>
      <c r="AG693" s="870"/>
    </row>
    <row r="694" spans="1:33" s="995" customFormat="1">
      <c r="A694" s="974"/>
      <c r="D694" s="876"/>
      <c r="E694" s="974"/>
      <c r="F694" s="876"/>
      <c r="G694" s="876"/>
      <c r="H694" s="876"/>
      <c r="I694" s="876"/>
      <c r="J694" s="876"/>
      <c r="K694" s="876"/>
      <c r="L694" s="876"/>
      <c r="M694" s="876"/>
      <c r="N694" s="876"/>
      <c r="O694" s="876"/>
      <c r="P694" s="876"/>
      <c r="Q694" s="870"/>
      <c r="R694" s="870"/>
      <c r="S694" s="870"/>
      <c r="T694" s="870"/>
      <c r="U694" s="870"/>
      <c r="V694" s="870"/>
      <c r="W694" s="870"/>
      <c r="X694" s="870"/>
      <c r="Y694" s="870"/>
      <c r="Z694" s="870"/>
      <c r="AA694" s="870"/>
      <c r="AB694" s="870"/>
      <c r="AC694" s="870"/>
      <c r="AD694" s="870"/>
      <c r="AE694" s="870"/>
      <c r="AF694" s="870"/>
      <c r="AG694" s="870"/>
    </row>
    <row r="695" spans="1:33" s="995" customFormat="1">
      <c r="A695" s="974"/>
      <c r="D695" s="876"/>
      <c r="E695" s="974"/>
      <c r="F695" s="876"/>
      <c r="G695" s="876"/>
      <c r="H695" s="876"/>
      <c r="I695" s="876"/>
      <c r="J695" s="876"/>
      <c r="K695" s="876"/>
      <c r="L695" s="876"/>
      <c r="M695" s="876"/>
      <c r="N695" s="876"/>
      <c r="O695" s="876"/>
      <c r="P695" s="876"/>
      <c r="Q695" s="870"/>
      <c r="R695" s="870"/>
      <c r="S695" s="870"/>
      <c r="T695" s="870"/>
      <c r="U695" s="870"/>
      <c r="V695" s="870"/>
      <c r="W695" s="870"/>
      <c r="X695" s="870"/>
      <c r="Y695" s="870"/>
      <c r="Z695" s="870"/>
      <c r="AA695" s="870"/>
      <c r="AB695" s="870"/>
      <c r="AC695" s="870"/>
      <c r="AD695" s="870"/>
      <c r="AE695" s="870"/>
      <c r="AF695" s="870"/>
      <c r="AG695" s="870"/>
    </row>
    <row r="696" spans="1:33" s="995" customFormat="1">
      <c r="A696" s="974"/>
      <c r="D696" s="876"/>
      <c r="E696" s="974"/>
      <c r="F696" s="876"/>
      <c r="G696" s="876"/>
      <c r="H696" s="876"/>
      <c r="I696" s="876"/>
      <c r="J696" s="876"/>
      <c r="K696" s="876"/>
      <c r="L696" s="876"/>
      <c r="M696" s="876"/>
      <c r="N696" s="876"/>
      <c r="O696" s="876"/>
      <c r="P696" s="876"/>
      <c r="Q696" s="870"/>
      <c r="R696" s="870"/>
      <c r="S696" s="870"/>
      <c r="T696" s="870"/>
      <c r="U696" s="870"/>
      <c r="V696" s="870"/>
      <c r="W696" s="870"/>
      <c r="X696" s="870"/>
      <c r="Y696" s="870"/>
      <c r="Z696" s="870"/>
      <c r="AA696" s="870"/>
      <c r="AB696" s="870"/>
      <c r="AC696" s="870"/>
      <c r="AD696" s="870"/>
      <c r="AE696" s="870"/>
      <c r="AF696" s="870"/>
      <c r="AG696" s="870"/>
    </row>
    <row r="697" spans="1:33" s="995" customFormat="1">
      <c r="A697" s="974"/>
      <c r="D697" s="876"/>
      <c r="E697" s="974"/>
      <c r="F697" s="876"/>
      <c r="G697" s="876"/>
      <c r="H697" s="876"/>
      <c r="I697" s="876"/>
      <c r="J697" s="876"/>
      <c r="K697" s="876"/>
      <c r="L697" s="876"/>
      <c r="M697" s="876"/>
      <c r="N697" s="876"/>
      <c r="O697" s="876"/>
      <c r="P697" s="876"/>
      <c r="Q697" s="870"/>
      <c r="R697" s="870"/>
      <c r="S697" s="870"/>
      <c r="T697" s="870"/>
      <c r="U697" s="870"/>
      <c r="V697" s="870"/>
      <c r="W697" s="870"/>
      <c r="X697" s="870"/>
      <c r="Y697" s="870"/>
      <c r="Z697" s="870"/>
      <c r="AA697" s="870"/>
      <c r="AB697" s="870"/>
      <c r="AC697" s="870"/>
      <c r="AD697" s="870"/>
      <c r="AE697" s="870"/>
      <c r="AF697" s="870"/>
      <c r="AG697" s="870"/>
    </row>
    <row r="698" spans="1:33" s="995" customFormat="1">
      <c r="A698" s="974"/>
      <c r="D698" s="876"/>
      <c r="E698" s="974"/>
      <c r="F698" s="876"/>
      <c r="G698" s="876"/>
      <c r="H698" s="876"/>
      <c r="I698" s="876"/>
      <c r="J698" s="876"/>
      <c r="K698" s="876"/>
      <c r="L698" s="876"/>
      <c r="M698" s="876"/>
      <c r="N698" s="876"/>
      <c r="O698" s="876"/>
      <c r="P698" s="876"/>
      <c r="Q698" s="870"/>
      <c r="R698" s="870"/>
      <c r="S698" s="870"/>
      <c r="T698" s="870"/>
      <c r="U698" s="870"/>
      <c r="V698" s="870"/>
      <c r="W698" s="870"/>
      <c r="X698" s="870"/>
      <c r="Y698" s="870"/>
      <c r="Z698" s="870"/>
      <c r="AA698" s="870"/>
      <c r="AB698" s="870"/>
      <c r="AC698" s="870"/>
      <c r="AD698" s="870"/>
      <c r="AE698" s="870"/>
      <c r="AF698" s="870"/>
      <c r="AG698" s="870"/>
    </row>
    <row r="699" spans="1:33" s="995" customFormat="1">
      <c r="A699" s="974"/>
      <c r="D699" s="876"/>
      <c r="E699" s="974"/>
      <c r="F699" s="876"/>
      <c r="G699" s="876"/>
      <c r="H699" s="876"/>
      <c r="I699" s="876"/>
      <c r="J699" s="876"/>
      <c r="K699" s="876"/>
      <c r="L699" s="876"/>
      <c r="M699" s="876"/>
      <c r="N699" s="876"/>
      <c r="O699" s="876"/>
      <c r="P699" s="876"/>
      <c r="Q699" s="870"/>
      <c r="R699" s="870"/>
      <c r="S699" s="870"/>
      <c r="T699" s="870"/>
      <c r="U699" s="870"/>
      <c r="V699" s="870"/>
      <c r="W699" s="870"/>
      <c r="X699" s="870"/>
      <c r="Y699" s="870"/>
      <c r="Z699" s="870"/>
      <c r="AA699" s="870"/>
      <c r="AB699" s="870"/>
      <c r="AC699" s="870"/>
      <c r="AD699" s="870"/>
      <c r="AE699" s="870"/>
      <c r="AF699" s="870"/>
      <c r="AG699" s="870"/>
    </row>
    <row r="700" spans="1:33" s="995" customFormat="1">
      <c r="A700" s="974"/>
      <c r="D700" s="876"/>
      <c r="E700" s="974"/>
      <c r="F700" s="876"/>
      <c r="G700" s="876"/>
      <c r="H700" s="876"/>
      <c r="I700" s="876"/>
      <c r="J700" s="876"/>
      <c r="K700" s="876"/>
      <c r="L700" s="876"/>
      <c r="M700" s="876"/>
      <c r="N700" s="876"/>
      <c r="O700" s="876"/>
      <c r="P700" s="876"/>
      <c r="Q700" s="870"/>
      <c r="R700" s="870"/>
      <c r="S700" s="870"/>
      <c r="T700" s="870"/>
      <c r="U700" s="870"/>
      <c r="V700" s="870"/>
      <c r="W700" s="870"/>
      <c r="X700" s="870"/>
      <c r="Y700" s="870"/>
      <c r="Z700" s="870"/>
      <c r="AA700" s="870"/>
      <c r="AB700" s="870"/>
      <c r="AC700" s="870"/>
      <c r="AD700" s="870"/>
      <c r="AE700" s="870"/>
      <c r="AF700" s="870"/>
      <c r="AG700" s="870"/>
    </row>
    <row r="701" spans="1:33" s="995" customFormat="1">
      <c r="A701" s="974"/>
      <c r="D701" s="876"/>
      <c r="E701" s="974"/>
      <c r="F701" s="876"/>
      <c r="G701" s="876"/>
      <c r="H701" s="876"/>
      <c r="I701" s="876"/>
      <c r="J701" s="876"/>
      <c r="K701" s="876"/>
      <c r="L701" s="876"/>
      <c r="M701" s="876"/>
      <c r="N701" s="876"/>
      <c r="O701" s="876"/>
      <c r="P701" s="876"/>
      <c r="Q701" s="870"/>
      <c r="R701" s="870"/>
      <c r="S701" s="870"/>
      <c r="T701" s="870"/>
      <c r="U701" s="870"/>
      <c r="V701" s="870"/>
      <c r="W701" s="870"/>
      <c r="X701" s="870"/>
      <c r="Y701" s="870"/>
      <c r="Z701" s="870"/>
      <c r="AA701" s="870"/>
      <c r="AB701" s="870"/>
      <c r="AC701" s="870"/>
      <c r="AD701" s="870"/>
      <c r="AE701" s="870"/>
      <c r="AF701" s="870"/>
      <c r="AG701" s="870"/>
    </row>
    <row r="702" spans="1:33" s="995" customFormat="1">
      <c r="A702" s="974"/>
      <c r="D702" s="876"/>
      <c r="E702" s="974"/>
      <c r="F702" s="876"/>
      <c r="G702" s="876"/>
      <c r="H702" s="876"/>
      <c r="I702" s="876"/>
      <c r="J702" s="876"/>
      <c r="K702" s="876"/>
      <c r="L702" s="876"/>
      <c r="M702" s="876"/>
      <c r="N702" s="876"/>
      <c r="O702" s="876"/>
      <c r="P702" s="876"/>
      <c r="Q702" s="870"/>
      <c r="R702" s="870"/>
      <c r="S702" s="870"/>
      <c r="T702" s="870"/>
      <c r="U702" s="870"/>
      <c r="V702" s="870"/>
      <c r="W702" s="870"/>
      <c r="X702" s="870"/>
      <c r="Y702" s="870"/>
      <c r="Z702" s="870"/>
      <c r="AA702" s="870"/>
      <c r="AB702" s="870"/>
      <c r="AC702" s="870"/>
      <c r="AD702" s="870"/>
      <c r="AE702" s="870"/>
      <c r="AF702" s="870"/>
      <c r="AG702" s="870"/>
    </row>
    <row r="703" spans="1:33" s="995" customFormat="1">
      <c r="A703" s="974"/>
      <c r="D703" s="876"/>
      <c r="E703" s="974"/>
      <c r="F703" s="876"/>
      <c r="G703" s="876"/>
      <c r="H703" s="876"/>
      <c r="I703" s="876"/>
      <c r="J703" s="876"/>
      <c r="K703" s="876"/>
      <c r="L703" s="876"/>
      <c r="M703" s="876"/>
      <c r="N703" s="876"/>
      <c r="O703" s="876"/>
      <c r="P703" s="876"/>
      <c r="Q703" s="870"/>
      <c r="R703" s="870"/>
      <c r="S703" s="870"/>
      <c r="T703" s="870"/>
      <c r="U703" s="870"/>
      <c r="V703" s="870"/>
      <c r="W703" s="870"/>
      <c r="X703" s="870"/>
      <c r="Y703" s="870"/>
      <c r="Z703" s="870"/>
      <c r="AA703" s="870"/>
      <c r="AB703" s="870"/>
      <c r="AC703" s="870"/>
      <c r="AD703" s="870"/>
      <c r="AE703" s="870"/>
      <c r="AF703" s="870"/>
      <c r="AG703" s="870"/>
    </row>
    <row r="704" spans="1:33" s="995" customFormat="1">
      <c r="A704" s="974"/>
      <c r="D704" s="876"/>
      <c r="E704" s="974"/>
      <c r="F704" s="876"/>
      <c r="G704" s="876"/>
      <c r="H704" s="876"/>
      <c r="I704" s="876"/>
      <c r="J704" s="876"/>
      <c r="K704" s="876"/>
      <c r="L704" s="876"/>
      <c r="M704" s="876"/>
      <c r="N704" s="876"/>
      <c r="O704" s="876"/>
      <c r="P704" s="876"/>
      <c r="Q704" s="870"/>
      <c r="R704" s="870"/>
      <c r="S704" s="870"/>
      <c r="T704" s="870"/>
      <c r="U704" s="870"/>
      <c r="V704" s="870"/>
      <c r="W704" s="870"/>
      <c r="X704" s="870"/>
      <c r="Y704" s="870"/>
      <c r="Z704" s="870"/>
      <c r="AA704" s="870"/>
      <c r="AB704" s="870"/>
      <c r="AC704" s="870"/>
      <c r="AD704" s="870"/>
      <c r="AE704" s="870"/>
      <c r="AF704" s="870"/>
      <c r="AG704" s="870"/>
    </row>
    <row r="705" spans="1:33" s="995" customFormat="1">
      <c r="A705" s="974"/>
      <c r="D705" s="876"/>
      <c r="E705" s="974"/>
      <c r="F705" s="876"/>
      <c r="G705" s="876"/>
      <c r="H705" s="876"/>
      <c r="I705" s="876"/>
      <c r="J705" s="876"/>
      <c r="K705" s="876"/>
      <c r="L705" s="876"/>
      <c r="M705" s="876"/>
      <c r="N705" s="876"/>
      <c r="O705" s="876"/>
      <c r="P705" s="876"/>
      <c r="Q705" s="870"/>
      <c r="R705" s="870"/>
      <c r="S705" s="870"/>
      <c r="T705" s="870"/>
      <c r="U705" s="870"/>
      <c r="V705" s="870"/>
      <c r="W705" s="870"/>
      <c r="X705" s="870"/>
      <c r="Y705" s="870"/>
      <c r="Z705" s="870"/>
      <c r="AA705" s="870"/>
      <c r="AB705" s="870"/>
      <c r="AC705" s="870"/>
      <c r="AD705" s="870"/>
      <c r="AE705" s="870"/>
      <c r="AF705" s="870"/>
      <c r="AG705" s="870"/>
    </row>
    <row r="706" spans="1:33" s="995" customFormat="1">
      <c r="A706" s="974"/>
      <c r="D706" s="876"/>
      <c r="E706" s="974"/>
      <c r="F706" s="876"/>
      <c r="G706" s="876"/>
      <c r="H706" s="876"/>
      <c r="I706" s="876"/>
      <c r="J706" s="876"/>
      <c r="K706" s="876"/>
      <c r="L706" s="876"/>
      <c r="M706" s="876"/>
      <c r="N706" s="876"/>
      <c r="O706" s="876"/>
      <c r="P706" s="876"/>
      <c r="Q706" s="870"/>
      <c r="R706" s="870"/>
      <c r="S706" s="870"/>
      <c r="T706" s="870"/>
      <c r="U706" s="870"/>
      <c r="V706" s="870"/>
      <c r="W706" s="870"/>
      <c r="X706" s="870"/>
      <c r="Y706" s="870"/>
      <c r="Z706" s="870"/>
      <c r="AA706" s="870"/>
      <c r="AB706" s="870"/>
      <c r="AC706" s="870"/>
      <c r="AD706" s="870"/>
      <c r="AE706" s="870"/>
      <c r="AF706" s="870"/>
      <c r="AG706" s="870"/>
    </row>
    <row r="707" spans="1:33" s="995" customFormat="1">
      <c r="A707" s="974"/>
      <c r="D707" s="876"/>
      <c r="E707" s="974"/>
      <c r="F707" s="876"/>
      <c r="G707" s="876"/>
      <c r="H707" s="876"/>
      <c r="I707" s="876"/>
      <c r="J707" s="876"/>
      <c r="K707" s="876"/>
      <c r="L707" s="876"/>
      <c r="M707" s="876"/>
      <c r="N707" s="876"/>
      <c r="O707" s="876"/>
      <c r="P707" s="876"/>
      <c r="Q707" s="870"/>
      <c r="R707" s="870"/>
      <c r="S707" s="870"/>
      <c r="T707" s="870"/>
      <c r="U707" s="870"/>
      <c r="V707" s="870"/>
      <c r="W707" s="870"/>
      <c r="X707" s="870"/>
      <c r="Y707" s="870"/>
      <c r="Z707" s="870"/>
      <c r="AA707" s="870"/>
      <c r="AB707" s="870"/>
      <c r="AC707" s="870"/>
      <c r="AD707" s="870"/>
      <c r="AE707" s="870"/>
      <c r="AF707" s="870"/>
      <c r="AG707" s="870"/>
    </row>
    <row r="708" spans="1:33" s="995" customFormat="1">
      <c r="A708" s="974"/>
      <c r="D708" s="876"/>
      <c r="E708" s="974"/>
      <c r="F708" s="876"/>
      <c r="G708" s="876"/>
      <c r="H708" s="876"/>
      <c r="I708" s="876"/>
      <c r="J708" s="876"/>
      <c r="K708" s="876"/>
      <c r="L708" s="876"/>
      <c r="M708" s="876"/>
      <c r="N708" s="876"/>
      <c r="O708" s="876"/>
      <c r="P708" s="876"/>
      <c r="Q708" s="870"/>
      <c r="R708" s="870"/>
      <c r="S708" s="870"/>
      <c r="T708" s="870"/>
      <c r="U708" s="870"/>
      <c r="V708" s="870"/>
      <c r="W708" s="870"/>
      <c r="X708" s="870"/>
      <c r="Y708" s="870"/>
      <c r="Z708" s="870"/>
      <c r="AA708" s="870"/>
      <c r="AB708" s="870"/>
      <c r="AC708" s="870"/>
      <c r="AD708" s="870"/>
      <c r="AE708" s="870"/>
      <c r="AF708" s="870"/>
      <c r="AG708" s="870"/>
    </row>
    <row r="709" spans="1:33" s="995" customFormat="1">
      <c r="A709" s="974"/>
      <c r="D709" s="876"/>
      <c r="E709" s="974"/>
      <c r="F709" s="876"/>
      <c r="G709" s="876"/>
      <c r="H709" s="876"/>
      <c r="I709" s="876"/>
      <c r="J709" s="876"/>
      <c r="K709" s="876"/>
      <c r="L709" s="876"/>
      <c r="M709" s="876"/>
      <c r="N709" s="876"/>
      <c r="O709" s="876"/>
      <c r="P709" s="876"/>
      <c r="Q709" s="870"/>
      <c r="R709" s="870"/>
      <c r="S709" s="870"/>
      <c r="T709" s="870"/>
      <c r="U709" s="870"/>
      <c r="V709" s="870"/>
      <c r="W709" s="870"/>
      <c r="X709" s="870"/>
      <c r="Y709" s="870"/>
      <c r="Z709" s="870"/>
      <c r="AA709" s="870"/>
      <c r="AB709" s="870"/>
      <c r="AC709" s="870"/>
      <c r="AD709" s="870"/>
      <c r="AE709" s="870"/>
      <c r="AF709" s="870"/>
      <c r="AG709" s="870"/>
    </row>
    <row r="710" spans="1:33" s="995" customFormat="1">
      <c r="A710" s="974"/>
      <c r="D710" s="876"/>
      <c r="E710" s="974"/>
      <c r="F710" s="876"/>
      <c r="G710" s="876"/>
      <c r="H710" s="876"/>
      <c r="I710" s="876"/>
      <c r="J710" s="876"/>
      <c r="K710" s="876"/>
      <c r="L710" s="876"/>
      <c r="M710" s="876"/>
      <c r="N710" s="876"/>
      <c r="O710" s="876"/>
      <c r="P710" s="876"/>
      <c r="Q710" s="870"/>
      <c r="R710" s="870"/>
      <c r="S710" s="870"/>
      <c r="T710" s="870"/>
      <c r="U710" s="870"/>
      <c r="V710" s="870"/>
      <c r="W710" s="870"/>
      <c r="X710" s="870"/>
      <c r="Y710" s="870"/>
      <c r="Z710" s="870"/>
      <c r="AA710" s="870"/>
      <c r="AB710" s="870"/>
      <c r="AC710" s="870"/>
      <c r="AD710" s="870"/>
      <c r="AE710" s="870"/>
      <c r="AF710" s="870"/>
      <c r="AG710" s="870"/>
    </row>
    <row r="711" spans="1:33" s="995" customFormat="1">
      <c r="A711" s="974"/>
      <c r="D711" s="876"/>
      <c r="E711" s="974"/>
      <c r="F711" s="876"/>
      <c r="G711" s="876"/>
      <c r="H711" s="876"/>
      <c r="I711" s="876"/>
      <c r="J711" s="876"/>
      <c r="K711" s="876"/>
      <c r="L711" s="876"/>
      <c r="M711" s="876"/>
      <c r="N711" s="876"/>
      <c r="O711" s="876"/>
      <c r="P711" s="876"/>
      <c r="Q711" s="870"/>
      <c r="R711" s="870"/>
      <c r="S711" s="870"/>
      <c r="T711" s="870"/>
      <c r="U711" s="870"/>
      <c r="V711" s="870"/>
      <c r="W711" s="870"/>
      <c r="X711" s="870"/>
      <c r="Y711" s="870"/>
      <c r="Z711" s="870"/>
      <c r="AA711" s="870"/>
      <c r="AB711" s="870"/>
      <c r="AC711" s="870"/>
      <c r="AD711" s="870"/>
      <c r="AE711" s="870"/>
      <c r="AF711" s="870"/>
      <c r="AG711" s="870"/>
    </row>
    <row r="712" spans="1:33" s="995" customFormat="1">
      <c r="A712" s="974"/>
      <c r="D712" s="876"/>
      <c r="E712" s="974"/>
      <c r="F712" s="876"/>
      <c r="G712" s="876"/>
      <c r="H712" s="876"/>
      <c r="I712" s="876"/>
      <c r="J712" s="876"/>
      <c r="K712" s="876"/>
      <c r="L712" s="876"/>
      <c r="M712" s="876"/>
      <c r="N712" s="876"/>
      <c r="O712" s="876"/>
      <c r="P712" s="876"/>
      <c r="Q712" s="870"/>
      <c r="R712" s="870"/>
      <c r="S712" s="870"/>
      <c r="T712" s="870"/>
      <c r="U712" s="870"/>
      <c r="V712" s="870"/>
      <c r="W712" s="870"/>
      <c r="X712" s="870"/>
      <c r="Y712" s="870"/>
      <c r="Z712" s="870"/>
      <c r="AA712" s="870"/>
      <c r="AB712" s="870"/>
      <c r="AC712" s="870"/>
      <c r="AD712" s="870"/>
      <c r="AE712" s="870"/>
      <c r="AF712" s="870"/>
      <c r="AG712" s="870"/>
    </row>
    <row r="713" spans="1:33" s="995" customFormat="1">
      <c r="A713" s="974"/>
      <c r="D713" s="876"/>
      <c r="E713" s="974"/>
      <c r="F713" s="876"/>
      <c r="G713" s="876"/>
      <c r="H713" s="876"/>
      <c r="I713" s="876"/>
      <c r="J713" s="876"/>
      <c r="K713" s="876"/>
      <c r="L713" s="876"/>
      <c r="M713" s="876"/>
      <c r="N713" s="876"/>
      <c r="O713" s="876"/>
      <c r="P713" s="876"/>
      <c r="Q713" s="870"/>
      <c r="R713" s="870"/>
      <c r="S713" s="870"/>
      <c r="T713" s="870"/>
      <c r="U713" s="870"/>
      <c r="V713" s="870"/>
      <c r="W713" s="870"/>
      <c r="X713" s="870"/>
      <c r="Y713" s="870"/>
      <c r="Z713" s="870"/>
      <c r="AA713" s="870"/>
      <c r="AB713" s="870"/>
      <c r="AC713" s="870"/>
      <c r="AD713" s="870"/>
      <c r="AE713" s="870"/>
      <c r="AF713" s="870"/>
      <c r="AG713" s="870"/>
    </row>
    <row r="714" spans="1:33" s="995" customFormat="1">
      <c r="A714" s="974"/>
      <c r="D714" s="876"/>
      <c r="E714" s="974"/>
      <c r="F714" s="876"/>
      <c r="G714" s="876"/>
      <c r="H714" s="876"/>
      <c r="I714" s="876"/>
      <c r="J714" s="876"/>
      <c r="K714" s="876"/>
      <c r="L714" s="876"/>
      <c r="M714" s="876"/>
      <c r="N714" s="876"/>
      <c r="O714" s="876"/>
      <c r="P714" s="876"/>
      <c r="Q714" s="870"/>
      <c r="R714" s="870"/>
      <c r="S714" s="870"/>
      <c r="T714" s="870"/>
      <c r="U714" s="870"/>
      <c r="V714" s="870"/>
      <c r="W714" s="870"/>
      <c r="X714" s="870"/>
      <c r="Y714" s="870"/>
      <c r="Z714" s="870"/>
      <c r="AA714" s="870"/>
      <c r="AB714" s="870"/>
      <c r="AC714" s="870"/>
      <c r="AD714" s="870"/>
      <c r="AE714" s="870"/>
      <c r="AF714" s="870"/>
      <c r="AG714" s="870"/>
    </row>
    <row r="715" spans="1:33" s="995" customFormat="1">
      <c r="A715" s="974"/>
      <c r="D715" s="876"/>
      <c r="E715" s="974"/>
      <c r="F715" s="876"/>
      <c r="G715" s="876"/>
      <c r="H715" s="876"/>
      <c r="I715" s="876"/>
      <c r="J715" s="876"/>
      <c r="K715" s="876"/>
      <c r="L715" s="876"/>
      <c r="M715" s="876"/>
      <c r="N715" s="876"/>
      <c r="O715" s="876"/>
      <c r="P715" s="876"/>
      <c r="Q715" s="870"/>
      <c r="R715" s="870"/>
      <c r="S715" s="870"/>
      <c r="T715" s="870"/>
      <c r="U715" s="870"/>
      <c r="V715" s="870"/>
      <c r="W715" s="870"/>
      <c r="X715" s="870"/>
      <c r="Y715" s="870"/>
      <c r="Z715" s="870"/>
      <c r="AA715" s="870"/>
      <c r="AB715" s="870"/>
      <c r="AC715" s="870"/>
      <c r="AD715" s="870"/>
      <c r="AE715" s="870"/>
      <c r="AF715" s="870"/>
      <c r="AG715" s="870"/>
    </row>
    <row r="716" spans="1:33" s="995" customFormat="1">
      <c r="A716" s="974"/>
      <c r="D716" s="876"/>
      <c r="E716" s="974"/>
      <c r="F716" s="876"/>
      <c r="G716" s="876"/>
      <c r="H716" s="876"/>
      <c r="I716" s="876"/>
      <c r="J716" s="876"/>
      <c r="K716" s="876"/>
      <c r="L716" s="876"/>
      <c r="M716" s="876"/>
      <c r="N716" s="876"/>
      <c r="O716" s="876"/>
      <c r="P716" s="876"/>
      <c r="Q716" s="870"/>
      <c r="R716" s="870"/>
      <c r="S716" s="870"/>
      <c r="T716" s="870"/>
      <c r="U716" s="870"/>
      <c r="V716" s="870"/>
      <c r="W716" s="870"/>
      <c r="X716" s="870"/>
      <c r="Y716" s="870"/>
      <c r="Z716" s="870"/>
      <c r="AA716" s="870"/>
      <c r="AB716" s="870"/>
      <c r="AC716" s="870"/>
      <c r="AD716" s="870"/>
      <c r="AE716" s="870"/>
      <c r="AF716" s="870"/>
      <c r="AG716" s="870"/>
    </row>
    <row r="717" spans="1:33" s="995" customFormat="1">
      <c r="A717" s="974"/>
      <c r="D717" s="876"/>
      <c r="E717" s="974"/>
      <c r="F717" s="876"/>
      <c r="G717" s="876"/>
      <c r="H717" s="876"/>
      <c r="I717" s="876"/>
      <c r="J717" s="876"/>
      <c r="K717" s="876"/>
      <c r="L717" s="876"/>
      <c r="M717" s="876"/>
      <c r="N717" s="876"/>
      <c r="O717" s="876"/>
      <c r="P717" s="876"/>
      <c r="Q717" s="870"/>
      <c r="R717" s="870"/>
      <c r="S717" s="870"/>
      <c r="T717" s="870"/>
      <c r="U717" s="870"/>
      <c r="V717" s="870"/>
      <c r="W717" s="870"/>
      <c r="X717" s="870"/>
      <c r="Y717" s="870"/>
      <c r="Z717" s="870"/>
      <c r="AA717" s="870"/>
      <c r="AB717" s="870"/>
      <c r="AC717" s="870"/>
      <c r="AD717" s="870"/>
      <c r="AE717" s="870"/>
      <c r="AF717" s="870"/>
      <c r="AG717" s="870"/>
    </row>
    <row r="718" spans="1:33" s="995" customFormat="1">
      <c r="A718" s="974"/>
      <c r="D718" s="876"/>
      <c r="E718" s="974"/>
      <c r="F718" s="876"/>
      <c r="G718" s="876"/>
      <c r="H718" s="876"/>
      <c r="I718" s="876"/>
      <c r="J718" s="876"/>
      <c r="K718" s="876"/>
      <c r="L718" s="876"/>
      <c r="M718" s="876"/>
      <c r="N718" s="876"/>
      <c r="O718" s="876"/>
      <c r="P718" s="876"/>
      <c r="Q718" s="870"/>
      <c r="R718" s="870"/>
      <c r="S718" s="870"/>
      <c r="T718" s="870"/>
      <c r="U718" s="870"/>
      <c r="V718" s="870"/>
      <c r="W718" s="870"/>
      <c r="X718" s="870"/>
      <c r="Y718" s="870"/>
      <c r="Z718" s="870"/>
      <c r="AA718" s="870"/>
      <c r="AB718" s="870"/>
      <c r="AC718" s="870"/>
      <c r="AD718" s="870"/>
      <c r="AE718" s="870"/>
      <c r="AF718" s="870"/>
      <c r="AG718" s="870"/>
    </row>
    <row r="719" spans="1:33" s="995" customFormat="1">
      <c r="A719" s="974"/>
      <c r="D719" s="876"/>
      <c r="E719" s="974"/>
      <c r="F719" s="876"/>
      <c r="G719" s="876"/>
      <c r="H719" s="876"/>
      <c r="I719" s="876"/>
      <c r="J719" s="876"/>
      <c r="K719" s="876"/>
      <c r="L719" s="876"/>
      <c r="M719" s="876"/>
      <c r="N719" s="876"/>
      <c r="O719" s="876"/>
      <c r="P719" s="876"/>
      <c r="Q719" s="870"/>
      <c r="R719" s="870"/>
      <c r="S719" s="870"/>
      <c r="T719" s="870"/>
      <c r="U719" s="870"/>
      <c r="V719" s="870"/>
      <c r="W719" s="870"/>
      <c r="X719" s="870"/>
      <c r="Y719" s="870"/>
      <c r="Z719" s="870"/>
      <c r="AA719" s="870"/>
      <c r="AB719" s="870"/>
      <c r="AC719" s="870"/>
      <c r="AD719" s="870"/>
      <c r="AE719" s="870"/>
      <c r="AF719" s="870"/>
      <c r="AG719" s="870"/>
    </row>
    <row r="720" spans="1:33" s="995" customFormat="1">
      <c r="A720" s="974"/>
      <c r="D720" s="876"/>
      <c r="E720" s="974"/>
      <c r="F720" s="876"/>
      <c r="G720" s="876"/>
      <c r="H720" s="876"/>
      <c r="I720" s="876"/>
      <c r="J720" s="876"/>
      <c r="K720" s="876"/>
      <c r="L720" s="876"/>
      <c r="M720" s="876"/>
      <c r="N720" s="876"/>
      <c r="O720" s="876"/>
      <c r="P720" s="876"/>
      <c r="Q720" s="870"/>
      <c r="R720" s="870"/>
      <c r="S720" s="870"/>
      <c r="T720" s="870"/>
      <c r="U720" s="870"/>
      <c r="V720" s="870"/>
      <c r="W720" s="870"/>
      <c r="X720" s="870"/>
      <c r="Y720" s="870"/>
      <c r="Z720" s="870"/>
      <c r="AA720" s="870"/>
      <c r="AB720" s="870"/>
      <c r="AC720" s="870"/>
      <c r="AD720" s="870"/>
      <c r="AE720" s="870"/>
      <c r="AF720" s="870"/>
      <c r="AG720" s="870"/>
    </row>
    <row r="721" spans="1:33" s="995" customFormat="1">
      <c r="A721" s="974"/>
      <c r="D721" s="876"/>
      <c r="E721" s="974"/>
      <c r="F721" s="876"/>
      <c r="G721" s="876"/>
      <c r="H721" s="876"/>
      <c r="I721" s="876"/>
      <c r="J721" s="876"/>
      <c r="K721" s="876"/>
      <c r="L721" s="876"/>
      <c r="M721" s="876"/>
      <c r="N721" s="876"/>
      <c r="O721" s="876"/>
      <c r="P721" s="876"/>
      <c r="Q721" s="870"/>
      <c r="R721" s="870"/>
      <c r="S721" s="870"/>
      <c r="T721" s="870"/>
      <c r="U721" s="870"/>
      <c r="V721" s="870"/>
      <c r="W721" s="870"/>
      <c r="X721" s="870"/>
      <c r="Y721" s="870"/>
      <c r="Z721" s="870"/>
      <c r="AA721" s="870"/>
      <c r="AB721" s="870"/>
      <c r="AC721" s="870"/>
      <c r="AD721" s="870"/>
      <c r="AE721" s="870"/>
      <c r="AF721" s="870"/>
      <c r="AG721" s="870"/>
    </row>
    <row r="722" spans="1:33" s="995" customFormat="1">
      <c r="A722" s="974"/>
      <c r="D722" s="876"/>
      <c r="E722" s="974"/>
      <c r="F722" s="876"/>
      <c r="G722" s="876"/>
      <c r="H722" s="876"/>
      <c r="I722" s="876"/>
      <c r="J722" s="876"/>
      <c r="K722" s="876"/>
      <c r="L722" s="876"/>
      <c r="M722" s="876"/>
      <c r="N722" s="876"/>
      <c r="O722" s="876"/>
      <c r="P722" s="876"/>
      <c r="Q722" s="870"/>
      <c r="R722" s="870"/>
      <c r="S722" s="870"/>
      <c r="T722" s="870"/>
      <c r="U722" s="870"/>
      <c r="V722" s="870"/>
      <c r="W722" s="870"/>
      <c r="X722" s="870"/>
      <c r="Y722" s="870"/>
      <c r="Z722" s="870"/>
      <c r="AA722" s="870"/>
      <c r="AB722" s="870"/>
      <c r="AC722" s="870"/>
      <c r="AD722" s="870"/>
      <c r="AE722" s="870"/>
      <c r="AF722" s="870"/>
      <c r="AG722" s="870"/>
    </row>
    <row r="723" spans="1:33" s="995" customFormat="1">
      <c r="A723" s="974"/>
      <c r="D723" s="876"/>
      <c r="E723" s="974"/>
      <c r="F723" s="876"/>
      <c r="G723" s="876"/>
      <c r="H723" s="876"/>
      <c r="I723" s="876"/>
      <c r="J723" s="876"/>
      <c r="K723" s="876"/>
      <c r="L723" s="876"/>
      <c r="M723" s="876"/>
      <c r="N723" s="876"/>
      <c r="O723" s="876"/>
      <c r="P723" s="876"/>
      <c r="Q723" s="870"/>
      <c r="R723" s="870"/>
      <c r="S723" s="870"/>
      <c r="T723" s="870"/>
      <c r="U723" s="870"/>
      <c r="V723" s="870"/>
      <c r="W723" s="870"/>
      <c r="X723" s="870"/>
      <c r="Y723" s="870"/>
      <c r="Z723" s="870"/>
      <c r="AA723" s="870"/>
      <c r="AB723" s="870"/>
      <c r="AC723" s="870"/>
      <c r="AD723" s="870"/>
      <c r="AE723" s="870"/>
      <c r="AF723" s="870"/>
      <c r="AG723" s="870"/>
    </row>
    <row r="724" spans="1:33" s="995" customFormat="1">
      <c r="A724" s="974"/>
      <c r="D724" s="876"/>
      <c r="E724" s="974"/>
      <c r="F724" s="876"/>
      <c r="G724" s="876"/>
      <c r="H724" s="876"/>
      <c r="I724" s="876"/>
      <c r="J724" s="876"/>
      <c r="K724" s="876"/>
      <c r="L724" s="876"/>
      <c r="M724" s="876"/>
      <c r="N724" s="876"/>
      <c r="O724" s="876"/>
      <c r="P724" s="876"/>
      <c r="Q724" s="870"/>
      <c r="R724" s="870"/>
      <c r="S724" s="870"/>
      <c r="T724" s="870"/>
      <c r="U724" s="870"/>
      <c r="V724" s="870"/>
      <c r="W724" s="870"/>
      <c r="X724" s="870"/>
      <c r="Y724" s="870"/>
      <c r="Z724" s="870"/>
      <c r="AA724" s="870"/>
      <c r="AB724" s="870"/>
      <c r="AC724" s="870"/>
      <c r="AD724" s="870"/>
      <c r="AE724" s="870"/>
      <c r="AF724" s="870"/>
      <c r="AG724" s="870"/>
    </row>
    <row r="725" spans="1:33" s="995" customFormat="1">
      <c r="A725" s="974"/>
      <c r="D725" s="876"/>
      <c r="E725" s="974"/>
      <c r="F725" s="876"/>
      <c r="G725" s="876"/>
      <c r="H725" s="876"/>
      <c r="I725" s="876"/>
      <c r="J725" s="876"/>
      <c r="K725" s="876"/>
      <c r="L725" s="876"/>
      <c r="M725" s="876"/>
      <c r="N725" s="876"/>
      <c r="O725" s="876"/>
      <c r="P725" s="876"/>
      <c r="Q725" s="870"/>
      <c r="R725" s="870"/>
      <c r="S725" s="870"/>
      <c r="T725" s="870"/>
      <c r="U725" s="870"/>
      <c r="V725" s="870"/>
      <c r="W725" s="870"/>
      <c r="X725" s="870"/>
      <c r="Y725" s="870"/>
      <c r="Z725" s="870"/>
      <c r="AA725" s="870"/>
      <c r="AB725" s="870"/>
      <c r="AC725" s="870"/>
      <c r="AD725" s="870"/>
      <c r="AE725" s="870"/>
      <c r="AF725" s="870"/>
      <c r="AG725" s="870"/>
    </row>
    <row r="726" spans="1:33" s="995" customFormat="1">
      <c r="A726" s="974"/>
      <c r="D726" s="876"/>
      <c r="E726" s="974"/>
      <c r="F726" s="876"/>
      <c r="G726" s="876"/>
      <c r="H726" s="876"/>
      <c r="I726" s="876"/>
      <c r="J726" s="876"/>
      <c r="K726" s="876"/>
      <c r="L726" s="876"/>
      <c r="M726" s="876"/>
      <c r="N726" s="876"/>
      <c r="O726" s="876"/>
      <c r="P726" s="876"/>
      <c r="Q726" s="870"/>
      <c r="R726" s="870"/>
      <c r="S726" s="870"/>
      <c r="T726" s="870"/>
      <c r="U726" s="870"/>
      <c r="V726" s="870"/>
      <c r="W726" s="870"/>
      <c r="X726" s="870"/>
      <c r="Y726" s="870"/>
      <c r="Z726" s="870"/>
      <c r="AA726" s="870"/>
      <c r="AB726" s="870"/>
      <c r="AC726" s="870"/>
      <c r="AD726" s="870"/>
      <c r="AE726" s="870"/>
      <c r="AF726" s="870"/>
      <c r="AG726" s="870"/>
    </row>
    <row r="727" spans="1:33" s="995" customFormat="1">
      <c r="A727" s="974"/>
      <c r="D727" s="876"/>
      <c r="E727" s="974"/>
      <c r="F727" s="876"/>
      <c r="G727" s="876"/>
      <c r="H727" s="876"/>
      <c r="I727" s="876"/>
      <c r="J727" s="876"/>
      <c r="K727" s="876"/>
      <c r="L727" s="876"/>
      <c r="M727" s="876"/>
      <c r="N727" s="876"/>
      <c r="O727" s="876"/>
      <c r="P727" s="876"/>
      <c r="Q727" s="870"/>
      <c r="R727" s="870"/>
      <c r="S727" s="870"/>
      <c r="T727" s="870"/>
      <c r="U727" s="870"/>
      <c r="V727" s="870"/>
      <c r="W727" s="870"/>
      <c r="X727" s="870"/>
      <c r="Y727" s="870"/>
      <c r="Z727" s="870"/>
      <c r="AA727" s="870"/>
      <c r="AB727" s="870"/>
      <c r="AC727" s="870"/>
      <c r="AD727" s="870"/>
      <c r="AE727" s="870"/>
      <c r="AF727" s="870"/>
      <c r="AG727" s="870"/>
    </row>
    <row r="728" spans="1:33" s="995" customFormat="1">
      <c r="A728" s="974"/>
      <c r="D728" s="876"/>
      <c r="E728" s="974"/>
      <c r="F728" s="876"/>
      <c r="G728" s="876"/>
      <c r="H728" s="876"/>
      <c r="I728" s="876"/>
      <c r="J728" s="876"/>
      <c r="K728" s="876"/>
      <c r="L728" s="876"/>
      <c r="M728" s="876"/>
      <c r="N728" s="876"/>
      <c r="O728" s="876"/>
      <c r="P728" s="876"/>
      <c r="Q728" s="870"/>
      <c r="R728" s="870"/>
      <c r="S728" s="870"/>
      <c r="T728" s="870"/>
      <c r="U728" s="870"/>
      <c r="V728" s="870"/>
      <c r="W728" s="870"/>
      <c r="X728" s="870"/>
      <c r="Y728" s="870"/>
      <c r="Z728" s="870"/>
      <c r="AA728" s="870"/>
      <c r="AB728" s="870"/>
      <c r="AC728" s="870"/>
      <c r="AD728" s="870"/>
      <c r="AE728" s="870"/>
      <c r="AF728" s="870"/>
      <c r="AG728" s="870"/>
    </row>
    <row r="729" spans="1:33" s="995" customFormat="1">
      <c r="A729" s="974"/>
      <c r="D729" s="876"/>
      <c r="E729" s="974"/>
      <c r="F729" s="876"/>
      <c r="G729" s="876"/>
      <c r="H729" s="876"/>
      <c r="I729" s="876"/>
      <c r="J729" s="876"/>
      <c r="K729" s="876"/>
      <c r="L729" s="876"/>
      <c r="M729" s="876"/>
      <c r="N729" s="876"/>
      <c r="O729" s="876"/>
      <c r="P729" s="876"/>
      <c r="Q729" s="870"/>
      <c r="R729" s="870"/>
      <c r="S729" s="870"/>
      <c r="T729" s="870"/>
      <c r="U729" s="870"/>
      <c r="V729" s="870"/>
      <c r="W729" s="870"/>
      <c r="X729" s="870"/>
      <c r="Y729" s="870"/>
      <c r="Z729" s="870"/>
      <c r="AA729" s="870"/>
      <c r="AB729" s="870"/>
      <c r="AC729" s="870"/>
      <c r="AD729" s="870"/>
      <c r="AE729" s="870"/>
      <c r="AF729" s="870"/>
      <c r="AG729" s="870"/>
    </row>
    <row r="730" spans="1:33" s="995" customFormat="1">
      <c r="A730" s="974"/>
      <c r="D730" s="876"/>
      <c r="E730" s="974"/>
      <c r="F730" s="876"/>
      <c r="G730" s="876"/>
      <c r="H730" s="876"/>
      <c r="I730" s="876"/>
      <c r="J730" s="876"/>
      <c r="K730" s="876"/>
      <c r="L730" s="876"/>
      <c r="M730" s="876"/>
      <c r="N730" s="876"/>
      <c r="O730" s="876"/>
      <c r="P730" s="876"/>
      <c r="Q730" s="870"/>
      <c r="R730" s="870"/>
      <c r="S730" s="870"/>
      <c r="T730" s="870"/>
      <c r="U730" s="870"/>
      <c r="V730" s="870"/>
      <c r="W730" s="870"/>
      <c r="X730" s="870"/>
      <c r="Y730" s="870"/>
      <c r="Z730" s="870"/>
      <c r="AA730" s="870"/>
      <c r="AB730" s="870"/>
      <c r="AC730" s="870"/>
      <c r="AD730" s="870"/>
      <c r="AE730" s="870"/>
      <c r="AF730" s="870"/>
      <c r="AG730" s="870"/>
    </row>
    <row r="731" spans="1:33" s="995" customFormat="1">
      <c r="A731" s="974"/>
      <c r="D731" s="876"/>
      <c r="E731" s="974"/>
      <c r="F731" s="876"/>
      <c r="G731" s="876"/>
      <c r="H731" s="876"/>
      <c r="I731" s="876"/>
      <c r="J731" s="876"/>
      <c r="K731" s="876"/>
      <c r="L731" s="876"/>
      <c r="M731" s="876"/>
      <c r="N731" s="876"/>
      <c r="O731" s="876"/>
      <c r="P731" s="876"/>
      <c r="Q731" s="870"/>
      <c r="R731" s="870"/>
      <c r="S731" s="870"/>
      <c r="T731" s="870"/>
      <c r="U731" s="870"/>
      <c r="V731" s="870"/>
      <c r="W731" s="870"/>
      <c r="X731" s="870"/>
      <c r="Y731" s="870"/>
      <c r="Z731" s="870"/>
      <c r="AA731" s="870"/>
      <c r="AB731" s="870"/>
      <c r="AC731" s="870"/>
      <c r="AD731" s="870"/>
      <c r="AE731" s="870"/>
      <c r="AF731" s="870"/>
      <c r="AG731" s="870"/>
    </row>
    <row r="732" spans="1:33" s="995" customFormat="1">
      <c r="A732" s="974"/>
      <c r="D732" s="876"/>
      <c r="E732" s="974"/>
      <c r="F732" s="876"/>
      <c r="G732" s="876"/>
      <c r="H732" s="876"/>
      <c r="I732" s="876"/>
      <c r="J732" s="876"/>
      <c r="K732" s="876"/>
      <c r="L732" s="876"/>
      <c r="M732" s="876"/>
      <c r="N732" s="876"/>
      <c r="O732" s="876"/>
      <c r="P732" s="876"/>
      <c r="Q732" s="870"/>
      <c r="R732" s="870"/>
      <c r="S732" s="870"/>
      <c r="T732" s="870"/>
      <c r="U732" s="870"/>
      <c r="V732" s="870"/>
      <c r="W732" s="870"/>
      <c r="X732" s="870"/>
      <c r="Y732" s="870"/>
      <c r="Z732" s="870"/>
      <c r="AA732" s="870"/>
      <c r="AB732" s="870"/>
      <c r="AC732" s="870"/>
      <c r="AD732" s="870"/>
      <c r="AE732" s="870"/>
      <c r="AF732" s="870"/>
      <c r="AG732" s="870"/>
    </row>
    <row r="733" spans="1:33" s="995" customFormat="1">
      <c r="A733" s="974"/>
      <c r="D733" s="876"/>
      <c r="E733" s="974"/>
      <c r="F733" s="876"/>
      <c r="G733" s="876"/>
      <c r="H733" s="876"/>
      <c r="I733" s="876"/>
      <c r="J733" s="876"/>
      <c r="K733" s="876"/>
      <c r="L733" s="876"/>
      <c r="M733" s="876"/>
      <c r="N733" s="876"/>
      <c r="O733" s="876"/>
      <c r="P733" s="876"/>
      <c r="Q733" s="870"/>
      <c r="R733" s="870"/>
      <c r="S733" s="870"/>
      <c r="T733" s="870"/>
      <c r="U733" s="870"/>
      <c r="V733" s="870"/>
      <c r="W733" s="870"/>
      <c r="X733" s="870"/>
      <c r="Y733" s="870"/>
      <c r="Z733" s="870"/>
      <c r="AA733" s="870"/>
      <c r="AB733" s="870"/>
      <c r="AC733" s="870"/>
      <c r="AD733" s="870"/>
      <c r="AE733" s="870"/>
      <c r="AF733" s="870"/>
      <c r="AG733" s="870"/>
    </row>
    <row r="734" spans="1:33" s="995" customFormat="1">
      <c r="A734" s="974"/>
      <c r="D734" s="876"/>
      <c r="E734" s="974"/>
      <c r="F734" s="876"/>
      <c r="G734" s="876"/>
      <c r="H734" s="876"/>
      <c r="I734" s="876"/>
      <c r="J734" s="876"/>
      <c r="K734" s="876"/>
      <c r="L734" s="876"/>
      <c r="M734" s="876"/>
      <c r="N734" s="876"/>
      <c r="O734" s="876"/>
      <c r="P734" s="876"/>
      <c r="Q734" s="870"/>
      <c r="R734" s="870"/>
      <c r="S734" s="870"/>
      <c r="T734" s="870"/>
      <c r="U734" s="870"/>
      <c r="V734" s="870"/>
      <c r="W734" s="870"/>
      <c r="X734" s="870"/>
      <c r="Y734" s="870"/>
      <c r="Z734" s="870"/>
      <c r="AA734" s="870"/>
      <c r="AB734" s="870"/>
      <c r="AC734" s="870"/>
      <c r="AD734" s="870"/>
      <c r="AE734" s="870"/>
      <c r="AF734" s="870"/>
      <c r="AG734" s="870"/>
    </row>
    <row r="735" spans="1:33" s="995" customFormat="1">
      <c r="A735" s="974"/>
      <c r="D735" s="876"/>
      <c r="E735" s="974"/>
      <c r="F735" s="876"/>
      <c r="G735" s="876"/>
      <c r="H735" s="876"/>
      <c r="I735" s="876"/>
      <c r="J735" s="876"/>
      <c r="K735" s="876"/>
      <c r="L735" s="876"/>
      <c r="M735" s="876"/>
      <c r="N735" s="876"/>
      <c r="O735" s="876"/>
      <c r="P735" s="876"/>
      <c r="Q735" s="870"/>
      <c r="R735" s="870"/>
      <c r="S735" s="870"/>
      <c r="T735" s="870"/>
      <c r="U735" s="870"/>
      <c r="V735" s="870"/>
      <c r="W735" s="870"/>
      <c r="X735" s="870"/>
      <c r="Y735" s="870"/>
      <c r="Z735" s="870"/>
      <c r="AA735" s="870"/>
      <c r="AB735" s="870"/>
      <c r="AC735" s="870"/>
      <c r="AD735" s="870"/>
      <c r="AE735" s="870"/>
      <c r="AF735" s="870"/>
      <c r="AG735" s="870"/>
    </row>
    <row r="736" spans="1:33" s="995" customFormat="1">
      <c r="A736" s="974"/>
      <c r="D736" s="876"/>
      <c r="E736" s="974"/>
      <c r="F736" s="876"/>
      <c r="G736" s="876"/>
      <c r="H736" s="876"/>
      <c r="I736" s="876"/>
      <c r="J736" s="876"/>
      <c r="K736" s="876"/>
      <c r="L736" s="876"/>
      <c r="M736" s="876"/>
      <c r="N736" s="876"/>
      <c r="O736" s="876"/>
      <c r="P736" s="876"/>
      <c r="Q736" s="870"/>
      <c r="R736" s="870"/>
      <c r="S736" s="870"/>
      <c r="T736" s="870"/>
      <c r="U736" s="870"/>
      <c r="V736" s="870"/>
      <c r="W736" s="870"/>
      <c r="X736" s="870"/>
      <c r="Y736" s="870"/>
      <c r="Z736" s="870"/>
      <c r="AA736" s="870"/>
      <c r="AB736" s="870"/>
      <c r="AC736" s="870"/>
      <c r="AD736" s="870"/>
      <c r="AE736" s="870"/>
      <c r="AF736" s="870"/>
      <c r="AG736" s="870"/>
    </row>
    <row r="737" spans="1:33" s="995" customFormat="1">
      <c r="A737" s="974"/>
      <c r="D737" s="876"/>
      <c r="E737" s="974"/>
      <c r="F737" s="876"/>
      <c r="G737" s="876"/>
      <c r="H737" s="876"/>
      <c r="I737" s="876"/>
      <c r="J737" s="876"/>
      <c r="K737" s="876"/>
      <c r="L737" s="876"/>
      <c r="M737" s="876"/>
      <c r="N737" s="876"/>
      <c r="O737" s="876"/>
      <c r="P737" s="876"/>
      <c r="Q737" s="870"/>
      <c r="R737" s="870"/>
      <c r="S737" s="870"/>
      <c r="T737" s="870"/>
      <c r="U737" s="870"/>
      <c r="V737" s="870"/>
      <c r="W737" s="870"/>
      <c r="X737" s="870"/>
      <c r="Y737" s="870"/>
      <c r="Z737" s="870"/>
      <c r="AA737" s="870"/>
      <c r="AB737" s="870"/>
      <c r="AC737" s="870"/>
      <c r="AD737" s="870"/>
      <c r="AE737" s="870"/>
      <c r="AF737" s="870"/>
      <c r="AG737" s="870"/>
    </row>
    <row r="738" spans="1:33" s="995" customFormat="1">
      <c r="A738" s="974"/>
      <c r="D738" s="876"/>
      <c r="E738" s="974"/>
      <c r="F738" s="876"/>
      <c r="G738" s="876"/>
      <c r="H738" s="876"/>
      <c r="I738" s="876"/>
      <c r="J738" s="876"/>
      <c r="K738" s="876"/>
      <c r="L738" s="876"/>
      <c r="M738" s="876"/>
      <c r="N738" s="876"/>
      <c r="O738" s="876"/>
      <c r="P738" s="876"/>
      <c r="Q738" s="870"/>
      <c r="R738" s="870"/>
      <c r="S738" s="870"/>
      <c r="T738" s="870"/>
      <c r="U738" s="870"/>
      <c r="V738" s="870"/>
      <c r="W738" s="870"/>
      <c r="X738" s="870"/>
      <c r="Y738" s="870"/>
      <c r="Z738" s="870"/>
      <c r="AA738" s="870"/>
      <c r="AB738" s="870"/>
      <c r="AC738" s="870"/>
      <c r="AD738" s="870"/>
      <c r="AE738" s="870"/>
      <c r="AF738" s="870"/>
      <c r="AG738" s="870"/>
    </row>
    <row r="739" spans="1:33" s="995" customFormat="1">
      <c r="A739" s="974"/>
      <c r="D739" s="876"/>
      <c r="E739" s="974"/>
      <c r="F739" s="876"/>
      <c r="G739" s="876"/>
      <c r="H739" s="876"/>
      <c r="I739" s="876"/>
      <c r="J739" s="876"/>
      <c r="K739" s="876"/>
      <c r="L739" s="876"/>
      <c r="M739" s="876"/>
      <c r="N739" s="876"/>
      <c r="O739" s="876"/>
      <c r="P739" s="876"/>
      <c r="Q739" s="870"/>
      <c r="R739" s="870"/>
      <c r="S739" s="870"/>
      <c r="T739" s="870"/>
      <c r="U739" s="870"/>
      <c r="V739" s="870"/>
      <c r="W739" s="870"/>
      <c r="X739" s="870"/>
      <c r="Y739" s="870"/>
      <c r="Z739" s="870"/>
      <c r="AA739" s="870"/>
      <c r="AB739" s="870"/>
      <c r="AC739" s="870"/>
      <c r="AD739" s="870"/>
      <c r="AE739" s="870"/>
      <c r="AF739" s="870"/>
      <c r="AG739" s="870"/>
    </row>
    <row r="740" spans="1:33" s="995" customFormat="1">
      <c r="A740" s="974"/>
      <c r="D740" s="876"/>
      <c r="E740" s="974"/>
      <c r="F740" s="876"/>
      <c r="G740" s="876"/>
      <c r="H740" s="876"/>
      <c r="I740" s="876"/>
      <c r="J740" s="876"/>
      <c r="K740" s="876"/>
      <c r="L740" s="876"/>
      <c r="M740" s="876"/>
      <c r="N740" s="876"/>
      <c r="O740" s="876"/>
      <c r="P740" s="876"/>
      <c r="Q740" s="870"/>
      <c r="R740" s="870"/>
      <c r="S740" s="870"/>
      <c r="T740" s="870"/>
      <c r="U740" s="870"/>
      <c r="V740" s="870"/>
      <c r="W740" s="870"/>
      <c r="X740" s="870"/>
      <c r="Y740" s="870"/>
      <c r="Z740" s="870"/>
      <c r="AA740" s="870"/>
      <c r="AB740" s="870"/>
      <c r="AC740" s="870"/>
      <c r="AD740" s="870"/>
      <c r="AE740" s="870"/>
      <c r="AF740" s="870"/>
      <c r="AG740" s="870"/>
    </row>
    <row r="741" spans="1:33" s="995" customFormat="1">
      <c r="A741" s="974"/>
      <c r="D741" s="876"/>
      <c r="E741" s="974"/>
      <c r="F741" s="876"/>
      <c r="G741" s="876"/>
      <c r="H741" s="876"/>
      <c r="I741" s="876"/>
      <c r="J741" s="876"/>
      <c r="K741" s="876"/>
      <c r="L741" s="876"/>
      <c r="M741" s="876"/>
      <c r="N741" s="876"/>
      <c r="O741" s="876"/>
      <c r="P741" s="876"/>
      <c r="Q741" s="870"/>
      <c r="R741" s="870"/>
      <c r="S741" s="870"/>
      <c r="T741" s="870"/>
      <c r="U741" s="870"/>
      <c r="V741" s="870"/>
      <c r="W741" s="870"/>
      <c r="X741" s="870"/>
      <c r="Y741" s="870"/>
      <c r="Z741" s="870"/>
      <c r="AA741" s="870"/>
      <c r="AB741" s="870"/>
      <c r="AC741" s="870"/>
      <c r="AD741" s="870"/>
      <c r="AE741" s="870"/>
      <c r="AF741" s="870"/>
      <c r="AG741" s="870"/>
    </row>
    <row r="742" spans="1:33" s="995" customFormat="1">
      <c r="A742" s="974"/>
      <c r="D742" s="876"/>
      <c r="E742" s="974"/>
      <c r="F742" s="876"/>
      <c r="G742" s="876"/>
      <c r="H742" s="876"/>
      <c r="I742" s="876"/>
      <c r="J742" s="876"/>
      <c r="K742" s="876"/>
      <c r="L742" s="876"/>
      <c r="M742" s="876"/>
      <c r="N742" s="876"/>
      <c r="O742" s="876"/>
      <c r="P742" s="876"/>
      <c r="Q742" s="870"/>
      <c r="R742" s="870"/>
      <c r="S742" s="870"/>
      <c r="T742" s="870"/>
      <c r="U742" s="870"/>
      <c r="V742" s="870"/>
      <c r="W742" s="870"/>
      <c r="X742" s="870"/>
      <c r="Y742" s="870"/>
      <c r="Z742" s="870"/>
      <c r="AA742" s="870"/>
      <c r="AB742" s="870"/>
      <c r="AC742" s="870"/>
      <c r="AD742" s="870"/>
      <c r="AE742" s="870"/>
      <c r="AF742" s="870"/>
      <c r="AG742" s="870"/>
    </row>
    <row r="743" spans="1:33" s="995" customFormat="1">
      <c r="A743" s="974"/>
      <c r="D743" s="876"/>
      <c r="E743" s="974"/>
      <c r="F743" s="876"/>
      <c r="G743" s="876"/>
      <c r="H743" s="876"/>
      <c r="I743" s="876"/>
      <c r="J743" s="876"/>
      <c r="K743" s="876"/>
      <c r="L743" s="876"/>
      <c r="M743" s="876"/>
      <c r="N743" s="876"/>
      <c r="O743" s="876"/>
      <c r="P743" s="876"/>
      <c r="Q743" s="870"/>
      <c r="R743" s="870"/>
      <c r="S743" s="870"/>
      <c r="T743" s="870"/>
      <c r="U743" s="870"/>
      <c r="V743" s="870"/>
      <c r="W743" s="870"/>
      <c r="X743" s="870"/>
      <c r="Y743" s="870"/>
      <c r="Z743" s="870"/>
      <c r="AA743" s="870"/>
      <c r="AB743" s="870"/>
      <c r="AC743" s="870"/>
      <c r="AD743" s="870"/>
      <c r="AE743" s="870"/>
      <c r="AF743" s="870"/>
      <c r="AG743" s="870"/>
    </row>
    <row r="744" spans="1:33" s="995" customFormat="1">
      <c r="A744" s="974"/>
      <c r="D744" s="876"/>
      <c r="E744" s="974"/>
      <c r="F744" s="876"/>
      <c r="G744" s="876"/>
      <c r="H744" s="876"/>
      <c r="I744" s="876"/>
      <c r="J744" s="876"/>
      <c r="K744" s="876"/>
      <c r="L744" s="876"/>
      <c r="M744" s="876"/>
      <c r="N744" s="876"/>
      <c r="O744" s="876"/>
      <c r="P744" s="876"/>
      <c r="Q744" s="870"/>
      <c r="R744" s="870"/>
      <c r="S744" s="870"/>
      <c r="T744" s="870"/>
      <c r="U744" s="870"/>
      <c r="V744" s="870"/>
      <c r="W744" s="870"/>
      <c r="X744" s="870"/>
      <c r="Y744" s="870"/>
      <c r="Z744" s="870"/>
      <c r="AA744" s="870"/>
      <c r="AB744" s="870"/>
      <c r="AC744" s="870"/>
      <c r="AD744" s="870"/>
      <c r="AE744" s="870"/>
      <c r="AF744" s="870"/>
      <c r="AG744" s="870"/>
    </row>
    <row r="745" spans="1:33" s="995" customFormat="1">
      <c r="A745" s="974"/>
      <c r="D745" s="876"/>
      <c r="E745" s="974"/>
      <c r="F745" s="876"/>
      <c r="G745" s="876"/>
      <c r="H745" s="876"/>
      <c r="I745" s="876"/>
      <c r="J745" s="876"/>
      <c r="K745" s="876"/>
      <c r="L745" s="876"/>
      <c r="M745" s="876"/>
      <c r="N745" s="876"/>
      <c r="O745" s="876"/>
      <c r="P745" s="876"/>
      <c r="Q745" s="870"/>
      <c r="R745" s="870"/>
      <c r="S745" s="870"/>
      <c r="T745" s="870"/>
      <c r="U745" s="870"/>
      <c r="V745" s="870"/>
      <c r="W745" s="870"/>
      <c r="X745" s="870"/>
      <c r="Y745" s="870"/>
      <c r="Z745" s="870"/>
      <c r="AA745" s="870"/>
      <c r="AB745" s="870"/>
      <c r="AC745" s="870"/>
      <c r="AD745" s="870"/>
      <c r="AE745" s="870"/>
      <c r="AF745" s="870"/>
      <c r="AG745" s="870"/>
    </row>
    <row r="746" spans="1:33" s="995" customFormat="1">
      <c r="A746" s="974"/>
      <c r="D746" s="876"/>
      <c r="E746" s="974"/>
      <c r="F746" s="876"/>
      <c r="G746" s="876"/>
      <c r="H746" s="876"/>
      <c r="I746" s="876"/>
      <c r="J746" s="876"/>
      <c r="K746" s="876"/>
      <c r="L746" s="876"/>
      <c r="M746" s="876"/>
      <c r="N746" s="876"/>
      <c r="O746" s="876"/>
      <c r="P746" s="876"/>
      <c r="Q746" s="870"/>
      <c r="R746" s="870"/>
      <c r="S746" s="870"/>
      <c r="T746" s="870"/>
      <c r="U746" s="870"/>
      <c r="V746" s="870"/>
      <c r="W746" s="870"/>
      <c r="X746" s="870"/>
      <c r="Y746" s="870"/>
      <c r="Z746" s="870"/>
      <c r="AA746" s="870"/>
      <c r="AB746" s="870"/>
      <c r="AC746" s="870"/>
      <c r="AD746" s="870"/>
      <c r="AE746" s="870"/>
      <c r="AF746" s="870"/>
      <c r="AG746" s="870"/>
    </row>
    <row r="747" spans="1:33" s="995" customFormat="1">
      <c r="A747" s="974"/>
      <c r="D747" s="876"/>
      <c r="E747" s="974"/>
      <c r="F747" s="876"/>
      <c r="G747" s="876"/>
      <c r="H747" s="876"/>
      <c r="I747" s="876"/>
      <c r="J747" s="876"/>
      <c r="K747" s="876"/>
      <c r="L747" s="876"/>
      <c r="M747" s="876"/>
      <c r="N747" s="876"/>
      <c r="O747" s="876"/>
      <c r="P747" s="876"/>
      <c r="Q747" s="870"/>
      <c r="R747" s="870"/>
      <c r="S747" s="870"/>
      <c r="T747" s="870"/>
      <c r="U747" s="870"/>
      <c r="V747" s="870"/>
      <c r="W747" s="870"/>
      <c r="X747" s="870"/>
      <c r="Y747" s="870"/>
      <c r="Z747" s="870"/>
      <c r="AA747" s="870"/>
      <c r="AB747" s="870"/>
      <c r="AC747" s="870"/>
      <c r="AD747" s="870"/>
      <c r="AE747" s="870"/>
      <c r="AF747" s="870"/>
      <c r="AG747" s="870"/>
    </row>
    <row r="748" spans="1:33" s="995" customFormat="1">
      <c r="A748" s="974"/>
      <c r="D748" s="876"/>
      <c r="E748" s="974"/>
      <c r="F748" s="876"/>
      <c r="G748" s="876"/>
      <c r="H748" s="876"/>
      <c r="I748" s="876"/>
      <c r="J748" s="876"/>
      <c r="K748" s="876"/>
      <c r="L748" s="876"/>
      <c r="M748" s="876"/>
      <c r="N748" s="876"/>
      <c r="O748" s="876"/>
      <c r="P748" s="876"/>
      <c r="Q748" s="870"/>
      <c r="R748" s="870"/>
      <c r="S748" s="870"/>
      <c r="T748" s="870"/>
      <c r="U748" s="870"/>
      <c r="V748" s="870"/>
      <c r="W748" s="870"/>
      <c r="X748" s="870"/>
      <c r="Y748" s="870"/>
      <c r="Z748" s="870"/>
      <c r="AA748" s="870"/>
      <c r="AB748" s="870"/>
      <c r="AC748" s="870"/>
      <c r="AD748" s="870"/>
      <c r="AE748" s="870"/>
      <c r="AF748" s="870"/>
      <c r="AG748" s="870"/>
    </row>
    <row r="749" spans="1:33" s="995" customFormat="1">
      <c r="A749" s="974"/>
      <c r="D749" s="876"/>
      <c r="E749" s="974"/>
      <c r="F749" s="876"/>
      <c r="G749" s="876"/>
      <c r="H749" s="876"/>
      <c r="I749" s="876"/>
      <c r="J749" s="876"/>
      <c r="K749" s="876"/>
      <c r="L749" s="876"/>
      <c r="M749" s="876"/>
      <c r="N749" s="876"/>
      <c r="O749" s="876"/>
      <c r="P749" s="876"/>
      <c r="Q749" s="870"/>
      <c r="R749" s="870"/>
      <c r="S749" s="870"/>
      <c r="T749" s="870"/>
      <c r="U749" s="870"/>
      <c r="V749" s="870"/>
      <c r="W749" s="870"/>
      <c r="X749" s="870"/>
      <c r="Y749" s="870"/>
      <c r="Z749" s="870"/>
      <c r="AA749" s="870"/>
      <c r="AB749" s="870"/>
      <c r="AC749" s="870"/>
      <c r="AD749" s="870"/>
      <c r="AE749" s="870"/>
      <c r="AF749" s="870"/>
      <c r="AG749" s="870"/>
    </row>
    <row r="750" spans="1:33" s="995" customFormat="1">
      <c r="A750" s="974"/>
      <c r="D750" s="876"/>
      <c r="E750" s="974"/>
      <c r="F750" s="876"/>
      <c r="G750" s="876"/>
      <c r="H750" s="876"/>
      <c r="I750" s="876"/>
      <c r="J750" s="876"/>
      <c r="K750" s="876"/>
      <c r="L750" s="876"/>
      <c r="M750" s="876"/>
      <c r="N750" s="876"/>
      <c r="O750" s="876"/>
      <c r="P750" s="876"/>
      <c r="Q750" s="870"/>
      <c r="R750" s="870"/>
      <c r="S750" s="870"/>
      <c r="T750" s="870"/>
      <c r="U750" s="870"/>
      <c r="V750" s="870"/>
      <c r="W750" s="870"/>
      <c r="X750" s="870"/>
      <c r="Y750" s="870"/>
      <c r="Z750" s="870"/>
      <c r="AA750" s="870"/>
      <c r="AB750" s="870"/>
      <c r="AC750" s="870"/>
      <c r="AD750" s="870"/>
      <c r="AE750" s="870"/>
      <c r="AF750" s="870"/>
      <c r="AG750" s="870"/>
    </row>
    <row r="751" spans="1:33" s="995" customFormat="1">
      <c r="A751" s="974"/>
      <c r="D751" s="876"/>
      <c r="E751" s="974"/>
      <c r="F751" s="876"/>
      <c r="G751" s="876"/>
      <c r="H751" s="876"/>
      <c r="I751" s="876"/>
      <c r="J751" s="876"/>
      <c r="K751" s="876"/>
      <c r="L751" s="876"/>
      <c r="M751" s="876"/>
      <c r="N751" s="876"/>
      <c r="O751" s="876"/>
      <c r="P751" s="876"/>
      <c r="Q751" s="870"/>
      <c r="R751" s="870"/>
      <c r="S751" s="870"/>
      <c r="T751" s="870"/>
      <c r="U751" s="870"/>
      <c r="V751" s="870"/>
      <c r="W751" s="870"/>
      <c r="X751" s="870"/>
      <c r="Y751" s="870"/>
      <c r="Z751" s="870"/>
      <c r="AA751" s="870"/>
      <c r="AB751" s="870"/>
      <c r="AC751" s="870"/>
      <c r="AD751" s="870"/>
      <c r="AE751" s="870"/>
      <c r="AF751" s="870"/>
      <c r="AG751" s="870"/>
    </row>
    <row r="752" spans="1:33" s="995" customFormat="1">
      <c r="A752" s="974"/>
      <c r="D752" s="876"/>
      <c r="E752" s="974"/>
      <c r="F752" s="876"/>
      <c r="G752" s="876"/>
      <c r="H752" s="876"/>
      <c r="I752" s="876"/>
      <c r="J752" s="876"/>
      <c r="K752" s="876"/>
      <c r="L752" s="876"/>
      <c r="M752" s="876"/>
      <c r="N752" s="876"/>
      <c r="O752" s="876"/>
      <c r="P752" s="876"/>
      <c r="Q752" s="870"/>
      <c r="R752" s="870"/>
      <c r="S752" s="870"/>
      <c r="T752" s="870"/>
      <c r="U752" s="870"/>
      <c r="V752" s="870"/>
      <c r="W752" s="870"/>
      <c r="X752" s="870"/>
      <c r="Y752" s="870"/>
      <c r="Z752" s="870"/>
      <c r="AA752" s="870"/>
      <c r="AB752" s="870"/>
      <c r="AC752" s="870"/>
      <c r="AD752" s="870"/>
      <c r="AE752" s="870"/>
      <c r="AF752" s="870"/>
      <c r="AG752" s="870"/>
    </row>
    <row r="753" spans="1:33" s="995" customFormat="1">
      <c r="A753" s="974"/>
      <c r="D753" s="876"/>
      <c r="E753" s="974"/>
      <c r="F753" s="876"/>
      <c r="G753" s="876"/>
      <c r="H753" s="876"/>
      <c r="I753" s="876"/>
      <c r="J753" s="876"/>
      <c r="K753" s="876"/>
      <c r="L753" s="876"/>
      <c r="M753" s="876"/>
      <c r="N753" s="876"/>
      <c r="O753" s="876"/>
      <c r="P753" s="876"/>
      <c r="Q753" s="870"/>
      <c r="R753" s="870"/>
      <c r="S753" s="870"/>
      <c r="T753" s="870"/>
      <c r="U753" s="870"/>
      <c r="V753" s="870"/>
      <c r="W753" s="870"/>
      <c r="X753" s="870"/>
      <c r="Y753" s="870"/>
      <c r="Z753" s="870"/>
      <c r="AA753" s="870"/>
      <c r="AB753" s="870"/>
      <c r="AC753" s="870"/>
      <c r="AD753" s="870"/>
      <c r="AE753" s="870"/>
      <c r="AF753" s="870"/>
      <c r="AG753" s="870"/>
    </row>
    <row r="754" spans="1:33" s="995" customFormat="1">
      <c r="A754" s="974"/>
      <c r="D754" s="876"/>
      <c r="E754" s="974"/>
      <c r="F754" s="876"/>
      <c r="G754" s="876"/>
      <c r="H754" s="876"/>
      <c r="I754" s="876"/>
      <c r="J754" s="876"/>
      <c r="K754" s="876"/>
      <c r="L754" s="876"/>
      <c r="M754" s="876"/>
      <c r="N754" s="876"/>
      <c r="O754" s="876"/>
      <c r="P754" s="876"/>
      <c r="Q754" s="870"/>
      <c r="R754" s="870"/>
      <c r="S754" s="870"/>
      <c r="T754" s="870"/>
      <c r="U754" s="870"/>
      <c r="V754" s="870"/>
      <c r="W754" s="870"/>
      <c r="X754" s="870"/>
      <c r="Y754" s="870"/>
      <c r="Z754" s="870"/>
      <c r="AA754" s="870"/>
      <c r="AB754" s="870"/>
      <c r="AC754" s="870"/>
      <c r="AD754" s="870"/>
      <c r="AE754" s="870"/>
      <c r="AF754" s="870"/>
      <c r="AG754" s="870"/>
    </row>
    <row r="755" spans="1:33" s="995" customFormat="1">
      <c r="A755" s="974"/>
      <c r="D755" s="876"/>
      <c r="E755" s="974"/>
      <c r="F755" s="876"/>
      <c r="G755" s="876"/>
      <c r="H755" s="876"/>
      <c r="I755" s="876"/>
      <c r="J755" s="876"/>
      <c r="K755" s="876"/>
      <c r="L755" s="876"/>
      <c r="M755" s="876"/>
      <c r="N755" s="876"/>
      <c r="O755" s="876"/>
      <c r="P755" s="876"/>
      <c r="Q755" s="870"/>
      <c r="R755" s="870"/>
      <c r="S755" s="870"/>
      <c r="T755" s="870"/>
      <c r="U755" s="870"/>
      <c r="V755" s="870"/>
      <c r="W755" s="870"/>
      <c r="X755" s="870"/>
      <c r="Y755" s="870"/>
      <c r="Z755" s="870"/>
      <c r="AA755" s="870"/>
      <c r="AB755" s="870"/>
      <c r="AC755" s="870"/>
      <c r="AD755" s="870"/>
      <c r="AE755" s="870"/>
      <c r="AF755" s="870"/>
      <c r="AG755" s="870"/>
    </row>
    <row r="756" spans="1:33" s="995" customFormat="1">
      <c r="A756" s="974"/>
      <c r="D756" s="876"/>
      <c r="E756" s="974"/>
      <c r="F756" s="876"/>
      <c r="G756" s="876"/>
      <c r="H756" s="876"/>
      <c r="I756" s="876"/>
      <c r="J756" s="876"/>
      <c r="K756" s="876"/>
      <c r="L756" s="876"/>
      <c r="M756" s="876"/>
      <c r="N756" s="876"/>
      <c r="O756" s="876"/>
      <c r="P756" s="876"/>
      <c r="Q756" s="870"/>
      <c r="R756" s="870"/>
      <c r="S756" s="870"/>
      <c r="T756" s="870"/>
      <c r="U756" s="870"/>
      <c r="V756" s="870"/>
      <c r="W756" s="870"/>
      <c r="X756" s="870"/>
      <c r="Y756" s="870"/>
      <c r="Z756" s="870"/>
      <c r="AA756" s="870"/>
      <c r="AB756" s="870"/>
      <c r="AC756" s="870"/>
      <c r="AD756" s="870"/>
      <c r="AE756" s="870"/>
      <c r="AF756" s="870"/>
      <c r="AG756" s="870"/>
    </row>
    <row r="757" spans="1:33" s="995" customFormat="1">
      <c r="A757" s="974"/>
      <c r="D757" s="876"/>
      <c r="E757" s="974"/>
      <c r="F757" s="876"/>
      <c r="G757" s="876"/>
      <c r="H757" s="876"/>
      <c r="I757" s="876"/>
      <c r="J757" s="876"/>
      <c r="K757" s="876"/>
      <c r="L757" s="876"/>
      <c r="M757" s="876"/>
      <c r="N757" s="876"/>
      <c r="O757" s="876"/>
      <c r="P757" s="876"/>
      <c r="Q757" s="870"/>
      <c r="R757" s="870"/>
      <c r="S757" s="870"/>
      <c r="T757" s="870"/>
      <c r="U757" s="870"/>
      <c r="V757" s="870"/>
      <c r="W757" s="870"/>
      <c r="X757" s="870"/>
      <c r="Y757" s="870"/>
      <c r="Z757" s="870"/>
      <c r="AA757" s="870"/>
      <c r="AB757" s="870"/>
      <c r="AC757" s="870"/>
      <c r="AD757" s="870"/>
      <c r="AE757" s="870"/>
      <c r="AF757" s="870"/>
      <c r="AG757" s="870"/>
    </row>
    <row r="758" spans="1:33" s="995" customFormat="1">
      <c r="A758" s="974"/>
      <c r="D758" s="876"/>
      <c r="E758" s="974"/>
      <c r="F758" s="876"/>
      <c r="G758" s="876"/>
      <c r="H758" s="876"/>
      <c r="I758" s="876"/>
      <c r="J758" s="876"/>
      <c r="K758" s="876"/>
      <c r="L758" s="876"/>
      <c r="M758" s="876"/>
      <c r="N758" s="876"/>
      <c r="O758" s="876"/>
      <c r="P758" s="876"/>
      <c r="Q758" s="870"/>
      <c r="R758" s="870"/>
      <c r="S758" s="870"/>
      <c r="T758" s="870"/>
      <c r="U758" s="870"/>
      <c r="V758" s="870"/>
      <c r="W758" s="870"/>
      <c r="X758" s="870"/>
      <c r="Y758" s="870"/>
      <c r="Z758" s="870"/>
      <c r="AA758" s="870"/>
      <c r="AB758" s="870"/>
      <c r="AC758" s="870"/>
      <c r="AD758" s="870"/>
      <c r="AE758" s="870"/>
      <c r="AF758" s="870"/>
      <c r="AG758" s="870"/>
    </row>
    <row r="759" spans="1:33" s="995" customFormat="1">
      <c r="A759" s="974"/>
      <c r="D759" s="876"/>
      <c r="E759" s="974"/>
      <c r="F759" s="876"/>
      <c r="G759" s="876"/>
      <c r="H759" s="876"/>
      <c r="I759" s="876"/>
      <c r="J759" s="876"/>
      <c r="K759" s="876"/>
      <c r="L759" s="876"/>
      <c r="M759" s="876"/>
      <c r="N759" s="876"/>
      <c r="O759" s="876"/>
      <c r="P759" s="876"/>
      <c r="Q759" s="870"/>
      <c r="R759" s="870"/>
      <c r="S759" s="870"/>
      <c r="T759" s="870"/>
      <c r="U759" s="870"/>
      <c r="V759" s="870"/>
      <c r="W759" s="870"/>
      <c r="X759" s="870"/>
      <c r="Y759" s="870"/>
      <c r="Z759" s="870"/>
      <c r="AA759" s="870"/>
      <c r="AB759" s="870"/>
      <c r="AC759" s="870"/>
      <c r="AD759" s="870"/>
      <c r="AE759" s="870"/>
      <c r="AF759" s="870"/>
      <c r="AG759" s="870"/>
    </row>
    <row r="760" spans="1:33" s="995" customFormat="1">
      <c r="A760" s="974"/>
      <c r="D760" s="876"/>
      <c r="E760" s="974"/>
      <c r="F760" s="876"/>
      <c r="G760" s="876"/>
      <c r="H760" s="876"/>
      <c r="I760" s="876"/>
      <c r="J760" s="876"/>
      <c r="K760" s="876"/>
      <c r="L760" s="876"/>
      <c r="M760" s="876"/>
      <c r="N760" s="876"/>
      <c r="O760" s="876"/>
      <c r="P760" s="876"/>
      <c r="Q760" s="870"/>
      <c r="R760" s="870"/>
      <c r="S760" s="870"/>
      <c r="T760" s="870"/>
      <c r="U760" s="870"/>
      <c r="V760" s="870"/>
      <c r="W760" s="870"/>
      <c r="X760" s="870"/>
      <c r="Y760" s="870"/>
      <c r="Z760" s="870"/>
      <c r="AA760" s="870"/>
      <c r="AB760" s="870"/>
      <c r="AC760" s="870"/>
      <c r="AD760" s="870"/>
      <c r="AE760" s="870"/>
      <c r="AF760" s="870"/>
      <c r="AG760" s="870"/>
    </row>
    <row r="761" spans="1:33" s="995" customFormat="1">
      <c r="A761" s="974"/>
      <c r="D761" s="876"/>
      <c r="E761" s="974"/>
      <c r="F761" s="876"/>
      <c r="G761" s="876"/>
      <c r="H761" s="876"/>
      <c r="I761" s="876"/>
      <c r="J761" s="876"/>
      <c r="K761" s="876"/>
      <c r="L761" s="876"/>
      <c r="M761" s="876"/>
      <c r="N761" s="876"/>
      <c r="O761" s="876"/>
      <c r="P761" s="876"/>
      <c r="Q761" s="870"/>
      <c r="R761" s="870"/>
      <c r="S761" s="870"/>
      <c r="T761" s="870"/>
      <c r="U761" s="870"/>
      <c r="V761" s="870"/>
      <c r="W761" s="870"/>
      <c r="X761" s="870"/>
      <c r="Y761" s="870"/>
      <c r="Z761" s="870"/>
      <c r="AA761" s="870"/>
      <c r="AB761" s="870"/>
      <c r="AC761" s="870"/>
      <c r="AD761" s="870"/>
      <c r="AE761" s="870"/>
      <c r="AF761" s="870"/>
      <c r="AG761" s="870"/>
    </row>
    <row r="762" spans="1:33" s="995" customFormat="1">
      <c r="A762" s="974"/>
      <c r="D762" s="876"/>
      <c r="E762" s="974"/>
      <c r="F762" s="876"/>
      <c r="G762" s="876"/>
      <c r="H762" s="876"/>
      <c r="I762" s="876"/>
      <c r="J762" s="876"/>
      <c r="K762" s="876"/>
      <c r="L762" s="876"/>
      <c r="M762" s="876"/>
      <c r="N762" s="876"/>
      <c r="O762" s="876"/>
      <c r="P762" s="876"/>
      <c r="Q762" s="870"/>
      <c r="R762" s="870"/>
      <c r="S762" s="870"/>
      <c r="T762" s="870"/>
      <c r="U762" s="870"/>
      <c r="V762" s="870"/>
      <c r="W762" s="870"/>
      <c r="X762" s="870"/>
      <c r="Y762" s="870"/>
      <c r="Z762" s="870"/>
      <c r="AA762" s="870"/>
      <c r="AB762" s="870"/>
      <c r="AC762" s="870"/>
      <c r="AD762" s="870"/>
      <c r="AE762" s="870"/>
      <c r="AF762" s="870"/>
      <c r="AG762" s="870"/>
    </row>
    <row r="763" spans="1:33" s="995" customFormat="1">
      <c r="A763" s="974"/>
      <c r="D763" s="876"/>
      <c r="E763" s="974"/>
      <c r="F763" s="876"/>
      <c r="G763" s="876"/>
      <c r="H763" s="876"/>
      <c r="I763" s="876"/>
      <c r="J763" s="876"/>
      <c r="K763" s="876"/>
      <c r="L763" s="876"/>
      <c r="M763" s="876"/>
      <c r="N763" s="876"/>
      <c r="O763" s="876"/>
      <c r="P763" s="876"/>
      <c r="Q763" s="870"/>
      <c r="R763" s="870"/>
      <c r="S763" s="870"/>
      <c r="T763" s="870"/>
      <c r="U763" s="870"/>
      <c r="V763" s="870"/>
      <c r="W763" s="870"/>
      <c r="X763" s="870"/>
      <c r="Y763" s="870"/>
      <c r="Z763" s="870"/>
      <c r="AA763" s="870"/>
      <c r="AB763" s="870"/>
      <c r="AC763" s="870"/>
      <c r="AD763" s="870"/>
      <c r="AE763" s="870"/>
      <c r="AF763" s="870"/>
      <c r="AG763" s="870"/>
    </row>
    <row r="764" spans="1:33" s="995" customFormat="1">
      <c r="A764" s="974"/>
      <c r="D764" s="876"/>
      <c r="E764" s="974"/>
      <c r="F764" s="876"/>
      <c r="G764" s="876"/>
      <c r="H764" s="876"/>
      <c r="I764" s="876"/>
      <c r="J764" s="876"/>
      <c r="K764" s="876"/>
      <c r="L764" s="876"/>
      <c r="M764" s="876"/>
      <c r="N764" s="876"/>
      <c r="O764" s="876"/>
      <c r="P764" s="876"/>
      <c r="Q764" s="870"/>
      <c r="R764" s="870"/>
      <c r="S764" s="870"/>
      <c r="T764" s="870"/>
      <c r="U764" s="870"/>
      <c r="V764" s="870"/>
      <c r="W764" s="870"/>
      <c r="X764" s="870"/>
      <c r="Y764" s="870"/>
      <c r="Z764" s="870"/>
      <c r="AA764" s="870"/>
      <c r="AB764" s="870"/>
      <c r="AC764" s="870"/>
      <c r="AD764" s="870"/>
      <c r="AE764" s="870"/>
      <c r="AF764" s="870"/>
      <c r="AG764" s="870"/>
    </row>
    <row r="765" spans="1:33" s="995" customFormat="1">
      <c r="A765" s="974"/>
      <c r="D765" s="876"/>
      <c r="E765" s="974"/>
      <c r="F765" s="876"/>
      <c r="G765" s="876"/>
      <c r="H765" s="876"/>
      <c r="I765" s="876"/>
      <c r="J765" s="876"/>
      <c r="K765" s="876"/>
      <c r="L765" s="876"/>
      <c r="M765" s="876"/>
      <c r="N765" s="876"/>
      <c r="O765" s="876"/>
      <c r="P765" s="876"/>
      <c r="Q765" s="870"/>
      <c r="R765" s="870"/>
      <c r="S765" s="870"/>
      <c r="T765" s="870"/>
      <c r="U765" s="870"/>
      <c r="V765" s="870"/>
      <c r="W765" s="870"/>
      <c r="X765" s="870"/>
      <c r="Y765" s="870"/>
      <c r="Z765" s="870"/>
      <c r="AA765" s="870"/>
      <c r="AB765" s="870"/>
      <c r="AC765" s="870"/>
      <c r="AD765" s="870"/>
      <c r="AE765" s="870"/>
      <c r="AF765" s="870"/>
      <c r="AG765" s="870"/>
    </row>
    <row r="766" spans="1:33" s="995" customFormat="1">
      <c r="A766" s="974"/>
      <c r="D766" s="876"/>
      <c r="E766" s="974"/>
      <c r="F766" s="876"/>
      <c r="G766" s="876"/>
      <c r="H766" s="876"/>
      <c r="I766" s="876"/>
      <c r="J766" s="876"/>
      <c r="K766" s="876"/>
      <c r="L766" s="876"/>
      <c r="M766" s="876"/>
      <c r="N766" s="876"/>
      <c r="O766" s="876"/>
      <c r="P766" s="876"/>
      <c r="Q766" s="870"/>
      <c r="R766" s="870"/>
      <c r="S766" s="870"/>
      <c r="T766" s="870"/>
      <c r="U766" s="870"/>
      <c r="V766" s="870"/>
      <c r="W766" s="870"/>
      <c r="X766" s="870"/>
      <c r="Y766" s="870"/>
      <c r="Z766" s="870"/>
      <c r="AA766" s="870"/>
      <c r="AB766" s="870"/>
      <c r="AC766" s="870"/>
      <c r="AD766" s="870"/>
      <c r="AE766" s="870"/>
      <c r="AF766" s="870"/>
      <c r="AG766" s="870"/>
    </row>
    <row r="767" spans="1:33" s="995" customFormat="1">
      <c r="A767" s="974"/>
      <c r="D767" s="876"/>
      <c r="E767" s="974"/>
      <c r="F767" s="876"/>
      <c r="G767" s="876"/>
      <c r="H767" s="876"/>
      <c r="I767" s="876"/>
      <c r="J767" s="876"/>
      <c r="K767" s="876"/>
      <c r="L767" s="876"/>
      <c r="M767" s="876"/>
      <c r="N767" s="876"/>
      <c r="O767" s="876"/>
      <c r="P767" s="876"/>
      <c r="Q767" s="870"/>
      <c r="R767" s="870"/>
      <c r="S767" s="870"/>
      <c r="T767" s="870"/>
      <c r="U767" s="870"/>
      <c r="V767" s="870"/>
      <c r="W767" s="870"/>
      <c r="X767" s="870"/>
      <c r="Y767" s="870"/>
      <c r="Z767" s="870"/>
      <c r="AA767" s="870"/>
      <c r="AB767" s="870"/>
      <c r="AC767" s="870"/>
      <c r="AD767" s="870"/>
      <c r="AE767" s="870"/>
      <c r="AF767" s="870"/>
      <c r="AG767" s="870"/>
    </row>
    <row r="768" spans="1:33" s="995" customFormat="1">
      <c r="A768" s="974"/>
      <c r="D768" s="876"/>
      <c r="E768" s="974"/>
      <c r="F768" s="876"/>
      <c r="G768" s="876"/>
      <c r="H768" s="876"/>
      <c r="I768" s="876"/>
      <c r="J768" s="876"/>
      <c r="K768" s="876"/>
      <c r="L768" s="876"/>
      <c r="M768" s="876"/>
      <c r="N768" s="876"/>
      <c r="O768" s="876"/>
      <c r="P768" s="876"/>
      <c r="Q768" s="870"/>
      <c r="R768" s="870"/>
      <c r="S768" s="870"/>
      <c r="T768" s="870"/>
      <c r="U768" s="870"/>
      <c r="V768" s="870"/>
      <c r="W768" s="870"/>
      <c r="X768" s="870"/>
      <c r="Y768" s="870"/>
      <c r="Z768" s="870"/>
      <c r="AA768" s="870"/>
      <c r="AB768" s="870"/>
      <c r="AC768" s="870"/>
      <c r="AD768" s="870"/>
      <c r="AE768" s="870"/>
      <c r="AF768" s="870"/>
      <c r="AG768" s="870"/>
    </row>
    <row r="769" spans="1:33" s="995" customFormat="1">
      <c r="A769" s="974"/>
      <c r="D769" s="876"/>
      <c r="E769" s="974"/>
      <c r="F769" s="876"/>
      <c r="G769" s="876"/>
      <c r="H769" s="876"/>
      <c r="I769" s="876"/>
      <c r="J769" s="876"/>
      <c r="K769" s="876"/>
      <c r="L769" s="876"/>
      <c r="M769" s="876"/>
      <c r="N769" s="876"/>
      <c r="O769" s="876"/>
      <c r="P769" s="876"/>
      <c r="Q769" s="870"/>
      <c r="R769" s="870"/>
      <c r="S769" s="870"/>
      <c r="T769" s="870"/>
      <c r="U769" s="870"/>
      <c r="V769" s="870"/>
      <c r="W769" s="870"/>
      <c r="X769" s="870"/>
      <c r="Y769" s="870"/>
      <c r="Z769" s="870"/>
      <c r="AA769" s="870"/>
      <c r="AB769" s="870"/>
      <c r="AC769" s="870"/>
      <c r="AD769" s="870"/>
      <c r="AE769" s="870"/>
      <c r="AF769" s="870"/>
      <c r="AG769" s="870"/>
    </row>
    <row r="770" spans="1:33" s="995" customFormat="1">
      <c r="A770" s="974"/>
      <c r="D770" s="876"/>
      <c r="E770" s="974"/>
      <c r="F770" s="876"/>
      <c r="G770" s="876"/>
      <c r="H770" s="876"/>
      <c r="I770" s="876"/>
      <c r="J770" s="876"/>
      <c r="K770" s="876"/>
      <c r="L770" s="876"/>
      <c r="M770" s="876"/>
      <c r="N770" s="876"/>
      <c r="O770" s="876"/>
      <c r="P770" s="876"/>
      <c r="Q770" s="870"/>
      <c r="R770" s="870"/>
      <c r="S770" s="870"/>
      <c r="T770" s="870"/>
      <c r="U770" s="870"/>
      <c r="V770" s="870"/>
      <c r="W770" s="870"/>
      <c r="X770" s="870"/>
      <c r="Y770" s="870"/>
      <c r="Z770" s="870"/>
      <c r="AA770" s="870"/>
      <c r="AB770" s="870"/>
      <c r="AC770" s="870"/>
      <c r="AD770" s="870"/>
      <c r="AE770" s="870"/>
      <c r="AF770" s="870"/>
      <c r="AG770" s="870"/>
    </row>
    <row r="771" spans="1:33" s="995" customFormat="1">
      <c r="A771" s="974"/>
      <c r="D771" s="876"/>
      <c r="E771" s="974"/>
      <c r="F771" s="876"/>
      <c r="G771" s="876"/>
      <c r="H771" s="876"/>
      <c r="I771" s="876"/>
      <c r="J771" s="876"/>
      <c r="K771" s="876"/>
      <c r="L771" s="876"/>
      <c r="M771" s="876"/>
      <c r="N771" s="876"/>
      <c r="O771" s="876"/>
      <c r="P771" s="876"/>
      <c r="Q771" s="870"/>
      <c r="R771" s="870"/>
      <c r="S771" s="870"/>
      <c r="T771" s="870"/>
      <c r="U771" s="870"/>
      <c r="V771" s="870"/>
      <c r="W771" s="870"/>
      <c r="X771" s="870"/>
      <c r="Y771" s="870"/>
      <c r="Z771" s="870"/>
      <c r="AA771" s="870"/>
      <c r="AB771" s="870"/>
      <c r="AC771" s="870"/>
      <c r="AD771" s="870"/>
      <c r="AE771" s="870"/>
      <c r="AF771" s="870"/>
      <c r="AG771" s="870"/>
    </row>
    <row r="772" spans="1:33" s="995" customFormat="1">
      <c r="A772" s="974"/>
      <c r="D772" s="876"/>
      <c r="E772" s="974"/>
      <c r="F772" s="876"/>
      <c r="G772" s="876"/>
      <c r="H772" s="876"/>
      <c r="I772" s="876"/>
      <c r="J772" s="876"/>
      <c r="K772" s="876"/>
      <c r="L772" s="876"/>
      <c r="M772" s="876"/>
      <c r="N772" s="876"/>
      <c r="O772" s="876"/>
      <c r="P772" s="876"/>
      <c r="Q772" s="870"/>
      <c r="R772" s="870"/>
      <c r="S772" s="870"/>
      <c r="T772" s="870"/>
      <c r="U772" s="870"/>
      <c r="V772" s="870"/>
      <c r="W772" s="870"/>
      <c r="X772" s="870"/>
      <c r="Y772" s="870"/>
      <c r="Z772" s="870"/>
      <c r="AA772" s="870"/>
      <c r="AB772" s="870"/>
      <c r="AC772" s="870"/>
      <c r="AD772" s="870"/>
      <c r="AE772" s="870"/>
      <c r="AF772" s="870"/>
      <c r="AG772" s="870"/>
    </row>
    <row r="773" spans="1:33" s="995" customFormat="1">
      <c r="A773" s="974"/>
      <c r="D773" s="876"/>
      <c r="E773" s="974"/>
      <c r="F773" s="876"/>
      <c r="G773" s="876"/>
      <c r="H773" s="876"/>
      <c r="I773" s="876"/>
      <c r="J773" s="876"/>
      <c r="K773" s="876"/>
      <c r="L773" s="876"/>
      <c r="M773" s="876"/>
      <c r="N773" s="876"/>
      <c r="O773" s="876"/>
      <c r="P773" s="876"/>
      <c r="Q773" s="870"/>
      <c r="R773" s="870"/>
      <c r="S773" s="870"/>
      <c r="T773" s="870"/>
      <c r="U773" s="870"/>
      <c r="V773" s="870"/>
      <c r="W773" s="870"/>
      <c r="X773" s="870"/>
      <c r="Y773" s="870"/>
      <c r="Z773" s="870"/>
      <c r="AA773" s="870"/>
      <c r="AB773" s="870"/>
      <c r="AC773" s="870"/>
      <c r="AD773" s="870"/>
      <c r="AE773" s="870"/>
      <c r="AF773" s="870"/>
      <c r="AG773" s="870"/>
    </row>
    <row r="774" spans="1:33" s="995" customFormat="1">
      <c r="A774" s="974"/>
      <c r="D774" s="876"/>
      <c r="E774" s="974"/>
      <c r="F774" s="876"/>
      <c r="G774" s="876"/>
      <c r="H774" s="876"/>
      <c r="I774" s="876"/>
      <c r="J774" s="876"/>
      <c r="K774" s="876"/>
      <c r="L774" s="876"/>
      <c r="M774" s="876"/>
      <c r="N774" s="876"/>
      <c r="O774" s="876"/>
      <c r="P774" s="876"/>
      <c r="Q774" s="870"/>
      <c r="R774" s="870"/>
      <c r="S774" s="870"/>
      <c r="T774" s="870"/>
      <c r="U774" s="870"/>
      <c r="V774" s="870"/>
      <c r="W774" s="870"/>
      <c r="X774" s="870"/>
      <c r="Y774" s="870"/>
      <c r="Z774" s="870"/>
      <c r="AA774" s="870"/>
      <c r="AB774" s="870"/>
      <c r="AC774" s="870"/>
      <c r="AD774" s="870"/>
      <c r="AE774" s="870"/>
      <c r="AF774" s="870"/>
      <c r="AG774" s="870"/>
    </row>
    <row r="775" spans="1:33" s="995" customFormat="1">
      <c r="A775" s="974"/>
      <c r="D775" s="876"/>
      <c r="E775" s="974"/>
      <c r="F775" s="876"/>
      <c r="G775" s="876"/>
      <c r="H775" s="876"/>
      <c r="I775" s="876"/>
      <c r="J775" s="876"/>
      <c r="K775" s="876"/>
      <c r="L775" s="876"/>
      <c r="M775" s="876"/>
      <c r="N775" s="876"/>
      <c r="O775" s="876"/>
      <c r="P775" s="876"/>
      <c r="Q775" s="870"/>
      <c r="R775" s="870"/>
      <c r="S775" s="870"/>
      <c r="T775" s="870"/>
      <c r="U775" s="870"/>
      <c r="V775" s="870"/>
      <c r="W775" s="870"/>
      <c r="X775" s="870"/>
      <c r="Y775" s="870"/>
      <c r="Z775" s="870"/>
      <c r="AA775" s="870"/>
      <c r="AB775" s="870"/>
      <c r="AC775" s="870"/>
      <c r="AD775" s="870"/>
      <c r="AE775" s="870"/>
      <c r="AF775" s="870"/>
      <c r="AG775" s="870"/>
    </row>
    <row r="776" spans="1:33" s="995" customFormat="1">
      <c r="A776" s="974"/>
      <c r="D776" s="876"/>
      <c r="E776" s="974"/>
      <c r="F776" s="876"/>
      <c r="G776" s="876"/>
      <c r="H776" s="876"/>
      <c r="I776" s="876"/>
      <c r="J776" s="876"/>
      <c r="K776" s="876"/>
      <c r="L776" s="876"/>
      <c r="M776" s="876"/>
      <c r="N776" s="876"/>
      <c r="O776" s="876"/>
      <c r="P776" s="876"/>
      <c r="Q776" s="870"/>
      <c r="R776" s="870"/>
      <c r="S776" s="870"/>
      <c r="T776" s="870"/>
      <c r="U776" s="870"/>
      <c r="V776" s="870"/>
      <c r="W776" s="870"/>
      <c r="X776" s="870"/>
      <c r="Y776" s="870"/>
      <c r="Z776" s="870"/>
      <c r="AA776" s="870"/>
      <c r="AB776" s="870"/>
      <c r="AC776" s="870"/>
      <c r="AD776" s="870"/>
      <c r="AE776" s="870"/>
      <c r="AF776" s="870"/>
      <c r="AG776" s="870"/>
    </row>
    <row r="777" spans="1:33" s="995" customFormat="1">
      <c r="A777" s="974"/>
      <c r="D777" s="876"/>
      <c r="E777" s="974"/>
      <c r="F777" s="876"/>
      <c r="G777" s="876"/>
      <c r="H777" s="876"/>
      <c r="I777" s="876"/>
      <c r="J777" s="876"/>
      <c r="K777" s="876"/>
      <c r="L777" s="876"/>
      <c r="M777" s="876"/>
      <c r="N777" s="876"/>
      <c r="O777" s="876"/>
      <c r="P777" s="876"/>
      <c r="Q777" s="870"/>
      <c r="R777" s="870"/>
      <c r="S777" s="870"/>
      <c r="T777" s="870"/>
      <c r="U777" s="870"/>
      <c r="V777" s="870"/>
      <c r="W777" s="870"/>
      <c r="X777" s="870"/>
      <c r="Y777" s="870"/>
      <c r="Z777" s="870"/>
      <c r="AA777" s="870"/>
      <c r="AB777" s="870"/>
      <c r="AC777" s="870"/>
      <c r="AD777" s="870"/>
      <c r="AE777" s="870"/>
      <c r="AF777" s="870"/>
      <c r="AG777" s="870"/>
    </row>
    <row r="778" spans="1:33" s="995" customFormat="1">
      <c r="A778" s="974"/>
      <c r="D778" s="876"/>
      <c r="E778" s="974"/>
      <c r="F778" s="876"/>
      <c r="G778" s="876"/>
      <c r="H778" s="876"/>
      <c r="I778" s="876"/>
      <c r="J778" s="876"/>
      <c r="K778" s="876"/>
      <c r="L778" s="876"/>
      <c r="M778" s="876"/>
      <c r="N778" s="876"/>
      <c r="O778" s="876"/>
      <c r="P778" s="876"/>
      <c r="Q778" s="870"/>
      <c r="R778" s="870"/>
      <c r="S778" s="870"/>
      <c r="T778" s="870"/>
      <c r="U778" s="870"/>
      <c r="V778" s="870"/>
      <c r="W778" s="870"/>
      <c r="X778" s="870"/>
      <c r="Y778" s="870"/>
      <c r="Z778" s="870"/>
      <c r="AA778" s="870"/>
      <c r="AB778" s="870"/>
      <c r="AC778" s="870"/>
      <c r="AD778" s="870"/>
      <c r="AE778" s="870"/>
      <c r="AF778" s="870"/>
      <c r="AG778" s="870"/>
    </row>
    <row r="779" spans="1:33" s="995" customFormat="1">
      <c r="A779" s="974"/>
      <c r="D779" s="876"/>
      <c r="E779" s="974"/>
      <c r="F779" s="876"/>
      <c r="G779" s="876"/>
      <c r="H779" s="876"/>
      <c r="I779" s="876"/>
      <c r="J779" s="876"/>
      <c r="K779" s="876"/>
      <c r="L779" s="876"/>
      <c r="M779" s="876"/>
      <c r="N779" s="876"/>
      <c r="O779" s="876"/>
      <c r="P779" s="876"/>
      <c r="Q779" s="870"/>
      <c r="R779" s="870"/>
      <c r="S779" s="870"/>
      <c r="T779" s="870"/>
      <c r="U779" s="870"/>
      <c r="V779" s="870"/>
      <c r="W779" s="870"/>
      <c r="X779" s="870"/>
      <c r="Y779" s="870"/>
      <c r="Z779" s="870"/>
      <c r="AA779" s="870"/>
      <c r="AB779" s="870"/>
      <c r="AC779" s="870"/>
      <c r="AD779" s="870"/>
      <c r="AE779" s="870"/>
      <c r="AF779" s="870"/>
      <c r="AG779" s="870"/>
    </row>
    <row r="780" spans="1:33" s="995" customFormat="1">
      <c r="A780" s="974"/>
      <c r="D780" s="876"/>
      <c r="E780" s="974"/>
      <c r="F780" s="876"/>
      <c r="G780" s="876"/>
      <c r="H780" s="876"/>
      <c r="I780" s="876"/>
      <c r="J780" s="876"/>
      <c r="K780" s="876"/>
      <c r="L780" s="876"/>
      <c r="M780" s="876"/>
      <c r="N780" s="876"/>
      <c r="O780" s="876"/>
      <c r="P780" s="876"/>
      <c r="Q780" s="870"/>
      <c r="R780" s="870"/>
      <c r="S780" s="870"/>
      <c r="T780" s="870"/>
      <c r="U780" s="870"/>
      <c r="V780" s="870"/>
      <c r="W780" s="870"/>
      <c r="X780" s="870"/>
      <c r="Y780" s="870"/>
      <c r="Z780" s="870"/>
      <c r="AA780" s="870"/>
      <c r="AB780" s="870"/>
      <c r="AC780" s="870"/>
      <c r="AD780" s="870"/>
      <c r="AE780" s="870"/>
      <c r="AF780" s="870"/>
      <c r="AG780" s="870"/>
    </row>
    <row r="781" spans="1:33" s="995" customFormat="1">
      <c r="A781" s="974"/>
      <c r="D781" s="876"/>
      <c r="E781" s="974"/>
      <c r="F781" s="876"/>
      <c r="G781" s="876"/>
      <c r="H781" s="876"/>
      <c r="I781" s="876"/>
      <c r="J781" s="876"/>
      <c r="K781" s="876"/>
      <c r="L781" s="876"/>
      <c r="M781" s="876"/>
      <c r="N781" s="876"/>
      <c r="O781" s="876"/>
      <c r="P781" s="876"/>
      <c r="Q781" s="870"/>
      <c r="R781" s="870"/>
      <c r="S781" s="870"/>
      <c r="T781" s="870"/>
      <c r="U781" s="870"/>
      <c r="V781" s="870"/>
      <c r="W781" s="870"/>
      <c r="X781" s="870"/>
      <c r="Y781" s="870"/>
      <c r="Z781" s="870"/>
      <c r="AA781" s="870"/>
      <c r="AB781" s="870"/>
      <c r="AC781" s="870"/>
      <c r="AD781" s="870"/>
      <c r="AE781" s="870"/>
      <c r="AF781" s="870"/>
      <c r="AG781" s="870"/>
    </row>
    <row r="782" spans="1:33" s="995" customFormat="1">
      <c r="A782" s="974"/>
      <c r="D782" s="876"/>
      <c r="E782" s="974"/>
      <c r="F782" s="876"/>
      <c r="G782" s="876"/>
      <c r="H782" s="876"/>
      <c r="I782" s="876"/>
      <c r="J782" s="876"/>
      <c r="K782" s="876"/>
      <c r="L782" s="876"/>
      <c r="M782" s="876"/>
      <c r="N782" s="876"/>
      <c r="O782" s="876"/>
      <c r="P782" s="876"/>
      <c r="Q782" s="870"/>
      <c r="R782" s="870"/>
      <c r="S782" s="870"/>
      <c r="T782" s="870"/>
      <c r="U782" s="870"/>
      <c r="V782" s="870"/>
      <c r="W782" s="870"/>
      <c r="X782" s="870"/>
      <c r="Y782" s="870"/>
      <c r="Z782" s="870"/>
      <c r="AA782" s="870"/>
      <c r="AB782" s="870"/>
      <c r="AC782" s="870"/>
      <c r="AD782" s="870"/>
      <c r="AE782" s="870"/>
      <c r="AF782" s="870"/>
      <c r="AG782" s="870"/>
    </row>
    <row r="783" spans="1:33" s="995" customFormat="1">
      <c r="A783" s="974"/>
      <c r="D783" s="876"/>
      <c r="E783" s="974"/>
      <c r="F783" s="876"/>
      <c r="G783" s="876"/>
      <c r="H783" s="876"/>
      <c r="I783" s="876"/>
      <c r="J783" s="876"/>
      <c r="K783" s="876"/>
      <c r="L783" s="876"/>
      <c r="M783" s="876"/>
      <c r="N783" s="876"/>
      <c r="O783" s="876"/>
      <c r="P783" s="876"/>
      <c r="Q783" s="870"/>
      <c r="R783" s="870"/>
      <c r="S783" s="870"/>
      <c r="T783" s="870"/>
      <c r="U783" s="870"/>
      <c r="V783" s="870"/>
      <c r="W783" s="870"/>
      <c r="X783" s="870"/>
      <c r="Y783" s="870"/>
      <c r="Z783" s="870"/>
      <c r="AA783" s="870"/>
      <c r="AB783" s="870"/>
      <c r="AC783" s="870"/>
      <c r="AD783" s="870"/>
      <c r="AE783" s="870"/>
      <c r="AF783" s="870"/>
      <c r="AG783" s="870"/>
    </row>
    <row r="784" spans="1:33" s="995" customFormat="1">
      <c r="A784" s="974"/>
      <c r="D784" s="876"/>
      <c r="E784" s="974"/>
      <c r="F784" s="876"/>
      <c r="G784" s="876"/>
      <c r="H784" s="876"/>
      <c r="I784" s="876"/>
      <c r="J784" s="876"/>
      <c r="K784" s="876"/>
      <c r="L784" s="876"/>
      <c r="M784" s="876"/>
      <c r="N784" s="876"/>
      <c r="O784" s="876"/>
      <c r="P784" s="876"/>
      <c r="Q784" s="870"/>
      <c r="R784" s="870"/>
      <c r="S784" s="870"/>
      <c r="T784" s="870"/>
      <c r="U784" s="870"/>
      <c r="V784" s="870"/>
      <c r="W784" s="870"/>
      <c r="X784" s="870"/>
      <c r="Y784" s="870"/>
      <c r="Z784" s="870"/>
      <c r="AA784" s="870"/>
      <c r="AB784" s="870"/>
      <c r="AC784" s="870"/>
      <c r="AD784" s="870"/>
      <c r="AE784" s="870"/>
      <c r="AF784" s="870"/>
      <c r="AG784" s="870"/>
    </row>
    <row r="785" spans="1:33" s="995" customFormat="1">
      <c r="A785" s="974"/>
      <c r="D785" s="876"/>
      <c r="E785" s="974"/>
      <c r="F785" s="876"/>
      <c r="G785" s="876"/>
      <c r="H785" s="876"/>
      <c r="I785" s="876"/>
      <c r="J785" s="876"/>
      <c r="K785" s="876"/>
      <c r="L785" s="876"/>
      <c r="M785" s="876"/>
      <c r="N785" s="876"/>
      <c r="O785" s="876"/>
      <c r="P785" s="876"/>
      <c r="Q785" s="870"/>
      <c r="R785" s="870"/>
      <c r="S785" s="870"/>
      <c r="T785" s="870"/>
      <c r="U785" s="870"/>
      <c r="V785" s="870"/>
      <c r="W785" s="870"/>
      <c r="X785" s="870"/>
      <c r="Y785" s="870"/>
      <c r="Z785" s="870"/>
      <c r="AA785" s="870"/>
      <c r="AB785" s="870"/>
      <c r="AC785" s="870"/>
      <c r="AD785" s="870"/>
      <c r="AE785" s="870"/>
      <c r="AF785" s="870"/>
      <c r="AG785" s="870"/>
    </row>
    <row r="786" spans="1:33" s="995" customFormat="1">
      <c r="A786" s="974"/>
      <c r="D786" s="876"/>
      <c r="E786" s="974"/>
      <c r="F786" s="876"/>
      <c r="G786" s="876"/>
      <c r="H786" s="876"/>
      <c r="I786" s="876"/>
      <c r="J786" s="876"/>
      <c r="K786" s="876"/>
      <c r="L786" s="876"/>
      <c r="M786" s="876"/>
      <c r="N786" s="876"/>
      <c r="O786" s="876"/>
      <c r="P786" s="876"/>
      <c r="Q786" s="870"/>
      <c r="R786" s="870"/>
      <c r="S786" s="870"/>
      <c r="T786" s="870"/>
      <c r="U786" s="870"/>
      <c r="V786" s="870"/>
      <c r="W786" s="870"/>
      <c r="X786" s="870"/>
      <c r="Y786" s="870"/>
      <c r="Z786" s="870"/>
      <c r="AA786" s="870"/>
      <c r="AB786" s="870"/>
      <c r="AC786" s="870"/>
      <c r="AD786" s="870"/>
      <c r="AE786" s="870"/>
      <c r="AF786" s="870"/>
      <c r="AG786" s="870"/>
    </row>
    <row r="787" spans="1:33" s="995" customFormat="1">
      <c r="A787" s="974"/>
      <c r="D787" s="876"/>
      <c r="E787" s="974"/>
      <c r="F787" s="876"/>
      <c r="G787" s="876"/>
      <c r="H787" s="876"/>
      <c r="I787" s="876"/>
      <c r="J787" s="876"/>
      <c r="K787" s="876"/>
      <c r="L787" s="876"/>
      <c r="M787" s="876"/>
      <c r="N787" s="876"/>
      <c r="O787" s="876"/>
      <c r="P787" s="876"/>
      <c r="Q787" s="870"/>
      <c r="R787" s="870"/>
      <c r="S787" s="870"/>
      <c r="T787" s="870"/>
      <c r="U787" s="870"/>
      <c r="V787" s="870"/>
      <c r="W787" s="870"/>
      <c r="X787" s="870"/>
      <c r="Y787" s="870"/>
      <c r="Z787" s="870"/>
      <c r="AA787" s="870"/>
      <c r="AB787" s="870"/>
      <c r="AC787" s="870"/>
      <c r="AD787" s="870"/>
      <c r="AE787" s="870"/>
      <c r="AF787" s="870"/>
      <c r="AG787" s="870"/>
    </row>
    <row r="788" spans="1:33" s="995" customFormat="1">
      <c r="A788" s="974"/>
      <c r="D788" s="876"/>
      <c r="E788" s="974"/>
      <c r="F788" s="876"/>
      <c r="G788" s="876"/>
      <c r="H788" s="876"/>
      <c r="I788" s="876"/>
      <c r="J788" s="876"/>
      <c r="K788" s="876"/>
      <c r="L788" s="876"/>
      <c r="M788" s="876"/>
      <c r="N788" s="876"/>
      <c r="O788" s="876"/>
      <c r="P788" s="876"/>
      <c r="Q788" s="870"/>
      <c r="R788" s="870"/>
      <c r="S788" s="870"/>
      <c r="T788" s="870"/>
      <c r="U788" s="870"/>
      <c r="V788" s="870"/>
      <c r="W788" s="870"/>
      <c r="X788" s="870"/>
      <c r="Y788" s="870"/>
      <c r="Z788" s="870"/>
      <c r="AA788" s="870"/>
      <c r="AB788" s="870"/>
      <c r="AC788" s="870"/>
      <c r="AD788" s="870"/>
      <c r="AE788" s="870"/>
      <c r="AF788" s="870"/>
      <c r="AG788" s="870"/>
    </row>
    <row r="789" spans="1:33" s="995" customFormat="1">
      <c r="A789" s="974"/>
      <c r="D789" s="876"/>
      <c r="E789" s="974"/>
      <c r="F789" s="876"/>
      <c r="G789" s="876"/>
      <c r="H789" s="876"/>
      <c r="I789" s="876"/>
      <c r="J789" s="876"/>
      <c r="K789" s="876"/>
      <c r="L789" s="876"/>
      <c r="M789" s="876"/>
      <c r="N789" s="876"/>
      <c r="O789" s="876"/>
      <c r="P789" s="876"/>
      <c r="Q789" s="870"/>
      <c r="R789" s="870"/>
      <c r="S789" s="870"/>
      <c r="T789" s="870"/>
      <c r="U789" s="870"/>
      <c r="V789" s="870"/>
      <c r="W789" s="870"/>
      <c r="X789" s="870"/>
      <c r="Y789" s="870"/>
      <c r="Z789" s="870"/>
      <c r="AA789" s="870"/>
      <c r="AB789" s="870"/>
      <c r="AC789" s="870"/>
      <c r="AD789" s="870"/>
      <c r="AE789" s="870"/>
      <c r="AF789" s="870"/>
      <c r="AG789" s="870"/>
    </row>
    <row r="790" spans="1:33" s="995" customFormat="1">
      <c r="A790" s="974"/>
      <c r="D790" s="876"/>
      <c r="E790" s="974"/>
      <c r="F790" s="876"/>
      <c r="G790" s="876"/>
      <c r="H790" s="876"/>
      <c r="I790" s="876"/>
      <c r="J790" s="876"/>
      <c r="K790" s="876"/>
      <c r="L790" s="876"/>
      <c r="M790" s="876"/>
      <c r="N790" s="876"/>
      <c r="O790" s="876"/>
      <c r="P790" s="876"/>
      <c r="Q790" s="870"/>
      <c r="R790" s="870"/>
      <c r="S790" s="870"/>
      <c r="T790" s="870"/>
      <c r="U790" s="870"/>
      <c r="V790" s="870"/>
      <c r="W790" s="870"/>
      <c r="X790" s="870"/>
      <c r="Y790" s="870"/>
      <c r="Z790" s="870"/>
      <c r="AA790" s="870"/>
      <c r="AB790" s="870"/>
      <c r="AC790" s="870"/>
      <c r="AD790" s="870"/>
      <c r="AE790" s="870"/>
      <c r="AF790" s="870"/>
      <c r="AG790" s="870"/>
    </row>
    <row r="791" spans="1:33" s="995" customFormat="1">
      <c r="A791" s="974"/>
      <c r="D791" s="876"/>
      <c r="E791" s="974"/>
      <c r="F791" s="876"/>
      <c r="G791" s="876"/>
      <c r="H791" s="876"/>
      <c r="I791" s="876"/>
      <c r="J791" s="876"/>
      <c r="K791" s="876"/>
      <c r="L791" s="876"/>
      <c r="M791" s="876"/>
      <c r="N791" s="876"/>
      <c r="O791" s="876"/>
      <c r="P791" s="876"/>
      <c r="Q791" s="870"/>
      <c r="R791" s="870"/>
      <c r="S791" s="870"/>
      <c r="T791" s="870"/>
      <c r="U791" s="870"/>
      <c r="V791" s="870"/>
      <c r="W791" s="870"/>
      <c r="X791" s="870"/>
      <c r="Y791" s="870"/>
      <c r="Z791" s="870"/>
      <c r="AA791" s="870"/>
      <c r="AB791" s="870"/>
      <c r="AC791" s="870"/>
      <c r="AD791" s="870"/>
      <c r="AE791" s="870"/>
      <c r="AF791" s="870"/>
      <c r="AG791" s="870"/>
    </row>
    <row r="792" spans="1:33" s="995" customFormat="1">
      <c r="A792" s="974"/>
      <c r="D792" s="876"/>
      <c r="E792" s="974"/>
      <c r="F792" s="876"/>
      <c r="G792" s="876"/>
      <c r="H792" s="876"/>
      <c r="I792" s="876"/>
      <c r="J792" s="876"/>
      <c r="K792" s="876"/>
      <c r="L792" s="876"/>
      <c r="M792" s="876"/>
      <c r="N792" s="876"/>
      <c r="O792" s="876"/>
      <c r="P792" s="876"/>
      <c r="Q792" s="870"/>
      <c r="R792" s="870"/>
      <c r="S792" s="870"/>
      <c r="T792" s="870"/>
      <c r="U792" s="870"/>
      <c r="V792" s="870"/>
      <c r="W792" s="870"/>
      <c r="X792" s="870"/>
      <c r="Y792" s="870"/>
      <c r="Z792" s="870"/>
      <c r="AA792" s="870"/>
      <c r="AB792" s="870"/>
      <c r="AC792" s="870"/>
      <c r="AD792" s="870"/>
      <c r="AE792" s="870"/>
      <c r="AF792" s="870"/>
      <c r="AG792" s="870"/>
    </row>
    <row r="793" spans="1:33" s="995" customFormat="1">
      <c r="A793" s="974"/>
      <c r="D793" s="876"/>
      <c r="E793" s="974"/>
      <c r="F793" s="876"/>
      <c r="G793" s="876"/>
      <c r="H793" s="876"/>
      <c r="I793" s="876"/>
      <c r="J793" s="876"/>
      <c r="K793" s="876"/>
      <c r="L793" s="876"/>
      <c r="M793" s="876"/>
      <c r="N793" s="876"/>
      <c r="O793" s="876"/>
      <c r="P793" s="876"/>
      <c r="Q793" s="870"/>
      <c r="R793" s="870"/>
      <c r="S793" s="870"/>
      <c r="T793" s="870"/>
      <c r="U793" s="870"/>
      <c r="V793" s="870"/>
      <c r="W793" s="870"/>
      <c r="X793" s="870"/>
      <c r="Y793" s="870"/>
      <c r="Z793" s="870"/>
      <c r="AA793" s="870"/>
      <c r="AB793" s="870"/>
      <c r="AC793" s="870"/>
      <c r="AD793" s="870"/>
      <c r="AE793" s="870"/>
      <c r="AF793" s="870"/>
      <c r="AG793" s="870"/>
    </row>
    <row r="794" spans="1:33" s="995" customFormat="1">
      <c r="A794" s="974"/>
      <c r="D794" s="876"/>
      <c r="E794" s="974"/>
      <c r="F794" s="876"/>
      <c r="G794" s="876"/>
      <c r="H794" s="876"/>
      <c r="I794" s="876"/>
      <c r="J794" s="876"/>
      <c r="K794" s="876"/>
      <c r="L794" s="876"/>
      <c r="M794" s="876"/>
      <c r="N794" s="876"/>
      <c r="O794" s="876"/>
      <c r="P794" s="876"/>
      <c r="Q794" s="870"/>
      <c r="R794" s="870"/>
      <c r="S794" s="870"/>
      <c r="T794" s="870"/>
      <c r="U794" s="870"/>
      <c r="V794" s="870"/>
      <c r="W794" s="870"/>
      <c r="X794" s="870"/>
      <c r="Y794" s="870"/>
      <c r="Z794" s="870"/>
      <c r="AA794" s="870"/>
      <c r="AB794" s="870"/>
      <c r="AC794" s="870"/>
      <c r="AD794" s="870"/>
      <c r="AE794" s="870"/>
      <c r="AF794" s="870"/>
      <c r="AG794" s="870"/>
    </row>
    <row r="795" spans="1:33" s="995" customFormat="1">
      <c r="A795" s="974"/>
      <c r="D795" s="876"/>
      <c r="E795" s="974"/>
      <c r="F795" s="876"/>
      <c r="G795" s="876"/>
      <c r="H795" s="876"/>
      <c r="I795" s="876"/>
      <c r="J795" s="876"/>
      <c r="K795" s="876"/>
      <c r="L795" s="876"/>
      <c r="M795" s="876"/>
      <c r="N795" s="876"/>
      <c r="O795" s="876"/>
      <c r="P795" s="876"/>
      <c r="Q795" s="870"/>
      <c r="R795" s="870"/>
      <c r="S795" s="870"/>
      <c r="T795" s="870"/>
      <c r="U795" s="870"/>
      <c r="V795" s="870"/>
      <c r="W795" s="870"/>
      <c r="X795" s="870"/>
      <c r="Y795" s="870"/>
      <c r="Z795" s="870"/>
      <c r="AA795" s="870"/>
      <c r="AB795" s="870"/>
      <c r="AC795" s="870"/>
      <c r="AD795" s="870"/>
      <c r="AE795" s="870"/>
      <c r="AF795" s="870"/>
      <c r="AG795" s="870"/>
    </row>
    <row r="796" spans="1:33" s="995" customFormat="1">
      <c r="A796" s="974"/>
      <c r="D796" s="876"/>
      <c r="E796" s="974"/>
      <c r="F796" s="876"/>
      <c r="G796" s="876"/>
      <c r="H796" s="876"/>
      <c r="I796" s="876"/>
      <c r="J796" s="876"/>
      <c r="K796" s="876"/>
      <c r="L796" s="876"/>
      <c r="M796" s="876"/>
      <c r="N796" s="876"/>
      <c r="O796" s="876"/>
      <c r="P796" s="876"/>
      <c r="Q796" s="870"/>
      <c r="R796" s="870"/>
      <c r="S796" s="870"/>
      <c r="T796" s="870"/>
      <c r="U796" s="870"/>
      <c r="V796" s="870"/>
      <c r="W796" s="870"/>
      <c r="X796" s="870"/>
      <c r="Y796" s="870"/>
      <c r="Z796" s="870"/>
      <c r="AA796" s="870"/>
      <c r="AB796" s="870"/>
      <c r="AC796" s="870"/>
      <c r="AD796" s="870"/>
      <c r="AE796" s="870"/>
      <c r="AF796" s="870"/>
      <c r="AG796" s="870"/>
    </row>
    <row r="797" spans="1:33" s="995" customFormat="1">
      <c r="A797" s="974"/>
      <c r="D797" s="876"/>
      <c r="E797" s="974"/>
      <c r="F797" s="876"/>
      <c r="G797" s="876"/>
      <c r="H797" s="876"/>
      <c r="I797" s="876"/>
      <c r="J797" s="876"/>
      <c r="K797" s="876"/>
      <c r="L797" s="876"/>
      <c r="M797" s="876"/>
      <c r="N797" s="876"/>
      <c r="O797" s="876"/>
      <c r="P797" s="876"/>
      <c r="Q797" s="870"/>
      <c r="R797" s="870"/>
      <c r="S797" s="870"/>
      <c r="T797" s="870"/>
      <c r="U797" s="870"/>
      <c r="V797" s="870"/>
      <c r="W797" s="870"/>
      <c r="X797" s="870"/>
      <c r="Y797" s="870"/>
      <c r="Z797" s="870"/>
      <c r="AA797" s="870"/>
      <c r="AB797" s="870"/>
      <c r="AC797" s="870"/>
      <c r="AD797" s="870"/>
      <c r="AE797" s="870"/>
      <c r="AF797" s="870"/>
      <c r="AG797" s="870"/>
    </row>
    <row r="798" spans="1:33" s="995" customFormat="1">
      <c r="A798" s="974"/>
      <c r="D798" s="876"/>
      <c r="E798" s="974"/>
      <c r="F798" s="876"/>
      <c r="G798" s="876"/>
      <c r="H798" s="876"/>
      <c r="I798" s="876"/>
      <c r="J798" s="876"/>
      <c r="K798" s="876"/>
      <c r="L798" s="876"/>
      <c r="M798" s="876"/>
      <c r="N798" s="876"/>
      <c r="O798" s="876"/>
      <c r="P798" s="876"/>
      <c r="Q798" s="870"/>
      <c r="R798" s="870"/>
      <c r="S798" s="870"/>
      <c r="T798" s="870"/>
      <c r="U798" s="870"/>
      <c r="V798" s="870"/>
      <c r="W798" s="870"/>
      <c r="X798" s="870"/>
      <c r="Y798" s="870"/>
      <c r="Z798" s="870"/>
      <c r="AA798" s="870"/>
      <c r="AB798" s="870"/>
      <c r="AC798" s="870"/>
      <c r="AD798" s="870"/>
      <c r="AE798" s="870"/>
      <c r="AF798" s="870"/>
      <c r="AG798" s="870"/>
    </row>
    <row r="799" spans="1:33" s="995" customFormat="1">
      <c r="A799" s="974"/>
      <c r="D799" s="876"/>
      <c r="E799" s="974"/>
      <c r="F799" s="876"/>
      <c r="G799" s="876"/>
      <c r="H799" s="876"/>
      <c r="I799" s="876"/>
      <c r="J799" s="876"/>
      <c r="K799" s="876"/>
      <c r="L799" s="876"/>
      <c r="M799" s="876"/>
      <c r="N799" s="876"/>
      <c r="O799" s="876"/>
      <c r="P799" s="876"/>
      <c r="Q799" s="870"/>
      <c r="R799" s="870"/>
      <c r="S799" s="870"/>
      <c r="T799" s="870"/>
      <c r="U799" s="870"/>
      <c r="V799" s="870"/>
      <c r="W799" s="870"/>
      <c r="X799" s="870"/>
      <c r="Y799" s="870"/>
      <c r="Z799" s="870"/>
      <c r="AA799" s="870"/>
      <c r="AB799" s="870"/>
      <c r="AC799" s="870"/>
      <c r="AD799" s="870"/>
      <c r="AE799" s="870"/>
      <c r="AF799" s="870"/>
      <c r="AG799" s="870"/>
    </row>
    <row r="800" spans="1:33" s="995" customFormat="1">
      <c r="A800" s="974"/>
      <c r="D800" s="876"/>
      <c r="E800" s="974"/>
      <c r="F800" s="876"/>
      <c r="G800" s="876"/>
      <c r="H800" s="876"/>
      <c r="I800" s="876"/>
      <c r="J800" s="876"/>
      <c r="K800" s="876"/>
      <c r="L800" s="876"/>
      <c r="M800" s="876"/>
      <c r="N800" s="876"/>
      <c r="O800" s="876"/>
      <c r="P800" s="876"/>
      <c r="Q800" s="870"/>
      <c r="R800" s="870"/>
      <c r="S800" s="870"/>
      <c r="T800" s="870"/>
      <c r="U800" s="870"/>
      <c r="V800" s="870"/>
      <c r="W800" s="870"/>
      <c r="X800" s="870"/>
      <c r="Y800" s="870"/>
      <c r="Z800" s="870"/>
      <c r="AA800" s="870"/>
      <c r="AB800" s="870"/>
      <c r="AC800" s="870"/>
      <c r="AD800" s="870"/>
      <c r="AE800" s="870"/>
      <c r="AF800" s="870"/>
      <c r="AG800" s="870"/>
    </row>
    <row r="801" spans="1:33" s="995" customFormat="1">
      <c r="A801" s="974"/>
      <c r="D801" s="876"/>
      <c r="E801" s="974"/>
      <c r="F801" s="876"/>
      <c r="G801" s="876"/>
      <c r="H801" s="876"/>
      <c r="I801" s="876"/>
      <c r="J801" s="876"/>
      <c r="K801" s="876"/>
      <c r="L801" s="876"/>
      <c r="M801" s="876"/>
      <c r="N801" s="876"/>
      <c r="O801" s="876"/>
      <c r="P801" s="876"/>
      <c r="Q801" s="870"/>
      <c r="R801" s="870"/>
      <c r="S801" s="870"/>
      <c r="T801" s="870"/>
      <c r="U801" s="870"/>
      <c r="V801" s="870"/>
      <c r="W801" s="870"/>
      <c r="X801" s="870"/>
      <c r="Y801" s="870"/>
      <c r="Z801" s="870"/>
      <c r="AA801" s="870"/>
      <c r="AB801" s="870"/>
      <c r="AC801" s="870"/>
      <c r="AD801" s="870"/>
      <c r="AE801" s="870"/>
      <c r="AF801" s="870"/>
      <c r="AG801" s="870"/>
    </row>
    <row r="802" spans="1:33" s="995" customFormat="1">
      <c r="A802" s="974"/>
      <c r="D802" s="876"/>
      <c r="E802" s="974"/>
      <c r="F802" s="876"/>
      <c r="G802" s="876"/>
      <c r="H802" s="876"/>
      <c r="I802" s="876"/>
      <c r="J802" s="876"/>
      <c r="K802" s="876"/>
      <c r="L802" s="876"/>
      <c r="M802" s="876"/>
      <c r="N802" s="876"/>
      <c r="O802" s="876"/>
      <c r="P802" s="876"/>
      <c r="Q802" s="870"/>
      <c r="R802" s="870"/>
      <c r="S802" s="870"/>
      <c r="T802" s="870"/>
      <c r="U802" s="870"/>
      <c r="V802" s="870"/>
      <c r="W802" s="870"/>
      <c r="X802" s="870"/>
      <c r="Y802" s="870"/>
      <c r="Z802" s="870"/>
      <c r="AA802" s="870"/>
      <c r="AB802" s="870"/>
      <c r="AC802" s="870"/>
      <c r="AD802" s="870"/>
      <c r="AE802" s="870"/>
      <c r="AF802" s="870"/>
      <c r="AG802" s="870"/>
    </row>
    <row r="803" spans="1:33" s="995" customFormat="1">
      <c r="A803" s="974"/>
      <c r="D803" s="876"/>
      <c r="E803" s="974"/>
      <c r="F803" s="876"/>
      <c r="G803" s="876"/>
      <c r="H803" s="876"/>
      <c r="I803" s="876"/>
      <c r="J803" s="876"/>
      <c r="K803" s="876"/>
      <c r="L803" s="876"/>
      <c r="M803" s="876"/>
      <c r="N803" s="876"/>
      <c r="O803" s="876"/>
      <c r="P803" s="876"/>
      <c r="Q803" s="870"/>
      <c r="R803" s="870"/>
      <c r="S803" s="870"/>
      <c r="T803" s="870"/>
      <c r="U803" s="870"/>
      <c r="V803" s="870"/>
      <c r="W803" s="870"/>
      <c r="X803" s="870"/>
      <c r="Y803" s="870"/>
      <c r="Z803" s="870"/>
      <c r="AA803" s="870"/>
      <c r="AB803" s="870"/>
      <c r="AC803" s="870"/>
      <c r="AD803" s="870"/>
      <c r="AE803" s="870"/>
      <c r="AF803" s="870"/>
      <c r="AG803" s="870"/>
    </row>
    <row r="804" spans="1:33" s="995" customFormat="1">
      <c r="A804" s="974"/>
      <c r="D804" s="876"/>
      <c r="E804" s="974"/>
      <c r="F804" s="876"/>
      <c r="G804" s="876"/>
      <c r="H804" s="876"/>
      <c r="I804" s="876"/>
      <c r="J804" s="876"/>
      <c r="K804" s="876"/>
      <c r="L804" s="876"/>
      <c r="M804" s="876"/>
      <c r="N804" s="876"/>
      <c r="O804" s="876"/>
      <c r="P804" s="876"/>
      <c r="Q804" s="870"/>
      <c r="R804" s="870"/>
      <c r="S804" s="870"/>
      <c r="T804" s="870"/>
      <c r="U804" s="870"/>
      <c r="V804" s="870"/>
      <c r="W804" s="870"/>
      <c r="X804" s="870"/>
      <c r="Y804" s="870"/>
      <c r="Z804" s="870"/>
      <c r="AA804" s="870"/>
      <c r="AB804" s="870"/>
      <c r="AC804" s="870"/>
      <c r="AD804" s="870"/>
      <c r="AE804" s="870"/>
      <c r="AF804" s="870"/>
      <c r="AG804" s="870"/>
    </row>
    <row r="805" spans="1:33" s="995" customFormat="1">
      <c r="A805" s="974"/>
      <c r="D805" s="876"/>
      <c r="E805" s="974"/>
      <c r="F805" s="876"/>
      <c r="G805" s="876"/>
      <c r="H805" s="876"/>
      <c r="I805" s="876"/>
      <c r="J805" s="876"/>
      <c r="K805" s="876"/>
      <c r="L805" s="876"/>
      <c r="M805" s="876"/>
      <c r="N805" s="876"/>
      <c r="O805" s="876"/>
      <c r="P805" s="876"/>
      <c r="Q805" s="870"/>
      <c r="R805" s="870"/>
      <c r="S805" s="870"/>
      <c r="T805" s="870"/>
      <c r="U805" s="870"/>
      <c r="V805" s="870"/>
      <c r="W805" s="870"/>
      <c r="X805" s="870"/>
      <c r="Y805" s="870"/>
      <c r="Z805" s="870"/>
      <c r="AA805" s="870"/>
      <c r="AB805" s="870"/>
      <c r="AC805" s="870"/>
      <c r="AD805" s="870"/>
      <c r="AE805" s="870"/>
      <c r="AF805" s="870"/>
      <c r="AG805" s="870"/>
    </row>
    <row r="806" spans="1:33" s="995" customFormat="1">
      <c r="A806" s="974"/>
      <c r="D806" s="876"/>
      <c r="E806" s="974"/>
      <c r="F806" s="876"/>
      <c r="G806" s="876"/>
      <c r="H806" s="876"/>
      <c r="I806" s="876"/>
      <c r="J806" s="876"/>
      <c r="K806" s="876"/>
      <c r="L806" s="876"/>
      <c r="M806" s="876"/>
      <c r="N806" s="876"/>
      <c r="O806" s="876"/>
      <c r="P806" s="876"/>
      <c r="Q806" s="870"/>
      <c r="R806" s="870"/>
      <c r="S806" s="870"/>
      <c r="T806" s="870"/>
      <c r="U806" s="870"/>
      <c r="V806" s="870"/>
      <c r="W806" s="870"/>
      <c r="X806" s="870"/>
      <c r="Y806" s="870"/>
      <c r="Z806" s="870"/>
      <c r="AA806" s="870"/>
      <c r="AB806" s="870"/>
      <c r="AC806" s="870"/>
      <c r="AD806" s="870"/>
      <c r="AE806" s="870"/>
      <c r="AF806" s="870"/>
      <c r="AG806" s="870"/>
    </row>
    <row r="807" spans="1:33" s="995" customFormat="1">
      <c r="A807" s="974"/>
      <c r="D807" s="876"/>
      <c r="E807" s="974"/>
      <c r="F807" s="876"/>
      <c r="G807" s="876"/>
      <c r="H807" s="876"/>
      <c r="I807" s="876"/>
      <c r="J807" s="876"/>
      <c r="K807" s="876"/>
      <c r="L807" s="876"/>
      <c r="M807" s="876"/>
      <c r="N807" s="876"/>
      <c r="O807" s="876"/>
      <c r="P807" s="876"/>
      <c r="Q807" s="870"/>
      <c r="R807" s="870"/>
      <c r="S807" s="870"/>
      <c r="T807" s="870"/>
      <c r="U807" s="870"/>
      <c r="V807" s="870"/>
      <c r="W807" s="870"/>
      <c r="X807" s="870"/>
      <c r="Y807" s="870"/>
      <c r="Z807" s="870"/>
      <c r="AA807" s="870"/>
      <c r="AB807" s="870"/>
      <c r="AC807" s="870"/>
      <c r="AD807" s="870"/>
      <c r="AE807" s="870"/>
      <c r="AF807" s="870"/>
      <c r="AG807" s="870"/>
    </row>
    <row r="808" spans="1:33" s="995" customFormat="1">
      <c r="A808" s="974"/>
      <c r="D808" s="876"/>
      <c r="E808" s="974"/>
      <c r="F808" s="876"/>
      <c r="G808" s="876"/>
      <c r="H808" s="876"/>
      <c r="I808" s="876"/>
      <c r="J808" s="876"/>
      <c r="K808" s="876"/>
      <c r="L808" s="876"/>
      <c r="M808" s="876"/>
      <c r="N808" s="876"/>
      <c r="O808" s="876"/>
      <c r="P808" s="876"/>
      <c r="Q808" s="870"/>
      <c r="R808" s="870"/>
      <c r="S808" s="870"/>
      <c r="T808" s="870"/>
      <c r="U808" s="870"/>
      <c r="V808" s="870"/>
      <c r="W808" s="870"/>
      <c r="X808" s="870"/>
      <c r="Y808" s="870"/>
      <c r="Z808" s="870"/>
      <c r="AA808" s="870"/>
      <c r="AB808" s="870"/>
      <c r="AC808" s="870"/>
      <c r="AD808" s="870"/>
      <c r="AE808" s="870"/>
      <c r="AF808" s="870"/>
      <c r="AG808" s="870"/>
    </row>
    <row r="809" spans="1:33" s="995" customFormat="1">
      <c r="A809" s="974"/>
      <c r="D809" s="876"/>
      <c r="E809" s="974"/>
      <c r="F809" s="876"/>
      <c r="G809" s="876"/>
      <c r="H809" s="876"/>
      <c r="I809" s="876"/>
      <c r="J809" s="876"/>
      <c r="K809" s="876"/>
      <c r="L809" s="876"/>
      <c r="M809" s="876"/>
      <c r="N809" s="876"/>
      <c r="O809" s="876"/>
      <c r="P809" s="876"/>
      <c r="Q809" s="870"/>
      <c r="R809" s="870"/>
      <c r="S809" s="870"/>
      <c r="T809" s="870"/>
      <c r="U809" s="870"/>
      <c r="V809" s="870"/>
      <c r="W809" s="870"/>
      <c r="X809" s="870"/>
      <c r="Y809" s="870"/>
      <c r="Z809" s="870"/>
      <c r="AA809" s="870"/>
      <c r="AB809" s="870"/>
      <c r="AC809" s="870"/>
      <c r="AD809" s="870"/>
      <c r="AE809" s="870"/>
      <c r="AF809" s="870"/>
      <c r="AG809" s="870"/>
    </row>
    <row r="810" spans="1:33" s="995" customFormat="1">
      <c r="A810" s="974"/>
      <c r="D810" s="876"/>
      <c r="E810" s="974"/>
      <c r="F810" s="876"/>
      <c r="G810" s="876"/>
      <c r="H810" s="876"/>
      <c r="I810" s="876"/>
      <c r="J810" s="876"/>
      <c r="K810" s="876"/>
      <c r="L810" s="876"/>
      <c r="M810" s="876"/>
      <c r="N810" s="876"/>
      <c r="O810" s="876"/>
      <c r="P810" s="876"/>
      <c r="Q810" s="870"/>
      <c r="R810" s="870"/>
      <c r="S810" s="870"/>
      <c r="T810" s="870"/>
      <c r="U810" s="870"/>
      <c r="V810" s="870"/>
      <c r="W810" s="870"/>
      <c r="X810" s="870"/>
      <c r="Y810" s="870"/>
      <c r="Z810" s="870"/>
      <c r="AA810" s="870"/>
      <c r="AB810" s="870"/>
      <c r="AC810" s="870"/>
      <c r="AD810" s="870"/>
      <c r="AE810" s="870"/>
      <c r="AF810" s="870"/>
      <c r="AG810" s="870"/>
    </row>
    <row r="811" spans="1:33" s="995" customFormat="1">
      <c r="A811" s="974"/>
      <c r="D811" s="876"/>
      <c r="E811" s="974"/>
      <c r="F811" s="876"/>
      <c r="G811" s="876"/>
      <c r="H811" s="876"/>
      <c r="I811" s="876"/>
      <c r="J811" s="876"/>
      <c r="K811" s="876"/>
      <c r="L811" s="876"/>
      <c r="M811" s="876"/>
      <c r="N811" s="876"/>
      <c r="O811" s="876"/>
      <c r="P811" s="876"/>
      <c r="Q811" s="870"/>
      <c r="R811" s="870"/>
      <c r="S811" s="870"/>
      <c r="T811" s="870"/>
      <c r="U811" s="870"/>
      <c r="V811" s="870"/>
      <c r="W811" s="870"/>
      <c r="X811" s="870"/>
      <c r="Y811" s="870"/>
      <c r="Z811" s="870"/>
      <c r="AA811" s="870"/>
      <c r="AB811" s="870"/>
      <c r="AC811" s="870"/>
      <c r="AD811" s="870"/>
      <c r="AE811" s="870"/>
      <c r="AF811" s="870"/>
      <c r="AG811" s="870"/>
    </row>
    <row r="812" spans="1:33" s="995" customFormat="1">
      <c r="A812" s="974"/>
      <c r="D812" s="876"/>
      <c r="E812" s="974"/>
      <c r="F812" s="876"/>
      <c r="G812" s="876"/>
      <c r="H812" s="876"/>
      <c r="I812" s="876"/>
      <c r="J812" s="876"/>
      <c r="K812" s="876"/>
      <c r="L812" s="876"/>
      <c r="M812" s="876"/>
      <c r="N812" s="876"/>
      <c r="O812" s="876"/>
      <c r="P812" s="876"/>
      <c r="Q812" s="870"/>
      <c r="R812" s="870"/>
      <c r="S812" s="870"/>
      <c r="T812" s="870"/>
      <c r="U812" s="870"/>
      <c r="V812" s="870"/>
      <c r="W812" s="870"/>
      <c r="X812" s="870"/>
      <c r="Y812" s="870"/>
      <c r="Z812" s="870"/>
      <c r="AA812" s="870"/>
      <c r="AB812" s="870"/>
      <c r="AC812" s="870"/>
      <c r="AD812" s="870"/>
      <c r="AE812" s="870"/>
      <c r="AF812" s="870"/>
      <c r="AG812" s="870"/>
    </row>
    <row r="813" spans="1:33" s="995" customFormat="1">
      <c r="A813" s="974"/>
      <c r="D813" s="876"/>
      <c r="E813" s="974"/>
      <c r="F813" s="876"/>
      <c r="G813" s="876"/>
      <c r="H813" s="876"/>
      <c r="I813" s="876"/>
      <c r="J813" s="876"/>
      <c r="K813" s="876"/>
      <c r="L813" s="876"/>
      <c r="M813" s="876"/>
      <c r="N813" s="876"/>
      <c r="O813" s="876"/>
      <c r="P813" s="876"/>
      <c r="Q813" s="870"/>
      <c r="R813" s="870"/>
      <c r="S813" s="870"/>
      <c r="T813" s="870"/>
      <c r="U813" s="870"/>
      <c r="V813" s="870"/>
      <c r="W813" s="870"/>
      <c r="X813" s="870"/>
      <c r="Y813" s="870"/>
      <c r="Z813" s="870"/>
      <c r="AA813" s="870"/>
      <c r="AB813" s="870"/>
      <c r="AC813" s="870"/>
      <c r="AD813" s="870"/>
      <c r="AE813" s="870"/>
      <c r="AF813" s="870"/>
      <c r="AG813" s="870"/>
    </row>
    <row r="814" spans="1:33" s="995" customFormat="1">
      <c r="A814" s="974"/>
      <c r="D814" s="876"/>
      <c r="E814" s="974"/>
      <c r="F814" s="876"/>
      <c r="G814" s="876"/>
      <c r="H814" s="876"/>
      <c r="I814" s="876"/>
      <c r="J814" s="876"/>
      <c r="K814" s="876"/>
      <c r="L814" s="876"/>
      <c r="M814" s="876"/>
      <c r="N814" s="876"/>
      <c r="O814" s="876"/>
      <c r="P814" s="876"/>
      <c r="Q814" s="870"/>
      <c r="R814" s="870"/>
      <c r="S814" s="870"/>
      <c r="T814" s="870"/>
      <c r="U814" s="870"/>
      <c r="V814" s="870"/>
      <c r="W814" s="870"/>
      <c r="X814" s="870"/>
      <c r="Y814" s="870"/>
      <c r="Z814" s="870"/>
      <c r="AA814" s="870"/>
      <c r="AB814" s="870"/>
      <c r="AC814" s="870"/>
      <c r="AD814" s="870"/>
      <c r="AE814" s="870"/>
      <c r="AF814" s="870"/>
      <c r="AG814" s="870"/>
    </row>
    <row r="815" spans="1:33" s="995" customFormat="1">
      <c r="A815" s="974"/>
      <c r="D815" s="876"/>
      <c r="E815" s="974"/>
      <c r="F815" s="876"/>
      <c r="G815" s="876"/>
      <c r="H815" s="876"/>
      <c r="I815" s="876"/>
      <c r="J815" s="876"/>
      <c r="K815" s="876"/>
      <c r="L815" s="876"/>
      <c r="M815" s="876"/>
      <c r="N815" s="876"/>
      <c r="O815" s="876"/>
      <c r="P815" s="876"/>
      <c r="Q815" s="870"/>
      <c r="R815" s="870"/>
      <c r="S815" s="870"/>
      <c r="T815" s="870"/>
      <c r="U815" s="870"/>
      <c r="V815" s="870"/>
      <c r="W815" s="870"/>
      <c r="X815" s="870"/>
      <c r="Y815" s="870"/>
      <c r="Z815" s="870"/>
      <c r="AA815" s="870"/>
      <c r="AB815" s="870"/>
      <c r="AC815" s="870"/>
      <c r="AD815" s="870"/>
      <c r="AE815" s="870"/>
      <c r="AF815" s="870"/>
      <c r="AG815" s="870"/>
    </row>
    <row r="816" spans="1:33" s="995" customFormat="1">
      <c r="A816" s="974"/>
      <c r="D816" s="876"/>
      <c r="E816" s="974"/>
      <c r="F816" s="876"/>
      <c r="G816" s="876"/>
      <c r="H816" s="876"/>
      <c r="I816" s="876"/>
      <c r="J816" s="876"/>
      <c r="K816" s="876"/>
      <c r="L816" s="876"/>
      <c r="M816" s="876"/>
      <c r="N816" s="876"/>
      <c r="O816" s="876"/>
      <c r="P816" s="876"/>
      <c r="Q816" s="870"/>
      <c r="R816" s="870"/>
      <c r="S816" s="870"/>
      <c r="T816" s="870"/>
      <c r="U816" s="870"/>
      <c r="V816" s="870"/>
      <c r="W816" s="870"/>
      <c r="X816" s="870"/>
      <c r="Y816" s="870"/>
      <c r="Z816" s="870"/>
      <c r="AA816" s="870"/>
      <c r="AB816" s="870"/>
      <c r="AC816" s="870"/>
      <c r="AD816" s="870"/>
      <c r="AE816" s="870"/>
      <c r="AF816" s="870"/>
      <c r="AG816" s="870"/>
    </row>
    <row r="817" spans="1:33" s="995" customFormat="1">
      <c r="A817" s="974"/>
      <c r="D817" s="876"/>
      <c r="E817" s="974"/>
      <c r="F817" s="876"/>
      <c r="G817" s="876"/>
      <c r="H817" s="876"/>
      <c r="I817" s="876"/>
      <c r="J817" s="876"/>
      <c r="K817" s="876"/>
      <c r="L817" s="876"/>
      <c r="M817" s="876"/>
      <c r="N817" s="876"/>
      <c r="O817" s="876"/>
      <c r="P817" s="876"/>
      <c r="Q817" s="870"/>
      <c r="R817" s="870"/>
      <c r="S817" s="870"/>
      <c r="T817" s="870"/>
      <c r="U817" s="870"/>
      <c r="V817" s="870"/>
      <c r="W817" s="870"/>
      <c r="X817" s="870"/>
      <c r="Y817" s="870"/>
      <c r="Z817" s="870"/>
      <c r="AA817" s="870"/>
      <c r="AB817" s="870"/>
      <c r="AC817" s="870"/>
      <c r="AD817" s="870"/>
      <c r="AE817" s="870"/>
      <c r="AF817" s="870"/>
      <c r="AG817" s="870"/>
    </row>
    <row r="818" spans="1:33" s="995" customFormat="1">
      <c r="A818" s="974"/>
      <c r="D818" s="876"/>
      <c r="E818" s="974"/>
      <c r="F818" s="876"/>
      <c r="G818" s="876"/>
      <c r="H818" s="876"/>
      <c r="I818" s="876"/>
      <c r="J818" s="876"/>
      <c r="K818" s="876"/>
      <c r="L818" s="876"/>
      <c r="M818" s="876"/>
      <c r="N818" s="876"/>
      <c r="O818" s="876"/>
      <c r="P818" s="876"/>
      <c r="Q818" s="870"/>
      <c r="R818" s="870"/>
      <c r="S818" s="870"/>
      <c r="T818" s="870"/>
      <c r="U818" s="870"/>
      <c r="V818" s="870"/>
      <c r="W818" s="870"/>
      <c r="X818" s="870"/>
      <c r="Y818" s="870"/>
      <c r="Z818" s="870"/>
      <c r="AA818" s="870"/>
      <c r="AB818" s="870"/>
      <c r="AC818" s="870"/>
      <c r="AD818" s="870"/>
      <c r="AE818" s="870"/>
      <c r="AF818" s="870"/>
      <c r="AG818" s="870"/>
    </row>
    <row r="819" spans="1:33" s="995" customFormat="1">
      <c r="A819" s="974"/>
      <c r="D819" s="876"/>
      <c r="E819" s="974"/>
      <c r="F819" s="876"/>
      <c r="G819" s="876"/>
      <c r="H819" s="876"/>
      <c r="I819" s="876"/>
      <c r="J819" s="876"/>
      <c r="K819" s="876"/>
      <c r="L819" s="876"/>
      <c r="M819" s="876"/>
      <c r="N819" s="876"/>
      <c r="O819" s="876"/>
      <c r="P819" s="876"/>
      <c r="Q819" s="870"/>
      <c r="R819" s="870"/>
      <c r="S819" s="870"/>
      <c r="T819" s="870"/>
      <c r="U819" s="870"/>
      <c r="V819" s="870"/>
      <c r="W819" s="870"/>
      <c r="X819" s="870"/>
      <c r="Y819" s="870"/>
      <c r="Z819" s="870"/>
      <c r="AA819" s="870"/>
      <c r="AB819" s="870"/>
      <c r="AC819" s="870"/>
      <c r="AD819" s="870"/>
      <c r="AE819" s="870"/>
      <c r="AF819" s="870"/>
      <c r="AG819" s="870"/>
    </row>
    <row r="820" spans="1:33" s="995" customFormat="1">
      <c r="A820" s="974"/>
      <c r="D820" s="876"/>
      <c r="E820" s="974"/>
      <c r="F820" s="876"/>
      <c r="G820" s="876"/>
      <c r="H820" s="876"/>
      <c r="I820" s="876"/>
      <c r="J820" s="876"/>
      <c r="K820" s="876"/>
      <c r="L820" s="876"/>
      <c r="M820" s="876"/>
      <c r="N820" s="876"/>
      <c r="O820" s="876"/>
      <c r="P820" s="876"/>
      <c r="Q820" s="870"/>
      <c r="R820" s="870"/>
      <c r="S820" s="870"/>
      <c r="T820" s="870"/>
      <c r="U820" s="870"/>
      <c r="V820" s="870"/>
      <c r="W820" s="870"/>
      <c r="X820" s="870"/>
      <c r="Y820" s="870"/>
      <c r="Z820" s="870"/>
      <c r="AA820" s="870"/>
      <c r="AB820" s="870"/>
      <c r="AC820" s="870"/>
      <c r="AD820" s="870"/>
      <c r="AE820" s="870"/>
      <c r="AF820" s="870"/>
      <c r="AG820" s="870"/>
    </row>
    <row r="821" spans="1:33" s="995" customFormat="1">
      <c r="A821" s="974"/>
      <c r="D821" s="876"/>
      <c r="E821" s="974"/>
      <c r="F821" s="876"/>
      <c r="G821" s="876"/>
      <c r="H821" s="876"/>
      <c r="I821" s="876"/>
      <c r="J821" s="876"/>
      <c r="K821" s="876"/>
      <c r="L821" s="876"/>
      <c r="M821" s="876"/>
      <c r="N821" s="876"/>
      <c r="O821" s="876"/>
      <c r="P821" s="876"/>
      <c r="Q821" s="870"/>
      <c r="R821" s="870"/>
      <c r="S821" s="870"/>
      <c r="T821" s="870"/>
      <c r="U821" s="870"/>
      <c r="V821" s="870"/>
      <c r="W821" s="870"/>
      <c r="X821" s="870"/>
      <c r="Y821" s="870"/>
      <c r="Z821" s="870"/>
      <c r="AA821" s="870"/>
      <c r="AB821" s="870"/>
      <c r="AC821" s="870"/>
      <c r="AD821" s="870"/>
      <c r="AE821" s="870"/>
      <c r="AF821" s="870"/>
      <c r="AG821" s="870"/>
    </row>
    <row r="822" spans="1:33" s="995" customFormat="1">
      <c r="A822" s="974"/>
      <c r="D822" s="876"/>
      <c r="E822" s="974"/>
      <c r="F822" s="876"/>
      <c r="G822" s="876"/>
      <c r="H822" s="876"/>
      <c r="I822" s="876"/>
      <c r="J822" s="876"/>
      <c r="K822" s="876"/>
      <c r="L822" s="876"/>
      <c r="M822" s="876"/>
      <c r="N822" s="876"/>
      <c r="O822" s="876"/>
      <c r="P822" s="876"/>
      <c r="Q822" s="870"/>
      <c r="R822" s="870"/>
      <c r="S822" s="870"/>
      <c r="T822" s="870"/>
      <c r="U822" s="870"/>
      <c r="V822" s="870"/>
      <c r="W822" s="870"/>
      <c r="X822" s="870"/>
      <c r="Y822" s="870"/>
      <c r="Z822" s="870"/>
      <c r="AA822" s="870"/>
      <c r="AB822" s="870"/>
      <c r="AC822" s="870"/>
      <c r="AD822" s="870"/>
      <c r="AE822" s="870"/>
      <c r="AF822" s="870"/>
      <c r="AG822" s="870"/>
    </row>
    <row r="823" spans="1:33" s="995" customFormat="1">
      <c r="A823" s="974"/>
      <c r="D823" s="876"/>
      <c r="E823" s="974"/>
      <c r="F823" s="876"/>
      <c r="G823" s="876"/>
      <c r="H823" s="876"/>
      <c r="I823" s="876"/>
      <c r="J823" s="876"/>
      <c r="K823" s="876"/>
      <c r="L823" s="876"/>
      <c r="M823" s="876"/>
      <c r="N823" s="876"/>
      <c r="O823" s="876"/>
      <c r="P823" s="876"/>
      <c r="Q823" s="870"/>
      <c r="R823" s="870"/>
      <c r="S823" s="870"/>
      <c r="T823" s="870"/>
      <c r="U823" s="870"/>
      <c r="V823" s="870"/>
      <c r="W823" s="870"/>
      <c r="X823" s="870"/>
      <c r="Y823" s="870"/>
      <c r="Z823" s="870"/>
      <c r="AA823" s="870"/>
      <c r="AB823" s="870"/>
      <c r="AC823" s="870"/>
      <c r="AD823" s="870"/>
      <c r="AE823" s="870"/>
      <c r="AF823" s="870"/>
      <c r="AG823" s="870"/>
    </row>
    <row r="824" spans="1:33" s="995" customFormat="1">
      <c r="A824" s="974"/>
      <c r="D824" s="876"/>
      <c r="E824" s="974"/>
      <c r="F824" s="876"/>
      <c r="G824" s="876"/>
      <c r="H824" s="876"/>
      <c r="I824" s="876"/>
      <c r="J824" s="876"/>
      <c r="K824" s="876"/>
      <c r="L824" s="876"/>
      <c r="M824" s="876"/>
      <c r="N824" s="876"/>
      <c r="O824" s="876"/>
      <c r="P824" s="876"/>
      <c r="Q824" s="870"/>
      <c r="R824" s="870"/>
      <c r="S824" s="870"/>
      <c r="T824" s="870"/>
      <c r="U824" s="870"/>
      <c r="V824" s="870"/>
      <c r="W824" s="870"/>
      <c r="X824" s="870"/>
      <c r="Y824" s="870"/>
      <c r="Z824" s="870"/>
      <c r="AA824" s="870"/>
      <c r="AB824" s="870"/>
      <c r="AC824" s="870"/>
      <c r="AD824" s="870"/>
      <c r="AE824" s="870"/>
      <c r="AF824" s="870"/>
      <c r="AG824" s="870"/>
    </row>
    <row r="825" spans="1:33" s="995" customFormat="1">
      <c r="A825" s="974"/>
      <c r="D825" s="876"/>
      <c r="E825" s="974"/>
      <c r="F825" s="876"/>
      <c r="G825" s="876"/>
      <c r="H825" s="876"/>
      <c r="I825" s="876"/>
      <c r="J825" s="876"/>
      <c r="K825" s="876"/>
      <c r="L825" s="876"/>
      <c r="M825" s="876"/>
      <c r="N825" s="876"/>
      <c r="O825" s="876"/>
      <c r="P825" s="876"/>
      <c r="Q825" s="870"/>
      <c r="R825" s="870"/>
      <c r="S825" s="870"/>
      <c r="T825" s="870"/>
      <c r="U825" s="870"/>
      <c r="V825" s="870"/>
      <c r="W825" s="870"/>
      <c r="X825" s="870"/>
      <c r="Y825" s="870"/>
      <c r="Z825" s="870"/>
      <c r="AA825" s="870"/>
      <c r="AB825" s="870"/>
      <c r="AC825" s="870"/>
      <c r="AD825" s="870"/>
      <c r="AE825" s="870"/>
      <c r="AF825" s="870"/>
      <c r="AG825" s="870"/>
    </row>
    <row r="826" spans="1:33" s="995" customFormat="1">
      <c r="A826" s="974"/>
      <c r="D826" s="876"/>
      <c r="E826" s="974"/>
      <c r="F826" s="876"/>
      <c r="G826" s="876"/>
      <c r="H826" s="876"/>
      <c r="I826" s="876"/>
      <c r="J826" s="876"/>
      <c r="K826" s="876"/>
      <c r="L826" s="876"/>
      <c r="M826" s="876"/>
      <c r="N826" s="876"/>
      <c r="O826" s="876"/>
      <c r="P826" s="876"/>
      <c r="Q826" s="870"/>
      <c r="R826" s="870"/>
      <c r="S826" s="870"/>
      <c r="T826" s="870"/>
      <c r="U826" s="870"/>
      <c r="V826" s="870"/>
      <c r="W826" s="870"/>
      <c r="X826" s="870"/>
      <c r="Y826" s="870"/>
      <c r="Z826" s="870"/>
      <c r="AA826" s="870"/>
      <c r="AB826" s="870"/>
      <c r="AC826" s="870"/>
      <c r="AD826" s="870"/>
      <c r="AE826" s="870"/>
      <c r="AF826" s="870"/>
      <c r="AG826" s="870"/>
    </row>
    <row r="827" spans="1:33" s="995" customFormat="1">
      <c r="A827" s="974"/>
      <c r="D827" s="876"/>
      <c r="E827" s="974"/>
      <c r="F827" s="876"/>
      <c r="G827" s="876"/>
      <c r="H827" s="876"/>
      <c r="I827" s="876"/>
      <c r="J827" s="876"/>
      <c r="K827" s="876"/>
      <c r="L827" s="876"/>
      <c r="M827" s="876"/>
      <c r="N827" s="876"/>
      <c r="O827" s="876"/>
      <c r="P827" s="876"/>
      <c r="Q827" s="870"/>
      <c r="R827" s="870"/>
      <c r="S827" s="870"/>
      <c r="T827" s="870"/>
      <c r="U827" s="870"/>
      <c r="V827" s="870"/>
      <c r="W827" s="870"/>
      <c r="X827" s="870"/>
      <c r="Y827" s="870"/>
      <c r="Z827" s="870"/>
      <c r="AA827" s="870"/>
      <c r="AB827" s="870"/>
      <c r="AC827" s="870"/>
      <c r="AD827" s="870"/>
      <c r="AE827" s="870"/>
      <c r="AF827" s="870"/>
      <c r="AG827" s="870"/>
    </row>
    <row r="828" spans="1:33" s="995" customFormat="1">
      <c r="A828" s="974"/>
      <c r="D828" s="876"/>
      <c r="E828" s="974"/>
      <c r="F828" s="876"/>
      <c r="G828" s="876"/>
      <c r="H828" s="876"/>
      <c r="I828" s="876"/>
      <c r="J828" s="876"/>
      <c r="K828" s="876"/>
      <c r="L828" s="876"/>
      <c r="M828" s="876"/>
      <c r="N828" s="876"/>
      <c r="O828" s="876"/>
      <c r="P828" s="876"/>
      <c r="Q828" s="870"/>
      <c r="R828" s="870"/>
      <c r="S828" s="870"/>
      <c r="T828" s="870"/>
      <c r="U828" s="870"/>
      <c r="V828" s="870"/>
      <c r="W828" s="870"/>
      <c r="X828" s="870"/>
      <c r="Y828" s="870"/>
      <c r="Z828" s="870"/>
      <c r="AA828" s="870"/>
      <c r="AB828" s="870"/>
      <c r="AC828" s="870"/>
      <c r="AD828" s="870"/>
      <c r="AE828" s="870"/>
      <c r="AF828" s="870"/>
      <c r="AG828" s="870"/>
    </row>
    <row r="829" spans="1:33" s="995" customFormat="1">
      <c r="A829" s="974"/>
      <c r="D829" s="876"/>
      <c r="E829" s="974"/>
      <c r="F829" s="876"/>
      <c r="G829" s="876"/>
      <c r="H829" s="876"/>
      <c r="I829" s="876"/>
      <c r="J829" s="876"/>
      <c r="K829" s="876"/>
      <c r="L829" s="876"/>
      <c r="M829" s="876"/>
      <c r="N829" s="876"/>
      <c r="O829" s="876"/>
      <c r="P829" s="876"/>
      <c r="Q829" s="870"/>
      <c r="R829" s="870"/>
      <c r="S829" s="870"/>
      <c r="T829" s="870"/>
      <c r="U829" s="870"/>
      <c r="V829" s="870"/>
      <c r="W829" s="870"/>
      <c r="X829" s="870"/>
      <c r="Y829" s="870"/>
      <c r="Z829" s="870"/>
      <c r="AA829" s="870"/>
      <c r="AB829" s="870"/>
      <c r="AC829" s="870"/>
      <c r="AD829" s="870"/>
      <c r="AE829" s="870"/>
      <c r="AF829" s="870"/>
      <c r="AG829" s="870"/>
    </row>
    <row r="830" spans="1:33" s="995" customFormat="1">
      <c r="A830" s="974"/>
      <c r="D830" s="876"/>
      <c r="E830" s="974"/>
      <c r="F830" s="876"/>
      <c r="G830" s="876"/>
      <c r="H830" s="876"/>
      <c r="I830" s="876"/>
      <c r="J830" s="876"/>
      <c r="K830" s="876"/>
      <c r="L830" s="876"/>
      <c r="M830" s="876"/>
      <c r="N830" s="876"/>
      <c r="O830" s="876"/>
      <c r="P830" s="876"/>
      <c r="Q830" s="870"/>
      <c r="R830" s="870"/>
      <c r="S830" s="870"/>
      <c r="T830" s="870"/>
      <c r="U830" s="870"/>
      <c r="V830" s="870"/>
      <c r="W830" s="870"/>
      <c r="X830" s="870"/>
      <c r="Y830" s="870"/>
      <c r="Z830" s="870"/>
      <c r="AA830" s="870"/>
      <c r="AB830" s="870"/>
      <c r="AC830" s="870"/>
      <c r="AD830" s="870"/>
      <c r="AE830" s="870"/>
      <c r="AF830" s="870"/>
      <c r="AG830" s="870"/>
    </row>
    <row r="831" spans="1:33" s="995" customFormat="1">
      <c r="A831" s="974"/>
      <c r="D831" s="876"/>
      <c r="E831" s="974"/>
      <c r="F831" s="876"/>
      <c r="G831" s="876"/>
      <c r="H831" s="876"/>
      <c r="I831" s="876"/>
      <c r="J831" s="876"/>
      <c r="K831" s="876"/>
      <c r="L831" s="876"/>
      <c r="M831" s="876"/>
      <c r="N831" s="876"/>
      <c r="O831" s="876"/>
      <c r="P831" s="876"/>
      <c r="Q831" s="870"/>
      <c r="R831" s="870"/>
      <c r="S831" s="870"/>
      <c r="T831" s="870"/>
      <c r="U831" s="870"/>
      <c r="V831" s="870"/>
      <c r="W831" s="870"/>
      <c r="X831" s="870"/>
      <c r="Y831" s="870"/>
      <c r="Z831" s="870"/>
      <c r="AA831" s="870"/>
      <c r="AB831" s="870"/>
      <c r="AC831" s="870"/>
      <c r="AD831" s="870"/>
      <c r="AE831" s="870"/>
      <c r="AF831" s="870"/>
      <c r="AG831" s="870"/>
    </row>
    <row r="832" spans="1:33" s="995" customFormat="1">
      <c r="A832" s="974"/>
      <c r="D832" s="876"/>
      <c r="E832" s="974"/>
      <c r="F832" s="876"/>
      <c r="G832" s="876"/>
      <c r="H832" s="876"/>
      <c r="I832" s="876"/>
      <c r="J832" s="876"/>
      <c r="K832" s="876"/>
      <c r="L832" s="876"/>
      <c r="M832" s="876"/>
      <c r="N832" s="876"/>
      <c r="O832" s="876"/>
      <c r="P832" s="876"/>
      <c r="Q832" s="870"/>
      <c r="R832" s="870"/>
      <c r="S832" s="870"/>
      <c r="T832" s="870"/>
      <c r="U832" s="870"/>
      <c r="V832" s="870"/>
      <c r="W832" s="870"/>
      <c r="X832" s="870"/>
      <c r="Y832" s="870"/>
      <c r="Z832" s="870"/>
      <c r="AA832" s="870"/>
      <c r="AB832" s="870"/>
      <c r="AC832" s="870"/>
      <c r="AD832" s="870"/>
      <c r="AE832" s="870"/>
      <c r="AF832" s="870"/>
      <c r="AG832" s="870"/>
    </row>
    <row r="833" spans="1:33" s="995" customFormat="1">
      <c r="A833" s="974"/>
      <c r="D833" s="876"/>
      <c r="E833" s="974"/>
      <c r="F833" s="876"/>
      <c r="G833" s="876"/>
      <c r="H833" s="876"/>
      <c r="I833" s="876"/>
      <c r="J833" s="876"/>
      <c r="K833" s="876"/>
      <c r="L833" s="876"/>
      <c r="M833" s="876"/>
      <c r="N833" s="876"/>
      <c r="O833" s="876"/>
      <c r="P833" s="876"/>
      <c r="Q833" s="870"/>
      <c r="R833" s="870"/>
      <c r="S833" s="870"/>
      <c r="T833" s="870"/>
      <c r="U833" s="870"/>
      <c r="V833" s="870"/>
      <c r="W833" s="870"/>
      <c r="X833" s="870"/>
      <c r="Y833" s="870"/>
      <c r="Z833" s="870"/>
      <c r="AA833" s="870"/>
      <c r="AB833" s="870"/>
      <c r="AC833" s="870"/>
      <c r="AD833" s="870"/>
      <c r="AE833" s="870"/>
      <c r="AF833" s="870"/>
      <c r="AG833" s="870"/>
    </row>
    <row r="834" spans="1:33" s="995" customFormat="1">
      <c r="A834" s="974"/>
      <c r="D834" s="876"/>
      <c r="E834" s="974"/>
      <c r="F834" s="876"/>
      <c r="G834" s="876"/>
      <c r="H834" s="876"/>
      <c r="I834" s="876"/>
      <c r="J834" s="876"/>
      <c r="K834" s="876"/>
      <c r="L834" s="876"/>
      <c r="M834" s="876"/>
      <c r="N834" s="876"/>
      <c r="O834" s="876"/>
      <c r="P834" s="876"/>
      <c r="Q834" s="870"/>
      <c r="R834" s="870"/>
      <c r="S834" s="870"/>
      <c r="T834" s="870"/>
      <c r="U834" s="870"/>
      <c r="V834" s="870"/>
      <c r="W834" s="870"/>
      <c r="X834" s="870"/>
      <c r="Y834" s="870"/>
      <c r="Z834" s="870"/>
      <c r="AA834" s="870"/>
      <c r="AB834" s="870"/>
      <c r="AC834" s="870"/>
      <c r="AD834" s="870"/>
      <c r="AE834" s="870"/>
      <c r="AF834" s="870"/>
      <c r="AG834" s="870"/>
    </row>
    <row r="835" spans="1:33" s="995" customFormat="1">
      <c r="A835" s="974"/>
      <c r="D835" s="876"/>
      <c r="E835" s="974"/>
      <c r="F835" s="876"/>
      <c r="G835" s="876"/>
      <c r="H835" s="876"/>
      <c r="I835" s="876"/>
      <c r="J835" s="876"/>
      <c r="K835" s="876"/>
      <c r="L835" s="876"/>
      <c r="M835" s="876"/>
      <c r="N835" s="876"/>
      <c r="O835" s="876"/>
      <c r="P835" s="876"/>
      <c r="Q835" s="870"/>
      <c r="R835" s="870"/>
      <c r="S835" s="870"/>
      <c r="T835" s="870"/>
      <c r="U835" s="870"/>
      <c r="V835" s="870"/>
      <c r="W835" s="870"/>
      <c r="X835" s="870"/>
      <c r="Y835" s="870"/>
      <c r="Z835" s="870"/>
      <c r="AA835" s="870"/>
      <c r="AB835" s="870"/>
      <c r="AC835" s="870"/>
      <c r="AD835" s="870"/>
      <c r="AE835" s="870"/>
      <c r="AF835" s="870"/>
      <c r="AG835" s="870"/>
    </row>
    <row r="836" spans="1:33" s="995" customFormat="1">
      <c r="A836" s="974"/>
      <c r="D836" s="876"/>
      <c r="E836" s="974"/>
      <c r="F836" s="876"/>
      <c r="G836" s="876"/>
      <c r="H836" s="876"/>
      <c r="I836" s="876"/>
      <c r="J836" s="876"/>
      <c r="K836" s="876"/>
      <c r="L836" s="876"/>
      <c r="M836" s="876"/>
      <c r="N836" s="876"/>
      <c r="O836" s="876"/>
      <c r="P836" s="876"/>
      <c r="Q836" s="870"/>
      <c r="R836" s="870"/>
      <c r="S836" s="870"/>
      <c r="T836" s="870"/>
      <c r="U836" s="870"/>
      <c r="V836" s="870"/>
      <c r="W836" s="870"/>
      <c r="X836" s="870"/>
      <c r="Y836" s="870"/>
      <c r="Z836" s="870"/>
      <c r="AA836" s="870"/>
      <c r="AB836" s="870"/>
      <c r="AC836" s="870"/>
      <c r="AD836" s="870"/>
      <c r="AE836" s="870"/>
      <c r="AF836" s="870"/>
      <c r="AG836" s="870"/>
    </row>
    <row r="837" spans="1:33" s="995" customFormat="1">
      <c r="A837" s="974"/>
      <c r="D837" s="876"/>
      <c r="E837" s="974"/>
      <c r="F837" s="876"/>
      <c r="G837" s="876"/>
      <c r="H837" s="876"/>
      <c r="I837" s="876"/>
      <c r="J837" s="876"/>
      <c r="K837" s="876"/>
      <c r="L837" s="876"/>
      <c r="M837" s="876"/>
      <c r="N837" s="876"/>
      <c r="O837" s="876"/>
      <c r="P837" s="876"/>
      <c r="Q837" s="870"/>
      <c r="R837" s="870"/>
      <c r="S837" s="870"/>
      <c r="T837" s="870"/>
      <c r="U837" s="870"/>
      <c r="V837" s="870"/>
      <c r="W837" s="870"/>
      <c r="X837" s="870"/>
      <c r="Y837" s="870"/>
      <c r="Z837" s="870"/>
      <c r="AA837" s="870"/>
      <c r="AB837" s="870"/>
      <c r="AC837" s="870"/>
      <c r="AD837" s="870"/>
      <c r="AE837" s="870"/>
      <c r="AF837" s="870"/>
      <c r="AG837" s="870"/>
    </row>
    <row r="838" spans="1:33" s="995" customFormat="1">
      <c r="A838" s="974"/>
      <c r="D838" s="876"/>
      <c r="E838" s="974"/>
      <c r="F838" s="876"/>
      <c r="G838" s="876"/>
      <c r="H838" s="876"/>
      <c r="I838" s="876"/>
      <c r="J838" s="876"/>
      <c r="K838" s="876"/>
      <c r="L838" s="876"/>
      <c r="M838" s="876"/>
      <c r="N838" s="876"/>
      <c r="O838" s="876"/>
      <c r="P838" s="876"/>
      <c r="Q838" s="870"/>
      <c r="R838" s="870"/>
      <c r="S838" s="870"/>
      <c r="T838" s="870"/>
      <c r="U838" s="870"/>
      <c r="V838" s="870"/>
      <c r="W838" s="870"/>
      <c r="X838" s="870"/>
      <c r="Y838" s="870"/>
      <c r="Z838" s="870"/>
      <c r="AA838" s="870"/>
      <c r="AB838" s="870"/>
      <c r="AC838" s="870"/>
      <c r="AD838" s="870"/>
      <c r="AE838" s="870"/>
      <c r="AF838" s="870"/>
      <c r="AG838" s="870"/>
    </row>
    <row r="839" spans="1:33" s="995" customFormat="1">
      <c r="A839" s="974"/>
      <c r="D839" s="876"/>
      <c r="E839" s="974"/>
      <c r="F839" s="876"/>
      <c r="G839" s="876"/>
      <c r="H839" s="876"/>
      <c r="I839" s="876"/>
      <c r="J839" s="876"/>
      <c r="K839" s="876"/>
      <c r="L839" s="876"/>
      <c r="M839" s="876"/>
      <c r="N839" s="876"/>
      <c r="O839" s="876"/>
      <c r="P839" s="876"/>
      <c r="Q839" s="870"/>
      <c r="R839" s="870"/>
      <c r="S839" s="870"/>
      <c r="T839" s="870"/>
      <c r="U839" s="870"/>
      <c r="V839" s="870"/>
      <c r="W839" s="870"/>
      <c r="X839" s="870"/>
      <c r="Y839" s="870"/>
      <c r="Z839" s="870"/>
      <c r="AA839" s="870"/>
      <c r="AB839" s="870"/>
      <c r="AC839" s="870"/>
      <c r="AD839" s="870"/>
      <c r="AE839" s="870"/>
      <c r="AF839" s="870"/>
      <c r="AG839" s="870"/>
    </row>
    <row r="840" spans="1:33" s="995" customFormat="1">
      <c r="A840" s="974"/>
      <c r="D840" s="876"/>
      <c r="E840" s="974"/>
      <c r="F840" s="876"/>
      <c r="G840" s="876"/>
      <c r="H840" s="876"/>
      <c r="I840" s="876"/>
      <c r="J840" s="876"/>
      <c r="K840" s="876"/>
      <c r="L840" s="876"/>
      <c r="M840" s="876"/>
      <c r="N840" s="876"/>
      <c r="O840" s="876"/>
      <c r="P840" s="876"/>
      <c r="Q840" s="870"/>
      <c r="R840" s="870"/>
      <c r="S840" s="870"/>
      <c r="T840" s="870"/>
      <c r="U840" s="870"/>
      <c r="V840" s="870"/>
      <c r="W840" s="870"/>
      <c r="X840" s="870"/>
      <c r="Y840" s="870"/>
      <c r="Z840" s="870"/>
      <c r="AA840" s="870"/>
      <c r="AB840" s="870"/>
      <c r="AC840" s="870"/>
      <c r="AD840" s="870"/>
      <c r="AE840" s="870"/>
      <c r="AF840" s="870"/>
      <c r="AG840" s="870"/>
    </row>
    <row r="841" spans="1:33" s="995" customFormat="1">
      <c r="A841" s="974"/>
      <c r="D841" s="876"/>
      <c r="E841" s="974"/>
      <c r="F841" s="876"/>
      <c r="G841" s="876"/>
      <c r="H841" s="876"/>
      <c r="I841" s="876"/>
      <c r="J841" s="876"/>
      <c r="K841" s="876"/>
      <c r="L841" s="876"/>
      <c r="M841" s="876"/>
      <c r="N841" s="876"/>
      <c r="O841" s="876"/>
      <c r="P841" s="876"/>
      <c r="Q841" s="870"/>
      <c r="R841" s="870"/>
      <c r="S841" s="870"/>
      <c r="T841" s="870"/>
      <c r="U841" s="870"/>
      <c r="V841" s="870"/>
      <c r="W841" s="870"/>
      <c r="X841" s="870"/>
      <c r="Y841" s="870"/>
      <c r="Z841" s="870"/>
      <c r="AA841" s="870"/>
      <c r="AB841" s="870"/>
      <c r="AC841" s="870"/>
      <c r="AD841" s="870"/>
      <c r="AE841" s="870"/>
      <c r="AF841" s="870"/>
      <c r="AG841" s="870"/>
    </row>
    <row r="842" spans="1:33" s="995" customFormat="1">
      <c r="A842" s="974"/>
      <c r="D842" s="876"/>
      <c r="E842" s="974"/>
      <c r="F842" s="876"/>
      <c r="G842" s="876"/>
      <c r="H842" s="876"/>
      <c r="I842" s="876"/>
      <c r="J842" s="876"/>
      <c r="K842" s="876"/>
      <c r="L842" s="876"/>
      <c r="M842" s="876"/>
      <c r="N842" s="876"/>
      <c r="O842" s="876"/>
      <c r="P842" s="876"/>
      <c r="Q842" s="870"/>
      <c r="R842" s="870"/>
      <c r="S842" s="870"/>
      <c r="T842" s="870"/>
      <c r="U842" s="870"/>
      <c r="V842" s="870"/>
      <c r="W842" s="870"/>
      <c r="X842" s="870"/>
      <c r="Y842" s="870"/>
      <c r="Z842" s="870"/>
      <c r="AA842" s="870"/>
      <c r="AB842" s="870"/>
      <c r="AC842" s="870"/>
      <c r="AD842" s="870"/>
      <c r="AE842" s="870"/>
      <c r="AF842" s="870"/>
      <c r="AG842" s="870"/>
    </row>
    <row r="843" spans="1:33" s="995" customFormat="1">
      <c r="A843" s="974"/>
      <c r="D843" s="876"/>
      <c r="E843" s="974"/>
      <c r="F843" s="876"/>
      <c r="G843" s="876"/>
      <c r="H843" s="876"/>
      <c r="I843" s="876"/>
      <c r="J843" s="876"/>
      <c r="K843" s="876"/>
      <c r="L843" s="876"/>
      <c r="M843" s="876"/>
      <c r="N843" s="876"/>
      <c r="O843" s="876"/>
      <c r="P843" s="876"/>
      <c r="Q843" s="870"/>
      <c r="R843" s="870"/>
      <c r="S843" s="870"/>
      <c r="T843" s="870"/>
      <c r="U843" s="870"/>
      <c r="V843" s="870"/>
      <c r="W843" s="870"/>
      <c r="X843" s="870"/>
      <c r="Y843" s="870"/>
      <c r="Z843" s="870"/>
      <c r="AA843" s="870"/>
      <c r="AB843" s="870"/>
      <c r="AC843" s="870"/>
      <c r="AD843" s="870"/>
      <c r="AE843" s="870"/>
      <c r="AF843" s="870"/>
      <c r="AG843" s="870"/>
    </row>
    <row r="844" spans="1:33" s="995" customFormat="1">
      <c r="A844" s="974"/>
      <c r="D844" s="876"/>
      <c r="E844" s="974"/>
      <c r="F844" s="876"/>
      <c r="G844" s="876"/>
      <c r="H844" s="876"/>
      <c r="I844" s="876"/>
      <c r="J844" s="876"/>
      <c r="K844" s="876"/>
      <c r="L844" s="876"/>
      <c r="M844" s="876"/>
      <c r="N844" s="876"/>
      <c r="O844" s="876"/>
      <c r="P844" s="876"/>
      <c r="Q844" s="870"/>
      <c r="R844" s="870"/>
      <c r="S844" s="870"/>
      <c r="T844" s="870"/>
      <c r="U844" s="870"/>
      <c r="V844" s="870"/>
      <c r="W844" s="870"/>
      <c r="X844" s="870"/>
      <c r="Y844" s="870"/>
      <c r="Z844" s="870"/>
      <c r="AA844" s="870"/>
      <c r="AB844" s="870"/>
      <c r="AC844" s="870"/>
      <c r="AD844" s="870"/>
      <c r="AE844" s="870"/>
      <c r="AF844" s="870"/>
      <c r="AG844" s="870"/>
    </row>
    <row r="845" spans="1:33" s="995" customFormat="1">
      <c r="A845" s="974"/>
      <c r="D845" s="876"/>
      <c r="E845" s="974"/>
      <c r="F845" s="876"/>
      <c r="G845" s="876"/>
      <c r="H845" s="876"/>
      <c r="I845" s="876"/>
      <c r="J845" s="876"/>
      <c r="K845" s="876"/>
      <c r="L845" s="876"/>
      <c r="M845" s="876"/>
      <c r="N845" s="876"/>
      <c r="O845" s="876"/>
      <c r="P845" s="876"/>
      <c r="Q845" s="870"/>
      <c r="R845" s="870"/>
      <c r="S845" s="870"/>
      <c r="T845" s="870"/>
      <c r="U845" s="870"/>
      <c r="V845" s="870"/>
      <c r="W845" s="870"/>
      <c r="X845" s="870"/>
      <c r="Y845" s="870"/>
      <c r="Z845" s="870"/>
      <c r="AA845" s="870"/>
      <c r="AB845" s="870"/>
      <c r="AC845" s="870"/>
      <c r="AD845" s="870"/>
      <c r="AE845" s="870"/>
      <c r="AF845" s="870"/>
      <c r="AG845" s="870"/>
    </row>
    <row r="846" spans="1:33" s="995" customFormat="1">
      <c r="A846" s="974"/>
      <c r="D846" s="876"/>
      <c r="E846" s="974"/>
      <c r="F846" s="876"/>
      <c r="G846" s="876"/>
      <c r="H846" s="876"/>
      <c r="I846" s="876"/>
      <c r="J846" s="876"/>
      <c r="K846" s="876"/>
      <c r="L846" s="876"/>
      <c r="M846" s="876"/>
      <c r="N846" s="876"/>
      <c r="O846" s="876"/>
      <c r="P846" s="876"/>
      <c r="Q846" s="870"/>
      <c r="R846" s="870"/>
      <c r="S846" s="870"/>
      <c r="T846" s="870"/>
      <c r="U846" s="870"/>
      <c r="V846" s="870"/>
      <c r="W846" s="870"/>
      <c r="X846" s="870"/>
      <c r="Y846" s="870"/>
      <c r="Z846" s="870"/>
      <c r="AA846" s="870"/>
      <c r="AB846" s="870"/>
      <c r="AC846" s="870"/>
      <c r="AD846" s="870"/>
      <c r="AE846" s="870"/>
      <c r="AF846" s="870"/>
      <c r="AG846" s="870"/>
    </row>
    <row r="847" spans="1:33" s="995" customFormat="1">
      <c r="A847" s="974"/>
      <c r="D847" s="876"/>
      <c r="E847" s="974"/>
      <c r="F847" s="876"/>
      <c r="G847" s="876"/>
      <c r="H847" s="876"/>
      <c r="I847" s="876"/>
      <c r="J847" s="876"/>
      <c r="K847" s="876"/>
      <c r="L847" s="876"/>
      <c r="M847" s="876"/>
      <c r="N847" s="876"/>
      <c r="O847" s="876"/>
      <c r="P847" s="876"/>
      <c r="Q847" s="870"/>
      <c r="R847" s="870"/>
      <c r="S847" s="870"/>
      <c r="T847" s="870"/>
      <c r="U847" s="870"/>
      <c r="V847" s="870"/>
      <c r="W847" s="870"/>
      <c r="X847" s="870"/>
      <c r="Y847" s="870"/>
      <c r="Z847" s="870"/>
      <c r="AA847" s="870"/>
      <c r="AB847" s="870"/>
      <c r="AC847" s="870"/>
      <c r="AD847" s="870"/>
      <c r="AE847" s="870"/>
      <c r="AF847" s="870"/>
      <c r="AG847" s="870"/>
    </row>
    <row r="848" spans="1:33" s="995" customFormat="1">
      <c r="A848" s="974"/>
      <c r="D848" s="876"/>
      <c r="E848" s="974"/>
      <c r="F848" s="876"/>
      <c r="G848" s="876"/>
      <c r="H848" s="876"/>
      <c r="I848" s="876"/>
      <c r="J848" s="876"/>
      <c r="K848" s="876"/>
      <c r="L848" s="876"/>
      <c r="M848" s="876"/>
      <c r="N848" s="876"/>
      <c r="O848" s="876"/>
      <c r="P848" s="876"/>
      <c r="Q848" s="870"/>
      <c r="R848" s="870"/>
      <c r="S848" s="870"/>
      <c r="T848" s="870"/>
      <c r="U848" s="870"/>
      <c r="V848" s="870"/>
      <c r="W848" s="870"/>
      <c r="X848" s="870"/>
      <c r="Y848" s="870"/>
      <c r="Z848" s="870"/>
      <c r="AA848" s="870"/>
      <c r="AB848" s="870"/>
      <c r="AC848" s="870"/>
      <c r="AD848" s="870"/>
      <c r="AE848" s="870"/>
      <c r="AF848" s="870"/>
      <c r="AG848" s="870"/>
    </row>
    <row r="849" spans="1:33" s="995" customFormat="1">
      <c r="A849" s="974"/>
      <c r="D849" s="876"/>
      <c r="E849" s="974"/>
      <c r="F849" s="876"/>
      <c r="G849" s="876"/>
      <c r="H849" s="876"/>
      <c r="I849" s="876"/>
      <c r="J849" s="876"/>
      <c r="K849" s="876"/>
      <c r="L849" s="876"/>
      <c r="M849" s="876"/>
      <c r="N849" s="876"/>
      <c r="O849" s="876"/>
      <c r="P849" s="876"/>
      <c r="Q849" s="870"/>
      <c r="R849" s="870"/>
      <c r="S849" s="870"/>
      <c r="T849" s="870"/>
      <c r="U849" s="870"/>
      <c r="V849" s="870"/>
      <c r="W849" s="870"/>
      <c r="X849" s="870"/>
      <c r="Y849" s="870"/>
      <c r="Z849" s="870"/>
      <c r="AA849" s="870"/>
      <c r="AB849" s="870"/>
      <c r="AC849" s="870"/>
      <c r="AD849" s="870"/>
      <c r="AE849" s="870"/>
      <c r="AF849" s="870"/>
      <c r="AG849" s="870"/>
    </row>
    <row r="850" spans="1:33" s="995" customFormat="1">
      <c r="A850" s="974"/>
      <c r="D850" s="876"/>
      <c r="E850" s="974"/>
      <c r="F850" s="876"/>
      <c r="G850" s="876"/>
      <c r="H850" s="876"/>
      <c r="I850" s="876"/>
      <c r="J850" s="876"/>
      <c r="K850" s="876"/>
      <c r="L850" s="876"/>
      <c r="M850" s="876"/>
      <c r="N850" s="876"/>
      <c r="O850" s="876"/>
      <c r="P850" s="876"/>
      <c r="Q850" s="870"/>
      <c r="R850" s="870"/>
      <c r="S850" s="870"/>
      <c r="T850" s="870"/>
      <c r="U850" s="870"/>
      <c r="V850" s="870"/>
      <c r="W850" s="870"/>
      <c r="X850" s="870"/>
      <c r="Y850" s="870"/>
      <c r="Z850" s="870"/>
      <c r="AA850" s="870"/>
      <c r="AB850" s="870"/>
      <c r="AC850" s="870"/>
      <c r="AD850" s="870"/>
      <c r="AE850" s="870"/>
      <c r="AF850" s="870"/>
      <c r="AG850" s="870"/>
    </row>
    <row r="851" spans="1:33" s="995" customFormat="1">
      <c r="A851" s="974"/>
      <c r="D851" s="876"/>
      <c r="E851" s="974"/>
      <c r="F851" s="876"/>
      <c r="G851" s="876"/>
      <c r="H851" s="876"/>
      <c r="I851" s="876"/>
      <c r="J851" s="876"/>
      <c r="K851" s="876"/>
      <c r="L851" s="876"/>
      <c r="M851" s="876"/>
      <c r="N851" s="876"/>
      <c r="O851" s="876"/>
      <c r="P851" s="876"/>
      <c r="Q851" s="870"/>
      <c r="R851" s="870"/>
      <c r="S851" s="870"/>
      <c r="T851" s="870"/>
      <c r="U851" s="870"/>
      <c r="V851" s="870"/>
      <c r="W851" s="870"/>
      <c r="X851" s="870"/>
      <c r="Y851" s="870"/>
      <c r="Z851" s="870"/>
      <c r="AA851" s="870"/>
      <c r="AB851" s="870"/>
      <c r="AC851" s="870"/>
      <c r="AD851" s="870"/>
      <c r="AE851" s="870"/>
      <c r="AF851" s="870"/>
      <c r="AG851" s="870"/>
    </row>
    <row r="852" spans="1:33" s="995" customFormat="1">
      <c r="A852" s="974"/>
      <c r="D852" s="876"/>
      <c r="E852" s="974"/>
      <c r="F852" s="876"/>
      <c r="G852" s="876"/>
      <c r="H852" s="876"/>
      <c r="I852" s="876"/>
      <c r="J852" s="876"/>
      <c r="K852" s="876"/>
      <c r="L852" s="876"/>
      <c r="M852" s="876"/>
      <c r="N852" s="876"/>
      <c r="O852" s="876"/>
      <c r="P852" s="876"/>
      <c r="Q852" s="870"/>
      <c r="R852" s="870"/>
      <c r="S852" s="870"/>
      <c r="T852" s="870"/>
      <c r="U852" s="870"/>
      <c r="V852" s="870"/>
      <c r="W852" s="870"/>
      <c r="X852" s="870"/>
      <c r="Y852" s="870"/>
      <c r="Z852" s="870"/>
      <c r="AA852" s="870"/>
      <c r="AB852" s="870"/>
      <c r="AC852" s="870"/>
      <c r="AD852" s="870"/>
      <c r="AE852" s="870"/>
      <c r="AF852" s="870"/>
      <c r="AG852" s="870"/>
    </row>
    <row r="853" spans="1:33" s="995" customFormat="1">
      <c r="A853" s="974"/>
      <c r="D853" s="876"/>
      <c r="E853" s="974"/>
      <c r="F853" s="876"/>
      <c r="G853" s="876"/>
      <c r="H853" s="876"/>
      <c r="I853" s="876"/>
      <c r="J853" s="876"/>
      <c r="K853" s="876"/>
      <c r="L853" s="876"/>
      <c r="M853" s="876"/>
      <c r="N853" s="876"/>
      <c r="O853" s="876"/>
      <c r="P853" s="876"/>
      <c r="Q853" s="870"/>
      <c r="R853" s="870"/>
      <c r="S853" s="870"/>
      <c r="T853" s="870"/>
      <c r="U853" s="870"/>
      <c r="V853" s="870"/>
      <c r="W853" s="870"/>
      <c r="X853" s="870"/>
      <c r="Y853" s="870"/>
      <c r="Z853" s="870"/>
      <c r="AA853" s="870"/>
      <c r="AB853" s="870"/>
      <c r="AC853" s="870"/>
      <c r="AD853" s="870"/>
      <c r="AE853" s="870"/>
      <c r="AF853" s="870"/>
      <c r="AG853" s="870"/>
    </row>
    <row r="854" spans="1:33" s="995" customFormat="1">
      <c r="A854" s="974"/>
      <c r="D854" s="876"/>
      <c r="E854" s="974"/>
      <c r="F854" s="876"/>
      <c r="G854" s="876"/>
      <c r="H854" s="876"/>
      <c r="I854" s="876"/>
      <c r="J854" s="876"/>
      <c r="K854" s="876"/>
      <c r="L854" s="876"/>
      <c r="M854" s="876"/>
      <c r="N854" s="876"/>
      <c r="O854" s="876"/>
      <c r="P854" s="876"/>
      <c r="Q854" s="870"/>
      <c r="R854" s="870"/>
      <c r="S854" s="870"/>
      <c r="T854" s="870"/>
      <c r="U854" s="870"/>
      <c r="V854" s="870"/>
      <c r="W854" s="870"/>
      <c r="X854" s="870"/>
      <c r="Y854" s="870"/>
      <c r="Z854" s="870"/>
      <c r="AA854" s="870"/>
      <c r="AB854" s="870"/>
      <c r="AC854" s="870"/>
      <c r="AD854" s="870"/>
      <c r="AE854" s="870"/>
      <c r="AF854" s="870"/>
      <c r="AG854" s="870"/>
    </row>
    <row r="855" spans="1:33" s="995" customFormat="1">
      <c r="A855" s="974"/>
      <c r="D855" s="876"/>
      <c r="E855" s="974"/>
      <c r="F855" s="876"/>
      <c r="G855" s="876"/>
      <c r="H855" s="876"/>
      <c r="I855" s="876"/>
      <c r="J855" s="876"/>
      <c r="K855" s="876"/>
      <c r="L855" s="876"/>
      <c r="M855" s="876"/>
      <c r="N855" s="876"/>
      <c r="O855" s="876"/>
      <c r="P855" s="876"/>
      <c r="Q855" s="870"/>
      <c r="R855" s="870"/>
      <c r="S855" s="870"/>
      <c r="T855" s="870"/>
      <c r="U855" s="870"/>
      <c r="V855" s="870"/>
      <c r="W855" s="870"/>
      <c r="X855" s="870"/>
      <c r="Y855" s="870"/>
      <c r="Z855" s="870"/>
      <c r="AA855" s="870"/>
      <c r="AB855" s="870"/>
      <c r="AC855" s="870"/>
      <c r="AD855" s="870"/>
      <c r="AE855" s="870"/>
      <c r="AF855" s="870"/>
      <c r="AG855" s="870"/>
    </row>
    <row r="856" spans="1:33" s="995" customFormat="1">
      <c r="A856" s="974"/>
      <c r="D856" s="876"/>
      <c r="E856" s="974"/>
      <c r="F856" s="876"/>
      <c r="G856" s="876"/>
      <c r="H856" s="876"/>
      <c r="I856" s="876"/>
      <c r="J856" s="876"/>
      <c r="K856" s="876"/>
      <c r="L856" s="876"/>
      <c r="M856" s="876"/>
      <c r="N856" s="876"/>
      <c r="O856" s="876"/>
      <c r="P856" s="876"/>
      <c r="Q856" s="870"/>
      <c r="R856" s="870"/>
      <c r="S856" s="870"/>
      <c r="T856" s="870"/>
      <c r="U856" s="870"/>
      <c r="V856" s="870"/>
      <c r="W856" s="870"/>
      <c r="X856" s="870"/>
      <c r="Y856" s="870"/>
      <c r="Z856" s="870"/>
      <c r="AA856" s="870"/>
      <c r="AB856" s="870"/>
      <c r="AC856" s="870"/>
      <c r="AD856" s="870"/>
      <c r="AE856" s="870"/>
      <c r="AF856" s="870"/>
      <c r="AG856" s="870"/>
    </row>
    <row r="857" spans="1:33" s="995" customFormat="1">
      <c r="A857" s="974"/>
      <c r="D857" s="876"/>
      <c r="E857" s="974"/>
      <c r="F857" s="876"/>
      <c r="G857" s="876"/>
      <c r="H857" s="876"/>
      <c r="I857" s="876"/>
      <c r="J857" s="876"/>
      <c r="K857" s="876"/>
      <c r="L857" s="876"/>
      <c r="M857" s="876"/>
      <c r="N857" s="876"/>
      <c r="O857" s="876"/>
      <c r="P857" s="876"/>
      <c r="Q857" s="870"/>
      <c r="R857" s="870"/>
      <c r="S857" s="870"/>
      <c r="T857" s="870"/>
      <c r="U857" s="870"/>
      <c r="V857" s="870"/>
      <c r="W857" s="870"/>
      <c r="X857" s="870"/>
      <c r="Y857" s="870"/>
      <c r="Z857" s="870"/>
      <c r="AA857" s="870"/>
      <c r="AB857" s="870"/>
      <c r="AC857" s="870"/>
      <c r="AD857" s="870"/>
      <c r="AE857" s="870"/>
      <c r="AF857" s="870"/>
      <c r="AG857" s="870"/>
    </row>
    <row r="858" spans="1:33" s="995" customFormat="1">
      <c r="A858" s="974"/>
      <c r="D858" s="876"/>
      <c r="E858" s="974"/>
      <c r="F858" s="876"/>
      <c r="G858" s="876"/>
      <c r="H858" s="876"/>
      <c r="I858" s="876"/>
      <c r="J858" s="876"/>
      <c r="K858" s="876"/>
      <c r="L858" s="876"/>
      <c r="M858" s="876"/>
      <c r="N858" s="876"/>
      <c r="O858" s="876"/>
      <c r="P858" s="876"/>
      <c r="Q858" s="870"/>
      <c r="R858" s="870"/>
      <c r="S858" s="870"/>
      <c r="T858" s="870"/>
      <c r="U858" s="870"/>
      <c r="V858" s="870"/>
      <c r="W858" s="870"/>
      <c r="X858" s="870"/>
      <c r="Y858" s="870"/>
      <c r="Z858" s="870"/>
      <c r="AA858" s="870"/>
      <c r="AB858" s="870"/>
      <c r="AC858" s="870"/>
      <c r="AD858" s="870"/>
      <c r="AE858" s="870"/>
      <c r="AF858" s="870"/>
      <c r="AG858" s="870"/>
    </row>
    <row r="859" spans="1:33" s="995" customFormat="1">
      <c r="A859" s="974"/>
      <c r="D859" s="876"/>
      <c r="E859" s="974"/>
      <c r="F859" s="876"/>
      <c r="G859" s="876"/>
      <c r="H859" s="876"/>
      <c r="I859" s="876"/>
      <c r="J859" s="876"/>
      <c r="K859" s="876"/>
      <c r="L859" s="876"/>
      <c r="M859" s="876"/>
      <c r="N859" s="876"/>
      <c r="O859" s="876"/>
      <c r="P859" s="876"/>
      <c r="Q859" s="870"/>
      <c r="R859" s="870"/>
      <c r="S859" s="870"/>
      <c r="T859" s="870"/>
      <c r="U859" s="870"/>
      <c r="V859" s="870"/>
      <c r="W859" s="870"/>
      <c r="X859" s="870"/>
      <c r="Y859" s="870"/>
      <c r="Z859" s="870"/>
      <c r="AA859" s="870"/>
      <c r="AB859" s="870"/>
      <c r="AC859" s="870"/>
      <c r="AD859" s="870"/>
      <c r="AE859" s="870"/>
      <c r="AF859" s="870"/>
      <c r="AG859" s="870"/>
    </row>
    <row r="860" spans="1:33" s="995" customFormat="1">
      <c r="A860" s="974"/>
      <c r="D860" s="876"/>
      <c r="E860" s="974"/>
      <c r="F860" s="876"/>
      <c r="G860" s="876"/>
      <c r="H860" s="876"/>
      <c r="I860" s="876"/>
      <c r="J860" s="876"/>
      <c r="K860" s="876"/>
      <c r="L860" s="876"/>
      <c r="M860" s="876"/>
      <c r="N860" s="876"/>
      <c r="O860" s="876"/>
      <c r="P860" s="876"/>
      <c r="Q860" s="870"/>
      <c r="R860" s="870"/>
      <c r="S860" s="870"/>
      <c r="T860" s="870"/>
      <c r="U860" s="870"/>
      <c r="V860" s="870"/>
      <c r="W860" s="870"/>
      <c r="X860" s="870"/>
      <c r="Y860" s="870"/>
      <c r="Z860" s="870"/>
      <c r="AA860" s="870"/>
      <c r="AB860" s="870"/>
      <c r="AC860" s="870"/>
      <c r="AD860" s="870"/>
      <c r="AE860" s="870"/>
      <c r="AF860" s="870"/>
      <c r="AG860" s="870"/>
    </row>
    <row r="861" spans="1:33" s="995" customFormat="1">
      <c r="A861" s="974"/>
      <c r="D861" s="876"/>
      <c r="E861" s="974"/>
      <c r="F861" s="876"/>
      <c r="G861" s="876"/>
      <c r="H861" s="876"/>
      <c r="I861" s="876"/>
      <c r="J861" s="876"/>
      <c r="K861" s="876"/>
      <c r="L861" s="876"/>
      <c r="M861" s="876"/>
      <c r="N861" s="876"/>
      <c r="O861" s="876"/>
      <c r="P861" s="876"/>
      <c r="Q861" s="870"/>
      <c r="R861" s="870"/>
      <c r="S861" s="870"/>
      <c r="T861" s="870"/>
      <c r="U861" s="870"/>
      <c r="V861" s="870"/>
      <c r="W861" s="870"/>
      <c r="X861" s="870"/>
      <c r="Y861" s="870"/>
      <c r="Z861" s="870"/>
      <c r="AA861" s="870"/>
      <c r="AB861" s="870"/>
      <c r="AC861" s="870"/>
      <c r="AD861" s="870"/>
      <c r="AE861" s="870"/>
      <c r="AF861" s="870"/>
      <c r="AG861" s="870"/>
    </row>
    <row r="862" spans="1:33" s="995" customFormat="1">
      <c r="A862" s="974"/>
      <c r="D862" s="876"/>
      <c r="E862" s="974"/>
      <c r="F862" s="876"/>
      <c r="G862" s="876"/>
      <c r="H862" s="876"/>
      <c r="I862" s="876"/>
      <c r="J862" s="876"/>
      <c r="K862" s="876"/>
      <c r="L862" s="876"/>
      <c r="M862" s="876"/>
      <c r="N862" s="876"/>
      <c r="O862" s="876"/>
      <c r="P862" s="876"/>
      <c r="Q862" s="870"/>
      <c r="R862" s="870"/>
      <c r="S862" s="870"/>
      <c r="T862" s="870"/>
      <c r="U862" s="870"/>
      <c r="V862" s="870"/>
      <c r="W862" s="870"/>
      <c r="X862" s="870"/>
      <c r="Y862" s="870"/>
      <c r="Z862" s="870"/>
      <c r="AA862" s="870"/>
      <c r="AB862" s="870"/>
      <c r="AC862" s="870"/>
      <c r="AD862" s="870"/>
      <c r="AE862" s="870"/>
      <c r="AF862" s="870"/>
      <c r="AG862" s="870"/>
    </row>
    <row r="863" spans="1:33" s="995" customFormat="1">
      <c r="A863" s="974"/>
      <c r="D863" s="876"/>
      <c r="E863" s="974"/>
      <c r="F863" s="876"/>
      <c r="G863" s="876"/>
      <c r="H863" s="876"/>
      <c r="I863" s="876"/>
      <c r="J863" s="876"/>
      <c r="K863" s="876"/>
      <c r="L863" s="876"/>
      <c r="M863" s="876"/>
      <c r="N863" s="876"/>
      <c r="O863" s="876"/>
      <c r="P863" s="876"/>
      <c r="Q863" s="870"/>
      <c r="R863" s="870"/>
      <c r="S863" s="870"/>
      <c r="T863" s="870"/>
      <c r="U863" s="870"/>
      <c r="V863" s="870"/>
      <c r="W863" s="870"/>
      <c r="X863" s="870"/>
      <c r="Y863" s="870"/>
      <c r="Z863" s="870"/>
      <c r="AA863" s="870"/>
      <c r="AB863" s="870"/>
      <c r="AC863" s="870"/>
      <c r="AD863" s="870"/>
      <c r="AE863" s="870"/>
      <c r="AF863" s="870"/>
      <c r="AG863" s="870"/>
    </row>
    <row r="864" spans="1:33" s="995" customFormat="1">
      <c r="A864" s="974"/>
      <c r="D864" s="876"/>
      <c r="E864" s="974"/>
      <c r="F864" s="876"/>
      <c r="G864" s="876"/>
      <c r="H864" s="876"/>
      <c r="I864" s="876"/>
      <c r="J864" s="876"/>
      <c r="K864" s="876"/>
      <c r="L864" s="876"/>
      <c r="M864" s="876"/>
      <c r="N864" s="876"/>
      <c r="O864" s="876"/>
      <c r="P864" s="876"/>
      <c r="Q864" s="870"/>
      <c r="R864" s="870"/>
      <c r="S864" s="870"/>
      <c r="T864" s="870"/>
      <c r="U864" s="870"/>
      <c r="V864" s="870"/>
      <c r="W864" s="870"/>
      <c r="X864" s="870"/>
      <c r="Y864" s="870"/>
      <c r="Z864" s="870"/>
      <c r="AA864" s="870"/>
      <c r="AB864" s="870"/>
      <c r="AC864" s="870"/>
      <c r="AD864" s="870"/>
      <c r="AE864" s="870"/>
      <c r="AF864" s="870"/>
      <c r="AG864" s="870"/>
    </row>
    <row r="865" spans="1:33" s="995" customFormat="1">
      <c r="A865" s="974"/>
      <c r="D865" s="876"/>
      <c r="E865" s="974"/>
      <c r="F865" s="876"/>
      <c r="G865" s="876"/>
      <c r="H865" s="876"/>
      <c r="I865" s="876"/>
      <c r="J865" s="876"/>
      <c r="K865" s="876"/>
      <c r="L865" s="876"/>
      <c r="M865" s="876"/>
      <c r="N865" s="876"/>
      <c r="O865" s="876"/>
      <c r="P865" s="876"/>
      <c r="Q865" s="870"/>
      <c r="R865" s="870"/>
      <c r="S865" s="870"/>
      <c r="T865" s="870"/>
      <c r="U865" s="870"/>
      <c r="V865" s="870"/>
      <c r="W865" s="870"/>
      <c r="X865" s="870"/>
      <c r="Y865" s="870"/>
      <c r="Z865" s="870"/>
      <c r="AA865" s="870"/>
      <c r="AB865" s="870"/>
      <c r="AC865" s="870"/>
      <c r="AD865" s="870"/>
      <c r="AE865" s="870"/>
      <c r="AF865" s="870"/>
      <c r="AG865" s="870"/>
    </row>
    <row r="866" spans="1:33" s="995" customFormat="1">
      <c r="A866" s="974"/>
      <c r="D866" s="876"/>
      <c r="E866" s="974"/>
      <c r="F866" s="876"/>
      <c r="G866" s="876"/>
      <c r="H866" s="876"/>
      <c r="I866" s="876"/>
      <c r="J866" s="876"/>
      <c r="K866" s="876"/>
      <c r="L866" s="876"/>
      <c r="M866" s="876"/>
      <c r="N866" s="876"/>
      <c r="O866" s="876"/>
      <c r="P866" s="876"/>
      <c r="Q866" s="870"/>
      <c r="R866" s="870"/>
      <c r="S866" s="870"/>
      <c r="T866" s="870"/>
      <c r="U866" s="870"/>
      <c r="V866" s="870"/>
      <c r="W866" s="870"/>
      <c r="X866" s="870"/>
      <c r="Y866" s="870"/>
      <c r="Z866" s="870"/>
      <c r="AA866" s="870"/>
      <c r="AB866" s="870"/>
      <c r="AC866" s="870"/>
      <c r="AD866" s="870"/>
      <c r="AE866" s="870"/>
      <c r="AF866" s="870"/>
      <c r="AG866" s="870"/>
    </row>
    <row r="867" spans="1:33" s="995" customFormat="1">
      <c r="A867" s="974"/>
      <c r="D867" s="876"/>
      <c r="E867" s="974"/>
      <c r="F867" s="876"/>
      <c r="G867" s="876"/>
      <c r="H867" s="876"/>
      <c r="I867" s="876"/>
      <c r="J867" s="876"/>
      <c r="K867" s="876"/>
      <c r="L867" s="876"/>
      <c r="M867" s="876"/>
      <c r="N867" s="876"/>
      <c r="O867" s="876"/>
      <c r="P867" s="876"/>
      <c r="Q867" s="870"/>
      <c r="R867" s="870"/>
      <c r="S867" s="870"/>
      <c r="T867" s="870"/>
      <c r="U867" s="870"/>
      <c r="V867" s="870"/>
      <c r="W867" s="870"/>
      <c r="X867" s="870"/>
      <c r="Y867" s="870"/>
      <c r="Z867" s="870"/>
      <c r="AA867" s="870"/>
      <c r="AB867" s="870"/>
      <c r="AC867" s="870"/>
      <c r="AD867" s="870"/>
      <c r="AE867" s="870"/>
      <c r="AF867" s="870"/>
      <c r="AG867" s="870"/>
    </row>
    <row r="868" spans="1:33" s="995" customFormat="1">
      <c r="A868" s="974"/>
      <c r="D868" s="876"/>
      <c r="E868" s="974"/>
      <c r="F868" s="876"/>
      <c r="G868" s="876"/>
      <c r="H868" s="876"/>
      <c r="I868" s="876"/>
      <c r="J868" s="876"/>
      <c r="K868" s="876"/>
      <c r="L868" s="876"/>
      <c r="M868" s="876"/>
      <c r="N868" s="876"/>
      <c r="O868" s="876"/>
      <c r="P868" s="876"/>
      <c r="Q868" s="870"/>
      <c r="R868" s="870"/>
      <c r="S868" s="870"/>
      <c r="T868" s="870"/>
      <c r="U868" s="870"/>
      <c r="V868" s="870"/>
      <c r="W868" s="870"/>
      <c r="X868" s="870"/>
      <c r="Y868" s="870"/>
      <c r="Z868" s="870"/>
      <c r="AA868" s="870"/>
      <c r="AB868" s="870"/>
      <c r="AC868" s="870"/>
      <c r="AD868" s="870"/>
      <c r="AE868" s="870"/>
      <c r="AF868" s="870"/>
      <c r="AG868" s="870"/>
    </row>
    <row r="869" spans="1:33" s="995" customFormat="1">
      <c r="A869" s="974"/>
      <c r="D869" s="876"/>
      <c r="E869" s="974"/>
      <c r="F869" s="876"/>
      <c r="G869" s="876"/>
      <c r="H869" s="876"/>
      <c r="I869" s="876"/>
      <c r="J869" s="876"/>
      <c r="K869" s="876"/>
      <c r="L869" s="876"/>
      <c r="M869" s="876"/>
      <c r="N869" s="876"/>
      <c r="O869" s="876"/>
      <c r="P869" s="876"/>
      <c r="Q869" s="870"/>
      <c r="R869" s="870"/>
      <c r="S869" s="870"/>
      <c r="T869" s="870"/>
      <c r="U869" s="870"/>
      <c r="V869" s="870"/>
      <c r="W869" s="870"/>
      <c r="X869" s="870"/>
      <c r="Y869" s="870"/>
      <c r="Z869" s="870"/>
      <c r="AA869" s="870"/>
      <c r="AB869" s="870"/>
      <c r="AC869" s="870"/>
      <c r="AD869" s="870"/>
      <c r="AE869" s="870"/>
      <c r="AF869" s="870"/>
      <c r="AG869" s="870"/>
    </row>
    <row r="870" spans="1:33" s="995" customFormat="1">
      <c r="A870" s="974"/>
      <c r="D870" s="876"/>
      <c r="E870" s="974"/>
      <c r="F870" s="876"/>
      <c r="G870" s="876"/>
      <c r="H870" s="876"/>
      <c r="I870" s="876"/>
      <c r="J870" s="876"/>
      <c r="K870" s="876"/>
      <c r="L870" s="876"/>
      <c r="M870" s="876"/>
      <c r="N870" s="876"/>
      <c r="O870" s="876"/>
      <c r="P870" s="876"/>
      <c r="Q870" s="870"/>
      <c r="R870" s="870"/>
      <c r="S870" s="870"/>
      <c r="T870" s="870"/>
      <c r="U870" s="870"/>
      <c r="V870" s="870"/>
      <c r="W870" s="870"/>
      <c r="X870" s="870"/>
      <c r="Y870" s="870"/>
      <c r="Z870" s="870"/>
      <c r="AA870" s="870"/>
      <c r="AB870" s="870"/>
      <c r="AC870" s="870"/>
      <c r="AD870" s="870"/>
      <c r="AE870" s="870"/>
      <c r="AF870" s="870"/>
      <c r="AG870" s="870"/>
    </row>
    <row r="871" spans="1:33" s="995" customFormat="1">
      <c r="A871" s="974"/>
      <c r="D871" s="876"/>
      <c r="E871" s="974"/>
      <c r="F871" s="876"/>
      <c r="G871" s="876"/>
      <c r="H871" s="876"/>
      <c r="I871" s="876"/>
      <c r="J871" s="876"/>
      <c r="K871" s="876"/>
      <c r="L871" s="876"/>
      <c r="M871" s="876"/>
      <c r="N871" s="876"/>
      <c r="O871" s="876"/>
      <c r="P871" s="876"/>
      <c r="Q871" s="870"/>
      <c r="R871" s="870"/>
      <c r="S871" s="870"/>
      <c r="T871" s="870"/>
      <c r="U871" s="870"/>
      <c r="V871" s="870"/>
      <c r="W871" s="870"/>
      <c r="X871" s="870"/>
      <c r="Y871" s="870"/>
      <c r="Z871" s="870"/>
      <c r="AA871" s="870"/>
      <c r="AB871" s="870"/>
      <c r="AC871" s="870"/>
      <c r="AD871" s="870"/>
      <c r="AE871" s="870"/>
      <c r="AF871" s="870"/>
      <c r="AG871" s="870"/>
    </row>
    <row r="872" spans="1:33" s="995" customFormat="1">
      <c r="A872" s="974"/>
      <c r="D872" s="876"/>
      <c r="E872" s="974"/>
      <c r="F872" s="876"/>
      <c r="G872" s="876"/>
      <c r="H872" s="876"/>
      <c r="I872" s="876"/>
      <c r="J872" s="876"/>
      <c r="K872" s="876"/>
      <c r="L872" s="876"/>
      <c r="M872" s="876"/>
      <c r="N872" s="876"/>
      <c r="O872" s="876"/>
      <c r="P872" s="876"/>
      <c r="Q872" s="870"/>
      <c r="R872" s="870"/>
      <c r="S872" s="870"/>
      <c r="T872" s="870"/>
      <c r="U872" s="870"/>
      <c r="V872" s="870"/>
      <c r="W872" s="870"/>
      <c r="X872" s="870"/>
      <c r="Y872" s="870"/>
      <c r="Z872" s="870"/>
      <c r="AA872" s="870"/>
      <c r="AB872" s="870"/>
      <c r="AC872" s="870"/>
      <c r="AD872" s="870"/>
      <c r="AE872" s="870"/>
      <c r="AF872" s="870"/>
      <c r="AG872" s="870"/>
    </row>
    <row r="873" spans="1:33" s="995" customFormat="1">
      <c r="A873" s="974"/>
      <c r="D873" s="876"/>
      <c r="E873" s="974"/>
      <c r="F873" s="876"/>
      <c r="G873" s="876"/>
      <c r="H873" s="876"/>
      <c r="I873" s="876"/>
      <c r="J873" s="876"/>
      <c r="K873" s="876"/>
      <c r="L873" s="876"/>
      <c r="M873" s="876"/>
      <c r="N873" s="876"/>
      <c r="O873" s="876"/>
      <c r="P873" s="876"/>
      <c r="Q873" s="870"/>
      <c r="R873" s="870"/>
      <c r="S873" s="870"/>
      <c r="T873" s="870"/>
      <c r="U873" s="870"/>
      <c r="V873" s="870"/>
      <c r="W873" s="870"/>
      <c r="X873" s="870"/>
      <c r="Y873" s="870"/>
      <c r="Z873" s="870"/>
      <c r="AA873" s="870"/>
      <c r="AB873" s="870"/>
      <c r="AC873" s="870"/>
      <c r="AD873" s="870"/>
      <c r="AE873" s="870"/>
      <c r="AF873" s="870"/>
      <c r="AG873" s="870"/>
    </row>
    <row r="874" spans="1:33" s="995" customFormat="1">
      <c r="A874" s="974"/>
      <c r="D874" s="876"/>
      <c r="E874" s="974"/>
      <c r="F874" s="876"/>
      <c r="G874" s="876"/>
      <c r="H874" s="876"/>
      <c r="I874" s="876"/>
      <c r="J874" s="876"/>
      <c r="K874" s="876"/>
      <c r="L874" s="876"/>
      <c r="M874" s="876"/>
      <c r="N874" s="876"/>
      <c r="O874" s="876"/>
      <c r="P874" s="876"/>
      <c r="Q874" s="870"/>
      <c r="R874" s="870"/>
      <c r="S874" s="870"/>
      <c r="T874" s="870"/>
      <c r="U874" s="870"/>
      <c r="V874" s="870"/>
      <c r="W874" s="870"/>
      <c r="X874" s="870"/>
      <c r="Y874" s="870"/>
      <c r="Z874" s="870"/>
      <c r="AA874" s="870"/>
      <c r="AB874" s="870"/>
      <c r="AC874" s="870"/>
      <c r="AD874" s="870"/>
      <c r="AE874" s="870"/>
      <c r="AF874" s="870"/>
      <c r="AG874" s="870"/>
    </row>
    <row r="875" spans="1:33" s="995" customFormat="1">
      <c r="A875" s="974"/>
      <c r="D875" s="876"/>
      <c r="E875" s="974"/>
      <c r="F875" s="876"/>
      <c r="G875" s="876"/>
      <c r="H875" s="876"/>
      <c r="I875" s="876"/>
      <c r="J875" s="876"/>
      <c r="K875" s="876"/>
      <c r="L875" s="876"/>
      <c r="M875" s="876"/>
      <c r="N875" s="876"/>
      <c r="O875" s="876"/>
      <c r="P875" s="876"/>
      <c r="Q875" s="870"/>
      <c r="R875" s="870"/>
      <c r="S875" s="870"/>
      <c r="T875" s="870"/>
      <c r="U875" s="870"/>
      <c r="V875" s="870"/>
      <c r="W875" s="870"/>
      <c r="X875" s="870"/>
      <c r="Y875" s="870"/>
      <c r="Z875" s="870"/>
      <c r="AA875" s="870"/>
      <c r="AB875" s="870"/>
      <c r="AC875" s="870"/>
      <c r="AD875" s="870"/>
      <c r="AE875" s="870"/>
      <c r="AF875" s="870"/>
      <c r="AG875" s="870"/>
    </row>
    <row r="876" spans="1:33" s="995" customFormat="1">
      <c r="A876" s="974"/>
      <c r="D876" s="876"/>
      <c r="E876" s="974"/>
      <c r="F876" s="876"/>
      <c r="G876" s="876"/>
      <c r="H876" s="876"/>
      <c r="I876" s="876"/>
      <c r="J876" s="876"/>
      <c r="K876" s="876"/>
      <c r="L876" s="876"/>
      <c r="M876" s="876"/>
      <c r="N876" s="876"/>
      <c r="O876" s="876"/>
      <c r="P876" s="876"/>
      <c r="Q876" s="870"/>
      <c r="R876" s="870"/>
      <c r="S876" s="870"/>
      <c r="T876" s="870"/>
      <c r="U876" s="870"/>
      <c r="V876" s="870"/>
      <c r="W876" s="870"/>
      <c r="X876" s="870"/>
      <c r="Y876" s="870"/>
      <c r="Z876" s="870"/>
      <c r="AA876" s="870"/>
      <c r="AB876" s="870"/>
      <c r="AC876" s="870"/>
      <c r="AD876" s="870"/>
      <c r="AE876" s="870"/>
      <c r="AF876" s="870"/>
      <c r="AG876" s="870"/>
    </row>
    <row r="877" spans="1:33" s="995" customFormat="1">
      <c r="A877" s="974"/>
      <c r="D877" s="876"/>
      <c r="E877" s="974"/>
      <c r="F877" s="876"/>
      <c r="G877" s="876"/>
      <c r="H877" s="876"/>
      <c r="I877" s="876"/>
      <c r="J877" s="876"/>
      <c r="K877" s="876"/>
      <c r="L877" s="876"/>
      <c r="M877" s="876"/>
      <c r="N877" s="876"/>
      <c r="O877" s="876"/>
      <c r="P877" s="876"/>
      <c r="Q877" s="870"/>
      <c r="R877" s="870"/>
      <c r="S877" s="870"/>
      <c r="T877" s="870"/>
      <c r="U877" s="870"/>
      <c r="V877" s="870"/>
      <c r="W877" s="870"/>
      <c r="X877" s="870"/>
      <c r="Y877" s="870"/>
      <c r="Z877" s="870"/>
      <c r="AA877" s="870"/>
      <c r="AB877" s="870"/>
      <c r="AC877" s="870"/>
      <c r="AD877" s="870"/>
      <c r="AE877" s="870"/>
      <c r="AF877" s="870"/>
      <c r="AG877" s="870"/>
    </row>
    <row r="878" spans="1:33" s="995" customFormat="1">
      <c r="A878" s="974"/>
      <c r="D878" s="876"/>
      <c r="E878" s="974"/>
      <c r="F878" s="876"/>
      <c r="G878" s="876"/>
      <c r="H878" s="876"/>
      <c r="I878" s="876"/>
      <c r="J878" s="876"/>
      <c r="K878" s="876"/>
      <c r="L878" s="876"/>
      <c r="M878" s="876"/>
      <c r="N878" s="876"/>
      <c r="O878" s="876"/>
      <c r="P878" s="876"/>
      <c r="Q878" s="870"/>
      <c r="R878" s="870"/>
      <c r="S878" s="870"/>
      <c r="T878" s="870"/>
      <c r="U878" s="870"/>
      <c r="V878" s="870"/>
      <c r="W878" s="870"/>
      <c r="X878" s="870"/>
      <c r="Y878" s="870"/>
      <c r="Z878" s="870"/>
      <c r="AA878" s="870"/>
      <c r="AB878" s="870"/>
      <c r="AC878" s="870"/>
      <c r="AD878" s="870"/>
      <c r="AE878" s="870"/>
      <c r="AF878" s="870"/>
      <c r="AG878" s="870"/>
    </row>
    <row r="879" spans="1:33" s="995" customFormat="1">
      <c r="A879" s="974"/>
      <c r="D879" s="876"/>
      <c r="E879" s="974"/>
      <c r="F879" s="876"/>
      <c r="G879" s="876"/>
      <c r="H879" s="876"/>
      <c r="I879" s="876"/>
      <c r="J879" s="876"/>
      <c r="K879" s="876"/>
      <c r="L879" s="876"/>
      <c r="M879" s="876"/>
      <c r="N879" s="876"/>
      <c r="O879" s="876"/>
      <c r="P879" s="876"/>
      <c r="Q879" s="870"/>
      <c r="R879" s="870"/>
      <c r="S879" s="870"/>
      <c r="T879" s="870"/>
      <c r="U879" s="870"/>
      <c r="V879" s="870"/>
      <c r="W879" s="870"/>
      <c r="X879" s="870"/>
      <c r="Y879" s="870"/>
      <c r="Z879" s="870"/>
      <c r="AA879" s="870"/>
      <c r="AB879" s="870"/>
      <c r="AC879" s="870"/>
      <c r="AD879" s="870"/>
      <c r="AE879" s="870"/>
      <c r="AF879" s="870"/>
      <c r="AG879" s="870"/>
    </row>
    <row r="880" spans="1:33" s="995" customFormat="1">
      <c r="A880" s="974"/>
      <c r="D880" s="876"/>
      <c r="E880" s="974"/>
      <c r="F880" s="876"/>
      <c r="G880" s="876"/>
      <c r="H880" s="876"/>
      <c r="I880" s="876"/>
      <c r="J880" s="876"/>
      <c r="K880" s="876"/>
      <c r="L880" s="876"/>
      <c r="M880" s="876"/>
      <c r="N880" s="876"/>
      <c r="O880" s="876"/>
      <c r="P880" s="876"/>
      <c r="Q880" s="870"/>
      <c r="R880" s="870"/>
      <c r="S880" s="870"/>
      <c r="T880" s="870"/>
      <c r="U880" s="870"/>
      <c r="V880" s="870"/>
      <c r="W880" s="870"/>
      <c r="X880" s="870"/>
      <c r="Y880" s="870"/>
      <c r="Z880" s="870"/>
      <c r="AA880" s="870"/>
      <c r="AB880" s="870"/>
      <c r="AC880" s="870"/>
      <c r="AD880" s="870"/>
      <c r="AE880" s="870"/>
      <c r="AF880" s="870"/>
      <c r="AG880" s="870"/>
    </row>
    <row r="881" spans="1:33" s="995" customFormat="1">
      <c r="A881" s="974"/>
      <c r="D881" s="876"/>
      <c r="E881" s="974"/>
      <c r="F881" s="876"/>
      <c r="G881" s="876"/>
      <c r="H881" s="876"/>
      <c r="I881" s="876"/>
      <c r="J881" s="876"/>
      <c r="K881" s="876"/>
      <c r="L881" s="876"/>
      <c r="M881" s="876"/>
      <c r="N881" s="876"/>
      <c r="O881" s="876"/>
      <c r="P881" s="876"/>
      <c r="Q881" s="870"/>
      <c r="R881" s="870"/>
      <c r="S881" s="870"/>
      <c r="T881" s="870"/>
      <c r="U881" s="870"/>
      <c r="V881" s="870"/>
      <c r="W881" s="870"/>
      <c r="X881" s="870"/>
      <c r="Y881" s="870"/>
      <c r="Z881" s="870"/>
      <c r="AA881" s="870"/>
      <c r="AB881" s="870"/>
      <c r="AC881" s="870"/>
      <c r="AD881" s="870"/>
      <c r="AE881" s="870"/>
      <c r="AF881" s="870"/>
      <c r="AG881" s="870"/>
    </row>
    <row r="882" spans="1:33" s="995" customFormat="1">
      <c r="A882" s="974"/>
      <c r="D882" s="876"/>
      <c r="E882" s="974"/>
      <c r="F882" s="876"/>
      <c r="G882" s="876"/>
      <c r="H882" s="876"/>
      <c r="I882" s="876"/>
      <c r="J882" s="876"/>
      <c r="K882" s="876"/>
      <c r="L882" s="876"/>
      <c r="M882" s="876"/>
      <c r="N882" s="876"/>
      <c r="O882" s="876"/>
      <c r="P882" s="876"/>
      <c r="Q882" s="870"/>
      <c r="R882" s="870"/>
      <c r="S882" s="870"/>
      <c r="T882" s="870"/>
      <c r="U882" s="870"/>
      <c r="V882" s="870"/>
      <c r="W882" s="870"/>
      <c r="X882" s="870"/>
      <c r="Y882" s="870"/>
      <c r="Z882" s="870"/>
      <c r="AA882" s="870"/>
      <c r="AB882" s="870"/>
      <c r="AC882" s="870"/>
      <c r="AD882" s="870"/>
      <c r="AE882" s="870"/>
      <c r="AF882" s="870"/>
      <c r="AG882" s="870"/>
    </row>
    <row r="883" spans="1:33" s="995" customFormat="1">
      <c r="A883" s="974"/>
      <c r="D883" s="876"/>
      <c r="E883" s="974"/>
      <c r="F883" s="876"/>
      <c r="G883" s="876"/>
      <c r="H883" s="876"/>
      <c r="I883" s="876"/>
      <c r="J883" s="876"/>
      <c r="K883" s="876"/>
      <c r="L883" s="876"/>
      <c r="M883" s="876"/>
      <c r="N883" s="876"/>
      <c r="O883" s="876"/>
      <c r="P883" s="876"/>
      <c r="Q883" s="870"/>
      <c r="R883" s="870"/>
      <c r="S883" s="870"/>
      <c r="T883" s="870"/>
      <c r="U883" s="870"/>
      <c r="V883" s="870"/>
      <c r="W883" s="870"/>
      <c r="X883" s="870"/>
      <c r="Y883" s="870"/>
      <c r="Z883" s="870"/>
      <c r="AA883" s="870"/>
      <c r="AB883" s="870"/>
      <c r="AC883" s="870"/>
      <c r="AD883" s="870"/>
      <c r="AE883" s="870"/>
      <c r="AF883" s="870"/>
      <c r="AG883" s="870"/>
    </row>
    <row r="884" spans="1:33" s="995" customFormat="1">
      <c r="A884" s="974"/>
      <c r="D884" s="876"/>
      <c r="E884" s="974"/>
      <c r="F884" s="876"/>
      <c r="G884" s="876"/>
      <c r="H884" s="876"/>
      <c r="I884" s="876"/>
      <c r="J884" s="876"/>
      <c r="K884" s="876"/>
      <c r="L884" s="876"/>
      <c r="M884" s="876"/>
      <c r="N884" s="876"/>
      <c r="O884" s="876"/>
      <c r="P884" s="876"/>
      <c r="Q884" s="870"/>
      <c r="R884" s="870"/>
      <c r="S884" s="870"/>
      <c r="T884" s="870"/>
      <c r="U884" s="870"/>
      <c r="V884" s="870"/>
      <c r="W884" s="870"/>
      <c r="X884" s="870"/>
      <c r="Y884" s="870"/>
      <c r="Z884" s="870"/>
      <c r="AA884" s="870"/>
      <c r="AB884" s="870"/>
      <c r="AC884" s="870"/>
      <c r="AD884" s="870"/>
      <c r="AE884" s="870"/>
      <c r="AF884" s="870"/>
      <c r="AG884" s="870"/>
    </row>
    <row r="885" spans="1:33" s="995" customFormat="1">
      <c r="A885" s="974"/>
      <c r="D885" s="876"/>
      <c r="E885" s="974"/>
      <c r="F885" s="876"/>
      <c r="G885" s="876"/>
      <c r="H885" s="876"/>
      <c r="I885" s="876"/>
      <c r="J885" s="876"/>
      <c r="K885" s="876"/>
      <c r="L885" s="876"/>
      <c r="M885" s="876"/>
      <c r="N885" s="876"/>
      <c r="O885" s="876"/>
      <c r="P885" s="876"/>
      <c r="Q885" s="870"/>
      <c r="R885" s="870"/>
      <c r="S885" s="870"/>
      <c r="T885" s="870"/>
      <c r="U885" s="870"/>
      <c r="V885" s="870"/>
      <c r="W885" s="870"/>
      <c r="X885" s="870"/>
      <c r="Y885" s="870"/>
      <c r="Z885" s="870"/>
      <c r="AA885" s="870"/>
      <c r="AB885" s="870"/>
      <c r="AC885" s="870"/>
      <c r="AD885" s="870"/>
      <c r="AE885" s="870"/>
      <c r="AF885" s="870"/>
      <c r="AG885" s="870"/>
    </row>
    <row r="886" spans="1:33" s="995" customFormat="1">
      <c r="A886" s="974"/>
      <c r="D886" s="876"/>
      <c r="E886" s="974"/>
      <c r="F886" s="876"/>
      <c r="G886" s="876"/>
      <c r="H886" s="876"/>
      <c r="I886" s="876"/>
      <c r="J886" s="876"/>
      <c r="K886" s="876"/>
      <c r="L886" s="876"/>
      <c r="M886" s="876"/>
      <c r="N886" s="876"/>
      <c r="O886" s="876"/>
      <c r="P886" s="876"/>
      <c r="Q886" s="870"/>
      <c r="R886" s="870"/>
      <c r="S886" s="870"/>
      <c r="T886" s="870"/>
      <c r="U886" s="870"/>
      <c r="V886" s="870"/>
      <c r="W886" s="870"/>
      <c r="X886" s="870"/>
      <c r="Y886" s="870"/>
      <c r="Z886" s="870"/>
      <c r="AA886" s="870"/>
      <c r="AB886" s="870"/>
      <c r="AC886" s="870"/>
      <c r="AD886" s="870"/>
      <c r="AE886" s="870"/>
      <c r="AF886" s="870"/>
      <c r="AG886" s="870"/>
    </row>
    <row r="887" spans="1:33" s="995" customFormat="1">
      <c r="A887" s="974"/>
      <c r="D887" s="876"/>
      <c r="E887" s="974"/>
      <c r="F887" s="876"/>
      <c r="G887" s="876"/>
      <c r="H887" s="876"/>
      <c r="I887" s="876"/>
      <c r="J887" s="876"/>
      <c r="K887" s="876"/>
      <c r="L887" s="876"/>
      <c r="M887" s="876"/>
      <c r="N887" s="876"/>
      <c r="O887" s="876"/>
      <c r="P887" s="876"/>
      <c r="Q887" s="870"/>
      <c r="R887" s="870"/>
      <c r="S887" s="870"/>
      <c r="T887" s="870"/>
      <c r="U887" s="870"/>
      <c r="V887" s="870"/>
      <c r="W887" s="870"/>
      <c r="X887" s="870"/>
      <c r="Y887" s="870"/>
      <c r="Z887" s="870"/>
      <c r="AA887" s="870"/>
      <c r="AB887" s="870"/>
      <c r="AC887" s="870"/>
      <c r="AD887" s="870"/>
      <c r="AE887" s="870"/>
      <c r="AF887" s="870"/>
      <c r="AG887" s="870"/>
    </row>
    <row r="888" spans="1:33" s="995" customFormat="1">
      <c r="A888" s="974"/>
      <c r="D888" s="876"/>
      <c r="E888" s="974"/>
      <c r="F888" s="876"/>
      <c r="G888" s="876"/>
      <c r="H888" s="876"/>
      <c r="I888" s="876"/>
      <c r="J888" s="876"/>
      <c r="K888" s="876"/>
      <c r="L888" s="876"/>
      <c r="M888" s="876"/>
      <c r="N888" s="876"/>
      <c r="O888" s="876"/>
      <c r="P888" s="876"/>
      <c r="Q888" s="870"/>
      <c r="R888" s="870"/>
      <c r="S888" s="870"/>
      <c r="T888" s="870"/>
      <c r="U888" s="870"/>
      <c r="V888" s="870"/>
      <c r="W888" s="870"/>
      <c r="X888" s="870"/>
      <c r="Y888" s="870"/>
      <c r="Z888" s="870"/>
      <c r="AA888" s="870"/>
      <c r="AB888" s="870"/>
      <c r="AC888" s="870"/>
      <c r="AD888" s="870"/>
      <c r="AE888" s="870"/>
      <c r="AF888" s="870"/>
      <c r="AG888" s="870"/>
    </row>
    <row r="889" spans="1:33" s="995" customFormat="1">
      <c r="A889" s="974"/>
      <c r="D889" s="876"/>
      <c r="E889" s="974"/>
      <c r="F889" s="876"/>
      <c r="G889" s="876"/>
      <c r="H889" s="876"/>
      <c r="I889" s="876"/>
      <c r="J889" s="876"/>
      <c r="K889" s="876"/>
      <c r="L889" s="876"/>
      <c r="M889" s="876"/>
      <c r="N889" s="876"/>
      <c r="O889" s="876"/>
      <c r="P889" s="876"/>
      <c r="Q889" s="870"/>
      <c r="R889" s="870"/>
      <c r="S889" s="870"/>
      <c r="T889" s="870"/>
      <c r="U889" s="870"/>
      <c r="V889" s="870"/>
      <c r="W889" s="870"/>
      <c r="X889" s="870"/>
      <c r="Y889" s="870"/>
      <c r="Z889" s="870"/>
      <c r="AA889" s="870"/>
      <c r="AB889" s="870"/>
      <c r="AC889" s="870"/>
      <c r="AD889" s="870"/>
      <c r="AE889" s="870"/>
      <c r="AF889" s="870"/>
      <c r="AG889" s="870"/>
    </row>
    <row r="890" spans="1:33" s="995" customFormat="1">
      <c r="A890" s="974"/>
      <c r="D890" s="876"/>
      <c r="E890" s="974"/>
      <c r="F890" s="876"/>
      <c r="G890" s="876"/>
      <c r="H890" s="876"/>
      <c r="I890" s="876"/>
      <c r="J890" s="876"/>
      <c r="K890" s="876"/>
      <c r="L890" s="876"/>
      <c r="M890" s="876"/>
      <c r="N890" s="876"/>
      <c r="O890" s="876"/>
      <c r="P890" s="876"/>
      <c r="Q890" s="870"/>
      <c r="R890" s="870"/>
      <c r="S890" s="870"/>
      <c r="T890" s="870"/>
      <c r="U890" s="870"/>
      <c r="V890" s="870"/>
      <c r="W890" s="870"/>
      <c r="X890" s="870"/>
      <c r="Y890" s="870"/>
      <c r="Z890" s="870"/>
      <c r="AA890" s="870"/>
      <c r="AB890" s="870"/>
      <c r="AC890" s="870"/>
      <c r="AD890" s="870"/>
      <c r="AE890" s="870"/>
      <c r="AF890" s="870"/>
      <c r="AG890" s="870"/>
    </row>
    <row r="891" spans="1:33" s="995" customFormat="1">
      <c r="A891" s="974"/>
      <c r="D891" s="876"/>
      <c r="E891" s="974"/>
      <c r="F891" s="876"/>
      <c r="G891" s="876"/>
      <c r="H891" s="876"/>
      <c r="I891" s="876"/>
      <c r="J891" s="876"/>
      <c r="K891" s="876"/>
      <c r="L891" s="876"/>
      <c r="M891" s="876"/>
      <c r="N891" s="876"/>
      <c r="O891" s="876"/>
      <c r="P891" s="876"/>
      <c r="Q891" s="870"/>
      <c r="R891" s="870"/>
      <c r="S891" s="870"/>
      <c r="T891" s="870"/>
      <c r="U891" s="870"/>
      <c r="V891" s="870"/>
      <c r="W891" s="870"/>
      <c r="X891" s="870"/>
      <c r="Y891" s="870"/>
      <c r="Z891" s="870"/>
      <c r="AA891" s="870"/>
      <c r="AB891" s="870"/>
      <c r="AC891" s="870"/>
      <c r="AD891" s="870"/>
      <c r="AE891" s="870"/>
      <c r="AF891" s="870"/>
      <c r="AG891" s="870"/>
    </row>
    <row r="892" spans="1:33" s="995" customFormat="1">
      <c r="A892" s="974"/>
      <c r="D892" s="876"/>
      <c r="E892" s="974"/>
      <c r="F892" s="876"/>
      <c r="G892" s="876"/>
      <c r="H892" s="876"/>
      <c r="I892" s="876"/>
      <c r="J892" s="876"/>
      <c r="K892" s="876"/>
      <c r="L892" s="876"/>
      <c r="M892" s="876"/>
      <c r="N892" s="876"/>
      <c r="O892" s="876"/>
      <c r="P892" s="876"/>
      <c r="Q892" s="870"/>
      <c r="R892" s="870"/>
      <c r="S892" s="870"/>
      <c r="T892" s="870"/>
      <c r="U892" s="870"/>
      <c r="V892" s="870"/>
      <c r="W892" s="870"/>
      <c r="X892" s="870"/>
      <c r="Y892" s="870"/>
      <c r="Z892" s="870"/>
      <c r="AA892" s="870"/>
      <c r="AB892" s="870"/>
      <c r="AC892" s="870"/>
      <c r="AD892" s="870"/>
      <c r="AE892" s="870"/>
      <c r="AF892" s="870"/>
      <c r="AG892" s="870"/>
    </row>
    <row r="893" spans="1:33" s="995" customFormat="1">
      <c r="A893" s="974"/>
      <c r="D893" s="876"/>
      <c r="E893" s="974"/>
      <c r="F893" s="876"/>
      <c r="G893" s="876"/>
      <c r="H893" s="876"/>
      <c r="I893" s="876"/>
      <c r="J893" s="876"/>
      <c r="K893" s="876"/>
      <c r="L893" s="876"/>
      <c r="M893" s="876"/>
      <c r="N893" s="876"/>
      <c r="O893" s="876"/>
      <c r="P893" s="876"/>
      <c r="Q893" s="870"/>
      <c r="R893" s="870"/>
      <c r="S893" s="870"/>
      <c r="T893" s="870"/>
      <c r="U893" s="870"/>
      <c r="V893" s="870"/>
      <c r="W893" s="870"/>
      <c r="X893" s="870"/>
      <c r="Y893" s="870"/>
      <c r="Z893" s="870"/>
      <c r="AA893" s="870"/>
      <c r="AB893" s="870"/>
      <c r="AC893" s="870"/>
      <c r="AD893" s="870"/>
      <c r="AE893" s="870"/>
      <c r="AF893" s="870"/>
      <c r="AG893" s="870"/>
    </row>
    <row r="894" spans="1:33" s="995" customFormat="1">
      <c r="A894" s="974"/>
      <c r="D894" s="876"/>
      <c r="E894" s="974"/>
      <c r="F894" s="876"/>
      <c r="G894" s="876"/>
      <c r="H894" s="876"/>
      <c r="I894" s="876"/>
      <c r="J894" s="876"/>
      <c r="K894" s="876"/>
      <c r="L894" s="876"/>
      <c r="M894" s="876"/>
      <c r="N894" s="876"/>
      <c r="O894" s="876"/>
      <c r="P894" s="876"/>
      <c r="Q894" s="870"/>
      <c r="R894" s="870"/>
      <c r="S894" s="870"/>
      <c r="T894" s="870"/>
      <c r="U894" s="870"/>
      <c r="V894" s="870"/>
      <c r="W894" s="870"/>
      <c r="X894" s="870"/>
      <c r="Y894" s="870"/>
      <c r="Z894" s="870"/>
      <c r="AA894" s="870"/>
      <c r="AB894" s="870"/>
      <c r="AC894" s="870"/>
      <c r="AD894" s="870"/>
      <c r="AE894" s="870"/>
      <c r="AF894" s="870"/>
      <c r="AG894" s="870"/>
    </row>
    <row r="895" spans="1:33" s="995" customFormat="1">
      <c r="A895" s="974"/>
      <c r="D895" s="876"/>
      <c r="E895" s="974"/>
      <c r="F895" s="876"/>
      <c r="G895" s="876"/>
      <c r="H895" s="876"/>
      <c r="I895" s="876"/>
      <c r="J895" s="876"/>
      <c r="K895" s="876"/>
      <c r="L895" s="876"/>
      <c r="M895" s="876"/>
      <c r="N895" s="876"/>
      <c r="O895" s="876"/>
      <c r="P895" s="876"/>
      <c r="Q895" s="870"/>
      <c r="R895" s="870"/>
      <c r="S895" s="870"/>
      <c r="T895" s="870"/>
      <c r="U895" s="870"/>
      <c r="V895" s="870"/>
      <c r="W895" s="870"/>
      <c r="X895" s="870"/>
      <c r="Y895" s="870"/>
      <c r="Z895" s="870"/>
      <c r="AA895" s="870"/>
      <c r="AB895" s="870"/>
      <c r="AC895" s="870"/>
      <c r="AD895" s="870"/>
      <c r="AE895" s="870"/>
      <c r="AF895" s="870"/>
      <c r="AG895" s="870"/>
    </row>
    <row r="896" spans="1:33" s="995" customFormat="1">
      <c r="A896" s="974"/>
      <c r="D896" s="876"/>
      <c r="E896" s="974"/>
      <c r="F896" s="876"/>
      <c r="G896" s="876"/>
      <c r="H896" s="876"/>
      <c r="I896" s="876"/>
      <c r="J896" s="876"/>
      <c r="K896" s="876"/>
      <c r="L896" s="876"/>
      <c r="M896" s="876"/>
      <c r="N896" s="876"/>
      <c r="O896" s="876"/>
      <c r="P896" s="876"/>
      <c r="Q896" s="870"/>
      <c r="R896" s="870"/>
      <c r="S896" s="870"/>
      <c r="T896" s="870"/>
      <c r="U896" s="870"/>
      <c r="V896" s="870"/>
      <c r="W896" s="870"/>
      <c r="X896" s="870"/>
      <c r="Y896" s="870"/>
      <c r="Z896" s="870"/>
      <c r="AA896" s="870"/>
      <c r="AB896" s="870"/>
      <c r="AC896" s="870"/>
      <c r="AD896" s="870"/>
      <c r="AE896" s="870"/>
      <c r="AF896" s="870"/>
      <c r="AG896" s="870"/>
    </row>
    <row r="897" spans="1:33" s="995" customFormat="1">
      <c r="A897" s="974"/>
      <c r="D897" s="876"/>
      <c r="E897" s="974"/>
      <c r="F897" s="876"/>
      <c r="G897" s="876"/>
      <c r="H897" s="876"/>
      <c r="I897" s="876"/>
      <c r="J897" s="876"/>
      <c r="K897" s="876"/>
      <c r="L897" s="876"/>
      <c r="M897" s="876"/>
      <c r="N897" s="876"/>
      <c r="O897" s="876"/>
      <c r="P897" s="876"/>
      <c r="Q897" s="870"/>
      <c r="R897" s="870"/>
      <c r="S897" s="870"/>
      <c r="T897" s="870"/>
      <c r="U897" s="870"/>
      <c r="V897" s="870"/>
      <c r="W897" s="870"/>
      <c r="X897" s="870"/>
      <c r="Y897" s="870"/>
      <c r="Z897" s="870"/>
      <c r="AA897" s="870"/>
      <c r="AB897" s="870"/>
      <c r="AC897" s="870"/>
      <c r="AD897" s="870"/>
      <c r="AE897" s="870"/>
      <c r="AF897" s="870"/>
      <c r="AG897" s="870"/>
    </row>
    <row r="898" spans="1:33" s="995" customFormat="1">
      <c r="A898" s="974"/>
      <c r="D898" s="876"/>
      <c r="E898" s="974"/>
      <c r="F898" s="876"/>
      <c r="G898" s="876"/>
      <c r="H898" s="876"/>
      <c r="I898" s="876"/>
      <c r="J898" s="876"/>
      <c r="K898" s="876"/>
      <c r="L898" s="876"/>
      <c r="M898" s="876"/>
      <c r="N898" s="876"/>
      <c r="O898" s="876"/>
      <c r="P898" s="876"/>
      <c r="Q898" s="870"/>
      <c r="R898" s="870"/>
      <c r="S898" s="870"/>
      <c r="T898" s="870"/>
      <c r="U898" s="870"/>
      <c r="V898" s="870"/>
      <c r="W898" s="870"/>
      <c r="X898" s="870"/>
      <c r="Y898" s="870"/>
      <c r="Z898" s="870"/>
      <c r="AA898" s="870"/>
      <c r="AB898" s="870"/>
      <c r="AC898" s="870"/>
      <c r="AD898" s="870"/>
      <c r="AE898" s="870"/>
      <c r="AF898" s="870"/>
      <c r="AG898" s="870"/>
    </row>
    <row r="899" spans="1:33" s="995" customFormat="1">
      <c r="A899" s="974"/>
      <c r="D899" s="876"/>
      <c r="E899" s="974"/>
      <c r="F899" s="876"/>
      <c r="G899" s="876"/>
      <c r="H899" s="876"/>
      <c r="I899" s="876"/>
      <c r="J899" s="876"/>
      <c r="K899" s="876"/>
      <c r="L899" s="876"/>
      <c r="M899" s="876"/>
      <c r="N899" s="876"/>
      <c r="O899" s="876"/>
      <c r="P899" s="876"/>
      <c r="Q899" s="870"/>
      <c r="R899" s="870"/>
      <c r="S899" s="870"/>
      <c r="T899" s="870"/>
      <c r="U899" s="870"/>
      <c r="V899" s="870"/>
      <c r="W899" s="870"/>
      <c r="X899" s="870"/>
      <c r="Y899" s="870"/>
      <c r="Z899" s="870"/>
      <c r="AA899" s="870"/>
      <c r="AB899" s="870"/>
      <c r="AC899" s="870"/>
      <c r="AD899" s="870"/>
      <c r="AE899" s="870"/>
      <c r="AF899" s="870"/>
      <c r="AG899" s="870"/>
    </row>
    <row r="900" spans="1:33" s="995" customFormat="1">
      <c r="A900" s="974"/>
      <c r="D900" s="876"/>
      <c r="E900" s="974"/>
      <c r="F900" s="876"/>
      <c r="G900" s="876"/>
      <c r="H900" s="876"/>
      <c r="I900" s="876"/>
      <c r="J900" s="876"/>
      <c r="K900" s="876"/>
      <c r="L900" s="876"/>
      <c r="M900" s="876"/>
      <c r="N900" s="876"/>
      <c r="O900" s="876"/>
      <c r="P900" s="876"/>
      <c r="Q900" s="870"/>
      <c r="R900" s="870"/>
      <c r="S900" s="870"/>
      <c r="T900" s="870"/>
      <c r="U900" s="870"/>
      <c r="V900" s="870"/>
      <c r="W900" s="870"/>
      <c r="X900" s="870"/>
      <c r="Y900" s="870"/>
      <c r="Z900" s="870"/>
      <c r="AA900" s="870"/>
      <c r="AB900" s="870"/>
      <c r="AC900" s="870"/>
      <c r="AD900" s="870"/>
      <c r="AE900" s="870"/>
      <c r="AF900" s="870"/>
      <c r="AG900" s="870"/>
    </row>
    <row r="901" spans="1:33" s="995" customFormat="1">
      <c r="A901" s="974"/>
      <c r="D901" s="876"/>
      <c r="E901" s="974"/>
      <c r="F901" s="876"/>
      <c r="G901" s="876"/>
      <c r="H901" s="876"/>
      <c r="I901" s="876"/>
      <c r="J901" s="876"/>
      <c r="K901" s="876"/>
      <c r="L901" s="876"/>
      <c r="M901" s="876"/>
      <c r="N901" s="876"/>
      <c r="O901" s="876"/>
      <c r="P901" s="876"/>
      <c r="Q901" s="870"/>
      <c r="R901" s="870"/>
      <c r="S901" s="870"/>
      <c r="T901" s="870"/>
      <c r="U901" s="870"/>
      <c r="V901" s="870"/>
      <c r="W901" s="870"/>
      <c r="X901" s="870"/>
      <c r="Y901" s="870"/>
      <c r="Z901" s="870"/>
      <c r="AA901" s="870"/>
      <c r="AB901" s="870"/>
      <c r="AC901" s="870"/>
      <c r="AD901" s="870"/>
      <c r="AE901" s="870"/>
      <c r="AF901" s="870"/>
      <c r="AG901" s="870"/>
    </row>
    <row r="902" spans="1:33" s="995" customFormat="1">
      <c r="A902" s="974"/>
      <c r="D902" s="876"/>
      <c r="E902" s="974"/>
      <c r="F902" s="876"/>
      <c r="G902" s="876"/>
      <c r="H902" s="876"/>
      <c r="I902" s="876"/>
      <c r="J902" s="876"/>
      <c r="K902" s="876"/>
      <c r="L902" s="876"/>
      <c r="M902" s="876"/>
      <c r="N902" s="876"/>
      <c r="O902" s="876"/>
      <c r="P902" s="876"/>
      <c r="Q902" s="870"/>
      <c r="R902" s="870"/>
      <c r="S902" s="870"/>
      <c r="T902" s="870"/>
      <c r="U902" s="870"/>
      <c r="V902" s="870"/>
      <c r="W902" s="870"/>
      <c r="X902" s="870"/>
      <c r="Y902" s="870"/>
      <c r="Z902" s="870"/>
      <c r="AA902" s="870"/>
      <c r="AB902" s="870"/>
      <c r="AC902" s="870"/>
      <c r="AD902" s="870"/>
      <c r="AE902" s="870"/>
      <c r="AF902" s="870"/>
      <c r="AG902" s="870"/>
    </row>
    <row r="903" spans="1:33" s="995" customFormat="1">
      <c r="A903" s="974"/>
      <c r="D903" s="876"/>
      <c r="E903" s="974"/>
      <c r="F903" s="876"/>
      <c r="G903" s="876"/>
      <c r="H903" s="876"/>
      <c r="I903" s="876"/>
      <c r="J903" s="876"/>
      <c r="K903" s="876"/>
      <c r="L903" s="876"/>
      <c r="M903" s="876"/>
      <c r="N903" s="876"/>
      <c r="O903" s="876"/>
      <c r="P903" s="876"/>
      <c r="Q903" s="870"/>
      <c r="R903" s="870"/>
      <c r="S903" s="870"/>
      <c r="T903" s="870"/>
      <c r="U903" s="870"/>
      <c r="V903" s="870"/>
      <c r="W903" s="870"/>
      <c r="X903" s="870"/>
      <c r="Y903" s="870"/>
      <c r="Z903" s="870"/>
      <c r="AA903" s="870"/>
      <c r="AB903" s="870"/>
      <c r="AC903" s="870"/>
      <c r="AD903" s="870"/>
      <c r="AE903" s="870"/>
      <c r="AF903" s="870"/>
      <c r="AG903" s="870"/>
    </row>
    <row r="904" spans="1:33" s="995" customFormat="1">
      <c r="A904" s="974"/>
      <c r="D904" s="876"/>
      <c r="E904" s="974"/>
      <c r="F904" s="876"/>
      <c r="G904" s="876"/>
      <c r="H904" s="876"/>
      <c r="I904" s="876"/>
      <c r="J904" s="876"/>
      <c r="K904" s="876"/>
      <c r="L904" s="876"/>
      <c r="M904" s="876"/>
      <c r="N904" s="876"/>
      <c r="O904" s="876"/>
      <c r="P904" s="876"/>
      <c r="Q904" s="870"/>
      <c r="R904" s="870"/>
      <c r="S904" s="870"/>
      <c r="T904" s="870"/>
      <c r="U904" s="870"/>
      <c r="V904" s="870"/>
      <c r="W904" s="870"/>
      <c r="X904" s="870"/>
      <c r="Y904" s="870"/>
      <c r="Z904" s="870"/>
      <c r="AA904" s="870"/>
      <c r="AB904" s="870"/>
      <c r="AC904" s="870"/>
      <c r="AD904" s="870"/>
      <c r="AE904" s="870"/>
      <c r="AF904" s="870"/>
      <c r="AG904" s="870"/>
    </row>
    <row r="905" spans="1:33" s="995" customFormat="1">
      <c r="A905" s="974"/>
      <c r="D905" s="876"/>
      <c r="E905" s="974"/>
      <c r="F905" s="876"/>
      <c r="G905" s="876"/>
      <c r="H905" s="876"/>
      <c r="I905" s="876"/>
      <c r="J905" s="876"/>
      <c r="K905" s="876"/>
      <c r="L905" s="876"/>
      <c r="M905" s="876"/>
      <c r="N905" s="876"/>
      <c r="O905" s="876"/>
      <c r="P905" s="876"/>
      <c r="Q905" s="870"/>
      <c r="R905" s="870"/>
      <c r="S905" s="870"/>
      <c r="T905" s="870"/>
      <c r="U905" s="870"/>
      <c r="V905" s="870"/>
      <c r="W905" s="870"/>
      <c r="X905" s="870"/>
      <c r="Y905" s="870"/>
      <c r="Z905" s="870"/>
      <c r="AA905" s="870"/>
      <c r="AB905" s="870"/>
      <c r="AC905" s="870"/>
      <c r="AD905" s="870"/>
      <c r="AE905" s="870"/>
      <c r="AF905" s="870"/>
      <c r="AG905" s="870"/>
    </row>
    <row r="906" spans="1:33" s="995" customFormat="1">
      <c r="A906" s="974"/>
      <c r="D906" s="876"/>
      <c r="E906" s="974"/>
      <c r="F906" s="876"/>
      <c r="G906" s="876"/>
      <c r="H906" s="876"/>
      <c r="I906" s="876"/>
      <c r="J906" s="876"/>
      <c r="K906" s="876"/>
      <c r="L906" s="876"/>
      <c r="M906" s="876"/>
      <c r="N906" s="876"/>
      <c r="O906" s="876"/>
      <c r="P906" s="876"/>
      <c r="Q906" s="870"/>
      <c r="R906" s="870"/>
      <c r="S906" s="870"/>
      <c r="T906" s="870"/>
      <c r="U906" s="870"/>
      <c r="V906" s="870"/>
      <c r="W906" s="870"/>
      <c r="X906" s="870"/>
      <c r="Y906" s="870"/>
      <c r="Z906" s="870"/>
      <c r="AA906" s="870"/>
      <c r="AB906" s="870"/>
      <c r="AC906" s="870"/>
      <c r="AD906" s="870"/>
      <c r="AE906" s="870"/>
      <c r="AF906" s="870"/>
      <c r="AG906" s="870"/>
    </row>
    <row r="907" spans="1:33" s="995" customFormat="1">
      <c r="A907" s="974"/>
      <c r="D907" s="876"/>
      <c r="E907" s="974"/>
      <c r="F907" s="876"/>
      <c r="G907" s="876"/>
      <c r="H907" s="876"/>
      <c r="I907" s="876"/>
      <c r="J907" s="876"/>
      <c r="K907" s="876"/>
      <c r="L907" s="876"/>
      <c r="M907" s="876"/>
      <c r="N907" s="876"/>
      <c r="O907" s="876"/>
      <c r="P907" s="876"/>
      <c r="Q907" s="870"/>
      <c r="R907" s="870"/>
      <c r="S907" s="870"/>
      <c r="T907" s="870"/>
      <c r="U907" s="870"/>
      <c r="V907" s="870"/>
      <c r="W907" s="870"/>
      <c r="X907" s="870"/>
      <c r="Y907" s="870"/>
      <c r="Z907" s="870"/>
      <c r="AA907" s="870"/>
      <c r="AB907" s="870"/>
      <c r="AC907" s="870"/>
      <c r="AD907" s="870"/>
      <c r="AE907" s="870"/>
      <c r="AF907" s="870"/>
      <c r="AG907" s="870"/>
    </row>
    <row r="908" spans="1:33" s="995" customFormat="1">
      <c r="A908" s="974"/>
      <c r="D908" s="876"/>
      <c r="E908" s="974"/>
      <c r="F908" s="876"/>
      <c r="G908" s="876"/>
      <c r="H908" s="876"/>
      <c r="I908" s="876"/>
      <c r="J908" s="876"/>
      <c r="K908" s="876"/>
      <c r="L908" s="876"/>
      <c r="M908" s="876"/>
      <c r="N908" s="876"/>
      <c r="O908" s="876"/>
      <c r="P908" s="876"/>
      <c r="Q908" s="870"/>
      <c r="R908" s="870"/>
      <c r="S908" s="870"/>
      <c r="T908" s="870"/>
      <c r="U908" s="870"/>
      <c r="V908" s="870"/>
      <c r="W908" s="870"/>
      <c r="X908" s="870"/>
      <c r="Y908" s="870"/>
      <c r="Z908" s="870"/>
      <c r="AA908" s="870"/>
      <c r="AB908" s="870"/>
      <c r="AC908" s="870"/>
      <c r="AD908" s="870"/>
      <c r="AE908" s="870"/>
      <c r="AF908" s="870"/>
      <c r="AG908" s="870"/>
    </row>
    <row r="909" spans="1:33" s="995" customFormat="1">
      <c r="A909" s="974"/>
      <c r="D909" s="876"/>
      <c r="E909" s="974"/>
      <c r="F909" s="876"/>
      <c r="G909" s="876"/>
      <c r="H909" s="876"/>
      <c r="I909" s="876"/>
      <c r="J909" s="876"/>
      <c r="K909" s="876"/>
      <c r="L909" s="876"/>
      <c r="M909" s="876"/>
      <c r="N909" s="876"/>
      <c r="O909" s="876"/>
      <c r="P909" s="876"/>
      <c r="Q909" s="870"/>
      <c r="R909" s="870"/>
      <c r="S909" s="870"/>
      <c r="T909" s="870"/>
      <c r="U909" s="870"/>
      <c r="V909" s="870"/>
      <c r="W909" s="870"/>
      <c r="X909" s="870"/>
      <c r="Y909" s="870"/>
      <c r="Z909" s="870"/>
      <c r="AA909" s="870"/>
      <c r="AB909" s="870"/>
      <c r="AC909" s="870"/>
      <c r="AD909" s="870"/>
      <c r="AE909" s="870"/>
      <c r="AF909" s="870"/>
      <c r="AG909" s="870"/>
    </row>
    <row r="910" spans="1:33" s="995" customFormat="1">
      <c r="A910" s="974"/>
      <c r="D910" s="876"/>
      <c r="E910" s="974"/>
      <c r="F910" s="876"/>
      <c r="G910" s="876"/>
      <c r="H910" s="876"/>
      <c r="I910" s="876"/>
      <c r="J910" s="876"/>
      <c r="K910" s="876"/>
      <c r="L910" s="876"/>
      <c r="M910" s="876"/>
      <c r="N910" s="876"/>
      <c r="O910" s="876"/>
      <c r="P910" s="876"/>
      <c r="Q910" s="870"/>
      <c r="R910" s="870"/>
      <c r="S910" s="870"/>
      <c r="T910" s="870"/>
      <c r="U910" s="870"/>
      <c r="V910" s="870"/>
      <c r="W910" s="870"/>
      <c r="X910" s="870"/>
      <c r="Y910" s="870"/>
      <c r="Z910" s="870"/>
      <c r="AA910" s="870"/>
      <c r="AB910" s="870"/>
      <c r="AC910" s="870"/>
      <c r="AD910" s="870"/>
      <c r="AE910" s="870"/>
      <c r="AF910" s="870"/>
      <c r="AG910" s="870"/>
    </row>
    <row r="911" spans="1:33" s="995" customFormat="1">
      <c r="A911" s="974"/>
      <c r="D911" s="876"/>
      <c r="E911" s="974"/>
      <c r="F911" s="876"/>
      <c r="G911" s="876"/>
      <c r="H911" s="876"/>
      <c r="I911" s="876"/>
      <c r="J911" s="876"/>
      <c r="K911" s="876"/>
      <c r="L911" s="876"/>
      <c r="M911" s="876"/>
      <c r="N911" s="876"/>
      <c r="O911" s="876"/>
      <c r="P911" s="876"/>
      <c r="Q911" s="870"/>
      <c r="R911" s="870"/>
      <c r="S911" s="870"/>
      <c r="T911" s="870"/>
      <c r="U911" s="870"/>
      <c r="V911" s="870"/>
      <c r="W911" s="870"/>
      <c r="X911" s="870"/>
      <c r="Y911" s="870"/>
      <c r="Z911" s="870"/>
      <c r="AA911" s="870"/>
      <c r="AB911" s="870"/>
      <c r="AC911" s="870"/>
      <c r="AD911" s="870"/>
      <c r="AE911" s="870"/>
      <c r="AF911" s="870"/>
      <c r="AG911" s="870"/>
    </row>
    <row r="912" spans="1:33" s="995" customFormat="1">
      <c r="A912" s="974"/>
      <c r="D912" s="876"/>
      <c r="E912" s="974"/>
      <c r="F912" s="876"/>
      <c r="G912" s="876"/>
      <c r="H912" s="876"/>
      <c r="I912" s="876"/>
      <c r="J912" s="876"/>
      <c r="K912" s="876"/>
      <c r="L912" s="876"/>
      <c r="M912" s="876"/>
      <c r="N912" s="876"/>
      <c r="O912" s="876"/>
      <c r="P912" s="876"/>
      <c r="Q912" s="870"/>
      <c r="R912" s="870"/>
      <c r="S912" s="870"/>
      <c r="T912" s="870"/>
      <c r="U912" s="870"/>
      <c r="V912" s="870"/>
      <c r="W912" s="870"/>
      <c r="X912" s="870"/>
      <c r="Y912" s="870"/>
      <c r="Z912" s="870"/>
      <c r="AA912" s="870"/>
      <c r="AB912" s="870"/>
      <c r="AC912" s="870"/>
      <c r="AD912" s="870"/>
      <c r="AE912" s="870"/>
      <c r="AF912" s="870"/>
      <c r="AG912" s="870"/>
    </row>
    <row r="913" spans="1:33" s="995" customFormat="1">
      <c r="A913" s="974"/>
      <c r="D913" s="876"/>
      <c r="E913" s="974"/>
      <c r="F913" s="876"/>
      <c r="G913" s="876"/>
      <c r="H913" s="876"/>
      <c r="I913" s="876"/>
      <c r="J913" s="876"/>
      <c r="K913" s="876"/>
      <c r="L913" s="876"/>
      <c r="M913" s="876"/>
      <c r="N913" s="876"/>
      <c r="O913" s="876"/>
      <c r="P913" s="876"/>
      <c r="Q913" s="870"/>
      <c r="R913" s="870"/>
      <c r="S913" s="870"/>
      <c r="T913" s="870"/>
      <c r="U913" s="870"/>
      <c r="V913" s="870"/>
      <c r="W913" s="870"/>
      <c r="X913" s="870"/>
      <c r="Y913" s="870"/>
      <c r="Z913" s="870"/>
      <c r="AA913" s="870"/>
      <c r="AB913" s="870"/>
      <c r="AC913" s="870"/>
      <c r="AD913" s="870"/>
      <c r="AE913" s="870"/>
      <c r="AF913" s="870"/>
      <c r="AG913" s="870"/>
    </row>
    <row r="914" spans="1:33" s="995" customFormat="1">
      <c r="A914" s="974"/>
      <c r="D914" s="876"/>
      <c r="E914" s="974"/>
      <c r="F914" s="876"/>
      <c r="G914" s="876"/>
      <c r="H914" s="876"/>
      <c r="I914" s="876"/>
      <c r="J914" s="876"/>
      <c r="K914" s="876"/>
      <c r="L914" s="876"/>
      <c r="M914" s="876"/>
      <c r="N914" s="876"/>
      <c r="O914" s="876"/>
      <c r="P914" s="876"/>
      <c r="Q914" s="870"/>
      <c r="R914" s="870"/>
      <c r="S914" s="870"/>
      <c r="T914" s="870"/>
      <c r="U914" s="870"/>
      <c r="V914" s="870"/>
      <c r="W914" s="870"/>
      <c r="X914" s="870"/>
      <c r="Y914" s="870"/>
      <c r="Z914" s="870"/>
      <c r="AA914" s="870"/>
      <c r="AB914" s="870"/>
      <c r="AC914" s="870"/>
      <c r="AD914" s="870"/>
      <c r="AE914" s="870"/>
      <c r="AF914" s="870"/>
      <c r="AG914" s="870"/>
    </row>
    <row r="915" spans="1:33" s="995" customFormat="1">
      <c r="A915" s="974"/>
      <c r="D915" s="876"/>
      <c r="E915" s="974"/>
      <c r="F915" s="876"/>
      <c r="G915" s="876"/>
      <c r="H915" s="876"/>
      <c r="I915" s="876"/>
      <c r="J915" s="876"/>
      <c r="K915" s="876"/>
      <c r="L915" s="876"/>
      <c r="M915" s="876"/>
      <c r="N915" s="876"/>
      <c r="O915" s="876"/>
      <c r="P915" s="876"/>
      <c r="Q915" s="870"/>
      <c r="R915" s="870"/>
      <c r="S915" s="870"/>
      <c r="T915" s="870"/>
      <c r="U915" s="870"/>
      <c r="V915" s="870"/>
      <c r="W915" s="870"/>
      <c r="X915" s="870"/>
      <c r="Y915" s="870"/>
      <c r="Z915" s="870"/>
      <c r="AA915" s="870"/>
      <c r="AB915" s="870"/>
      <c r="AC915" s="870"/>
      <c r="AD915" s="870"/>
      <c r="AE915" s="870"/>
      <c r="AF915" s="870"/>
      <c r="AG915" s="870"/>
    </row>
    <row r="916" spans="1:33" s="995" customFormat="1">
      <c r="A916" s="974"/>
      <c r="D916" s="876"/>
      <c r="E916" s="974"/>
      <c r="F916" s="876"/>
      <c r="G916" s="876"/>
      <c r="H916" s="876"/>
      <c r="I916" s="876"/>
      <c r="J916" s="876"/>
      <c r="K916" s="876"/>
      <c r="L916" s="876"/>
      <c r="M916" s="876"/>
      <c r="N916" s="876"/>
      <c r="O916" s="876"/>
      <c r="P916" s="876"/>
      <c r="Q916" s="870"/>
      <c r="R916" s="870"/>
      <c r="S916" s="870"/>
      <c r="T916" s="870"/>
      <c r="U916" s="870"/>
      <c r="V916" s="870"/>
      <c r="W916" s="870"/>
      <c r="X916" s="870"/>
      <c r="Y916" s="870"/>
      <c r="Z916" s="870"/>
      <c r="AA916" s="870"/>
      <c r="AB916" s="870"/>
      <c r="AC916" s="870"/>
      <c r="AD916" s="870"/>
      <c r="AE916" s="870"/>
      <c r="AF916" s="870"/>
      <c r="AG916" s="870"/>
    </row>
    <row r="917" spans="1:33" s="995" customFormat="1">
      <c r="A917" s="974"/>
      <c r="D917" s="876"/>
      <c r="E917" s="974"/>
      <c r="F917" s="876"/>
      <c r="G917" s="876"/>
      <c r="H917" s="876"/>
      <c r="I917" s="876"/>
      <c r="J917" s="876"/>
      <c r="K917" s="876"/>
      <c r="L917" s="876"/>
      <c r="M917" s="876"/>
      <c r="N917" s="876"/>
      <c r="O917" s="876"/>
      <c r="P917" s="876"/>
      <c r="Q917" s="870"/>
      <c r="R917" s="870"/>
      <c r="S917" s="870"/>
      <c r="T917" s="870"/>
      <c r="U917" s="870"/>
      <c r="V917" s="870"/>
      <c r="W917" s="870"/>
      <c r="X917" s="870"/>
      <c r="Y917" s="870"/>
      <c r="Z917" s="870"/>
      <c r="AA917" s="870"/>
      <c r="AB917" s="870"/>
      <c r="AC917" s="870"/>
      <c r="AD917" s="870"/>
      <c r="AE917" s="870"/>
      <c r="AF917" s="870"/>
      <c r="AG917" s="870"/>
    </row>
    <row r="918" spans="1:33" s="995" customFormat="1">
      <c r="A918" s="974"/>
      <c r="D918" s="876"/>
      <c r="E918" s="974"/>
      <c r="F918" s="876"/>
      <c r="G918" s="876"/>
      <c r="H918" s="876"/>
      <c r="I918" s="876"/>
      <c r="J918" s="876"/>
      <c r="K918" s="876"/>
      <c r="L918" s="876"/>
      <c r="M918" s="876"/>
      <c r="N918" s="876"/>
      <c r="O918" s="876"/>
      <c r="P918" s="876"/>
      <c r="Q918" s="870"/>
      <c r="R918" s="870"/>
      <c r="S918" s="870"/>
      <c r="T918" s="870"/>
      <c r="U918" s="870"/>
      <c r="V918" s="870"/>
      <c r="W918" s="870"/>
      <c r="X918" s="870"/>
      <c r="Y918" s="870"/>
      <c r="Z918" s="870"/>
      <c r="AA918" s="870"/>
      <c r="AB918" s="870"/>
      <c r="AC918" s="870"/>
      <c r="AD918" s="870"/>
      <c r="AE918" s="870"/>
      <c r="AF918" s="870"/>
      <c r="AG918" s="870"/>
    </row>
    <row r="919" spans="1:33" s="995" customFormat="1">
      <c r="A919" s="974"/>
      <c r="D919" s="876"/>
      <c r="E919" s="974"/>
      <c r="F919" s="876"/>
      <c r="G919" s="876"/>
      <c r="H919" s="876"/>
      <c r="I919" s="876"/>
      <c r="J919" s="876"/>
      <c r="K919" s="876"/>
      <c r="L919" s="876"/>
      <c r="M919" s="876"/>
      <c r="N919" s="876"/>
      <c r="O919" s="876"/>
      <c r="P919" s="876"/>
      <c r="Q919" s="870"/>
      <c r="R919" s="870"/>
      <c r="S919" s="870"/>
      <c r="T919" s="870"/>
      <c r="U919" s="870"/>
      <c r="V919" s="870"/>
      <c r="W919" s="870"/>
      <c r="X919" s="870"/>
      <c r="Y919" s="870"/>
      <c r="Z919" s="870"/>
      <c r="AA919" s="870"/>
      <c r="AB919" s="870"/>
      <c r="AC919" s="870"/>
      <c r="AD919" s="870"/>
      <c r="AE919" s="870"/>
      <c r="AF919" s="870"/>
      <c r="AG919" s="870"/>
    </row>
    <row r="920" spans="1:33" s="995" customFormat="1">
      <c r="A920" s="974"/>
      <c r="D920" s="876"/>
      <c r="E920" s="974"/>
      <c r="F920" s="876"/>
      <c r="G920" s="876"/>
      <c r="H920" s="876"/>
      <c r="I920" s="876"/>
      <c r="J920" s="876"/>
      <c r="K920" s="876"/>
      <c r="L920" s="876"/>
      <c r="M920" s="876"/>
      <c r="N920" s="876"/>
      <c r="O920" s="876"/>
      <c r="P920" s="876"/>
      <c r="Q920" s="870"/>
      <c r="R920" s="870"/>
      <c r="S920" s="870"/>
      <c r="T920" s="870"/>
      <c r="U920" s="870"/>
      <c r="V920" s="870"/>
      <c r="W920" s="870"/>
      <c r="X920" s="870"/>
      <c r="Y920" s="870"/>
      <c r="Z920" s="870"/>
      <c r="AA920" s="870"/>
      <c r="AB920" s="870"/>
      <c r="AC920" s="870"/>
      <c r="AD920" s="870"/>
      <c r="AE920" s="870"/>
      <c r="AF920" s="870"/>
      <c r="AG920" s="870"/>
    </row>
    <row r="921" spans="1:33" s="995" customFormat="1">
      <c r="A921" s="974"/>
      <c r="D921" s="876"/>
      <c r="E921" s="974"/>
      <c r="F921" s="876"/>
      <c r="G921" s="876"/>
      <c r="H921" s="876"/>
      <c r="I921" s="876"/>
      <c r="J921" s="876"/>
      <c r="K921" s="876"/>
      <c r="L921" s="876"/>
      <c r="M921" s="876"/>
      <c r="N921" s="876"/>
      <c r="O921" s="876"/>
      <c r="P921" s="876"/>
      <c r="Q921" s="870"/>
      <c r="R921" s="870"/>
      <c r="S921" s="870"/>
      <c r="T921" s="870"/>
      <c r="U921" s="870"/>
      <c r="V921" s="870"/>
      <c r="W921" s="870"/>
      <c r="X921" s="870"/>
      <c r="Y921" s="870"/>
      <c r="Z921" s="870"/>
      <c r="AA921" s="870"/>
      <c r="AB921" s="870"/>
      <c r="AC921" s="870"/>
      <c r="AD921" s="870"/>
      <c r="AE921" s="870"/>
      <c r="AF921" s="870"/>
      <c r="AG921" s="870"/>
    </row>
    <row r="922" spans="1:33" s="995" customFormat="1">
      <c r="A922" s="974"/>
      <c r="D922" s="876"/>
      <c r="E922" s="974"/>
      <c r="F922" s="876"/>
      <c r="G922" s="876"/>
      <c r="H922" s="876"/>
      <c r="I922" s="876"/>
      <c r="J922" s="876"/>
      <c r="K922" s="876"/>
      <c r="L922" s="876"/>
      <c r="M922" s="876"/>
      <c r="N922" s="876"/>
      <c r="O922" s="876"/>
      <c r="P922" s="876"/>
      <c r="Q922" s="870"/>
      <c r="R922" s="870"/>
      <c r="S922" s="870"/>
      <c r="T922" s="870"/>
      <c r="U922" s="870"/>
      <c r="V922" s="870"/>
      <c r="W922" s="870"/>
      <c r="X922" s="870"/>
      <c r="Y922" s="870"/>
      <c r="Z922" s="870"/>
      <c r="AA922" s="870"/>
      <c r="AB922" s="870"/>
      <c r="AC922" s="870"/>
      <c r="AD922" s="870"/>
      <c r="AE922" s="870"/>
      <c r="AF922" s="870"/>
      <c r="AG922" s="870"/>
    </row>
    <row r="923" spans="1:33" s="995" customFormat="1">
      <c r="A923" s="974"/>
      <c r="D923" s="876"/>
      <c r="E923" s="974"/>
      <c r="F923" s="876"/>
      <c r="G923" s="876"/>
      <c r="H923" s="876"/>
      <c r="I923" s="876"/>
      <c r="J923" s="876"/>
      <c r="K923" s="876"/>
      <c r="L923" s="876"/>
      <c r="M923" s="876"/>
      <c r="N923" s="876"/>
      <c r="O923" s="876"/>
      <c r="P923" s="876"/>
      <c r="Q923" s="870"/>
      <c r="R923" s="870"/>
      <c r="S923" s="870"/>
      <c r="T923" s="870"/>
      <c r="U923" s="870"/>
      <c r="V923" s="870"/>
      <c r="W923" s="870"/>
      <c r="X923" s="870"/>
      <c r="Y923" s="870"/>
      <c r="Z923" s="870"/>
      <c r="AA923" s="870"/>
      <c r="AB923" s="870"/>
      <c r="AC923" s="870"/>
      <c r="AD923" s="870"/>
      <c r="AE923" s="870"/>
      <c r="AF923" s="870"/>
      <c r="AG923" s="870"/>
    </row>
    <row r="924" spans="1:33" s="995" customFormat="1">
      <c r="A924" s="974"/>
      <c r="D924" s="876"/>
      <c r="E924" s="974"/>
      <c r="F924" s="876"/>
      <c r="G924" s="876"/>
      <c r="H924" s="876"/>
      <c r="I924" s="876"/>
      <c r="J924" s="876"/>
      <c r="K924" s="876"/>
      <c r="L924" s="876"/>
      <c r="M924" s="876"/>
      <c r="N924" s="876"/>
      <c r="O924" s="876"/>
      <c r="P924" s="876"/>
      <c r="Q924" s="870"/>
      <c r="R924" s="870"/>
      <c r="S924" s="870"/>
      <c r="T924" s="870"/>
      <c r="U924" s="870"/>
      <c r="V924" s="870"/>
      <c r="W924" s="870"/>
      <c r="X924" s="870"/>
      <c r="Y924" s="870"/>
      <c r="Z924" s="870"/>
      <c r="AA924" s="870"/>
      <c r="AB924" s="870"/>
      <c r="AC924" s="870"/>
      <c r="AD924" s="870"/>
      <c r="AE924" s="870"/>
      <c r="AF924" s="870"/>
      <c r="AG924" s="870"/>
    </row>
    <row r="925" spans="1:33" s="995" customFormat="1">
      <c r="A925" s="974"/>
      <c r="D925" s="876"/>
      <c r="E925" s="974"/>
      <c r="F925" s="876"/>
      <c r="G925" s="876"/>
      <c r="H925" s="876"/>
      <c r="I925" s="876"/>
      <c r="J925" s="876"/>
      <c r="K925" s="876"/>
      <c r="L925" s="876"/>
      <c r="M925" s="876"/>
      <c r="N925" s="876"/>
      <c r="O925" s="876"/>
      <c r="P925" s="876"/>
      <c r="Q925" s="870"/>
      <c r="R925" s="870"/>
      <c r="S925" s="870"/>
      <c r="T925" s="870"/>
      <c r="U925" s="870"/>
      <c r="V925" s="870"/>
      <c r="W925" s="870"/>
      <c r="X925" s="870"/>
      <c r="Y925" s="870"/>
      <c r="Z925" s="870"/>
      <c r="AA925" s="870"/>
      <c r="AB925" s="870"/>
      <c r="AC925" s="870"/>
      <c r="AD925" s="870"/>
      <c r="AE925" s="870"/>
      <c r="AF925" s="870"/>
      <c r="AG925" s="870"/>
    </row>
    <row r="926" spans="1:33" s="995" customFormat="1">
      <c r="A926" s="974"/>
      <c r="D926" s="876"/>
      <c r="E926" s="974"/>
      <c r="F926" s="876"/>
      <c r="G926" s="876"/>
      <c r="H926" s="876"/>
      <c r="I926" s="876"/>
      <c r="J926" s="876"/>
      <c r="K926" s="876"/>
      <c r="L926" s="876"/>
      <c r="M926" s="876"/>
      <c r="N926" s="876"/>
      <c r="O926" s="876"/>
      <c r="P926" s="876"/>
      <c r="Q926" s="870"/>
      <c r="R926" s="870"/>
      <c r="S926" s="870"/>
      <c r="T926" s="870"/>
      <c r="U926" s="870"/>
      <c r="V926" s="870"/>
      <c r="W926" s="870"/>
      <c r="X926" s="870"/>
      <c r="Y926" s="870"/>
      <c r="Z926" s="870"/>
      <c r="AA926" s="870"/>
      <c r="AB926" s="870"/>
      <c r="AC926" s="870"/>
      <c r="AD926" s="870"/>
      <c r="AE926" s="870"/>
      <c r="AF926" s="870"/>
      <c r="AG926" s="870"/>
    </row>
    <row r="927" spans="1:33" s="995" customFormat="1">
      <c r="A927" s="974"/>
      <c r="D927" s="876"/>
      <c r="E927" s="974"/>
      <c r="F927" s="876"/>
      <c r="G927" s="876"/>
      <c r="H927" s="876"/>
      <c r="I927" s="876"/>
      <c r="J927" s="876"/>
      <c r="K927" s="876"/>
      <c r="L927" s="876"/>
      <c r="M927" s="876"/>
      <c r="N927" s="876"/>
      <c r="O927" s="876"/>
      <c r="P927" s="876"/>
      <c r="Q927" s="870"/>
      <c r="R927" s="870"/>
      <c r="S927" s="870"/>
      <c r="T927" s="870"/>
      <c r="U927" s="870"/>
      <c r="V927" s="870"/>
      <c r="W927" s="870"/>
      <c r="X927" s="870"/>
      <c r="Y927" s="870"/>
      <c r="Z927" s="870"/>
      <c r="AA927" s="870"/>
      <c r="AB927" s="870"/>
      <c r="AC927" s="870"/>
      <c r="AD927" s="870"/>
      <c r="AE927" s="870"/>
      <c r="AF927" s="870"/>
      <c r="AG927" s="870"/>
    </row>
    <row r="928" spans="1:33" s="995" customFormat="1">
      <c r="A928" s="974"/>
      <c r="D928" s="876"/>
      <c r="E928" s="974"/>
      <c r="F928" s="876"/>
      <c r="G928" s="876"/>
      <c r="H928" s="876"/>
      <c r="I928" s="876"/>
      <c r="J928" s="876"/>
      <c r="K928" s="876"/>
      <c r="L928" s="876"/>
      <c r="M928" s="876"/>
      <c r="N928" s="876"/>
      <c r="O928" s="876"/>
      <c r="P928" s="876"/>
      <c r="Q928" s="870"/>
      <c r="R928" s="870"/>
      <c r="S928" s="870"/>
      <c r="T928" s="870"/>
      <c r="U928" s="870"/>
      <c r="V928" s="870"/>
      <c r="W928" s="870"/>
      <c r="X928" s="870"/>
      <c r="Y928" s="870"/>
      <c r="Z928" s="870"/>
      <c r="AA928" s="870"/>
      <c r="AB928" s="870"/>
      <c r="AC928" s="870"/>
      <c r="AD928" s="870"/>
      <c r="AE928" s="870"/>
      <c r="AF928" s="870"/>
      <c r="AG928" s="870"/>
    </row>
    <row r="929" spans="1:33" s="995" customFormat="1">
      <c r="A929" s="974"/>
      <c r="D929" s="876"/>
      <c r="E929" s="974"/>
      <c r="F929" s="876"/>
      <c r="G929" s="876"/>
      <c r="H929" s="876"/>
      <c r="I929" s="876"/>
      <c r="J929" s="876"/>
      <c r="K929" s="876"/>
      <c r="L929" s="876"/>
      <c r="M929" s="876"/>
      <c r="N929" s="876"/>
      <c r="O929" s="876"/>
      <c r="P929" s="876"/>
      <c r="Q929" s="870"/>
      <c r="R929" s="870"/>
      <c r="S929" s="870"/>
      <c r="T929" s="870"/>
      <c r="U929" s="870"/>
      <c r="V929" s="870"/>
      <c r="W929" s="870"/>
      <c r="X929" s="870"/>
      <c r="Y929" s="870"/>
      <c r="Z929" s="870"/>
      <c r="AA929" s="870"/>
      <c r="AB929" s="870"/>
      <c r="AC929" s="870"/>
      <c r="AD929" s="870"/>
      <c r="AE929" s="870"/>
      <c r="AF929" s="870"/>
      <c r="AG929" s="870"/>
    </row>
    <row r="930" spans="1:33" s="995" customFormat="1">
      <c r="A930" s="974"/>
      <c r="D930" s="876"/>
      <c r="E930" s="974"/>
      <c r="F930" s="876"/>
      <c r="G930" s="876"/>
      <c r="H930" s="876"/>
      <c r="I930" s="876"/>
      <c r="J930" s="876"/>
      <c r="K930" s="876"/>
      <c r="L930" s="876"/>
      <c r="M930" s="876"/>
      <c r="N930" s="876"/>
      <c r="O930" s="876"/>
      <c r="P930" s="876"/>
      <c r="Q930" s="870"/>
      <c r="R930" s="870"/>
      <c r="S930" s="870"/>
      <c r="T930" s="870"/>
      <c r="U930" s="870"/>
      <c r="V930" s="870"/>
      <c r="W930" s="870"/>
      <c r="X930" s="870"/>
      <c r="Y930" s="870"/>
      <c r="Z930" s="870"/>
      <c r="AA930" s="870"/>
      <c r="AB930" s="870"/>
      <c r="AC930" s="870"/>
      <c r="AD930" s="870"/>
      <c r="AE930" s="870"/>
      <c r="AF930" s="870"/>
      <c r="AG930" s="870"/>
    </row>
    <row r="931" spans="1:33" s="995" customFormat="1">
      <c r="A931" s="974"/>
      <c r="D931" s="876"/>
      <c r="E931" s="974"/>
      <c r="F931" s="876"/>
      <c r="G931" s="876"/>
      <c r="H931" s="876"/>
      <c r="I931" s="876"/>
      <c r="J931" s="876"/>
      <c r="K931" s="876"/>
      <c r="L931" s="876"/>
      <c r="M931" s="876"/>
      <c r="N931" s="876"/>
      <c r="O931" s="876"/>
      <c r="P931" s="876"/>
      <c r="Q931" s="870"/>
      <c r="R931" s="870"/>
      <c r="S931" s="870"/>
      <c r="T931" s="870"/>
      <c r="U931" s="870"/>
      <c r="V931" s="870"/>
      <c r="W931" s="870"/>
      <c r="X931" s="870"/>
      <c r="Y931" s="870"/>
      <c r="Z931" s="870"/>
      <c r="AA931" s="870"/>
      <c r="AB931" s="870"/>
      <c r="AC931" s="870"/>
      <c r="AD931" s="870"/>
      <c r="AE931" s="870"/>
      <c r="AF931" s="870"/>
      <c r="AG931" s="870"/>
    </row>
    <row r="932" spans="1:33" s="995" customFormat="1">
      <c r="A932" s="974"/>
      <c r="D932" s="876"/>
      <c r="E932" s="974"/>
      <c r="F932" s="876"/>
      <c r="G932" s="876"/>
      <c r="H932" s="876"/>
      <c r="I932" s="876"/>
      <c r="J932" s="876"/>
      <c r="K932" s="876"/>
      <c r="L932" s="876"/>
      <c r="M932" s="876"/>
      <c r="N932" s="876"/>
      <c r="O932" s="876"/>
      <c r="P932" s="876"/>
      <c r="Q932" s="870"/>
      <c r="R932" s="870"/>
      <c r="S932" s="870"/>
      <c r="T932" s="870"/>
      <c r="U932" s="870"/>
      <c r="V932" s="870"/>
      <c r="W932" s="870"/>
      <c r="X932" s="870"/>
      <c r="Y932" s="870"/>
      <c r="Z932" s="870"/>
      <c r="AA932" s="870"/>
      <c r="AB932" s="870"/>
      <c r="AC932" s="870"/>
      <c r="AD932" s="870"/>
      <c r="AE932" s="870"/>
      <c r="AF932" s="870"/>
      <c r="AG932" s="870"/>
    </row>
    <row r="933" spans="1:33" s="995" customFormat="1">
      <c r="A933" s="974"/>
      <c r="D933" s="876"/>
      <c r="E933" s="974"/>
      <c r="F933" s="876"/>
      <c r="G933" s="876"/>
      <c r="H933" s="876"/>
      <c r="I933" s="876"/>
      <c r="J933" s="876"/>
      <c r="K933" s="876"/>
      <c r="L933" s="876"/>
      <c r="M933" s="876"/>
      <c r="N933" s="876"/>
      <c r="O933" s="876"/>
      <c r="P933" s="876"/>
      <c r="Q933" s="870"/>
      <c r="R933" s="870"/>
      <c r="S933" s="870"/>
      <c r="T933" s="870"/>
      <c r="U933" s="870"/>
      <c r="V933" s="870"/>
      <c r="W933" s="870"/>
      <c r="X933" s="870"/>
      <c r="Y933" s="870"/>
      <c r="Z933" s="870"/>
      <c r="AA933" s="870"/>
      <c r="AB933" s="870"/>
      <c r="AC933" s="870"/>
      <c r="AD933" s="870"/>
      <c r="AE933" s="870"/>
      <c r="AF933" s="870"/>
      <c r="AG933" s="870"/>
    </row>
    <row r="934" spans="1:33" s="995" customFormat="1">
      <c r="A934" s="974"/>
      <c r="D934" s="876"/>
      <c r="E934" s="974"/>
      <c r="F934" s="876"/>
      <c r="G934" s="876"/>
      <c r="H934" s="876"/>
      <c r="I934" s="876"/>
      <c r="J934" s="876"/>
      <c r="K934" s="876"/>
      <c r="L934" s="876"/>
      <c r="M934" s="876"/>
      <c r="N934" s="876"/>
      <c r="O934" s="876"/>
      <c r="P934" s="876"/>
      <c r="Q934" s="870"/>
      <c r="R934" s="870"/>
      <c r="S934" s="870"/>
      <c r="T934" s="870"/>
      <c r="U934" s="870"/>
      <c r="V934" s="870"/>
      <c r="W934" s="870"/>
      <c r="X934" s="870"/>
      <c r="Y934" s="870"/>
      <c r="Z934" s="870"/>
      <c r="AA934" s="870"/>
      <c r="AB934" s="870"/>
      <c r="AC934" s="870"/>
      <c r="AD934" s="870"/>
      <c r="AE934" s="870"/>
      <c r="AF934" s="870"/>
      <c r="AG934" s="870"/>
    </row>
    <row r="935" spans="1:33" s="995" customFormat="1">
      <c r="A935" s="974"/>
      <c r="D935" s="876"/>
      <c r="E935" s="974"/>
      <c r="F935" s="876"/>
      <c r="G935" s="876"/>
      <c r="H935" s="876"/>
      <c r="I935" s="876"/>
      <c r="J935" s="876"/>
      <c r="K935" s="876"/>
      <c r="L935" s="876"/>
      <c r="M935" s="876"/>
      <c r="N935" s="876"/>
      <c r="O935" s="876"/>
      <c r="P935" s="876"/>
      <c r="Q935" s="870"/>
      <c r="R935" s="870"/>
      <c r="S935" s="870"/>
      <c r="T935" s="870"/>
      <c r="U935" s="870"/>
      <c r="V935" s="870"/>
      <c r="W935" s="870"/>
      <c r="X935" s="870"/>
      <c r="Y935" s="870"/>
      <c r="Z935" s="870"/>
      <c r="AA935" s="870"/>
      <c r="AB935" s="870"/>
      <c r="AC935" s="870"/>
      <c r="AD935" s="870"/>
      <c r="AE935" s="870"/>
      <c r="AF935" s="870"/>
      <c r="AG935" s="870"/>
    </row>
    <row r="936" spans="1:33" s="995" customFormat="1">
      <c r="A936" s="974"/>
      <c r="D936" s="876"/>
      <c r="E936" s="974"/>
      <c r="F936" s="876"/>
      <c r="G936" s="876"/>
      <c r="H936" s="876"/>
      <c r="I936" s="876"/>
      <c r="J936" s="876"/>
      <c r="K936" s="876"/>
      <c r="L936" s="876"/>
      <c r="M936" s="876"/>
      <c r="N936" s="876"/>
      <c r="O936" s="876"/>
      <c r="P936" s="876"/>
      <c r="Q936" s="870"/>
      <c r="R936" s="870"/>
      <c r="S936" s="870"/>
      <c r="T936" s="870"/>
      <c r="U936" s="870"/>
      <c r="V936" s="870"/>
      <c r="W936" s="870"/>
      <c r="X936" s="870"/>
      <c r="Y936" s="870"/>
      <c r="Z936" s="870"/>
      <c r="AA936" s="870"/>
      <c r="AB936" s="870"/>
      <c r="AC936" s="870"/>
      <c r="AD936" s="870"/>
      <c r="AE936" s="870"/>
      <c r="AF936" s="870"/>
      <c r="AG936" s="870"/>
    </row>
    <row r="937" spans="1:33" s="995" customFormat="1">
      <c r="A937" s="974"/>
      <c r="D937" s="876"/>
      <c r="E937" s="974"/>
      <c r="F937" s="876"/>
      <c r="G937" s="876"/>
      <c r="H937" s="876"/>
      <c r="I937" s="876"/>
      <c r="J937" s="876"/>
      <c r="K937" s="876"/>
      <c r="L937" s="876"/>
      <c r="M937" s="876"/>
      <c r="N937" s="876"/>
      <c r="O937" s="876"/>
      <c r="P937" s="876"/>
      <c r="Q937" s="870"/>
      <c r="R937" s="870"/>
      <c r="S937" s="870"/>
      <c r="T937" s="870"/>
      <c r="U937" s="870"/>
      <c r="V937" s="870"/>
      <c r="W937" s="870"/>
      <c r="X937" s="870"/>
      <c r="Y937" s="870"/>
      <c r="Z937" s="870"/>
      <c r="AA937" s="870"/>
      <c r="AB937" s="870"/>
      <c r="AC937" s="870"/>
      <c r="AD937" s="870"/>
      <c r="AE937" s="870"/>
      <c r="AF937" s="870"/>
      <c r="AG937" s="870"/>
    </row>
    <row r="938" spans="1:33" s="995" customFormat="1">
      <c r="A938" s="974"/>
      <c r="D938" s="876"/>
      <c r="E938" s="974"/>
      <c r="F938" s="876"/>
      <c r="G938" s="876"/>
      <c r="H938" s="876"/>
      <c r="I938" s="876"/>
      <c r="J938" s="876"/>
      <c r="K938" s="876"/>
      <c r="L938" s="876"/>
      <c r="M938" s="876"/>
      <c r="N938" s="876"/>
      <c r="O938" s="876"/>
      <c r="P938" s="876"/>
      <c r="Q938" s="870"/>
      <c r="R938" s="870"/>
      <c r="S938" s="870"/>
      <c r="T938" s="870"/>
      <c r="U938" s="870"/>
      <c r="V938" s="870"/>
      <c r="W938" s="870"/>
      <c r="X938" s="870"/>
      <c r="Y938" s="870"/>
      <c r="Z938" s="870"/>
      <c r="AA938" s="870"/>
      <c r="AB938" s="870"/>
      <c r="AC938" s="870"/>
      <c r="AD938" s="870"/>
      <c r="AE938" s="870"/>
      <c r="AF938" s="870"/>
      <c r="AG938" s="870"/>
    </row>
    <row r="939" spans="1:33" s="995" customFormat="1">
      <c r="A939" s="974"/>
      <c r="D939" s="876"/>
      <c r="E939" s="974"/>
      <c r="F939" s="876"/>
      <c r="G939" s="876"/>
      <c r="H939" s="876"/>
      <c r="I939" s="876"/>
      <c r="J939" s="876"/>
      <c r="K939" s="876"/>
      <c r="L939" s="876"/>
      <c r="M939" s="876"/>
      <c r="N939" s="876"/>
      <c r="O939" s="876"/>
      <c r="P939" s="876"/>
      <c r="Q939" s="870"/>
      <c r="R939" s="870"/>
      <c r="S939" s="870"/>
      <c r="T939" s="870"/>
      <c r="U939" s="870"/>
      <c r="V939" s="870"/>
      <c r="W939" s="870"/>
      <c r="X939" s="870"/>
      <c r="Y939" s="870"/>
      <c r="Z939" s="870"/>
      <c r="AA939" s="870"/>
      <c r="AB939" s="870"/>
      <c r="AC939" s="870"/>
      <c r="AD939" s="870"/>
      <c r="AE939" s="870"/>
      <c r="AF939" s="870"/>
      <c r="AG939" s="870"/>
    </row>
    <row r="940" spans="1:33" s="995" customFormat="1">
      <c r="A940" s="974"/>
      <c r="D940" s="876"/>
      <c r="E940" s="974"/>
      <c r="F940" s="876"/>
      <c r="G940" s="876"/>
      <c r="H940" s="876"/>
      <c r="I940" s="876"/>
      <c r="J940" s="876"/>
      <c r="K940" s="876"/>
      <c r="L940" s="876"/>
      <c r="M940" s="876"/>
      <c r="N940" s="876"/>
      <c r="O940" s="876"/>
      <c r="P940" s="876"/>
      <c r="Q940" s="870"/>
      <c r="R940" s="870"/>
      <c r="S940" s="870"/>
      <c r="T940" s="870"/>
      <c r="U940" s="870"/>
      <c r="V940" s="870"/>
      <c r="W940" s="870"/>
      <c r="X940" s="870"/>
      <c r="Y940" s="870"/>
      <c r="Z940" s="870"/>
      <c r="AA940" s="870"/>
      <c r="AB940" s="870"/>
      <c r="AC940" s="870"/>
      <c r="AD940" s="870"/>
      <c r="AE940" s="870"/>
      <c r="AF940" s="870"/>
      <c r="AG940" s="870"/>
    </row>
    <row r="941" spans="1:33" s="995" customFormat="1">
      <c r="A941" s="974"/>
      <c r="D941" s="876"/>
      <c r="E941" s="974"/>
      <c r="F941" s="876"/>
      <c r="G941" s="876"/>
      <c r="H941" s="876"/>
      <c r="I941" s="876"/>
      <c r="J941" s="876"/>
      <c r="K941" s="876"/>
      <c r="L941" s="876"/>
      <c r="M941" s="876"/>
      <c r="N941" s="876"/>
      <c r="O941" s="876"/>
      <c r="P941" s="876"/>
      <c r="Q941" s="870"/>
      <c r="R941" s="870"/>
      <c r="S941" s="870"/>
      <c r="T941" s="870"/>
      <c r="U941" s="870"/>
      <c r="V941" s="870"/>
      <c r="W941" s="870"/>
      <c r="X941" s="870"/>
      <c r="Y941" s="870"/>
      <c r="Z941" s="870"/>
      <c r="AA941" s="870"/>
      <c r="AB941" s="870"/>
      <c r="AC941" s="870"/>
      <c r="AD941" s="870"/>
      <c r="AE941" s="870"/>
      <c r="AF941" s="870"/>
      <c r="AG941" s="870"/>
    </row>
    <row r="942" spans="1:33" s="995" customFormat="1">
      <c r="A942" s="974"/>
      <c r="D942" s="876"/>
      <c r="E942" s="974"/>
      <c r="F942" s="876"/>
      <c r="G942" s="876"/>
      <c r="H942" s="876"/>
      <c r="I942" s="876"/>
      <c r="J942" s="876"/>
      <c r="K942" s="876"/>
      <c r="L942" s="876"/>
      <c r="M942" s="876"/>
      <c r="N942" s="876"/>
      <c r="O942" s="876"/>
      <c r="P942" s="876"/>
      <c r="Q942" s="870"/>
      <c r="R942" s="870"/>
      <c r="S942" s="870"/>
      <c r="T942" s="870"/>
      <c r="U942" s="870"/>
      <c r="V942" s="870"/>
      <c r="W942" s="870"/>
      <c r="X942" s="870"/>
      <c r="Y942" s="870"/>
      <c r="Z942" s="870"/>
      <c r="AA942" s="870"/>
      <c r="AB942" s="870"/>
      <c r="AC942" s="870"/>
      <c r="AD942" s="870"/>
      <c r="AE942" s="870"/>
      <c r="AF942" s="870"/>
      <c r="AG942" s="870"/>
    </row>
    <row r="943" spans="1:33" s="995" customFormat="1">
      <c r="A943" s="974"/>
      <c r="D943" s="876"/>
      <c r="E943" s="974"/>
      <c r="F943" s="876"/>
      <c r="G943" s="876"/>
      <c r="H943" s="876"/>
      <c r="I943" s="876"/>
      <c r="J943" s="876"/>
      <c r="K943" s="876"/>
      <c r="L943" s="876"/>
      <c r="M943" s="876"/>
      <c r="N943" s="876"/>
      <c r="O943" s="876"/>
      <c r="P943" s="876"/>
      <c r="Q943" s="870"/>
      <c r="R943" s="870"/>
      <c r="S943" s="870"/>
      <c r="T943" s="870"/>
      <c r="U943" s="870"/>
      <c r="V943" s="870"/>
      <c r="W943" s="870"/>
      <c r="X943" s="870"/>
      <c r="Y943" s="870"/>
      <c r="Z943" s="870"/>
      <c r="AA943" s="870"/>
      <c r="AB943" s="870"/>
      <c r="AC943" s="870"/>
      <c r="AD943" s="870"/>
      <c r="AE943" s="870"/>
      <c r="AF943" s="870"/>
      <c r="AG943" s="870"/>
    </row>
    <row r="944" spans="1:33" s="995" customFormat="1">
      <c r="A944" s="974"/>
      <c r="D944" s="876"/>
      <c r="E944" s="974"/>
      <c r="F944" s="876"/>
      <c r="G944" s="876"/>
      <c r="H944" s="876"/>
      <c r="I944" s="876"/>
      <c r="J944" s="876"/>
      <c r="K944" s="876"/>
      <c r="L944" s="876"/>
      <c r="M944" s="876"/>
      <c r="N944" s="876"/>
      <c r="O944" s="876"/>
      <c r="P944" s="876"/>
      <c r="Q944" s="870"/>
      <c r="R944" s="870"/>
      <c r="S944" s="870"/>
      <c r="T944" s="870"/>
      <c r="U944" s="870"/>
      <c r="V944" s="870"/>
      <c r="W944" s="870"/>
      <c r="X944" s="870"/>
      <c r="Y944" s="870"/>
      <c r="Z944" s="870"/>
      <c r="AA944" s="870"/>
      <c r="AB944" s="870"/>
      <c r="AC944" s="870"/>
      <c r="AD944" s="870"/>
      <c r="AE944" s="870"/>
      <c r="AF944" s="870"/>
      <c r="AG944" s="870"/>
    </row>
    <row r="945" spans="1:33" s="995" customFormat="1">
      <c r="A945" s="974"/>
      <c r="D945" s="876"/>
      <c r="E945" s="974"/>
      <c r="F945" s="876"/>
      <c r="G945" s="876"/>
      <c r="H945" s="876"/>
      <c r="I945" s="876"/>
      <c r="J945" s="876"/>
      <c r="K945" s="876"/>
      <c r="L945" s="876"/>
      <c r="M945" s="876"/>
      <c r="N945" s="876"/>
      <c r="O945" s="876"/>
      <c r="P945" s="876"/>
      <c r="Q945" s="870"/>
      <c r="R945" s="870"/>
      <c r="S945" s="870"/>
      <c r="T945" s="870"/>
      <c r="U945" s="870"/>
      <c r="V945" s="870"/>
      <c r="W945" s="870"/>
      <c r="X945" s="870"/>
      <c r="Y945" s="870"/>
      <c r="Z945" s="870"/>
      <c r="AA945" s="870"/>
      <c r="AB945" s="870"/>
      <c r="AC945" s="870"/>
      <c r="AD945" s="870"/>
      <c r="AE945" s="870"/>
      <c r="AF945" s="870"/>
      <c r="AG945" s="870"/>
    </row>
    <row r="946" spans="1:33" s="995" customFormat="1">
      <c r="A946" s="974"/>
      <c r="D946" s="876"/>
      <c r="E946" s="974"/>
      <c r="F946" s="876"/>
      <c r="G946" s="876"/>
      <c r="H946" s="876"/>
      <c r="I946" s="876"/>
      <c r="J946" s="876"/>
      <c r="K946" s="876"/>
      <c r="L946" s="876"/>
      <c r="M946" s="876"/>
      <c r="N946" s="876"/>
      <c r="O946" s="876"/>
      <c r="P946" s="876"/>
      <c r="Q946" s="870"/>
      <c r="R946" s="870"/>
      <c r="S946" s="870"/>
      <c r="T946" s="870"/>
      <c r="U946" s="870"/>
      <c r="V946" s="870"/>
      <c r="W946" s="870"/>
      <c r="X946" s="870"/>
      <c r="Y946" s="870"/>
      <c r="Z946" s="870"/>
      <c r="AA946" s="870"/>
      <c r="AB946" s="870"/>
      <c r="AC946" s="870"/>
      <c r="AD946" s="870"/>
      <c r="AE946" s="870"/>
      <c r="AF946" s="870"/>
      <c r="AG946" s="870"/>
    </row>
    <row r="947" spans="1:33" s="995" customFormat="1">
      <c r="A947" s="974"/>
      <c r="D947" s="876"/>
      <c r="E947" s="974"/>
      <c r="F947" s="876"/>
      <c r="G947" s="876"/>
      <c r="H947" s="876"/>
      <c r="I947" s="876"/>
      <c r="J947" s="876"/>
      <c r="K947" s="876"/>
      <c r="L947" s="876"/>
      <c r="M947" s="876"/>
      <c r="N947" s="876"/>
      <c r="O947" s="876"/>
      <c r="P947" s="876"/>
      <c r="Q947" s="870"/>
      <c r="R947" s="870"/>
      <c r="S947" s="870"/>
      <c r="T947" s="870"/>
      <c r="U947" s="870"/>
      <c r="V947" s="870"/>
      <c r="W947" s="870"/>
      <c r="X947" s="870"/>
      <c r="Y947" s="870"/>
      <c r="Z947" s="870"/>
      <c r="AA947" s="870"/>
      <c r="AB947" s="870"/>
      <c r="AC947" s="870"/>
      <c r="AD947" s="870"/>
      <c r="AE947" s="870"/>
      <c r="AF947" s="870"/>
      <c r="AG947" s="870"/>
    </row>
    <row r="948" spans="1:33" s="995" customFormat="1">
      <c r="A948" s="974"/>
      <c r="D948" s="876"/>
      <c r="E948" s="974"/>
      <c r="F948" s="876"/>
      <c r="G948" s="876"/>
      <c r="H948" s="876"/>
      <c r="I948" s="876"/>
      <c r="J948" s="876"/>
      <c r="K948" s="876"/>
      <c r="L948" s="876"/>
      <c r="M948" s="876"/>
      <c r="N948" s="876"/>
      <c r="O948" s="876"/>
      <c r="P948" s="876"/>
      <c r="Q948" s="870"/>
      <c r="R948" s="870"/>
      <c r="S948" s="870"/>
      <c r="T948" s="870"/>
      <c r="U948" s="870"/>
      <c r="V948" s="870"/>
      <c r="W948" s="870"/>
      <c r="X948" s="870"/>
      <c r="Y948" s="870"/>
      <c r="Z948" s="870"/>
      <c r="AA948" s="870"/>
      <c r="AB948" s="870"/>
      <c r="AC948" s="870"/>
      <c r="AD948" s="870"/>
      <c r="AE948" s="870"/>
      <c r="AF948" s="870"/>
      <c r="AG948" s="870"/>
    </row>
    <row r="949" spans="1:33" s="995" customFormat="1">
      <c r="A949" s="974"/>
      <c r="D949" s="876"/>
      <c r="E949" s="974"/>
      <c r="F949" s="876"/>
      <c r="G949" s="876"/>
      <c r="H949" s="876"/>
      <c r="I949" s="876"/>
      <c r="J949" s="876"/>
      <c r="K949" s="876"/>
      <c r="L949" s="876"/>
      <c r="M949" s="876"/>
      <c r="N949" s="876"/>
      <c r="O949" s="876"/>
      <c r="P949" s="876"/>
      <c r="Q949" s="870"/>
      <c r="R949" s="870"/>
      <c r="S949" s="870"/>
      <c r="T949" s="870"/>
      <c r="U949" s="870"/>
      <c r="V949" s="870"/>
      <c r="W949" s="870"/>
      <c r="X949" s="870"/>
      <c r="Y949" s="870"/>
      <c r="Z949" s="870"/>
      <c r="AA949" s="870"/>
      <c r="AB949" s="870"/>
      <c r="AC949" s="870"/>
      <c r="AD949" s="870"/>
      <c r="AE949" s="870"/>
      <c r="AF949" s="870"/>
      <c r="AG949" s="870"/>
    </row>
    <row r="950" spans="1:33" s="995" customFormat="1">
      <c r="A950" s="974"/>
      <c r="D950" s="876"/>
      <c r="E950" s="974"/>
      <c r="F950" s="876"/>
      <c r="G950" s="876"/>
      <c r="H950" s="876"/>
      <c r="I950" s="876"/>
      <c r="J950" s="876"/>
      <c r="K950" s="876"/>
      <c r="L950" s="876"/>
      <c r="M950" s="876"/>
      <c r="N950" s="876"/>
      <c r="O950" s="876"/>
      <c r="P950" s="876"/>
      <c r="Q950" s="870"/>
      <c r="R950" s="870"/>
      <c r="S950" s="870"/>
      <c r="T950" s="870"/>
      <c r="U950" s="870"/>
      <c r="V950" s="870"/>
      <c r="W950" s="870"/>
      <c r="X950" s="870"/>
      <c r="Y950" s="870"/>
      <c r="Z950" s="870"/>
      <c r="AA950" s="870"/>
      <c r="AB950" s="870"/>
      <c r="AC950" s="870"/>
      <c r="AD950" s="870"/>
      <c r="AE950" s="870"/>
      <c r="AF950" s="870"/>
      <c r="AG950" s="870"/>
    </row>
    <row r="951" spans="1:33" s="995" customFormat="1">
      <c r="A951" s="974"/>
      <c r="D951" s="876"/>
      <c r="E951" s="974"/>
      <c r="F951" s="876"/>
      <c r="G951" s="876"/>
      <c r="H951" s="876"/>
      <c r="I951" s="876"/>
      <c r="J951" s="876"/>
      <c r="K951" s="876"/>
      <c r="L951" s="876"/>
      <c r="M951" s="876"/>
      <c r="N951" s="876"/>
      <c r="O951" s="876"/>
      <c r="P951" s="876"/>
      <c r="Q951" s="870"/>
      <c r="R951" s="870"/>
      <c r="S951" s="870"/>
      <c r="T951" s="870"/>
      <c r="U951" s="870"/>
      <c r="V951" s="870"/>
      <c r="W951" s="870"/>
      <c r="X951" s="870"/>
      <c r="Y951" s="870"/>
      <c r="Z951" s="870"/>
      <c r="AA951" s="870"/>
      <c r="AB951" s="870"/>
      <c r="AC951" s="870"/>
      <c r="AD951" s="870"/>
      <c r="AE951" s="870"/>
      <c r="AF951" s="870"/>
      <c r="AG951" s="870"/>
    </row>
    <row r="952" spans="1:33" s="995" customFormat="1">
      <c r="A952" s="974"/>
      <c r="D952" s="876"/>
      <c r="E952" s="974"/>
      <c r="F952" s="876"/>
      <c r="G952" s="876"/>
      <c r="H952" s="876"/>
      <c r="I952" s="876"/>
      <c r="J952" s="876"/>
      <c r="K952" s="876"/>
      <c r="L952" s="876"/>
      <c r="M952" s="876"/>
      <c r="N952" s="876"/>
      <c r="O952" s="876"/>
      <c r="P952" s="876"/>
      <c r="Q952" s="870"/>
      <c r="R952" s="870"/>
      <c r="S952" s="870"/>
      <c r="T952" s="870"/>
      <c r="U952" s="870"/>
      <c r="V952" s="870"/>
      <c r="W952" s="870"/>
      <c r="X952" s="870"/>
      <c r="Y952" s="870"/>
      <c r="Z952" s="870"/>
      <c r="AA952" s="870"/>
      <c r="AB952" s="870"/>
      <c r="AC952" s="870"/>
      <c r="AD952" s="870"/>
      <c r="AE952" s="870"/>
      <c r="AF952" s="870"/>
      <c r="AG952" s="870"/>
    </row>
    <row r="953" spans="1:33" s="995" customFormat="1">
      <c r="A953" s="974"/>
      <c r="D953" s="876"/>
      <c r="E953" s="974"/>
      <c r="F953" s="876"/>
      <c r="G953" s="876"/>
      <c r="H953" s="876"/>
      <c r="I953" s="876"/>
      <c r="J953" s="876"/>
      <c r="K953" s="876"/>
      <c r="L953" s="876"/>
      <c r="M953" s="876"/>
      <c r="N953" s="876"/>
      <c r="O953" s="876"/>
      <c r="P953" s="876"/>
      <c r="Q953" s="870"/>
      <c r="R953" s="870"/>
      <c r="S953" s="870"/>
      <c r="T953" s="870"/>
      <c r="U953" s="870"/>
      <c r="V953" s="870"/>
      <c r="W953" s="870"/>
      <c r="X953" s="870"/>
      <c r="Y953" s="870"/>
      <c r="Z953" s="870"/>
      <c r="AA953" s="870"/>
      <c r="AB953" s="870"/>
      <c r="AC953" s="870"/>
      <c r="AD953" s="870"/>
      <c r="AE953" s="870"/>
      <c r="AF953" s="870"/>
      <c r="AG953" s="870"/>
    </row>
    <row r="954" spans="1:33" s="995" customFormat="1">
      <c r="A954" s="974"/>
      <c r="D954" s="876"/>
      <c r="E954" s="974"/>
      <c r="F954" s="876"/>
      <c r="G954" s="876"/>
      <c r="H954" s="876"/>
      <c r="I954" s="876"/>
      <c r="J954" s="876"/>
      <c r="K954" s="876"/>
      <c r="L954" s="876"/>
      <c r="M954" s="876"/>
      <c r="N954" s="876"/>
      <c r="O954" s="876"/>
      <c r="P954" s="876"/>
      <c r="Q954" s="870"/>
      <c r="R954" s="870"/>
      <c r="S954" s="870"/>
      <c r="T954" s="870"/>
      <c r="U954" s="870"/>
      <c r="V954" s="870"/>
      <c r="W954" s="870"/>
      <c r="X954" s="870"/>
      <c r="Y954" s="870"/>
      <c r="Z954" s="870"/>
      <c r="AA954" s="870"/>
      <c r="AB954" s="870"/>
      <c r="AC954" s="870"/>
      <c r="AD954" s="870"/>
      <c r="AE954" s="870"/>
      <c r="AF954" s="870"/>
      <c r="AG954" s="870"/>
    </row>
    <row r="955" spans="1:33" s="995" customFormat="1">
      <c r="A955" s="974"/>
      <c r="D955" s="876"/>
      <c r="E955" s="974"/>
      <c r="F955" s="876"/>
      <c r="G955" s="876"/>
      <c r="H955" s="876"/>
      <c r="I955" s="876"/>
      <c r="J955" s="876"/>
      <c r="K955" s="876"/>
      <c r="L955" s="876"/>
      <c r="M955" s="876"/>
      <c r="N955" s="876"/>
      <c r="O955" s="876"/>
      <c r="P955" s="876"/>
      <c r="Q955" s="870"/>
      <c r="R955" s="870"/>
      <c r="S955" s="870"/>
      <c r="T955" s="870"/>
      <c r="U955" s="870"/>
      <c r="V955" s="870"/>
      <c r="W955" s="870"/>
      <c r="X955" s="870"/>
      <c r="Y955" s="870"/>
      <c r="Z955" s="870"/>
      <c r="AA955" s="870"/>
      <c r="AB955" s="870"/>
      <c r="AC955" s="870"/>
      <c r="AD955" s="870"/>
      <c r="AE955" s="870"/>
      <c r="AF955" s="870"/>
      <c r="AG955" s="870"/>
    </row>
    <row r="956" spans="1:33" s="995" customFormat="1">
      <c r="A956" s="974"/>
      <c r="D956" s="876"/>
      <c r="E956" s="974"/>
      <c r="F956" s="876"/>
      <c r="G956" s="876"/>
      <c r="H956" s="876"/>
      <c r="I956" s="876"/>
      <c r="J956" s="876"/>
      <c r="K956" s="876"/>
      <c r="L956" s="876"/>
      <c r="M956" s="876"/>
      <c r="N956" s="876"/>
      <c r="O956" s="876"/>
      <c r="P956" s="876"/>
      <c r="Q956" s="870"/>
      <c r="R956" s="870"/>
      <c r="S956" s="870"/>
      <c r="T956" s="870"/>
      <c r="U956" s="870"/>
      <c r="V956" s="870"/>
      <c r="W956" s="870"/>
      <c r="X956" s="870"/>
      <c r="Y956" s="870"/>
      <c r="Z956" s="870"/>
      <c r="AA956" s="870"/>
      <c r="AB956" s="870"/>
      <c r="AC956" s="870"/>
      <c r="AD956" s="870"/>
      <c r="AE956" s="870"/>
      <c r="AF956" s="870"/>
      <c r="AG956" s="870"/>
    </row>
    <row r="957" spans="1:33" s="995" customFormat="1">
      <c r="A957" s="974"/>
      <c r="D957" s="876"/>
      <c r="E957" s="974"/>
      <c r="F957" s="876"/>
      <c r="G957" s="876"/>
      <c r="H957" s="876"/>
      <c r="I957" s="876"/>
      <c r="J957" s="876"/>
      <c r="K957" s="876"/>
      <c r="L957" s="876"/>
      <c r="M957" s="876"/>
      <c r="N957" s="876"/>
      <c r="O957" s="876"/>
      <c r="P957" s="876"/>
      <c r="Q957" s="870"/>
      <c r="R957" s="870"/>
      <c r="S957" s="870"/>
      <c r="T957" s="870"/>
      <c r="U957" s="870"/>
      <c r="V957" s="870"/>
      <c r="W957" s="870"/>
      <c r="X957" s="870"/>
      <c r="Y957" s="870"/>
      <c r="Z957" s="870"/>
      <c r="AA957" s="870"/>
      <c r="AB957" s="870"/>
      <c r="AC957" s="870"/>
      <c r="AD957" s="870"/>
      <c r="AE957" s="870"/>
      <c r="AF957" s="870"/>
      <c r="AG957" s="870"/>
    </row>
    <row r="958" spans="1:33" s="995" customFormat="1">
      <c r="A958" s="974"/>
      <c r="D958" s="876"/>
      <c r="E958" s="974"/>
      <c r="F958" s="876"/>
      <c r="G958" s="876"/>
      <c r="H958" s="876"/>
      <c r="I958" s="876"/>
      <c r="J958" s="876"/>
      <c r="K958" s="876"/>
      <c r="L958" s="876"/>
      <c r="M958" s="876"/>
      <c r="N958" s="876"/>
      <c r="O958" s="876"/>
      <c r="P958" s="876"/>
      <c r="Q958" s="870"/>
      <c r="R958" s="870"/>
      <c r="S958" s="870"/>
      <c r="T958" s="870"/>
      <c r="U958" s="870"/>
      <c r="V958" s="870"/>
      <c r="W958" s="870"/>
      <c r="X958" s="870"/>
      <c r="Y958" s="870"/>
      <c r="Z958" s="870"/>
      <c r="AA958" s="870"/>
      <c r="AB958" s="870"/>
      <c r="AC958" s="870"/>
      <c r="AD958" s="870"/>
      <c r="AE958" s="870"/>
      <c r="AF958" s="870"/>
      <c r="AG958" s="870"/>
    </row>
    <row r="959" spans="1:33" s="995" customFormat="1">
      <c r="A959" s="974"/>
      <c r="D959" s="876"/>
      <c r="E959" s="974"/>
      <c r="F959" s="876"/>
      <c r="G959" s="876"/>
      <c r="H959" s="876"/>
      <c r="I959" s="876"/>
      <c r="J959" s="876"/>
      <c r="K959" s="876"/>
      <c r="L959" s="876"/>
      <c r="M959" s="876"/>
      <c r="N959" s="876"/>
      <c r="O959" s="876"/>
      <c r="P959" s="876"/>
      <c r="Q959" s="870"/>
      <c r="R959" s="870"/>
      <c r="S959" s="870"/>
      <c r="T959" s="870"/>
      <c r="U959" s="870"/>
      <c r="V959" s="870"/>
      <c r="W959" s="870"/>
      <c r="X959" s="870"/>
      <c r="Y959" s="870"/>
      <c r="Z959" s="870"/>
      <c r="AA959" s="870"/>
      <c r="AB959" s="870"/>
      <c r="AC959" s="870"/>
      <c r="AD959" s="870"/>
      <c r="AE959" s="870"/>
      <c r="AF959" s="870"/>
      <c r="AG959" s="870"/>
    </row>
    <row r="960" spans="1:33" s="995" customFormat="1">
      <c r="A960" s="974"/>
      <c r="D960" s="876"/>
      <c r="E960" s="974"/>
      <c r="F960" s="876"/>
      <c r="G960" s="876"/>
      <c r="H960" s="876"/>
      <c r="I960" s="876"/>
      <c r="J960" s="876"/>
      <c r="K960" s="876"/>
      <c r="L960" s="876"/>
      <c r="M960" s="876"/>
      <c r="N960" s="876"/>
      <c r="O960" s="876"/>
      <c r="P960" s="876"/>
      <c r="Q960" s="870"/>
      <c r="R960" s="870"/>
      <c r="S960" s="870"/>
      <c r="T960" s="870"/>
      <c r="U960" s="870"/>
      <c r="V960" s="870"/>
      <c r="W960" s="870"/>
      <c r="X960" s="870"/>
      <c r="Y960" s="870"/>
      <c r="Z960" s="870"/>
      <c r="AA960" s="870"/>
      <c r="AB960" s="870"/>
      <c r="AC960" s="870"/>
      <c r="AD960" s="870"/>
      <c r="AE960" s="870"/>
      <c r="AF960" s="870"/>
      <c r="AG960" s="870"/>
    </row>
    <row r="961" spans="1:33" s="995" customFormat="1">
      <c r="A961" s="974"/>
      <c r="D961" s="876"/>
      <c r="E961" s="974"/>
      <c r="F961" s="876"/>
      <c r="G961" s="876"/>
      <c r="H961" s="876"/>
      <c r="I961" s="876"/>
      <c r="J961" s="876"/>
      <c r="K961" s="876"/>
      <c r="L961" s="876"/>
      <c r="M961" s="876"/>
      <c r="N961" s="876"/>
      <c r="O961" s="876"/>
      <c r="P961" s="876"/>
      <c r="Q961" s="870"/>
      <c r="R961" s="870"/>
      <c r="S961" s="870"/>
      <c r="T961" s="870"/>
      <c r="U961" s="870"/>
      <c r="V961" s="870"/>
      <c r="W961" s="870"/>
      <c r="X961" s="870"/>
      <c r="Y961" s="870"/>
      <c r="Z961" s="870"/>
      <c r="AA961" s="870"/>
      <c r="AB961" s="870"/>
      <c r="AC961" s="870"/>
      <c r="AD961" s="870"/>
      <c r="AE961" s="870"/>
      <c r="AF961" s="870"/>
      <c r="AG961" s="870"/>
    </row>
    <row r="962" spans="1:33" s="995" customFormat="1">
      <c r="A962" s="974"/>
      <c r="D962" s="876"/>
      <c r="E962" s="974"/>
      <c r="F962" s="876"/>
      <c r="G962" s="876"/>
      <c r="H962" s="876"/>
      <c r="I962" s="876"/>
      <c r="J962" s="876"/>
      <c r="K962" s="876"/>
      <c r="L962" s="876"/>
      <c r="M962" s="876"/>
      <c r="N962" s="876"/>
      <c r="O962" s="876"/>
      <c r="P962" s="876"/>
      <c r="Q962" s="870"/>
      <c r="R962" s="870"/>
      <c r="S962" s="870"/>
      <c r="T962" s="870"/>
      <c r="U962" s="870"/>
      <c r="V962" s="870"/>
      <c r="W962" s="870"/>
      <c r="X962" s="870"/>
      <c r="Y962" s="870"/>
      <c r="Z962" s="870"/>
      <c r="AA962" s="870"/>
      <c r="AB962" s="870"/>
      <c r="AC962" s="870"/>
      <c r="AD962" s="870"/>
      <c r="AE962" s="870"/>
      <c r="AF962" s="870"/>
      <c r="AG962" s="870"/>
    </row>
    <row r="963" spans="1:33" s="995" customFormat="1">
      <c r="A963" s="974"/>
      <c r="D963" s="876"/>
      <c r="E963" s="974"/>
      <c r="F963" s="876"/>
      <c r="G963" s="876"/>
      <c r="H963" s="876"/>
      <c r="I963" s="876"/>
      <c r="J963" s="876"/>
      <c r="K963" s="876"/>
      <c r="L963" s="876"/>
      <c r="M963" s="876"/>
      <c r="N963" s="876"/>
      <c r="O963" s="876"/>
      <c r="P963" s="876"/>
      <c r="Q963" s="870"/>
      <c r="R963" s="870"/>
      <c r="S963" s="870"/>
      <c r="T963" s="870"/>
      <c r="U963" s="870"/>
      <c r="V963" s="870"/>
      <c r="W963" s="870"/>
      <c r="X963" s="870"/>
      <c r="Y963" s="870"/>
      <c r="Z963" s="870"/>
      <c r="AA963" s="870"/>
      <c r="AB963" s="870"/>
      <c r="AC963" s="870"/>
      <c r="AD963" s="870"/>
      <c r="AE963" s="870"/>
      <c r="AF963" s="870"/>
      <c r="AG963" s="870"/>
    </row>
    <row r="964" spans="1:33" s="995" customFormat="1">
      <c r="A964" s="974"/>
      <c r="D964" s="876"/>
      <c r="E964" s="974"/>
      <c r="F964" s="876"/>
      <c r="G964" s="876"/>
      <c r="H964" s="876"/>
      <c r="I964" s="876"/>
      <c r="J964" s="876"/>
      <c r="K964" s="876"/>
      <c r="L964" s="876"/>
      <c r="M964" s="876"/>
      <c r="N964" s="876"/>
      <c r="O964" s="876"/>
      <c r="P964" s="876"/>
      <c r="Q964" s="870"/>
      <c r="R964" s="870"/>
      <c r="S964" s="870"/>
      <c r="T964" s="870"/>
      <c r="U964" s="870"/>
      <c r="V964" s="870"/>
      <c r="W964" s="870"/>
      <c r="X964" s="870"/>
      <c r="Y964" s="870"/>
      <c r="Z964" s="870"/>
      <c r="AA964" s="870"/>
      <c r="AB964" s="870"/>
      <c r="AC964" s="870"/>
      <c r="AD964" s="870"/>
      <c r="AE964" s="870"/>
      <c r="AF964" s="870"/>
      <c r="AG964" s="870"/>
    </row>
    <row r="965" spans="1:33" s="995" customFormat="1">
      <c r="A965" s="974"/>
      <c r="D965" s="876"/>
      <c r="E965" s="974"/>
      <c r="F965" s="876"/>
      <c r="G965" s="876"/>
      <c r="H965" s="876"/>
      <c r="I965" s="876"/>
      <c r="J965" s="876"/>
      <c r="K965" s="876"/>
      <c r="L965" s="876"/>
      <c r="M965" s="876"/>
      <c r="N965" s="876"/>
      <c r="O965" s="876"/>
      <c r="P965" s="876"/>
      <c r="Q965" s="870"/>
      <c r="R965" s="870"/>
      <c r="S965" s="870"/>
      <c r="T965" s="870"/>
      <c r="U965" s="870"/>
      <c r="V965" s="870"/>
      <c r="W965" s="870"/>
      <c r="X965" s="870"/>
      <c r="Y965" s="870"/>
      <c r="Z965" s="870"/>
      <c r="AA965" s="870"/>
      <c r="AB965" s="870"/>
      <c r="AC965" s="870"/>
      <c r="AD965" s="870"/>
      <c r="AE965" s="870"/>
      <c r="AF965" s="870"/>
      <c r="AG965" s="870"/>
    </row>
    <row r="966" spans="1:33" s="995" customFormat="1">
      <c r="A966" s="974"/>
      <c r="D966" s="876"/>
      <c r="E966" s="974"/>
      <c r="F966" s="876"/>
      <c r="G966" s="876"/>
      <c r="H966" s="876"/>
      <c r="I966" s="876"/>
      <c r="J966" s="876"/>
      <c r="K966" s="876"/>
      <c r="L966" s="876"/>
      <c r="M966" s="876"/>
      <c r="N966" s="876"/>
      <c r="O966" s="876"/>
      <c r="P966" s="876"/>
      <c r="Q966" s="870"/>
      <c r="R966" s="870"/>
      <c r="S966" s="870"/>
      <c r="T966" s="870"/>
      <c r="U966" s="870"/>
      <c r="V966" s="870"/>
      <c r="W966" s="870"/>
      <c r="X966" s="870"/>
      <c r="Y966" s="870"/>
      <c r="Z966" s="870"/>
      <c r="AA966" s="870"/>
      <c r="AB966" s="870"/>
      <c r="AC966" s="870"/>
      <c r="AD966" s="870"/>
      <c r="AE966" s="870"/>
      <c r="AF966" s="870"/>
      <c r="AG966" s="870"/>
    </row>
    <row r="967" spans="1:33" s="995" customFormat="1">
      <c r="A967" s="974"/>
      <c r="D967" s="876"/>
      <c r="E967" s="974"/>
      <c r="F967" s="876"/>
      <c r="G967" s="876"/>
      <c r="H967" s="876"/>
      <c r="I967" s="876"/>
      <c r="J967" s="876"/>
      <c r="K967" s="876"/>
      <c r="L967" s="876"/>
      <c r="M967" s="876"/>
      <c r="N967" s="876"/>
      <c r="O967" s="876"/>
      <c r="P967" s="876"/>
      <c r="Q967" s="870"/>
      <c r="R967" s="870"/>
      <c r="S967" s="870"/>
      <c r="T967" s="870"/>
      <c r="U967" s="870"/>
      <c r="V967" s="870"/>
      <c r="W967" s="870"/>
      <c r="X967" s="870"/>
      <c r="Y967" s="870"/>
      <c r="Z967" s="870"/>
      <c r="AA967" s="870"/>
      <c r="AB967" s="870"/>
      <c r="AC967" s="870"/>
      <c r="AD967" s="870"/>
      <c r="AE967" s="870"/>
      <c r="AF967" s="870"/>
      <c r="AG967" s="870"/>
    </row>
    <row r="968" spans="1:33" s="995" customFormat="1">
      <c r="A968" s="974"/>
      <c r="D968" s="876"/>
      <c r="E968" s="974"/>
      <c r="F968" s="876"/>
      <c r="G968" s="876"/>
      <c r="H968" s="876"/>
      <c r="I968" s="876"/>
      <c r="J968" s="876"/>
      <c r="K968" s="876"/>
      <c r="L968" s="876"/>
      <c r="M968" s="876"/>
      <c r="N968" s="876"/>
      <c r="O968" s="876"/>
      <c r="P968" s="876"/>
      <c r="Q968" s="870"/>
      <c r="R968" s="870"/>
      <c r="S968" s="870"/>
      <c r="T968" s="870"/>
      <c r="U968" s="870"/>
      <c r="V968" s="870"/>
      <c r="W968" s="870"/>
      <c r="X968" s="870"/>
      <c r="Y968" s="870"/>
      <c r="Z968" s="870"/>
      <c r="AA968" s="870"/>
      <c r="AB968" s="870"/>
      <c r="AC968" s="870"/>
      <c r="AD968" s="870"/>
      <c r="AE968" s="870"/>
      <c r="AF968" s="870"/>
      <c r="AG968" s="870"/>
    </row>
    <row r="969" spans="1:33" s="995" customFormat="1">
      <c r="A969" s="974"/>
      <c r="D969" s="876"/>
      <c r="E969" s="974"/>
      <c r="F969" s="876"/>
      <c r="G969" s="876"/>
      <c r="H969" s="876"/>
      <c r="I969" s="876"/>
      <c r="J969" s="876"/>
      <c r="K969" s="876"/>
      <c r="L969" s="876"/>
      <c r="M969" s="876"/>
      <c r="N969" s="876"/>
      <c r="O969" s="876"/>
      <c r="P969" s="876"/>
      <c r="Q969" s="870"/>
      <c r="R969" s="870"/>
      <c r="S969" s="870"/>
      <c r="T969" s="870"/>
      <c r="U969" s="870"/>
      <c r="V969" s="870"/>
      <c r="W969" s="870"/>
      <c r="X969" s="870"/>
      <c r="Y969" s="870"/>
      <c r="Z969" s="870"/>
      <c r="AA969" s="870"/>
      <c r="AB969" s="870"/>
      <c r="AC969" s="870"/>
      <c r="AD969" s="870"/>
      <c r="AE969" s="870"/>
      <c r="AF969" s="870"/>
      <c r="AG969" s="870"/>
    </row>
    <row r="970" spans="1:33" s="995" customFormat="1">
      <c r="A970" s="974"/>
      <c r="D970" s="876"/>
      <c r="E970" s="974"/>
      <c r="F970" s="876"/>
      <c r="G970" s="876"/>
      <c r="H970" s="876"/>
      <c r="I970" s="876"/>
      <c r="J970" s="876"/>
      <c r="K970" s="876"/>
      <c r="L970" s="876"/>
      <c r="M970" s="876"/>
      <c r="N970" s="876"/>
      <c r="O970" s="876"/>
      <c r="P970" s="876"/>
      <c r="Q970" s="870"/>
      <c r="R970" s="870"/>
      <c r="S970" s="870"/>
      <c r="T970" s="870"/>
      <c r="U970" s="870"/>
      <c r="V970" s="870"/>
      <c r="W970" s="870"/>
      <c r="X970" s="870"/>
      <c r="Y970" s="870"/>
      <c r="Z970" s="870"/>
      <c r="AA970" s="870"/>
      <c r="AB970" s="870"/>
      <c r="AC970" s="870"/>
      <c r="AD970" s="870"/>
      <c r="AE970" s="870"/>
      <c r="AF970" s="870"/>
      <c r="AG970" s="870"/>
    </row>
    <row r="971" spans="1:33" s="995" customFormat="1">
      <c r="A971" s="974"/>
      <c r="D971" s="876"/>
      <c r="E971" s="974"/>
      <c r="F971" s="876"/>
      <c r="G971" s="876"/>
      <c r="H971" s="876"/>
      <c r="I971" s="876"/>
      <c r="J971" s="876"/>
      <c r="K971" s="876"/>
      <c r="L971" s="876"/>
      <c r="M971" s="876"/>
      <c r="N971" s="876"/>
      <c r="O971" s="876"/>
      <c r="P971" s="876"/>
      <c r="Q971" s="870"/>
      <c r="R971" s="870"/>
      <c r="S971" s="870"/>
      <c r="T971" s="870"/>
      <c r="U971" s="870"/>
      <c r="V971" s="870"/>
      <c r="W971" s="870"/>
      <c r="X971" s="870"/>
      <c r="Y971" s="870"/>
      <c r="Z971" s="870"/>
      <c r="AA971" s="870"/>
      <c r="AB971" s="870"/>
      <c r="AC971" s="870"/>
      <c r="AD971" s="870"/>
      <c r="AE971" s="870"/>
      <c r="AF971" s="870"/>
      <c r="AG971" s="870"/>
    </row>
    <row r="972" spans="1:33" s="995" customFormat="1">
      <c r="A972" s="974"/>
      <c r="D972" s="876"/>
      <c r="E972" s="974"/>
      <c r="F972" s="876"/>
      <c r="G972" s="876"/>
      <c r="H972" s="876"/>
      <c r="I972" s="876"/>
      <c r="J972" s="876"/>
      <c r="K972" s="876"/>
      <c r="L972" s="876"/>
      <c r="M972" s="876"/>
      <c r="N972" s="876"/>
      <c r="O972" s="876"/>
      <c r="P972" s="876"/>
      <c r="Q972" s="870"/>
      <c r="R972" s="870"/>
      <c r="S972" s="870"/>
      <c r="T972" s="870"/>
      <c r="U972" s="870"/>
      <c r="V972" s="870"/>
      <c r="W972" s="870"/>
      <c r="X972" s="870"/>
      <c r="Y972" s="870"/>
      <c r="Z972" s="870"/>
      <c r="AA972" s="870"/>
      <c r="AB972" s="870"/>
      <c r="AC972" s="870"/>
      <c r="AD972" s="870"/>
      <c r="AE972" s="870"/>
      <c r="AF972" s="870"/>
      <c r="AG972" s="870"/>
    </row>
    <row r="973" spans="1:33" s="995" customFormat="1">
      <c r="A973" s="974"/>
      <c r="D973" s="876"/>
      <c r="E973" s="974"/>
      <c r="F973" s="876"/>
      <c r="G973" s="876"/>
      <c r="H973" s="876"/>
      <c r="I973" s="876"/>
      <c r="J973" s="876"/>
      <c r="K973" s="876"/>
      <c r="L973" s="876"/>
      <c r="M973" s="876"/>
      <c r="N973" s="876"/>
      <c r="O973" s="876"/>
      <c r="P973" s="876"/>
      <c r="Q973" s="870"/>
      <c r="R973" s="870"/>
      <c r="S973" s="870"/>
      <c r="T973" s="870"/>
      <c r="U973" s="870"/>
      <c r="V973" s="870"/>
      <c r="W973" s="870"/>
      <c r="X973" s="870"/>
      <c r="Y973" s="870"/>
      <c r="Z973" s="870"/>
      <c r="AA973" s="870"/>
      <c r="AB973" s="870"/>
      <c r="AC973" s="870"/>
      <c r="AD973" s="870"/>
      <c r="AE973" s="870"/>
      <c r="AF973" s="870"/>
      <c r="AG973" s="870"/>
    </row>
    <row r="974" spans="1:33" s="995" customFormat="1">
      <c r="A974" s="974"/>
      <c r="D974" s="876"/>
      <c r="E974" s="974"/>
      <c r="F974" s="876"/>
      <c r="G974" s="876"/>
      <c r="H974" s="876"/>
      <c r="I974" s="876"/>
      <c r="J974" s="876"/>
      <c r="K974" s="876"/>
      <c r="L974" s="876"/>
      <c r="M974" s="876"/>
      <c r="N974" s="876"/>
      <c r="O974" s="876"/>
      <c r="P974" s="876"/>
      <c r="Q974" s="870"/>
      <c r="R974" s="870"/>
      <c r="S974" s="870"/>
      <c r="T974" s="870"/>
      <c r="U974" s="870"/>
      <c r="V974" s="870"/>
      <c r="W974" s="870"/>
      <c r="X974" s="870"/>
      <c r="Y974" s="870"/>
      <c r="Z974" s="870"/>
      <c r="AA974" s="870"/>
      <c r="AB974" s="870"/>
      <c r="AC974" s="870"/>
      <c r="AD974" s="870"/>
      <c r="AE974" s="870"/>
      <c r="AF974" s="870"/>
      <c r="AG974" s="870"/>
    </row>
    <row r="975" spans="1:33" s="995" customFormat="1">
      <c r="A975" s="974"/>
      <c r="D975" s="876"/>
      <c r="E975" s="974"/>
      <c r="F975" s="876"/>
      <c r="G975" s="876"/>
      <c r="H975" s="876"/>
      <c r="I975" s="876"/>
      <c r="J975" s="876"/>
      <c r="K975" s="876"/>
      <c r="L975" s="876"/>
      <c r="M975" s="876"/>
      <c r="N975" s="876"/>
      <c r="O975" s="876"/>
      <c r="P975" s="876"/>
      <c r="Q975" s="870"/>
      <c r="R975" s="870"/>
      <c r="S975" s="870"/>
      <c r="T975" s="870"/>
      <c r="U975" s="870"/>
      <c r="V975" s="870"/>
      <c r="W975" s="870"/>
      <c r="X975" s="870"/>
      <c r="Y975" s="870"/>
      <c r="Z975" s="870"/>
      <c r="AA975" s="870"/>
      <c r="AB975" s="870"/>
      <c r="AC975" s="870"/>
      <c r="AD975" s="870"/>
      <c r="AE975" s="870"/>
      <c r="AF975" s="870"/>
      <c r="AG975" s="870"/>
    </row>
    <row r="976" spans="1:33" s="995" customFormat="1">
      <c r="A976" s="974"/>
      <c r="D976" s="876"/>
      <c r="E976" s="974"/>
      <c r="F976" s="876"/>
      <c r="G976" s="876"/>
      <c r="H976" s="876"/>
      <c r="I976" s="876"/>
      <c r="J976" s="876"/>
      <c r="K976" s="876"/>
      <c r="L976" s="876"/>
      <c r="M976" s="876"/>
      <c r="N976" s="876"/>
      <c r="O976" s="876"/>
      <c r="P976" s="876"/>
      <c r="Q976" s="870"/>
      <c r="R976" s="870"/>
      <c r="S976" s="870"/>
      <c r="T976" s="870"/>
      <c r="U976" s="870"/>
      <c r="V976" s="870"/>
      <c r="W976" s="870"/>
      <c r="X976" s="870"/>
      <c r="Y976" s="870"/>
      <c r="Z976" s="870"/>
      <c r="AA976" s="870"/>
      <c r="AB976" s="870"/>
      <c r="AC976" s="870"/>
      <c r="AD976" s="870"/>
      <c r="AE976" s="870"/>
      <c r="AF976" s="870"/>
      <c r="AG976" s="870"/>
    </row>
    <row r="977" spans="1:33" s="995" customFormat="1">
      <c r="A977" s="974"/>
      <c r="D977" s="876"/>
      <c r="E977" s="974"/>
      <c r="F977" s="876"/>
      <c r="G977" s="876"/>
      <c r="H977" s="876"/>
      <c r="I977" s="876"/>
      <c r="J977" s="876"/>
      <c r="K977" s="876"/>
      <c r="L977" s="876"/>
      <c r="M977" s="876"/>
      <c r="N977" s="876"/>
      <c r="O977" s="876"/>
      <c r="P977" s="876"/>
      <c r="Q977" s="870"/>
      <c r="R977" s="870"/>
      <c r="S977" s="870"/>
      <c r="T977" s="870"/>
      <c r="U977" s="870"/>
      <c r="V977" s="870"/>
      <c r="W977" s="870"/>
      <c r="X977" s="870"/>
      <c r="Y977" s="870"/>
      <c r="Z977" s="870"/>
      <c r="AA977" s="870"/>
      <c r="AB977" s="870"/>
      <c r="AC977" s="870"/>
      <c r="AD977" s="870"/>
      <c r="AE977" s="870"/>
      <c r="AF977" s="870"/>
      <c r="AG977" s="870"/>
    </row>
    <row r="978" spans="1:33" s="995" customFormat="1">
      <c r="A978" s="974"/>
      <c r="D978" s="876"/>
      <c r="E978" s="974"/>
      <c r="F978" s="876"/>
      <c r="G978" s="876"/>
      <c r="H978" s="876"/>
      <c r="I978" s="876"/>
      <c r="J978" s="876"/>
      <c r="K978" s="876"/>
      <c r="L978" s="876"/>
      <c r="M978" s="876"/>
      <c r="N978" s="876"/>
      <c r="O978" s="876"/>
      <c r="P978" s="876"/>
      <c r="Q978" s="870"/>
      <c r="R978" s="870"/>
      <c r="S978" s="870"/>
      <c r="T978" s="870"/>
      <c r="U978" s="870"/>
      <c r="V978" s="870"/>
      <c r="W978" s="870"/>
      <c r="X978" s="870"/>
      <c r="Y978" s="870"/>
      <c r="Z978" s="870"/>
      <c r="AA978" s="870"/>
      <c r="AB978" s="870"/>
      <c r="AC978" s="870"/>
      <c r="AD978" s="870"/>
      <c r="AE978" s="870"/>
      <c r="AF978" s="870"/>
      <c r="AG978" s="870"/>
    </row>
    <row r="979" spans="1:33" s="995" customFormat="1">
      <c r="A979" s="974"/>
      <c r="D979" s="876"/>
      <c r="E979" s="974"/>
      <c r="F979" s="876"/>
      <c r="G979" s="876"/>
      <c r="H979" s="876"/>
      <c r="I979" s="876"/>
      <c r="J979" s="876"/>
      <c r="K979" s="876"/>
      <c r="L979" s="876"/>
      <c r="M979" s="876"/>
      <c r="N979" s="876"/>
      <c r="O979" s="876"/>
      <c r="P979" s="876"/>
      <c r="Q979" s="870"/>
      <c r="R979" s="870"/>
      <c r="S979" s="870"/>
      <c r="T979" s="870"/>
      <c r="U979" s="870"/>
      <c r="V979" s="870"/>
      <c r="W979" s="870"/>
      <c r="X979" s="870"/>
      <c r="Y979" s="870"/>
      <c r="Z979" s="870"/>
      <c r="AA979" s="870"/>
      <c r="AB979" s="870"/>
      <c r="AC979" s="870"/>
      <c r="AD979" s="870"/>
      <c r="AE979" s="870"/>
      <c r="AF979" s="870"/>
      <c r="AG979" s="870"/>
    </row>
    <row r="980" spans="1:33" s="995" customFormat="1">
      <c r="A980" s="974"/>
      <c r="D980" s="876"/>
      <c r="E980" s="974"/>
      <c r="F980" s="876"/>
      <c r="G980" s="876"/>
      <c r="H980" s="876"/>
      <c r="I980" s="876"/>
      <c r="J980" s="876"/>
      <c r="K980" s="876"/>
      <c r="L980" s="876"/>
      <c r="M980" s="876"/>
      <c r="N980" s="876"/>
      <c r="O980" s="876"/>
      <c r="P980" s="876"/>
      <c r="Q980" s="870"/>
      <c r="R980" s="870"/>
      <c r="S980" s="870"/>
      <c r="T980" s="870"/>
      <c r="U980" s="870"/>
      <c r="V980" s="870"/>
      <c r="W980" s="870"/>
      <c r="X980" s="870"/>
      <c r="Y980" s="870"/>
      <c r="Z980" s="870"/>
      <c r="AA980" s="870"/>
      <c r="AB980" s="870"/>
      <c r="AC980" s="870"/>
      <c r="AD980" s="870"/>
      <c r="AE980" s="870"/>
      <c r="AF980" s="870"/>
      <c r="AG980" s="870"/>
    </row>
    <row r="981" spans="1:33" s="995" customFormat="1">
      <c r="A981" s="974"/>
      <c r="D981" s="876"/>
      <c r="E981" s="974"/>
      <c r="F981" s="876"/>
      <c r="G981" s="876"/>
      <c r="H981" s="876"/>
      <c r="I981" s="876"/>
      <c r="J981" s="876"/>
      <c r="K981" s="876"/>
      <c r="L981" s="876"/>
      <c r="M981" s="876"/>
      <c r="N981" s="876"/>
      <c r="O981" s="876"/>
      <c r="P981" s="876"/>
      <c r="Q981" s="870"/>
      <c r="R981" s="870"/>
      <c r="S981" s="870"/>
      <c r="T981" s="870"/>
      <c r="U981" s="870"/>
      <c r="V981" s="870"/>
      <c r="W981" s="870"/>
      <c r="X981" s="870"/>
      <c r="Y981" s="870"/>
      <c r="Z981" s="870"/>
      <c r="AA981" s="870"/>
      <c r="AB981" s="870"/>
      <c r="AC981" s="870"/>
      <c r="AD981" s="870"/>
      <c r="AE981" s="870"/>
      <c r="AF981" s="870"/>
      <c r="AG981" s="870"/>
    </row>
    <row r="982" spans="1:33" s="995" customFormat="1">
      <c r="A982" s="974"/>
      <c r="D982" s="876"/>
      <c r="E982" s="974"/>
      <c r="F982" s="876"/>
      <c r="G982" s="876"/>
      <c r="H982" s="876"/>
      <c r="I982" s="876"/>
      <c r="J982" s="876"/>
      <c r="K982" s="876"/>
      <c r="L982" s="876"/>
      <c r="M982" s="876"/>
      <c r="N982" s="876"/>
      <c r="O982" s="876"/>
      <c r="P982" s="876"/>
      <c r="Q982" s="870"/>
      <c r="R982" s="870"/>
      <c r="S982" s="870"/>
      <c r="T982" s="870"/>
      <c r="U982" s="870"/>
      <c r="V982" s="870"/>
      <c r="W982" s="870"/>
      <c r="X982" s="870"/>
      <c r="Y982" s="870"/>
      <c r="Z982" s="870"/>
      <c r="AA982" s="870"/>
      <c r="AB982" s="870"/>
      <c r="AC982" s="870"/>
      <c r="AD982" s="870"/>
      <c r="AE982" s="870"/>
      <c r="AF982" s="870"/>
      <c r="AG982" s="870"/>
    </row>
    <row r="983" spans="1:33" s="995" customFormat="1">
      <c r="A983" s="974"/>
      <c r="D983" s="876"/>
      <c r="E983" s="974"/>
      <c r="F983" s="876"/>
      <c r="G983" s="876"/>
      <c r="H983" s="876"/>
      <c r="I983" s="876"/>
      <c r="J983" s="876"/>
      <c r="K983" s="876"/>
      <c r="L983" s="876"/>
      <c r="M983" s="876"/>
      <c r="N983" s="876"/>
      <c r="O983" s="876"/>
      <c r="P983" s="876"/>
      <c r="Q983" s="870"/>
      <c r="R983" s="870"/>
      <c r="S983" s="870"/>
      <c r="T983" s="870"/>
      <c r="U983" s="870"/>
      <c r="V983" s="870"/>
      <c r="W983" s="870"/>
      <c r="X983" s="870"/>
      <c r="Y983" s="870"/>
      <c r="Z983" s="870"/>
      <c r="AA983" s="870"/>
      <c r="AB983" s="870"/>
      <c r="AC983" s="870"/>
      <c r="AD983" s="870"/>
      <c r="AE983" s="870"/>
      <c r="AF983" s="870"/>
      <c r="AG983" s="870"/>
    </row>
    <row r="984" spans="1:33" s="995" customFormat="1">
      <c r="A984" s="974"/>
      <c r="D984" s="876"/>
      <c r="E984" s="974"/>
      <c r="F984" s="876"/>
      <c r="G984" s="876"/>
      <c r="H984" s="876"/>
      <c r="I984" s="876"/>
      <c r="J984" s="876"/>
      <c r="K984" s="876"/>
      <c r="L984" s="876"/>
      <c r="M984" s="876"/>
      <c r="N984" s="876"/>
      <c r="O984" s="876"/>
      <c r="P984" s="876"/>
      <c r="Q984" s="870"/>
      <c r="R984" s="870"/>
      <c r="S984" s="870"/>
      <c r="T984" s="870"/>
      <c r="U984" s="870"/>
      <c r="V984" s="870"/>
      <c r="W984" s="870"/>
      <c r="X984" s="870"/>
      <c r="Y984" s="870"/>
      <c r="Z984" s="870"/>
      <c r="AA984" s="870"/>
      <c r="AB984" s="870"/>
      <c r="AC984" s="870"/>
      <c r="AD984" s="870"/>
      <c r="AE984" s="870"/>
      <c r="AF984" s="870"/>
      <c r="AG984" s="870"/>
    </row>
    <row r="985" spans="1:33" s="995" customFormat="1">
      <c r="A985" s="974"/>
      <c r="D985" s="876"/>
      <c r="E985" s="974"/>
      <c r="F985" s="876"/>
      <c r="G985" s="876"/>
      <c r="H985" s="876"/>
      <c r="I985" s="876"/>
      <c r="J985" s="876"/>
      <c r="K985" s="876"/>
      <c r="L985" s="876"/>
      <c r="M985" s="876"/>
      <c r="N985" s="876"/>
      <c r="O985" s="876"/>
      <c r="P985" s="876"/>
      <c r="Q985" s="870"/>
      <c r="R985" s="870"/>
      <c r="S985" s="870"/>
      <c r="T985" s="870"/>
      <c r="U985" s="870"/>
      <c r="V985" s="870"/>
      <c r="W985" s="870"/>
      <c r="X985" s="870"/>
      <c r="Y985" s="870"/>
      <c r="Z985" s="870"/>
      <c r="AA985" s="870"/>
      <c r="AB985" s="870"/>
      <c r="AC985" s="870"/>
      <c r="AD985" s="870"/>
      <c r="AE985" s="870"/>
      <c r="AF985" s="870"/>
      <c r="AG985" s="870"/>
    </row>
    <row r="986" spans="1:33" s="995" customFormat="1">
      <c r="A986" s="974"/>
      <c r="D986" s="876"/>
      <c r="E986" s="974"/>
      <c r="F986" s="876"/>
      <c r="G986" s="876"/>
      <c r="H986" s="876"/>
      <c r="I986" s="876"/>
      <c r="J986" s="876"/>
      <c r="K986" s="876"/>
      <c r="L986" s="876"/>
      <c r="M986" s="876"/>
      <c r="N986" s="876"/>
      <c r="O986" s="876"/>
      <c r="P986" s="876"/>
      <c r="Q986" s="870"/>
      <c r="R986" s="870"/>
      <c r="S986" s="870"/>
      <c r="T986" s="870"/>
      <c r="U986" s="870"/>
      <c r="V986" s="870"/>
      <c r="W986" s="870"/>
      <c r="X986" s="870"/>
      <c r="Y986" s="870"/>
      <c r="Z986" s="870"/>
      <c r="AA986" s="870"/>
      <c r="AB986" s="870"/>
      <c r="AC986" s="870"/>
      <c r="AD986" s="870"/>
      <c r="AE986" s="870"/>
      <c r="AF986" s="870"/>
      <c r="AG986" s="870"/>
    </row>
    <row r="987" spans="1:33" s="995" customFormat="1">
      <c r="A987" s="974"/>
      <c r="D987" s="876"/>
      <c r="E987" s="974"/>
      <c r="F987" s="876"/>
      <c r="G987" s="876"/>
      <c r="H987" s="876"/>
      <c r="I987" s="876"/>
      <c r="J987" s="876"/>
      <c r="K987" s="876"/>
      <c r="L987" s="876"/>
      <c r="M987" s="876"/>
      <c r="N987" s="876"/>
      <c r="O987" s="876"/>
      <c r="P987" s="876"/>
      <c r="Q987" s="870"/>
      <c r="R987" s="870"/>
      <c r="S987" s="870"/>
      <c r="T987" s="870"/>
      <c r="U987" s="870"/>
      <c r="V987" s="870"/>
      <c r="W987" s="870"/>
      <c r="X987" s="870"/>
      <c r="Y987" s="870"/>
      <c r="Z987" s="870"/>
      <c r="AA987" s="870"/>
      <c r="AB987" s="870"/>
      <c r="AC987" s="870"/>
      <c r="AD987" s="870"/>
      <c r="AE987" s="870"/>
      <c r="AF987" s="870"/>
      <c r="AG987" s="870"/>
    </row>
    <row r="988" spans="1:33" s="995" customFormat="1">
      <c r="A988" s="974"/>
      <c r="D988" s="876"/>
      <c r="E988" s="974"/>
      <c r="F988" s="876"/>
      <c r="G988" s="876"/>
      <c r="H988" s="876"/>
      <c r="I988" s="876"/>
      <c r="J988" s="876"/>
      <c r="K988" s="876"/>
      <c r="L988" s="876"/>
      <c r="M988" s="876"/>
      <c r="N988" s="876"/>
      <c r="O988" s="876"/>
      <c r="P988" s="876"/>
      <c r="Q988" s="870"/>
      <c r="R988" s="870"/>
      <c r="S988" s="870"/>
      <c r="T988" s="870"/>
      <c r="U988" s="870"/>
      <c r="V988" s="870"/>
      <c r="W988" s="870"/>
      <c r="X988" s="870"/>
      <c r="Y988" s="870"/>
      <c r="Z988" s="870"/>
      <c r="AA988" s="870"/>
      <c r="AB988" s="870"/>
      <c r="AC988" s="870"/>
      <c r="AD988" s="870"/>
      <c r="AE988" s="870"/>
      <c r="AF988" s="870"/>
      <c r="AG988" s="870"/>
    </row>
    <row r="989" spans="1:33" s="995" customFormat="1">
      <c r="A989" s="974"/>
      <c r="D989" s="876"/>
      <c r="E989" s="974"/>
      <c r="F989" s="876"/>
      <c r="G989" s="876"/>
      <c r="H989" s="876"/>
      <c r="I989" s="876"/>
      <c r="J989" s="876"/>
      <c r="K989" s="876"/>
      <c r="L989" s="876"/>
      <c r="M989" s="876"/>
      <c r="N989" s="876"/>
      <c r="O989" s="876"/>
      <c r="P989" s="876"/>
      <c r="Q989" s="870"/>
      <c r="R989" s="870"/>
      <c r="S989" s="870"/>
      <c r="T989" s="870"/>
      <c r="U989" s="870"/>
      <c r="V989" s="870"/>
      <c r="W989" s="870"/>
      <c r="X989" s="870"/>
      <c r="Y989" s="870"/>
      <c r="Z989" s="870"/>
      <c r="AA989" s="870"/>
      <c r="AB989" s="870"/>
      <c r="AC989" s="870"/>
      <c r="AD989" s="870"/>
      <c r="AE989" s="870"/>
      <c r="AF989" s="870"/>
      <c r="AG989" s="870"/>
    </row>
    <row r="990" spans="1:33" s="995" customFormat="1">
      <c r="A990" s="974"/>
      <c r="D990" s="876"/>
      <c r="E990" s="974"/>
      <c r="F990" s="876"/>
      <c r="G990" s="876"/>
      <c r="H990" s="876"/>
      <c r="I990" s="876"/>
      <c r="J990" s="876"/>
      <c r="K990" s="876"/>
      <c r="L990" s="876"/>
      <c r="M990" s="876"/>
      <c r="N990" s="876"/>
      <c r="O990" s="876"/>
      <c r="P990" s="876"/>
      <c r="Q990" s="870"/>
      <c r="R990" s="870"/>
      <c r="S990" s="870"/>
      <c r="T990" s="870"/>
      <c r="U990" s="870"/>
      <c r="V990" s="870"/>
      <c r="W990" s="870"/>
      <c r="X990" s="870"/>
      <c r="Y990" s="870"/>
      <c r="Z990" s="870"/>
      <c r="AA990" s="870"/>
      <c r="AB990" s="870"/>
      <c r="AC990" s="870"/>
      <c r="AD990" s="870"/>
      <c r="AE990" s="870"/>
      <c r="AF990" s="870"/>
      <c r="AG990" s="870"/>
    </row>
    <row r="991" spans="1:33" s="995" customFormat="1">
      <c r="A991" s="974"/>
      <c r="D991" s="876"/>
      <c r="E991" s="974"/>
      <c r="F991" s="876"/>
      <c r="G991" s="876"/>
      <c r="H991" s="876"/>
      <c r="I991" s="876"/>
      <c r="J991" s="876"/>
      <c r="K991" s="876"/>
      <c r="L991" s="876"/>
      <c r="M991" s="876"/>
      <c r="N991" s="876"/>
      <c r="O991" s="876"/>
      <c r="P991" s="876"/>
      <c r="Q991" s="870"/>
      <c r="R991" s="870"/>
      <c r="S991" s="870"/>
      <c r="T991" s="870"/>
      <c r="U991" s="870"/>
      <c r="V991" s="870"/>
      <c r="W991" s="870"/>
      <c r="X991" s="870"/>
      <c r="Y991" s="870"/>
      <c r="Z991" s="870"/>
      <c r="AA991" s="870"/>
      <c r="AB991" s="870"/>
      <c r="AC991" s="870"/>
      <c r="AD991" s="870"/>
      <c r="AE991" s="870"/>
      <c r="AF991" s="870"/>
      <c r="AG991" s="870"/>
    </row>
    <row r="992" spans="1:33" s="995" customFormat="1">
      <c r="A992" s="974"/>
      <c r="D992" s="876"/>
      <c r="E992" s="974"/>
      <c r="F992" s="876"/>
      <c r="G992" s="876"/>
      <c r="H992" s="876"/>
      <c r="I992" s="876"/>
      <c r="J992" s="876"/>
      <c r="K992" s="876"/>
      <c r="L992" s="876"/>
      <c r="M992" s="876"/>
      <c r="N992" s="876"/>
      <c r="O992" s="876"/>
      <c r="P992" s="876"/>
      <c r="Q992" s="870"/>
      <c r="R992" s="870"/>
      <c r="S992" s="870"/>
      <c r="T992" s="870"/>
      <c r="U992" s="870"/>
      <c r="V992" s="870"/>
      <c r="W992" s="870"/>
      <c r="X992" s="870"/>
      <c r="Y992" s="870"/>
      <c r="Z992" s="870"/>
      <c r="AA992" s="870"/>
      <c r="AB992" s="870"/>
      <c r="AC992" s="870"/>
      <c r="AD992" s="870"/>
      <c r="AE992" s="870"/>
      <c r="AF992" s="870"/>
      <c r="AG992" s="870"/>
    </row>
    <row r="993" spans="1:33" s="995" customFormat="1">
      <c r="A993" s="974"/>
      <c r="D993" s="876"/>
      <c r="E993" s="974"/>
      <c r="F993" s="876"/>
      <c r="G993" s="876"/>
      <c r="H993" s="876"/>
      <c r="I993" s="876"/>
      <c r="J993" s="876"/>
      <c r="K993" s="876"/>
      <c r="L993" s="876"/>
      <c r="M993" s="876"/>
      <c r="N993" s="876"/>
      <c r="O993" s="876"/>
      <c r="P993" s="876"/>
      <c r="Q993" s="870"/>
      <c r="R993" s="870"/>
      <c r="S993" s="870"/>
      <c r="T993" s="870"/>
      <c r="U993" s="870"/>
      <c r="V993" s="870"/>
      <c r="W993" s="870"/>
      <c r="X993" s="870"/>
      <c r="Y993" s="870"/>
      <c r="Z993" s="870"/>
      <c r="AA993" s="870"/>
      <c r="AB993" s="870"/>
      <c r="AC993" s="870"/>
      <c r="AD993" s="870"/>
      <c r="AE993" s="870"/>
      <c r="AF993" s="870"/>
      <c r="AG993" s="870"/>
    </row>
    <row r="994" spans="1:33" s="995" customFormat="1">
      <c r="A994" s="974"/>
      <c r="D994" s="876"/>
      <c r="E994" s="974"/>
      <c r="F994" s="876"/>
      <c r="G994" s="876"/>
      <c r="H994" s="876"/>
      <c r="I994" s="876"/>
      <c r="J994" s="876"/>
      <c r="K994" s="876"/>
      <c r="L994" s="876"/>
      <c r="M994" s="876"/>
      <c r="N994" s="876"/>
      <c r="O994" s="876"/>
      <c r="P994" s="876"/>
      <c r="Q994" s="870"/>
      <c r="R994" s="870"/>
      <c r="S994" s="870"/>
      <c r="T994" s="870"/>
      <c r="U994" s="870"/>
      <c r="V994" s="870"/>
      <c r="W994" s="870"/>
      <c r="X994" s="870"/>
      <c r="Y994" s="870"/>
      <c r="Z994" s="870"/>
      <c r="AA994" s="870"/>
      <c r="AB994" s="870"/>
      <c r="AC994" s="870"/>
      <c r="AD994" s="870"/>
      <c r="AE994" s="870"/>
      <c r="AF994" s="870"/>
      <c r="AG994" s="870"/>
    </row>
    <row r="995" spans="1:33" s="995" customFormat="1">
      <c r="A995" s="974"/>
      <c r="D995" s="876"/>
      <c r="E995" s="974"/>
      <c r="F995" s="876"/>
      <c r="G995" s="876"/>
      <c r="H995" s="876"/>
      <c r="I995" s="876"/>
      <c r="J995" s="876"/>
      <c r="K995" s="876"/>
      <c r="L995" s="876"/>
      <c r="M995" s="876"/>
      <c r="N995" s="876"/>
      <c r="O995" s="876"/>
      <c r="P995" s="876"/>
      <c r="Q995" s="870"/>
      <c r="R995" s="870"/>
      <c r="S995" s="870"/>
      <c r="T995" s="870"/>
      <c r="U995" s="870"/>
      <c r="V995" s="870"/>
      <c r="W995" s="870"/>
      <c r="X995" s="870"/>
      <c r="Y995" s="870"/>
      <c r="Z995" s="870"/>
      <c r="AA995" s="870"/>
      <c r="AB995" s="870"/>
      <c r="AC995" s="870"/>
      <c r="AD995" s="870"/>
      <c r="AE995" s="870"/>
      <c r="AF995" s="870"/>
      <c r="AG995" s="870"/>
    </row>
    <row r="996" spans="1:33" s="995" customFormat="1">
      <c r="A996" s="974"/>
      <c r="D996" s="876"/>
      <c r="E996" s="974"/>
      <c r="F996" s="876"/>
      <c r="G996" s="876"/>
      <c r="H996" s="876"/>
      <c r="I996" s="876"/>
      <c r="J996" s="876"/>
      <c r="K996" s="876"/>
      <c r="L996" s="876"/>
      <c r="M996" s="876"/>
      <c r="N996" s="876"/>
      <c r="O996" s="876"/>
      <c r="P996" s="876"/>
      <c r="Q996" s="870"/>
      <c r="R996" s="870"/>
      <c r="S996" s="870"/>
      <c r="T996" s="870"/>
      <c r="U996" s="870"/>
      <c r="V996" s="870"/>
      <c r="W996" s="870"/>
      <c r="X996" s="870"/>
      <c r="Y996" s="870"/>
      <c r="Z996" s="870"/>
      <c r="AA996" s="870"/>
      <c r="AB996" s="870"/>
      <c r="AC996" s="870"/>
      <c r="AD996" s="870"/>
      <c r="AE996" s="870"/>
      <c r="AF996" s="870"/>
      <c r="AG996" s="870"/>
    </row>
    <row r="997" spans="1:33" s="995" customFormat="1">
      <c r="A997" s="974"/>
      <c r="D997" s="876"/>
      <c r="E997" s="974"/>
      <c r="F997" s="876"/>
      <c r="G997" s="876"/>
      <c r="H997" s="876"/>
      <c r="I997" s="876"/>
      <c r="J997" s="876"/>
      <c r="K997" s="876"/>
      <c r="L997" s="876"/>
      <c r="M997" s="876"/>
      <c r="N997" s="876"/>
      <c r="O997" s="876"/>
      <c r="P997" s="876"/>
      <c r="Q997" s="870"/>
      <c r="R997" s="870"/>
      <c r="S997" s="870"/>
      <c r="T997" s="870"/>
      <c r="U997" s="870"/>
      <c r="V997" s="870"/>
      <c r="W997" s="870"/>
      <c r="X997" s="870"/>
      <c r="Y997" s="870"/>
      <c r="Z997" s="870"/>
      <c r="AA997" s="870"/>
      <c r="AB997" s="870"/>
      <c r="AC997" s="870"/>
      <c r="AD997" s="870"/>
      <c r="AE997" s="870"/>
      <c r="AF997" s="870"/>
      <c r="AG997" s="870"/>
    </row>
    <row r="998" spans="1:33" s="995" customFormat="1">
      <c r="A998" s="974"/>
      <c r="D998" s="876"/>
      <c r="E998" s="974"/>
      <c r="F998" s="876"/>
      <c r="G998" s="876"/>
      <c r="H998" s="876"/>
      <c r="I998" s="876"/>
      <c r="J998" s="876"/>
      <c r="K998" s="876"/>
      <c r="L998" s="876"/>
      <c r="M998" s="876"/>
      <c r="N998" s="876"/>
      <c r="O998" s="876"/>
      <c r="P998" s="876"/>
      <c r="Q998" s="870"/>
      <c r="R998" s="870"/>
      <c r="S998" s="870"/>
      <c r="T998" s="870"/>
      <c r="U998" s="870"/>
      <c r="V998" s="870"/>
      <c r="W998" s="870"/>
      <c r="X998" s="870"/>
      <c r="Y998" s="870"/>
      <c r="Z998" s="870"/>
      <c r="AA998" s="870"/>
      <c r="AB998" s="870"/>
      <c r="AC998" s="870"/>
      <c r="AD998" s="870"/>
      <c r="AE998" s="870"/>
      <c r="AF998" s="870"/>
      <c r="AG998" s="870"/>
    </row>
    <row r="999" spans="1:33" s="995" customFormat="1">
      <c r="A999" s="974"/>
      <c r="D999" s="876"/>
      <c r="E999" s="974"/>
      <c r="F999" s="876"/>
      <c r="G999" s="876"/>
      <c r="H999" s="876"/>
      <c r="I999" s="876"/>
      <c r="J999" s="876"/>
      <c r="K999" s="876"/>
      <c r="L999" s="876"/>
      <c r="M999" s="876"/>
      <c r="N999" s="876"/>
      <c r="O999" s="876"/>
      <c r="P999" s="876"/>
      <c r="Q999" s="870"/>
      <c r="R999" s="870"/>
      <c r="S999" s="870"/>
      <c r="T999" s="870"/>
      <c r="U999" s="870"/>
      <c r="V999" s="870"/>
      <c r="W999" s="870"/>
      <c r="X999" s="870"/>
      <c r="Y999" s="870"/>
      <c r="Z999" s="870"/>
      <c r="AA999" s="870"/>
      <c r="AB999" s="870"/>
      <c r="AC999" s="870"/>
      <c r="AD999" s="870"/>
      <c r="AE999" s="870"/>
      <c r="AF999" s="870"/>
      <c r="AG999" s="870"/>
    </row>
    <row r="1000" spans="1:33" s="995" customFormat="1">
      <c r="A1000" s="974"/>
      <c r="D1000" s="876"/>
      <c r="E1000" s="974"/>
      <c r="F1000" s="876"/>
      <c r="G1000" s="876"/>
      <c r="H1000" s="876"/>
      <c r="I1000" s="876"/>
      <c r="J1000" s="876"/>
      <c r="K1000" s="876"/>
      <c r="L1000" s="876"/>
      <c r="M1000" s="876"/>
      <c r="N1000" s="876"/>
      <c r="O1000" s="876"/>
      <c r="P1000" s="876"/>
      <c r="Q1000" s="870"/>
      <c r="R1000" s="870"/>
      <c r="S1000" s="870"/>
      <c r="T1000" s="870"/>
      <c r="U1000" s="870"/>
      <c r="V1000" s="870"/>
      <c r="W1000" s="870"/>
      <c r="X1000" s="870"/>
      <c r="Y1000" s="870"/>
      <c r="Z1000" s="870"/>
      <c r="AA1000" s="870"/>
      <c r="AB1000" s="870"/>
      <c r="AC1000" s="870"/>
      <c r="AD1000" s="870"/>
      <c r="AE1000" s="870"/>
      <c r="AF1000" s="870"/>
      <c r="AG1000" s="870"/>
    </row>
    <row r="1001" spans="1:33" s="995" customFormat="1">
      <c r="A1001" s="974"/>
      <c r="D1001" s="876"/>
      <c r="E1001" s="974"/>
      <c r="F1001" s="876"/>
      <c r="G1001" s="876"/>
      <c r="H1001" s="876"/>
      <c r="I1001" s="876"/>
      <c r="J1001" s="876"/>
      <c r="K1001" s="876"/>
      <c r="L1001" s="876"/>
      <c r="M1001" s="876"/>
      <c r="N1001" s="876"/>
      <c r="O1001" s="876"/>
      <c r="P1001" s="876"/>
      <c r="Q1001" s="870"/>
      <c r="R1001" s="870"/>
      <c r="S1001" s="870"/>
      <c r="T1001" s="870"/>
      <c r="U1001" s="870"/>
      <c r="V1001" s="870"/>
      <c r="W1001" s="870"/>
      <c r="X1001" s="870"/>
      <c r="Y1001" s="870"/>
      <c r="Z1001" s="870"/>
      <c r="AA1001" s="870"/>
      <c r="AB1001" s="870"/>
      <c r="AC1001" s="870"/>
      <c r="AD1001" s="870"/>
      <c r="AE1001" s="870"/>
      <c r="AF1001" s="870"/>
      <c r="AG1001" s="870"/>
    </row>
    <row r="1002" spans="1:33" s="995" customFormat="1">
      <c r="A1002" s="974"/>
      <c r="D1002" s="876"/>
      <c r="E1002" s="974"/>
      <c r="F1002" s="876"/>
      <c r="G1002" s="876"/>
      <c r="H1002" s="876"/>
      <c r="I1002" s="876"/>
      <c r="J1002" s="876"/>
      <c r="K1002" s="876"/>
      <c r="L1002" s="876"/>
      <c r="M1002" s="876"/>
      <c r="N1002" s="876"/>
      <c r="O1002" s="876"/>
      <c r="P1002" s="876"/>
      <c r="Q1002" s="870"/>
      <c r="R1002" s="870"/>
      <c r="S1002" s="870"/>
      <c r="T1002" s="870"/>
      <c r="U1002" s="870"/>
      <c r="V1002" s="870"/>
      <c r="W1002" s="870"/>
      <c r="X1002" s="870"/>
      <c r="Y1002" s="870"/>
      <c r="Z1002" s="870"/>
      <c r="AA1002" s="870"/>
      <c r="AB1002" s="870"/>
      <c r="AC1002" s="870"/>
      <c r="AD1002" s="870"/>
      <c r="AE1002" s="870"/>
      <c r="AF1002" s="870"/>
      <c r="AG1002" s="870"/>
    </row>
    <row r="1003" spans="1:33" s="995" customFormat="1">
      <c r="A1003" s="974"/>
      <c r="D1003" s="876"/>
      <c r="E1003" s="974"/>
      <c r="F1003" s="876"/>
      <c r="G1003" s="876"/>
      <c r="H1003" s="876"/>
      <c r="I1003" s="876"/>
      <c r="J1003" s="876"/>
      <c r="K1003" s="876"/>
      <c r="L1003" s="876"/>
      <c r="M1003" s="876"/>
      <c r="N1003" s="876"/>
      <c r="O1003" s="876"/>
      <c r="P1003" s="876"/>
      <c r="Q1003" s="870"/>
      <c r="R1003" s="870"/>
      <c r="S1003" s="870"/>
      <c r="T1003" s="870"/>
      <c r="U1003" s="870"/>
      <c r="V1003" s="870"/>
      <c r="W1003" s="870"/>
      <c r="X1003" s="870"/>
      <c r="Y1003" s="870"/>
      <c r="Z1003" s="870"/>
      <c r="AA1003" s="870"/>
      <c r="AB1003" s="870"/>
      <c r="AC1003" s="870"/>
      <c r="AD1003" s="870"/>
      <c r="AE1003" s="870"/>
      <c r="AF1003" s="870"/>
      <c r="AG1003" s="870"/>
    </row>
    <row r="1004" spans="1:33" s="995" customFormat="1">
      <c r="A1004" s="974"/>
      <c r="D1004" s="876"/>
      <c r="E1004" s="974"/>
      <c r="F1004" s="876"/>
      <c r="G1004" s="876"/>
      <c r="H1004" s="876"/>
      <c r="I1004" s="876"/>
      <c r="J1004" s="876"/>
      <c r="K1004" s="876"/>
      <c r="L1004" s="876"/>
      <c r="M1004" s="876"/>
      <c r="N1004" s="876"/>
      <c r="O1004" s="876"/>
      <c r="P1004" s="876"/>
      <c r="Q1004" s="870"/>
      <c r="R1004" s="870"/>
      <c r="S1004" s="870"/>
      <c r="T1004" s="870"/>
      <c r="U1004" s="870"/>
      <c r="V1004" s="870"/>
      <c r="W1004" s="870"/>
      <c r="X1004" s="870"/>
      <c r="Y1004" s="870"/>
      <c r="Z1004" s="870"/>
      <c r="AA1004" s="870"/>
      <c r="AB1004" s="870"/>
      <c r="AC1004" s="870"/>
      <c r="AD1004" s="870"/>
      <c r="AE1004" s="870"/>
      <c r="AF1004" s="870"/>
      <c r="AG1004" s="870"/>
    </row>
    <row r="1005" spans="1:33" s="995" customFormat="1">
      <c r="A1005" s="974"/>
      <c r="D1005" s="876"/>
      <c r="E1005" s="974"/>
      <c r="F1005" s="876"/>
      <c r="G1005" s="876"/>
      <c r="H1005" s="876"/>
      <c r="I1005" s="876"/>
      <c r="J1005" s="876"/>
      <c r="K1005" s="876"/>
      <c r="L1005" s="876"/>
      <c r="M1005" s="876"/>
      <c r="N1005" s="876"/>
      <c r="O1005" s="876"/>
      <c r="P1005" s="876"/>
      <c r="Q1005" s="870"/>
      <c r="R1005" s="870"/>
      <c r="S1005" s="870"/>
      <c r="T1005" s="870"/>
      <c r="U1005" s="870"/>
      <c r="V1005" s="870"/>
      <c r="W1005" s="870"/>
      <c r="X1005" s="870"/>
      <c r="Y1005" s="870"/>
      <c r="Z1005" s="870"/>
      <c r="AA1005" s="870"/>
      <c r="AB1005" s="870"/>
      <c r="AC1005" s="870"/>
      <c r="AD1005" s="870"/>
      <c r="AE1005" s="870"/>
      <c r="AF1005" s="870"/>
      <c r="AG1005" s="870"/>
    </row>
    <row r="1006" spans="1:33" s="995" customFormat="1">
      <c r="A1006" s="974"/>
      <c r="D1006" s="876"/>
      <c r="E1006" s="974"/>
      <c r="F1006" s="876"/>
      <c r="G1006" s="876"/>
      <c r="H1006" s="876"/>
      <c r="I1006" s="876"/>
      <c r="J1006" s="876"/>
      <c r="K1006" s="876"/>
      <c r="L1006" s="876"/>
      <c r="M1006" s="876"/>
      <c r="N1006" s="876"/>
      <c r="O1006" s="876"/>
      <c r="P1006" s="876"/>
      <c r="Q1006" s="870"/>
      <c r="R1006" s="870"/>
      <c r="S1006" s="870"/>
      <c r="T1006" s="870"/>
      <c r="U1006" s="870"/>
      <c r="V1006" s="870"/>
      <c r="W1006" s="870"/>
      <c r="X1006" s="870"/>
      <c r="Y1006" s="870"/>
      <c r="Z1006" s="870"/>
      <c r="AA1006" s="870"/>
      <c r="AB1006" s="870"/>
      <c r="AC1006" s="870"/>
      <c r="AD1006" s="870"/>
      <c r="AE1006" s="870"/>
      <c r="AF1006" s="870"/>
      <c r="AG1006" s="870"/>
    </row>
    <row r="1007" spans="1:33" s="995" customFormat="1">
      <c r="A1007" s="974"/>
      <c r="D1007" s="876"/>
      <c r="E1007" s="974"/>
      <c r="F1007" s="876"/>
      <c r="G1007" s="876"/>
      <c r="H1007" s="876"/>
      <c r="I1007" s="876"/>
      <c r="J1007" s="876"/>
      <c r="K1007" s="876"/>
      <c r="L1007" s="876"/>
      <c r="M1007" s="876"/>
      <c r="N1007" s="876"/>
      <c r="O1007" s="876"/>
      <c r="P1007" s="876"/>
      <c r="Q1007" s="870"/>
      <c r="R1007" s="870"/>
      <c r="S1007" s="870"/>
      <c r="T1007" s="870"/>
      <c r="U1007" s="870"/>
      <c r="V1007" s="870"/>
      <c r="W1007" s="870"/>
      <c r="X1007" s="870"/>
      <c r="Y1007" s="870"/>
      <c r="Z1007" s="870"/>
      <c r="AA1007" s="870"/>
      <c r="AB1007" s="870"/>
      <c r="AC1007" s="870"/>
      <c r="AD1007" s="870"/>
      <c r="AE1007" s="870"/>
      <c r="AF1007" s="870"/>
      <c r="AG1007" s="870"/>
    </row>
    <row r="1008" spans="1:33" s="995" customFormat="1">
      <c r="A1008" s="974"/>
      <c r="D1008" s="876"/>
      <c r="E1008" s="974"/>
      <c r="F1008" s="876"/>
      <c r="G1008" s="876"/>
      <c r="H1008" s="876"/>
      <c r="I1008" s="876"/>
      <c r="J1008" s="876"/>
      <c r="K1008" s="876"/>
      <c r="L1008" s="876"/>
      <c r="M1008" s="876"/>
      <c r="N1008" s="876"/>
      <c r="O1008" s="876"/>
      <c r="P1008" s="876"/>
      <c r="Q1008" s="870"/>
      <c r="R1008" s="870"/>
      <c r="S1008" s="870"/>
      <c r="T1008" s="870"/>
      <c r="U1008" s="870"/>
      <c r="V1008" s="870"/>
      <c r="W1008" s="870"/>
      <c r="X1008" s="870"/>
      <c r="Y1008" s="870"/>
      <c r="Z1008" s="870"/>
      <c r="AA1008" s="870"/>
      <c r="AB1008" s="870"/>
      <c r="AC1008" s="870"/>
      <c r="AD1008" s="870"/>
      <c r="AE1008" s="870"/>
      <c r="AF1008" s="870"/>
      <c r="AG1008" s="870"/>
    </row>
    <row r="1009" spans="1:33" s="995" customFormat="1">
      <c r="A1009" s="974"/>
      <c r="D1009" s="876"/>
      <c r="E1009" s="974"/>
      <c r="F1009" s="876"/>
      <c r="G1009" s="876"/>
      <c r="H1009" s="876"/>
      <c r="I1009" s="876"/>
      <c r="J1009" s="876"/>
      <c r="K1009" s="876"/>
      <c r="L1009" s="876"/>
      <c r="M1009" s="876"/>
      <c r="N1009" s="876"/>
      <c r="O1009" s="876"/>
      <c r="P1009" s="876"/>
      <c r="Q1009" s="870"/>
      <c r="R1009" s="870"/>
      <c r="S1009" s="870"/>
      <c r="T1009" s="870"/>
      <c r="U1009" s="870"/>
      <c r="V1009" s="870"/>
      <c r="W1009" s="870"/>
      <c r="X1009" s="870"/>
      <c r="Y1009" s="870"/>
      <c r="Z1009" s="870"/>
      <c r="AA1009" s="870"/>
      <c r="AB1009" s="870"/>
      <c r="AC1009" s="870"/>
      <c r="AD1009" s="870"/>
      <c r="AE1009" s="870"/>
      <c r="AF1009" s="870"/>
      <c r="AG1009" s="870"/>
    </row>
    <row r="1010" spans="1:33" s="995" customFormat="1">
      <c r="A1010" s="974"/>
      <c r="D1010" s="876"/>
      <c r="E1010" s="974"/>
      <c r="F1010" s="876"/>
      <c r="G1010" s="876"/>
      <c r="H1010" s="876"/>
      <c r="I1010" s="876"/>
      <c r="J1010" s="876"/>
      <c r="K1010" s="876"/>
      <c r="L1010" s="876"/>
      <c r="M1010" s="876"/>
      <c r="N1010" s="876"/>
      <c r="O1010" s="876"/>
      <c r="P1010" s="876"/>
      <c r="Q1010" s="870"/>
      <c r="R1010" s="870"/>
      <c r="S1010" s="870"/>
      <c r="T1010" s="870"/>
      <c r="U1010" s="870"/>
      <c r="V1010" s="870"/>
      <c r="W1010" s="870"/>
      <c r="X1010" s="870"/>
      <c r="Y1010" s="870"/>
      <c r="Z1010" s="870"/>
      <c r="AA1010" s="870"/>
      <c r="AB1010" s="870"/>
      <c r="AC1010" s="870"/>
      <c r="AD1010" s="870"/>
      <c r="AE1010" s="870"/>
      <c r="AF1010" s="870"/>
      <c r="AG1010" s="870"/>
    </row>
    <row r="1011" spans="1:33" s="995" customFormat="1">
      <c r="A1011" s="974"/>
      <c r="D1011" s="876"/>
      <c r="E1011" s="974"/>
      <c r="F1011" s="876"/>
      <c r="G1011" s="876"/>
      <c r="H1011" s="876"/>
      <c r="I1011" s="876"/>
      <c r="J1011" s="876"/>
      <c r="K1011" s="876"/>
      <c r="L1011" s="876"/>
      <c r="M1011" s="876"/>
      <c r="N1011" s="876"/>
      <c r="O1011" s="876"/>
      <c r="P1011" s="876"/>
      <c r="Q1011" s="870"/>
      <c r="R1011" s="870"/>
      <c r="S1011" s="870"/>
      <c r="T1011" s="870"/>
      <c r="U1011" s="870"/>
      <c r="V1011" s="870"/>
      <c r="W1011" s="870"/>
      <c r="X1011" s="870"/>
      <c r="Y1011" s="870"/>
      <c r="Z1011" s="870"/>
      <c r="AA1011" s="870"/>
      <c r="AB1011" s="870"/>
      <c r="AC1011" s="870"/>
      <c r="AD1011" s="870"/>
      <c r="AE1011" s="870"/>
      <c r="AF1011" s="870"/>
      <c r="AG1011" s="870"/>
    </row>
    <row r="1012" spans="1:33" s="995" customFormat="1">
      <c r="A1012" s="974"/>
      <c r="D1012" s="876"/>
      <c r="E1012" s="974"/>
      <c r="F1012" s="876"/>
      <c r="G1012" s="876"/>
      <c r="H1012" s="876"/>
      <c r="I1012" s="876"/>
      <c r="J1012" s="876"/>
      <c r="K1012" s="876"/>
      <c r="L1012" s="876"/>
      <c r="M1012" s="876"/>
      <c r="N1012" s="876"/>
      <c r="O1012" s="876"/>
      <c r="P1012" s="876"/>
      <c r="Q1012" s="870"/>
      <c r="R1012" s="870"/>
      <c r="S1012" s="870"/>
      <c r="T1012" s="870"/>
      <c r="U1012" s="870"/>
      <c r="V1012" s="870"/>
      <c r="W1012" s="870"/>
      <c r="X1012" s="870"/>
      <c r="Y1012" s="870"/>
      <c r="Z1012" s="870"/>
      <c r="AA1012" s="870"/>
      <c r="AB1012" s="870"/>
      <c r="AC1012" s="870"/>
      <c r="AD1012" s="870"/>
      <c r="AE1012" s="870"/>
      <c r="AF1012" s="870"/>
      <c r="AG1012" s="870"/>
    </row>
    <row r="1013" spans="1:33" s="995" customFormat="1">
      <c r="A1013" s="974"/>
      <c r="D1013" s="876"/>
      <c r="E1013" s="974"/>
      <c r="F1013" s="876"/>
      <c r="G1013" s="876"/>
      <c r="H1013" s="876"/>
      <c r="I1013" s="876"/>
      <c r="J1013" s="876"/>
      <c r="K1013" s="876"/>
      <c r="L1013" s="876"/>
      <c r="M1013" s="876"/>
      <c r="N1013" s="876"/>
      <c r="O1013" s="876"/>
      <c r="P1013" s="876"/>
      <c r="Q1013" s="870"/>
      <c r="R1013" s="870"/>
      <c r="S1013" s="870"/>
      <c r="T1013" s="870"/>
      <c r="U1013" s="870"/>
      <c r="V1013" s="870"/>
      <c r="W1013" s="870"/>
      <c r="X1013" s="870"/>
      <c r="Y1013" s="870"/>
      <c r="Z1013" s="870"/>
      <c r="AA1013" s="870"/>
      <c r="AB1013" s="870"/>
      <c r="AC1013" s="870"/>
      <c r="AD1013" s="870"/>
      <c r="AE1013" s="870"/>
      <c r="AF1013" s="870"/>
      <c r="AG1013" s="870"/>
    </row>
    <row r="1014" spans="1:33" s="995" customFormat="1">
      <c r="A1014" s="974"/>
      <c r="D1014" s="876"/>
      <c r="E1014" s="974"/>
      <c r="F1014" s="876"/>
      <c r="G1014" s="876"/>
      <c r="H1014" s="876"/>
      <c r="I1014" s="876"/>
      <c r="J1014" s="876"/>
      <c r="K1014" s="876"/>
      <c r="L1014" s="876"/>
      <c r="M1014" s="876"/>
      <c r="N1014" s="876"/>
      <c r="O1014" s="876"/>
      <c r="P1014" s="876"/>
      <c r="Q1014" s="870"/>
      <c r="R1014" s="870"/>
      <c r="S1014" s="870"/>
      <c r="T1014" s="870"/>
      <c r="U1014" s="870"/>
      <c r="V1014" s="870"/>
      <c r="W1014" s="870"/>
      <c r="X1014" s="870"/>
      <c r="Y1014" s="870"/>
      <c r="Z1014" s="870"/>
      <c r="AA1014" s="870"/>
      <c r="AB1014" s="870"/>
      <c r="AC1014" s="870"/>
      <c r="AD1014" s="870"/>
      <c r="AE1014" s="870"/>
      <c r="AF1014" s="870"/>
      <c r="AG1014" s="870"/>
    </row>
    <row r="1015" spans="1:33" s="995" customFormat="1">
      <c r="A1015" s="974"/>
      <c r="D1015" s="876"/>
      <c r="E1015" s="974"/>
      <c r="F1015" s="876"/>
      <c r="G1015" s="876"/>
      <c r="H1015" s="876"/>
      <c r="I1015" s="876"/>
      <c r="J1015" s="876"/>
      <c r="K1015" s="876"/>
      <c r="L1015" s="876"/>
      <c r="M1015" s="876"/>
      <c r="N1015" s="876"/>
      <c r="O1015" s="876"/>
      <c r="P1015" s="876"/>
      <c r="Q1015" s="870"/>
      <c r="R1015" s="870"/>
      <c r="S1015" s="870"/>
      <c r="T1015" s="870"/>
      <c r="U1015" s="870"/>
      <c r="V1015" s="870"/>
      <c r="W1015" s="870"/>
      <c r="X1015" s="870"/>
      <c r="Y1015" s="870"/>
      <c r="Z1015" s="870"/>
      <c r="AA1015" s="870"/>
      <c r="AB1015" s="870"/>
      <c r="AC1015" s="870"/>
      <c r="AD1015" s="870"/>
      <c r="AE1015" s="870"/>
      <c r="AF1015" s="870"/>
      <c r="AG1015" s="870"/>
    </row>
    <row r="1016" spans="1:33" s="995" customFormat="1">
      <c r="A1016" s="974"/>
      <c r="D1016" s="876"/>
      <c r="E1016" s="974"/>
      <c r="F1016" s="876"/>
      <c r="G1016" s="876"/>
      <c r="H1016" s="876"/>
      <c r="I1016" s="876"/>
      <c r="J1016" s="876"/>
      <c r="K1016" s="876"/>
      <c r="L1016" s="876"/>
      <c r="M1016" s="876"/>
      <c r="N1016" s="876"/>
      <c r="O1016" s="876"/>
      <c r="P1016" s="876"/>
      <c r="Q1016" s="870"/>
      <c r="R1016" s="870"/>
      <c r="S1016" s="870"/>
      <c r="T1016" s="870"/>
      <c r="U1016" s="870"/>
      <c r="V1016" s="870"/>
      <c r="W1016" s="870"/>
      <c r="X1016" s="870"/>
      <c r="Y1016" s="870"/>
      <c r="Z1016" s="870"/>
      <c r="AA1016" s="870"/>
      <c r="AB1016" s="870"/>
      <c r="AC1016" s="870"/>
      <c r="AD1016" s="870"/>
      <c r="AE1016" s="870"/>
      <c r="AF1016" s="870"/>
      <c r="AG1016" s="870"/>
    </row>
    <row r="1017" spans="1:33" s="995" customFormat="1">
      <c r="A1017" s="974"/>
      <c r="D1017" s="876"/>
      <c r="E1017" s="974"/>
      <c r="F1017" s="876"/>
      <c r="G1017" s="876"/>
      <c r="H1017" s="876"/>
      <c r="I1017" s="876"/>
      <c r="J1017" s="876"/>
      <c r="K1017" s="876"/>
      <c r="L1017" s="876"/>
      <c r="M1017" s="876"/>
      <c r="N1017" s="876"/>
      <c r="O1017" s="876"/>
      <c r="P1017" s="876"/>
      <c r="Q1017" s="870"/>
      <c r="R1017" s="870"/>
      <c r="S1017" s="870"/>
      <c r="T1017" s="870"/>
      <c r="U1017" s="870"/>
      <c r="V1017" s="870"/>
      <c r="W1017" s="870"/>
      <c r="X1017" s="870"/>
      <c r="Y1017" s="870"/>
      <c r="Z1017" s="870"/>
      <c r="AA1017" s="870"/>
      <c r="AB1017" s="870"/>
      <c r="AC1017" s="870"/>
      <c r="AD1017" s="870"/>
      <c r="AE1017" s="870"/>
      <c r="AF1017" s="870"/>
      <c r="AG1017" s="870"/>
    </row>
    <row r="1018" spans="1:33" s="995" customFormat="1">
      <c r="A1018" s="974"/>
      <c r="D1018" s="876"/>
      <c r="E1018" s="974"/>
      <c r="F1018" s="876"/>
      <c r="G1018" s="876"/>
      <c r="H1018" s="876"/>
      <c r="I1018" s="876"/>
      <c r="J1018" s="876"/>
      <c r="K1018" s="876"/>
      <c r="L1018" s="876"/>
      <c r="M1018" s="876"/>
      <c r="N1018" s="876"/>
      <c r="O1018" s="876"/>
      <c r="P1018" s="876"/>
      <c r="Q1018" s="870"/>
      <c r="R1018" s="870"/>
      <c r="S1018" s="870"/>
      <c r="T1018" s="870"/>
      <c r="U1018" s="870"/>
      <c r="V1018" s="870"/>
      <c r="W1018" s="870"/>
      <c r="X1018" s="870"/>
      <c r="Y1018" s="870"/>
      <c r="Z1018" s="870"/>
      <c r="AA1018" s="870"/>
      <c r="AB1018" s="870"/>
      <c r="AC1018" s="870"/>
      <c r="AD1018" s="870"/>
      <c r="AE1018" s="870"/>
      <c r="AF1018" s="870"/>
      <c r="AG1018" s="870"/>
    </row>
    <row r="1019" spans="1:33" s="995" customFormat="1">
      <c r="A1019" s="974"/>
      <c r="D1019" s="876"/>
      <c r="E1019" s="974"/>
      <c r="F1019" s="876"/>
      <c r="G1019" s="876"/>
      <c r="H1019" s="876"/>
      <c r="I1019" s="876"/>
      <c r="J1019" s="876"/>
      <c r="K1019" s="876"/>
      <c r="L1019" s="876"/>
      <c r="M1019" s="876"/>
      <c r="N1019" s="876"/>
      <c r="O1019" s="876"/>
      <c r="P1019" s="876"/>
      <c r="Q1019" s="870"/>
      <c r="R1019" s="870"/>
      <c r="S1019" s="870"/>
      <c r="T1019" s="870"/>
      <c r="U1019" s="870"/>
      <c r="V1019" s="870"/>
      <c r="W1019" s="870"/>
      <c r="X1019" s="870"/>
      <c r="Y1019" s="870"/>
      <c r="Z1019" s="870"/>
      <c r="AA1019" s="870"/>
      <c r="AB1019" s="870"/>
      <c r="AC1019" s="870"/>
      <c r="AD1019" s="870"/>
      <c r="AE1019" s="870"/>
      <c r="AF1019" s="870"/>
      <c r="AG1019" s="870"/>
    </row>
    <row r="1020" spans="1:33" s="995" customFormat="1">
      <c r="A1020" s="974"/>
      <c r="D1020" s="876"/>
      <c r="E1020" s="974"/>
      <c r="F1020" s="876"/>
      <c r="G1020" s="876"/>
      <c r="H1020" s="876"/>
      <c r="I1020" s="876"/>
      <c r="J1020" s="876"/>
      <c r="K1020" s="876"/>
      <c r="L1020" s="876"/>
      <c r="M1020" s="876"/>
      <c r="N1020" s="876"/>
      <c r="O1020" s="876"/>
      <c r="P1020" s="876"/>
      <c r="Q1020" s="870"/>
      <c r="R1020" s="870"/>
      <c r="S1020" s="870"/>
      <c r="T1020" s="870"/>
      <c r="U1020" s="870"/>
      <c r="V1020" s="870"/>
      <c r="W1020" s="870"/>
      <c r="X1020" s="870"/>
      <c r="Y1020" s="870"/>
      <c r="Z1020" s="870"/>
      <c r="AA1020" s="870"/>
      <c r="AB1020" s="870"/>
      <c r="AC1020" s="870"/>
      <c r="AD1020" s="870"/>
      <c r="AE1020" s="870"/>
      <c r="AF1020" s="870"/>
      <c r="AG1020" s="870"/>
    </row>
    <row r="1021" spans="1:33" s="995" customFormat="1">
      <c r="A1021" s="974"/>
      <c r="D1021" s="876"/>
      <c r="E1021" s="974"/>
      <c r="F1021" s="876"/>
      <c r="G1021" s="876"/>
      <c r="H1021" s="876"/>
      <c r="I1021" s="876"/>
      <c r="J1021" s="876"/>
      <c r="K1021" s="876"/>
      <c r="L1021" s="876"/>
      <c r="M1021" s="876"/>
      <c r="N1021" s="876"/>
      <c r="O1021" s="876"/>
      <c r="P1021" s="876"/>
      <c r="Q1021" s="870"/>
      <c r="R1021" s="870"/>
      <c r="S1021" s="870"/>
      <c r="T1021" s="870"/>
      <c r="U1021" s="870"/>
      <c r="V1021" s="870"/>
      <c r="W1021" s="870"/>
      <c r="X1021" s="870"/>
      <c r="Y1021" s="870"/>
      <c r="Z1021" s="870"/>
      <c r="AA1021" s="870"/>
      <c r="AB1021" s="870"/>
      <c r="AC1021" s="870"/>
      <c r="AD1021" s="870"/>
      <c r="AE1021" s="870"/>
      <c r="AF1021" s="870"/>
      <c r="AG1021" s="870"/>
    </row>
    <row r="1022" spans="1:33" s="995" customFormat="1">
      <c r="A1022" s="974"/>
      <c r="D1022" s="876"/>
      <c r="E1022" s="974"/>
      <c r="F1022" s="876"/>
      <c r="G1022" s="876"/>
      <c r="H1022" s="876"/>
      <c r="I1022" s="876"/>
      <c r="J1022" s="876"/>
      <c r="K1022" s="876"/>
      <c r="L1022" s="876"/>
      <c r="M1022" s="876"/>
      <c r="N1022" s="876"/>
      <c r="O1022" s="876"/>
      <c r="P1022" s="876"/>
      <c r="Q1022" s="870"/>
      <c r="R1022" s="870"/>
      <c r="S1022" s="870"/>
      <c r="T1022" s="870"/>
      <c r="U1022" s="870"/>
      <c r="V1022" s="870"/>
      <c r="W1022" s="870"/>
      <c r="X1022" s="870"/>
      <c r="Y1022" s="870"/>
      <c r="Z1022" s="870"/>
      <c r="AA1022" s="870"/>
      <c r="AB1022" s="870"/>
      <c r="AC1022" s="870"/>
      <c r="AD1022" s="870"/>
      <c r="AE1022" s="870"/>
      <c r="AF1022" s="870"/>
      <c r="AG1022" s="870"/>
    </row>
    <row r="1023" spans="1:33" s="995" customFormat="1">
      <c r="A1023" s="974"/>
      <c r="D1023" s="876"/>
      <c r="E1023" s="974"/>
      <c r="F1023" s="876"/>
      <c r="G1023" s="876"/>
      <c r="H1023" s="876"/>
      <c r="I1023" s="876"/>
      <c r="J1023" s="876"/>
      <c r="K1023" s="876"/>
      <c r="L1023" s="876"/>
      <c r="M1023" s="876"/>
      <c r="N1023" s="876"/>
      <c r="O1023" s="876"/>
      <c r="P1023" s="876"/>
      <c r="Q1023" s="870"/>
      <c r="R1023" s="870"/>
      <c r="S1023" s="870"/>
      <c r="T1023" s="870"/>
      <c r="U1023" s="870"/>
      <c r="V1023" s="870"/>
      <c r="W1023" s="870"/>
      <c r="X1023" s="870"/>
      <c r="Y1023" s="870"/>
      <c r="Z1023" s="870"/>
      <c r="AA1023" s="870"/>
      <c r="AB1023" s="870"/>
      <c r="AC1023" s="870"/>
      <c r="AD1023" s="870"/>
      <c r="AE1023" s="870"/>
      <c r="AF1023" s="870"/>
      <c r="AG1023" s="870"/>
    </row>
    <row r="1024" spans="1:33" s="995" customFormat="1">
      <c r="A1024" s="974"/>
      <c r="D1024" s="876"/>
      <c r="E1024" s="974"/>
      <c r="F1024" s="876"/>
      <c r="G1024" s="876"/>
      <c r="H1024" s="876"/>
      <c r="I1024" s="876"/>
      <c r="J1024" s="876"/>
      <c r="K1024" s="876"/>
      <c r="L1024" s="876"/>
      <c r="M1024" s="876"/>
      <c r="N1024" s="876"/>
      <c r="O1024" s="876"/>
      <c r="P1024" s="876"/>
      <c r="Q1024" s="870"/>
      <c r="R1024" s="870"/>
      <c r="S1024" s="870"/>
      <c r="T1024" s="870"/>
      <c r="U1024" s="870"/>
      <c r="V1024" s="870"/>
      <c r="W1024" s="870"/>
      <c r="X1024" s="870"/>
      <c r="Y1024" s="870"/>
      <c r="Z1024" s="870"/>
      <c r="AA1024" s="870"/>
      <c r="AB1024" s="870"/>
      <c r="AC1024" s="870"/>
      <c r="AD1024" s="870"/>
      <c r="AE1024" s="870"/>
      <c r="AF1024" s="870"/>
      <c r="AG1024" s="870"/>
    </row>
    <row r="1025" spans="1:33" s="995" customFormat="1">
      <c r="A1025" s="974"/>
      <c r="D1025" s="876"/>
      <c r="E1025" s="974"/>
      <c r="F1025" s="876"/>
      <c r="G1025" s="876"/>
      <c r="H1025" s="876"/>
      <c r="I1025" s="876"/>
      <c r="J1025" s="876"/>
      <c r="K1025" s="876"/>
      <c r="L1025" s="876"/>
      <c r="M1025" s="876"/>
      <c r="N1025" s="876"/>
      <c r="O1025" s="876"/>
      <c r="P1025" s="876"/>
      <c r="Q1025" s="870"/>
      <c r="R1025" s="870"/>
      <c r="S1025" s="870"/>
      <c r="T1025" s="870"/>
      <c r="U1025" s="870"/>
      <c r="V1025" s="870"/>
      <c r="W1025" s="870"/>
      <c r="X1025" s="870"/>
      <c r="Y1025" s="870"/>
      <c r="Z1025" s="870"/>
      <c r="AA1025" s="870"/>
      <c r="AB1025" s="870"/>
      <c r="AC1025" s="870"/>
      <c r="AD1025" s="870"/>
      <c r="AE1025" s="870"/>
      <c r="AF1025" s="870"/>
      <c r="AG1025" s="870"/>
    </row>
    <row r="1026" spans="1:33" s="995" customFormat="1">
      <c r="A1026" s="974"/>
      <c r="D1026" s="876"/>
      <c r="E1026" s="974"/>
      <c r="F1026" s="876"/>
      <c r="G1026" s="876"/>
      <c r="H1026" s="876"/>
      <c r="I1026" s="876"/>
      <c r="J1026" s="876"/>
      <c r="K1026" s="876"/>
      <c r="L1026" s="876"/>
      <c r="M1026" s="876"/>
      <c r="N1026" s="876"/>
      <c r="O1026" s="876"/>
      <c r="P1026" s="876"/>
      <c r="Q1026" s="870"/>
      <c r="R1026" s="870"/>
      <c r="S1026" s="870"/>
      <c r="T1026" s="870"/>
      <c r="U1026" s="870"/>
      <c r="V1026" s="870"/>
      <c r="W1026" s="870"/>
      <c r="X1026" s="870"/>
      <c r="Y1026" s="870"/>
      <c r="Z1026" s="870"/>
      <c r="AA1026" s="870"/>
      <c r="AB1026" s="870"/>
      <c r="AC1026" s="870"/>
      <c r="AD1026" s="870"/>
      <c r="AE1026" s="870"/>
      <c r="AF1026" s="870"/>
      <c r="AG1026" s="870"/>
    </row>
    <row r="1027" spans="1:33" s="995" customFormat="1">
      <c r="A1027" s="974"/>
      <c r="D1027" s="876"/>
      <c r="E1027" s="974"/>
      <c r="F1027" s="876"/>
      <c r="G1027" s="876"/>
      <c r="H1027" s="876"/>
      <c r="I1027" s="876"/>
      <c r="J1027" s="876"/>
      <c r="K1027" s="876"/>
      <c r="L1027" s="876"/>
      <c r="M1027" s="876"/>
      <c r="N1027" s="876"/>
      <c r="O1027" s="876"/>
      <c r="P1027" s="876"/>
      <c r="Q1027" s="870"/>
      <c r="R1027" s="870"/>
      <c r="S1027" s="870"/>
      <c r="T1027" s="870"/>
      <c r="U1027" s="870"/>
      <c r="V1027" s="870"/>
      <c r="W1027" s="870"/>
      <c r="X1027" s="870"/>
      <c r="Y1027" s="870"/>
      <c r="Z1027" s="870"/>
      <c r="AA1027" s="870"/>
      <c r="AB1027" s="870"/>
      <c r="AC1027" s="870"/>
      <c r="AD1027" s="870"/>
      <c r="AE1027" s="870"/>
      <c r="AF1027" s="870"/>
      <c r="AG1027" s="870"/>
    </row>
    <row r="1028" spans="1:33" s="995" customFormat="1">
      <c r="A1028" s="974"/>
      <c r="D1028" s="876"/>
      <c r="E1028" s="974"/>
      <c r="F1028" s="876"/>
      <c r="G1028" s="876"/>
      <c r="H1028" s="876"/>
      <c r="I1028" s="876"/>
      <c r="J1028" s="876"/>
      <c r="K1028" s="876"/>
      <c r="L1028" s="876"/>
      <c r="M1028" s="876"/>
      <c r="N1028" s="876"/>
      <c r="O1028" s="876"/>
      <c r="P1028" s="876"/>
      <c r="Q1028" s="870"/>
      <c r="R1028" s="870"/>
      <c r="S1028" s="870"/>
      <c r="T1028" s="870"/>
      <c r="U1028" s="870"/>
      <c r="V1028" s="870"/>
      <c r="W1028" s="870"/>
      <c r="X1028" s="870"/>
      <c r="Y1028" s="870"/>
      <c r="Z1028" s="870"/>
      <c r="AA1028" s="870"/>
      <c r="AB1028" s="870"/>
      <c r="AC1028" s="870"/>
      <c r="AD1028" s="870"/>
      <c r="AE1028" s="870"/>
      <c r="AF1028" s="870"/>
      <c r="AG1028" s="870"/>
    </row>
    <row r="1029" spans="1:33" s="995" customFormat="1">
      <c r="A1029" s="974"/>
      <c r="D1029" s="876"/>
      <c r="E1029" s="974"/>
      <c r="F1029" s="876"/>
      <c r="G1029" s="876"/>
      <c r="H1029" s="876"/>
      <c r="I1029" s="876"/>
      <c r="J1029" s="876"/>
      <c r="K1029" s="876"/>
      <c r="L1029" s="876"/>
      <c r="M1029" s="876"/>
      <c r="N1029" s="876"/>
      <c r="O1029" s="876"/>
      <c r="P1029" s="876"/>
      <c r="Q1029" s="870"/>
      <c r="R1029" s="870"/>
      <c r="S1029" s="870"/>
      <c r="T1029" s="870"/>
      <c r="U1029" s="870"/>
      <c r="V1029" s="870"/>
      <c r="W1029" s="870"/>
      <c r="X1029" s="870"/>
      <c r="Y1029" s="870"/>
      <c r="Z1029" s="870"/>
      <c r="AA1029" s="870"/>
      <c r="AB1029" s="870"/>
      <c r="AC1029" s="870"/>
      <c r="AD1029" s="870"/>
      <c r="AE1029" s="870"/>
      <c r="AF1029" s="870"/>
      <c r="AG1029" s="870"/>
    </row>
    <row r="1030" spans="1:33" s="995" customFormat="1">
      <c r="A1030" s="974"/>
      <c r="D1030" s="876"/>
      <c r="E1030" s="974"/>
      <c r="F1030" s="876"/>
      <c r="G1030" s="876"/>
      <c r="H1030" s="876"/>
      <c r="I1030" s="876"/>
      <c r="J1030" s="876"/>
      <c r="K1030" s="876"/>
      <c r="L1030" s="876"/>
      <c r="M1030" s="876"/>
      <c r="N1030" s="876"/>
      <c r="O1030" s="876"/>
      <c r="P1030" s="876"/>
      <c r="Q1030" s="870"/>
      <c r="R1030" s="870"/>
      <c r="S1030" s="870"/>
      <c r="T1030" s="870"/>
      <c r="U1030" s="870"/>
      <c r="V1030" s="870"/>
      <c r="W1030" s="870"/>
      <c r="X1030" s="870"/>
      <c r="Y1030" s="870"/>
      <c r="Z1030" s="870"/>
      <c r="AA1030" s="870"/>
      <c r="AB1030" s="870"/>
      <c r="AC1030" s="870"/>
      <c r="AD1030" s="870"/>
      <c r="AE1030" s="870"/>
      <c r="AF1030" s="870"/>
      <c r="AG1030" s="870"/>
    </row>
    <row r="1031" spans="1:33" s="995" customFormat="1">
      <c r="A1031" s="974"/>
      <c r="D1031" s="876"/>
      <c r="E1031" s="974"/>
      <c r="F1031" s="876"/>
      <c r="G1031" s="876"/>
      <c r="H1031" s="876"/>
      <c r="I1031" s="876"/>
      <c r="J1031" s="876"/>
      <c r="K1031" s="876"/>
      <c r="L1031" s="876"/>
      <c r="M1031" s="876"/>
      <c r="N1031" s="876"/>
      <c r="O1031" s="876"/>
      <c r="P1031" s="876"/>
      <c r="Q1031" s="870"/>
      <c r="R1031" s="870"/>
      <c r="S1031" s="870"/>
      <c r="T1031" s="870"/>
      <c r="U1031" s="870"/>
      <c r="V1031" s="870"/>
      <c r="W1031" s="870"/>
      <c r="X1031" s="870"/>
      <c r="Y1031" s="870"/>
      <c r="Z1031" s="870"/>
      <c r="AA1031" s="870"/>
      <c r="AB1031" s="870"/>
      <c r="AC1031" s="870"/>
      <c r="AD1031" s="870"/>
      <c r="AE1031" s="870"/>
      <c r="AF1031" s="870"/>
      <c r="AG1031" s="870"/>
    </row>
    <row r="1032" spans="1:33" s="995" customFormat="1">
      <c r="A1032" s="974"/>
      <c r="D1032" s="876"/>
      <c r="E1032" s="974"/>
      <c r="F1032" s="876"/>
      <c r="G1032" s="876"/>
      <c r="H1032" s="876"/>
      <c r="I1032" s="876"/>
      <c r="J1032" s="876"/>
      <c r="K1032" s="876"/>
      <c r="L1032" s="876"/>
      <c r="M1032" s="876"/>
      <c r="N1032" s="876"/>
      <c r="O1032" s="876"/>
      <c r="P1032" s="876"/>
      <c r="Q1032" s="870"/>
      <c r="R1032" s="870"/>
      <c r="S1032" s="870"/>
      <c r="T1032" s="870"/>
      <c r="U1032" s="870"/>
      <c r="V1032" s="870"/>
      <c r="W1032" s="870"/>
      <c r="X1032" s="870"/>
      <c r="Y1032" s="870"/>
      <c r="Z1032" s="870"/>
      <c r="AA1032" s="870"/>
      <c r="AB1032" s="870"/>
      <c r="AC1032" s="870"/>
      <c r="AD1032" s="870"/>
      <c r="AE1032" s="870"/>
      <c r="AF1032" s="870"/>
      <c r="AG1032" s="870"/>
    </row>
    <row r="1033" spans="1:33" s="995" customFormat="1">
      <c r="A1033" s="974"/>
      <c r="D1033" s="876"/>
      <c r="E1033" s="974"/>
      <c r="F1033" s="876"/>
      <c r="G1033" s="876"/>
      <c r="H1033" s="876"/>
      <c r="I1033" s="876"/>
      <c r="J1033" s="876"/>
      <c r="K1033" s="876"/>
      <c r="L1033" s="876"/>
      <c r="M1033" s="876"/>
      <c r="N1033" s="876"/>
      <c r="O1033" s="876"/>
      <c r="P1033" s="876"/>
      <c r="Q1033" s="870"/>
      <c r="R1033" s="870"/>
      <c r="S1033" s="870"/>
      <c r="T1033" s="870"/>
      <c r="U1033" s="870"/>
      <c r="V1033" s="870"/>
      <c r="W1033" s="870"/>
      <c r="X1033" s="870"/>
      <c r="Y1033" s="870"/>
      <c r="Z1033" s="870"/>
      <c r="AA1033" s="870"/>
      <c r="AB1033" s="870"/>
      <c r="AC1033" s="870"/>
      <c r="AD1033" s="870"/>
      <c r="AE1033" s="870"/>
      <c r="AF1033" s="870"/>
      <c r="AG1033" s="870"/>
    </row>
    <row r="1034" spans="1:33" s="995" customFormat="1">
      <c r="A1034" s="974"/>
      <c r="D1034" s="876"/>
      <c r="E1034" s="974"/>
      <c r="F1034" s="876"/>
      <c r="G1034" s="876"/>
      <c r="H1034" s="876"/>
      <c r="I1034" s="876"/>
      <c r="J1034" s="876"/>
      <c r="K1034" s="876"/>
      <c r="L1034" s="876"/>
      <c r="M1034" s="876"/>
      <c r="N1034" s="876"/>
      <c r="O1034" s="876"/>
      <c r="P1034" s="876"/>
      <c r="Q1034" s="870"/>
      <c r="R1034" s="870"/>
      <c r="S1034" s="870"/>
      <c r="T1034" s="870"/>
      <c r="U1034" s="870"/>
      <c r="V1034" s="870"/>
      <c r="W1034" s="870"/>
      <c r="X1034" s="870"/>
      <c r="Y1034" s="870"/>
      <c r="Z1034" s="870"/>
      <c r="AA1034" s="870"/>
      <c r="AB1034" s="870"/>
      <c r="AC1034" s="870"/>
      <c r="AD1034" s="870"/>
      <c r="AE1034" s="870"/>
      <c r="AF1034" s="870"/>
      <c r="AG1034" s="870"/>
    </row>
    <row r="1035" spans="1:33" s="995" customFormat="1">
      <c r="A1035" s="974"/>
      <c r="D1035" s="876"/>
      <c r="E1035" s="974"/>
      <c r="F1035" s="876"/>
      <c r="G1035" s="876"/>
      <c r="H1035" s="876"/>
      <c r="I1035" s="876"/>
      <c r="J1035" s="876"/>
      <c r="K1035" s="876"/>
      <c r="L1035" s="876"/>
      <c r="M1035" s="876"/>
      <c r="N1035" s="876"/>
      <c r="O1035" s="876"/>
      <c r="P1035" s="876"/>
      <c r="Q1035" s="870"/>
      <c r="R1035" s="870"/>
      <c r="S1035" s="870"/>
      <c r="T1035" s="870"/>
      <c r="U1035" s="870"/>
      <c r="V1035" s="870"/>
      <c r="W1035" s="870"/>
      <c r="X1035" s="870"/>
      <c r="Y1035" s="870"/>
      <c r="Z1035" s="870"/>
      <c r="AA1035" s="870"/>
      <c r="AB1035" s="870"/>
      <c r="AC1035" s="870"/>
      <c r="AD1035" s="870"/>
      <c r="AE1035" s="870"/>
      <c r="AF1035" s="870"/>
      <c r="AG1035" s="870"/>
    </row>
    <row r="1036" spans="1:33" s="995" customFormat="1">
      <c r="A1036" s="974"/>
      <c r="D1036" s="876"/>
      <c r="E1036" s="974"/>
      <c r="F1036" s="876"/>
      <c r="G1036" s="876"/>
      <c r="H1036" s="876"/>
      <c r="I1036" s="876"/>
      <c r="J1036" s="876"/>
      <c r="K1036" s="876"/>
      <c r="L1036" s="876"/>
      <c r="M1036" s="876"/>
      <c r="N1036" s="876"/>
      <c r="O1036" s="876"/>
      <c r="P1036" s="876"/>
      <c r="Q1036" s="870"/>
      <c r="R1036" s="870"/>
      <c r="S1036" s="870"/>
      <c r="T1036" s="870"/>
      <c r="U1036" s="870"/>
      <c r="V1036" s="870"/>
      <c r="W1036" s="870"/>
      <c r="X1036" s="870"/>
      <c r="Y1036" s="870"/>
      <c r="Z1036" s="870"/>
      <c r="AA1036" s="870"/>
      <c r="AB1036" s="870"/>
      <c r="AC1036" s="870"/>
      <c r="AD1036" s="870"/>
      <c r="AE1036" s="870"/>
      <c r="AF1036" s="870"/>
      <c r="AG1036" s="870"/>
    </row>
    <row r="1037" spans="1:33" s="995" customFormat="1">
      <c r="A1037" s="974"/>
      <c r="D1037" s="876"/>
      <c r="E1037" s="974"/>
      <c r="F1037" s="876"/>
      <c r="G1037" s="876"/>
      <c r="H1037" s="876"/>
      <c r="I1037" s="876"/>
      <c r="J1037" s="876"/>
      <c r="K1037" s="876"/>
      <c r="L1037" s="876"/>
      <c r="M1037" s="876"/>
      <c r="N1037" s="876"/>
      <c r="O1037" s="876"/>
      <c r="P1037" s="876"/>
      <c r="Q1037" s="870"/>
      <c r="R1037" s="870"/>
      <c r="S1037" s="870"/>
      <c r="T1037" s="870"/>
      <c r="U1037" s="870"/>
      <c r="V1037" s="870"/>
      <c r="W1037" s="870"/>
      <c r="X1037" s="870"/>
      <c r="Y1037" s="870"/>
      <c r="Z1037" s="870"/>
      <c r="AA1037" s="870"/>
      <c r="AB1037" s="870"/>
      <c r="AC1037" s="870"/>
      <c r="AD1037" s="870"/>
      <c r="AE1037" s="870"/>
      <c r="AF1037" s="870"/>
      <c r="AG1037" s="870"/>
    </row>
    <row r="1038" spans="1:33" s="995" customFormat="1">
      <c r="A1038" s="974"/>
      <c r="D1038" s="876"/>
      <c r="E1038" s="974"/>
      <c r="F1038" s="876"/>
      <c r="G1038" s="876"/>
      <c r="H1038" s="876"/>
      <c r="I1038" s="876"/>
      <c r="J1038" s="876"/>
      <c r="K1038" s="876"/>
      <c r="L1038" s="876"/>
      <c r="M1038" s="876"/>
      <c r="N1038" s="876"/>
      <c r="O1038" s="876"/>
      <c r="P1038" s="876"/>
      <c r="Q1038" s="870"/>
      <c r="R1038" s="870"/>
      <c r="S1038" s="870"/>
      <c r="T1038" s="870"/>
      <c r="U1038" s="870"/>
      <c r="V1038" s="870"/>
      <c r="W1038" s="870"/>
      <c r="X1038" s="870"/>
      <c r="Y1038" s="870"/>
      <c r="Z1038" s="870"/>
      <c r="AA1038" s="870"/>
      <c r="AB1038" s="870"/>
      <c r="AC1038" s="870"/>
      <c r="AD1038" s="870"/>
      <c r="AE1038" s="870"/>
      <c r="AF1038" s="870"/>
      <c r="AG1038" s="870"/>
    </row>
    <row r="1039" spans="1:33" s="995" customFormat="1">
      <c r="A1039" s="974"/>
      <c r="D1039" s="876"/>
      <c r="E1039" s="974"/>
      <c r="F1039" s="876"/>
      <c r="G1039" s="876"/>
      <c r="H1039" s="876"/>
      <c r="I1039" s="876"/>
      <c r="J1039" s="876"/>
      <c r="K1039" s="876"/>
      <c r="L1039" s="876"/>
      <c r="M1039" s="876"/>
      <c r="N1039" s="876"/>
      <c r="O1039" s="876"/>
      <c r="P1039" s="876"/>
      <c r="Q1039" s="870"/>
      <c r="R1039" s="870"/>
      <c r="S1039" s="870"/>
      <c r="T1039" s="870"/>
      <c r="U1039" s="870"/>
      <c r="V1039" s="870"/>
      <c r="W1039" s="870"/>
      <c r="X1039" s="870"/>
      <c r="Y1039" s="870"/>
      <c r="Z1039" s="870"/>
      <c r="AA1039" s="870"/>
      <c r="AB1039" s="870"/>
      <c r="AC1039" s="870"/>
      <c r="AD1039" s="870"/>
      <c r="AE1039" s="870"/>
      <c r="AF1039" s="870"/>
      <c r="AG1039" s="870"/>
    </row>
    <row r="1040" spans="1:33" s="995" customFormat="1">
      <c r="A1040" s="974"/>
      <c r="D1040" s="876"/>
      <c r="E1040" s="974"/>
      <c r="F1040" s="876"/>
      <c r="G1040" s="876"/>
      <c r="H1040" s="876"/>
      <c r="I1040" s="876"/>
      <c r="J1040" s="876"/>
      <c r="K1040" s="876"/>
      <c r="L1040" s="876"/>
      <c r="M1040" s="876"/>
      <c r="N1040" s="876"/>
      <c r="O1040" s="876"/>
      <c r="P1040" s="876"/>
      <c r="Q1040" s="870"/>
      <c r="R1040" s="870"/>
      <c r="S1040" s="870"/>
      <c r="T1040" s="870"/>
      <c r="U1040" s="870"/>
      <c r="V1040" s="870"/>
      <c r="W1040" s="870"/>
      <c r="X1040" s="870"/>
      <c r="Y1040" s="870"/>
      <c r="Z1040" s="870"/>
      <c r="AA1040" s="870"/>
      <c r="AB1040" s="870"/>
      <c r="AC1040" s="870"/>
      <c r="AD1040" s="870"/>
      <c r="AE1040" s="870"/>
      <c r="AF1040" s="870"/>
      <c r="AG1040" s="870"/>
    </row>
    <row r="1041" spans="1:33" s="995" customFormat="1">
      <c r="A1041" s="974"/>
      <c r="D1041" s="876"/>
      <c r="E1041" s="974"/>
      <c r="F1041" s="876"/>
      <c r="G1041" s="876"/>
      <c r="H1041" s="876"/>
      <c r="I1041" s="876"/>
      <c r="J1041" s="876"/>
      <c r="K1041" s="876"/>
      <c r="L1041" s="876"/>
      <c r="M1041" s="876"/>
      <c r="N1041" s="876"/>
      <c r="O1041" s="876"/>
      <c r="P1041" s="876"/>
      <c r="Q1041" s="870"/>
      <c r="R1041" s="870"/>
      <c r="S1041" s="870"/>
      <c r="T1041" s="870"/>
      <c r="U1041" s="870"/>
      <c r="V1041" s="870"/>
      <c r="W1041" s="870"/>
      <c r="X1041" s="870"/>
      <c r="Y1041" s="870"/>
      <c r="Z1041" s="870"/>
      <c r="AA1041" s="870"/>
      <c r="AB1041" s="870"/>
      <c r="AC1041" s="870"/>
      <c r="AD1041" s="870"/>
      <c r="AE1041" s="870"/>
      <c r="AF1041" s="870"/>
      <c r="AG1041" s="870"/>
    </row>
    <row r="1042" spans="1:33" s="995" customFormat="1">
      <c r="A1042" s="974"/>
      <c r="D1042" s="876"/>
      <c r="E1042" s="974"/>
      <c r="F1042" s="876"/>
      <c r="G1042" s="876"/>
      <c r="H1042" s="876"/>
      <c r="I1042" s="876"/>
      <c r="J1042" s="876"/>
      <c r="K1042" s="876"/>
      <c r="L1042" s="876"/>
      <c r="M1042" s="876"/>
      <c r="N1042" s="876"/>
      <c r="O1042" s="876"/>
      <c r="P1042" s="876"/>
      <c r="Q1042" s="870"/>
      <c r="R1042" s="870"/>
      <c r="S1042" s="870"/>
      <c r="T1042" s="870"/>
      <c r="U1042" s="870"/>
      <c r="V1042" s="870"/>
      <c r="W1042" s="870"/>
      <c r="X1042" s="870"/>
      <c r="Y1042" s="870"/>
      <c r="Z1042" s="870"/>
      <c r="AA1042" s="870"/>
      <c r="AB1042" s="870"/>
      <c r="AC1042" s="870"/>
      <c r="AD1042" s="870"/>
      <c r="AE1042" s="870"/>
      <c r="AF1042" s="870"/>
      <c r="AG1042" s="870"/>
    </row>
    <row r="1043" spans="1:33" s="995" customFormat="1">
      <c r="A1043" s="974"/>
      <c r="D1043" s="876"/>
      <c r="E1043" s="974"/>
      <c r="F1043" s="876"/>
      <c r="G1043" s="876"/>
      <c r="H1043" s="876"/>
      <c r="I1043" s="876"/>
      <c r="J1043" s="876"/>
      <c r="K1043" s="876"/>
      <c r="L1043" s="876"/>
      <c r="M1043" s="876"/>
      <c r="N1043" s="876"/>
      <c r="O1043" s="876"/>
      <c r="P1043" s="876"/>
      <c r="Q1043" s="870"/>
      <c r="R1043" s="870"/>
      <c r="S1043" s="870"/>
      <c r="T1043" s="870"/>
      <c r="U1043" s="870"/>
      <c r="V1043" s="870"/>
      <c r="W1043" s="870"/>
      <c r="X1043" s="870"/>
      <c r="Y1043" s="870"/>
      <c r="Z1043" s="870"/>
      <c r="AA1043" s="870"/>
      <c r="AB1043" s="870"/>
      <c r="AC1043" s="870"/>
      <c r="AD1043" s="870"/>
      <c r="AE1043" s="870"/>
      <c r="AF1043" s="870"/>
      <c r="AG1043" s="870"/>
    </row>
    <row r="1044" spans="1:33" s="995" customFormat="1">
      <c r="A1044" s="974"/>
      <c r="D1044" s="876"/>
      <c r="E1044" s="974"/>
      <c r="F1044" s="876"/>
      <c r="G1044" s="876"/>
      <c r="H1044" s="876"/>
      <c r="I1044" s="876"/>
      <c r="J1044" s="876"/>
      <c r="K1044" s="876"/>
      <c r="L1044" s="876"/>
      <c r="M1044" s="876"/>
      <c r="N1044" s="876"/>
      <c r="O1044" s="876"/>
      <c r="P1044" s="876"/>
      <c r="Q1044" s="870"/>
      <c r="R1044" s="870"/>
      <c r="S1044" s="870"/>
      <c r="T1044" s="870"/>
      <c r="U1044" s="870"/>
      <c r="V1044" s="870"/>
      <c r="W1044" s="870"/>
      <c r="X1044" s="870"/>
      <c r="Y1044" s="870"/>
      <c r="Z1044" s="870"/>
      <c r="AA1044" s="870"/>
      <c r="AB1044" s="870"/>
      <c r="AC1044" s="870"/>
      <c r="AD1044" s="870"/>
      <c r="AE1044" s="870"/>
      <c r="AF1044" s="870"/>
      <c r="AG1044" s="870"/>
    </row>
    <row r="1045" spans="1:33" s="995" customFormat="1">
      <c r="A1045" s="974"/>
      <c r="D1045" s="876"/>
      <c r="E1045" s="974"/>
      <c r="F1045" s="876"/>
      <c r="G1045" s="876"/>
      <c r="H1045" s="876"/>
      <c r="I1045" s="876"/>
      <c r="J1045" s="876"/>
      <c r="K1045" s="876"/>
      <c r="L1045" s="876"/>
      <c r="M1045" s="876"/>
      <c r="N1045" s="876"/>
      <c r="O1045" s="876"/>
      <c r="P1045" s="876"/>
      <c r="Q1045" s="870"/>
      <c r="R1045" s="870"/>
      <c r="S1045" s="870"/>
      <c r="T1045" s="870"/>
      <c r="U1045" s="870"/>
      <c r="V1045" s="870"/>
      <c r="W1045" s="870"/>
      <c r="X1045" s="870"/>
      <c r="Y1045" s="870"/>
      <c r="Z1045" s="870"/>
      <c r="AA1045" s="870"/>
      <c r="AB1045" s="870"/>
      <c r="AC1045" s="870"/>
      <c r="AD1045" s="870"/>
      <c r="AE1045" s="870"/>
      <c r="AF1045" s="870"/>
      <c r="AG1045" s="870"/>
    </row>
    <row r="1046" spans="1:33" s="995" customFormat="1">
      <c r="A1046" s="974"/>
      <c r="D1046" s="876"/>
      <c r="E1046" s="974"/>
      <c r="F1046" s="876"/>
      <c r="G1046" s="876"/>
      <c r="H1046" s="876"/>
      <c r="I1046" s="876"/>
      <c r="J1046" s="876"/>
      <c r="K1046" s="876"/>
      <c r="L1046" s="876"/>
      <c r="M1046" s="876"/>
      <c r="N1046" s="876"/>
      <c r="O1046" s="876"/>
      <c r="P1046" s="876"/>
      <c r="Q1046" s="870"/>
      <c r="R1046" s="870"/>
      <c r="S1046" s="870"/>
      <c r="T1046" s="870"/>
      <c r="U1046" s="870"/>
      <c r="V1046" s="870"/>
      <c r="W1046" s="870"/>
      <c r="X1046" s="870"/>
      <c r="Y1046" s="870"/>
      <c r="Z1046" s="870"/>
      <c r="AA1046" s="870"/>
      <c r="AB1046" s="870"/>
      <c r="AC1046" s="870"/>
      <c r="AD1046" s="870"/>
      <c r="AE1046" s="870"/>
      <c r="AF1046" s="870"/>
      <c r="AG1046" s="870"/>
    </row>
    <row r="1047" spans="1:33" s="995" customFormat="1">
      <c r="A1047" s="974"/>
      <c r="D1047" s="876"/>
      <c r="E1047" s="974"/>
      <c r="F1047" s="876"/>
      <c r="G1047" s="876"/>
      <c r="H1047" s="876"/>
      <c r="I1047" s="876"/>
      <c r="J1047" s="876"/>
      <c r="K1047" s="876"/>
      <c r="L1047" s="876"/>
      <c r="M1047" s="876"/>
      <c r="N1047" s="876"/>
      <c r="O1047" s="876"/>
      <c r="P1047" s="876"/>
      <c r="Q1047" s="870"/>
      <c r="R1047" s="870"/>
      <c r="S1047" s="870"/>
      <c r="T1047" s="870"/>
      <c r="U1047" s="870"/>
      <c r="V1047" s="870"/>
      <c r="W1047" s="870"/>
      <c r="X1047" s="870"/>
      <c r="Y1047" s="870"/>
      <c r="Z1047" s="870"/>
      <c r="AA1047" s="870"/>
      <c r="AB1047" s="870"/>
      <c r="AC1047" s="870"/>
      <c r="AD1047" s="870"/>
      <c r="AE1047" s="870"/>
      <c r="AF1047" s="870"/>
      <c r="AG1047" s="870"/>
    </row>
    <row r="1048" spans="1:33" s="995" customFormat="1">
      <c r="A1048" s="974"/>
      <c r="D1048" s="876"/>
      <c r="E1048" s="974"/>
      <c r="F1048" s="876"/>
      <c r="G1048" s="876"/>
      <c r="H1048" s="876"/>
      <c r="I1048" s="876"/>
      <c r="J1048" s="876"/>
      <c r="K1048" s="876"/>
      <c r="L1048" s="876"/>
      <c r="M1048" s="876"/>
      <c r="N1048" s="876"/>
      <c r="O1048" s="876"/>
      <c r="P1048" s="876"/>
      <c r="Q1048" s="870"/>
      <c r="R1048" s="870"/>
      <c r="S1048" s="870"/>
      <c r="T1048" s="870"/>
      <c r="U1048" s="870"/>
      <c r="V1048" s="870"/>
      <c r="W1048" s="870"/>
      <c r="X1048" s="870"/>
      <c r="Y1048" s="870"/>
      <c r="Z1048" s="870"/>
      <c r="AA1048" s="870"/>
      <c r="AB1048" s="870"/>
      <c r="AC1048" s="870"/>
      <c r="AD1048" s="870"/>
      <c r="AE1048" s="870"/>
      <c r="AF1048" s="870"/>
      <c r="AG1048" s="870"/>
    </row>
    <row r="1049" spans="1:33" s="995" customFormat="1">
      <c r="A1049" s="974"/>
      <c r="D1049" s="876"/>
      <c r="E1049" s="974"/>
      <c r="F1049" s="876"/>
      <c r="G1049" s="876"/>
      <c r="H1049" s="876"/>
      <c r="I1049" s="876"/>
      <c r="J1049" s="876"/>
      <c r="K1049" s="876"/>
      <c r="L1049" s="876"/>
      <c r="M1049" s="876"/>
      <c r="N1049" s="876"/>
      <c r="O1049" s="876"/>
      <c r="P1049" s="876"/>
      <c r="Q1049" s="870"/>
      <c r="R1049" s="870"/>
      <c r="S1049" s="870"/>
      <c r="T1049" s="870"/>
      <c r="U1049" s="870"/>
      <c r="V1049" s="870"/>
      <c r="W1049" s="870"/>
      <c r="X1049" s="870"/>
      <c r="Y1049" s="870"/>
      <c r="Z1049" s="870"/>
      <c r="AA1049" s="870"/>
      <c r="AB1049" s="870"/>
      <c r="AC1049" s="870"/>
      <c r="AD1049" s="870"/>
      <c r="AE1049" s="870"/>
      <c r="AF1049" s="870"/>
      <c r="AG1049" s="870"/>
    </row>
    <row r="1050" spans="1:33" s="995" customFormat="1">
      <c r="A1050" s="974"/>
      <c r="D1050" s="876"/>
      <c r="E1050" s="974"/>
      <c r="F1050" s="876"/>
      <c r="G1050" s="876"/>
      <c r="H1050" s="876"/>
      <c r="I1050" s="876"/>
      <c r="J1050" s="876"/>
      <c r="K1050" s="876"/>
      <c r="L1050" s="876"/>
      <c r="M1050" s="876"/>
      <c r="N1050" s="876"/>
      <c r="O1050" s="876"/>
      <c r="P1050" s="876"/>
      <c r="Q1050" s="870"/>
      <c r="R1050" s="870"/>
      <c r="S1050" s="870"/>
      <c r="T1050" s="870"/>
      <c r="U1050" s="870"/>
      <c r="V1050" s="870"/>
      <c r="W1050" s="870"/>
      <c r="X1050" s="870"/>
      <c r="Y1050" s="870"/>
      <c r="Z1050" s="870"/>
      <c r="AA1050" s="870"/>
      <c r="AB1050" s="870"/>
      <c r="AC1050" s="870"/>
      <c r="AD1050" s="870"/>
      <c r="AE1050" s="870"/>
      <c r="AF1050" s="870"/>
      <c r="AG1050" s="870"/>
    </row>
    <row r="1051" spans="1:33" s="995" customFormat="1">
      <c r="A1051" s="974"/>
      <c r="D1051" s="876"/>
      <c r="E1051" s="974"/>
      <c r="F1051" s="876"/>
      <c r="G1051" s="876"/>
      <c r="H1051" s="876"/>
      <c r="I1051" s="876"/>
      <c r="J1051" s="876"/>
      <c r="K1051" s="876"/>
      <c r="L1051" s="876"/>
      <c r="M1051" s="876"/>
      <c r="N1051" s="876"/>
      <c r="O1051" s="876"/>
      <c r="P1051" s="876"/>
      <c r="Q1051" s="870"/>
      <c r="R1051" s="870"/>
      <c r="S1051" s="870"/>
      <c r="T1051" s="870"/>
      <c r="U1051" s="870"/>
      <c r="V1051" s="870"/>
      <c r="W1051" s="870"/>
      <c r="X1051" s="870"/>
      <c r="Y1051" s="870"/>
      <c r="Z1051" s="870"/>
      <c r="AA1051" s="870"/>
      <c r="AB1051" s="870"/>
      <c r="AC1051" s="870"/>
      <c r="AD1051" s="870"/>
      <c r="AE1051" s="870"/>
      <c r="AF1051" s="870"/>
      <c r="AG1051" s="870"/>
    </row>
    <row r="1052" spans="1:33" s="995" customFormat="1">
      <c r="A1052" s="974"/>
      <c r="D1052" s="876"/>
      <c r="E1052" s="974"/>
      <c r="F1052" s="876"/>
      <c r="G1052" s="876"/>
      <c r="H1052" s="876"/>
      <c r="I1052" s="876"/>
      <c r="J1052" s="876"/>
      <c r="K1052" s="876"/>
      <c r="L1052" s="876"/>
      <c r="M1052" s="876"/>
      <c r="N1052" s="876"/>
      <c r="O1052" s="876"/>
      <c r="P1052" s="876"/>
      <c r="Q1052" s="870"/>
      <c r="R1052" s="870"/>
      <c r="S1052" s="870"/>
      <c r="T1052" s="870"/>
      <c r="U1052" s="870"/>
      <c r="V1052" s="870"/>
      <c r="W1052" s="870"/>
      <c r="X1052" s="870"/>
      <c r="Y1052" s="870"/>
      <c r="Z1052" s="870"/>
      <c r="AA1052" s="870"/>
      <c r="AB1052" s="870"/>
      <c r="AC1052" s="870"/>
      <c r="AD1052" s="870"/>
      <c r="AE1052" s="870"/>
      <c r="AF1052" s="870"/>
      <c r="AG1052" s="870"/>
    </row>
    <row r="1053" spans="1:33" s="995" customFormat="1">
      <c r="A1053" s="974"/>
      <c r="D1053" s="876"/>
      <c r="E1053" s="974"/>
      <c r="F1053" s="876"/>
      <c r="G1053" s="876"/>
      <c r="H1053" s="876"/>
      <c r="I1053" s="876"/>
      <c r="J1053" s="876"/>
      <c r="K1053" s="876"/>
      <c r="L1053" s="876"/>
      <c r="M1053" s="876"/>
      <c r="N1053" s="876"/>
      <c r="O1053" s="876"/>
      <c r="P1053" s="876"/>
      <c r="Q1053" s="870"/>
      <c r="R1053" s="870"/>
      <c r="S1053" s="870"/>
      <c r="T1053" s="870"/>
      <c r="U1053" s="870"/>
      <c r="V1053" s="870"/>
      <c r="W1053" s="870"/>
      <c r="X1053" s="870"/>
      <c r="Y1053" s="870"/>
      <c r="Z1053" s="870"/>
      <c r="AA1053" s="870"/>
      <c r="AB1053" s="870"/>
      <c r="AC1053" s="870"/>
      <c r="AD1053" s="870"/>
      <c r="AE1053" s="870"/>
      <c r="AF1053" s="870"/>
      <c r="AG1053" s="870"/>
    </row>
    <row r="1054" spans="1:33" s="995" customFormat="1">
      <c r="A1054" s="974"/>
      <c r="D1054" s="876"/>
      <c r="E1054" s="974"/>
      <c r="F1054" s="876"/>
      <c r="G1054" s="876"/>
      <c r="H1054" s="876"/>
      <c r="I1054" s="876"/>
      <c r="J1054" s="876"/>
      <c r="K1054" s="876"/>
      <c r="L1054" s="876"/>
      <c r="M1054" s="876"/>
      <c r="N1054" s="876"/>
      <c r="O1054" s="876"/>
      <c r="P1054" s="876"/>
      <c r="Q1054" s="870"/>
      <c r="R1054" s="870"/>
      <c r="S1054" s="870"/>
      <c r="T1054" s="870"/>
      <c r="U1054" s="870"/>
      <c r="V1054" s="870"/>
      <c r="W1054" s="870"/>
      <c r="X1054" s="870"/>
      <c r="Y1054" s="870"/>
      <c r="Z1054" s="870"/>
      <c r="AA1054" s="870"/>
      <c r="AB1054" s="870"/>
      <c r="AC1054" s="870"/>
      <c r="AD1054" s="870"/>
      <c r="AE1054" s="870"/>
      <c r="AF1054" s="870"/>
      <c r="AG1054" s="870"/>
    </row>
    <row r="1055" spans="1:33" s="995" customFormat="1">
      <c r="A1055" s="974"/>
      <c r="D1055" s="876"/>
      <c r="E1055" s="974"/>
      <c r="F1055" s="876"/>
      <c r="G1055" s="876"/>
      <c r="H1055" s="876"/>
      <c r="I1055" s="876"/>
      <c r="J1055" s="876"/>
      <c r="K1055" s="876"/>
      <c r="L1055" s="876"/>
      <c r="M1055" s="876"/>
      <c r="N1055" s="876"/>
      <c r="O1055" s="876"/>
      <c r="P1055" s="876"/>
      <c r="Q1055" s="870"/>
      <c r="R1055" s="870"/>
      <c r="S1055" s="870"/>
      <c r="T1055" s="870"/>
      <c r="U1055" s="870"/>
      <c r="V1055" s="870"/>
      <c r="W1055" s="870"/>
      <c r="X1055" s="870"/>
      <c r="Y1055" s="870"/>
      <c r="Z1055" s="870"/>
      <c r="AA1055" s="870"/>
      <c r="AB1055" s="870"/>
      <c r="AC1055" s="870"/>
      <c r="AD1055" s="870"/>
      <c r="AE1055" s="870"/>
      <c r="AF1055" s="870"/>
      <c r="AG1055" s="870"/>
    </row>
    <row r="1056" spans="1:33" s="995" customFormat="1">
      <c r="A1056" s="974"/>
      <c r="D1056" s="876"/>
      <c r="E1056" s="974"/>
      <c r="F1056" s="876"/>
      <c r="G1056" s="876"/>
      <c r="H1056" s="876"/>
      <c r="I1056" s="876"/>
      <c r="J1056" s="876"/>
      <c r="K1056" s="876"/>
      <c r="L1056" s="876"/>
      <c r="M1056" s="876"/>
      <c r="N1056" s="876"/>
      <c r="O1056" s="876"/>
      <c r="P1056" s="876"/>
      <c r="Q1056" s="870"/>
      <c r="R1056" s="870"/>
      <c r="S1056" s="870"/>
      <c r="T1056" s="870"/>
      <c r="U1056" s="870"/>
      <c r="V1056" s="870"/>
      <c r="W1056" s="870"/>
      <c r="X1056" s="870"/>
      <c r="Y1056" s="870"/>
      <c r="Z1056" s="870"/>
      <c r="AA1056" s="870"/>
      <c r="AB1056" s="870"/>
      <c r="AC1056" s="870"/>
      <c r="AD1056" s="870"/>
      <c r="AE1056" s="870"/>
      <c r="AF1056" s="870"/>
      <c r="AG1056" s="870"/>
    </row>
    <row r="1057" spans="1:33" s="995" customFormat="1">
      <c r="A1057" s="974"/>
      <c r="D1057" s="876"/>
      <c r="E1057" s="974"/>
      <c r="F1057" s="876"/>
      <c r="G1057" s="876"/>
      <c r="H1057" s="876"/>
      <c r="I1057" s="876"/>
      <c r="J1057" s="876"/>
      <c r="K1057" s="876"/>
      <c r="L1057" s="876"/>
      <c r="M1057" s="876"/>
      <c r="N1057" s="876"/>
      <c r="O1057" s="876"/>
      <c r="P1057" s="876"/>
      <c r="Q1057" s="870"/>
      <c r="R1057" s="870"/>
      <c r="S1057" s="870"/>
      <c r="T1057" s="870"/>
      <c r="U1057" s="870"/>
      <c r="V1057" s="870"/>
      <c r="W1057" s="870"/>
      <c r="X1057" s="870"/>
      <c r="Y1057" s="870"/>
      <c r="Z1057" s="870"/>
      <c r="AA1057" s="870"/>
      <c r="AB1057" s="870"/>
      <c r="AC1057" s="870"/>
      <c r="AD1057" s="870"/>
      <c r="AE1057" s="870"/>
      <c r="AF1057" s="870"/>
      <c r="AG1057" s="870"/>
    </row>
    <row r="1058" spans="1:33" s="995" customFormat="1">
      <c r="A1058" s="974"/>
      <c r="D1058" s="876"/>
      <c r="E1058" s="974"/>
      <c r="F1058" s="876"/>
      <c r="G1058" s="876"/>
      <c r="H1058" s="876"/>
      <c r="I1058" s="876"/>
      <c r="J1058" s="876"/>
      <c r="K1058" s="876"/>
      <c r="L1058" s="876"/>
      <c r="M1058" s="876"/>
      <c r="N1058" s="876"/>
      <c r="O1058" s="876"/>
      <c r="P1058" s="876"/>
      <c r="Q1058" s="870"/>
      <c r="R1058" s="870"/>
      <c r="S1058" s="870"/>
      <c r="T1058" s="870"/>
      <c r="U1058" s="870"/>
      <c r="V1058" s="870"/>
      <c r="W1058" s="870"/>
      <c r="X1058" s="870"/>
      <c r="Y1058" s="870"/>
      <c r="Z1058" s="870"/>
      <c r="AA1058" s="870"/>
      <c r="AB1058" s="870"/>
      <c r="AC1058" s="870"/>
      <c r="AD1058" s="870"/>
      <c r="AE1058" s="870"/>
      <c r="AF1058" s="870"/>
      <c r="AG1058" s="870"/>
    </row>
    <row r="1059" spans="1:33" s="995" customFormat="1">
      <c r="A1059" s="974"/>
      <c r="D1059" s="876"/>
      <c r="E1059" s="974"/>
      <c r="F1059" s="876"/>
      <c r="G1059" s="876"/>
      <c r="H1059" s="876"/>
      <c r="I1059" s="876"/>
      <c r="J1059" s="876"/>
      <c r="K1059" s="876"/>
      <c r="L1059" s="876"/>
      <c r="M1059" s="876"/>
      <c r="N1059" s="876"/>
      <c r="O1059" s="876"/>
      <c r="P1059" s="876"/>
      <c r="Q1059" s="870"/>
      <c r="R1059" s="870"/>
      <c r="S1059" s="870"/>
      <c r="T1059" s="870"/>
      <c r="U1059" s="870"/>
      <c r="V1059" s="870"/>
      <c r="W1059" s="870"/>
      <c r="X1059" s="870"/>
      <c r="Y1059" s="870"/>
      <c r="Z1059" s="870"/>
      <c r="AA1059" s="870"/>
      <c r="AB1059" s="870"/>
      <c r="AC1059" s="870"/>
      <c r="AD1059" s="870"/>
      <c r="AE1059" s="870"/>
      <c r="AF1059" s="870"/>
      <c r="AG1059" s="870"/>
    </row>
    <row r="1060" spans="1:33" s="995" customFormat="1">
      <c r="A1060" s="974"/>
      <c r="D1060" s="876"/>
      <c r="E1060" s="974"/>
      <c r="F1060" s="876"/>
      <c r="G1060" s="876"/>
      <c r="H1060" s="876"/>
      <c r="I1060" s="876"/>
      <c r="J1060" s="876"/>
      <c r="K1060" s="876"/>
      <c r="L1060" s="876"/>
      <c r="M1060" s="876"/>
      <c r="N1060" s="876"/>
      <c r="O1060" s="876"/>
      <c r="P1060" s="876"/>
      <c r="Q1060" s="870"/>
      <c r="R1060" s="870"/>
      <c r="S1060" s="870"/>
      <c r="T1060" s="870"/>
      <c r="U1060" s="870"/>
      <c r="V1060" s="870"/>
      <c r="W1060" s="870"/>
      <c r="X1060" s="870"/>
      <c r="Y1060" s="870"/>
      <c r="Z1060" s="870"/>
      <c r="AA1060" s="870"/>
      <c r="AB1060" s="870"/>
      <c r="AC1060" s="870"/>
      <c r="AD1060" s="870"/>
      <c r="AE1060" s="870"/>
      <c r="AF1060" s="870"/>
      <c r="AG1060" s="870"/>
    </row>
    <row r="1061" spans="1:33" s="995" customFormat="1">
      <c r="A1061" s="974"/>
      <c r="D1061" s="876"/>
      <c r="E1061" s="974"/>
      <c r="F1061" s="876"/>
      <c r="G1061" s="876"/>
      <c r="H1061" s="876"/>
      <c r="I1061" s="876"/>
      <c r="J1061" s="876"/>
      <c r="K1061" s="876"/>
      <c r="L1061" s="876"/>
      <c r="M1061" s="876"/>
      <c r="N1061" s="876"/>
      <c r="O1061" s="876"/>
      <c r="P1061" s="876"/>
      <c r="Q1061" s="870"/>
      <c r="R1061" s="870"/>
      <c r="S1061" s="870"/>
      <c r="T1061" s="870"/>
      <c r="U1061" s="870"/>
      <c r="V1061" s="870"/>
      <c r="W1061" s="870"/>
      <c r="X1061" s="870"/>
      <c r="Y1061" s="870"/>
      <c r="Z1061" s="870"/>
      <c r="AA1061" s="870"/>
      <c r="AB1061" s="870"/>
      <c r="AC1061" s="870"/>
      <c r="AD1061" s="870"/>
      <c r="AE1061" s="870"/>
      <c r="AF1061" s="870"/>
      <c r="AG1061" s="870"/>
    </row>
    <row r="1062" spans="1:33" s="995" customFormat="1">
      <c r="A1062" s="974"/>
      <c r="D1062" s="876"/>
      <c r="E1062" s="974"/>
      <c r="F1062" s="876"/>
      <c r="G1062" s="876"/>
      <c r="H1062" s="876"/>
      <c r="I1062" s="876"/>
      <c r="J1062" s="876"/>
      <c r="K1062" s="876"/>
      <c r="L1062" s="876"/>
      <c r="M1062" s="876"/>
      <c r="N1062" s="876"/>
      <c r="O1062" s="876"/>
      <c r="P1062" s="876"/>
      <c r="Q1062" s="870"/>
      <c r="R1062" s="870"/>
      <c r="S1062" s="870"/>
      <c r="T1062" s="870"/>
      <c r="U1062" s="870"/>
      <c r="V1062" s="870"/>
      <c r="W1062" s="870"/>
      <c r="X1062" s="870"/>
      <c r="Y1062" s="870"/>
      <c r="Z1062" s="870"/>
      <c r="AA1062" s="870"/>
      <c r="AB1062" s="870"/>
      <c r="AC1062" s="870"/>
      <c r="AD1062" s="870"/>
      <c r="AE1062" s="870"/>
      <c r="AF1062" s="870"/>
      <c r="AG1062" s="870"/>
    </row>
    <row r="1063" spans="1:33" s="995" customFormat="1">
      <c r="A1063" s="974"/>
      <c r="D1063" s="876"/>
      <c r="E1063" s="974"/>
      <c r="F1063" s="876"/>
      <c r="G1063" s="876"/>
      <c r="H1063" s="876"/>
      <c r="I1063" s="876"/>
      <c r="J1063" s="876"/>
      <c r="K1063" s="876"/>
      <c r="L1063" s="876"/>
      <c r="M1063" s="876"/>
      <c r="N1063" s="876"/>
      <c r="O1063" s="876"/>
      <c r="P1063" s="876"/>
      <c r="Q1063" s="870"/>
      <c r="R1063" s="870"/>
      <c r="S1063" s="870"/>
      <c r="T1063" s="870"/>
      <c r="U1063" s="870"/>
      <c r="V1063" s="870"/>
      <c r="W1063" s="870"/>
      <c r="X1063" s="870"/>
      <c r="Y1063" s="870"/>
      <c r="Z1063" s="870"/>
      <c r="AA1063" s="870"/>
      <c r="AB1063" s="870"/>
      <c r="AC1063" s="870"/>
      <c r="AD1063" s="870"/>
      <c r="AE1063" s="870"/>
      <c r="AF1063" s="870"/>
      <c r="AG1063" s="870"/>
    </row>
    <row r="1064" spans="1:33" s="995" customFormat="1">
      <c r="A1064" s="974"/>
      <c r="D1064" s="876"/>
      <c r="E1064" s="974"/>
      <c r="F1064" s="876"/>
      <c r="G1064" s="876"/>
      <c r="H1064" s="876"/>
      <c r="I1064" s="876"/>
      <c r="J1064" s="876"/>
      <c r="K1064" s="876"/>
      <c r="L1064" s="876"/>
      <c r="M1064" s="876"/>
      <c r="N1064" s="876"/>
      <c r="O1064" s="876"/>
      <c r="P1064" s="876"/>
      <c r="Q1064" s="870"/>
      <c r="R1064" s="870"/>
      <c r="S1064" s="870"/>
      <c r="T1064" s="870"/>
      <c r="U1064" s="870"/>
      <c r="V1064" s="870"/>
      <c r="W1064" s="870"/>
      <c r="X1064" s="870"/>
      <c r="Y1064" s="870"/>
      <c r="Z1064" s="870"/>
      <c r="AA1064" s="870"/>
      <c r="AB1064" s="870"/>
      <c r="AC1064" s="870"/>
      <c r="AD1064" s="870"/>
      <c r="AE1064" s="870"/>
      <c r="AF1064" s="870"/>
      <c r="AG1064" s="870"/>
    </row>
    <row r="1065" spans="1:33" s="995" customFormat="1">
      <c r="A1065" s="974"/>
      <c r="D1065" s="876"/>
      <c r="E1065" s="974"/>
      <c r="F1065" s="876"/>
      <c r="G1065" s="876"/>
      <c r="H1065" s="876"/>
      <c r="I1065" s="876"/>
      <c r="J1065" s="876"/>
      <c r="K1065" s="876"/>
      <c r="L1065" s="876"/>
      <c r="M1065" s="876"/>
      <c r="N1065" s="876"/>
      <c r="O1065" s="876"/>
      <c r="P1065" s="876"/>
      <c r="Q1065" s="870"/>
      <c r="R1065" s="870"/>
      <c r="S1065" s="870"/>
      <c r="T1065" s="870"/>
      <c r="U1065" s="870"/>
      <c r="V1065" s="870"/>
      <c r="W1065" s="870"/>
      <c r="X1065" s="870"/>
      <c r="Y1065" s="870"/>
      <c r="Z1065" s="870"/>
      <c r="AA1065" s="870"/>
      <c r="AB1065" s="870"/>
      <c r="AC1065" s="870"/>
      <c r="AD1065" s="870"/>
      <c r="AE1065" s="870"/>
      <c r="AF1065" s="870"/>
      <c r="AG1065" s="870"/>
    </row>
    <row r="1066" spans="1:33" s="995" customFormat="1">
      <c r="A1066" s="974"/>
      <c r="D1066" s="876"/>
      <c r="E1066" s="974"/>
      <c r="F1066" s="876"/>
      <c r="G1066" s="876"/>
      <c r="H1066" s="876"/>
      <c r="I1066" s="876"/>
      <c r="J1066" s="876"/>
      <c r="K1066" s="876"/>
      <c r="L1066" s="876"/>
      <c r="M1066" s="876"/>
      <c r="N1066" s="876"/>
      <c r="O1066" s="876"/>
      <c r="P1066" s="876"/>
      <c r="Q1066" s="870"/>
      <c r="R1066" s="870"/>
      <c r="S1066" s="870"/>
      <c r="T1066" s="870"/>
      <c r="U1066" s="870"/>
      <c r="V1066" s="870"/>
      <c r="W1066" s="870"/>
      <c r="X1066" s="870"/>
      <c r="Y1066" s="870"/>
      <c r="Z1066" s="870"/>
      <c r="AA1066" s="870"/>
      <c r="AB1066" s="870"/>
      <c r="AC1066" s="870"/>
      <c r="AD1066" s="870"/>
      <c r="AE1066" s="870"/>
      <c r="AF1066" s="870"/>
      <c r="AG1066" s="870"/>
    </row>
    <row r="1067" spans="1:33" s="995" customFormat="1">
      <c r="A1067" s="974"/>
      <c r="D1067" s="876"/>
      <c r="E1067" s="974"/>
      <c r="F1067" s="876"/>
      <c r="G1067" s="876"/>
      <c r="H1067" s="876"/>
      <c r="I1067" s="876"/>
      <c r="J1067" s="876"/>
      <c r="K1067" s="876"/>
      <c r="L1067" s="876"/>
      <c r="M1067" s="876"/>
      <c r="N1067" s="876"/>
      <c r="O1067" s="876"/>
      <c r="P1067" s="876"/>
      <c r="Q1067" s="870"/>
      <c r="R1067" s="870"/>
      <c r="S1067" s="870"/>
      <c r="T1067" s="870"/>
      <c r="U1067" s="870"/>
      <c r="V1067" s="870"/>
      <c r="W1067" s="870"/>
      <c r="X1067" s="870"/>
      <c r="Y1067" s="870"/>
      <c r="Z1067" s="870"/>
      <c r="AA1067" s="870"/>
      <c r="AB1067" s="870"/>
      <c r="AC1067" s="870"/>
      <c r="AD1067" s="870"/>
      <c r="AE1067" s="870"/>
      <c r="AF1067" s="870"/>
      <c r="AG1067" s="870"/>
    </row>
    <row r="1068" spans="1:33" s="995" customFormat="1">
      <c r="A1068" s="974"/>
      <c r="D1068" s="876"/>
      <c r="E1068" s="974"/>
      <c r="F1068" s="876"/>
      <c r="G1068" s="876"/>
      <c r="H1068" s="876"/>
      <c r="I1068" s="876"/>
      <c r="J1068" s="876"/>
      <c r="K1068" s="876"/>
      <c r="L1068" s="876"/>
      <c r="M1068" s="876"/>
      <c r="N1068" s="876"/>
      <c r="O1068" s="876"/>
      <c r="P1068" s="876"/>
      <c r="Q1068" s="870"/>
      <c r="R1068" s="870"/>
      <c r="S1068" s="870"/>
      <c r="T1068" s="870"/>
      <c r="U1068" s="870"/>
      <c r="V1068" s="870"/>
      <c r="W1068" s="870"/>
      <c r="X1068" s="870"/>
      <c r="Y1068" s="870"/>
      <c r="Z1068" s="870"/>
      <c r="AA1068" s="870"/>
      <c r="AB1068" s="870"/>
      <c r="AC1068" s="870"/>
      <c r="AD1068" s="870"/>
      <c r="AE1068" s="870"/>
      <c r="AF1068" s="870"/>
      <c r="AG1068" s="870"/>
    </row>
    <row r="1069" spans="1:33" s="995" customFormat="1">
      <c r="A1069" s="974"/>
      <c r="D1069" s="876"/>
      <c r="E1069" s="974"/>
      <c r="F1069" s="876"/>
      <c r="G1069" s="876"/>
      <c r="H1069" s="876"/>
      <c r="I1069" s="876"/>
      <c r="J1069" s="876"/>
      <c r="K1069" s="876"/>
      <c r="L1069" s="876"/>
      <c r="M1069" s="876"/>
      <c r="N1069" s="876"/>
      <c r="O1069" s="876"/>
      <c r="P1069" s="876"/>
      <c r="Q1069" s="870"/>
      <c r="R1069" s="870"/>
      <c r="S1069" s="870"/>
      <c r="T1069" s="870"/>
      <c r="U1069" s="870"/>
      <c r="V1069" s="870"/>
      <c r="W1069" s="870"/>
      <c r="X1069" s="870"/>
      <c r="Y1069" s="870"/>
      <c r="Z1069" s="870"/>
      <c r="AA1069" s="870"/>
      <c r="AB1069" s="870"/>
      <c r="AC1069" s="870"/>
      <c r="AD1069" s="870"/>
      <c r="AE1069" s="870"/>
      <c r="AF1069" s="870"/>
      <c r="AG1069" s="870"/>
    </row>
    <row r="1070" spans="1:33" s="995" customFormat="1">
      <c r="A1070" s="974"/>
      <c r="D1070" s="876"/>
      <c r="E1070" s="974"/>
      <c r="F1070" s="876"/>
      <c r="G1070" s="876"/>
      <c r="H1070" s="876"/>
      <c r="I1070" s="876"/>
      <c r="J1070" s="876"/>
      <c r="K1070" s="876"/>
      <c r="L1070" s="876"/>
      <c r="M1070" s="876"/>
      <c r="N1070" s="876"/>
      <c r="O1070" s="876"/>
      <c r="P1070" s="876"/>
      <c r="Q1070" s="870"/>
      <c r="R1070" s="870"/>
      <c r="S1070" s="870"/>
      <c r="T1070" s="870"/>
      <c r="U1070" s="870"/>
      <c r="V1070" s="870"/>
      <c r="W1070" s="870"/>
      <c r="X1070" s="870"/>
      <c r="Y1070" s="870"/>
      <c r="Z1070" s="870"/>
      <c r="AA1070" s="870"/>
      <c r="AB1070" s="870"/>
      <c r="AC1070" s="870"/>
      <c r="AD1070" s="870"/>
      <c r="AE1070" s="870"/>
      <c r="AF1070" s="870"/>
      <c r="AG1070" s="870"/>
    </row>
    <row r="1071" spans="1:33" s="995" customFormat="1">
      <c r="A1071" s="974"/>
      <c r="D1071" s="876"/>
      <c r="E1071" s="974"/>
      <c r="F1071" s="876"/>
      <c r="G1071" s="876"/>
      <c r="H1071" s="876"/>
      <c r="I1071" s="876"/>
      <c r="J1071" s="876"/>
      <c r="K1071" s="876"/>
      <c r="L1071" s="876"/>
      <c r="M1071" s="876"/>
      <c r="N1071" s="876"/>
      <c r="O1071" s="876"/>
      <c r="P1071" s="876"/>
      <c r="Q1071" s="870"/>
      <c r="R1071" s="870"/>
      <c r="S1071" s="870"/>
      <c r="T1071" s="870"/>
      <c r="U1071" s="870"/>
      <c r="V1071" s="870"/>
      <c r="W1071" s="870"/>
      <c r="X1071" s="870"/>
      <c r="Y1071" s="870"/>
      <c r="Z1071" s="870"/>
      <c r="AA1071" s="870"/>
      <c r="AB1071" s="870"/>
      <c r="AC1071" s="870"/>
      <c r="AD1071" s="870"/>
      <c r="AE1071" s="870"/>
      <c r="AF1071" s="870"/>
      <c r="AG1071" s="870"/>
    </row>
    <row r="1072" spans="1:33" s="995" customFormat="1">
      <c r="A1072" s="974"/>
      <c r="D1072" s="876"/>
      <c r="E1072" s="974"/>
      <c r="F1072" s="876"/>
      <c r="G1072" s="876"/>
      <c r="H1072" s="876"/>
      <c r="I1072" s="876"/>
      <c r="J1072" s="876"/>
      <c r="K1072" s="876"/>
      <c r="L1072" s="876"/>
      <c r="M1072" s="876"/>
      <c r="N1072" s="876"/>
      <c r="O1072" s="876"/>
      <c r="P1072" s="876"/>
      <c r="Q1072" s="870"/>
      <c r="R1072" s="870"/>
      <c r="S1072" s="870"/>
      <c r="T1072" s="870"/>
      <c r="U1072" s="870"/>
      <c r="V1072" s="870"/>
      <c r="W1072" s="870"/>
      <c r="X1072" s="870"/>
      <c r="Y1072" s="870"/>
      <c r="Z1072" s="870"/>
      <c r="AA1072" s="870"/>
      <c r="AB1072" s="870"/>
      <c r="AC1072" s="870"/>
      <c r="AD1072" s="870"/>
      <c r="AE1072" s="870"/>
      <c r="AF1072" s="870"/>
      <c r="AG1072" s="870"/>
    </row>
    <row r="1073" spans="1:33" s="995" customFormat="1">
      <c r="A1073" s="974"/>
      <c r="D1073" s="876"/>
      <c r="E1073" s="974"/>
      <c r="F1073" s="876"/>
      <c r="G1073" s="876"/>
      <c r="H1073" s="876"/>
      <c r="I1073" s="876"/>
      <c r="J1073" s="876"/>
      <c r="K1073" s="876"/>
      <c r="L1073" s="876"/>
      <c r="M1073" s="876"/>
      <c r="N1073" s="876"/>
      <c r="O1073" s="876"/>
      <c r="P1073" s="876"/>
      <c r="Q1073" s="870"/>
      <c r="R1073" s="870"/>
      <c r="S1073" s="870"/>
      <c r="T1073" s="870"/>
      <c r="U1073" s="870"/>
      <c r="V1073" s="870"/>
      <c r="W1073" s="870"/>
      <c r="X1073" s="870"/>
      <c r="Y1073" s="870"/>
      <c r="Z1073" s="870"/>
      <c r="AA1073" s="870"/>
      <c r="AB1073" s="870"/>
      <c r="AC1073" s="870"/>
      <c r="AD1073" s="870"/>
      <c r="AE1073" s="870"/>
      <c r="AF1073" s="870"/>
      <c r="AG1073" s="870"/>
    </row>
    <row r="1074" spans="1:33" s="995" customFormat="1">
      <c r="A1074" s="974"/>
      <c r="D1074" s="876"/>
      <c r="E1074" s="974"/>
      <c r="F1074" s="876"/>
      <c r="G1074" s="876"/>
      <c r="H1074" s="876"/>
      <c r="I1074" s="876"/>
      <c r="J1074" s="876"/>
      <c r="K1074" s="876"/>
      <c r="L1074" s="876"/>
      <c r="M1074" s="876"/>
      <c r="N1074" s="876"/>
      <c r="O1074" s="876"/>
      <c r="P1074" s="876"/>
      <c r="Q1074" s="870"/>
      <c r="R1074" s="870"/>
      <c r="S1074" s="870"/>
      <c r="T1074" s="870"/>
      <c r="U1074" s="870"/>
      <c r="V1074" s="870"/>
      <c r="W1074" s="870"/>
      <c r="X1074" s="870"/>
      <c r="Y1074" s="870"/>
      <c r="Z1074" s="870"/>
      <c r="AA1074" s="870"/>
      <c r="AB1074" s="870"/>
      <c r="AC1074" s="870"/>
      <c r="AD1074" s="870"/>
      <c r="AE1074" s="870"/>
      <c r="AF1074" s="870"/>
      <c r="AG1074" s="870"/>
    </row>
    <row r="1075" spans="1:33" s="995" customFormat="1">
      <c r="A1075" s="974"/>
      <c r="D1075" s="876"/>
      <c r="E1075" s="974"/>
      <c r="F1075" s="876"/>
      <c r="G1075" s="876"/>
      <c r="H1075" s="876"/>
      <c r="I1075" s="876"/>
      <c r="J1075" s="876"/>
      <c r="K1075" s="876"/>
      <c r="L1075" s="876"/>
      <c r="M1075" s="876"/>
      <c r="N1075" s="876"/>
      <c r="O1075" s="876"/>
      <c r="P1075" s="876"/>
      <c r="Q1075" s="870"/>
      <c r="R1075" s="870"/>
      <c r="S1075" s="870"/>
      <c r="T1075" s="870"/>
      <c r="U1075" s="870"/>
      <c r="V1075" s="870"/>
      <c r="W1075" s="870"/>
      <c r="X1075" s="870"/>
      <c r="Y1075" s="870"/>
      <c r="Z1075" s="870"/>
      <c r="AA1075" s="870"/>
      <c r="AB1075" s="870"/>
      <c r="AC1075" s="870"/>
      <c r="AD1075" s="870"/>
      <c r="AE1075" s="870"/>
      <c r="AF1075" s="870"/>
      <c r="AG1075" s="870"/>
    </row>
    <row r="1076" spans="1:33" s="995" customFormat="1">
      <c r="A1076" s="974"/>
      <c r="D1076" s="876"/>
      <c r="E1076" s="974"/>
      <c r="F1076" s="876"/>
      <c r="G1076" s="876"/>
      <c r="H1076" s="876"/>
      <c r="I1076" s="876"/>
      <c r="J1076" s="876"/>
      <c r="K1076" s="876"/>
      <c r="L1076" s="876"/>
      <c r="M1076" s="876"/>
      <c r="N1076" s="876"/>
      <c r="O1076" s="876"/>
      <c r="P1076" s="876"/>
      <c r="Q1076" s="870"/>
      <c r="R1076" s="870"/>
      <c r="S1076" s="870"/>
      <c r="T1076" s="870"/>
      <c r="U1076" s="870"/>
      <c r="V1076" s="870"/>
      <c r="W1076" s="870"/>
      <c r="X1076" s="870"/>
      <c r="Y1076" s="870"/>
      <c r="Z1076" s="870"/>
      <c r="AA1076" s="870"/>
      <c r="AB1076" s="870"/>
      <c r="AC1076" s="870"/>
      <c r="AD1076" s="870"/>
      <c r="AE1076" s="870"/>
      <c r="AF1076" s="870"/>
      <c r="AG1076" s="870"/>
    </row>
    <row r="1077" spans="1:33" s="995" customFormat="1">
      <c r="A1077" s="974"/>
      <c r="D1077" s="876"/>
      <c r="E1077" s="974"/>
      <c r="F1077" s="876"/>
      <c r="G1077" s="876"/>
      <c r="H1077" s="876"/>
      <c r="I1077" s="876"/>
      <c r="J1077" s="876"/>
      <c r="K1077" s="876"/>
      <c r="L1077" s="876"/>
      <c r="M1077" s="876"/>
      <c r="N1077" s="876"/>
      <c r="O1077" s="876"/>
      <c r="P1077" s="876"/>
      <c r="Q1077" s="870"/>
      <c r="R1077" s="870"/>
      <c r="S1077" s="870"/>
      <c r="T1077" s="870"/>
      <c r="U1077" s="870"/>
      <c r="V1077" s="870"/>
      <c r="W1077" s="870"/>
      <c r="X1077" s="870"/>
      <c r="Y1077" s="870"/>
      <c r="Z1077" s="870"/>
      <c r="AA1077" s="870"/>
      <c r="AB1077" s="870"/>
      <c r="AC1077" s="870"/>
      <c r="AD1077" s="870"/>
      <c r="AE1077" s="870"/>
      <c r="AF1077" s="870"/>
      <c r="AG1077" s="870"/>
    </row>
    <row r="1078" spans="1:33" s="995" customFormat="1">
      <c r="A1078" s="974"/>
      <c r="D1078" s="876"/>
      <c r="E1078" s="974"/>
      <c r="F1078" s="876"/>
      <c r="G1078" s="876"/>
      <c r="H1078" s="876"/>
      <c r="I1078" s="876"/>
      <c r="J1078" s="876"/>
      <c r="K1078" s="876"/>
      <c r="L1078" s="876"/>
      <c r="M1078" s="876"/>
      <c r="N1078" s="876"/>
      <c r="O1078" s="876"/>
      <c r="P1078" s="876"/>
      <c r="Q1078" s="870"/>
      <c r="R1078" s="870"/>
      <c r="S1078" s="870"/>
      <c r="T1078" s="870"/>
      <c r="U1078" s="870"/>
      <c r="V1078" s="870"/>
      <c r="W1078" s="870"/>
      <c r="X1078" s="870"/>
      <c r="Y1078" s="870"/>
      <c r="Z1078" s="870"/>
      <c r="AA1078" s="870"/>
      <c r="AB1078" s="870"/>
      <c r="AC1078" s="870"/>
      <c r="AD1078" s="870"/>
      <c r="AE1078" s="870"/>
      <c r="AF1078" s="870"/>
      <c r="AG1078" s="870"/>
    </row>
    <row r="1079" spans="1:33" s="995" customFormat="1">
      <c r="A1079" s="974"/>
      <c r="D1079" s="876"/>
      <c r="E1079" s="974"/>
      <c r="F1079" s="876"/>
      <c r="G1079" s="876"/>
      <c r="H1079" s="876"/>
      <c r="I1079" s="876"/>
      <c r="J1079" s="876"/>
      <c r="K1079" s="876"/>
      <c r="L1079" s="876"/>
      <c r="M1079" s="876"/>
      <c r="N1079" s="876"/>
      <c r="O1079" s="876"/>
      <c r="P1079" s="876"/>
      <c r="Q1079" s="870"/>
      <c r="R1079" s="870"/>
      <c r="S1079" s="870"/>
      <c r="T1079" s="870"/>
      <c r="U1079" s="870"/>
      <c r="V1079" s="870"/>
      <c r="W1079" s="870"/>
      <c r="X1079" s="870"/>
      <c r="Y1079" s="870"/>
      <c r="Z1079" s="870"/>
      <c r="AA1079" s="870"/>
      <c r="AB1079" s="870"/>
      <c r="AC1079" s="870"/>
      <c r="AD1079" s="870"/>
      <c r="AE1079" s="870"/>
      <c r="AF1079" s="870"/>
      <c r="AG1079" s="870"/>
    </row>
    <row r="1080" spans="1:33" s="995" customFormat="1">
      <c r="A1080" s="974"/>
      <c r="D1080" s="876"/>
      <c r="E1080" s="974"/>
      <c r="F1080" s="876"/>
      <c r="G1080" s="876"/>
      <c r="H1080" s="876"/>
      <c r="I1080" s="876"/>
      <c r="J1080" s="876"/>
      <c r="K1080" s="876"/>
      <c r="L1080" s="876"/>
      <c r="M1080" s="876"/>
      <c r="N1080" s="876"/>
      <c r="O1080" s="876"/>
      <c r="P1080" s="876"/>
      <c r="Q1080" s="870"/>
      <c r="R1080" s="870"/>
      <c r="S1080" s="870"/>
      <c r="T1080" s="870"/>
      <c r="U1080" s="870"/>
      <c r="V1080" s="870"/>
      <c r="W1080" s="870"/>
      <c r="X1080" s="870"/>
      <c r="Y1080" s="870"/>
      <c r="Z1080" s="870"/>
      <c r="AA1080" s="870"/>
      <c r="AB1080" s="870"/>
      <c r="AC1080" s="870"/>
      <c r="AD1080" s="870"/>
      <c r="AE1080" s="870"/>
      <c r="AF1080" s="870"/>
      <c r="AG1080" s="870"/>
    </row>
    <row r="1081" spans="1:33" s="995" customFormat="1">
      <c r="A1081" s="974"/>
      <c r="D1081" s="876"/>
      <c r="E1081" s="974"/>
      <c r="F1081" s="876"/>
      <c r="G1081" s="876"/>
      <c r="H1081" s="876"/>
      <c r="I1081" s="876"/>
      <c r="J1081" s="876"/>
      <c r="K1081" s="876"/>
      <c r="L1081" s="876"/>
      <c r="M1081" s="876"/>
      <c r="N1081" s="876"/>
      <c r="O1081" s="876"/>
      <c r="P1081" s="876"/>
      <c r="Q1081" s="870"/>
      <c r="R1081" s="870"/>
      <c r="S1081" s="870"/>
      <c r="T1081" s="870"/>
      <c r="U1081" s="870"/>
      <c r="V1081" s="870"/>
      <c r="W1081" s="870"/>
      <c r="X1081" s="870"/>
      <c r="Y1081" s="870"/>
      <c r="Z1081" s="870"/>
      <c r="AA1081" s="870"/>
      <c r="AB1081" s="870"/>
      <c r="AC1081" s="870"/>
      <c r="AD1081" s="870"/>
      <c r="AE1081" s="870"/>
      <c r="AF1081" s="870"/>
      <c r="AG1081" s="870"/>
    </row>
    <row r="1082" spans="1:33" s="995" customFormat="1">
      <c r="A1082" s="974"/>
      <c r="D1082" s="876"/>
      <c r="E1082" s="974"/>
      <c r="F1082" s="876"/>
      <c r="G1082" s="876"/>
      <c r="H1082" s="876"/>
      <c r="I1082" s="876"/>
      <c r="J1082" s="876"/>
      <c r="K1082" s="876"/>
      <c r="L1082" s="876"/>
      <c r="M1082" s="876"/>
      <c r="N1082" s="876"/>
      <c r="O1082" s="876"/>
      <c r="P1082" s="876"/>
      <c r="Q1082" s="870"/>
      <c r="R1082" s="870"/>
      <c r="S1082" s="870"/>
      <c r="T1082" s="870"/>
      <c r="U1082" s="870"/>
      <c r="V1082" s="870"/>
      <c r="W1082" s="870"/>
      <c r="X1082" s="870"/>
      <c r="Y1082" s="870"/>
      <c r="Z1082" s="870"/>
      <c r="AA1082" s="870"/>
      <c r="AB1082" s="870"/>
      <c r="AC1082" s="870"/>
      <c r="AD1082" s="870"/>
      <c r="AE1082" s="870"/>
      <c r="AF1082" s="870"/>
      <c r="AG1082" s="870"/>
    </row>
    <row r="1083" spans="1:33" s="995" customFormat="1">
      <c r="A1083" s="974"/>
      <c r="D1083" s="876"/>
      <c r="E1083" s="974"/>
      <c r="F1083" s="876"/>
      <c r="G1083" s="876"/>
      <c r="H1083" s="876"/>
      <c r="I1083" s="876"/>
      <c r="J1083" s="876"/>
      <c r="K1083" s="876"/>
      <c r="L1083" s="876"/>
      <c r="M1083" s="876"/>
      <c r="N1083" s="876"/>
      <c r="O1083" s="876"/>
      <c r="P1083" s="876"/>
      <c r="Q1083" s="870"/>
      <c r="R1083" s="870"/>
      <c r="S1083" s="870"/>
      <c r="T1083" s="870"/>
      <c r="U1083" s="870"/>
      <c r="V1083" s="870"/>
      <c r="W1083" s="870"/>
      <c r="X1083" s="870"/>
      <c r="Y1083" s="870"/>
      <c r="Z1083" s="870"/>
      <c r="AA1083" s="870"/>
      <c r="AB1083" s="870"/>
      <c r="AC1083" s="870"/>
      <c r="AD1083" s="870"/>
      <c r="AE1083" s="870"/>
      <c r="AF1083" s="870"/>
      <c r="AG1083" s="870"/>
    </row>
    <row r="1084" spans="1:33" s="995" customFormat="1">
      <c r="A1084" s="974"/>
      <c r="D1084" s="876"/>
      <c r="E1084" s="974"/>
      <c r="F1084" s="876"/>
      <c r="G1084" s="876"/>
      <c r="H1084" s="876"/>
      <c r="I1084" s="876"/>
      <c r="J1084" s="876"/>
      <c r="K1084" s="876"/>
      <c r="L1084" s="876"/>
      <c r="M1084" s="876"/>
      <c r="N1084" s="876"/>
      <c r="O1084" s="876"/>
      <c r="P1084" s="876"/>
      <c r="Q1084" s="870"/>
      <c r="R1084" s="870"/>
      <c r="S1084" s="870"/>
      <c r="T1084" s="870"/>
      <c r="U1084" s="870"/>
      <c r="V1084" s="870"/>
      <c r="W1084" s="870"/>
      <c r="X1084" s="870"/>
      <c r="Y1084" s="870"/>
      <c r="Z1084" s="870"/>
      <c r="AA1084" s="870"/>
      <c r="AB1084" s="870"/>
      <c r="AC1084" s="870"/>
      <c r="AD1084" s="870"/>
      <c r="AE1084" s="870"/>
      <c r="AF1084" s="870"/>
      <c r="AG1084" s="870"/>
    </row>
    <row r="1085" spans="1:33" s="995" customFormat="1">
      <c r="A1085" s="974"/>
      <c r="D1085" s="876"/>
      <c r="E1085" s="974"/>
      <c r="F1085" s="876"/>
      <c r="G1085" s="876"/>
      <c r="H1085" s="876"/>
      <c r="I1085" s="876"/>
      <c r="J1085" s="876"/>
      <c r="K1085" s="876"/>
      <c r="L1085" s="876"/>
      <c r="M1085" s="876"/>
      <c r="N1085" s="876"/>
      <c r="O1085" s="876"/>
      <c r="P1085" s="876"/>
      <c r="Q1085" s="870"/>
      <c r="R1085" s="870"/>
      <c r="S1085" s="870"/>
      <c r="T1085" s="870"/>
      <c r="U1085" s="870"/>
      <c r="V1085" s="870"/>
      <c r="W1085" s="870"/>
      <c r="X1085" s="870"/>
      <c r="Y1085" s="870"/>
      <c r="Z1085" s="870"/>
      <c r="AA1085" s="870"/>
      <c r="AB1085" s="870"/>
      <c r="AC1085" s="870"/>
      <c r="AD1085" s="870"/>
      <c r="AE1085" s="870"/>
      <c r="AF1085" s="870"/>
      <c r="AG1085" s="870"/>
    </row>
    <row r="1086" spans="1:33" s="995" customFormat="1">
      <c r="A1086" s="974"/>
      <c r="D1086" s="876"/>
      <c r="E1086" s="974"/>
      <c r="F1086" s="876"/>
      <c r="G1086" s="876"/>
      <c r="H1086" s="876"/>
      <c r="I1086" s="876"/>
      <c r="J1086" s="876"/>
      <c r="K1086" s="876"/>
      <c r="L1086" s="876"/>
      <c r="M1086" s="876"/>
      <c r="N1086" s="876"/>
      <c r="O1086" s="876"/>
      <c r="P1086" s="876"/>
      <c r="Q1086" s="870"/>
      <c r="R1086" s="870"/>
      <c r="S1086" s="870"/>
      <c r="T1086" s="870"/>
      <c r="U1086" s="870"/>
      <c r="V1086" s="870"/>
      <c r="W1086" s="870"/>
      <c r="X1086" s="870"/>
      <c r="Y1086" s="870"/>
      <c r="Z1086" s="870"/>
      <c r="AA1086" s="870"/>
      <c r="AB1086" s="870"/>
      <c r="AC1086" s="870"/>
      <c r="AD1086" s="870"/>
      <c r="AE1086" s="870"/>
      <c r="AF1086" s="870"/>
      <c r="AG1086" s="870"/>
    </row>
    <row r="1087" spans="1:33" s="995" customFormat="1">
      <c r="A1087" s="974"/>
      <c r="D1087" s="876"/>
      <c r="E1087" s="974"/>
      <c r="F1087" s="876"/>
      <c r="G1087" s="876"/>
      <c r="H1087" s="876"/>
      <c r="I1087" s="876"/>
      <c r="J1087" s="876"/>
      <c r="K1087" s="876"/>
      <c r="L1087" s="876"/>
      <c r="M1087" s="876"/>
      <c r="N1087" s="876"/>
      <c r="O1087" s="876"/>
      <c r="P1087" s="876"/>
      <c r="Q1087" s="870"/>
      <c r="R1087" s="870"/>
      <c r="S1087" s="870"/>
      <c r="T1087" s="870"/>
      <c r="U1087" s="870"/>
      <c r="V1087" s="870"/>
      <c r="W1087" s="870"/>
      <c r="X1087" s="870"/>
      <c r="Y1087" s="870"/>
      <c r="Z1087" s="870"/>
      <c r="AA1087" s="870"/>
      <c r="AB1087" s="870"/>
      <c r="AC1087" s="870"/>
      <c r="AD1087" s="870"/>
      <c r="AE1087" s="870"/>
      <c r="AF1087" s="870"/>
      <c r="AG1087" s="870"/>
    </row>
    <row r="1088" spans="1:33" s="995" customFormat="1">
      <c r="A1088" s="974"/>
      <c r="D1088" s="876"/>
      <c r="E1088" s="974"/>
      <c r="F1088" s="876"/>
      <c r="G1088" s="876"/>
      <c r="H1088" s="876"/>
      <c r="I1088" s="876"/>
      <c r="J1088" s="876"/>
      <c r="K1088" s="876"/>
      <c r="L1088" s="876"/>
      <c r="M1088" s="876"/>
      <c r="N1088" s="876"/>
      <c r="O1088" s="876"/>
      <c r="P1088" s="876"/>
      <c r="Q1088" s="870"/>
      <c r="R1088" s="870"/>
      <c r="S1088" s="870"/>
      <c r="T1088" s="870"/>
      <c r="U1088" s="870"/>
      <c r="V1088" s="870"/>
      <c r="W1088" s="870"/>
      <c r="X1088" s="870"/>
      <c r="Y1088" s="870"/>
      <c r="Z1088" s="870"/>
      <c r="AA1088" s="870"/>
      <c r="AB1088" s="870"/>
      <c r="AC1088" s="870"/>
      <c r="AD1088" s="870"/>
      <c r="AE1088" s="870"/>
      <c r="AF1088" s="870"/>
      <c r="AG1088" s="870"/>
    </row>
    <row r="1089" spans="1:33" s="995" customFormat="1">
      <c r="A1089" s="974"/>
      <c r="D1089" s="876"/>
      <c r="E1089" s="974"/>
      <c r="F1089" s="876"/>
      <c r="G1089" s="876"/>
      <c r="H1089" s="876"/>
      <c r="I1089" s="876"/>
      <c r="J1089" s="876"/>
      <c r="K1089" s="876"/>
      <c r="L1089" s="876"/>
      <c r="M1089" s="876"/>
      <c r="N1089" s="876"/>
      <c r="O1089" s="876"/>
      <c r="P1089" s="876"/>
      <c r="Q1089" s="870"/>
      <c r="R1089" s="870"/>
      <c r="S1089" s="870"/>
      <c r="T1089" s="870"/>
      <c r="U1089" s="870"/>
      <c r="V1089" s="870"/>
      <c r="W1089" s="870"/>
      <c r="X1089" s="870"/>
      <c r="Y1089" s="870"/>
      <c r="Z1089" s="870"/>
      <c r="AA1089" s="870"/>
      <c r="AB1089" s="870"/>
      <c r="AC1089" s="870"/>
      <c r="AD1089" s="870"/>
      <c r="AE1089" s="870"/>
      <c r="AF1089" s="870"/>
      <c r="AG1089" s="870"/>
    </row>
    <row r="1090" spans="1:33" s="995" customFormat="1">
      <c r="A1090" s="974"/>
      <c r="D1090" s="876"/>
      <c r="E1090" s="974"/>
      <c r="F1090" s="876"/>
      <c r="G1090" s="876"/>
      <c r="H1090" s="876"/>
      <c r="I1090" s="876"/>
      <c r="J1090" s="876"/>
      <c r="K1090" s="876"/>
      <c r="L1090" s="876"/>
      <c r="M1090" s="876"/>
      <c r="N1090" s="876"/>
      <c r="O1090" s="876"/>
      <c r="P1090" s="876"/>
      <c r="Q1090" s="870"/>
      <c r="R1090" s="870"/>
      <c r="S1090" s="870"/>
      <c r="T1090" s="870"/>
      <c r="U1090" s="870"/>
      <c r="V1090" s="870"/>
      <c r="W1090" s="870"/>
      <c r="X1090" s="870"/>
      <c r="Y1090" s="870"/>
      <c r="Z1090" s="870"/>
      <c r="AA1090" s="870"/>
      <c r="AB1090" s="870"/>
      <c r="AC1090" s="870"/>
      <c r="AD1090" s="870"/>
      <c r="AE1090" s="870"/>
      <c r="AF1090" s="870"/>
      <c r="AG1090" s="870"/>
    </row>
    <row r="1091" spans="1:33" s="995" customFormat="1">
      <c r="A1091" s="974"/>
      <c r="D1091" s="876"/>
      <c r="E1091" s="974"/>
      <c r="F1091" s="876"/>
      <c r="G1091" s="876"/>
      <c r="H1091" s="876"/>
      <c r="I1091" s="876"/>
      <c r="J1091" s="876"/>
      <c r="K1091" s="876"/>
      <c r="L1091" s="876"/>
      <c r="M1091" s="876"/>
      <c r="N1091" s="876"/>
      <c r="O1091" s="876"/>
      <c r="P1091" s="876"/>
      <c r="Q1091" s="870"/>
      <c r="R1091" s="870"/>
      <c r="S1091" s="870"/>
      <c r="T1091" s="870"/>
      <c r="U1091" s="870"/>
      <c r="V1091" s="870"/>
      <c r="W1091" s="870"/>
      <c r="X1091" s="870"/>
      <c r="Y1091" s="870"/>
      <c r="Z1091" s="870"/>
      <c r="AA1091" s="870"/>
      <c r="AB1091" s="870"/>
      <c r="AC1091" s="870"/>
      <c r="AD1091" s="870"/>
      <c r="AE1091" s="870"/>
      <c r="AF1091" s="870"/>
      <c r="AG1091" s="870"/>
    </row>
    <row r="1092" spans="1:33" s="995" customFormat="1">
      <c r="A1092" s="974"/>
      <c r="D1092" s="876"/>
      <c r="E1092" s="974"/>
      <c r="F1092" s="876"/>
      <c r="G1092" s="876"/>
      <c r="H1092" s="876"/>
      <c r="I1092" s="876"/>
      <c r="J1092" s="876"/>
      <c r="K1092" s="876"/>
      <c r="L1092" s="876"/>
      <c r="M1092" s="876"/>
      <c r="N1092" s="876"/>
      <c r="O1092" s="876"/>
      <c r="P1092" s="876"/>
      <c r="Q1092" s="870"/>
      <c r="R1092" s="870"/>
      <c r="S1092" s="870"/>
      <c r="T1092" s="870"/>
      <c r="U1092" s="870"/>
      <c r="V1092" s="870"/>
      <c r="W1092" s="870"/>
      <c r="X1092" s="870"/>
      <c r="Y1092" s="870"/>
      <c r="Z1092" s="870"/>
      <c r="AA1092" s="870"/>
      <c r="AB1092" s="870"/>
      <c r="AC1092" s="870"/>
      <c r="AD1092" s="870"/>
      <c r="AE1092" s="870"/>
      <c r="AF1092" s="870"/>
      <c r="AG1092" s="870"/>
    </row>
    <row r="1093" spans="1:33" s="995" customFormat="1">
      <c r="A1093" s="974"/>
      <c r="D1093" s="876"/>
      <c r="E1093" s="974"/>
      <c r="F1093" s="876"/>
      <c r="G1093" s="876"/>
      <c r="H1093" s="876"/>
      <c r="I1093" s="876"/>
      <c r="J1093" s="876"/>
      <c r="K1093" s="876"/>
      <c r="L1093" s="876"/>
      <c r="M1093" s="876"/>
      <c r="N1093" s="876"/>
      <c r="O1093" s="876"/>
      <c r="P1093" s="876"/>
      <c r="Q1093" s="870"/>
      <c r="R1093" s="870"/>
      <c r="S1093" s="870"/>
      <c r="T1093" s="870"/>
      <c r="U1093" s="870"/>
      <c r="V1093" s="870"/>
      <c r="W1093" s="870"/>
      <c r="X1093" s="870"/>
      <c r="Y1093" s="870"/>
      <c r="Z1093" s="870"/>
      <c r="AA1093" s="870"/>
      <c r="AB1093" s="870"/>
      <c r="AC1093" s="870"/>
      <c r="AD1093" s="870"/>
      <c r="AE1093" s="870"/>
      <c r="AF1093" s="870"/>
      <c r="AG1093" s="870"/>
    </row>
    <row r="1094" spans="1:33" s="995" customFormat="1">
      <c r="A1094" s="974"/>
      <c r="D1094" s="876"/>
      <c r="E1094" s="974"/>
      <c r="F1094" s="876"/>
      <c r="G1094" s="876"/>
      <c r="H1094" s="876"/>
      <c r="I1094" s="876"/>
      <c r="J1094" s="876"/>
      <c r="K1094" s="876"/>
      <c r="L1094" s="876"/>
      <c r="M1094" s="876"/>
      <c r="N1094" s="876"/>
      <c r="O1094" s="876"/>
      <c r="P1094" s="876"/>
      <c r="Q1094" s="870"/>
      <c r="R1094" s="870"/>
      <c r="S1094" s="870"/>
      <c r="T1094" s="870"/>
      <c r="U1094" s="870"/>
      <c r="V1094" s="870"/>
      <c r="W1094" s="870"/>
      <c r="X1094" s="870"/>
      <c r="Y1094" s="870"/>
      <c r="Z1094" s="870"/>
      <c r="AA1094" s="870"/>
      <c r="AB1094" s="870"/>
      <c r="AC1094" s="870"/>
      <c r="AD1094" s="870"/>
      <c r="AE1094" s="870"/>
      <c r="AF1094" s="870"/>
      <c r="AG1094" s="870"/>
    </row>
    <row r="1095" spans="1:33" s="995" customFormat="1">
      <c r="A1095" s="974"/>
      <c r="D1095" s="876"/>
      <c r="E1095" s="974"/>
      <c r="F1095" s="876"/>
      <c r="G1095" s="876"/>
      <c r="H1095" s="876"/>
      <c r="I1095" s="876"/>
      <c r="J1095" s="876"/>
      <c r="K1095" s="876"/>
      <c r="L1095" s="876"/>
      <c r="M1095" s="876"/>
      <c r="N1095" s="876"/>
      <c r="O1095" s="876"/>
      <c r="P1095" s="876"/>
      <c r="Q1095" s="870"/>
      <c r="R1095" s="870"/>
      <c r="S1095" s="870"/>
      <c r="T1095" s="870"/>
      <c r="U1095" s="870"/>
      <c r="V1095" s="870"/>
      <c r="W1095" s="870"/>
      <c r="X1095" s="870"/>
      <c r="Y1095" s="870"/>
      <c r="Z1095" s="870"/>
      <c r="AA1095" s="870"/>
      <c r="AB1095" s="870"/>
      <c r="AC1095" s="870"/>
      <c r="AD1095" s="870"/>
      <c r="AE1095" s="870"/>
      <c r="AF1095" s="870"/>
      <c r="AG1095" s="870"/>
    </row>
    <row r="1096" spans="1:33" s="995" customFormat="1">
      <c r="A1096" s="974"/>
      <c r="D1096" s="876"/>
      <c r="E1096" s="974"/>
      <c r="F1096" s="876"/>
      <c r="G1096" s="876"/>
      <c r="H1096" s="876"/>
      <c r="I1096" s="876"/>
      <c r="J1096" s="876"/>
      <c r="K1096" s="876"/>
      <c r="L1096" s="876"/>
      <c r="M1096" s="876"/>
      <c r="N1096" s="876"/>
      <c r="O1096" s="876"/>
      <c r="P1096" s="876"/>
      <c r="Q1096" s="870"/>
      <c r="R1096" s="870"/>
      <c r="S1096" s="870"/>
      <c r="T1096" s="870"/>
      <c r="U1096" s="870"/>
      <c r="V1096" s="870"/>
      <c r="W1096" s="870"/>
      <c r="X1096" s="870"/>
      <c r="Y1096" s="870"/>
      <c r="Z1096" s="870"/>
      <c r="AA1096" s="870"/>
      <c r="AB1096" s="870"/>
      <c r="AC1096" s="870"/>
      <c r="AD1096" s="870"/>
      <c r="AE1096" s="870"/>
      <c r="AF1096" s="870"/>
      <c r="AG1096" s="870"/>
    </row>
    <row r="1097" spans="1:33" s="995" customFormat="1">
      <c r="A1097" s="974"/>
      <c r="D1097" s="876"/>
      <c r="E1097" s="974"/>
      <c r="F1097" s="876"/>
      <c r="G1097" s="876"/>
      <c r="H1097" s="876"/>
      <c r="I1097" s="876"/>
      <c r="J1097" s="876"/>
      <c r="K1097" s="876"/>
      <c r="L1097" s="876"/>
      <c r="M1097" s="876"/>
      <c r="N1097" s="876"/>
      <c r="O1097" s="876"/>
      <c r="P1097" s="876"/>
      <c r="Q1097" s="870"/>
      <c r="R1097" s="870"/>
      <c r="S1097" s="870"/>
      <c r="T1097" s="870"/>
      <c r="U1097" s="870"/>
      <c r="V1097" s="870"/>
      <c r="W1097" s="870"/>
      <c r="X1097" s="870"/>
      <c r="Y1097" s="870"/>
      <c r="Z1097" s="870"/>
      <c r="AA1097" s="870"/>
      <c r="AB1097" s="870"/>
      <c r="AC1097" s="870"/>
      <c r="AD1097" s="870"/>
      <c r="AE1097" s="870"/>
      <c r="AF1097" s="870"/>
      <c r="AG1097" s="870"/>
    </row>
    <row r="1098" spans="1:33" s="995" customFormat="1">
      <c r="A1098" s="974"/>
      <c r="D1098" s="876"/>
      <c r="E1098" s="974"/>
      <c r="F1098" s="876"/>
      <c r="G1098" s="876"/>
      <c r="H1098" s="876"/>
      <c r="I1098" s="876"/>
      <c r="J1098" s="876"/>
      <c r="K1098" s="876"/>
      <c r="L1098" s="876"/>
      <c r="M1098" s="876"/>
      <c r="N1098" s="876"/>
      <c r="O1098" s="876"/>
      <c r="P1098" s="876"/>
      <c r="Q1098" s="870"/>
      <c r="R1098" s="870"/>
      <c r="S1098" s="870"/>
      <c r="T1098" s="870"/>
      <c r="U1098" s="870"/>
      <c r="V1098" s="870"/>
      <c r="W1098" s="870"/>
      <c r="X1098" s="870"/>
      <c r="Y1098" s="870"/>
      <c r="Z1098" s="870"/>
      <c r="AA1098" s="870"/>
      <c r="AB1098" s="870"/>
      <c r="AC1098" s="870"/>
      <c r="AD1098" s="870"/>
      <c r="AE1098" s="870"/>
      <c r="AF1098" s="870"/>
      <c r="AG1098" s="870"/>
    </row>
    <row r="1099" spans="1:33" s="995" customFormat="1">
      <c r="A1099" s="974"/>
      <c r="D1099" s="876"/>
      <c r="E1099" s="974"/>
      <c r="F1099" s="876"/>
      <c r="G1099" s="876"/>
      <c r="H1099" s="876"/>
      <c r="I1099" s="876"/>
      <c r="J1099" s="876"/>
      <c r="K1099" s="876"/>
      <c r="L1099" s="876"/>
      <c r="M1099" s="876"/>
      <c r="N1099" s="876"/>
      <c r="O1099" s="876"/>
      <c r="P1099" s="876"/>
      <c r="Q1099" s="870"/>
      <c r="R1099" s="870"/>
      <c r="S1099" s="870"/>
      <c r="T1099" s="870"/>
      <c r="U1099" s="870"/>
      <c r="V1099" s="870"/>
      <c r="W1099" s="870"/>
      <c r="X1099" s="870"/>
      <c r="Y1099" s="870"/>
      <c r="Z1099" s="870"/>
      <c r="AA1099" s="870"/>
      <c r="AB1099" s="870"/>
      <c r="AC1099" s="870"/>
      <c r="AD1099" s="870"/>
      <c r="AE1099" s="870"/>
      <c r="AF1099" s="870"/>
      <c r="AG1099" s="870"/>
    </row>
    <row r="1100" spans="1:33" s="995" customFormat="1">
      <c r="A1100" s="974"/>
      <c r="D1100" s="876"/>
      <c r="E1100" s="974"/>
      <c r="F1100" s="876"/>
      <c r="G1100" s="876"/>
      <c r="H1100" s="876"/>
      <c r="I1100" s="876"/>
      <c r="J1100" s="876"/>
      <c r="K1100" s="876"/>
      <c r="L1100" s="876"/>
      <c r="M1100" s="876"/>
      <c r="N1100" s="876"/>
      <c r="O1100" s="876"/>
      <c r="P1100" s="876"/>
      <c r="Q1100" s="870"/>
      <c r="R1100" s="870"/>
      <c r="S1100" s="870"/>
      <c r="T1100" s="870"/>
      <c r="U1100" s="870"/>
      <c r="V1100" s="870"/>
      <c r="W1100" s="870"/>
      <c r="X1100" s="870"/>
      <c r="Y1100" s="870"/>
      <c r="Z1100" s="870"/>
      <c r="AA1100" s="870"/>
      <c r="AB1100" s="870"/>
      <c r="AC1100" s="870"/>
      <c r="AD1100" s="870"/>
      <c r="AE1100" s="870"/>
      <c r="AF1100" s="870"/>
      <c r="AG1100" s="870"/>
    </row>
    <row r="1101" spans="1:33" s="995" customFormat="1">
      <c r="A1101" s="974"/>
      <c r="D1101" s="876"/>
      <c r="E1101" s="974"/>
      <c r="F1101" s="876"/>
      <c r="G1101" s="876"/>
      <c r="H1101" s="876"/>
      <c r="I1101" s="876"/>
      <c r="J1101" s="876"/>
      <c r="K1101" s="876"/>
      <c r="L1101" s="876"/>
      <c r="M1101" s="876"/>
      <c r="N1101" s="876"/>
      <c r="O1101" s="876"/>
      <c r="P1101" s="876"/>
      <c r="Q1101" s="870"/>
      <c r="R1101" s="870"/>
      <c r="S1101" s="870"/>
      <c r="T1101" s="870"/>
      <c r="U1101" s="870"/>
      <c r="V1101" s="870"/>
      <c r="W1101" s="870"/>
      <c r="X1101" s="870"/>
      <c r="Y1101" s="870"/>
      <c r="Z1101" s="870"/>
      <c r="AA1101" s="870"/>
      <c r="AB1101" s="870"/>
      <c r="AC1101" s="870"/>
      <c r="AD1101" s="870"/>
      <c r="AE1101" s="870"/>
      <c r="AF1101" s="870"/>
      <c r="AG1101" s="870"/>
    </row>
    <row r="1102" spans="1:33" s="995" customFormat="1">
      <c r="A1102" s="974"/>
      <c r="D1102" s="876"/>
      <c r="E1102" s="974"/>
      <c r="F1102" s="876"/>
      <c r="G1102" s="876"/>
      <c r="H1102" s="876"/>
      <c r="I1102" s="876"/>
      <c r="J1102" s="876"/>
      <c r="K1102" s="876"/>
      <c r="L1102" s="876"/>
      <c r="M1102" s="876"/>
      <c r="N1102" s="876"/>
      <c r="O1102" s="876"/>
      <c r="P1102" s="876"/>
      <c r="Q1102" s="870"/>
      <c r="R1102" s="870"/>
      <c r="S1102" s="870"/>
      <c r="T1102" s="870"/>
      <c r="U1102" s="870"/>
      <c r="V1102" s="870"/>
      <c r="W1102" s="870"/>
      <c r="X1102" s="870"/>
      <c r="Y1102" s="870"/>
      <c r="Z1102" s="870"/>
      <c r="AA1102" s="870"/>
      <c r="AB1102" s="870"/>
      <c r="AC1102" s="870"/>
      <c r="AD1102" s="870"/>
      <c r="AE1102" s="870"/>
      <c r="AF1102" s="870"/>
      <c r="AG1102" s="870"/>
    </row>
    <row r="1103" spans="1:33" s="995" customFormat="1">
      <c r="A1103" s="974"/>
      <c r="D1103" s="876"/>
      <c r="E1103" s="974"/>
      <c r="F1103" s="876"/>
      <c r="G1103" s="876"/>
      <c r="H1103" s="876"/>
      <c r="I1103" s="876"/>
      <c r="J1103" s="876"/>
      <c r="K1103" s="876"/>
      <c r="L1103" s="876"/>
      <c r="M1103" s="876"/>
      <c r="N1103" s="876"/>
      <c r="O1103" s="876"/>
      <c r="P1103" s="876"/>
      <c r="Q1103" s="870"/>
      <c r="R1103" s="870"/>
      <c r="S1103" s="870"/>
      <c r="T1103" s="870"/>
      <c r="U1103" s="870"/>
      <c r="V1103" s="870"/>
      <c r="W1103" s="870"/>
      <c r="X1103" s="870"/>
      <c r="Y1103" s="870"/>
      <c r="Z1103" s="870"/>
      <c r="AA1103" s="870"/>
      <c r="AB1103" s="870"/>
      <c r="AC1103" s="870"/>
      <c r="AD1103" s="870"/>
      <c r="AE1103" s="870"/>
      <c r="AF1103" s="870"/>
      <c r="AG1103" s="870"/>
    </row>
    <row r="1104" spans="1:33" s="995" customFormat="1">
      <c r="A1104" s="974"/>
      <c r="D1104" s="876"/>
      <c r="E1104" s="974"/>
      <c r="F1104" s="876"/>
      <c r="G1104" s="876"/>
      <c r="H1104" s="876"/>
      <c r="I1104" s="876"/>
      <c r="J1104" s="876"/>
      <c r="K1104" s="876"/>
      <c r="L1104" s="876"/>
      <c r="M1104" s="876"/>
      <c r="N1104" s="876"/>
      <c r="O1104" s="876"/>
      <c r="P1104" s="876"/>
      <c r="Q1104" s="870"/>
      <c r="R1104" s="870"/>
      <c r="S1104" s="870"/>
      <c r="T1104" s="870"/>
      <c r="U1104" s="870"/>
      <c r="V1104" s="870"/>
      <c r="W1104" s="870"/>
      <c r="X1104" s="870"/>
      <c r="Y1104" s="870"/>
      <c r="Z1104" s="870"/>
      <c r="AA1104" s="870"/>
      <c r="AB1104" s="870"/>
      <c r="AC1104" s="870"/>
      <c r="AD1104" s="870"/>
      <c r="AE1104" s="870"/>
      <c r="AF1104" s="870"/>
      <c r="AG1104" s="870"/>
    </row>
    <row r="1105" spans="1:33" s="995" customFormat="1">
      <c r="A1105" s="974"/>
      <c r="D1105" s="876"/>
      <c r="E1105" s="974"/>
      <c r="F1105" s="876"/>
      <c r="G1105" s="876"/>
      <c r="H1105" s="876"/>
      <c r="I1105" s="876"/>
      <c r="J1105" s="876"/>
      <c r="K1105" s="876"/>
      <c r="L1105" s="876"/>
      <c r="M1105" s="876"/>
      <c r="N1105" s="876"/>
      <c r="O1105" s="876"/>
      <c r="P1105" s="876"/>
      <c r="Q1105" s="870"/>
      <c r="R1105" s="870"/>
      <c r="S1105" s="870"/>
      <c r="T1105" s="870"/>
      <c r="U1105" s="870"/>
      <c r="V1105" s="870"/>
      <c r="W1105" s="870"/>
      <c r="X1105" s="870"/>
      <c r="Y1105" s="870"/>
      <c r="Z1105" s="870"/>
      <c r="AA1105" s="870"/>
      <c r="AB1105" s="870"/>
      <c r="AC1105" s="870"/>
      <c r="AD1105" s="870"/>
      <c r="AE1105" s="870"/>
      <c r="AF1105" s="870"/>
      <c r="AG1105" s="870"/>
    </row>
    <row r="1106" spans="1:33" s="995" customFormat="1">
      <c r="A1106" s="974"/>
      <c r="D1106" s="876"/>
      <c r="E1106" s="974"/>
      <c r="F1106" s="876"/>
      <c r="G1106" s="876"/>
      <c r="H1106" s="876"/>
      <c r="I1106" s="876"/>
      <c r="J1106" s="876"/>
      <c r="K1106" s="876"/>
      <c r="L1106" s="876"/>
      <c r="M1106" s="876"/>
      <c r="N1106" s="876"/>
      <c r="O1106" s="876"/>
      <c r="P1106" s="876"/>
      <c r="Q1106" s="870"/>
      <c r="R1106" s="870"/>
      <c r="S1106" s="870"/>
      <c r="T1106" s="870"/>
      <c r="U1106" s="870"/>
      <c r="V1106" s="870"/>
      <c r="W1106" s="870"/>
      <c r="X1106" s="870"/>
      <c r="Y1106" s="870"/>
      <c r="Z1106" s="870"/>
      <c r="AA1106" s="870"/>
      <c r="AB1106" s="870"/>
      <c r="AC1106" s="870"/>
      <c r="AD1106" s="870"/>
      <c r="AE1106" s="870"/>
      <c r="AF1106" s="870"/>
      <c r="AG1106" s="870"/>
    </row>
    <row r="1107" spans="1:33" s="995" customFormat="1">
      <c r="A1107" s="974"/>
      <c r="D1107" s="876"/>
      <c r="E1107" s="974"/>
      <c r="F1107" s="876"/>
      <c r="G1107" s="876"/>
      <c r="H1107" s="876"/>
      <c r="I1107" s="876"/>
      <c r="J1107" s="876"/>
      <c r="K1107" s="876"/>
      <c r="L1107" s="876"/>
      <c r="M1107" s="876"/>
      <c r="N1107" s="876"/>
      <c r="O1107" s="876"/>
      <c r="P1107" s="876"/>
      <c r="Q1107" s="870"/>
      <c r="R1107" s="870"/>
      <c r="S1107" s="870"/>
      <c r="T1107" s="870"/>
      <c r="U1107" s="870"/>
      <c r="V1107" s="870"/>
      <c r="W1107" s="870"/>
      <c r="X1107" s="870"/>
      <c r="Y1107" s="870"/>
      <c r="Z1107" s="870"/>
      <c r="AA1107" s="870"/>
      <c r="AB1107" s="870"/>
      <c r="AC1107" s="870"/>
      <c r="AD1107" s="870"/>
      <c r="AE1107" s="870"/>
      <c r="AF1107" s="870"/>
      <c r="AG1107" s="870"/>
    </row>
    <row r="1108" spans="1:33" s="995" customFormat="1">
      <c r="A1108" s="974"/>
      <c r="D1108" s="876"/>
      <c r="E1108" s="974"/>
      <c r="F1108" s="876"/>
      <c r="G1108" s="876"/>
      <c r="H1108" s="876"/>
      <c r="I1108" s="876"/>
      <c r="J1108" s="876"/>
      <c r="K1108" s="876"/>
      <c r="L1108" s="876"/>
      <c r="M1108" s="876"/>
      <c r="N1108" s="876"/>
      <c r="O1108" s="876"/>
      <c r="P1108" s="876"/>
      <c r="Q1108" s="870"/>
      <c r="R1108" s="870"/>
      <c r="S1108" s="870"/>
      <c r="T1108" s="870"/>
      <c r="U1108" s="870"/>
      <c r="V1108" s="870"/>
      <c r="W1108" s="870"/>
      <c r="X1108" s="870"/>
      <c r="Y1108" s="870"/>
      <c r="Z1108" s="870"/>
      <c r="AA1108" s="870"/>
      <c r="AB1108" s="870"/>
      <c r="AC1108" s="870"/>
      <c r="AD1108" s="870"/>
      <c r="AE1108" s="870"/>
      <c r="AF1108" s="870"/>
      <c r="AG1108" s="870"/>
    </row>
    <row r="1109" spans="1:33" s="995" customFormat="1">
      <c r="A1109" s="974"/>
      <c r="D1109" s="876"/>
      <c r="E1109" s="974"/>
      <c r="F1109" s="876"/>
      <c r="G1109" s="876"/>
      <c r="H1109" s="876"/>
      <c r="I1109" s="876"/>
      <c r="J1109" s="876"/>
      <c r="K1109" s="876"/>
      <c r="L1109" s="876"/>
      <c r="M1109" s="876"/>
      <c r="N1109" s="876"/>
      <c r="O1109" s="876"/>
      <c r="P1109" s="876"/>
      <c r="Q1109" s="870"/>
      <c r="R1109" s="870"/>
      <c r="S1109" s="870"/>
      <c r="T1109" s="870"/>
      <c r="U1109" s="870"/>
      <c r="V1109" s="870"/>
      <c r="W1109" s="870"/>
      <c r="X1109" s="870"/>
      <c r="Y1109" s="870"/>
      <c r="Z1109" s="870"/>
      <c r="AA1109" s="870"/>
      <c r="AB1109" s="870"/>
      <c r="AC1109" s="870"/>
      <c r="AD1109" s="870"/>
      <c r="AE1109" s="870"/>
      <c r="AF1109" s="870"/>
      <c r="AG1109" s="870"/>
    </row>
    <row r="1110" spans="1:33" s="995" customFormat="1">
      <c r="A1110" s="974"/>
      <c r="D1110" s="876"/>
      <c r="E1110" s="974"/>
      <c r="F1110" s="876"/>
      <c r="G1110" s="876"/>
      <c r="H1110" s="876"/>
      <c r="I1110" s="876"/>
      <c r="J1110" s="876"/>
      <c r="K1110" s="876"/>
      <c r="L1110" s="876"/>
      <c r="M1110" s="876"/>
      <c r="N1110" s="876"/>
      <c r="O1110" s="876"/>
      <c r="P1110" s="876"/>
      <c r="Q1110" s="870"/>
      <c r="R1110" s="870"/>
      <c r="S1110" s="870"/>
      <c r="T1110" s="870"/>
      <c r="U1110" s="870"/>
      <c r="V1110" s="870"/>
      <c r="W1110" s="870"/>
      <c r="X1110" s="870"/>
      <c r="Y1110" s="870"/>
      <c r="Z1110" s="870"/>
      <c r="AA1110" s="870"/>
      <c r="AB1110" s="870"/>
      <c r="AC1110" s="870"/>
      <c r="AD1110" s="870"/>
      <c r="AE1110" s="870"/>
      <c r="AF1110" s="870"/>
      <c r="AG1110" s="870"/>
    </row>
    <row r="1111" spans="1:33" s="995" customFormat="1">
      <c r="A1111" s="974"/>
      <c r="D1111" s="876"/>
      <c r="E1111" s="974"/>
      <c r="F1111" s="876"/>
      <c r="G1111" s="876"/>
      <c r="H1111" s="876"/>
      <c r="I1111" s="876"/>
      <c r="J1111" s="876"/>
      <c r="K1111" s="876"/>
      <c r="L1111" s="876"/>
      <c r="M1111" s="876"/>
      <c r="N1111" s="876"/>
      <c r="O1111" s="876"/>
      <c r="P1111" s="876"/>
      <c r="Q1111" s="870"/>
      <c r="R1111" s="870"/>
      <c r="S1111" s="870"/>
      <c r="T1111" s="870"/>
      <c r="U1111" s="870"/>
      <c r="V1111" s="870"/>
      <c r="W1111" s="870"/>
      <c r="X1111" s="870"/>
      <c r="Y1111" s="870"/>
      <c r="Z1111" s="870"/>
      <c r="AA1111" s="870"/>
      <c r="AB1111" s="870"/>
      <c r="AC1111" s="870"/>
      <c r="AD1111" s="870"/>
      <c r="AE1111" s="870"/>
      <c r="AF1111" s="870"/>
      <c r="AG1111" s="870"/>
    </row>
    <row r="1112" spans="1:33" s="995" customFormat="1">
      <c r="A1112" s="974"/>
      <c r="D1112" s="876"/>
      <c r="E1112" s="974"/>
      <c r="F1112" s="876"/>
      <c r="G1112" s="876"/>
      <c r="H1112" s="876"/>
      <c r="I1112" s="876"/>
      <c r="J1112" s="876"/>
      <c r="K1112" s="876"/>
      <c r="L1112" s="876"/>
      <c r="M1112" s="876"/>
      <c r="N1112" s="876"/>
      <c r="O1112" s="876"/>
      <c r="P1112" s="876"/>
      <c r="Q1112" s="870"/>
      <c r="R1112" s="870"/>
      <c r="S1112" s="870"/>
      <c r="T1112" s="870"/>
      <c r="U1112" s="870"/>
      <c r="V1112" s="870"/>
      <c r="W1112" s="870"/>
      <c r="X1112" s="870"/>
      <c r="Y1112" s="870"/>
      <c r="Z1112" s="870"/>
      <c r="AA1112" s="870"/>
      <c r="AB1112" s="870"/>
      <c r="AC1112" s="870"/>
      <c r="AD1112" s="870"/>
      <c r="AE1112" s="870"/>
      <c r="AF1112" s="870"/>
      <c r="AG1112" s="870"/>
    </row>
    <row r="1113" spans="1:33" s="995" customFormat="1">
      <c r="A1113" s="974"/>
      <c r="D1113" s="876"/>
      <c r="E1113" s="974"/>
      <c r="F1113" s="876"/>
      <c r="G1113" s="876"/>
      <c r="H1113" s="876"/>
      <c r="I1113" s="876"/>
      <c r="J1113" s="876"/>
      <c r="K1113" s="876"/>
      <c r="L1113" s="876"/>
      <c r="M1113" s="876"/>
      <c r="N1113" s="876"/>
      <c r="O1113" s="876"/>
      <c r="P1113" s="876"/>
      <c r="Q1113" s="870"/>
      <c r="R1113" s="870"/>
      <c r="S1113" s="870"/>
      <c r="T1113" s="870"/>
      <c r="U1113" s="870"/>
      <c r="V1113" s="870"/>
      <c r="W1113" s="870"/>
      <c r="X1113" s="870"/>
      <c r="Y1113" s="870"/>
      <c r="Z1113" s="870"/>
      <c r="AA1113" s="870"/>
      <c r="AB1113" s="870"/>
      <c r="AC1113" s="870"/>
      <c r="AD1113" s="870"/>
      <c r="AE1113" s="870"/>
      <c r="AF1113" s="870"/>
      <c r="AG1113" s="870"/>
    </row>
    <row r="1114" spans="1:33" s="995" customFormat="1">
      <c r="A1114" s="974"/>
      <c r="D1114" s="876"/>
      <c r="E1114" s="974"/>
      <c r="F1114" s="876"/>
      <c r="G1114" s="876"/>
      <c r="H1114" s="876"/>
      <c r="I1114" s="876"/>
      <c r="J1114" s="876"/>
      <c r="K1114" s="876"/>
      <c r="L1114" s="876"/>
      <c r="M1114" s="876"/>
      <c r="N1114" s="876"/>
      <c r="O1114" s="876"/>
      <c r="P1114" s="876"/>
      <c r="Q1114" s="870"/>
      <c r="R1114" s="870"/>
      <c r="S1114" s="870"/>
      <c r="T1114" s="870"/>
      <c r="U1114" s="870"/>
      <c r="V1114" s="870"/>
      <c r="W1114" s="870"/>
      <c r="X1114" s="870"/>
      <c r="Y1114" s="870"/>
      <c r="Z1114" s="870"/>
      <c r="AA1114" s="870"/>
      <c r="AB1114" s="870"/>
      <c r="AC1114" s="870"/>
      <c r="AD1114" s="870"/>
      <c r="AE1114" s="870"/>
      <c r="AF1114" s="870"/>
      <c r="AG1114" s="870"/>
    </row>
    <row r="1115" spans="1:33" s="995" customFormat="1">
      <c r="A1115" s="974"/>
      <c r="D1115" s="876"/>
      <c r="E1115" s="974"/>
      <c r="F1115" s="876"/>
      <c r="G1115" s="876"/>
      <c r="H1115" s="876"/>
      <c r="I1115" s="876"/>
      <c r="J1115" s="876"/>
      <c r="K1115" s="876"/>
      <c r="L1115" s="876"/>
      <c r="M1115" s="876"/>
      <c r="N1115" s="876"/>
      <c r="O1115" s="876"/>
      <c r="P1115" s="876"/>
      <c r="Q1115" s="870"/>
      <c r="R1115" s="870"/>
      <c r="S1115" s="870"/>
      <c r="T1115" s="870"/>
      <c r="U1115" s="870"/>
      <c r="V1115" s="870"/>
      <c r="W1115" s="870"/>
      <c r="X1115" s="870"/>
      <c r="Y1115" s="870"/>
      <c r="Z1115" s="870"/>
      <c r="AA1115" s="870"/>
      <c r="AB1115" s="870"/>
      <c r="AC1115" s="870"/>
      <c r="AD1115" s="870"/>
      <c r="AE1115" s="870"/>
      <c r="AF1115" s="870"/>
      <c r="AG1115" s="870"/>
    </row>
    <row r="1116" spans="1:33" s="995" customFormat="1">
      <c r="A1116" s="974"/>
      <c r="D1116" s="876"/>
      <c r="E1116" s="974"/>
      <c r="F1116" s="876"/>
      <c r="G1116" s="876"/>
      <c r="H1116" s="876"/>
      <c r="I1116" s="876"/>
      <c r="J1116" s="876"/>
      <c r="K1116" s="876"/>
      <c r="L1116" s="876"/>
      <c r="M1116" s="876"/>
      <c r="N1116" s="876"/>
      <c r="O1116" s="876"/>
      <c r="P1116" s="876"/>
      <c r="Q1116" s="870"/>
      <c r="R1116" s="870"/>
      <c r="S1116" s="870"/>
      <c r="T1116" s="870"/>
      <c r="U1116" s="870"/>
      <c r="V1116" s="870"/>
      <c r="W1116" s="870"/>
      <c r="X1116" s="870"/>
      <c r="Y1116" s="870"/>
      <c r="Z1116" s="870"/>
      <c r="AA1116" s="870"/>
      <c r="AB1116" s="870"/>
      <c r="AC1116" s="870"/>
      <c r="AD1116" s="870"/>
      <c r="AE1116" s="870"/>
      <c r="AF1116" s="870"/>
      <c r="AG1116" s="870"/>
    </row>
    <row r="1117" spans="1:33" s="995" customFormat="1">
      <c r="A1117" s="974"/>
      <c r="D1117" s="876"/>
      <c r="E1117" s="974"/>
      <c r="F1117" s="876"/>
      <c r="G1117" s="876"/>
      <c r="H1117" s="876"/>
      <c r="I1117" s="876"/>
      <c r="J1117" s="876"/>
      <c r="K1117" s="876"/>
      <c r="L1117" s="876"/>
      <c r="M1117" s="876"/>
      <c r="N1117" s="876"/>
      <c r="O1117" s="876"/>
      <c r="P1117" s="876"/>
      <c r="Q1117" s="870"/>
      <c r="R1117" s="870"/>
      <c r="S1117" s="870"/>
      <c r="T1117" s="870"/>
      <c r="U1117" s="870"/>
      <c r="V1117" s="870"/>
      <c r="W1117" s="870"/>
      <c r="X1117" s="870"/>
      <c r="Y1117" s="870"/>
      <c r="Z1117" s="870"/>
      <c r="AA1117" s="870"/>
      <c r="AB1117" s="870"/>
      <c r="AC1117" s="870"/>
      <c r="AD1117" s="870"/>
      <c r="AE1117" s="870"/>
      <c r="AF1117" s="870"/>
      <c r="AG1117" s="870"/>
    </row>
    <row r="1118" spans="1:33" s="995" customFormat="1">
      <c r="A1118" s="974"/>
      <c r="D1118" s="876"/>
      <c r="E1118" s="974"/>
      <c r="F1118" s="876"/>
      <c r="G1118" s="876"/>
      <c r="H1118" s="876"/>
      <c r="I1118" s="876"/>
      <c r="J1118" s="876"/>
      <c r="K1118" s="876"/>
      <c r="L1118" s="876"/>
      <c r="M1118" s="876"/>
      <c r="N1118" s="876"/>
      <c r="O1118" s="876"/>
      <c r="P1118" s="876"/>
      <c r="Q1118" s="870"/>
      <c r="R1118" s="870"/>
      <c r="S1118" s="870"/>
      <c r="T1118" s="870"/>
      <c r="U1118" s="870"/>
      <c r="V1118" s="870"/>
      <c r="W1118" s="870"/>
      <c r="X1118" s="870"/>
      <c r="Y1118" s="870"/>
      <c r="Z1118" s="870"/>
      <c r="AA1118" s="870"/>
      <c r="AB1118" s="870"/>
      <c r="AC1118" s="870"/>
      <c r="AD1118" s="870"/>
      <c r="AE1118" s="870"/>
      <c r="AF1118" s="870"/>
      <c r="AG1118" s="870"/>
    </row>
    <row r="1119" spans="1:33" s="995" customFormat="1">
      <c r="A1119" s="974"/>
      <c r="D1119" s="876"/>
      <c r="E1119" s="974"/>
      <c r="F1119" s="876"/>
      <c r="G1119" s="876"/>
      <c r="H1119" s="876"/>
      <c r="I1119" s="876"/>
      <c r="J1119" s="876"/>
      <c r="K1119" s="876"/>
      <c r="L1119" s="876"/>
      <c r="M1119" s="876"/>
      <c r="N1119" s="876"/>
      <c r="O1119" s="876"/>
      <c r="P1119" s="876"/>
      <c r="Q1119" s="870"/>
      <c r="R1119" s="870"/>
      <c r="S1119" s="870"/>
      <c r="T1119" s="870"/>
      <c r="U1119" s="870"/>
      <c r="V1119" s="870"/>
      <c r="W1119" s="870"/>
      <c r="X1119" s="870"/>
      <c r="Y1119" s="870"/>
      <c r="Z1119" s="870"/>
      <c r="AA1119" s="870"/>
      <c r="AB1119" s="870"/>
      <c r="AC1119" s="870"/>
      <c r="AD1119" s="870"/>
      <c r="AE1119" s="870"/>
      <c r="AF1119" s="870"/>
      <c r="AG1119" s="870"/>
    </row>
    <row r="1120" spans="1:33" s="995" customFormat="1">
      <c r="A1120" s="974"/>
      <c r="D1120" s="876"/>
      <c r="E1120" s="974"/>
      <c r="F1120" s="876"/>
      <c r="G1120" s="876"/>
      <c r="H1120" s="876"/>
      <c r="I1120" s="876"/>
      <c r="J1120" s="876"/>
      <c r="K1120" s="876"/>
      <c r="L1120" s="876"/>
      <c r="M1120" s="876"/>
      <c r="N1120" s="876"/>
      <c r="O1120" s="876"/>
      <c r="P1120" s="876"/>
      <c r="Q1120" s="870"/>
      <c r="R1120" s="870"/>
      <c r="S1120" s="870"/>
      <c r="T1120" s="870"/>
      <c r="U1120" s="870"/>
      <c r="V1120" s="870"/>
      <c r="W1120" s="870"/>
      <c r="X1120" s="870"/>
      <c r="Y1120" s="870"/>
      <c r="Z1120" s="870"/>
      <c r="AA1120" s="870"/>
      <c r="AB1120" s="870"/>
      <c r="AC1120" s="870"/>
      <c r="AD1120" s="870"/>
      <c r="AE1120" s="870"/>
      <c r="AF1120" s="870"/>
      <c r="AG1120" s="870"/>
    </row>
    <row r="1121" spans="1:33" s="995" customFormat="1">
      <c r="A1121" s="974"/>
      <c r="D1121" s="876"/>
      <c r="E1121" s="974"/>
      <c r="F1121" s="876"/>
      <c r="G1121" s="876"/>
      <c r="H1121" s="876"/>
      <c r="I1121" s="876"/>
      <c r="J1121" s="876"/>
      <c r="K1121" s="876"/>
      <c r="L1121" s="876"/>
      <c r="M1121" s="876"/>
      <c r="N1121" s="876"/>
      <c r="O1121" s="876"/>
      <c r="P1121" s="876"/>
      <c r="Q1121" s="870"/>
      <c r="R1121" s="870"/>
      <c r="S1121" s="870"/>
      <c r="T1121" s="870"/>
      <c r="U1121" s="870"/>
      <c r="V1121" s="870"/>
      <c r="W1121" s="870"/>
      <c r="X1121" s="870"/>
      <c r="Y1121" s="870"/>
      <c r="Z1121" s="870"/>
      <c r="AA1121" s="870"/>
      <c r="AB1121" s="870"/>
      <c r="AC1121" s="870"/>
      <c r="AD1121" s="870"/>
      <c r="AE1121" s="870"/>
      <c r="AF1121" s="870"/>
      <c r="AG1121" s="870"/>
    </row>
    <row r="1122" spans="1:33" s="995" customFormat="1">
      <c r="A1122" s="974"/>
      <c r="D1122" s="876"/>
      <c r="E1122" s="974"/>
      <c r="F1122" s="876"/>
      <c r="G1122" s="876"/>
      <c r="H1122" s="876"/>
      <c r="I1122" s="876"/>
      <c r="J1122" s="876"/>
      <c r="K1122" s="876"/>
      <c r="L1122" s="876"/>
      <c r="M1122" s="876"/>
      <c r="N1122" s="876"/>
      <c r="O1122" s="876"/>
      <c r="P1122" s="876"/>
      <c r="Q1122" s="870"/>
      <c r="R1122" s="870"/>
      <c r="S1122" s="870"/>
      <c r="T1122" s="870"/>
      <c r="U1122" s="870"/>
      <c r="V1122" s="870"/>
      <c r="W1122" s="870"/>
      <c r="X1122" s="870"/>
      <c r="Y1122" s="870"/>
      <c r="Z1122" s="870"/>
      <c r="AA1122" s="870"/>
      <c r="AB1122" s="870"/>
      <c r="AC1122" s="870"/>
      <c r="AD1122" s="870"/>
      <c r="AE1122" s="870"/>
      <c r="AF1122" s="870"/>
      <c r="AG1122" s="870"/>
    </row>
    <row r="1123" spans="1:33" s="995" customFormat="1">
      <c r="A1123" s="974"/>
      <c r="D1123" s="876"/>
      <c r="E1123" s="974"/>
      <c r="F1123" s="876"/>
      <c r="G1123" s="876"/>
      <c r="H1123" s="876"/>
      <c r="I1123" s="876"/>
      <c r="J1123" s="876"/>
      <c r="K1123" s="876"/>
      <c r="L1123" s="876"/>
      <c r="M1123" s="876"/>
      <c r="N1123" s="876"/>
      <c r="O1123" s="876"/>
      <c r="P1123" s="876"/>
      <c r="Q1123" s="870"/>
      <c r="R1123" s="870"/>
      <c r="S1123" s="870"/>
      <c r="T1123" s="870"/>
      <c r="U1123" s="870"/>
      <c r="V1123" s="870"/>
      <c r="W1123" s="870"/>
      <c r="X1123" s="870"/>
      <c r="Y1123" s="870"/>
      <c r="Z1123" s="870"/>
      <c r="AA1123" s="870"/>
      <c r="AB1123" s="870"/>
      <c r="AC1123" s="870"/>
      <c r="AD1123" s="870"/>
      <c r="AE1123" s="870"/>
      <c r="AF1123" s="870"/>
      <c r="AG1123" s="870"/>
    </row>
    <row r="1124" spans="1:33" s="995" customFormat="1">
      <c r="A1124" s="974"/>
      <c r="D1124" s="876"/>
      <c r="E1124" s="974"/>
      <c r="F1124" s="876"/>
      <c r="G1124" s="876"/>
      <c r="H1124" s="876"/>
      <c r="I1124" s="876"/>
      <c r="J1124" s="876"/>
      <c r="K1124" s="876"/>
      <c r="L1124" s="876"/>
      <c r="M1124" s="876"/>
      <c r="N1124" s="876"/>
      <c r="O1124" s="876"/>
      <c r="P1124" s="876"/>
      <c r="Q1124" s="870"/>
      <c r="R1124" s="870"/>
      <c r="S1124" s="870"/>
      <c r="T1124" s="870"/>
      <c r="U1124" s="870"/>
      <c r="V1124" s="870"/>
      <c r="W1124" s="870"/>
      <c r="X1124" s="870"/>
      <c r="Y1124" s="870"/>
      <c r="Z1124" s="870"/>
      <c r="AA1124" s="870"/>
      <c r="AB1124" s="870"/>
      <c r="AC1124" s="870"/>
      <c r="AD1124" s="870"/>
      <c r="AE1124" s="870"/>
      <c r="AF1124" s="870"/>
      <c r="AG1124" s="870"/>
    </row>
    <row r="1125" spans="1:33" s="995" customFormat="1">
      <c r="A1125" s="974"/>
      <c r="D1125" s="876"/>
      <c r="E1125" s="974"/>
      <c r="F1125" s="876"/>
      <c r="G1125" s="876"/>
      <c r="H1125" s="876"/>
      <c r="I1125" s="876"/>
      <c r="J1125" s="876"/>
      <c r="K1125" s="876"/>
      <c r="L1125" s="876"/>
      <c r="M1125" s="876"/>
      <c r="N1125" s="876"/>
      <c r="O1125" s="876"/>
      <c r="P1125" s="876"/>
      <c r="Q1125" s="870"/>
      <c r="R1125" s="870"/>
      <c r="S1125" s="870"/>
      <c r="T1125" s="870"/>
      <c r="U1125" s="870"/>
      <c r="V1125" s="870"/>
      <c r="W1125" s="870"/>
      <c r="X1125" s="870"/>
      <c r="Y1125" s="870"/>
      <c r="Z1125" s="870"/>
      <c r="AA1125" s="870"/>
      <c r="AB1125" s="870"/>
      <c r="AC1125" s="870"/>
      <c r="AD1125" s="870"/>
      <c r="AE1125" s="870"/>
      <c r="AF1125" s="870"/>
      <c r="AG1125" s="870"/>
    </row>
    <row r="1126" spans="1:33" s="995" customFormat="1">
      <c r="A1126" s="974"/>
      <c r="D1126" s="876"/>
      <c r="E1126" s="974"/>
      <c r="F1126" s="876"/>
      <c r="G1126" s="876"/>
      <c r="H1126" s="876"/>
      <c r="I1126" s="876"/>
      <c r="J1126" s="876"/>
      <c r="K1126" s="876"/>
      <c r="L1126" s="876"/>
      <c r="M1126" s="876"/>
      <c r="N1126" s="876"/>
      <c r="O1126" s="876"/>
      <c r="P1126" s="876"/>
      <c r="Q1126" s="870"/>
      <c r="R1126" s="870"/>
      <c r="S1126" s="870"/>
      <c r="T1126" s="870"/>
      <c r="U1126" s="870"/>
      <c r="V1126" s="870"/>
      <c r="W1126" s="870"/>
      <c r="X1126" s="870"/>
      <c r="Y1126" s="870"/>
      <c r="Z1126" s="870"/>
      <c r="AA1126" s="870"/>
      <c r="AB1126" s="870"/>
      <c r="AC1126" s="870"/>
      <c r="AD1126" s="870"/>
      <c r="AE1126" s="870"/>
      <c r="AF1126" s="870"/>
      <c r="AG1126" s="870"/>
    </row>
    <row r="1127" spans="1:33" s="995" customFormat="1">
      <c r="A1127" s="974"/>
      <c r="D1127" s="876"/>
      <c r="E1127" s="974"/>
      <c r="F1127" s="876"/>
      <c r="G1127" s="876"/>
      <c r="H1127" s="876"/>
      <c r="I1127" s="876"/>
      <c r="J1127" s="876"/>
      <c r="K1127" s="876"/>
      <c r="L1127" s="876"/>
      <c r="M1127" s="876"/>
      <c r="N1127" s="876"/>
      <c r="O1127" s="876"/>
      <c r="P1127" s="876"/>
      <c r="Q1127" s="870"/>
      <c r="R1127" s="870"/>
      <c r="S1127" s="870"/>
      <c r="T1127" s="870"/>
      <c r="U1127" s="870"/>
      <c r="V1127" s="870"/>
      <c r="W1127" s="870"/>
      <c r="X1127" s="870"/>
      <c r="Y1127" s="870"/>
      <c r="Z1127" s="870"/>
      <c r="AA1127" s="870"/>
      <c r="AB1127" s="870"/>
      <c r="AC1127" s="870"/>
      <c r="AD1127" s="870"/>
      <c r="AE1127" s="870"/>
      <c r="AF1127" s="870"/>
      <c r="AG1127" s="870"/>
    </row>
    <row r="1128" spans="1:33" s="995" customFormat="1">
      <c r="A1128" s="974"/>
      <c r="D1128" s="876"/>
      <c r="E1128" s="974"/>
      <c r="F1128" s="876"/>
      <c r="G1128" s="876"/>
      <c r="H1128" s="876"/>
      <c r="I1128" s="876"/>
      <c r="J1128" s="876"/>
      <c r="K1128" s="876"/>
      <c r="L1128" s="876"/>
      <c r="M1128" s="876"/>
      <c r="N1128" s="876"/>
      <c r="O1128" s="876"/>
      <c r="P1128" s="876"/>
      <c r="Q1128" s="870"/>
      <c r="R1128" s="870"/>
      <c r="S1128" s="870"/>
      <c r="T1128" s="870"/>
      <c r="U1128" s="870"/>
      <c r="V1128" s="870"/>
      <c r="W1128" s="870"/>
      <c r="X1128" s="870"/>
      <c r="Y1128" s="870"/>
      <c r="Z1128" s="870"/>
      <c r="AA1128" s="870"/>
      <c r="AB1128" s="870"/>
      <c r="AC1128" s="870"/>
      <c r="AD1128" s="870"/>
      <c r="AE1128" s="870"/>
      <c r="AF1128" s="870"/>
      <c r="AG1128" s="870"/>
    </row>
    <row r="1129" spans="1:33" s="995" customFormat="1">
      <c r="A1129" s="974"/>
      <c r="D1129" s="876"/>
      <c r="E1129" s="974"/>
      <c r="F1129" s="876"/>
      <c r="G1129" s="876"/>
      <c r="H1129" s="876"/>
      <c r="I1129" s="876"/>
      <c r="J1129" s="876"/>
      <c r="K1129" s="876"/>
      <c r="L1129" s="876"/>
      <c r="M1129" s="876"/>
      <c r="N1129" s="876"/>
      <c r="O1129" s="876"/>
      <c r="P1129" s="876"/>
      <c r="Q1129" s="870"/>
      <c r="R1129" s="870"/>
      <c r="S1129" s="870"/>
      <c r="T1129" s="870"/>
      <c r="U1129" s="870"/>
      <c r="V1129" s="870"/>
      <c r="W1129" s="870"/>
      <c r="X1129" s="870"/>
      <c r="Y1129" s="870"/>
      <c r="Z1129" s="870"/>
      <c r="AA1129" s="870"/>
      <c r="AB1129" s="870"/>
      <c r="AC1129" s="870"/>
      <c r="AD1129" s="870"/>
      <c r="AE1129" s="870"/>
      <c r="AF1129" s="870"/>
      <c r="AG1129" s="870"/>
    </row>
    <row r="1130" spans="1:33" s="995" customFormat="1">
      <c r="A1130" s="974"/>
      <c r="D1130" s="876"/>
      <c r="E1130" s="974"/>
      <c r="F1130" s="876"/>
      <c r="G1130" s="876"/>
      <c r="H1130" s="876"/>
      <c r="I1130" s="876"/>
      <c r="J1130" s="876"/>
      <c r="K1130" s="876"/>
      <c r="L1130" s="876"/>
      <c r="M1130" s="876"/>
      <c r="N1130" s="876"/>
      <c r="O1130" s="876"/>
      <c r="P1130" s="876"/>
      <c r="Q1130" s="870"/>
      <c r="R1130" s="870"/>
      <c r="S1130" s="870"/>
      <c r="T1130" s="870"/>
      <c r="U1130" s="870"/>
      <c r="V1130" s="870"/>
      <c r="W1130" s="870"/>
      <c r="X1130" s="870"/>
      <c r="Y1130" s="870"/>
      <c r="Z1130" s="870"/>
      <c r="AA1130" s="870"/>
      <c r="AB1130" s="870"/>
      <c r="AC1130" s="870"/>
      <c r="AD1130" s="870"/>
      <c r="AE1130" s="870"/>
      <c r="AF1130" s="870"/>
      <c r="AG1130" s="870"/>
    </row>
    <row r="1131" spans="1:33" s="995" customFormat="1">
      <c r="A1131" s="974"/>
      <c r="D1131" s="876"/>
      <c r="E1131" s="974"/>
      <c r="F1131" s="876"/>
      <c r="G1131" s="876"/>
      <c r="H1131" s="876"/>
      <c r="I1131" s="876"/>
      <c r="J1131" s="876"/>
      <c r="K1131" s="876"/>
      <c r="L1131" s="876"/>
      <c r="M1131" s="876"/>
      <c r="N1131" s="876"/>
      <c r="O1131" s="876"/>
      <c r="P1131" s="876"/>
      <c r="Q1131" s="870"/>
      <c r="R1131" s="870"/>
      <c r="S1131" s="870"/>
      <c r="T1131" s="870"/>
      <c r="U1131" s="870"/>
      <c r="V1131" s="870"/>
      <c r="W1131" s="870"/>
      <c r="X1131" s="870"/>
      <c r="Y1131" s="870"/>
      <c r="Z1131" s="870"/>
      <c r="AA1131" s="870"/>
      <c r="AB1131" s="870"/>
      <c r="AC1131" s="870"/>
      <c r="AD1131" s="870"/>
      <c r="AE1131" s="870"/>
      <c r="AF1131" s="870"/>
      <c r="AG1131" s="870"/>
    </row>
    <row r="1132" spans="1:33" s="995" customFormat="1">
      <c r="A1132" s="974"/>
      <c r="D1132" s="876"/>
      <c r="E1132" s="974"/>
      <c r="F1132" s="876"/>
      <c r="G1132" s="876"/>
      <c r="H1132" s="876"/>
      <c r="I1132" s="876"/>
      <c r="J1132" s="876"/>
      <c r="K1132" s="876"/>
      <c r="L1132" s="876"/>
      <c r="M1132" s="876"/>
      <c r="N1132" s="876"/>
      <c r="O1132" s="876"/>
      <c r="P1132" s="876"/>
      <c r="Q1132" s="870"/>
      <c r="R1132" s="870"/>
      <c r="S1132" s="870"/>
      <c r="T1132" s="870"/>
      <c r="U1132" s="870"/>
      <c r="V1132" s="870"/>
      <c r="W1132" s="870"/>
      <c r="X1132" s="870"/>
      <c r="Y1132" s="870"/>
      <c r="Z1132" s="870"/>
      <c r="AA1132" s="870"/>
      <c r="AB1132" s="870"/>
      <c r="AC1132" s="870"/>
      <c r="AD1132" s="870"/>
      <c r="AE1132" s="870"/>
      <c r="AF1132" s="870"/>
      <c r="AG1132" s="870"/>
    </row>
    <row r="1133" spans="1:33" s="995" customFormat="1">
      <c r="A1133" s="974"/>
      <c r="D1133" s="876"/>
      <c r="E1133" s="974"/>
      <c r="F1133" s="876"/>
      <c r="G1133" s="876"/>
      <c r="H1133" s="876"/>
      <c r="I1133" s="876"/>
      <c r="J1133" s="876"/>
      <c r="K1133" s="876"/>
      <c r="L1133" s="876"/>
      <c r="M1133" s="876"/>
      <c r="N1133" s="876"/>
      <c r="O1133" s="876"/>
      <c r="P1133" s="876"/>
      <c r="Q1133" s="870"/>
      <c r="R1133" s="870"/>
      <c r="S1133" s="870"/>
      <c r="T1133" s="870"/>
      <c r="U1133" s="870"/>
      <c r="V1133" s="870"/>
      <c r="W1133" s="870"/>
      <c r="X1133" s="870"/>
      <c r="Y1133" s="870"/>
      <c r="Z1133" s="870"/>
      <c r="AA1133" s="870"/>
      <c r="AB1133" s="870"/>
      <c r="AC1133" s="870"/>
      <c r="AD1133" s="870"/>
      <c r="AE1133" s="870"/>
      <c r="AF1133" s="870"/>
      <c r="AG1133" s="870"/>
    </row>
    <row r="1134" spans="1:33" s="995" customFormat="1">
      <c r="A1134" s="974"/>
      <c r="D1134" s="876"/>
      <c r="E1134" s="974"/>
      <c r="F1134" s="876"/>
      <c r="G1134" s="876"/>
      <c r="H1134" s="876"/>
      <c r="I1134" s="876"/>
      <c r="J1134" s="876"/>
      <c r="K1134" s="876"/>
      <c r="L1134" s="876"/>
      <c r="M1134" s="876"/>
      <c r="N1134" s="876"/>
      <c r="O1134" s="876"/>
      <c r="P1134" s="876"/>
      <c r="Q1134" s="870"/>
      <c r="R1134" s="870"/>
      <c r="S1134" s="870"/>
      <c r="T1134" s="870"/>
      <c r="U1134" s="870"/>
      <c r="V1134" s="870"/>
      <c r="W1134" s="870"/>
      <c r="X1134" s="870"/>
      <c r="Y1134" s="870"/>
      <c r="Z1134" s="870"/>
      <c r="AA1134" s="870"/>
      <c r="AB1134" s="870"/>
      <c r="AC1134" s="870"/>
      <c r="AD1134" s="870"/>
      <c r="AE1134" s="870"/>
      <c r="AF1134" s="870"/>
      <c r="AG1134" s="870"/>
    </row>
    <row r="1135" spans="1:33" s="995" customFormat="1">
      <c r="A1135" s="974"/>
      <c r="D1135" s="876"/>
      <c r="E1135" s="974"/>
      <c r="F1135" s="876"/>
      <c r="G1135" s="876"/>
      <c r="H1135" s="876"/>
      <c r="I1135" s="876"/>
      <c r="J1135" s="876"/>
      <c r="K1135" s="876"/>
      <c r="L1135" s="876"/>
      <c r="M1135" s="876"/>
      <c r="N1135" s="876"/>
      <c r="O1135" s="876"/>
      <c r="P1135" s="876"/>
      <c r="Q1135" s="870"/>
      <c r="R1135" s="870"/>
      <c r="S1135" s="870"/>
      <c r="T1135" s="870"/>
      <c r="U1135" s="870"/>
      <c r="V1135" s="870"/>
      <c r="W1135" s="870"/>
      <c r="X1135" s="870"/>
      <c r="Y1135" s="870"/>
      <c r="Z1135" s="870"/>
      <c r="AA1135" s="870"/>
      <c r="AB1135" s="870"/>
      <c r="AC1135" s="870"/>
      <c r="AD1135" s="870"/>
      <c r="AE1135" s="870"/>
      <c r="AF1135" s="870"/>
      <c r="AG1135" s="870"/>
    </row>
    <row r="1136" spans="1:33" s="995" customFormat="1">
      <c r="A1136" s="974"/>
      <c r="D1136" s="876"/>
      <c r="E1136" s="974"/>
      <c r="F1136" s="876"/>
      <c r="G1136" s="876"/>
      <c r="H1136" s="876"/>
      <c r="I1136" s="876"/>
      <c r="J1136" s="876"/>
      <c r="K1136" s="876"/>
      <c r="L1136" s="876"/>
      <c r="M1136" s="876"/>
      <c r="N1136" s="876"/>
      <c r="O1136" s="876"/>
      <c r="P1136" s="876"/>
      <c r="Q1136" s="870"/>
      <c r="R1136" s="870"/>
      <c r="S1136" s="870"/>
      <c r="T1136" s="870"/>
      <c r="U1136" s="870"/>
      <c r="V1136" s="870"/>
      <c r="W1136" s="870"/>
      <c r="X1136" s="870"/>
      <c r="Y1136" s="870"/>
      <c r="Z1136" s="870"/>
      <c r="AA1136" s="870"/>
      <c r="AB1136" s="870"/>
      <c r="AC1136" s="870"/>
      <c r="AD1136" s="870"/>
      <c r="AE1136" s="870"/>
      <c r="AF1136" s="870"/>
      <c r="AG1136" s="870"/>
    </row>
    <row r="1137" spans="1:33" s="995" customFormat="1">
      <c r="A1137" s="974"/>
      <c r="D1137" s="876"/>
      <c r="E1137" s="974"/>
      <c r="F1137" s="876"/>
      <c r="G1137" s="876"/>
      <c r="H1137" s="876"/>
      <c r="I1137" s="876"/>
      <c r="J1137" s="876"/>
      <c r="K1137" s="876"/>
      <c r="L1137" s="876"/>
      <c r="M1137" s="876"/>
      <c r="N1137" s="876"/>
      <c r="O1137" s="876"/>
      <c r="P1137" s="876"/>
      <c r="Q1137" s="870"/>
      <c r="R1137" s="870"/>
      <c r="S1137" s="870"/>
      <c r="T1137" s="870"/>
      <c r="U1137" s="870"/>
      <c r="V1137" s="870"/>
      <c r="W1137" s="870"/>
      <c r="X1137" s="870"/>
      <c r="Y1137" s="870"/>
      <c r="Z1137" s="870"/>
      <c r="AA1137" s="870"/>
      <c r="AB1137" s="870"/>
      <c r="AC1137" s="870"/>
      <c r="AD1137" s="870"/>
      <c r="AE1137" s="870"/>
      <c r="AF1137" s="870"/>
      <c r="AG1137" s="870"/>
    </row>
    <row r="1138" spans="1:33" s="995" customFormat="1">
      <c r="A1138" s="974"/>
      <c r="D1138" s="876"/>
      <c r="E1138" s="974"/>
      <c r="F1138" s="876"/>
      <c r="G1138" s="876"/>
      <c r="H1138" s="876"/>
      <c r="I1138" s="876"/>
      <c r="J1138" s="876"/>
      <c r="K1138" s="876"/>
      <c r="L1138" s="876"/>
      <c r="M1138" s="876"/>
      <c r="N1138" s="876"/>
      <c r="O1138" s="876"/>
      <c r="P1138" s="876"/>
      <c r="Q1138" s="870"/>
      <c r="R1138" s="870"/>
      <c r="S1138" s="870"/>
      <c r="T1138" s="870"/>
      <c r="U1138" s="870"/>
      <c r="V1138" s="870"/>
      <c r="W1138" s="870"/>
      <c r="X1138" s="870"/>
      <c r="Y1138" s="870"/>
      <c r="Z1138" s="870"/>
      <c r="AA1138" s="870"/>
      <c r="AB1138" s="870"/>
      <c r="AC1138" s="870"/>
      <c r="AD1138" s="870"/>
      <c r="AE1138" s="870"/>
      <c r="AF1138" s="870"/>
      <c r="AG1138" s="870"/>
    </row>
    <row r="1139" spans="1:33" s="995" customFormat="1">
      <c r="A1139" s="974"/>
      <c r="D1139" s="876"/>
      <c r="E1139" s="974"/>
      <c r="F1139" s="876"/>
      <c r="G1139" s="876"/>
      <c r="H1139" s="876"/>
      <c r="I1139" s="876"/>
      <c r="J1139" s="876"/>
      <c r="K1139" s="876"/>
      <c r="L1139" s="876"/>
      <c r="M1139" s="876"/>
      <c r="N1139" s="876"/>
      <c r="O1139" s="876"/>
      <c r="P1139" s="876"/>
      <c r="Q1139" s="870"/>
      <c r="R1139" s="870"/>
      <c r="S1139" s="870"/>
      <c r="T1139" s="870"/>
      <c r="U1139" s="870"/>
      <c r="V1139" s="870"/>
      <c r="W1139" s="870"/>
      <c r="X1139" s="870"/>
      <c r="Y1139" s="870"/>
      <c r="Z1139" s="870"/>
      <c r="AA1139" s="870"/>
      <c r="AB1139" s="870"/>
      <c r="AC1139" s="870"/>
      <c r="AD1139" s="870"/>
      <c r="AE1139" s="870"/>
      <c r="AF1139" s="870"/>
      <c r="AG1139" s="870"/>
    </row>
    <row r="1140" spans="1:33" s="995" customFormat="1">
      <c r="A1140" s="974"/>
      <c r="D1140" s="876"/>
      <c r="E1140" s="974"/>
      <c r="F1140" s="876"/>
      <c r="G1140" s="876"/>
      <c r="H1140" s="876"/>
      <c r="I1140" s="876"/>
      <c r="J1140" s="876"/>
      <c r="K1140" s="876"/>
      <c r="L1140" s="876"/>
      <c r="M1140" s="876"/>
      <c r="N1140" s="876"/>
      <c r="O1140" s="876"/>
      <c r="P1140" s="876"/>
      <c r="Q1140" s="870"/>
      <c r="R1140" s="870"/>
      <c r="S1140" s="870"/>
      <c r="T1140" s="870"/>
      <c r="U1140" s="870"/>
      <c r="V1140" s="870"/>
      <c r="W1140" s="870"/>
      <c r="X1140" s="870"/>
      <c r="Y1140" s="870"/>
      <c r="Z1140" s="870"/>
      <c r="AA1140" s="870"/>
      <c r="AB1140" s="870"/>
      <c r="AC1140" s="870"/>
      <c r="AD1140" s="870"/>
      <c r="AE1140" s="870"/>
      <c r="AF1140" s="870"/>
      <c r="AG1140" s="870"/>
    </row>
    <row r="1141" spans="1:33" s="995" customFormat="1">
      <c r="A1141" s="974"/>
      <c r="D1141" s="876"/>
      <c r="E1141" s="974"/>
      <c r="F1141" s="876"/>
      <c r="G1141" s="876"/>
      <c r="H1141" s="876"/>
      <c r="I1141" s="876"/>
      <c r="J1141" s="876"/>
      <c r="K1141" s="876"/>
      <c r="L1141" s="876"/>
      <c r="M1141" s="876"/>
      <c r="N1141" s="876"/>
      <c r="O1141" s="876"/>
      <c r="P1141" s="876"/>
      <c r="Q1141" s="870"/>
      <c r="R1141" s="870"/>
      <c r="S1141" s="870"/>
      <c r="T1141" s="870"/>
      <c r="U1141" s="870"/>
      <c r="V1141" s="870"/>
      <c r="W1141" s="870"/>
      <c r="X1141" s="870"/>
      <c r="Y1141" s="870"/>
      <c r="Z1141" s="870"/>
      <c r="AA1141" s="870"/>
      <c r="AB1141" s="870"/>
      <c r="AC1141" s="870"/>
      <c r="AD1141" s="870"/>
      <c r="AE1141" s="870"/>
      <c r="AF1141" s="870"/>
      <c r="AG1141" s="870"/>
    </row>
    <row r="1142" spans="1:33" s="995" customFormat="1">
      <c r="A1142" s="974"/>
      <c r="D1142" s="876"/>
      <c r="E1142" s="974"/>
      <c r="F1142" s="876"/>
      <c r="G1142" s="876"/>
      <c r="H1142" s="876"/>
      <c r="I1142" s="876"/>
      <c r="J1142" s="876"/>
      <c r="K1142" s="876"/>
      <c r="L1142" s="876"/>
      <c r="M1142" s="876"/>
      <c r="N1142" s="876"/>
      <c r="O1142" s="876"/>
      <c r="P1142" s="876"/>
      <c r="Q1142" s="870"/>
      <c r="R1142" s="870"/>
      <c r="S1142" s="870"/>
      <c r="T1142" s="870"/>
      <c r="U1142" s="870"/>
      <c r="V1142" s="870"/>
      <c r="W1142" s="870"/>
      <c r="X1142" s="870"/>
      <c r="Y1142" s="870"/>
      <c r="Z1142" s="870"/>
      <c r="AA1142" s="870"/>
      <c r="AB1142" s="870"/>
      <c r="AC1142" s="870"/>
      <c r="AD1142" s="870"/>
      <c r="AE1142" s="870"/>
      <c r="AF1142" s="870"/>
      <c r="AG1142" s="870"/>
    </row>
    <row r="1143" spans="1:33" s="995" customFormat="1">
      <c r="A1143" s="974"/>
      <c r="D1143" s="876"/>
      <c r="E1143" s="974"/>
      <c r="F1143" s="876"/>
      <c r="G1143" s="876"/>
      <c r="H1143" s="876"/>
      <c r="I1143" s="876"/>
      <c r="J1143" s="876"/>
      <c r="K1143" s="876"/>
      <c r="L1143" s="876"/>
      <c r="M1143" s="876"/>
      <c r="N1143" s="876"/>
      <c r="O1143" s="876"/>
      <c r="P1143" s="876"/>
      <c r="Q1143" s="870"/>
      <c r="R1143" s="870"/>
      <c r="S1143" s="870"/>
      <c r="T1143" s="870"/>
      <c r="U1143" s="870"/>
      <c r="V1143" s="870"/>
      <c r="W1143" s="870"/>
      <c r="X1143" s="870"/>
      <c r="Y1143" s="870"/>
      <c r="Z1143" s="870"/>
      <c r="AA1143" s="870"/>
      <c r="AB1143" s="870"/>
      <c r="AC1143" s="870"/>
      <c r="AD1143" s="870"/>
      <c r="AE1143" s="870"/>
      <c r="AF1143" s="870"/>
      <c r="AG1143" s="870"/>
    </row>
    <row r="1144" spans="1:33" s="995" customFormat="1">
      <c r="A1144" s="974"/>
      <c r="D1144" s="876"/>
      <c r="E1144" s="974"/>
      <c r="F1144" s="876"/>
      <c r="G1144" s="876"/>
      <c r="H1144" s="876"/>
      <c r="I1144" s="876"/>
      <c r="J1144" s="876"/>
      <c r="K1144" s="876"/>
      <c r="L1144" s="876"/>
      <c r="M1144" s="876"/>
      <c r="N1144" s="876"/>
      <c r="O1144" s="876"/>
      <c r="P1144" s="876"/>
      <c r="Q1144" s="870"/>
      <c r="R1144" s="870"/>
      <c r="S1144" s="870"/>
      <c r="T1144" s="870"/>
      <c r="U1144" s="870"/>
      <c r="V1144" s="870"/>
      <c r="W1144" s="870"/>
      <c r="X1144" s="870"/>
      <c r="Y1144" s="870"/>
      <c r="Z1144" s="870"/>
      <c r="AA1144" s="870"/>
      <c r="AB1144" s="870"/>
      <c r="AC1144" s="870"/>
      <c r="AD1144" s="870"/>
      <c r="AE1144" s="870"/>
      <c r="AF1144" s="870"/>
      <c r="AG1144" s="870"/>
    </row>
    <row r="1145" spans="1:33" s="995" customFormat="1">
      <c r="A1145" s="974"/>
      <c r="D1145" s="876"/>
      <c r="E1145" s="974"/>
      <c r="F1145" s="876"/>
      <c r="G1145" s="876"/>
      <c r="H1145" s="876"/>
      <c r="I1145" s="876"/>
      <c r="J1145" s="876"/>
      <c r="K1145" s="876"/>
      <c r="L1145" s="876"/>
      <c r="M1145" s="876"/>
      <c r="N1145" s="876"/>
      <c r="O1145" s="876"/>
      <c r="P1145" s="876"/>
      <c r="Q1145" s="870"/>
      <c r="R1145" s="870"/>
      <c r="S1145" s="870"/>
      <c r="T1145" s="870"/>
      <c r="U1145" s="870"/>
      <c r="V1145" s="870"/>
      <c r="W1145" s="870"/>
      <c r="X1145" s="870"/>
      <c r="Y1145" s="870"/>
      <c r="Z1145" s="870"/>
      <c r="AA1145" s="870"/>
      <c r="AB1145" s="870"/>
      <c r="AC1145" s="870"/>
      <c r="AD1145" s="870"/>
      <c r="AE1145" s="870"/>
      <c r="AF1145" s="870"/>
      <c r="AG1145" s="870"/>
    </row>
    <row r="1146" spans="1:33" s="995" customFormat="1">
      <c r="A1146" s="974"/>
      <c r="D1146" s="876"/>
      <c r="E1146" s="974"/>
      <c r="F1146" s="876"/>
      <c r="G1146" s="876"/>
      <c r="H1146" s="876"/>
      <c r="I1146" s="876"/>
      <c r="J1146" s="876"/>
      <c r="K1146" s="876"/>
      <c r="L1146" s="876"/>
      <c r="M1146" s="876"/>
      <c r="N1146" s="876"/>
      <c r="O1146" s="876"/>
      <c r="P1146" s="876"/>
      <c r="Q1146" s="870"/>
      <c r="R1146" s="870"/>
      <c r="S1146" s="870"/>
      <c r="T1146" s="870"/>
      <c r="U1146" s="870"/>
      <c r="V1146" s="870"/>
      <c r="W1146" s="870"/>
      <c r="X1146" s="870"/>
      <c r="Y1146" s="870"/>
      <c r="Z1146" s="870"/>
      <c r="AA1146" s="870"/>
      <c r="AB1146" s="870"/>
      <c r="AC1146" s="870"/>
      <c r="AD1146" s="870"/>
      <c r="AE1146" s="870"/>
      <c r="AF1146" s="870"/>
      <c r="AG1146" s="870"/>
    </row>
    <row r="1147" spans="1:33" s="995" customFormat="1">
      <c r="A1147" s="974"/>
      <c r="D1147" s="876"/>
      <c r="E1147" s="974"/>
      <c r="F1147" s="876"/>
      <c r="G1147" s="876"/>
      <c r="H1147" s="876"/>
      <c r="I1147" s="876"/>
      <c r="J1147" s="876"/>
      <c r="K1147" s="876"/>
      <c r="L1147" s="876"/>
      <c r="M1147" s="876"/>
      <c r="N1147" s="876"/>
      <c r="O1147" s="876"/>
      <c r="P1147" s="876"/>
      <c r="Q1147" s="870"/>
      <c r="R1147" s="870"/>
      <c r="S1147" s="870"/>
      <c r="T1147" s="870"/>
      <c r="U1147" s="870"/>
      <c r="V1147" s="870"/>
      <c r="W1147" s="870"/>
      <c r="X1147" s="870"/>
      <c r="Y1147" s="870"/>
      <c r="Z1147" s="870"/>
      <c r="AA1147" s="870"/>
      <c r="AB1147" s="870"/>
      <c r="AC1147" s="870"/>
      <c r="AD1147" s="870"/>
      <c r="AE1147" s="870"/>
      <c r="AF1147" s="870"/>
      <c r="AG1147" s="870"/>
    </row>
    <row r="1148" spans="1:33" s="995" customFormat="1">
      <c r="A1148" s="974"/>
      <c r="D1148" s="876"/>
      <c r="E1148" s="974"/>
      <c r="F1148" s="876"/>
      <c r="G1148" s="876"/>
      <c r="H1148" s="876"/>
      <c r="I1148" s="876"/>
      <c r="J1148" s="876"/>
      <c r="K1148" s="876"/>
      <c r="L1148" s="876"/>
      <c r="M1148" s="876"/>
      <c r="N1148" s="876"/>
      <c r="O1148" s="876"/>
      <c r="P1148" s="876"/>
      <c r="Q1148" s="870"/>
      <c r="R1148" s="870"/>
      <c r="S1148" s="870"/>
      <c r="T1148" s="870"/>
      <c r="U1148" s="870"/>
      <c r="V1148" s="870"/>
      <c r="W1148" s="870"/>
      <c r="X1148" s="870"/>
      <c r="Y1148" s="870"/>
      <c r="Z1148" s="870"/>
      <c r="AA1148" s="870"/>
      <c r="AB1148" s="870"/>
      <c r="AC1148" s="870"/>
      <c r="AD1148" s="870"/>
      <c r="AE1148" s="870"/>
      <c r="AF1148" s="870"/>
      <c r="AG1148" s="870"/>
    </row>
    <row r="1149" spans="1:33" s="995" customFormat="1">
      <c r="A1149" s="974"/>
      <c r="D1149" s="876"/>
      <c r="E1149" s="974"/>
      <c r="F1149" s="876"/>
      <c r="G1149" s="876"/>
      <c r="H1149" s="876"/>
      <c r="I1149" s="876"/>
      <c r="J1149" s="876"/>
      <c r="K1149" s="876"/>
      <c r="L1149" s="876"/>
      <c r="M1149" s="876"/>
      <c r="N1149" s="876"/>
      <c r="O1149" s="876"/>
      <c r="P1149" s="876"/>
      <c r="Q1149" s="870"/>
      <c r="R1149" s="870"/>
      <c r="S1149" s="870"/>
      <c r="T1149" s="870"/>
      <c r="U1149" s="870"/>
      <c r="V1149" s="870"/>
      <c r="W1149" s="870"/>
      <c r="X1149" s="870"/>
      <c r="Y1149" s="870"/>
      <c r="Z1149" s="870"/>
      <c r="AA1149" s="870"/>
      <c r="AB1149" s="870"/>
      <c r="AC1149" s="870"/>
      <c r="AD1149" s="870"/>
      <c r="AE1149" s="870"/>
      <c r="AF1149" s="870"/>
      <c r="AG1149" s="870"/>
    </row>
    <row r="1150" spans="1:33" s="995" customFormat="1">
      <c r="A1150" s="974"/>
      <c r="D1150" s="876"/>
      <c r="E1150" s="974"/>
      <c r="F1150" s="876"/>
      <c r="G1150" s="876"/>
      <c r="H1150" s="876"/>
      <c r="I1150" s="876"/>
      <c r="J1150" s="876"/>
      <c r="K1150" s="876"/>
      <c r="L1150" s="876"/>
      <c r="M1150" s="876"/>
      <c r="N1150" s="876"/>
      <c r="O1150" s="876"/>
      <c r="P1150" s="876"/>
      <c r="Q1150" s="870"/>
      <c r="R1150" s="870"/>
      <c r="S1150" s="870"/>
      <c r="T1150" s="870"/>
      <c r="U1150" s="870"/>
      <c r="V1150" s="870"/>
      <c r="W1150" s="870"/>
      <c r="X1150" s="870"/>
      <c r="Y1150" s="870"/>
      <c r="Z1150" s="870"/>
      <c r="AA1150" s="870"/>
      <c r="AB1150" s="870"/>
      <c r="AC1150" s="870"/>
      <c r="AD1150" s="870"/>
      <c r="AE1150" s="870"/>
      <c r="AF1150" s="870"/>
      <c r="AG1150" s="870"/>
    </row>
    <row r="1151" spans="1:33" s="995" customFormat="1">
      <c r="A1151" s="974"/>
      <c r="D1151" s="876"/>
      <c r="E1151" s="974"/>
      <c r="F1151" s="876"/>
      <c r="G1151" s="876"/>
      <c r="H1151" s="876"/>
      <c r="I1151" s="876"/>
      <c r="J1151" s="876"/>
      <c r="K1151" s="876"/>
      <c r="L1151" s="876"/>
      <c r="M1151" s="876"/>
      <c r="N1151" s="876"/>
      <c r="O1151" s="876"/>
      <c r="P1151" s="876"/>
      <c r="Q1151" s="870"/>
      <c r="R1151" s="870"/>
      <c r="S1151" s="870"/>
      <c r="T1151" s="870"/>
      <c r="U1151" s="870"/>
      <c r="V1151" s="870"/>
      <c r="W1151" s="870"/>
      <c r="X1151" s="870"/>
      <c r="Y1151" s="870"/>
      <c r="Z1151" s="870"/>
      <c r="AA1151" s="870"/>
      <c r="AB1151" s="870"/>
      <c r="AC1151" s="870"/>
      <c r="AD1151" s="870"/>
      <c r="AE1151" s="870"/>
      <c r="AF1151" s="870"/>
      <c r="AG1151" s="870"/>
    </row>
    <row r="1152" spans="1:33" s="995" customFormat="1">
      <c r="A1152" s="974"/>
      <c r="D1152" s="876"/>
      <c r="E1152" s="974"/>
      <c r="F1152" s="876"/>
      <c r="G1152" s="876"/>
      <c r="H1152" s="876"/>
      <c r="I1152" s="876"/>
      <c r="J1152" s="876"/>
      <c r="K1152" s="876"/>
      <c r="L1152" s="876"/>
      <c r="M1152" s="876"/>
      <c r="N1152" s="876"/>
      <c r="O1152" s="876"/>
      <c r="P1152" s="876"/>
      <c r="Q1152" s="870"/>
      <c r="R1152" s="870"/>
      <c r="S1152" s="870"/>
      <c r="T1152" s="870"/>
      <c r="U1152" s="870"/>
      <c r="V1152" s="870"/>
      <c r="W1152" s="870"/>
      <c r="X1152" s="870"/>
      <c r="Y1152" s="870"/>
      <c r="Z1152" s="870"/>
      <c r="AA1152" s="870"/>
      <c r="AB1152" s="870"/>
      <c r="AC1152" s="870"/>
      <c r="AD1152" s="870"/>
      <c r="AE1152" s="870"/>
      <c r="AF1152" s="870"/>
      <c r="AG1152" s="870"/>
    </row>
    <row r="1153" spans="1:33" s="995" customFormat="1">
      <c r="A1153" s="974"/>
      <c r="D1153" s="876"/>
      <c r="E1153" s="974"/>
      <c r="F1153" s="876"/>
      <c r="G1153" s="876"/>
      <c r="H1153" s="876"/>
      <c r="I1153" s="876"/>
      <c r="J1153" s="876"/>
      <c r="K1153" s="876"/>
      <c r="L1153" s="876"/>
      <c r="M1153" s="876"/>
      <c r="N1153" s="876"/>
      <c r="O1153" s="876"/>
      <c r="P1153" s="876"/>
      <c r="Q1153" s="870"/>
      <c r="R1153" s="870"/>
      <c r="S1153" s="870"/>
      <c r="T1153" s="870"/>
      <c r="U1153" s="870"/>
      <c r="V1153" s="870"/>
      <c r="W1153" s="870"/>
      <c r="X1153" s="870"/>
      <c r="Y1153" s="870"/>
      <c r="Z1153" s="870"/>
      <c r="AA1153" s="870"/>
      <c r="AB1153" s="870"/>
      <c r="AC1153" s="870"/>
      <c r="AD1153" s="870"/>
      <c r="AE1153" s="870"/>
      <c r="AF1153" s="870"/>
      <c r="AG1153" s="870"/>
    </row>
    <row r="1154" spans="1:33" s="995" customFormat="1">
      <c r="A1154" s="974"/>
      <c r="D1154" s="876"/>
      <c r="E1154" s="974"/>
      <c r="F1154" s="876"/>
      <c r="G1154" s="876"/>
      <c r="H1154" s="876"/>
      <c r="I1154" s="876"/>
      <c r="J1154" s="876"/>
      <c r="K1154" s="876"/>
      <c r="L1154" s="876"/>
      <c r="M1154" s="876"/>
      <c r="N1154" s="876"/>
      <c r="O1154" s="876"/>
      <c r="P1154" s="876"/>
      <c r="Q1154" s="870"/>
      <c r="R1154" s="870"/>
      <c r="S1154" s="870"/>
      <c r="T1154" s="870"/>
      <c r="U1154" s="870"/>
      <c r="V1154" s="870"/>
      <c r="W1154" s="870"/>
      <c r="X1154" s="870"/>
      <c r="Y1154" s="870"/>
      <c r="Z1154" s="870"/>
      <c r="AA1154" s="870"/>
      <c r="AB1154" s="870"/>
      <c r="AC1154" s="870"/>
      <c r="AD1154" s="870"/>
      <c r="AE1154" s="870"/>
      <c r="AF1154" s="870"/>
      <c r="AG1154" s="870"/>
    </row>
    <row r="1155" spans="1:33" s="995" customFormat="1">
      <c r="A1155" s="974"/>
      <c r="D1155" s="876"/>
      <c r="E1155" s="974"/>
      <c r="F1155" s="876"/>
      <c r="G1155" s="876"/>
      <c r="H1155" s="876"/>
      <c r="I1155" s="876"/>
      <c r="J1155" s="876"/>
      <c r="K1155" s="876"/>
      <c r="L1155" s="876"/>
      <c r="M1155" s="876"/>
      <c r="N1155" s="876"/>
      <c r="O1155" s="876"/>
      <c r="P1155" s="876"/>
      <c r="Q1155" s="870"/>
      <c r="R1155" s="870"/>
      <c r="S1155" s="870"/>
      <c r="T1155" s="870"/>
      <c r="U1155" s="870"/>
      <c r="V1155" s="870"/>
      <c r="W1155" s="870"/>
      <c r="X1155" s="870"/>
      <c r="Y1155" s="870"/>
      <c r="Z1155" s="870"/>
      <c r="AA1155" s="870"/>
      <c r="AB1155" s="870"/>
      <c r="AC1155" s="870"/>
      <c r="AD1155" s="870"/>
      <c r="AE1155" s="870"/>
      <c r="AF1155" s="870"/>
      <c r="AG1155" s="870"/>
    </row>
    <row r="1156" spans="1:33" s="995" customFormat="1">
      <c r="A1156" s="974"/>
      <c r="D1156" s="876"/>
      <c r="E1156" s="974"/>
      <c r="F1156" s="876"/>
      <c r="G1156" s="876"/>
      <c r="H1156" s="876"/>
      <c r="I1156" s="876"/>
      <c r="J1156" s="876"/>
      <c r="K1156" s="876"/>
      <c r="L1156" s="876"/>
      <c r="M1156" s="876"/>
      <c r="N1156" s="876"/>
      <c r="O1156" s="876"/>
      <c r="P1156" s="876"/>
      <c r="Q1156" s="870"/>
      <c r="R1156" s="870"/>
      <c r="S1156" s="870"/>
      <c r="T1156" s="870"/>
      <c r="U1156" s="870"/>
      <c r="V1156" s="870"/>
      <c r="W1156" s="870"/>
      <c r="X1156" s="870"/>
      <c r="Y1156" s="870"/>
      <c r="Z1156" s="870"/>
      <c r="AA1156" s="870"/>
      <c r="AB1156" s="870"/>
      <c r="AC1156" s="870"/>
      <c r="AD1156" s="870"/>
      <c r="AE1156" s="870"/>
      <c r="AF1156" s="870"/>
      <c r="AG1156" s="870"/>
    </row>
    <row r="1157" spans="1:33" s="995" customFormat="1">
      <c r="A1157" s="974"/>
      <c r="D1157" s="876"/>
      <c r="E1157" s="974"/>
      <c r="F1157" s="876"/>
      <c r="G1157" s="876"/>
      <c r="H1157" s="876"/>
      <c r="I1157" s="876"/>
      <c r="J1157" s="876"/>
      <c r="K1157" s="876"/>
      <c r="L1157" s="876"/>
      <c r="M1157" s="876"/>
      <c r="N1157" s="876"/>
      <c r="O1157" s="876"/>
      <c r="P1157" s="876"/>
      <c r="Q1157" s="870"/>
      <c r="R1157" s="870"/>
      <c r="S1157" s="870"/>
      <c r="T1157" s="870"/>
      <c r="U1157" s="870"/>
      <c r="V1157" s="870"/>
      <c r="W1157" s="870"/>
      <c r="X1157" s="870"/>
      <c r="Y1157" s="870"/>
      <c r="Z1157" s="870"/>
      <c r="AA1157" s="870"/>
      <c r="AB1157" s="870"/>
      <c r="AC1157" s="870"/>
      <c r="AD1157" s="870"/>
      <c r="AE1157" s="870"/>
      <c r="AF1157" s="870"/>
      <c r="AG1157" s="870"/>
    </row>
    <row r="1158" spans="1:33" s="995" customFormat="1">
      <c r="A1158" s="974"/>
      <c r="D1158" s="876"/>
      <c r="E1158" s="974"/>
      <c r="F1158" s="876"/>
      <c r="G1158" s="876"/>
      <c r="H1158" s="876"/>
      <c r="I1158" s="876"/>
      <c r="J1158" s="876"/>
      <c r="K1158" s="876"/>
      <c r="L1158" s="876"/>
      <c r="M1158" s="876"/>
      <c r="N1158" s="876"/>
      <c r="O1158" s="876"/>
      <c r="P1158" s="876"/>
      <c r="Q1158" s="870"/>
      <c r="R1158" s="870"/>
      <c r="S1158" s="870"/>
      <c r="T1158" s="870"/>
      <c r="U1158" s="870"/>
      <c r="V1158" s="870"/>
      <c r="W1158" s="870"/>
      <c r="X1158" s="870"/>
      <c r="Y1158" s="870"/>
      <c r="Z1158" s="870"/>
      <c r="AA1158" s="870"/>
      <c r="AB1158" s="870"/>
      <c r="AC1158" s="870"/>
      <c r="AD1158" s="870"/>
      <c r="AE1158" s="870"/>
      <c r="AF1158" s="870"/>
      <c r="AG1158" s="870"/>
    </row>
    <row r="1159" spans="1:33" s="995" customFormat="1">
      <c r="A1159" s="974"/>
      <c r="D1159" s="876"/>
      <c r="E1159" s="974"/>
      <c r="F1159" s="876"/>
      <c r="G1159" s="876"/>
      <c r="H1159" s="876"/>
      <c r="I1159" s="876"/>
      <c r="J1159" s="876"/>
      <c r="K1159" s="876"/>
      <c r="L1159" s="876"/>
      <c r="M1159" s="876"/>
      <c r="N1159" s="876"/>
      <c r="O1159" s="876"/>
      <c r="P1159" s="876"/>
      <c r="Q1159" s="870"/>
      <c r="R1159" s="870"/>
      <c r="S1159" s="870"/>
      <c r="T1159" s="870"/>
      <c r="U1159" s="870"/>
      <c r="V1159" s="870"/>
      <c r="W1159" s="870"/>
      <c r="X1159" s="870"/>
      <c r="Y1159" s="870"/>
      <c r="Z1159" s="870"/>
      <c r="AA1159" s="870"/>
      <c r="AB1159" s="870"/>
      <c r="AC1159" s="870"/>
      <c r="AD1159" s="870"/>
      <c r="AE1159" s="870"/>
      <c r="AF1159" s="870"/>
      <c r="AG1159" s="870"/>
    </row>
    <row r="1160" spans="1:33" s="995" customFormat="1">
      <c r="A1160" s="974"/>
      <c r="D1160" s="876"/>
      <c r="E1160" s="974"/>
      <c r="F1160" s="876"/>
      <c r="G1160" s="876"/>
      <c r="H1160" s="876"/>
      <c r="I1160" s="876"/>
      <c r="J1160" s="876"/>
      <c r="K1160" s="876"/>
      <c r="L1160" s="876"/>
      <c r="M1160" s="876"/>
      <c r="N1160" s="876"/>
      <c r="O1160" s="876"/>
      <c r="P1160" s="876"/>
      <c r="Q1160" s="870"/>
      <c r="R1160" s="870"/>
      <c r="S1160" s="870"/>
      <c r="T1160" s="870"/>
      <c r="U1160" s="870"/>
      <c r="V1160" s="870"/>
      <c r="W1160" s="870"/>
      <c r="X1160" s="870"/>
      <c r="Y1160" s="870"/>
      <c r="Z1160" s="870"/>
      <c r="AA1160" s="870"/>
      <c r="AB1160" s="870"/>
      <c r="AC1160" s="870"/>
      <c r="AD1160" s="870"/>
      <c r="AE1160" s="870"/>
      <c r="AF1160" s="870"/>
      <c r="AG1160" s="870"/>
    </row>
    <row r="1161" spans="1:33" s="995" customFormat="1">
      <c r="A1161" s="974"/>
      <c r="D1161" s="876"/>
      <c r="E1161" s="974"/>
      <c r="F1161" s="876"/>
      <c r="G1161" s="876"/>
      <c r="H1161" s="876"/>
      <c r="I1161" s="876"/>
      <c r="J1161" s="876"/>
      <c r="K1161" s="876"/>
      <c r="L1161" s="876"/>
      <c r="M1161" s="876"/>
      <c r="N1161" s="876"/>
      <c r="O1161" s="876"/>
      <c r="P1161" s="876"/>
      <c r="Q1161" s="870"/>
      <c r="R1161" s="870"/>
      <c r="S1161" s="870"/>
      <c r="T1161" s="870"/>
      <c r="U1161" s="870"/>
      <c r="V1161" s="870"/>
      <c r="W1161" s="870"/>
      <c r="X1161" s="870"/>
      <c r="Y1161" s="870"/>
      <c r="Z1161" s="870"/>
      <c r="AA1161" s="870"/>
      <c r="AB1161" s="870"/>
      <c r="AC1161" s="870"/>
      <c r="AD1161" s="870"/>
      <c r="AE1161" s="870"/>
      <c r="AF1161" s="870"/>
      <c r="AG1161" s="870"/>
    </row>
    <row r="1162" spans="1:33" s="995" customFormat="1">
      <c r="A1162" s="974"/>
      <c r="D1162" s="876"/>
      <c r="E1162" s="974"/>
      <c r="F1162" s="876"/>
      <c r="G1162" s="876"/>
      <c r="H1162" s="876"/>
      <c r="I1162" s="876"/>
      <c r="J1162" s="876"/>
      <c r="K1162" s="876"/>
      <c r="L1162" s="876"/>
      <c r="M1162" s="876"/>
      <c r="N1162" s="876"/>
      <c r="O1162" s="876"/>
      <c r="P1162" s="876"/>
      <c r="Q1162" s="870"/>
      <c r="R1162" s="870"/>
      <c r="S1162" s="870"/>
      <c r="T1162" s="870"/>
      <c r="U1162" s="870"/>
      <c r="V1162" s="870"/>
      <c r="W1162" s="870"/>
      <c r="X1162" s="870"/>
      <c r="Y1162" s="870"/>
      <c r="Z1162" s="870"/>
      <c r="AA1162" s="870"/>
      <c r="AB1162" s="870"/>
      <c r="AC1162" s="870"/>
      <c r="AD1162" s="870"/>
      <c r="AE1162" s="870"/>
      <c r="AF1162" s="870"/>
      <c r="AG1162" s="870"/>
    </row>
    <row r="1163" spans="1:33" s="995" customFormat="1">
      <c r="A1163" s="974"/>
      <c r="D1163" s="876"/>
      <c r="E1163" s="974"/>
      <c r="F1163" s="876"/>
      <c r="G1163" s="876"/>
      <c r="H1163" s="876"/>
      <c r="I1163" s="876"/>
      <c r="J1163" s="876"/>
      <c r="K1163" s="876"/>
      <c r="L1163" s="876"/>
      <c r="M1163" s="876"/>
      <c r="N1163" s="876"/>
      <c r="O1163" s="876"/>
      <c r="P1163" s="876"/>
      <c r="Q1163" s="870"/>
      <c r="R1163" s="870"/>
      <c r="S1163" s="870"/>
      <c r="T1163" s="870"/>
      <c r="U1163" s="870"/>
      <c r="V1163" s="870"/>
      <c r="W1163" s="870"/>
      <c r="X1163" s="870"/>
      <c r="Y1163" s="870"/>
      <c r="Z1163" s="870"/>
      <c r="AA1163" s="870"/>
      <c r="AB1163" s="870"/>
      <c r="AC1163" s="870"/>
      <c r="AD1163" s="870"/>
      <c r="AE1163" s="870"/>
      <c r="AF1163" s="870"/>
      <c r="AG1163" s="870"/>
    </row>
    <row r="1164" spans="1:33" s="995" customFormat="1">
      <c r="A1164" s="974"/>
      <c r="D1164" s="876"/>
      <c r="E1164" s="974"/>
      <c r="F1164" s="876"/>
      <c r="G1164" s="876"/>
      <c r="H1164" s="876"/>
      <c r="I1164" s="876"/>
      <c r="J1164" s="876"/>
      <c r="K1164" s="876"/>
      <c r="L1164" s="876"/>
      <c r="M1164" s="876"/>
      <c r="N1164" s="876"/>
      <c r="O1164" s="876"/>
      <c r="P1164" s="876"/>
      <c r="Q1164" s="870"/>
      <c r="R1164" s="870"/>
      <c r="S1164" s="870"/>
      <c r="T1164" s="870"/>
      <c r="U1164" s="870"/>
      <c r="V1164" s="870"/>
      <c r="W1164" s="870"/>
      <c r="X1164" s="870"/>
      <c r="Y1164" s="870"/>
      <c r="Z1164" s="870"/>
      <c r="AA1164" s="870"/>
      <c r="AB1164" s="870"/>
      <c r="AC1164" s="870"/>
      <c r="AD1164" s="870"/>
      <c r="AE1164" s="870"/>
      <c r="AF1164" s="870"/>
      <c r="AG1164" s="870"/>
    </row>
    <row r="1165" spans="1:33" s="995" customFormat="1">
      <c r="A1165" s="974"/>
      <c r="D1165" s="876"/>
      <c r="E1165" s="974"/>
      <c r="F1165" s="876"/>
      <c r="G1165" s="876"/>
      <c r="H1165" s="876"/>
      <c r="I1165" s="876"/>
      <c r="J1165" s="876"/>
      <c r="K1165" s="876"/>
      <c r="L1165" s="876"/>
      <c r="M1165" s="876"/>
      <c r="N1165" s="876"/>
      <c r="O1165" s="876"/>
      <c r="P1165" s="876"/>
      <c r="Q1165" s="870"/>
      <c r="R1165" s="870"/>
      <c r="S1165" s="870"/>
      <c r="T1165" s="870"/>
      <c r="U1165" s="870"/>
      <c r="V1165" s="870"/>
      <c r="W1165" s="870"/>
      <c r="X1165" s="870"/>
      <c r="Y1165" s="870"/>
      <c r="Z1165" s="870"/>
      <c r="AA1165" s="870"/>
      <c r="AB1165" s="870"/>
      <c r="AC1165" s="870"/>
      <c r="AD1165" s="870"/>
      <c r="AE1165" s="870"/>
      <c r="AF1165" s="870"/>
      <c r="AG1165" s="870"/>
    </row>
    <row r="1166" spans="1:33" s="995" customFormat="1">
      <c r="A1166" s="974"/>
      <c r="D1166" s="876"/>
      <c r="E1166" s="974"/>
      <c r="F1166" s="876"/>
      <c r="G1166" s="876"/>
      <c r="H1166" s="876"/>
      <c r="I1166" s="876"/>
      <c r="J1166" s="876"/>
      <c r="K1166" s="876"/>
      <c r="L1166" s="876"/>
      <c r="M1166" s="876"/>
      <c r="N1166" s="876"/>
      <c r="O1166" s="876"/>
      <c r="P1166" s="876"/>
      <c r="Q1166" s="870"/>
      <c r="R1166" s="870"/>
      <c r="S1166" s="870"/>
      <c r="T1166" s="870"/>
      <c r="U1166" s="870"/>
      <c r="V1166" s="870"/>
      <c r="W1166" s="870"/>
      <c r="X1166" s="870"/>
      <c r="Y1166" s="870"/>
      <c r="Z1166" s="870"/>
      <c r="AA1166" s="870"/>
      <c r="AB1166" s="870"/>
      <c r="AC1166" s="870"/>
      <c r="AD1166" s="870"/>
      <c r="AE1166" s="870"/>
      <c r="AF1166" s="870"/>
      <c r="AG1166" s="870"/>
    </row>
    <row r="1167" spans="1:33" s="995" customFormat="1">
      <c r="A1167" s="974"/>
      <c r="D1167" s="876"/>
      <c r="E1167" s="974"/>
      <c r="F1167" s="876"/>
      <c r="G1167" s="876"/>
      <c r="H1167" s="876"/>
      <c r="I1167" s="876"/>
      <c r="J1167" s="876"/>
      <c r="K1167" s="876"/>
      <c r="L1167" s="876"/>
      <c r="M1167" s="876"/>
      <c r="N1167" s="876"/>
      <c r="O1167" s="876"/>
      <c r="P1167" s="876"/>
      <c r="Q1167" s="870"/>
      <c r="R1167" s="870"/>
      <c r="S1167" s="870"/>
      <c r="T1167" s="870"/>
      <c r="U1167" s="870"/>
      <c r="V1167" s="870"/>
      <c r="W1167" s="870"/>
      <c r="X1167" s="870"/>
      <c r="Y1167" s="870"/>
      <c r="Z1167" s="870"/>
      <c r="AA1167" s="870"/>
      <c r="AB1167" s="870"/>
      <c r="AC1167" s="870"/>
      <c r="AD1167" s="870"/>
      <c r="AE1167" s="870"/>
      <c r="AF1167" s="870"/>
      <c r="AG1167" s="870"/>
    </row>
    <row r="1168" spans="1:33" s="995" customFormat="1">
      <c r="A1168" s="974"/>
      <c r="D1168" s="876"/>
      <c r="E1168" s="974"/>
      <c r="F1168" s="876"/>
      <c r="G1168" s="876"/>
      <c r="H1168" s="876"/>
      <c r="I1168" s="876"/>
      <c r="J1168" s="876"/>
      <c r="K1168" s="876"/>
      <c r="L1168" s="876"/>
      <c r="M1168" s="876"/>
      <c r="N1168" s="876"/>
      <c r="O1168" s="876"/>
      <c r="P1168" s="876"/>
      <c r="Q1168" s="870"/>
      <c r="R1168" s="870"/>
      <c r="S1168" s="870"/>
      <c r="T1168" s="870"/>
      <c r="U1168" s="870"/>
      <c r="V1168" s="870"/>
      <c r="W1168" s="870"/>
      <c r="X1168" s="870"/>
      <c r="Y1168" s="870"/>
      <c r="Z1168" s="870"/>
      <c r="AA1168" s="870"/>
      <c r="AB1168" s="870"/>
      <c r="AC1168" s="870"/>
      <c r="AD1168" s="870"/>
      <c r="AE1168" s="870"/>
      <c r="AF1168" s="870"/>
      <c r="AG1168" s="870"/>
    </row>
    <row r="1169" spans="1:33" s="995" customFormat="1">
      <c r="A1169" s="974"/>
      <c r="D1169" s="876"/>
      <c r="E1169" s="974"/>
      <c r="F1169" s="876"/>
      <c r="G1169" s="876"/>
      <c r="H1169" s="876"/>
      <c r="I1169" s="876"/>
      <c r="J1169" s="876"/>
      <c r="K1169" s="876"/>
      <c r="L1169" s="876"/>
      <c r="M1169" s="876"/>
      <c r="N1169" s="876"/>
      <c r="O1169" s="876"/>
      <c r="P1169" s="876"/>
      <c r="Q1169" s="870"/>
      <c r="R1169" s="870"/>
      <c r="S1169" s="870"/>
      <c r="T1169" s="870"/>
      <c r="U1169" s="870"/>
      <c r="V1169" s="870"/>
      <c r="W1169" s="870"/>
      <c r="X1169" s="870"/>
      <c r="Y1169" s="870"/>
      <c r="Z1169" s="870"/>
      <c r="AA1169" s="870"/>
      <c r="AB1169" s="870"/>
      <c r="AC1169" s="870"/>
      <c r="AD1169" s="870"/>
      <c r="AE1169" s="870"/>
      <c r="AF1169" s="870"/>
      <c r="AG1169" s="870"/>
    </row>
    <row r="1170" spans="1:33" s="995" customFormat="1">
      <c r="A1170" s="974"/>
      <c r="D1170" s="876"/>
      <c r="E1170" s="974"/>
      <c r="F1170" s="876"/>
      <c r="G1170" s="876"/>
      <c r="H1170" s="876"/>
      <c r="I1170" s="876"/>
      <c r="J1170" s="876"/>
      <c r="K1170" s="876"/>
      <c r="L1170" s="876"/>
      <c r="M1170" s="876"/>
      <c r="N1170" s="876"/>
      <c r="O1170" s="876"/>
      <c r="P1170" s="876"/>
      <c r="Q1170" s="870"/>
      <c r="R1170" s="870"/>
      <c r="S1170" s="870"/>
      <c r="T1170" s="870"/>
      <c r="U1170" s="870"/>
      <c r="V1170" s="870"/>
      <c r="W1170" s="870"/>
      <c r="X1170" s="870"/>
      <c r="Y1170" s="870"/>
      <c r="Z1170" s="870"/>
      <c r="AA1170" s="870"/>
      <c r="AB1170" s="870"/>
      <c r="AC1170" s="870"/>
      <c r="AD1170" s="870"/>
      <c r="AE1170" s="870"/>
      <c r="AF1170" s="870"/>
      <c r="AG1170" s="870"/>
    </row>
    <row r="1171" spans="1:33" s="995" customFormat="1">
      <c r="A1171" s="974"/>
      <c r="D1171" s="876"/>
      <c r="E1171" s="974"/>
      <c r="F1171" s="876"/>
      <c r="G1171" s="876"/>
      <c r="H1171" s="876"/>
      <c r="I1171" s="876"/>
      <c r="J1171" s="876"/>
      <c r="K1171" s="876"/>
      <c r="L1171" s="876"/>
      <c r="M1171" s="876"/>
      <c r="N1171" s="876"/>
      <c r="O1171" s="876"/>
      <c r="P1171" s="876"/>
      <c r="Q1171" s="870"/>
      <c r="R1171" s="870"/>
      <c r="S1171" s="870"/>
      <c r="T1171" s="870"/>
      <c r="U1171" s="870"/>
      <c r="V1171" s="870"/>
      <c r="W1171" s="870"/>
      <c r="X1171" s="870"/>
      <c r="Y1171" s="870"/>
      <c r="Z1171" s="870"/>
      <c r="AA1171" s="870"/>
      <c r="AB1171" s="870"/>
      <c r="AC1171" s="870"/>
      <c r="AD1171" s="870"/>
      <c r="AE1171" s="870"/>
      <c r="AF1171" s="870"/>
      <c r="AG1171" s="870"/>
    </row>
    <row r="1172" spans="1:33" s="995" customFormat="1">
      <c r="A1172" s="974"/>
      <c r="D1172" s="876"/>
      <c r="E1172" s="974"/>
      <c r="F1172" s="876"/>
      <c r="G1172" s="876"/>
      <c r="H1172" s="876"/>
      <c r="I1172" s="876"/>
      <c r="J1172" s="876"/>
      <c r="K1172" s="876"/>
      <c r="L1172" s="876"/>
      <c r="M1172" s="876"/>
      <c r="N1172" s="876"/>
      <c r="O1172" s="876"/>
      <c r="P1172" s="876"/>
      <c r="Q1172" s="870"/>
      <c r="R1172" s="870"/>
      <c r="S1172" s="870"/>
      <c r="T1172" s="870"/>
      <c r="U1172" s="870"/>
      <c r="V1172" s="870"/>
      <c r="W1172" s="870"/>
      <c r="X1172" s="870"/>
      <c r="Y1172" s="870"/>
      <c r="Z1172" s="870"/>
      <c r="AA1172" s="870"/>
      <c r="AB1172" s="870"/>
      <c r="AC1172" s="870"/>
      <c r="AD1172" s="870"/>
      <c r="AE1172" s="870"/>
      <c r="AF1172" s="870"/>
      <c r="AG1172" s="870"/>
    </row>
    <row r="1173" spans="1:33" s="995" customFormat="1">
      <c r="A1173" s="974"/>
      <c r="D1173" s="876"/>
      <c r="E1173" s="974"/>
      <c r="F1173" s="876"/>
      <c r="G1173" s="876"/>
      <c r="H1173" s="876"/>
      <c r="I1173" s="876"/>
      <c r="J1173" s="876"/>
      <c r="K1173" s="876"/>
      <c r="L1173" s="876"/>
      <c r="M1173" s="876"/>
      <c r="N1173" s="876"/>
      <c r="O1173" s="876"/>
      <c r="P1173" s="876"/>
      <c r="Q1173" s="870"/>
      <c r="R1173" s="870"/>
      <c r="S1173" s="870"/>
      <c r="T1173" s="870"/>
      <c r="U1173" s="870"/>
      <c r="V1173" s="870"/>
      <c r="W1173" s="870"/>
      <c r="X1173" s="870"/>
      <c r="Y1173" s="870"/>
      <c r="Z1173" s="870"/>
      <c r="AA1173" s="870"/>
      <c r="AB1173" s="870"/>
      <c r="AC1173" s="870"/>
      <c r="AD1173" s="870"/>
      <c r="AE1173" s="870"/>
      <c r="AF1173" s="870"/>
      <c r="AG1173" s="870"/>
    </row>
    <row r="1174" spans="1:33" s="995" customFormat="1">
      <c r="A1174" s="974"/>
      <c r="D1174" s="876"/>
      <c r="E1174" s="974"/>
      <c r="F1174" s="876"/>
      <c r="G1174" s="876"/>
      <c r="H1174" s="876"/>
      <c r="I1174" s="876"/>
      <c r="J1174" s="876"/>
      <c r="K1174" s="876"/>
      <c r="L1174" s="876"/>
      <c r="M1174" s="876"/>
      <c r="N1174" s="876"/>
      <c r="O1174" s="876"/>
      <c r="P1174" s="876"/>
      <c r="Q1174" s="870"/>
      <c r="R1174" s="870"/>
      <c r="S1174" s="870"/>
      <c r="T1174" s="870"/>
      <c r="U1174" s="870"/>
      <c r="V1174" s="870"/>
      <c r="W1174" s="870"/>
      <c r="X1174" s="870"/>
      <c r="Y1174" s="870"/>
      <c r="Z1174" s="870"/>
      <c r="AA1174" s="870"/>
      <c r="AB1174" s="870"/>
      <c r="AC1174" s="870"/>
      <c r="AD1174" s="870"/>
      <c r="AE1174" s="870"/>
      <c r="AF1174" s="870"/>
      <c r="AG1174" s="870"/>
    </row>
    <row r="1175" spans="1:33" s="995" customFormat="1">
      <c r="A1175" s="974"/>
      <c r="D1175" s="876"/>
      <c r="E1175" s="974"/>
      <c r="F1175" s="876"/>
      <c r="G1175" s="876"/>
      <c r="H1175" s="876"/>
      <c r="I1175" s="876"/>
      <c r="J1175" s="876"/>
      <c r="K1175" s="876"/>
      <c r="L1175" s="876"/>
      <c r="M1175" s="876"/>
      <c r="N1175" s="876"/>
      <c r="O1175" s="876"/>
      <c r="P1175" s="876"/>
      <c r="Q1175" s="870"/>
      <c r="R1175" s="870"/>
      <c r="S1175" s="870"/>
      <c r="T1175" s="870"/>
      <c r="U1175" s="870"/>
      <c r="V1175" s="870"/>
      <c r="W1175" s="870"/>
      <c r="X1175" s="870"/>
      <c r="Y1175" s="870"/>
      <c r="Z1175" s="870"/>
      <c r="AA1175" s="870"/>
      <c r="AB1175" s="870"/>
      <c r="AC1175" s="870"/>
      <c r="AD1175" s="870"/>
      <c r="AE1175" s="870"/>
      <c r="AF1175" s="870"/>
      <c r="AG1175" s="870"/>
    </row>
    <row r="1176" spans="1:33" s="995" customFormat="1">
      <c r="A1176" s="974"/>
      <c r="D1176" s="876"/>
      <c r="E1176" s="974"/>
      <c r="F1176" s="876"/>
      <c r="G1176" s="876"/>
      <c r="H1176" s="876"/>
      <c r="I1176" s="876"/>
      <c r="J1176" s="876"/>
      <c r="K1176" s="876"/>
      <c r="L1176" s="876"/>
      <c r="M1176" s="876"/>
      <c r="N1176" s="876"/>
      <c r="O1176" s="876"/>
      <c r="P1176" s="876"/>
      <c r="Q1176" s="870"/>
      <c r="R1176" s="870"/>
      <c r="S1176" s="870"/>
      <c r="T1176" s="870"/>
      <c r="U1176" s="870"/>
      <c r="V1176" s="870"/>
      <c r="W1176" s="870"/>
      <c r="X1176" s="870"/>
      <c r="Y1176" s="870"/>
      <c r="Z1176" s="870"/>
      <c r="AA1176" s="870"/>
      <c r="AB1176" s="870"/>
      <c r="AC1176" s="870"/>
      <c r="AD1176" s="870"/>
      <c r="AE1176" s="870"/>
      <c r="AF1176" s="870"/>
      <c r="AG1176" s="870"/>
    </row>
    <row r="1177" spans="1:33" s="995" customFormat="1">
      <c r="A1177" s="974"/>
      <c r="D1177" s="876"/>
      <c r="E1177" s="974"/>
      <c r="F1177" s="876"/>
      <c r="G1177" s="876"/>
      <c r="H1177" s="876"/>
      <c r="I1177" s="876"/>
      <c r="J1177" s="876"/>
      <c r="K1177" s="876"/>
      <c r="L1177" s="876"/>
      <c r="M1177" s="876"/>
      <c r="N1177" s="876"/>
      <c r="O1177" s="876"/>
      <c r="P1177" s="876"/>
      <c r="Q1177" s="870"/>
      <c r="R1177" s="870"/>
      <c r="S1177" s="870"/>
      <c r="T1177" s="870"/>
      <c r="U1177" s="870"/>
      <c r="V1177" s="870"/>
      <c r="W1177" s="870"/>
      <c r="X1177" s="870"/>
      <c r="Y1177" s="870"/>
      <c r="Z1177" s="870"/>
      <c r="AA1177" s="870"/>
      <c r="AB1177" s="870"/>
      <c r="AC1177" s="870"/>
      <c r="AD1177" s="870"/>
      <c r="AE1177" s="870"/>
      <c r="AF1177" s="870"/>
      <c r="AG1177" s="870"/>
    </row>
    <row r="1178" spans="1:33" s="995" customFormat="1">
      <c r="A1178" s="974"/>
      <c r="D1178" s="876"/>
      <c r="E1178" s="974"/>
      <c r="F1178" s="876"/>
      <c r="G1178" s="876"/>
      <c r="H1178" s="876"/>
      <c r="I1178" s="876"/>
      <c r="J1178" s="876"/>
      <c r="K1178" s="876"/>
      <c r="L1178" s="876"/>
      <c r="M1178" s="876"/>
      <c r="N1178" s="876"/>
      <c r="O1178" s="876"/>
      <c r="P1178" s="876"/>
      <c r="Q1178" s="870"/>
      <c r="R1178" s="870"/>
      <c r="S1178" s="870"/>
      <c r="T1178" s="870"/>
      <c r="U1178" s="870"/>
      <c r="V1178" s="870"/>
      <c r="W1178" s="870"/>
      <c r="X1178" s="870"/>
      <c r="Y1178" s="870"/>
      <c r="Z1178" s="870"/>
      <c r="AA1178" s="870"/>
      <c r="AB1178" s="870"/>
      <c r="AC1178" s="870"/>
      <c r="AD1178" s="870"/>
      <c r="AE1178" s="870"/>
      <c r="AF1178" s="870"/>
      <c r="AG1178" s="870"/>
    </row>
    <row r="1179" spans="1:33" s="995" customFormat="1">
      <c r="A1179" s="974"/>
      <c r="D1179" s="876"/>
      <c r="E1179" s="974"/>
      <c r="F1179" s="876"/>
      <c r="G1179" s="876"/>
      <c r="H1179" s="876"/>
      <c r="I1179" s="876"/>
      <c r="J1179" s="876"/>
      <c r="K1179" s="876"/>
      <c r="L1179" s="876"/>
      <c r="M1179" s="876"/>
      <c r="N1179" s="876"/>
      <c r="O1179" s="876"/>
      <c r="P1179" s="876"/>
      <c r="Q1179" s="870"/>
      <c r="R1179" s="870"/>
      <c r="S1179" s="870"/>
      <c r="T1179" s="870"/>
      <c r="U1179" s="870"/>
      <c r="V1179" s="870"/>
      <c r="W1179" s="870"/>
      <c r="X1179" s="870"/>
      <c r="Y1179" s="870"/>
      <c r="Z1179" s="870"/>
      <c r="AA1179" s="870"/>
      <c r="AB1179" s="870"/>
      <c r="AC1179" s="870"/>
      <c r="AD1179" s="870"/>
      <c r="AE1179" s="870"/>
      <c r="AF1179" s="870"/>
      <c r="AG1179" s="870"/>
    </row>
    <row r="1180" spans="1:33" s="995" customFormat="1">
      <c r="A1180" s="974"/>
      <c r="D1180" s="876"/>
      <c r="E1180" s="974"/>
      <c r="F1180" s="876"/>
      <c r="G1180" s="876"/>
      <c r="H1180" s="876"/>
      <c r="I1180" s="876"/>
      <c r="J1180" s="876"/>
      <c r="K1180" s="876"/>
      <c r="L1180" s="876"/>
      <c r="M1180" s="876"/>
      <c r="N1180" s="876"/>
      <c r="O1180" s="876"/>
      <c r="P1180" s="876"/>
      <c r="Q1180" s="870"/>
      <c r="R1180" s="870"/>
      <c r="S1180" s="870"/>
      <c r="T1180" s="870"/>
      <c r="U1180" s="870"/>
      <c r="V1180" s="870"/>
      <c r="W1180" s="870"/>
      <c r="X1180" s="870"/>
      <c r="Y1180" s="870"/>
      <c r="Z1180" s="870"/>
      <c r="AA1180" s="870"/>
      <c r="AB1180" s="870"/>
      <c r="AC1180" s="870"/>
      <c r="AD1180" s="870"/>
      <c r="AE1180" s="870"/>
      <c r="AF1180" s="870"/>
      <c r="AG1180" s="870"/>
    </row>
    <row r="1181" spans="1:33" s="995" customFormat="1">
      <c r="A1181" s="974"/>
      <c r="D1181" s="876"/>
      <c r="E1181" s="974"/>
      <c r="F1181" s="876"/>
      <c r="G1181" s="876"/>
      <c r="H1181" s="876"/>
      <c r="I1181" s="876"/>
      <c r="J1181" s="876"/>
      <c r="K1181" s="876"/>
      <c r="L1181" s="876"/>
      <c r="M1181" s="876"/>
      <c r="N1181" s="876"/>
      <c r="O1181" s="876"/>
      <c r="P1181" s="876"/>
      <c r="Q1181" s="870"/>
      <c r="R1181" s="870"/>
      <c r="S1181" s="870"/>
      <c r="T1181" s="870"/>
      <c r="U1181" s="870"/>
      <c r="V1181" s="870"/>
      <c r="W1181" s="870"/>
      <c r="X1181" s="870"/>
      <c r="Y1181" s="870"/>
      <c r="Z1181" s="870"/>
      <c r="AA1181" s="870"/>
      <c r="AB1181" s="870"/>
      <c r="AC1181" s="870"/>
      <c r="AD1181" s="870"/>
      <c r="AE1181" s="870"/>
      <c r="AF1181" s="870"/>
      <c r="AG1181" s="870"/>
    </row>
    <row r="1182" spans="1:33" s="995" customFormat="1">
      <c r="A1182" s="974"/>
      <c r="D1182" s="876"/>
      <c r="E1182" s="974"/>
      <c r="F1182" s="876"/>
      <c r="G1182" s="876"/>
      <c r="H1182" s="876"/>
      <c r="I1182" s="876"/>
      <c r="J1182" s="876"/>
      <c r="K1182" s="876"/>
      <c r="L1182" s="876"/>
      <c r="M1182" s="876"/>
      <c r="N1182" s="876"/>
      <c r="O1182" s="876"/>
      <c r="P1182" s="876"/>
      <c r="Q1182" s="870"/>
      <c r="R1182" s="870"/>
      <c r="S1182" s="870"/>
      <c r="T1182" s="870"/>
      <c r="U1182" s="870"/>
      <c r="V1182" s="870"/>
      <c r="W1182" s="870"/>
      <c r="X1182" s="870"/>
      <c r="Y1182" s="870"/>
      <c r="Z1182" s="870"/>
      <c r="AA1182" s="870"/>
      <c r="AB1182" s="870"/>
      <c r="AC1182" s="870"/>
      <c r="AD1182" s="870"/>
      <c r="AE1182" s="870"/>
      <c r="AF1182" s="870"/>
      <c r="AG1182" s="870"/>
    </row>
    <row r="1183" spans="1:33" s="995" customFormat="1">
      <c r="A1183" s="974"/>
      <c r="D1183" s="876"/>
      <c r="E1183" s="974"/>
      <c r="F1183" s="876"/>
      <c r="G1183" s="876"/>
      <c r="H1183" s="876"/>
      <c r="I1183" s="876"/>
      <c r="J1183" s="876"/>
      <c r="K1183" s="876"/>
      <c r="L1183" s="876"/>
      <c r="M1183" s="876"/>
      <c r="N1183" s="876"/>
      <c r="O1183" s="876"/>
      <c r="P1183" s="876"/>
      <c r="Q1183" s="870"/>
      <c r="R1183" s="870"/>
      <c r="S1183" s="870"/>
      <c r="T1183" s="870"/>
      <c r="U1183" s="870"/>
      <c r="V1183" s="870"/>
      <c r="W1183" s="870"/>
      <c r="X1183" s="870"/>
      <c r="Y1183" s="870"/>
      <c r="Z1183" s="870"/>
      <c r="AA1183" s="870"/>
      <c r="AB1183" s="870"/>
      <c r="AC1183" s="870"/>
      <c r="AD1183" s="870"/>
      <c r="AE1183" s="870"/>
      <c r="AF1183" s="870"/>
      <c r="AG1183" s="870"/>
    </row>
    <row r="1184" spans="1:33" s="995" customFormat="1">
      <c r="A1184" s="974"/>
      <c r="D1184" s="876"/>
      <c r="E1184" s="974"/>
      <c r="F1184" s="876"/>
      <c r="G1184" s="876"/>
      <c r="H1184" s="876"/>
      <c r="I1184" s="876"/>
      <c r="J1184" s="876"/>
      <c r="K1184" s="876"/>
      <c r="L1184" s="876"/>
      <c r="M1184" s="876"/>
      <c r="N1184" s="876"/>
      <c r="O1184" s="876"/>
      <c r="P1184" s="876"/>
      <c r="Q1184" s="870"/>
      <c r="R1184" s="870"/>
      <c r="S1184" s="870"/>
      <c r="T1184" s="870"/>
      <c r="U1184" s="870"/>
      <c r="V1184" s="870"/>
      <c r="W1184" s="870"/>
      <c r="X1184" s="870"/>
      <c r="Y1184" s="870"/>
      <c r="Z1184" s="870"/>
      <c r="AA1184" s="870"/>
      <c r="AB1184" s="870"/>
      <c r="AC1184" s="870"/>
      <c r="AD1184" s="870"/>
      <c r="AE1184" s="870"/>
      <c r="AF1184" s="870"/>
      <c r="AG1184" s="870"/>
    </row>
    <row r="1185" spans="1:33" s="995" customFormat="1">
      <c r="A1185" s="974"/>
      <c r="D1185" s="876"/>
      <c r="E1185" s="974"/>
      <c r="F1185" s="876"/>
      <c r="G1185" s="876"/>
      <c r="H1185" s="876"/>
      <c r="I1185" s="876"/>
      <c r="J1185" s="876"/>
      <c r="K1185" s="876"/>
      <c r="L1185" s="876"/>
      <c r="M1185" s="876"/>
      <c r="N1185" s="876"/>
      <c r="O1185" s="876"/>
      <c r="P1185" s="876"/>
      <c r="Q1185" s="870"/>
      <c r="R1185" s="870"/>
      <c r="S1185" s="870"/>
      <c r="T1185" s="870"/>
      <c r="U1185" s="870"/>
      <c r="V1185" s="870"/>
      <c r="W1185" s="870"/>
      <c r="X1185" s="870"/>
      <c r="Y1185" s="870"/>
      <c r="Z1185" s="870"/>
      <c r="AA1185" s="870"/>
      <c r="AB1185" s="870"/>
      <c r="AC1185" s="870"/>
      <c r="AD1185" s="870"/>
      <c r="AE1185" s="870"/>
      <c r="AF1185" s="870"/>
      <c r="AG1185" s="870"/>
    </row>
    <row r="1186" spans="1:33" s="995" customFormat="1">
      <c r="A1186" s="974"/>
      <c r="D1186" s="876"/>
      <c r="E1186" s="974"/>
      <c r="F1186" s="876"/>
      <c r="G1186" s="876"/>
      <c r="H1186" s="876"/>
      <c r="I1186" s="876"/>
      <c r="J1186" s="876"/>
      <c r="K1186" s="876"/>
      <c r="L1186" s="876"/>
      <c r="M1186" s="876"/>
      <c r="N1186" s="876"/>
      <c r="O1186" s="876"/>
      <c r="P1186" s="876"/>
      <c r="Q1186" s="870"/>
      <c r="R1186" s="870"/>
      <c r="S1186" s="870"/>
      <c r="T1186" s="870"/>
      <c r="U1186" s="870"/>
      <c r="V1186" s="870"/>
      <c r="W1186" s="870"/>
      <c r="X1186" s="870"/>
      <c r="Y1186" s="870"/>
      <c r="Z1186" s="870"/>
      <c r="AA1186" s="870"/>
      <c r="AB1186" s="870"/>
      <c r="AC1186" s="870"/>
      <c r="AD1186" s="870"/>
      <c r="AE1186" s="870"/>
      <c r="AF1186" s="870"/>
      <c r="AG1186" s="870"/>
    </row>
    <row r="1187" spans="1:33" s="995" customFormat="1">
      <c r="A1187" s="974"/>
      <c r="D1187" s="876"/>
      <c r="E1187" s="974"/>
      <c r="F1187" s="876"/>
      <c r="G1187" s="876"/>
      <c r="H1187" s="876"/>
      <c r="I1187" s="876"/>
      <c r="J1187" s="876"/>
      <c r="K1187" s="876"/>
      <c r="L1187" s="876"/>
      <c r="M1187" s="876"/>
      <c r="N1187" s="876"/>
      <c r="O1187" s="876"/>
      <c r="P1187" s="876"/>
      <c r="Q1187" s="870"/>
      <c r="R1187" s="870"/>
      <c r="S1187" s="870"/>
      <c r="T1187" s="870"/>
      <c r="U1187" s="870"/>
      <c r="V1187" s="870"/>
      <c r="W1187" s="870"/>
      <c r="X1187" s="870"/>
      <c r="Y1187" s="870"/>
      <c r="Z1187" s="870"/>
      <c r="AA1187" s="870"/>
      <c r="AB1187" s="870"/>
      <c r="AC1187" s="870"/>
      <c r="AD1187" s="870"/>
      <c r="AE1187" s="870"/>
      <c r="AF1187" s="870"/>
      <c r="AG1187" s="870"/>
    </row>
    <row r="1188" spans="1:33" s="995" customFormat="1">
      <c r="A1188" s="974"/>
      <c r="D1188" s="876"/>
      <c r="E1188" s="974"/>
      <c r="F1188" s="876"/>
      <c r="G1188" s="876"/>
      <c r="H1188" s="876"/>
      <c r="I1188" s="876"/>
      <c r="J1188" s="876"/>
      <c r="K1188" s="876"/>
      <c r="L1188" s="876"/>
      <c r="M1188" s="876"/>
      <c r="N1188" s="876"/>
      <c r="O1188" s="876"/>
      <c r="P1188" s="876"/>
      <c r="Q1188" s="870"/>
      <c r="R1188" s="870"/>
      <c r="S1188" s="870"/>
      <c r="T1188" s="870"/>
      <c r="U1188" s="870"/>
      <c r="V1188" s="870"/>
      <c r="W1188" s="870"/>
      <c r="X1188" s="870"/>
      <c r="Y1188" s="870"/>
      <c r="Z1188" s="870"/>
      <c r="AA1188" s="870"/>
      <c r="AB1188" s="870"/>
      <c r="AC1188" s="870"/>
      <c r="AD1188" s="870"/>
      <c r="AE1188" s="870"/>
      <c r="AF1188" s="870"/>
      <c r="AG1188" s="870"/>
    </row>
    <row r="1189" spans="1:33" s="995" customFormat="1">
      <c r="A1189" s="974"/>
      <c r="D1189" s="876"/>
      <c r="E1189" s="974"/>
      <c r="F1189" s="876"/>
      <c r="G1189" s="876"/>
      <c r="H1189" s="876"/>
      <c r="I1189" s="876"/>
      <c r="J1189" s="876"/>
      <c r="K1189" s="876"/>
      <c r="L1189" s="876"/>
      <c r="M1189" s="876"/>
      <c r="N1189" s="876"/>
      <c r="O1189" s="876"/>
      <c r="P1189" s="876"/>
      <c r="Q1189" s="870"/>
      <c r="R1189" s="870"/>
      <c r="S1189" s="870"/>
      <c r="T1189" s="870"/>
      <c r="U1189" s="870"/>
      <c r="V1189" s="870"/>
      <c r="W1189" s="870"/>
      <c r="X1189" s="870"/>
      <c r="Y1189" s="870"/>
      <c r="Z1189" s="870"/>
      <c r="AA1189" s="870"/>
      <c r="AB1189" s="870"/>
      <c r="AC1189" s="870"/>
      <c r="AD1189" s="870"/>
      <c r="AE1189" s="870"/>
      <c r="AF1189" s="870"/>
      <c r="AG1189" s="870"/>
    </row>
    <row r="1190" spans="1:33" s="995" customFormat="1">
      <c r="A1190" s="974"/>
      <c r="D1190" s="876"/>
      <c r="E1190" s="974"/>
      <c r="F1190" s="876"/>
      <c r="G1190" s="876"/>
      <c r="H1190" s="876"/>
      <c r="I1190" s="876"/>
      <c r="J1190" s="876"/>
      <c r="K1190" s="876"/>
      <c r="L1190" s="876"/>
      <c r="M1190" s="876"/>
      <c r="N1190" s="876"/>
      <c r="O1190" s="876"/>
      <c r="P1190" s="876"/>
      <c r="Q1190" s="870"/>
      <c r="R1190" s="870"/>
      <c r="S1190" s="870"/>
      <c r="T1190" s="870"/>
      <c r="U1190" s="870"/>
      <c r="V1190" s="870"/>
      <c r="W1190" s="870"/>
      <c r="X1190" s="870"/>
      <c r="Y1190" s="870"/>
      <c r="Z1190" s="870"/>
      <c r="AA1190" s="870"/>
      <c r="AB1190" s="870"/>
      <c r="AC1190" s="870"/>
      <c r="AD1190" s="870"/>
      <c r="AE1190" s="870"/>
      <c r="AF1190" s="870"/>
      <c r="AG1190" s="870"/>
    </row>
    <row r="1191" spans="1:33" s="995" customFormat="1">
      <c r="A1191" s="974"/>
      <c r="D1191" s="876"/>
      <c r="E1191" s="974"/>
      <c r="F1191" s="876"/>
      <c r="G1191" s="876"/>
      <c r="H1191" s="876"/>
      <c r="I1191" s="876"/>
      <c r="J1191" s="876"/>
      <c r="K1191" s="876"/>
      <c r="L1191" s="876"/>
      <c r="M1191" s="876"/>
      <c r="N1191" s="876"/>
      <c r="O1191" s="876"/>
      <c r="P1191" s="876"/>
      <c r="Q1191" s="870"/>
      <c r="R1191" s="870"/>
      <c r="S1191" s="870"/>
      <c r="T1191" s="870"/>
      <c r="U1191" s="870"/>
      <c r="V1191" s="870"/>
      <c r="W1191" s="870"/>
      <c r="X1191" s="870"/>
      <c r="Y1191" s="870"/>
      <c r="Z1191" s="870"/>
      <c r="AA1191" s="870"/>
      <c r="AB1191" s="870"/>
      <c r="AC1191" s="870"/>
      <c r="AD1191" s="870"/>
      <c r="AE1191" s="870"/>
      <c r="AF1191" s="870"/>
      <c r="AG1191" s="870"/>
    </row>
    <row r="1192" spans="1:33" s="995" customFormat="1">
      <c r="A1192" s="974"/>
      <c r="D1192" s="876"/>
      <c r="E1192" s="974"/>
      <c r="F1192" s="876"/>
      <c r="G1192" s="876"/>
      <c r="H1192" s="876"/>
      <c r="I1192" s="876"/>
      <c r="J1192" s="876"/>
      <c r="K1192" s="876"/>
      <c r="L1192" s="876"/>
      <c r="M1192" s="876"/>
      <c r="N1192" s="876"/>
      <c r="O1192" s="876"/>
      <c r="P1192" s="876"/>
      <c r="Q1192" s="870"/>
      <c r="R1192" s="870"/>
      <c r="S1192" s="870"/>
      <c r="T1192" s="870"/>
      <c r="U1192" s="870"/>
      <c r="V1192" s="870"/>
      <c r="W1192" s="870"/>
      <c r="X1192" s="870"/>
      <c r="Y1192" s="870"/>
      <c r="Z1192" s="870"/>
      <c r="AA1192" s="870"/>
      <c r="AB1192" s="870"/>
      <c r="AC1192" s="870"/>
      <c r="AD1192" s="870"/>
      <c r="AE1192" s="870"/>
      <c r="AF1192" s="870"/>
      <c r="AG1192" s="870"/>
    </row>
    <row r="1193" spans="1:33" s="995" customFormat="1">
      <c r="A1193" s="974"/>
      <c r="D1193" s="876"/>
      <c r="E1193" s="974"/>
      <c r="F1193" s="876"/>
      <c r="G1193" s="876"/>
      <c r="H1193" s="876"/>
      <c r="I1193" s="876"/>
      <c r="J1193" s="876"/>
      <c r="K1193" s="876"/>
      <c r="L1193" s="876"/>
      <c r="M1193" s="876"/>
      <c r="N1193" s="876"/>
      <c r="O1193" s="876"/>
      <c r="P1193" s="876"/>
      <c r="Q1193" s="870"/>
      <c r="R1193" s="870"/>
      <c r="S1193" s="870"/>
      <c r="T1193" s="870"/>
      <c r="U1193" s="870"/>
      <c r="V1193" s="870"/>
      <c r="W1193" s="870"/>
      <c r="X1193" s="870"/>
      <c r="Y1193" s="870"/>
      <c r="Z1193" s="870"/>
      <c r="AA1193" s="870"/>
      <c r="AB1193" s="870"/>
      <c r="AC1193" s="870"/>
      <c r="AD1193" s="870"/>
      <c r="AE1193" s="870"/>
      <c r="AF1193" s="870"/>
      <c r="AG1193" s="870"/>
    </row>
    <row r="1194" spans="1:33" s="995" customFormat="1">
      <c r="A1194" s="974"/>
      <c r="D1194" s="876"/>
      <c r="E1194" s="974"/>
      <c r="F1194" s="876"/>
      <c r="G1194" s="876"/>
      <c r="H1194" s="876"/>
      <c r="I1194" s="876"/>
      <c r="J1194" s="876"/>
      <c r="K1194" s="876"/>
      <c r="L1194" s="876"/>
      <c r="M1194" s="876"/>
      <c r="N1194" s="876"/>
      <c r="O1194" s="876"/>
      <c r="P1194" s="876"/>
      <c r="Q1194" s="870"/>
      <c r="R1194" s="870"/>
      <c r="S1194" s="870"/>
      <c r="T1194" s="870"/>
      <c r="U1194" s="870"/>
      <c r="V1194" s="870"/>
      <c r="W1194" s="870"/>
      <c r="X1194" s="870"/>
      <c r="Y1194" s="870"/>
      <c r="Z1194" s="870"/>
      <c r="AA1194" s="870"/>
      <c r="AB1194" s="870"/>
      <c r="AC1194" s="870"/>
      <c r="AD1194" s="870"/>
      <c r="AE1194" s="870"/>
      <c r="AF1194" s="870"/>
      <c r="AG1194" s="870"/>
    </row>
    <row r="1195" spans="1:33" s="995" customFormat="1">
      <c r="A1195" s="974"/>
      <c r="D1195" s="876"/>
      <c r="E1195" s="974"/>
      <c r="F1195" s="876"/>
      <c r="G1195" s="876"/>
      <c r="H1195" s="876"/>
      <c r="I1195" s="876"/>
      <c r="J1195" s="876"/>
      <c r="K1195" s="876"/>
      <c r="L1195" s="876"/>
      <c r="M1195" s="876"/>
      <c r="N1195" s="876"/>
      <c r="O1195" s="876"/>
      <c r="P1195" s="876"/>
      <c r="Q1195" s="870"/>
      <c r="R1195" s="870"/>
      <c r="S1195" s="870"/>
      <c r="T1195" s="870"/>
      <c r="U1195" s="870"/>
      <c r="V1195" s="870"/>
      <c r="W1195" s="870"/>
      <c r="X1195" s="870"/>
      <c r="Y1195" s="870"/>
      <c r="Z1195" s="870"/>
      <c r="AA1195" s="870"/>
      <c r="AB1195" s="870"/>
      <c r="AC1195" s="870"/>
      <c r="AD1195" s="870"/>
      <c r="AE1195" s="870"/>
      <c r="AF1195" s="870"/>
      <c r="AG1195" s="870"/>
    </row>
    <row r="1196" spans="1:33" s="995" customFormat="1">
      <c r="A1196" s="974"/>
      <c r="D1196" s="876"/>
      <c r="E1196" s="974"/>
      <c r="F1196" s="876"/>
      <c r="G1196" s="876"/>
      <c r="H1196" s="876"/>
      <c r="I1196" s="876"/>
      <c r="J1196" s="876"/>
      <c r="K1196" s="876"/>
      <c r="L1196" s="876"/>
      <c r="M1196" s="876"/>
      <c r="N1196" s="876"/>
      <c r="O1196" s="876"/>
      <c r="P1196" s="876"/>
      <c r="Q1196" s="870"/>
      <c r="R1196" s="870"/>
      <c r="S1196" s="870"/>
      <c r="T1196" s="870"/>
      <c r="U1196" s="870"/>
      <c r="V1196" s="870"/>
      <c r="W1196" s="870"/>
      <c r="X1196" s="870"/>
      <c r="Y1196" s="870"/>
      <c r="Z1196" s="870"/>
      <c r="AA1196" s="870"/>
      <c r="AB1196" s="870"/>
      <c r="AC1196" s="870"/>
      <c r="AD1196" s="870"/>
      <c r="AE1196" s="870"/>
      <c r="AF1196" s="870"/>
      <c r="AG1196" s="870"/>
    </row>
    <row r="1197" spans="1:33" s="995" customFormat="1">
      <c r="A1197" s="974"/>
      <c r="D1197" s="876"/>
      <c r="E1197" s="974"/>
      <c r="F1197" s="876"/>
      <c r="G1197" s="876"/>
      <c r="H1197" s="876"/>
      <c r="I1197" s="876"/>
      <c r="J1197" s="876"/>
      <c r="K1197" s="876"/>
      <c r="L1197" s="876"/>
      <c r="M1197" s="876"/>
      <c r="N1197" s="876"/>
      <c r="O1197" s="876"/>
      <c r="P1197" s="876"/>
      <c r="Q1197" s="870"/>
      <c r="R1197" s="870"/>
      <c r="S1197" s="870"/>
      <c r="T1197" s="870"/>
      <c r="U1197" s="870"/>
      <c r="V1197" s="870"/>
      <c r="W1197" s="870"/>
      <c r="X1197" s="870"/>
      <c r="Y1197" s="870"/>
      <c r="Z1197" s="870"/>
      <c r="AA1197" s="870"/>
      <c r="AB1197" s="870"/>
      <c r="AC1197" s="870"/>
      <c r="AD1197" s="870"/>
      <c r="AE1197" s="870"/>
      <c r="AF1197" s="870"/>
      <c r="AG1197" s="870"/>
    </row>
    <row r="1198" spans="1:33" s="995" customFormat="1">
      <c r="A1198" s="974"/>
      <c r="D1198" s="876"/>
      <c r="E1198" s="974"/>
      <c r="F1198" s="876"/>
      <c r="G1198" s="876"/>
      <c r="H1198" s="876"/>
      <c r="I1198" s="876"/>
      <c r="J1198" s="876"/>
      <c r="K1198" s="876"/>
      <c r="L1198" s="876"/>
      <c r="M1198" s="876"/>
      <c r="N1198" s="876"/>
      <c r="O1198" s="876"/>
      <c r="P1198" s="876"/>
      <c r="Q1198" s="870"/>
      <c r="R1198" s="870"/>
      <c r="S1198" s="870"/>
      <c r="T1198" s="870"/>
      <c r="U1198" s="870"/>
      <c r="V1198" s="870"/>
      <c r="W1198" s="870"/>
      <c r="X1198" s="870"/>
      <c r="Y1198" s="870"/>
      <c r="Z1198" s="870"/>
      <c r="AA1198" s="870"/>
      <c r="AB1198" s="870"/>
      <c r="AC1198" s="870"/>
      <c r="AD1198" s="870"/>
      <c r="AE1198" s="870"/>
      <c r="AF1198" s="870"/>
      <c r="AG1198" s="870"/>
    </row>
    <row r="1199" spans="1:33" s="995" customFormat="1">
      <c r="A1199" s="974"/>
      <c r="D1199" s="876"/>
      <c r="E1199" s="974"/>
      <c r="F1199" s="876"/>
      <c r="G1199" s="876"/>
      <c r="H1199" s="876"/>
      <c r="I1199" s="876"/>
      <c r="J1199" s="876"/>
      <c r="K1199" s="876"/>
      <c r="L1199" s="876"/>
      <c r="M1199" s="876"/>
      <c r="N1199" s="876"/>
      <c r="O1199" s="876"/>
      <c r="P1199" s="876"/>
      <c r="Q1199" s="870"/>
      <c r="R1199" s="870"/>
      <c r="S1199" s="870"/>
      <c r="T1199" s="870"/>
      <c r="U1199" s="870"/>
      <c r="V1199" s="870"/>
      <c r="W1199" s="870"/>
      <c r="X1199" s="870"/>
      <c r="Y1199" s="870"/>
      <c r="Z1199" s="870"/>
      <c r="AA1199" s="870"/>
      <c r="AB1199" s="870"/>
      <c r="AC1199" s="870"/>
      <c r="AD1199" s="870"/>
      <c r="AE1199" s="870"/>
      <c r="AF1199" s="870"/>
      <c r="AG1199" s="870"/>
    </row>
    <row r="1200" spans="1:33" s="995" customFormat="1">
      <c r="A1200" s="974"/>
      <c r="D1200" s="876"/>
      <c r="E1200" s="974"/>
      <c r="F1200" s="876"/>
      <c r="G1200" s="876"/>
      <c r="H1200" s="876"/>
      <c r="I1200" s="876"/>
      <c r="J1200" s="876"/>
      <c r="K1200" s="876"/>
      <c r="L1200" s="876"/>
      <c r="M1200" s="876"/>
      <c r="N1200" s="876"/>
      <c r="O1200" s="876"/>
      <c r="P1200" s="876"/>
      <c r="Q1200" s="870"/>
      <c r="R1200" s="870"/>
      <c r="S1200" s="870"/>
      <c r="T1200" s="870"/>
      <c r="U1200" s="870"/>
      <c r="V1200" s="870"/>
      <c r="W1200" s="870"/>
      <c r="X1200" s="870"/>
      <c r="Y1200" s="870"/>
      <c r="Z1200" s="870"/>
      <c r="AA1200" s="870"/>
      <c r="AB1200" s="870"/>
      <c r="AC1200" s="870"/>
      <c r="AD1200" s="870"/>
      <c r="AE1200" s="870"/>
      <c r="AF1200" s="870"/>
      <c r="AG1200" s="870"/>
    </row>
    <row r="1201" spans="1:33" s="995" customFormat="1">
      <c r="A1201" s="974"/>
      <c r="D1201" s="876"/>
      <c r="E1201" s="974"/>
      <c r="F1201" s="876"/>
      <c r="G1201" s="876"/>
      <c r="H1201" s="876"/>
      <c r="I1201" s="876"/>
      <c r="J1201" s="876"/>
      <c r="K1201" s="876"/>
      <c r="L1201" s="876"/>
      <c r="M1201" s="876"/>
      <c r="N1201" s="876"/>
      <c r="O1201" s="876"/>
      <c r="P1201" s="876"/>
      <c r="Q1201" s="870"/>
      <c r="R1201" s="870"/>
      <c r="S1201" s="870"/>
      <c r="T1201" s="870"/>
      <c r="U1201" s="870"/>
      <c r="V1201" s="870"/>
      <c r="W1201" s="870"/>
      <c r="X1201" s="870"/>
      <c r="Y1201" s="870"/>
      <c r="Z1201" s="870"/>
      <c r="AA1201" s="870"/>
      <c r="AB1201" s="870"/>
      <c r="AC1201" s="870"/>
      <c r="AD1201" s="870"/>
      <c r="AE1201" s="870"/>
      <c r="AF1201" s="870"/>
      <c r="AG1201" s="870"/>
    </row>
    <row r="1202" spans="1:33" s="995" customFormat="1">
      <c r="A1202" s="974"/>
      <c r="D1202" s="876"/>
      <c r="E1202" s="974"/>
      <c r="F1202" s="876"/>
      <c r="G1202" s="876"/>
      <c r="H1202" s="876"/>
      <c r="I1202" s="876"/>
      <c r="J1202" s="876"/>
      <c r="K1202" s="876"/>
      <c r="L1202" s="876"/>
      <c r="M1202" s="876"/>
      <c r="N1202" s="876"/>
      <c r="O1202" s="876"/>
      <c r="P1202" s="876"/>
      <c r="Q1202" s="870"/>
      <c r="R1202" s="870"/>
      <c r="S1202" s="870"/>
      <c r="T1202" s="870"/>
      <c r="U1202" s="870"/>
      <c r="V1202" s="870"/>
      <c r="W1202" s="870"/>
      <c r="X1202" s="870"/>
      <c r="Y1202" s="870"/>
      <c r="Z1202" s="870"/>
      <c r="AA1202" s="870"/>
      <c r="AB1202" s="870"/>
      <c r="AC1202" s="870"/>
      <c r="AD1202" s="870"/>
      <c r="AE1202" s="870"/>
      <c r="AF1202" s="870"/>
      <c r="AG1202" s="870"/>
    </row>
    <row r="1203" spans="1:33" s="995" customFormat="1">
      <c r="A1203" s="974"/>
      <c r="D1203" s="876"/>
      <c r="E1203" s="974"/>
      <c r="F1203" s="876"/>
      <c r="G1203" s="876"/>
      <c r="H1203" s="876"/>
      <c r="I1203" s="876"/>
      <c r="J1203" s="876"/>
      <c r="K1203" s="876"/>
      <c r="L1203" s="876"/>
      <c r="M1203" s="876"/>
      <c r="N1203" s="876"/>
      <c r="O1203" s="876"/>
      <c r="P1203" s="876"/>
      <c r="Q1203" s="870"/>
      <c r="R1203" s="870"/>
      <c r="S1203" s="870"/>
      <c r="T1203" s="870"/>
      <c r="U1203" s="870"/>
      <c r="V1203" s="870"/>
      <c r="W1203" s="870"/>
      <c r="X1203" s="870"/>
      <c r="Y1203" s="870"/>
      <c r="Z1203" s="870"/>
      <c r="AA1203" s="870"/>
      <c r="AB1203" s="870"/>
      <c r="AC1203" s="870"/>
      <c r="AD1203" s="870"/>
      <c r="AE1203" s="870"/>
      <c r="AF1203" s="870"/>
      <c r="AG1203" s="870"/>
    </row>
    <row r="1204" spans="1:33" s="995" customFormat="1">
      <c r="A1204" s="974"/>
      <c r="D1204" s="876"/>
      <c r="E1204" s="974"/>
      <c r="F1204" s="876"/>
      <c r="G1204" s="876"/>
      <c r="H1204" s="876"/>
      <c r="I1204" s="876"/>
      <c r="J1204" s="876"/>
      <c r="K1204" s="876"/>
      <c r="L1204" s="876"/>
      <c r="M1204" s="876"/>
      <c r="N1204" s="876"/>
      <c r="O1204" s="876"/>
      <c r="P1204" s="876"/>
      <c r="Q1204" s="870"/>
      <c r="R1204" s="870"/>
      <c r="S1204" s="870"/>
      <c r="T1204" s="870"/>
      <c r="U1204" s="870"/>
      <c r="V1204" s="870"/>
      <c r="W1204" s="870"/>
      <c r="X1204" s="870"/>
      <c r="Y1204" s="870"/>
      <c r="Z1204" s="870"/>
      <c r="AA1204" s="870"/>
      <c r="AB1204" s="870"/>
      <c r="AC1204" s="870"/>
      <c r="AD1204" s="870"/>
      <c r="AE1204" s="870"/>
      <c r="AF1204" s="870"/>
      <c r="AG1204" s="870"/>
    </row>
    <row r="1205" spans="1:33" s="995" customFormat="1">
      <c r="A1205" s="974"/>
      <c r="D1205" s="876"/>
      <c r="E1205" s="974"/>
      <c r="F1205" s="876"/>
      <c r="G1205" s="876"/>
      <c r="H1205" s="876"/>
      <c r="I1205" s="876"/>
      <c r="J1205" s="876"/>
      <c r="K1205" s="876"/>
      <c r="L1205" s="876"/>
      <c r="M1205" s="876"/>
      <c r="N1205" s="876"/>
      <c r="O1205" s="876"/>
      <c r="P1205" s="876"/>
      <c r="Q1205" s="870"/>
      <c r="R1205" s="870"/>
      <c r="S1205" s="870"/>
      <c r="T1205" s="870"/>
      <c r="U1205" s="870"/>
      <c r="V1205" s="870"/>
      <c r="W1205" s="870"/>
      <c r="X1205" s="870"/>
      <c r="Y1205" s="870"/>
      <c r="Z1205" s="870"/>
      <c r="AA1205" s="870"/>
      <c r="AB1205" s="870"/>
      <c r="AC1205" s="870"/>
      <c r="AD1205" s="870"/>
      <c r="AE1205" s="870"/>
      <c r="AF1205" s="870"/>
      <c r="AG1205" s="870"/>
    </row>
    <row r="1206" spans="1:33" s="995" customFormat="1">
      <c r="A1206" s="974"/>
      <c r="D1206" s="876"/>
      <c r="E1206" s="974"/>
      <c r="F1206" s="876"/>
      <c r="G1206" s="876"/>
      <c r="H1206" s="876"/>
      <c r="I1206" s="876"/>
      <c r="J1206" s="876"/>
      <c r="K1206" s="876"/>
      <c r="L1206" s="876"/>
      <c r="M1206" s="876"/>
      <c r="N1206" s="876"/>
      <c r="O1206" s="876"/>
      <c r="P1206" s="876"/>
      <c r="Q1206" s="870"/>
      <c r="R1206" s="870"/>
      <c r="S1206" s="870"/>
      <c r="T1206" s="870"/>
      <c r="U1206" s="870"/>
      <c r="V1206" s="870"/>
      <c r="W1206" s="870"/>
      <c r="X1206" s="870"/>
      <c r="Y1206" s="870"/>
      <c r="Z1206" s="870"/>
      <c r="AA1206" s="870"/>
      <c r="AB1206" s="870"/>
      <c r="AC1206" s="870"/>
      <c r="AD1206" s="870"/>
      <c r="AE1206" s="870"/>
      <c r="AF1206" s="870"/>
      <c r="AG1206" s="870"/>
    </row>
    <row r="1207" spans="1:33" s="995" customFormat="1">
      <c r="A1207" s="974"/>
      <c r="D1207" s="876"/>
      <c r="E1207" s="974"/>
      <c r="F1207" s="876"/>
      <c r="G1207" s="876"/>
      <c r="H1207" s="876"/>
      <c r="I1207" s="876"/>
      <c r="J1207" s="876"/>
      <c r="K1207" s="876"/>
      <c r="L1207" s="876"/>
      <c r="M1207" s="876"/>
      <c r="N1207" s="876"/>
      <c r="O1207" s="876"/>
      <c r="P1207" s="876"/>
      <c r="Q1207" s="870"/>
      <c r="R1207" s="870"/>
      <c r="S1207" s="870"/>
      <c r="T1207" s="870"/>
      <c r="U1207" s="870"/>
      <c r="V1207" s="870"/>
      <c r="W1207" s="870"/>
      <c r="X1207" s="870"/>
      <c r="Y1207" s="870"/>
      <c r="Z1207" s="870"/>
      <c r="AA1207" s="870"/>
      <c r="AB1207" s="870"/>
      <c r="AC1207" s="870"/>
      <c r="AD1207" s="870"/>
      <c r="AE1207" s="870"/>
      <c r="AF1207" s="870"/>
      <c r="AG1207" s="870"/>
    </row>
    <row r="1208" spans="1:33" s="995" customFormat="1">
      <c r="A1208" s="974"/>
      <c r="D1208" s="876"/>
      <c r="E1208" s="974"/>
      <c r="F1208" s="876"/>
      <c r="G1208" s="876"/>
      <c r="H1208" s="876"/>
      <c r="I1208" s="876"/>
      <c r="J1208" s="876"/>
      <c r="K1208" s="876"/>
      <c r="L1208" s="876"/>
      <c r="M1208" s="876"/>
      <c r="N1208" s="876"/>
      <c r="O1208" s="876"/>
      <c r="P1208" s="876"/>
      <c r="Q1208" s="870"/>
      <c r="R1208" s="870"/>
      <c r="S1208" s="870"/>
      <c r="T1208" s="870"/>
      <c r="U1208" s="870"/>
      <c r="V1208" s="870"/>
      <c r="W1208" s="870"/>
      <c r="X1208" s="870"/>
      <c r="Y1208" s="870"/>
      <c r="Z1208" s="870"/>
      <c r="AA1208" s="870"/>
      <c r="AB1208" s="870"/>
      <c r="AC1208" s="870"/>
      <c r="AD1208" s="870"/>
      <c r="AE1208" s="870"/>
      <c r="AF1208" s="870"/>
      <c r="AG1208" s="870"/>
    </row>
    <row r="1209" spans="1:33" s="995" customFormat="1">
      <c r="A1209" s="974"/>
      <c r="D1209" s="876"/>
      <c r="E1209" s="974"/>
      <c r="F1209" s="876"/>
      <c r="G1209" s="876"/>
      <c r="H1209" s="876"/>
      <c r="I1209" s="876"/>
      <c r="J1209" s="876"/>
      <c r="K1209" s="876"/>
      <c r="L1209" s="876"/>
      <c r="M1209" s="876"/>
      <c r="N1209" s="876"/>
      <c r="O1209" s="876"/>
      <c r="P1209" s="876"/>
      <c r="Q1209" s="870"/>
      <c r="R1209" s="870"/>
      <c r="S1209" s="870"/>
      <c r="T1209" s="870"/>
      <c r="U1209" s="870"/>
      <c r="V1209" s="870"/>
      <c r="W1209" s="870"/>
      <c r="X1209" s="870"/>
      <c r="Y1209" s="870"/>
      <c r="Z1209" s="870"/>
      <c r="AA1209" s="870"/>
      <c r="AB1209" s="870"/>
      <c r="AC1209" s="870"/>
      <c r="AD1209" s="870"/>
      <c r="AE1209" s="870"/>
      <c r="AF1209" s="870"/>
      <c r="AG1209" s="870"/>
    </row>
    <row r="1210" spans="1:33" s="995" customFormat="1">
      <c r="A1210" s="974"/>
      <c r="D1210" s="876"/>
      <c r="E1210" s="974"/>
      <c r="F1210" s="876"/>
      <c r="G1210" s="876"/>
      <c r="H1210" s="876"/>
      <c r="I1210" s="876"/>
      <c r="J1210" s="876"/>
      <c r="K1210" s="876"/>
      <c r="L1210" s="876"/>
      <c r="M1210" s="876"/>
      <c r="N1210" s="876"/>
      <c r="O1210" s="876"/>
      <c r="P1210" s="876"/>
      <c r="Q1210" s="870"/>
      <c r="R1210" s="870"/>
      <c r="S1210" s="870"/>
      <c r="T1210" s="870"/>
      <c r="U1210" s="870"/>
      <c r="V1210" s="870"/>
      <c r="W1210" s="870"/>
      <c r="X1210" s="870"/>
      <c r="Y1210" s="870"/>
      <c r="Z1210" s="870"/>
      <c r="AA1210" s="870"/>
      <c r="AB1210" s="870"/>
      <c r="AC1210" s="870"/>
      <c r="AD1210" s="870"/>
      <c r="AE1210" s="870"/>
      <c r="AF1210" s="870"/>
      <c r="AG1210" s="870"/>
    </row>
    <row r="1211" spans="1:33" s="995" customFormat="1">
      <c r="A1211" s="974"/>
      <c r="D1211" s="876"/>
      <c r="E1211" s="974"/>
      <c r="F1211" s="876"/>
      <c r="G1211" s="876"/>
      <c r="H1211" s="876"/>
      <c r="I1211" s="876"/>
      <c r="J1211" s="876"/>
      <c r="K1211" s="876"/>
      <c r="L1211" s="876"/>
      <c r="M1211" s="876"/>
      <c r="N1211" s="876"/>
      <c r="O1211" s="876"/>
      <c r="P1211" s="876"/>
      <c r="Q1211" s="870"/>
      <c r="R1211" s="870"/>
      <c r="S1211" s="870"/>
      <c r="T1211" s="870"/>
      <c r="U1211" s="870"/>
      <c r="V1211" s="870"/>
      <c r="W1211" s="870"/>
      <c r="X1211" s="870"/>
      <c r="Y1211" s="870"/>
      <c r="Z1211" s="870"/>
      <c r="AA1211" s="870"/>
      <c r="AB1211" s="870"/>
      <c r="AC1211" s="870"/>
      <c r="AD1211" s="870"/>
      <c r="AE1211" s="870"/>
      <c r="AF1211" s="870"/>
      <c r="AG1211" s="870"/>
    </row>
    <row r="1212" spans="1:33" s="995" customFormat="1">
      <c r="A1212" s="974"/>
      <c r="D1212" s="876"/>
      <c r="E1212" s="974"/>
      <c r="F1212" s="876"/>
      <c r="G1212" s="876"/>
      <c r="H1212" s="876"/>
      <c r="I1212" s="876"/>
      <c r="J1212" s="876"/>
      <c r="K1212" s="876"/>
      <c r="L1212" s="876"/>
      <c r="M1212" s="876"/>
      <c r="N1212" s="876"/>
      <c r="O1212" s="876"/>
      <c r="P1212" s="876"/>
      <c r="Q1212" s="870"/>
      <c r="R1212" s="870"/>
      <c r="S1212" s="870"/>
      <c r="T1212" s="870"/>
      <c r="U1212" s="870"/>
      <c r="V1212" s="870"/>
      <c r="W1212" s="870"/>
      <c r="X1212" s="870"/>
      <c r="Y1212" s="870"/>
      <c r="Z1212" s="870"/>
      <c r="AA1212" s="870"/>
      <c r="AB1212" s="870"/>
      <c r="AC1212" s="870"/>
      <c r="AD1212" s="870"/>
      <c r="AE1212" s="870"/>
      <c r="AF1212" s="870"/>
      <c r="AG1212" s="870"/>
    </row>
    <row r="1213" spans="1:33" s="995" customFormat="1">
      <c r="A1213" s="974"/>
      <c r="D1213" s="876"/>
      <c r="E1213" s="974"/>
      <c r="F1213" s="876"/>
      <c r="G1213" s="876"/>
      <c r="H1213" s="876"/>
      <c r="I1213" s="876"/>
      <c r="J1213" s="876"/>
      <c r="K1213" s="876"/>
      <c r="L1213" s="876"/>
      <c r="M1213" s="876"/>
      <c r="N1213" s="876"/>
      <c r="O1213" s="876"/>
      <c r="P1213" s="876"/>
      <c r="Q1213" s="870"/>
      <c r="R1213" s="870"/>
      <c r="S1213" s="870"/>
      <c r="T1213" s="870"/>
      <c r="U1213" s="870"/>
      <c r="V1213" s="870"/>
      <c r="W1213" s="870"/>
      <c r="X1213" s="870"/>
      <c r="Y1213" s="870"/>
      <c r="Z1213" s="870"/>
      <c r="AA1213" s="870"/>
      <c r="AB1213" s="870"/>
      <c r="AC1213" s="870"/>
      <c r="AD1213" s="870"/>
      <c r="AE1213" s="870"/>
      <c r="AF1213" s="870"/>
      <c r="AG1213" s="870"/>
    </row>
    <row r="1214" spans="1:33" s="995" customFormat="1">
      <c r="A1214" s="974"/>
      <c r="D1214" s="876"/>
      <c r="E1214" s="974"/>
      <c r="F1214" s="876"/>
      <c r="G1214" s="876"/>
      <c r="H1214" s="876"/>
      <c r="I1214" s="876"/>
      <c r="J1214" s="876"/>
      <c r="K1214" s="876"/>
      <c r="L1214" s="876"/>
      <c r="M1214" s="876"/>
      <c r="N1214" s="876"/>
      <c r="O1214" s="876"/>
      <c r="P1214" s="876"/>
      <c r="Q1214" s="870"/>
      <c r="R1214" s="870"/>
      <c r="S1214" s="870"/>
      <c r="T1214" s="870"/>
      <c r="U1214" s="870"/>
      <c r="V1214" s="870"/>
      <c r="W1214" s="870"/>
      <c r="X1214" s="870"/>
      <c r="Y1214" s="870"/>
      <c r="Z1214" s="870"/>
      <c r="AA1214" s="870"/>
      <c r="AB1214" s="870"/>
      <c r="AC1214" s="870"/>
      <c r="AD1214" s="870"/>
      <c r="AE1214" s="870"/>
      <c r="AF1214" s="870"/>
      <c r="AG1214" s="870"/>
    </row>
    <row r="1215" spans="1:33" s="995" customFormat="1">
      <c r="A1215" s="974"/>
      <c r="D1215" s="876"/>
      <c r="E1215" s="974"/>
      <c r="F1215" s="876"/>
      <c r="G1215" s="876"/>
      <c r="H1215" s="876"/>
      <c r="I1215" s="876"/>
      <c r="J1215" s="876"/>
      <c r="K1215" s="876"/>
      <c r="L1215" s="876"/>
      <c r="M1215" s="876"/>
      <c r="N1215" s="876"/>
      <c r="O1215" s="876"/>
      <c r="P1215" s="876"/>
      <c r="Q1215" s="870"/>
      <c r="R1215" s="870"/>
      <c r="S1215" s="870"/>
      <c r="T1215" s="870"/>
      <c r="U1215" s="870"/>
      <c r="V1215" s="870"/>
      <c r="W1215" s="870"/>
      <c r="X1215" s="870"/>
      <c r="Y1215" s="870"/>
      <c r="Z1215" s="870"/>
      <c r="AA1215" s="870"/>
      <c r="AB1215" s="870"/>
      <c r="AC1215" s="870"/>
      <c r="AD1215" s="870"/>
      <c r="AE1215" s="870"/>
      <c r="AF1215" s="870"/>
      <c r="AG1215" s="870"/>
    </row>
    <row r="1216" spans="1:33" s="995" customFormat="1">
      <c r="A1216" s="974"/>
      <c r="D1216" s="876"/>
      <c r="E1216" s="974"/>
      <c r="F1216" s="876"/>
      <c r="G1216" s="876"/>
      <c r="H1216" s="876"/>
      <c r="I1216" s="876"/>
      <c r="J1216" s="876"/>
      <c r="K1216" s="876"/>
      <c r="L1216" s="876"/>
      <c r="M1216" s="876"/>
      <c r="N1216" s="876"/>
      <c r="O1216" s="876"/>
      <c r="P1216" s="876"/>
      <c r="Q1216" s="870"/>
      <c r="R1216" s="870"/>
      <c r="S1216" s="870"/>
      <c r="T1216" s="870"/>
      <c r="U1216" s="870"/>
      <c r="V1216" s="870"/>
      <c r="W1216" s="870"/>
      <c r="X1216" s="870"/>
      <c r="Y1216" s="870"/>
      <c r="Z1216" s="870"/>
      <c r="AA1216" s="870"/>
      <c r="AB1216" s="870"/>
      <c r="AC1216" s="870"/>
      <c r="AD1216" s="870"/>
      <c r="AE1216" s="870"/>
      <c r="AF1216" s="870"/>
      <c r="AG1216" s="870"/>
    </row>
    <row r="1217" spans="1:33" s="995" customFormat="1">
      <c r="A1217" s="974"/>
      <c r="D1217" s="876"/>
      <c r="E1217" s="974"/>
      <c r="F1217" s="876"/>
      <c r="G1217" s="876"/>
      <c r="H1217" s="876"/>
      <c r="I1217" s="876"/>
      <c r="J1217" s="876"/>
      <c r="K1217" s="876"/>
      <c r="L1217" s="876"/>
      <c r="M1217" s="876"/>
      <c r="N1217" s="876"/>
      <c r="O1217" s="876"/>
      <c r="P1217" s="876"/>
      <c r="Q1217" s="870"/>
      <c r="R1217" s="870"/>
      <c r="S1217" s="870"/>
      <c r="T1217" s="870"/>
      <c r="U1217" s="870"/>
      <c r="V1217" s="870"/>
      <c r="W1217" s="870"/>
      <c r="X1217" s="870"/>
      <c r="Y1217" s="870"/>
      <c r="Z1217" s="870"/>
      <c r="AA1217" s="870"/>
      <c r="AB1217" s="870"/>
      <c r="AC1217" s="870"/>
      <c r="AD1217" s="870"/>
      <c r="AE1217" s="870"/>
      <c r="AF1217" s="870"/>
      <c r="AG1217" s="870"/>
    </row>
    <row r="1218" spans="1:33" s="995" customFormat="1">
      <c r="A1218" s="974"/>
      <c r="D1218" s="876"/>
      <c r="E1218" s="974"/>
      <c r="F1218" s="876"/>
      <c r="G1218" s="876"/>
      <c r="H1218" s="876"/>
      <c r="I1218" s="876"/>
      <c r="J1218" s="876"/>
      <c r="K1218" s="876"/>
      <c r="L1218" s="876"/>
      <c r="M1218" s="876"/>
      <c r="N1218" s="876"/>
      <c r="O1218" s="876"/>
      <c r="P1218" s="876"/>
      <c r="Q1218" s="870"/>
      <c r="R1218" s="870"/>
      <c r="S1218" s="870"/>
      <c r="T1218" s="870"/>
      <c r="U1218" s="870"/>
      <c r="V1218" s="870"/>
      <c r="W1218" s="870"/>
      <c r="X1218" s="870"/>
      <c r="Y1218" s="870"/>
      <c r="Z1218" s="870"/>
      <c r="AA1218" s="870"/>
      <c r="AB1218" s="870"/>
      <c r="AC1218" s="870"/>
      <c r="AD1218" s="870"/>
      <c r="AE1218" s="870"/>
      <c r="AF1218" s="870"/>
      <c r="AG1218" s="870"/>
    </row>
    <row r="1219" spans="1:33" s="995" customFormat="1">
      <c r="A1219" s="974"/>
      <c r="D1219" s="876"/>
      <c r="E1219" s="974"/>
      <c r="F1219" s="876"/>
      <c r="G1219" s="876"/>
      <c r="H1219" s="876"/>
      <c r="I1219" s="876"/>
      <c r="J1219" s="876"/>
      <c r="K1219" s="876"/>
      <c r="L1219" s="876"/>
      <c r="M1219" s="876"/>
      <c r="N1219" s="876"/>
      <c r="O1219" s="876"/>
      <c r="P1219" s="876"/>
      <c r="Q1219" s="870"/>
      <c r="R1219" s="870"/>
      <c r="S1219" s="870"/>
      <c r="T1219" s="870"/>
      <c r="U1219" s="870"/>
      <c r="V1219" s="870"/>
      <c r="W1219" s="870"/>
      <c r="X1219" s="870"/>
      <c r="Y1219" s="870"/>
      <c r="Z1219" s="870"/>
      <c r="AA1219" s="870"/>
      <c r="AB1219" s="870"/>
      <c r="AC1219" s="870"/>
      <c r="AD1219" s="870"/>
      <c r="AE1219" s="870"/>
      <c r="AF1219" s="870"/>
      <c r="AG1219" s="870"/>
    </row>
    <row r="1220" spans="1:33" s="995" customFormat="1">
      <c r="A1220" s="974"/>
      <c r="D1220" s="876"/>
      <c r="E1220" s="974"/>
      <c r="F1220" s="876"/>
      <c r="G1220" s="876"/>
      <c r="H1220" s="876"/>
      <c r="I1220" s="876"/>
      <c r="J1220" s="876"/>
      <c r="K1220" s="876"/>
      <c r="L1220" s="876"/>
      <c r="M1220" s="876"/>
      <c r="N1220" s="876"/>
      <c r="O1220" s="876"/>
      <c r="P1220" s="876"/>
      <c r="Q1220" s="870"/>
      <c r="R1220" s="870"/>
      <c r="S1220" s="870"/>
      <c r="T1220" s="870"/>
      <c r="U1220" s="870"/>
      <c r="V1220" s="870"/>
      <c r="W1220" s="870"/>
      <c r="X1220" s="870"/>
      <c r="Y1220" s="870"/>
      <c r="Z1220" s="870"/>
      <c r="AA1220" s="870"/>
      <c r="AB1220" s="870"/>
      <c r="AC1220" s="870"/>
      <c r="AD1220" s="870"/>
      <c r="AE1220" s="870"/>
      <c r="AF1220" s="870"/>
      <c r="AG1220" s="870"/>
    </row>
    <row r="1221" spans="1:33" s="995" customFormat="1">
      <c r="A1221" s="974"/>
      <c r="D1221" s="876"/>
      <c r="E1221" s="974"/>
      <c r="F1221" s="876"/>
      <c r="G1221" s="876"/>
      <c r="H1221" s="876"/>
      <c r="I1221" s="876"/>
      <c r="J1221" s="876"/>
      <c r="K1221" s="876"/>
      <c r="L1221" s="876"/>
      <c r="M1221" s="876"/>
      <c r="N1221" s="876"/>
      <c r="O1221" s="876"/>
      <c r="P1221" s="876"/>
      <c r="Q1221" s="870"/>
      <c r="R1221" s="870"/>
      <c r="S1221" s="870"/>
      <c r="T1221" s="870"/>
      <c r="U1221" s="870"/>
      <c r="V1221" s="870"/>
      <c r="W1221" s="870"/>
      <c r="X1221" s="870"/>
      <c r="Y1221" s="870"/>
      <c r="Z1221" s="870"/>
      <c r="AA1221" s="870"/>
      <c r="AB1221" s="870"/>
      <c r="AC1221" s="870"/>
      <c r="AD1221" s="870"/>
      <c r="AE1221" s="870"/>
      <c r="AF1221" s="870"/>
      <c r="AG1221" s="870"/>
    </row>
    <row r="1222" spans="1:33" s="995" customFormat="1">
      <c r="A1222" s="974"/>
      <c r="D1222" s="876"/>
      <c r="E1222" s="974"/>
      <c r="F1222" s="876"/>
      <c r="G1222" s="876"/>
      <c r="H1222" s="876"/>
      <c r="I1222" s="876"/>
      <c r="J1222" s="876"/>
      <c r="K1222" s="876"/>
      <c r="L1222" s="876"/>
      <c r="M1222" s="876"/>
      <c r="N1222" s="876"/>
      <c r="O1222" s="876"/>
      <c r="P1222" s="876"/>
      <c r="Q1222" s="870"/>
      <c r="R1222" s="870"/>
      <c r="S1222" s="870"/>
      <c r="T1222" s="870"/>
      <c r="U1222" s="870"/>
      <c r="V1222" s="870"/>
      <c r="W1222" s="870"/>
      <c r="X1222" s="870"/>
      <c r="Y1222" s="870"/>
      <c r="Z1222" s="870"/>
      <c r="AA1222" s="870"/>
      <c r="AB1222" s="870"/>
      <c r="AC1222" s="870"/>
      <c r="AD1222" s="870"/>
      <c r="AE1222" s="870"/>
      <c r="AF1222" s="870"/>
      <c r="AG1222" s="870"/>
    </row>
    <row r="1223" spans="1:33" s="995" customFormat="1">
      <c r="A1223" s="974"/>
      <c r="D1223" s="876"/>
      <c r="E1223" s="974"/>
      <c r="F1223" s="876"/>
      <c r="G1223" s="876"/>
      <c r="H1223" s="876"/>
      <c r="I1223" s="876"/>
      <c r="J1223" s="876"/>
      <c r="K1223" s="876"/>
      <c r="L1223" s="876"/>
      <c r="M1223" s="876"/>
      <c r="N1223" s="876"/>
      <c r="O1223" s="876"/>
      <c r="P1223" s="876"/>
      <c r="Q1223" s="870"/>
      <c r="R1223" s="870"/>
      <c r="S1223" s="870"/>
      <c r="T1223" s="870"/>
      <c r="U1223" s="870"/>
      <c r="V1223" s="870"/>
      <c r="W1223" s="870"/>
      <c r="X1223" s="870"/>
      <c r="Y1223" s="870"/>
      <c r="Z1223" s="870"/>
      <c r="AA1223" s="870"/>
      <c r="AB1223" s="870"/>
      <c r="AC1223" s="870"/>
      <c r="AD1223" s="870"/>
      <c r="AE1223" s="870"/>
      <c r="AF1223" s="870"/>
      <c r="AG1223" s="870"/>
    </row>
    <row r="1224" spans="1:33" s="995" customFormat="1">
      <c r="A1224" s="974"/>
      <c r="D1224" s="876"/>
      <c r="E1224" s="974"/>
      <c r="F1224" s="876"/>
      <c r="G1224" s="876"/>
      <c r="H1224" s="876"/>
      <c r="I1224" s="876"/>
      <c r="J1224" s="876"/>
      <c r="K1224" s="876"/>
      <c r="L1224" s="876"/>
      <c r="M1224" s="876"/>
      <c r="N1224" s="876"/>
      <c r="O1224" s="876"/>
      <c r="P1224" s="876"/>
      <c r="Q1224" s="870"/>
      <c r="R1224" s="870"/>
      <c r="S1224" s="870"/>
      <c r="T1224" s="870"/>
      <c r="U1224" s="870"/>
      <c r="V1224" s="870"/>
      <c r="W1224" s="870"/>
      <c r="X1224" s="870"/>
      <c r="Y1224" s="870"/>
      <c r="Z1224" s="870"/>
      <c r="AA1224" s="870"/>
      <c r="AB1224" s="870"/>
      <c r="AC1224" s="870"/>
      <c r="AD1224" s="870"/>
      <c r="AE1224" s="870"/>
      <c r="AF1224" s="870"/>
      <c r="AG1224" s="870"/>
    </row>
    <row r="1225" spans="1:33" s="995" customFormat="1">
      <c r="A1225" s="974"/>
      <c r="D1225" s="876"/>
      <c r="E1225" s="974"/>
      <c r="F1225" s="876"/>
      <c r="G1225" s="876"/>
      <c r="H1225" s="876"/>
      <c r="I1225" s="876"/>
      <c r="J1225" s="876"/>
      <c r="K1225" s="876"/>
      <c r="L1225" s="876"/>
      <c r="M1225" s="876"/>
      <c r="N1225" s="876"/>
      <c r="O1225" s="876"/>
      <c r="P1225" s="876"/>
      <c r="Q1225" s="870"/>
      <c r="R1225" s="870"/>
      <c r="S1225" s="870"/>
      <c r="T1225" s="870"/>
      <c r="U1225" s="870"/>
      <c r="V1225" s="870"/>
      <c r="W1225" s="870"/>
      <c r="X1225" s="870"/>
      <c r="Y1225" s="870"/>
      <c r="Z1225" s="870"/>
      <c r="AA1225" s="870"/>
      <c r="AB1225" s="870"/>
      <c r="AC1225" s="870"/>
      <c r="AD1225" s="870"/>
      <c r="AE1225" s="870"/>
      <c r="AF1225" s="870"/>
      <c r="AG1225" s="870"/>
    </row>
    <row r="1226" spans="1:33" s="995" customFormat="1">
      <c r="A1226" s="974"/>
      <c r="D1226" s="876"/>
      <c r="E1226" s="974"/>
      <c r="F1226" s="876"/>
      <c r="G1226" s="876"/>
      <c r="H1226" s="876"/>
      <c r="I1226" s="876"/>
      <c r="J1226" s="876"/>
      <c r="K1226" s="876"/>
      <c r="L1226" s="876"/>
      <c r="M1226" s="876"/>
      <c r="N1226" s="876"/>
      <c r="O1226" s="876"/>
      <c r="P1226" s="876"/>
      <c r="Q1226" s="870"/>
      <c r="R1226" s="870"/>
      <c r="S1226" s="870"/>
      <c r="T1226" s="870"/>
      <c r="U1226" s="870"/>
      <c r="V1226" s="870"/>
      <c r="W1226" s="870"/>
      <c r="X1226" s="870"/>
      <c r="Y1226" s="870"/>
      <c r="Z1226" s="870"/>
      <c r="AA1226" s="870"/>
      <c r="AB1226" s="870"/>
      <c r="AC1226" s="870"/>
      <c r="AD1226" s="870"/>
      <c r="AE1226" s="870"/>
      <c r="AF1226" s="870"/>
      <c r="AG1226" s="870"/>
    </row>
    <row r="1227" spans="1:33" s="995" customFormat="1">
      <c r="A1227" s="974"/>
      <c r="D1227" s="876"/>
      <c r="E1227" s="974"/>
      <c r="F1227" s="876"/>
      <c r="G1227" s="876"/>
      <c r="H1227" s="876"/>
      <c r="I1227" s="876"/>
      <c r="J1227" s="876"/>
      <c r="K1227" s="876"/>
      <c r="L1227" s="876"/>
      <c r="M1227" s="876"/>
      <c r="N1227" s="876"/>
      <c r="O1227" s="876"/>
      <c r="P1227" s="876"/>
      <c r="Q1227" s="870"/>
      <c r="R1227" s="870"/>
      <c r="S1227" s="870"/>
      <c r="T1227" s="870"/>
      <c r="U1227" s="870"/>
      <c r="V1227" s="870"/>
      <c r="W1227" s="870"/>
      <c r="X1227" s="870"/>
      <c r="Y1227" s="870"/>
      <c r="Z1227" s="870"/>
      <c r="AA1227" s="870"/>
      <c r="AB1227" s="870"/>
      <c r="AC1227" s="870"/>
      <c r="AD1227" s="870"/>
      <c r="AE1227" s="870"/>
      <c r="AF1227" s="870"/>
      <c r="AG1227" s="870"/>
    </row>
    <row r="1228" spans="1:33" s="995" customFormat="1">
      <c r="A1228" s="974"/>
      <c r="D1228" s="876"/>
      <c r="E1228" s="974"/>
      <c r="F1228" s="876"/>
      <c r="G1228" s="876"/>
      <c r="H1228" s="876"/>
      <c r="I1228" s="876"/>
      <c r="J1228" s="876"/>
      <c r="K1228" s="876"/>
      <c r="L1228" s="876"/>
      <c r="M1228" s="876"/>
      <c r="N1228" s="876"/>
      <c r="O1228" s="876"/>
      <c r="P1228" s="876"/>
      <c r="Q1228" s="870"/>
      <c r="R1228" s="870"/>
      <c r="S1228" s="870"/>
      <c r="T1228" s="870"/>
      <c r="U1228" s="870"/>
      <c r="V1228" s="870"/>
      <c r="W1228" s="870"/>
      <c r="X1228" s="870"/>
      <c r="Y1228" s="870"/>
      <c r="Z1228" s="870"/>
      <c r="AA1228" s="870"/>
      <c r="AB1228" s="870"/>
      <c r="AC1228" s="870"/>
      <c r="AD1228" s="870"/>
      <c r="AE1228" s="870"/>
      <c r="AF1228" s="870"/>
      <c r="AG1228" s="870"/>
    </row>
    <row r="1229" spans="1:33" s="995" customFormat="1">
      <c r="A1229" s="974"/>
      <c r="D1229" s="876"/>
      <c r="E1229" s="974"/>
      <c r="F1229" s="876"/>
      <c r="G1229" s="876"/>
      <c r="H1229" s="876"/>
      <c r="I1229" s="876"/>
      <c r="J1229" s="876"/>
      <c r="K1229" s="876"/>
      <c r="L1229" s="876"/>
      <c r="M1229" s="876"/>
      <c r="N1229" s="876"/>
      <c r="O1229" s="876"/>
      <c r="P1229" s="876"/>
      <c r="Q1229" s="870"/>
      <c r="R1229" s="870"/>
      <c r="S1229" s="870"/>
      <c r="T1229" s="870"/>
      <c r="U1229" s="870"/>
      <c r="V1229" s="870"/>
      <c r="W1229" s="870"/>
      <c r="X1229" s="870"/>
      <c r="Y1229" s="870"/>
      <c r="Z1229" s="870"/>
      <c r="AA1229" s="870"/>
      <c r="AB1229" s="870"/>
      <c r="AC1229" s="870"/>
      <c r="AD1229" s="870"/>
      <c r="AE1229" s="870"/>
      <c r="AF1229" s="870"/>
      <c r="AG1229" s="870"/>
    </row>
    <row r="1230" spans="1:33" s="995" customFormat="1">
      <c r="A1230" s="974"/>
      <c r="D1230" s="876"/>
      <c r="E1230" s="974"/>
      <c r="F1230" s="876"/>
      <c r="G1230" s="876"/>
      <c r="H1230" s="876"/>
      <c r="I1230" s="876"/>
      <c r="J1230" s="876"/>
      <c r="K1230" s="876"/>
      <c r="L1230" s="876"/>
      <c r="M1230" s="876"/>
      <c r="N1230" s="876"/>
      <c r="O1230" s="876"/>
      <c r="P1230" s="876"/>
      <c r="Q1230" s="870"/>
      <c r="R1230" s="870"/>
      <c r="S1230" s="870"/>
      <c r="T1230" s="870"/>
      <c r="U1230" s="870"/>
      <c r="V1230" s="870"/>
      <c r="W1230" s="870"/>
      <c r="X1230" s="870"/>
      <c r="Y1230" s="870"/>
      <c r="Z1230" s="870"/>
      <c r="AA1230" s="870"/>
      <c r="AB1230" s="870"/>
      <c r="AC1230" s="870"/>
      <c r="AD1230" s="870"/>
      <c r="AE1230" s="870"/>
      <c r="AF1230" s="870"/>
      <c r="AG1230" s="870"/>
    </row>
    <row r="1231" spans="1:33" s="995" customFormat="1">
      <c r="A1231" s="974"/>
      <c r="D1231" s="876"/>
      <c r="E1231" s="974"/>
      <c r="F1231" s="876"/>
      <c r="G1231" s="876"/>
      <c r="H1231" s="876"/>
      <c r="I1231" s="876"/>
      <c r="J1231" s="876"/>
      <c r="K1231" s="876"/>
      <c r="L1231" s="876"/>
      <c r="M1231" s="876"/>
      <c r="N1231" s="876"/>
      <c r="O1231" s="876"/>
      <c r="P1231" s="876"/>
      <c r="Q1231" s="870"/>
      <c r="R1231" s="870"/>
      <c r="S1231" s="870"/>
      <c r="T1231" s="870"/>
      <c r="U1231" s="870"/>
      <c r="V1231" s="870"/>
      <c r="W1231" s="870"/>
      <c r="X1231" s="870"/>
      <c r="Y1231" s="870"/>
      <c r="Z1231" s="870"/>
      <c r="AA1231" s="870"/>
      <c r="AB1231" s="870"/>
      <c r="AC1231" s="870"/>
      <c r="AD1231" s="870"/>
      <c r="AE1231" s="870"/>
      <c r="AF1231" s="870"/>
      <c r="AG1231" s="870"/>
    </row>
    <row r="1232" spans="1:33" s="995" customFormat="1">
      <c r="A1232" s="974"/>
      <c r="D1232" s="876"/>
      <c r="E1232" s="974"/>
      <c r="F1232" s="876"/>
      <c r="G1232" s="876"/>
      <c r="H1232" s="876"/>
      <c r="I1232" s="876"/>
      <c r="J1232" s="876"/>
      <c r="K1232" s="876"/>
      <c r="L1232" s="876"/>
      <c r="M1232" s="876"/>
      <c r="N1232" s="876"/>
      <c r="O1232" s="876"/>
      <c r="P1232" s="876"/>
      <c r="Q1232" s="870"/>
      <c r="R1232" s="870"/>
      <c r="S1232" s="870"/>
      <c r="T1232" s="870"/>
      <c r="U1232" s="870"/>
      <c r="V1232" s="870"/>
      <c r="W1232" s="870"/>
      <c r="X1232" s="870"/>
      <c r="Y1232" s="870"/>
      <c r="Z1232" s="870"/>
      <c r="AA1232" s="870"/>
      <c r="AB1232" s="870"/>
      <c r="AC1232" s="870"/>
      <c r="AD1232" s="870"/>
      <c r="AE1232" s="870"/>
      <c r="AF1232" s="870"/>
      <c r="AG1232" s="870"/>
    </row>
    <row r="1233" spans="1:33" s="995" customFormat="1">
      <c r="A1233" s="974"/>
      <c r="D1233" s="876"/>
      <c r="E1233" s="974"/>
      <c r="F1233" s="876"/>
      <c r="G1233" s="876"/>
      <c r="H1233" s="876"/>
      <c r="I1233" s="876"/>
      <c r="J1233" s="876"/>
      <c r="K1233" s="876"/>
      <c r="L1233" s="876"/>
      <c r="M1233" s="876"/>
      <c r="N1233" s="876"/>
      <c r="O1233" s="876"/>
      <c r="P1233" s="876"/>
      <c r="Q1233" s="870"/>
      <c r="R1233" s="870"/>
      <c r="S1233" s="870"/>
      <c r="T1233" s="870"/>
      <c r="U1233" s="870"/>
      <c r="V1233" s="870"/>
      <c r="W1233" s="870"/>
      <c r="X1233" s="870"/>
      <c r="Y1233" s="870"/>
      <c r="Z1233" s="870"/>
      <c r="AA1233" s="870"/>
      <c r="AB1233" s="870"/>
      <c r="AC1233" s="870"/>
      <c r="AD1233" s="870"/>
      <c r="AE1233" s="870"/>
      <c r="AF1233" s="870"/>
      <c r="AG1233" s="870"/>
    </row>
    <row r="1234" spans="1:33" s="995" customFormat="1">
      <c r="A1234" s="974"/>
      <c r="D1234" s="876"/>
      <c r="E1234" s="974"/>
      <c r="F1234" s="876"/>
      <c r="G1234" s="876"/>
      <c r="H1234" s="876"/>
      <c r="I1234" s="876"/>
      <c r="J1234" s="876"/>
      <c r="K1234" s="876"/>
      <c r="L1234" s="876"/>
      <c r="M1234" s="876"/>
      <c r="N1234" s="876"/>
      <c r="O1234" s="876"/>
      <c r="P1234" s="876"/>
      <c r="Q1234" s="870"/>
      <c r="R1234" s="870"/>
      <c r="S1234" s="870"/>
      <c r="T1234" s="870"/>
      <c r="U1234" s="870"/>
      <c r="V1234" s="870"/>
      <c r="W1234" s="870"/>
      <c r="X1234" s="870"/>
      <c r="Y1234" s="870"/>
      <c r="Z1234" s="870"/>
      <c r="AA1234" s="870"/>
      <c r="AB1234" s="870"/>
      <c r="AC1234" s="870"/>
      <c r="AD1234" s="870"/>
      <c r="AE1234" s="870"/>
      <c r="AF1234" s="870"/>
      <c r="AG1234" s="870"/>
    </row>
    <row r="1235" spans="1:33" s="995" customFormat="1">
      <c r="A1235" s="974"/>
      <c r="D1235" s="876"/>
      <c r="E1235" s="974"/>
      <c r="F1235" s="876"/>
      <c r="G1235" s="876"/>
      <c r="H1235" s="876"/>
      <c r="I1235" s="876"/>
      <c r="J1235" s="876"/>
      <c r="K1235" s="876"/>
      <c r="L1235" s="876"/>
      <c r="M1235" s="876"/>
      <c r="N1235" s="876"/>
      <c r="O1235" s="876"/>
      <c r="P1235" s="876"/>
      <c r="Q1235" s="870"/>
      <c r="R1235" s="870"/>
      <c r="S1235" s="870"/>
      <c r="T1235" s="870"/>
      <c r="U1235" s="870"/>
      <c r="V1235" s="870"/>
      <c r="W1235" s="870"/>
      <c r="X1235" s="870"/>
      <c r="Y1235" s="870"/>
      <c r="Z1235" s="870"/>
      <c r="AA1235" s="870"/>
      <c r="AB1235" s="870"/>
      <c r="AC1235" s="870"/>
      <c r="AD1235" s="870"/>
      <c r="AE1235" s="870"/>
      <c r="AF1235" s="870"/>
      <c r="AG1235" s="870"/>
    </row>
    <row r="1236" spans="1:33" s="995" customFormat="1">
      <c r="A1236" s="974"/>
      <c r="D1236" s="876"/>
      <c r="E1236" s="974"/>
      <c r="F1236" s="876"/>
      <c r="G1236" s="876"/>
      <c r="H1236" s="876"/>
      <c r="I1236" s="876"/>
      <c r="J1236" s="876"/>
      <c r="K1236" s="876"/>
      <c r="L1236" s="876"/>
      <c r="M1236" s="876"/>
      <c r="N1236" s="876"/>
      <c r="O1236" s="876"/>
      <c r="P1236" s="876"/>
      <c r="Q1236" s="870"/>
      <c r="R1236" s="870"/>
      <c r="S1236" s="870"/>
      <c r="T1236" s="870"/>
      <c r="U1236" s="870"/>
      <c r="V1236" s="870"/>
      <c r="W1236" s="870"/>
      <c r="X1236" s="870"/>
      <c r="Y1236" s="870"/>
      <c r="Z1236" s="870"/>
      <c r="AA1236" s="870"/>
      <c r="AB1236" s="870"/>
      <c r="AC1236" s="870"/>
      <c r="AD1236" s="870"/>
      <c r="AE1236" s="870"/>
      <c r="AF1236" s="870"/>
      <c r="AG1236" s="870"/>
    </row>
    <row r="1237" spans="1:33" s="995" customFormat="1">
      <c r="A1237" s="974"/>
      <c r="D1237" s="876"/>
      <c r="E1237" s="974"/>
      <c r="F1237" s="876"/>
      <c r="G1237" s="876"/>
      <c r="H1237" s="876"/>
      <c r="I1237" s="876"/>
      <c r="J1237" s="876"/>
      <c r="K1237" s="876"/>
      <c r="L1237" s="876"/>
      <c r="M1237" s="876"/>
      <c r="N1237" s="876"/>
      <c r="O1237" s="876"/>
      <c r="P1237" s="876"/>
      <c r="Q1237" s="870"/>
      <c r="R1237" s="870"/>
      <c r="S1237" s="870"/>
      <c r="T1237" s="870"/>
      <c r="U1237" s="870"/>
      <c r="V1237" s="870"/>
      <c r="W1237" s="870"/>
      <c r="X1237" s="870"/>
      <c r="Y1237" s="870"/>
      <c r="Z1237" s="870"/>
      <c r="AA1237" s="870"/>
      <c r="AB1237" s="870"/>
      <c r="AC1237" s="870"/>
      <c r="AD1237" s="870"/>
      <c r="AE1237" s="870"/>
      <c r="AF1237" s="870"/>
      <c r="AG1237" s="870"/>
    </row>
    <row r="1238" spans="1:33" s="995" customFormat="1">
      <c r="A1238" s="974"/>
      <c r="D1238" s="876"/>
      <c r="E1238" s="974"/>
      <c r="F1238" s="876"/>
      <c r="G1238" s="876"/>
      <c r="H1238" s="876"/>
      <c r="I1238" s="876"/>
      <c r="J1238" s="876"/>
      <c r="K1238" s="876"/>
      <c r="L1238" s="876"/>
      <c r="M1238" s="876"/>
      <c r="N1238" s="876"/>
      <c r="O1238" s="876"/>
      <c r="P1238" s="876"/>
      <c r="Q1238" s="870"/>
      <c r="R1238" s="870"/>
      <c r="S1238" s="870"/>
      <c r="T1238" s="870"/>
      <c r="U1238" s="870"/>
      <c r="V1238" s="870"/>
      <c r="W1238" s="870"/>
      <c r="X1238" s="870"/>
      <c r="Y1238" s="870"/>
      <c r="Z1238" s="870"/>
      <c r="AA1238" s="870"/>
      <c r="AB1238" s="870"/>
      <c r="AC1238" s="870"/>
      <c r="AD1238" s="870"/>
      <c r="AE1238" s="870"/>
      <c r="AF1238" s="870"/>
      <c r="AG1238" s="870"/>
    </row>
    <row r="1239" spans="1:33" s="995" customFormat="1">
      <c r="A1239" s="974"/>
      <c r="D1239" s="876"/>
      <c r="E1239" s="974"/>
      <c r="F1239" s="876"/>
      <c r="G1239" s="876"/>
      <c r="H1239" s="876"/>
      <c r="I1239" s="876"/>
      <c r="J1239" s="876"/>
      <c r="K1239" s="876"/>
      <c r="L1239" s="876"/>
      <c r="M1239" s="876"/>
      <c r="N1239" s="876"/>
      <c r="O1239" s="876"/>
      <c r="P1239" s="876"/>
      <c r="Q1239" s="870"/>
      <c r="R1239" s="870"/>
      <c r="S1239" s="870"/>
      <c r="T1239" s="870"/>
      <c r="U1239" s="870"/>
      <c r="V1239" s="870"/>
      <c r="W1239" s="870"/>
      <c r="X1239" s="870"/>
      <c r="Y1239" s="870"/>
      <c r="Z1239" s="870"/>
      <c r="AA1239" s="870"/>
      <c r="AB1239" s="870"/>
      <c r="AC1239" s="870"/>
      <c r="AD1239" s="870"/>
      <c r="AE1239" s="870"/>
      <c r="AF1239" s="870"/>
      <c r="AG1239" s="870"/>
    </row>
    <row r="1240" spans="1:33" s="995" customFormat="1">
      <c r="A1240" s="974"/>
      <c r="D1240" s="876"/>
      <c r="E1240" s="974"/>
      <c r="F1240" s="876"/>
      <c r="G1240" s="876"/>
      <c r="H1240" s="876"/>
      <c r="I1240" s="876"/>
      <c r="J1240" s="876"/>
      <c r="K1240" s="876"/>
      <c r="L1240" s="876"/>
      <c r="M1240" s="876"/>
      <c r="N1240" s="876"/>
      <c r="O1240" s="876"/>
      <c r="P1240" s="876"/>
      <c r="Q1240" s="870"/>
      <c r="R1240" s="870"/>
      <c r="S1240" s="870"/>
      <c r="T1240" s="870"/>
      <c r="U1240" s="870"/>
      <c r="V1240" s="870"/>
      <c r="W1240" s="870"/>
      <c r="X1240" s="870"/>
      <c r="Y1240" s="870"/>
      <c r="Z1240" s="870"/>
      <c r="AA1240" s="870"/>
      <c r="AB1240" s="870"/>
      <c r="AC1240" s="870"/>
      <c r="AD1240" s="870"/>
      <c r="AE1240" s="870"/>
      <c r="AF1240" s="870"/>
      <c r="AG1240" s="870"/>
    </row>
    <row r="1241" spans="1:33" s="995" customFormat="1">
      <c r="A1241" s="974"/>
      <c r="D1241" s="876"/>
      <c r="E1241" s="974"/>
      <c r="F1241" s="876"/>
      <c r="G1241" s="876"/>
      <c r="H1241" s="876"/>
      <c r="I1241" s="876"/>
      <c r="J1241" s="876"/>
      <c r="K1241" s="876"/>
      <c r="L1241" s="876"/>
      <c r="M1241" s="876"/>
      <c r="N1241" s="876"/>
      <c r="O1241" s="876"/>
      <c r="P1241" s="876"/>
      <c r="Q1241" s="870"/>
      <c r="R1241" s="870"/>
      <c r="S1241" s="870"/>
      <c r="T1241" s="870"/>
      <c r="U1241" s="870"/>
      <c r="V1241" s="870"/>
      <c r="W1241" s="870"/>
      <c r="X1241" s="870"/>
      <c r="Y1241" s="870"/>
      <c r="Z1241" s="870"/>
      <c r="AA1241" s="870"/>
      <c r="AB1241" s="870"/>
      <c r="AC1241" s="870"/>
      <c r="AD1241" s="870"/>
      <c r="AE1241" s="870"/>
      <c r="AF1241" s="870"/>
      <c r="AG1241" s="870"/>
    </row>
    <row r="1242" spans="1:33" s="995" customFormat="1">
      <c r="A1242" s="974"/>
      <c r="D1242" s="876"/>
      <c r="E1242" s="974"/>
      <c r="F1242" s="876"/>
      <c r="G1242" s="876"/>
      <c r="H1242" s="876"/>
      <c r="I1242" s="876"/>
      <c r="J1242" s="876"/>
      <c r="K1242" s="876"/>
      <c r="L1242" s="876"/>
      <c r="M1242" s="876"/>
      <c r="N1242" s="876"/>
      <c r="O1242" s="876"/>
      <c r="P1242" s="876"/>
      <c r="Q1242" s="870"/>
      <c r="R1242" s="870"/>
      <c r="S1242" s="870"/>
      <c r="T1242" s="870"/>
      <c r="U1242" s="870"/>
      <c r="V1242" s="870"/>
      <c r="W1242" s="870"/>
      <c r="X1242" s="870"/>
      <c r="Y1242" s="870"/>
      <c r="Z1242" s="870"/>
      <c r="AA1242" s="870"/>
      <c r="AB1242" s="870"/>
      <c r="AC1242" s="870"/>
      <c r="AD1242" s="870"/>
      <c r="AE1242" s="870"/>
      <c r="AF1242" s="870"/>
      <c r="AG1242" s="870"/>
    </row>
    <row r="1243" spans="1:33" s="995" customFormat="1">
      <c r="A1243" s="974"/>
      <c r="D1243" s="876"/>
      <c r="E1243" s="974"/>
      <c r="F1243" s="876"/>
      <c r="G1243" s="876"/>
      <c r="H1243" s="876"/>
      <c r="I1243" s="876"/>
      <c r="J1243" s="876"/>
      <c r="K1243" s="876"/>
      <c r="L1243" s="876"/>
      <c r="M1243" s="876"/>
      <c r="N1243" s="876"/>
      <c r="O1243" s="876"/>
      <c r="P1243" s="876"/>
      <c r="Q1243" s="870"/>
      <c r="R1243" s="870"/>
      <c r="S1243" s="870"/>
      <c r="T1243" s="870"/>
      <c r="U1243" s="870"/>
      <c r="V1243" s="870"/>
      <c r="W1243" s="870"/>
      <c r="X1243" s="870"/>
      <c r="Y1243" s="870"/>
      <c r="Z1243" s="870"/>
      <c r="AA1243" s="870"/>
      <c r="AB1243" s="870"/>
      <c r="AC1243" s="870"/>
      <c r="AD1243" s="870"/>
      <c r="AE1243" s="870"/>
      <c r="AF1243" s="870"/>
      <c r="AG1243" s="870"/>
    </row>
    <row r="1244" spans="1:33" s="995" customFormat="1">
      <c r="A1244" s="974"/>
      <c r="D1244" s="876"/>
      <c r="E1244" s="974"/>
      <c r="F1244" s="876"/>
      <c r="G1244" s="876"/>
      <c r="H1244" s="876"/>
      <c r="I1244" s="876"/>
      <c r="J1244" s="876"/>
      <c r="K1244" s="876"/>
      <c r="L1244" s="876"/>
      <c r="M1244" s="876"/>
      <c r="N1244" s="876"/>
      <c r="O1244" s="876"/>
      <c r="P1244" s="876"/>
      <c r="Q1244" s="870"/>
      <c r="R1244" s="870"/>
      <c r="S1244" s="870"/>
      <c r="T1244" s="870"/>
      <c r="U1244" s="870"/>
      <c r="V1244" s="870"/>
      <c r="W1244" s="870"/>
      <c r="X1244" s="870"/>
      <c r="Y1244" s="870"/>
      <c r="Z1244" s="870"/>
      <c r="AA1244" s="870"/>
      <c r="AB1244" s="870"/>
      <c r="AC1244" s="870"/>
      <c r="AD1244" s="870"/>
      <c r="AE1244" s="870"/>
      <c r="AF1244" s="870"/>
      <c r="AG1244" s="870"/>
    </row>
    <row r="1245" spans="1:33" s="995" customFormat="1">
      <c r="A1245" s="974"/>
      <c r="D1245" s="876"/>
      <c r="E1245" s="974"/>
      <c r="F1245" s="876"/>
      <c r="G1245" s="876"/>
      <c r="H1245" s="876"/>
      <c r="I1245" s="876"/>
      <c r="J1245" s="876"/>
      <c r="K1245" s="876"/>
      <c r="L1245" s="876"/>
      <c r="M1245" s="876"/>
      <c r="N1245" s="876"/>
      <c r="O1245" s="876"/>
      <c r="P1245" s="876"/>
      <c r="Q1245" s="870"/>
      <c r="R1245" s="870"/>
      <c r="S1245" s="870"/>
      <c r="T1245" s="870"/>
      <c r="U1245" s="870"/>
      <c r="V1245" s="870"/>
      <c r="W1245" s="870"/>
      <c r="X1245" s="870"/>
      <c r="Y1245" s="870"/>
      <c r="Z1245" s="870"/>
      <c r="AA1245" s="870"/>
      <c r="AB1245" s="870"/>
      <c r="AC1245" s="870"/>
      <c r="AD1245" s="870"/>
      <c r="AE1245" s="870"/>
      <c r="AF1245" s="870"/>
      <c r="AG1245" s="870"/>
    </row>
    <row r="1246" spans="1:33" s="995" customFormat="1">
      <c r="A1246" s="974"/>
      <c r="D1246" s="876"/>
      <c r="E1246" s="974"/>
      <c r="F1246" s="876"/>
      <c r="G1246" s="876"/>
      <c r="H1246" s="876"/>
      <c r="I1246" s="876"/>
      <c r="J1246" s="876"/>
      <c r="K1246" s="876"/>
      <c r="L1246" s="876"/>
      <c r="M1246" s="876"/>
      <c r="N1246" s="876"/>
      <c r="O1246" s="876"/>
      <c r="P1246" s="876"/>
      <c r="Q1246" s="870"/>
      <c r="R1246" s="870"/>
      <c r="S1246" s="870"/>
      <c r="T1246" s="870"/>
      <c r="U1246" s="870"/>
      <c r="V1246" s="870"/>
      <c r="W1246" s="870"/>
      <c r="X1246" s="870"/>
      <c r="Y1246" s="870"/>
      <c r="Z1246" s="870"/>
      <c r="AA1246" s="870"/>
      <c r="AB1246" s="870"/>
      <c r="AC1246" s="870"/>
      <c r="AD1246" s="870"/>
      <c r="AE1246" s="870"/>
      <c r="AF1246" s="870"/>
      <c r="AG1246" s="870"/>
    </row>
    <row r="1247" spans="1:33" s="995" customFormat="1">
      <c r="A1247" s="974"/>
      <c r="D1247" s="876"/>
      <c r="E1247" s="974"/>
      <c r="F1247" s="876"/>
      <c r="G1247" s="876"/>
      <c r="H1247" s="876"/>
      <c r="I1247" s="876"/>
      <c r="J1247" s="876"/>
      <c r="K1247" s="876"/>
      <c r="L1247" s="876"/>
      <c r="M1247" s="876"/>
      <c r="N1247" s="876"/>
      <c r="O1247" s="876"/>
      <c r="P1247" s="876"/>
      <c r="Q1247" s="870"/>
      <c r="R1247" s="870"/>
      <c r="S1247" s="870"/>
      <c r="T1247" s="870"/>
      <c r="U1247" s="870"/>
      <c r="V1247" s="870"/>
      <c r="W1247" s="870"/>
      <c r="X1247" s="870"/>
      <c r="Y1247" s="870"/>
      <c r="Z1247" s="870"/>
      <c r="AA1247" s="870"/>
      <c r="AB1247" s="870"/>
      <c r="AC1247" s="870"/>
      <c r="AD1247" s="870"/>
      <c r="AE1247" s="870"/>
      <c r="AF1247" s="870"/>
      <c r="AG1247" s="870"/>
    </row>
    <row r="1248" spans="1:33" s="995" customFormat="1">
      <c r="A1248" s="974"/>
      <c r="D1248" s="876"/>
      <c r="E1248" s="974"/>
      <c r="F1248" s="876"/>
      <c r="G1248" s="876"/>
      <c r="H1248" s="876"/>
      <c r="I1248" s="876"/>
      <c r="J1248" s="876"/>
      <c r="K1248" s="876"/>
      <c r="L1248" s="876"/>
      <c r="M1248" s="876"/>
      <c r="N1248" s="876"/>
      <c r="O1248" s="876"/>
      <c r="P1248" s="876"/>
      <c r="Q1248" s="870"/>
      <c r="R1248" s="870"/>
      <c r="S1248" s="870"/>
      <c r="T1248" s="870"/>
      <c r="U1248" s="870"/>
      <c r="V1248" s="870"/>
      <c r="W1248" s="870"/>
      <c r="X1248" s="870"/>
      <c r="Y1248" s="870"/>
      <c r="Z1248" s="870"/>
      <c r="AA1248" s="870"/>
      <c r="AB1248" s="870"/>
      <c r="AC1248" s="870"/>
      <c r="AD1248" s="870"/>
      <c r="AE1248" s="870"/>
      <c r="AF1248" s="870"/>
      <c r="AG1248" s="870"/>
    </row>
    <row r="1249" spans="1:33" s="995" customFormat="1">
      <c r="A1249" s="974"/>
      <c r="D1249" s="876"/>
      <c r="E1249" s="974"/>
      <c r="F1249" s="876"/>
      <c r="G1249" s="876"/>
      <c r="H1249" s="876"/>
      <c r="I1249" s="876"/>
      <c r="J1249" s="876"/>
      <c r="K1249" s="876"/>
      <c r="L1249" s="876"/>
      <c r="M1249" s="876"/>
      <c r="N1249" s="876"/>
      <c r="O1249" s="876"/>
      <c r="P1249" s="876"/>
      <c r="Q1249" s="870"/>
      <c r="R1249" s="870"/>
      <c r="S1249" s="870"/>
      <c r="T1249" s="870"/>
      <c r="U1249" s="870"/>
      <c r="V1249" s="870"/>
      <c r="W1249" s="870"/>
      <c r="X1249" s="870"/>
      <c r="Y1249" s="870"/>
      <c r="Z1249" s="870"/>
      <c r="AA1249" s="870"/>
      <c r="AB1249" s="870"/>
      <c r="AC1249" s="870"/>
      <c r="AD1249" s="870"/>
      <c r="AE1249" s="870"/>
      <c r="AF1249" s="870"/>
      <c r="AG1249" s="870"/>
    </row>
    <row r="1250" spans="1:33" s="995" customFormat="1">
      <c r="A1250" s="974"/>
      <c r="D1250" s="876"/>
      <c r="E1250" s="974"/>
      <c r="F1250" s="876"/>
      <c r="G1250" s="876"/>
      <c r="H1250" s="876"/>
      <c r="I1250" s="876"/>
      <c r="J1250" s="876"/>
      <c r="K1250" s="876"/>
      <c r="L1250" s="876"/>
      <c r="M1250" s="876"/>
      <c r="N1250" s="876"/>
      <c r="O1250" s="876"/>
      <c r="P1250" s="876"/>
      <c r="Q1250" s="870"/>
      <c r="R1250" s="870"/>
      <c r="S1250" s="870"/>
      <c r="T1250" s="870"/>
      <c r="U1250" s="870"/>
      <c r="V1250" s="870"/>
      <c r="W1250" s="870"/>
      <c r="X1250" s="870"/>
      <c r="Y1250" s="870"/>
      <c r="Z1250" s="870"/>
      <c r="AA1250" s="870"/>
      <c r="AB1250" s="870"/>
      <c r="AC1250" s="870"/>
      <c r="AD1250" s="870"/>
      <c r="AE1250" s="870"/>
      <c r="AF1250" s="870"/>
      <c r="AG1250" s="870"/>
    </row>
    <row r="1251" spans="1:33" s="995" customFormat="1">
      <c r="A1251" s="974"/>
      <c r="D1251" s="876"/>
      <c r="E1251" s="974"/>
      <c r="F1251" s="876"/>
      <c r="G1251" s="876"/>
      <c r="H1251" s="876"/>
      <c r="I1251" s="876"/>
      <c r="J1251" s="876"/>
      <c r="K1251" s="876"/>
      <c r="L1251" s="876"/>
      <c r="M1251" s="876"/>
      <c r="N1251" s="876"/>
      <c r="O1251" s="876"/>
      <c r="P1251" s="876"/>
      <c r="Q1251" s="870"/>
      <c r="R1251" s="870"/>
      <c r="S1251" s="870"/>
      <c r="T1251" s="870"/>
      <c r="U1251" s="870"/>
      <c r="V1251" s="870"/>
      <c r="W1251" s="870"/>
      <c r="X1251" s="870"/>
      <c r="Y1251" s="870"/>
      <c r="Z1251" s="870"/>
      <c r="AA1251" s="870"/>
      <c r="AB1251" s="870"/>
      <c r="AC1251" s="870"/>
      <c r="AD1251" s="870"/>
      <c r="AE1251" s="870"/>
      <c r="AF1251" s="870"/>
      <c r="AG1251" s="870"/>
    </row>
    <row r="1252" spans="1:33" s="995" customFormat="1">
      <c r="A1252" s="974"/>
      <c r="D1252" s="876"/>
      <c r="E1252" s="974"/>
      <c r="F1252" s="876"/>
      <c r="G1252" s="876"/>
      <c r="H1252" s="876"/>
      <c r="I1252" s="876"/>
      <c r="J1252" s="876"/>
      <c r="K1252" s="876"/>
      <c r="L1252" s="876"/>
      <c r="M1252" s="876"/>
      <c r="N1252" s="876"/>
      <c r="O1252" s="876"/>
      <c r="P1252" s="876"/>
      <c r="Q1252" s="870"/>
      <c r="R1252" s="870"/>
      <c r="S1252" s="870"/>
      <c r="T1252" s="870"/>
      <c r="U1252" s="870"/>
      <c r="V1252" s="870"/>
      <c r="W1252" s="870"/>
      <c r="X1252" s="870"/>
      <c r="Y1252" s="870"/>
      <c r="Z1252" s="870"/>
      <c r="AA1252" s="870"/>
      <c r="AB1252" s="870"/>
      <c r="AC1252" s="870"/>
      <c r="AD1252" s="870"/>
      <c r="AE1252" s="870"/>
      <c r="AF1252" s="870"/>
      <c r="AG1252" s="870"/>
    </row>
    <row r="1253" spans="1:33" s="995" customFormat="1">
      <c r="A1253" s="974"/>
      <c r="D1253" s="876"/>
      <c r="E1253" s="974"/>
      <c r="F1253" s="876"/>
      <c r="G1253" s="876"/>
      <c r="H1253" s="876"/>
      <c r="I1253" s="876"/>
      <c r="J1253" s="876"/>
      <c r="K1253" s="876"/>
      <c r="L1253" s="876"/>
      <c r="M1253" s="876"/>
      <c r="N1253" s="876"/>
      <c r="O1253" s="876"/>
      <c r="P1253" s="876"/>
      <c r="Q1253" s="870"/>
      <c r="R1253" s="870"/>
      <c r="S1253" s="870"/>
      <c r="T1253" s="870"/>
      <c r="U1253" s="870"/>
      <c r="V1253" s="870"/>
      <c r="W1253" s="870"/>
      <c r="X1253" s="870"/>
      <c r="Y1253" s="870"/>
      <c r="Z1253" s="870"/>
      <c r="AA1253" s="870"/>
      <c r="AB1253" s="870"/>
      <c r="AC1253" s="870"/>
      <c r="AD1253" s="870"/>
      <c r="AE1253" s="870"/>
      <c r="AF1253" s="870"/>
      <c r="AG1253" s="870"/>
    </row>
    <row r="1254" spans="1:33" s="995" customFormat="1">
      <c r="A1254" s="974"/>
      <c r="D1254" s="876"/>
      <c r="E1254" s="974"/>
      <c r="F1254" s="876"/>
      <c r="G1254" s="876"/>
      <c r="H1254" s="876"/>
      <c r="I1254" s="876"/>
      <c r="J1254" s="876"/>
      <c r="K1254" s="876"/>
      <c r="L1254" s="876"/>
      <c r="M1254" s="876"/>
      <c r="N1254" s="876"/>
      <c r="O1254" s="876"/>
      <c r="P1254" s="876"/>
      <c r="Q1254" s="870"/>
      <c r="R1254" s="870"/>
      <c r="S1254" s="870"/>
      <c r="T1254" s="870"/>
      <c r="U1254" s="870"/>
      <c r="V1254" s="870"/>
      <c r="W1254" s="870"/>
      <c r="X1254" s="870"/>
      <c r="Y1254" s="870"/>
      <c r="Z1254" s="870"/>
      <c r="AA1254" s="870"/>
      <c r="AB1254" s="870"/>
      <c r="AC1254" s="870"/>
      <c r="AD1254" s="870"/>
      <c r="AE1254" s="870"/>
      <c r="AF1254" s="870"/>
      <c r="AG1254" s="870"/>
    </row>
    <row r="1255" spans="1:33" s="995" customFormat="1">
      <c r="A1255" s="974"/>
      <c r="D1255" s="876"/>
      <c r="E1255" s="974"/>
      <c r="F1255" s="876"/>
      <c r="G1255" s="876"/>
      <c r="H1255" s="876"/>
      <c r="I1255" s="876"/>
      <c r="J1255" s="876"/>
      <c r="K1255" s="876"/>
      <c r="L1255" s="876"/>
      <c r="M1255" s="876"/>
      <c r="N1255" s="876"/>
      <c r="O1255" s="876"/>
      <c r="P1255" s="876"/>
      <c r="Q1255" s="870"/>
      <c r="R1255" s="870"/>
      <c r="S1255" s="870"/>
      <c r="T1255" s="870"/>
      <c r="U1255" s="870"/>
      <c r="V1255" s="870"/>
      <c r="W1255" s="870"/>
      <c r="X1255" s="870"/>
      <c r="Y1255" s="870"/>
      <c r="Z1255" s="870"/>
      <c r="AA1255" s="870"/>
      <c r="AB1255" s="870"/>
      <c r="AC1255" s="870"/>
      <c r="AD1255" s="870"/>
      <c r="AE1255" s="870"/>
      <c r="AF1255" s="870"/>
      <c r="AG1255" s="870"/>
    </row>
    <row r="1256" spans="1:33" s="995" customFormat="1">
      <c r="A1256" s="974"/>
      <c r="D1256" s="876"/>
      <c r="E1256" s="974"/>
      <c r="F1256" s="876"/>
      <c r="G1256" s="876"/>
      <c r="H1256" s="876"/>
      <c r="I1256" s="876"/>
      <c r="J1256" s="876"/>
      <c r="K1256" s="876"/>
      <c r="L1256" s="876"/>
      <c r="M1256" s="876"/>
      <c r="N1256" s="876"/>
      <c r="O1256" s="876"/>
      <c r="P1256" s="876"/>
      <c r="Q1256" s="870"/>
      <c r="R1256" s="870"/>
      <c r="S1256" s="870"/>
      <c r="T1256" s="870"/>
      <c r="U1256" s="870"/>
      <c r="V1256" s="870"/>
      <c r="W1256" s="870"/>
      <c r="X1256" s="870"/>
      <c r="Y1256" s="870"/>
      <c r="Z1256" s="870"/>
      <c r="AA1256" s="870"/>
      <c r="AB1256" s="870"/>
      <c r="AC1256" s="870"/>
      <c r="AD1256" s="870"/>
      <c r="AE1256" s="870"/>
      <c r="AF1256" s="870"/>
      <c r="AG1256" s="870"/>
    </row>
    <row r="1257" spans="1:33" s="995" customFormat="1">
      <c r="A1257" s="974"/>
      <c r="D1257" s="876"/>
      <c r="E1257" s="974"/>
      <c r="F1257" s="876"/>
      <c r="G1257" s="876"/>
      <c r="H1257" s="876"/>
      <c r="I1257" s="876"/>
      <c r="J1257" s="876"/>
      <c r="K1257" s="876"/>
      <c r="L1257" s="876"/>
      <c r="M1257" s="876"/>
      <c r="N1257" s="876"/>
      <c r="O1257" s="876"/>
      <c r="P1257" s="876"/>
      <c r="Q1257" s="870"/>
      <c r="R1257" s="870"/>
      <c r="S1257" s="870"/>
      <c r="T1257" s="870"/>
      <c r="U1257" s="870"/>
      <c r="V1257" s="870"/>
      <c r="W1257" s="870"/>
      <c r="X1257" s="870"/>
      <c r="Y1257" s="870"/>
      <c r="Z1257" s="870"/>
      <c r="AA1257" s="870"/>
      <c r="AB1257" s="870"/>
      <c r="AC1257" s="870"/>
      <c r="AD1257" s="870"/>
      <c r="AE1257" s="870"/>
      <c r="AF1257" s="870"/>
      <c r="AG1257" s="870"/>
    </row>
    <row r="1258" spans="1:33" s="995" customFormat="1">
      <c r="A1258" s="974"/>
      <c r="D1258" s="876"/>
      <c r="E1258" s="974"/>
      <c r="F1258" s="876"/>
      <c r="G1258" s="876"/>
      <c r="H1258" s="876"/>
      <c r="I1258" s="876"/>
      <c r="J1258" s="876"/>
      <c r="K1258" s="876"/>
      <c r="L1258" s="876"/>
      <c r="M1258" s="876"/>
      <c r="N1258" s="876"/>
      <c r="O1258" s="876"/>
      <c r="P1258" s="876"/>
      <c r="Q1258" s="870"/>
      <c r="R1258" s="870"/>
      <c r="S1258" s="870"/>
      <c r="T1258" s="870"/>
      <c r="U1258" s="870"/>
      <c r="V1258" s="870"/>
      <c r="W1258" s="870"/>
      <c r="X1258" s="870"/>
      <c r="Y1258" s="870"/>
      <c r="Z1258" s="870"/>
      <c r="AA1258" s="870"/>
      <c r="AB1258" s="870"/>
      <c r="AC1258" s="870"/>
      <c r="AD1258" s="870"/>
      <c r="AE1258" s="870"/>
      <c r="AF1258" s="870"/>
      <c r="AG1258" s="870"/>
    </row>
    <row r="1259" spans="1:33" s="995" customFormat="1">
      <c r="A1259" s="974"/>
      <c r="D1259" s="876"/>
      <c r="E1259" s="974"/>
      <c r="F1259" s="876"/>
      <c r="G1259" s="876"/>
      <c r="H1259" s="876"/>
      <c r="I1259" s="876"/>
      <c r="J1259" s="876"/>
      <c r="K1259" s="876"/>
      <c r="L1259" s="876"/>
      <c r="M1259" s="876"/>
      <c r="N1259" s="876"/>
      <c r="O1259" s="876"/>
      <c r="P1259" s="876"/>
      <c r="Q1259" s="870"/>
      <c r="R1259" s="870"/>
      <c r="S1259" s="870"/>
      <c r="T1259" s="870"/>
      <c r="U1259" s="870"/>
      <c r="V1259" s="870"/>
      <c r="W1259" s="870"/>
      <c r="X1259" s="870"/>
      <c r="Y1259" s="870"/>
      <c r="Z1259" s="870"/>
      <c r="AA1259" s="870"/>
      <c r="AB1259" s="870"/>
      <c r="AC1259" s="870"/>
      <c r="AD1259" s="870"/>
      <c r="AE1259" s="870"/>
      <c r="AF1259" s="870"/>
      <c r="AG1259" s="870"/>
    </row>
    <row r="1260" spans="1:33" s="995" customFormat="1">
      <c r="A1260" s="974"/>
      <c r="D1260" s="876"/>
      <c r="E1260" s="974"/>
      <c r="F1260" s="876"/>
      <c r="G1260" s="876"/>
      <c r="H1260" s="876"/>
      <c r="I1260" s="876"/>
      <c r="J1260" s="876"/>
      <c r="K1260" s="876"/>
      <c r="L1260" s="876"/>
      <c r="M1260" s="876"/>
      <c r="N1260" s="876"/>
      <c r="O1260" s="876"/>
      <c r="P1260" s="876"/>
      <c r="Q1260" s="870"/>
      <c r="R1260" s="870"/>
      <c r="S1260" s="870"/>
      <c r="T1260" s="870"/>
      <c r="U1260" s="870"/>
      <c r="V1260" s="870"/>
      <c r="W1260" s="870"/>
      <c r="X1260" s="870"/>
      <c r="Y1260" s="870"/>
      <c r="Z1260" s="870"/>
      <c r="AA1260" s="870"/>
      <c r="AB1260" s="870"/>
      <c r="AC1260" s="870"/>
      <c r="AD1260" s="870"/>
      <c r="AE1260" s="870"/>
      <c r="AF1260" s="870"/>
      <c r="AG1260" s="870"/>
    </row>
    <row r="1261" spans="1:33" s="995" customFormat="1">
      <c r="A1261" s="974"/>
      <c r="D1261" s="876"/>
      <c r="E1261" s="974"/>
      <c r="F1261" s="876"/>
      <c r="G1261" s="876"/>
      <c r="H1261" s="876"/>
      <c r="I1261" s="876"/>
      <c r="J1261" s="876"/>
      <c r="K1261" s="876"/>
      <c r="L1261" s="876"/>
      <c r="M1261" s="876"/>
      <c r="N1261" s="876"/>
      <c r="O1261" s="876"/>
      <c r="P1261" s="876"/>
      <c r="Q1261" s="870"/>
      <c r="R1261" s="870"/>
      <c r="S1261" s="870"/>
      <c r="T1261" s="870"/>
      <c r="U1261" s="870"/>
      <c r="V1261" s="870"/>
      <c r="W1261" s="870"/>
      <c r="X1261" s="870"/>
      <c r="Y1261" s="870"/>
      <c r="Z1261" s="870"/>
      <c r="AA1261" s="870"/>
      <c r="AB1261" s="870"/>
      <c r="AC1261" s="870"/>
      <c r="AD1261" s="870"/>
      <c r="AE1261" s="870"/>
      <c r="AF1261" s="870"/>
      <c r="AG1261" s="870"/>
    </row>
    <row r="1262" spans="1:33" s="995" customFormat="1">
      <c r="A1262" s="974"/>
      <c r="D1262" s="876"/>
      <c r="E1262" s="974"/>
      <c r="F1262" s="876"/>
      <c r="G1262" s="876"/>
      <c r="H1262" s="876"/>
      <c r="I1262" s="876"/>
      <c r="J1262" s="876"/>
      <c r="K1262" s="876"/>
      <c r="L1262" s="876"/>
      <c r="M1262" s="876"/>
      <c r="N1262" s="876"/>
      <c r="O1262" s="876"/>
      <c r="P1262" s="876"/>
      <c r="Q1262" s="870"/>
      <c r="R1262" s="870"/>
      <c r="S1262" s="870"/>
      <c r="T1262" s="870"/>
      <c r="U1262" s="870"/>
      <c r="V1262" s="870"/>
      <c r="W1262" s="870"/>
      <c r="X1262" s="870"/>
      <c r="Y1262" s="870"/>
      <c r="Z1262" s="870"/>
      <c r="AA1262" s="870"/>
      <c r="AB1262" s="870"/>
      <c r="AC1262" s="870"/>
      <c r="AD1262" s="870"/>
      <c r="AE1262" s="870"/>
      <c r="AF1262" s="870"/>
      <c r="AG1262" s="870"/>
    </row>
    <row r="1263" spans="1:33" s="995" customFormat="1">
      <c r="A1263" s="974"/>
      <c r="D1263" s="876"/>
      <c r="E1263" s="974"/>
      <c r="F1263" s="876"/>
      <c r="G1263" s="876"/>
      <c r="H1263" s="876"/>
      <c r="I1263" s="876"/>
      <c r="J1263" s="876"/>
      <c r="K1263" s="876"/>
      <c r="L1263" s="876"/>
      <c r="M1263" s="876"/>
      <c r="N1263" s="876"/>
      <c r="O1263" s="876"/>
      <c r="P1263" s="876"/>
      <c r="Q1263" s="870"/>
      <c r="R1263" s="870"/>
      <c r="S1263" s="870"/>
      <c r="T1263" s="870"/>
      <c r="U1263" s="870"/>
      <c r="V1263" s="870"/>
      <c r="W1263" s="870"/>
      <c r="X1263" s="870"/>
      <c r="Y1263" s="870"/>
      <c r="Z1263" s="870"/>
      <c r="AA1263" s="870"/>
      <c r="AB1263" s="870"/>
      <c r="AC1263" s="870"/>
      <c r="AD1263" s="870"/>
      <c r="AE1263" s="870"/>
      <c r="AF1263" s="870"/>
      <c r="AG1263" s="870"/>
    </row>
    <row r="1264" spans="1:33" s="995" customFormat="1">
      <c r="A1264" s="974"/>
      <c r="D1264" s="876"/>
      <c r="E1264" s="974"/>
      <c r="F1264" s="876"/>
      <c r="G1264" s="876"/>
      <c r="H1264" s="876"/>
      <c r="I1264" s="876"/>
      <c r="J1264" s="876"/>
      <c r="K1264" s="876"/>
      <c r="L1264" s="876"/>
      <c r="M1264" s="876"/>
      <c r="N1264" s="876"/>
      <c r="O1264" s="876"/>
      <c r="P1264" s="876"/>
      <c r="Q1264" s="870"/>
      <c r="R1264" s="870"/>
      <c r="S1264" s="870"/>
      <c r="T1264" s="870"/>
      <c r="U1264" s="870"/>
      <c r="V1264" s="870"/>
      <c r="W1264" s="870"/>
      <c r="X1264" s="870"/>
      <c r="Y1264" s="870"/>
      <c r="Z1264" s="870"/>
      <c r="AA1264" s="870"/>
      <c r="AB1264" s="870"/>
      <c r="AC1264" s="870"/>
      <c r="AD1264" s="870"/>
      <c r="AE1264" s="870"/>
      <c r="AF1264" s="870"/>
      <c r="AG1264" s="870"/>
    </row>
    <row r="1265" spans="1:33" s="995" customFormat="1">
      <c r="A1265" s="974"/>
      <c r="D1265" s="876"/>
      <c r="E1265" s="974"/>
      <c r="F1265" s="876"/>
      <c r="G1265" s="876"/>
      <c r="H1265" s="876"/>
      <c r="I1265" s="876"/>
      <c r="J1265" s="876"/>
      <c r="K1265" s="876"/>
      <c r="L1265" s="876"/>
      <c r="M1265" s="876"/>
      <c r="N1265" s="876"/>
      <c r="O1265" s="876"/>
      <c r="P1265" s="876"/>
      <c r="Q1265" s="870"/>
      <c r="R1265" s="870"/>
      <c r="S1265" s="870"/>
      <c r="T1265" s="870"/>
      <c r="U1265" s="870"/>
      <c r="V1265" s="870"/>
      <c r="W1265" s="870"/>
      <c r="X1265" s="870"/>
      <c r="Y1265" s="870"/>
      <c r="Z1265" s="870"/>
      <c r="AA1265" s="870"/>
      <c r="AB1265" s="870"/>
      <c r="AC1265" s="870"/>
      <c r="AD1265" s="870"/>
      <c r="AE1265" s="870"/>
      <c r="AF1265" s="870"/>
      <c r="AG1265" s="870"/>
    </row>
    <row r="1266" spans="1:33" s="995" customFormat="1">
      <c r="A1266" s="974"/>
      <c r="D1266" s="876"/>
      <c r="E1266" s="974"/>
      <c r="F1266" s="876"/>
      <c r="G1266" s="876"/>
      <c r="H1266" s="876"/>
      <c r="I1266" s="876"/>
      <c r="J1266" s="876"/>
      <c r="K1266" s="876"/>
      <c r="L1266" s="876"/>
      <c r="M1266" s="876"/>
      <c r="N1266" s="876"/>
      <c r="O1266" s="876"/>
      <c r="P1266" s="876"/>
      <c r="Q1266" s="870"/>
      <c r="R1266" s="870"/>
      <c r="S1266" s="870"/>
      <c r="T1266" s="870"/>
      <c r="U1266" s="870"/>
      <c r="V1266" s="870"/>
      <c r="W1266" s="870"/>
      <c r="X1266" s="870"/>
      <c r="Y1266" s="870"/>
      <c r="Z1266" s="870"/>
      <c r="AA1266" s="870"/>
      <c r="AB1266" s="870"/>
      <c r="AC1266" s="870"/>
      <c r="AD1266" s="870"/>
      <c r="AE1266" s="870"/>
      <c r="AF1266" s="870"/>
      <c r="AG1266" s="870"/>
    </row>
    <row r="1267" spans="1:33" s="995" customFormat="1">
      <c r="A1267" s="974"/>
      <c r="D1267" s="876"/>
      <c r="E1267" s="974"/>
      <c r="F1267" s="876"/>
      <c r="G1267" s="876"/>
      <c r="H1267" s="876"/>
      <c r="I1267" s="876"/>
      <c r="J1267" s="876"/>
      <c r="K1267" s="876"/>
      <c r="L1267" s="876"/>
      <c r="M1267" s="876"/>
      <c r="N1267" s="876"/>
      <c r="O1267" s="876"/>
      <c r="P1267" s="876"/>
      <c r="Q1267" s="870"/>
      <c r="R1267" s="870"/>
      <c r="S1267" s="870"/>
      <c r="T1267" s="870"/>
      <c r="U1267" s="870"/>
      <c r="V1267" s="870"/>
      <c r="W1267" s="870"/>
      <c r="X1267" s="870"/>
      <c r="Y1267" s="870"/>
      <c r="Z1267" s="870"/>
      <c r="AA1267" s="870"/>
      <c r="AB1267" s="870"/>
      <c r="AC1267" s="870"/>
      <c r="AD1267" s="870"/>
      <c r="AE1267" s="870"/>
      <c r="AF1267" s="870"/>
      <c r="AG1267" s="870"/>
    </row>
    <row r="1268" spans="1:33" s="995" customFormat="1">
      <c r="A1268" s="974"/>
      <c r="D1268" s="876"/>
      <c r="E1268" s="974"/>
      <c r="F1268" s="876"/>
      <c r="G1268" s="876"/>
      <c r="H1268" s="876"/>
      <c r="I1268" s="876"/>
      <c r="J1268" s="876"/>
      <c r="K1268" s="876"/>
      <c r="L1268" s="876"/>
      <c r="M1268" s="876"/>
      <c r="N1268" s="876"/>
      <c r="O1268" s="876"/>
      <c r="P1268" s="876"/>
      <c r="Q1268" s="870"/>
      <c r="R1268" s="870"/>
      <c r="S1268" s="870"/>
      <c r="T1268" s="870"/>
      <c r="U1268" s="870"/>
      <c r="V1268" s="870"/>
      <c r="W1268" s="870"/>
      <c r="X1268" s="870"/>
      <c r="Y1268" s="870"/>
      <c r="Z1268" s="870"/>
      <c r="AA1268" s="870"/>
      <c r="AB1268" s="870"/>
      <c r="AC1268" s="870"/>
      <c r="AD1268" s="870"/>
      <c r="AE1268" s="870"/>
      <c r="AF1268" s="870"/>
      <c r="AG1268" s="870"/>
    </row>
    <row r="1269" spans="1:33" s="995" customFormat="1">
      <c r="A1269" s="974"/>
      <c r="D1269" s="876"/>
      <c r="E1269" s="974"/>
      <c r="F1269" s="876"/>
      <c r="G1269" s="876"/>
      <c r="H1269" s="876"/>
      <c r="I1269" s="876"/>
      <c r="J1269" s="876"/>
      <c r="K1269" s="876"/>
      <c r="L1269" s="876"/>
      <c r="M1269" s="876"/>
      <c r="N1269" s="876"/>
      <c r="O1269" s="876"/>
      <c r="P1269" s="876"/>
      <c r="Q1269" s="870"/>
      <c r="R1269" s="870"/>
      <c r="S1269" s="870"/>
      <c r="T1269" s="870"/>
      <c r="U1269" s="870"/>
      <c r="V1269" s="870"/>
      <c r="W1269" s="870"/>
      <c r="X1269" s="870"/>
      <c r="Y1269" s="870"/>
      <c r="Z1269" s="870"/>
      <c r="AA1269" s="870"/>
      <c r="AB1269" s="870"/>
      <c r="AC1269" s="870"/>
      <c r="AD1269" s="870"/>
      <c r="AE1269" s="870"/>
      <c r="AF1269" s="870"/>
      <c r="AG1269" s="870"/>
    </row>
    <row r="1270" spans="1:33" s="995" customFormat="1">
      <c r="A1270" s="974"/>
      <c r="D1270" s="876"/>
      <c r="E1270" s="974"/>
      <c r="F1270" s="876"/>
      <c r="G1270" s="876"/>
      <c r="H1270" s="876"/>
      <c r="I1270" s="876"/>
      <c r="J1270" s="876"/>
      <c r="K1270" s="876"/>
      <c r="L1270" s="876"/>
      <c r="M1270" s="876"/>
      <c r="N1270" s="876"/>
      <c r="O1270" s="876"/>
      <c r="P1270" s="876"/>
      <c r="Q1270" s="870"/>
      <c r="R1270" s="870"/>
      <c r="S1270" s="870"/>
      <c r="T1270" s="870"/>
      <c r="U1270" s="870"/>
      <c r="V1270" s="870"/>
      <c r="W1270" s="870"/>
      <c r="X1270" s="870"/>
      <c r="Y1270" s="870"/>
      <c r="Z1270" s="870"/>
      <c r="AA1270" s="870"/>
      <c r="AB1270" s="870"/>
      <c r="AC1270" s="870"/>
      <c r="AD1270" s="870"/>
      <c r="AE1270" s="870"/>
      <c r="AF1270" s="870"/>
      <c r="AG1270" s="870"/>
    </row>
    <row r="1271" spans="1:33" s="995" customFormat="1">
      <c r="A1271" s="974"/>
      <c r="D1271" s="876"/>
      <c r="E1271" s="974"/>
      <c r="F1271" s="876"/>
      <c r="G1271" s="876"/>
      <c r="H1271" s="876"/>
      <c r="I1271" s="876"/>
      <c r="J1271" s="876"/>
      <c r="K1271" s="876"/>
      <c r="L1271" s="876"/>
      <c r="M1271" s="876"/>
      <c r="N1271" s="876"/>
      <c r="O1271" s="876"/>
      <c r="P1271" s="876"/>
      <c r="Q1271" s="870"/>
      <c r="R1271" s="870"/>
      <c r="S1271" s="870"/>
      <c r="T1271" s="870"/>
      <c r="U1271" s="870"/>
      <c r="V1271" s="870"/>
      <c r="W1271" s="870"/>
      <c r="X1271" s="870"/>
      <c r="Y1271" s="870"/>
      <c r="Z1271" s="870"/>
      <c r="AA1271" s="870"/>
      <c r="AB1271" s="870"/>
      <c r="AC1271" s="870"/>
      <c r="AD1271" s="870"/>
      <c r="AE1271" s="870"/>
      <c r="AF1271" s="870"/>
      <c r="AG1271" s="870"/>
    </row>
    <row r="1272" spans="1:33" s="995" customFormat="1">
      <c r="A1272" s="974"/>
      <c r="D1272" s="876"/>
      <c r="E1272" s="974"/>
      <c r="F1272" s="876"/>
      <c r="G1272" s="876"/>
      <c r="H1272" s="876"/>
      <c r="I1272" s="876"/>
      <c r="J1272" s="876"/>
      <c r="K1272" s="876"/>
      <c r="L1272" s="876"/>
      <c r="M1272" s="876"/>
      <c r="N1272" s="876"/>
      <c r="O1272" s="876"/>
      <c r="P1272" s="876"/>
      <c r="Q1272" s="870"/>
      <c r="R1272" s="870"/>
      <c r="S1272" s="870"/>
      <c r="T1272" s="870"/>
      <c r="U1272" s="870"/>
      <c r="V1272" s="870"/>
      <c r="W1272" s="870"/>
      <c r="X1272" s="870"/>
      <c r="Y1272" s="870"/>
      <c r="Z1272" s="870"/>
      <c r="AA1272" s="870"/>
      <c r="AB1272" s="870"/>
      <c r="AC1272" s="870"/>
      <c r="AD1272" s="870"/>
      <c r="AE1272" s="870"/>
      <c r="AF1272" s="870"/>
      <c r="AG1272" s="870"/>
    </row>
    <row r="1273" spans="1:33" s="995" customFormat="1">
      <c r="A1273" s="974"/>
      <c r="D1273" s="876"/>
      <c r="E1273" s="974"/>
      <c r="F1273" s="876"/>
      <c r="G1273" s="876"/>
      <c r="H1273" s="876"/>
      <c r="I1273" s="876"/>
      <c r="J1273" s="876"/>
      <c r="K1273" s="876"/>
      <c r="L1273" s="876"/>
      <c r="M1273" s="876"/>
      <c r="N1273" s="876"/>
      <c r="O1273" s="876"/>
      <c r="P1273" s="876"/>
      <c r="Q1273" s="870"/>
      <c r="R1273" s="870"/>
      <c r="S1273" s="870"/>
      <c r="T1273" s="870"/>
      <c r="U1273" s="870"/>
      <c r="V1273" s="870"/>
      <c r="W1273" s="870"/>
      <c r="X1273" s="870"/>
      <c r="Y1273" s="870"/>
      <c r="Z1273" s="870"/>
      <c r="AA1273" s="870"/>
      <c r="AB1273" s="870"/>
      <c r="AC1273" s="870"/>
      <c r="AD1273" s="870"/>
      <c r="AE1273" s="870"/>
      <c r="AF1273" s="870"/>
      <c r="AG1273" s="870"/>
    </row>
    <row r="1274" spans="1:33" s="995" customFormat="1">
      <c r="A1274" s="974"/>
      <c r="D1274" s="876"/>
      <c r="E1274" s="974"/>
      <c r="F1274" s="876"/>
      <c r="G1274" s="876"/>
      <c r="H1274" s="876"/>
      <c r="I1274" s="876"/>
      <c r="J1274" s="876"/>
      <c r="K1274" s="876"/>
      <c r="L1274" s="876"/>
      <c r="M1274" s="876"/>
      <c r="N1274" s="876"/>
      <c r="O1274" s="876"/>
      <c r="P1274" s="876"/>
      <c r="Q1274" s="870"/>
      <c r="R1274" s="870"/>
      <c r="S1274" s="870"/>
      <c r="T1274" s="870"/>
      <c r="U1274" s="870"/>
      <c r="V1274" s="870"/>
      <c r="W1274" s="870"/>
      <c r="X1274" s="870"/>
      <c r="Y1274" s="870"/>
      <c r="Z1274" s="870"/>
      <c r="AA1274" s="870"/>
      <c r="AB1274" s="870"/>
      <c r="AC1274" s="870"/>
      <c r="AD1274" s="870"/>
      <c r="AE1274" s="870"/>
      <c r="AF1274" s="870"/>
      <c r="AG1274" s="870"/>
    </row>
    <row r="1275" spans="1:33" s="995" customFormat="1">
      <c r="A1275" s="974"/>
      <c r="D1275" s="876"/>
      <c r="E1275" s="974"/>
      <c r="F1275" s="876"/>
      <c r="G1275" s="876"/>
      <c r="H1275" s="876"/>
      <c r="I1275" s="876"/>
      <c r="J1275" s="876"/>
      <c r="K1275" s="876"/>
      <c r="L1275" s="876"/>
      <c r="M1275" s="876"/>
      <c r="N1275" s="876"/>
      <c r="O1275" s="876"/>
      <c r="P1275" s="876"/>
      <c r="Q1275" s="870"/>
      <c r="R1275" s="870"/>
      <c r="S1275" s="870"/>
      <c r="T1275" s="870"/>
      <c r="U1275" s="870"/>
      <c r="V1275" s="870"/>
      <c r="W1275" s="870"/>
      <c r="X1275" s="870"/>
      <c r="Y1275" s="870"/>
      <c r="Z1275" s="870"/>
      <c r="AA1275" s="870"/>
      <c r="AB1275" s="870"/>
      <c r="AC1275" s="870"/>
      <c r="AD1275" s="870"/>
      <c r="AE1275" s="870"/>
      <c r="AF1275" s="870"/>
      <c r="AG1275" s="870"/>
    </row>
    <row r="1276" spans="1:33" s="995" customFormat="1">
      <c r="A1276" s="974"/>
      <c r="D1276" s="876"/>
      <c r="E1276" s="974"/>
      <c r="F1276" s="876"/>
      <c r="G1276" s="876"/>
      <c r="H1276" s="876"/>
      <c r="I1276" s="876"/>
      <c r="J1276" s="876"/>
      <c r="K1276" s="876"/>
      <c r="L1276" s="876"/>
      <c r="M1276" s="876"/>
      <c r="N1276" s="876"/>
      <c r="O1276" s="876"/>
      <c r="P1276" s="876"/>
      <c r="Q1276" s="870"/>
      <c r="R1276" s="870"/>
      <c r="S1276" s="870"/>
      <c r="T1276" s="870"/>
      <c r="U1276" s="870"/>
      <c r="V1276" s="870"/>
      <c r="W1276" s="870"/>
      <c r="X1276" s="870"/>
      <c r="Y1276" s="870"/>
      <c r="Z1276" s="870"/>
      <c r="AA1276" s="870"/>
      <c r="AB1276" s="870"/>
      <c r="AC1276" s="870"/>
      <c r="AD1276" s="870"/>
      <c r="AE1276" s="870"/>
      <c r="AF1276" s="870"/>
      <c r="AG1276" s="870"/>
    </row>
    <row r="1277" spans="1:33" s="995" customFormat="1">
      <c r="A1277" s="974"/>
      <c r="D1277" s="876"/>
      <c r="E1277" s="974"/>
      <c r="F1277" s="876"/>
      <c r="G1277" s="876"/>
      <c r="H1277" s="876"/>
      <c r="I1277" s="876"/>
      <c r="J1277" s="876"/>
      <c r="K1277" s="876"/>
      <c r="L1277" s="876"/>
      <c r="M1277" s="876"/>
      <c r="N1277" s="876"/>
      <c r="O1277" s="876"/>
      <c r="P1277" s="876"/>
      <c r="Q1277" s="870"/>
      <c r="R1277" s="870"/>
      <c r="S1277" s="870"/>
      <c r="T1277" s="870"/>
      <c r="U1277" s="870"/>
      <c r="V1277" s="870"/>
      <c r="W1277" s="870"/>
      <c r="X1277" s="870"/>
      <c r="Y1277" s="870"/>
      <c r="Z1277" s="870"/>
      <c r="AA1277" s="870"/>
      <c r="AB1277" s="870"/>
      <c r="AC1277" s="870"/>
      <c r="AD1277" s="870"/>
      <c r="AE1277" s="870"/>
      <c r="AF1277" s="870"/>
      <c r="AG1277" s="870"/>
    </row>
    <row r="1278" spans="1:33" s="995" customFormat="1">
      <c r="A1278" s="974"/>
      <c r="D1278" s="876"/>
      <c r="E1278" s="974"/>
      <c r="F1278" s="876"/>
      <c r="G1278" s="876"/>
      <c r="H1278" s="876"/>
      <c r="I1278" s="876"/>
      <c r="J1278" s="876"/>
      <c r="K1278" s="876"/>
      <c r="L1278" s="876"/>
      <c r="M1278" s="876"/>
      <c r="N1278" s="876"/>
      <c r="O1278" s="876"/>
      <c r="P1278" s="876"/>
      <c r="Q1278" s="870"/>
      <c r="R1278" s="870"/>
      <c r="S1278" s="870"/>
      <c r="T1278" s="870"/>
      <c r="U1278" s="870"/>
      <c r="V1278" s="870"/>
      <c r="W1278" s="870"/>
      <c r="X1278" s="870"/>
      <c r="Y1278" s="870"/>
      <c r="Z1278" s="870"/>
      <c r="AA1278" s="870"/>
      <c r="AB1278" s="870"/>
      <c r="AC1278" s="870"/>
      <c r="AD1278" s="870"/>
      <c r="AE1278" s="870"/>
      <c r="AF1278" s="870"/>
      <c r="AG1278" s="870"/>
    </row>
    <row r="1279" spans="1:33" s="995" customFormat="1">
      <c r="A1279" s="974"/>
      <c r="D1279" s="876"/>
      <c r="E1279" s="974"/>
      <c r="F1279" s="876"/>
      <c r="G1279" s="876"/>
      <c r="H1279" s="876"/>
      <c r="I1279" s="876"/>
      <c r="J1279" s="876"/>
      <c r="K1279" s="876"/>
      <c r="L1279" s="876"/>
      <c r="M1279" s="876"/>
      <c r="N1279" s="876"/>
      <c r="O1279" s="876"/>
      <c r="P1279" s="876"/>
      <c r="Q1279" s="870"/>
      <c r="R1279" s="870"/>
      <c r="S1279" s="870"/>
      <c r="T1279" s="870"/>
      <c r="U1279" s="870"/>
      <c r="V1279" s="870"/>
      <c r="W1279" s="870"/>
      <c r="X1279" s="870"/>
      <c r="Y1279" s="870"/>
      <c r="Z1279" s="870"/>
      <c r="AA1279" s="870"/>
      <c r="AB1279" s="870"/>
      <c r="AC1279" s="870"/>
      <c r="AD1279" s="870"/>
      <c r="AE1279" s="870"/>
      <c r="AF1279" s="870"/>
      <c r="AG1279" s="870"/>
    </row>
    <row r="1280" spans="1:33" s="995" customFormat="1">
      <c r="A1280" s="974"/>
      <c r="D1280" s="876"/>
      <c r="E1280" s="974"/>
      <c r="F1280" s="876"/>
      <c r="G1280" s="876"/>
      <c r="H1280" s="876"/>
      <c r="I1280" s="876"/>
      <c r="J1280" s="876"/>
      <c r="K1280" s="876"/>
      <c r="L1280" s="876"/>
      <c r="M1280" s="876"/>
      <c r="N1280" s="876"/>
      <c r="O1280" s="876"/>
      <c r="P1280" s="876"/>
      <c r="Q1280" s="870"/>
      <c r="R1280" s="870"/>
      <c r="S1280" s="870"/>
      <c r="T1280" s="870"/>
      <c r="U1280" s="870"/>
      <c r="V1280" s="870"/>
      <c r="W1280" s="870"/>
      <c r="X1280" s="870"/>
      <c r="Y1280" s="870"/>
      <c r="Z1280" s="870"/>
      <c r="AA1280" s="870"/>
      <c r="AB1280" s="870"/>
      <c r="AC1280" s="870"/>
      <c r="AD1280" s="870"/>
      <c r="AE1280" s="870"/>
      <c r="AF1280" s="870"/>
      <c r="AG1280" s="870"/>
    </row>
    <row r="1281" spans="1:33" s="995" customFormat="1">
      <c r="A1281" s="974"/>
      <c r="D1281" s="876"/>
      <c r="E1281" s="974"/>
      <c r="F1281" s="876"/>
      <c r="G1281" s="876"/>
      <c r="H1281" s="876"/>
      <c r="I1281" s="876"/>
      <c r="J1281" s="876"/>
      <c r="K1281" s="876"/>
      <c r="L1281" s="876"/>
      <c r="M1281" s="876"/>
      <c r="N1281" s="876"/>
      <c r="O1281" s="876"/>
      <c r="P1281" s="876"/>
      <c r="Q1281" s="870"/>
      <c r="R1281" s="870"/>
      <c r="S1281" s="870"/>
      <c r="T1281" s="870"/>
      <c r="U1281" s="870"/>
      <c r="V1281" s="870"/>
      <c r="W1281" s="870"/>
      <c r="X1281" s="870"/>
      <c r="Y1281" s="870"/>
      <c r="Z1281" s="870"/>
      <c r="AA1281" s="870"/>
      <c r="AB1281" s="870"/>
      <c r="AC1281" s="870"/>
      <c r="AD1281" s="870"/>
      <c r="AE1281" s="870"/>
      <c r="AF1281" s="870"/>
      <c r="AG1281" s="870"/>
    </row>
    <row r="1282" spans="1:33" s="995" customFormat="1">
      <c r="A1282" s="974"/>
      <c r="D1282" s="876"/>
      <c r="E1282" s="974"/>
      <c r="F1282" s="876"/>
      <c r="G1282" s="876"/>
      <c r="H1282" s="876"/>
      <c r="I1282" s="876"/>
      <c r="J1282" s="876"/>
      <c r="K1282" s="876"/>
      <c r="L1282" s="876"/>
      <c r="M1282" s="876"/>
      <c r="N1282" s="876"/>
      <c r="O1282" s="876"/>
      <c r="P1282" s="876"/>
      <c r="Q1282" s="870"/>
      <c r="R1282" s="870"/>
      <c r="S1282" s="870"/>
      <c r="T1282" s="870"/>
      <c r="U1282" s="870"/>
      <c r="V1282" s="870"/>
      <c r="W1282" s="870"/>
      <c r="X1282" s="870"/>
      <c r="Y1282" s="870"/>
      <c r="Z1282" s="870"/>
      <c r="AA1282" s="870"/>
      <c r="AB1282" s="870"/>
      <c r="AC1282" s="870"/>
      <c r="AD1282" s="870"/>
      <c r="AE1282" s="870"/>
      <c r="AF1282" s="870"/>
      <c r="AG1282" s="870"/>
    </row>
    <row r="1283" spans="1:33" s="995" customFormat="1">
      <c r="A1283" s="974"/>
      <c r="D1283" s="876"/>
      <c r="E1283" s="974"/>
      <c r="F1283" s="876"/>
      <c r="G1283" s="876"/>
      <c r="H1283" s="876"/>
      <c r="I1283" s="876"/>
      <c r="J1283" s="876"/>
      <c r="K1283" s="876"/>
      <c r="L1283" s="876"/>
      <c r="M1283" s="876"/>
      <c r="N1283" s="876"/>
      <c r="O1283" s="876"/>
      <c r="P1283" s="876"/>
      <c r="Q1283" s="870"/>
      <c r="R1283" s="870"/>
      <c r="S1283" s="870"/>
      <c r="T1283" s="870"/>
      <c r="U1283" s="870"/>
      <c r="V1283" s="870"/>
      <c r="W1283" s="870"/>
      <c r="X1283" s="870"/>
      <c r="Y1283" s="870"/>
      <c r="Z1283" s="870"/>
      <c r="AA1283" s="870"/>
      <c r="AB1283" s="870"/>
      <c r="AC1283" s="870"/>
      <c r="AD1283" s="870"/>
      <c r="AE1283" s="870"/>
      <c r="AF1283" s="870"/>
      <c r="AG1283" s="870"/>
    </row>
    <row r="1284" spans="1:33" s="995" customFormat="1">
      <c r="A1284" s="974"/>
      <c r="D1284" s="876"/>
      <c r="E1284" s="974"/>
      <c r="F1284" s="876"/>
      <c r="G1284" s="876"/>
      <c r="H1284" s="876"/>
      <c r="I1284" s="876"/>
      <c r="J1284" s="876"/>
      <c r="K1284" s="876"/>
      <c r="L1284" s="876"/>
      <c r="M1284" s="876"/>
      <c r="N1284" s="876"/>
      <c r="O1284" s="876"/>
      <c r="P1284" s="876"/>
      <c r="Q1284" s="870"/>
      <c r="R1284" s="870"/>
      <c r="S1284" s="870"/>
      <c r="T1284" s="870"/>
      <c r="U1284" s="870"/>
      <c r="V1284" s="870"/>
      <c r="W1284" s="870"/>
      <c r="X1284" s="870"/>
      <c r="Y1284" s="870"/>
      <c r="Z1284" s="870"/>
      <c r="AA1284" s="870"/>
      <c r="AB1284" s="870"/>
      <c r="AC1284" s="870"/>
      <c r="AD1284" s="870"/>
      <c r="AE1284" s="870"/>
      <c r="AF1284" s="870"/>
      <c r="AG1284" s="870"/>
    </row>
    <row r="1285" spans="1:33" s="995" customFormat="1">
      <c r="A1285" s="974"/>
      <c r="D1285" s="876"/>
      <c r="E1285" s="974"/>
      <c r="F1285" s="876"/>
      <c r="G1285" s="876"/>
      <c r="H1285" s="876"/>
      <c r="I1285" s="876"/>
      <c r="J1285" s="876"/>
      <c r="K1285" s="876"/>
      <c r="L1285" s="876"/>
      <c r="M1285" s="876"/>
      <c r="N1285" s="876"/>
      <c r="O1285" s="876"/>
      <c r="P1285" s="876"/>
      <c r="Q1285" s="870"/>
      <c r="R1285" s="870"/>
      <c r="S1285" s="870"/>
      <c r="T1285" s="870"/>
      <c r="U1285" s="870"/>
      <c r="V1285" s="870"/>
      <c r="W1285" s="870"/>
      <c r="X1285" s="870"/>
      <c r="Y1285" s="870"/>
      <c r="Z1285" s="870"/>
      <c r="AA1285" s="870"/>
      <c r="AB1285" s="870"/>
      <c r="AC1285" s="870"/>
      <c r="AD1285" s="870"/>
      <c r="AE1285" s="870"/>
      <c r="AF1285" s="870"/>
      <c r="AG1285" s="870"/>
    </row>
    <row r="1286" spans="1:33" s="995" customFormat="1">
      <c r="A1286" s="974"/>
      <c r="D1286" s="876"/>
      <c r="E1286" s="974"/>
      <c r="F1286" s="876"/>
      <c r="G1286" s="876"/>
      <c r="H1286" s="876"/>
      <c r="I1286" s="876"/>
      <c r="J1286" s="876"/>
      <c r="K1286" s="876"/>
      <c r="L1286" s="876"/>
      <c r="M1286" s="876"/>
      <c r="N1286" s="876"/>
      <c r="O1286" s="876"/>
      <c r="P1286" s="876"/>
      <c r="Q1286" s="870"/>
      <c r="R1286" s="870"/>
      <c r="S1286" s="870"/>
      <c r="T1286" s="870"/>
      <c r="U1286" s="870"/>
      <c r="V1286" s="870"/>
      <c r="W1286" s="870"/>
      <c r="X1286" s="870"/>
      <c r="Y1286" s="870"/>
      <c r="Z1286" s="870"/>
      <c r="AA1286" s="870"/>
      <c r="AB1286" s="870"/>
      <c r="AC1286" s="870"/>
      <c r="AD1286" s="870"/>
      <c r="AE1286" s="870"/>
      <c r="AF1286" s="870"/>
      <c r="AG1286" s="870"/>
    </row>
    <row r="1287" spans="1:33" s="995" customFormat="1">
      <c r="A1287" s="974"/>
      <c r="D1287" s="876"/>
      <c r="E1287" s="974"/>
      <c r="F1287" s="876"/>
      <c r="G1287" s="876"/>
      <c r="H1287" s="876"/>
      <c r="I1287" s="876"/>
      <c r="J1287" s="876"/>
      <c r="K1287" s="876"/>
      <c r="L1287" s="876"/>
      <c r="M1287" s="876"/>
      <c r="N1287" s="876"/>
      <c r="O1287" s="876"/>
      <c r="P1287" s="876"/>
      <c r="Q1287" s="870"/>
      <c r="R1287" s="870"/>
      <c r="S1287" s="870"/>
      <c r="T1287" s="870"/>
      <c r="U1287" s="870"/>
      <c r="V1287" s="870"/>
      <c r="W1287" s="870"/>
      <c r="X1287" s="870"/>
      <c r="Y1287" s="870"/>
      <c r="Z1287" s="870"/>
      <c r="AA1287" s="870"/>
      <c r="AB1287" s="870"/>
      <c r="AC1287" s="870"/>
      <c r="AD1287" s="870"/>
      <c r="AE1287" s="870"/>
      <c r="AF1287" s="870"/>
      <c r="AG1287" s="870"/>
    </row>
    <row r="1288" spans="1:33" s="995" customFormat="1">
      <c r="A1288" s="974"/>
      <c r="D1288" s="876"/>
      <c r="E1288" s="974"/>
      <c r="F1288" s="876"/>
      <c r="G1288" s="876"/>
      <c r="H1288" s="876"/>
      <c r="I1288" s="876"/>
      <c r="J1288" s="876"/>
      <c r="K1288" s="876"/>
      <c r="L1288" s="876"/>
      <c r="M1288" s="876"/>
      <c r="N1288" s="876"/>
      <c r="O1288" s="876"/>
      <c r="P1288" s="876"/>
      <c r="Q1288" s="870"/>
      <c r="R1288" s="870"/>
      <c r="S1288" s="870"/>
      <c r="T1288" s="870"/>
      <c r="U1288" s="870"/>
      <c r="V1288" s="870"/>
      <c r="W1288" s="870"/>
      <c r="X1288" s="870"/>
      <c r="Y1288" s="870"/>
      <c r="Z1288" s="870"/>
      <c r="AA1288" s="870"/>
      <c r="AB1288" s="870"/>
      <c r="AC1288" s="870"/>
      <c r="AD1288" s="870"/>
      <c r="AE1288" s="870"/>
      <c r="AF1288" s="870"/>
      <c r="AG1288" s="870"/>
    </row>
    <row r="1289" spans="1:33" s="995" customFormat="1">
      <c r="A1289" s="974"/>
      <c r="D1289" s="876"/>
      <c r="E1289" s="974"/>
      <c r="F1289" s="876"/>
      <c r="G1289" s="876"/>
      <c r="H1289" s="876"/>
      <c r="I1289" s="876"/>
      <c r="J1289" s="876"/>
      <c r="K1289" s="876"/>
      <c r="L1289" s="876"/>
      <c r="M1289" s="876"/>
      <c r="N1289" s="876"/>
      <c r="O1289" s="876"/>
      <c r="P1289" s="876"/>
      <c r="Q1289" s="870"/>
      <c r="R1289" s="870"/>
      <c r="S1289" s="870"/>
      <c r="T1289" s="870"/>
      <c r="U1289" s="870"/>
      <c r="V1289" s="870"/>
      <c r="W1289" s="870"/>
      <c r="X1289" s="870"/>
      <c r="Y1289" s="870"/>
      <c r="Z1289" s="870"/>
      <c r="AA1289" s="870"/>
      <c r="AB1289" s="870"/>
      <c r="AC1289" s="870"/>
      <c r="AD1289" s="870"/>
      <c r="AE1289" s="870"/>
      <c r="AF1289" s="870"/>
      <c r="AG1289" s="870"/>
    </row>
    <row r="1290" spans="1:33" s="995" customFormat="1">
      <c r="A1290" s="974"/>
      <c r="D1290" s="876"/>
      <c r="E1290" s="974"/>
      <c r="F1290" s="876"/>
      <c r="G1290" s="876"/>
      <c r="H1290" s="876"/>
      <c r="I1290" s="876"/>
      <c r="J1290" s="876"/>
      <c r="K1290" s="876"/>
      <c r="L1290" s="876"/>
      <c r="M1290" s="876"/>
      <c r="N1290" s="876"/>
      <c r="O1290" s="876"/>
      <c r="P1290" s="876"/>
      <c r="Q1290" s="870"/>
      <c r="R1290" s="870"/>
      <c r="S1290" s="870"/>
      <c r="T1290" s="870"/>
      <c r="U1290" s="870"/>
      <c r="V1290" s="870"/>
      <c r="W1290" s="870"/>
      <c r="X1290" s="870"/>
      <c r="Y1290" s="870"/>
      <c r="Z1290" s="870"/>
      <c r="AA1290" s="870"/>
      <c r="AB1290" s="870"/>
      <c r="AC1290" s="870"/>
      <c r="AD1290" s="870"/>
      <c r="AE1290" s="870"/>
      <c r="AF1290" s="870"/>
      <c r="AG1290" s="870"/>
    </row>
    <row r="1291" spans="1:33" s="995" customFormat="1">
      <c r="A1291" s="974"/>
      <c r="D1291" s="876"/>
      <c r="E1291" s="974"/>
      <c r="F1291" s="876"/>
      <c r="G1291" s="876"/>
      <c r="H1291" s="876"/>
      <c r="I1291" s="876"/>
      <c r="J1291" s="876"/>
      <c r="K1291" s="876"/>
      <c r="L1291" s="876"/>
      <c r="M1291" s="876"/>
      <c r="N1291" s="876"/>
      <c r="O1291" s="876"/>
      <c r="P1291" s="876"/>
      <c r="Q1291" s="870"/>
      <c r="R1291" s="870"/>
      <c r="S1291" s="870"/>
      <c r="T1291" s="870"/>
      <c r="U1291" s="870"/>
      <c r="V1291" s="870"/>
      <c r="W1291" s="870"/>
      <c r="X1291" s="870"/>
      <c r="Y1291" s="870"/>
      <c r="Z1291" s="870"/>
      <c r="AA1291" s="870"/>
      <c r="AB1291" s="870"/>
      <c r="AC1291" s="870"/>
      <c r="AD1291" s="870"/>
      <c r="AE1291" s="870"/>
      <c r="AF1291" s="870"/>
      <c r="AG1291" s="870"/>
    </row>
    <row r="1292" spans="1:33" s="995" customFormat="1">
      <c r="A1292" s="974"/>
      <c r="D1292" s="876"/>
      <c r="E1292" s="974"/>
      <c r="F1292" s="876"/>
      <c r="G1292" s="876"/>
      <c r="H1292" s="876"/>
      <c r="I1292" s="876"/>
      <c r="J1292" s="876"/>
      <c r="K1292" s="876"/>
      <c r="L1292" s="876"/>
      <c r="M1292" s="876"/>
      <c r="N1292" s="876"/>
      <c r="O1292" s="876"/>
      <c r="P1292" s="876"/>
      <c r="Q1292" s="870"/>
      <c r="R1292" s="870"/>
      <c r="S1292" s="870"/>
      <c r="T1292" s="870"/>
      <c r="U1292" s="870"/>
      <c r="V1292" s="870"/>
      <c r="W1292" s="870"/>
      <c r="X1292" s="870"/>
      <c r="Y1292" s="870"/>
      <c r="Z1292" s="870"/>
      <c r="AA1292" s="870"/>
      <c r="AB1292" s="870"/>
      <c r="AC1292" s="870"/>
      <c r="AD1292" s="870"/>
      <c r="AE1292" s="870"/>
      <c r="AF1292" s="870"/>
      <c r="AG1292" s="870"/>
    </row>
    <row r="1293" spans="1:33" s="995" customFormat="1">
      <c r="A1293" s="974"/>
      <c r="D1293" s="876"/>
      <c r="E1293" s="974"/>
      <c r="F1293" s="876"/>
      <c r="G1293" s="876"/>
      <c r="H1293" s="876"/>
      <c r="I1293" s="876"/>
      <c r="J1293" s="876"/>
      <c r="K1293" s="876"/>
      <c r="L1293" s="876"/>
      <c r="M1293" s="876"/>
      <c r="N1293" s="876"/>
      <c r="O1293" s="876"/>
      <c r="P1293" s="876"/>
      <c r="Q1293" s="870"/>
      <c r="R1293" s="870"/>
      <c r="S1293" s="870"/>
      <c r="T1293" s="870"/>
      <c r="U1293" s="870"/>
      <c r="V1293" s="870"/>
      <c r="W1293" s="870"/>
      <c r="X1293" s="870"/>
      <c r="Y1293" s="870"/>
      <c r="Z1293" s="870"/>
      <c r="AA1293" s="870"/>
      <c r="AB1293" s="870"/>
      <c r="AC1293" s="870"/>
      <c r="AD1293" s="870"/>
      <c r="AE1293" s="870"/>
      <c r="AF1293" s="870"/>
      <c r="AG1293" s="870"/>
    </row>
    <row r="1294" spans="1:33" s="995" customFormat="1">
      <c r="A1294" s="974"/>
      <c r="D1294" s="876"/>
      <c r="E1294" s="974"/>
      <c r="F1294" s="876"/>
      <c r="G1294" s="876"/>
      <c r="H1294" s="876"/>
      <c r="I1294" s="876"/>
      <c r="J1294" s="876"/>
      <c r="K1294" s="876"/>
      <c r="L1294" s="876"/>
      <c r="M1294" s="876"/>
      <c r="N1294" s="876"/>
      <c r="O1294" s="876"/>
      <c r="P1294" s="876"/>
      <c r="Q1294" s="870"/>
      <c r="R1294" s="870"/>
      <c r="S1294" s="870"/>
      <c r="T1294" s="870"/>
      <c r="U1294" s="870"/>
      <c r="V1294" s="870"/>
      <c r="W1294" s="870"/>
      <c r="X1294" s="870"/>
      <c r="Y1294" s="870"/>
      <c r="Z1294" s="870"/>
      <c r="AA1294" s="870"/>
      <c r="AB1294" s="870"/>
      <c r="AC1294" s="870"/>
      <c r="AD1294" s="870"/>
      <c r="AE1294" s="870"/>
      <c r="AF1294" s="870"/>
      <c r="AG1294" s="870"/>
    </row>
    <row r="1295" spans="1:33" s="995" customFormat="1">
      <c r="A1295" s="974"/>
      <c r="D1295" s="876"/>
      <c r="E1295" s="974"/>
      <c r="F1295" s="876"/>
      <c r="G1295" s="876"/>
      <c r="H1295" s="876"/>
      <c r="I1295" s="876"/>
      <c r="J1295" s="876"/>
      <c r="K1295" s="876"/>
      <c r="L1295" s="876"/>
      <c r="M1295" s="876"/>
      <c r="N1295" s="876"/>
      <c r="O1295" s="876"/>
      <c r="P1295" s="876"/>
      <c r="Q1295" s="870"/>
      <c r="R1295" s="870"/>
      <c r="S1295" s="870"/>
      <c r="T1295" s="870"/>
      <c r="U1295" s="870"/>
      <c r="V1295" s="870"/>
      <c r="W1295" s="870"/>
      <c r="X1295" s="870"/>
      <c r="Y1295" s="870"/>
      <c r="Z1295" s="870"/>
      <c r="AA1295" s="870"/>
      <c r="AB1295" s="870"/>
      <c r="AC1295" s="870"/>
      <c r="AD1295" s="870"/>
      <c r="AE1295" s="870"/>
      <c r="AF1295" s="870"/>
      <c r="AG1295" s="870"/>
    </row>
    <row r="1296" spans="1:33" s="995" customFormat="1">
      <c r="A1296" s="974"/>
      <c r="D1296" s="876"/>
      <c r="E1296" s="974"/>
      <c r="F1296" s="876"/>
      <c r="G1296" s="876"/>
      <c r="H1296" s="876"/>
      <c r="I1296" s="876"/>
      <c r="J1296" s="876"/>
      <c r="K1296" s="876"/>
      <c r="L1296" s="876"/>
      <c r="M1296" s="876"/>
      <c r="N1296" s="876"/>
      <c r="O1296" s="876"/>
      <c r="P1296" s="876"/>
      <c r="Q1296" s="870"/>
      <c r="R1296" s="870"/>
      <c r="S1296" s="870"/>
      <c r="T1296" s="870"/>
      <c r="U1296" s="870"/>
      <c r="V1296" s="870"/>
      <c r="W1296" s="870"/>
      <c r="X1296" s="870"/>
      <c r="Y1296" s="870"/>
      <c r="Z1296" s="870"/>
      <c r="AA1296" s="870"/>
      <c r="AB1296" s="870"/>
      <c r="AC1296" s="870"/>
      <c r="AD1296" s="870"/>
      <c r="AE1296" s="870"/>
      <c r="AF1296" s="870"/>
      <c r="AG1296" s="870"/>
    </row>
    <row r="1297" spans="1:33" s="995" customFormat="1">
      <c r="A1297" s="974"/>
      <c r="D1297" s="876"/>
      <c r="E1297" s="974"/>
      <c r="F1297" s="876"/>
      <c r="G1297" s="876"/>
      <c r="H1297" s="876"/>
      <c r="I1297" s="876"/>
      <c r="J1297" s="876"/>
      <c r="K1297" s="876"/>
      <c r="L1297" s="876"/>
      <c r="M1297" s="876"/>
      <c r="N1297" s="876"/>
      <c r="O1297" s="876"/>
      <c r="P1297" s="876"/>
      <c r="Q1297" s="870"/>
      <c r="R1297" s="870"/>
      <c r="S1297" s="870"/>
      <c r="T1297" s="870"/>
      <c r="U1297" s="870"/>
      <c r="V1297" s="870"/>
      <c r="W1297" s="870"/>
      <c r="X1297" s="870"/>
      <c r="Y1297" s="870"/>
      <c r="Z1297" s="870"/>
      <c r="AA1297" s="870"/>
      <c r="AB1297" s="870"/>
      <c r="AC1297" s="870"/>
      <c r="AD1297" s="870"/>
      <c r="AE1297" s="870"/>
      <c r="AF1297" s="870"/>
      <c r="AG1297" s="870"/>
    </row>
    <row r="1298" spans="1:33" s="995" customFormat="1">
      <c r="A1298" s="974"/>
      <c r="D1298" s="876"/>
      <c r="E1298" s="974"/>
      <c r="F1298" s="876"/>
      <c r="G1298" s="876"/>
      <c r="H1298" s="876"/>
      <c r="I1298" s="876"/>
      <c r="J1298" s="876"/>
      <c r="K1298" s="876"/>
      <c r="L1298" s="876"/>
      <c r="M1298" s="876"/>
      <c r="N1298" s="876"/>
      <c r="O1298" s="876"/>
      <c r="P1298" s="876"/>
      <c r="Q1298" s="870"/>
      <c r="R1298" s="870"/>
      <c r="S1298" s="870"/>
      <c r="T1298" s="870"/>
      <c r="U1298" s="870"/>
      <c r="V1298" s="870"/>
      <c r="W1298" s="870"/>
      <c r="X1298" s="870"/>
      <c r="Y1298" s="870"/>
      <c r="Z1298" s="870"/>
      <c r="AA1298" s="870"/>
      <c r="AB1298" s="870"/>
      <c r="AC1298" s="870"/>
      <c r="AD1298" s="870"/>
      <c r="AE1298" s="870"/>
      <c r="AF1298" s="870"/>
      <c r="AG1298" s="870"/>
    </row>
    <row r="1299" spans="1:33" s="995" customFormat="1">
      <c r="A1299" s="974"/>
      <c r="D1299" s="876"/>
      <c r="E1299" s="974"/>
      <c r="F1299" s="876"/>
      <c r="G1299" s="876"/>
      <c r="H1299" s="876"/>
      <c r="I1299" s="876"/>
      <c r="J1299" s="876"/>
      <c r="K1299" s="876"/>
      <c r="L1299" s="876"/>
      <c r="M1299" s="876"/>
      <c r="N1299" s="876"/>
      <c r="O1299" s="876"/>
      <c r="P1299" s="876"/>
      <c r="Q1299" s="870"/>
      <c r="R1299" s="870"/>
      <c r="S1299" s="870"/>
      <c r="T1299" s="870"/>
      <c r="U1299" s="870"/>
      <c r="V1299" s="870"/>
      <c r="W1299" s="870"/>
      <c r="X1299" s="870"/>
      <c r="Y1299" s="870"/>
      <c r="Z1299" s="870"/>
      <c r="AA1299" s="870"/>
      <c r="AB1299" s="870"/>
      <c r="AC1299" s="870"/>
      <c r="AD1299" s="870"/>
      <c r="AE1299" s="870"/>
      <c r="AF1299" s="870"/>
      <c r="AG1299" s="870"/>
    </row>
    <row r="1300" spans="1:33" s="995" customFormat="1">
      <c r="A1300" s="974"/>
      <c r="D1300" s="876"/>
      <c r="E1300" s="974"/>
      <c r="F1300" s="876"/>
      <c r="G1300" s="876"/>
      <c r="H1300" s="876"/>
      <c r="I1300" s="876"/>
      <c r="J1300" s="876"/>
      <c r="K1300" s="876"/>
      <c r="L1300" s="876"/>
      <c r="M1300" s="876"/>
      <c r="N1300" s="876"/>
      <c r="O1300" s="876"/>
      <c r="P1300" s="876"/>
      <c r="Q1300" s="870"/>
      <c r="R1300" s="870"/>
      <c r="S1300" s="870"/>
      <c r="T1300" s="870"/>
      <c r="U1300" s="870"/>
      <c r="V1300" s="870"/>
      <c r="W1300" s="870"/>
      <c r="X1300" s="870"/>
      <c r="Y1300" s="870"/>
      <c r="Z1300" s="870"/>
      <c r="AA1300" s="870"/>
      <c r="AB1300" s="870"/>
      <c r="AC1300" s="870"/>
      <c r="AD1300" s="870"/>
      <c r="AE1300" s="870"/>
      <c r="AF1300" s="870"/>
      <c r="AG1300" s="870"/>
    </row>
    <row r="1301" spans="1:33" s="995" customFormat="1">
      <c r="A1301" s="974"/>
      <c r="D1301" s="876"/>
      <c r="E1301" s="974"/>
      <c r="F1301" s="876"/>
      <c r="G1301" s="876"/>
      <c r="H1301" s="876"/>
      <c r="I1301" s="876"/>
      <c r="J1301" s="876"/>
      <c r="K1301" s="876"/>
      <c r="L1301" s="876"/>
      <c r="M1301" s="876"/>
      <c r="N1301" s="876"/>
      <c r="O1301" s="876"/>
      <c r="P1301" s="876"/>
      <c r="Q1301" s="870"/>
      <c r="R1301" s="870"/>
      <c r="S1301" s="870"/>
      <c r="T1301" s="870"/>
      <c r="U1301" s="870"/>
      <c r="V1301" s="870"/>
      <c r="W1301" s="870"/>
      <c r="X1301" s="870"/>
      <c r="Y1301" s="870"/>
      <c r="Z1301" s="870"/>
      <c r="AA1301" s="870"/>
      <c r="AB1301" s="870"/>
      <c r="AC1301" s="870"/>
      <c r="AD1301" s="870"/>
      <c r="AE1301" s="870"/>
      <c r="AF1301" s="870"/>
      <c r="AG1301" s="870"/>
    </row>
    <row r="1302" spans="1:33" s="995" customFormat="1">
      <c r="A1302" s="974"/>
      <c r="D1302" s="876"/>
      <c r="E1302" s="974"/>
      <c r="F1302" s="876"/>
      <c r="G1302" s="876"/>
      <c r="H1302" s="876"/>
      <c r="I1302" s="876"/>
      <c r="J1302" s="876"/>
      <c r="K1302" s="876"/>
      <c r="L1302" s="876"/>
      <c r="M1302" s="876"/>
      <c r="N1302" s="876"/>
      <c r="O1302" s="876"/>
      <c r="P1302" s="876"/>
      <c r="Q1302" s="870"/>
      <c r="R1302" s="870"/>
      <c r="S1302" s="870"/>
      <c r="T1302" s="870"/>
      <c r="U1302" s="870"/>
      <c r="V1302" s="870"/>
      <c r="W1302" s="870"/>
      <c r="X1302" s="870"/>
      <c r="Y1302" s="870"/>
      <c r="Z1302" s="870"/>
      <c r="AA1302" s="870"/>
      <c r="AB1302" s="870"/>
      <c r="AC1302" s="870"/>
      <c r="AD1302" s="870"/>
      <c r="AE1302" s="870"/>
      <c r="AF1302" s="870"/>
      <c r="AG1302" s="870"/>
    </row>
    <row r="1303" spans="1:33" s="995" customFormat="1">
      <c r="A1303" s="974"/>
      <c r="D1303" s="876"/>
      <c r="E1303" s="974"/>
      <c r="F1303" s="876"/>
      <c r="G1303" s="876"/>
      <c r="H1303" s="876"/>
      <c r="I1303" s="876"/>
      <c r="J1303" s="876"/>
      <c r="K1303" s="876"/>
      <c r="L1303" s="876"/>
      <c r="M1303" s="876"/>
      <c r="N1303" s="876"/>
      <c r="O1303" s="876"/>
      <c r="P1303" s="876"/>
      <c r="Q1303" s="870"/>
      <c r="R1303" s="870"/>
      <c r="S1303" s="870"/>
      <c r="T1303" s="870"/>
      <c r="U1303" s="870"/>
      <c r="V1303" s="870"/>
      <c r="W1303" s="870"/>
      <c r="X1303" s="870"/>
      <c r="Y1303" s="870"/>
      <c r="Z1303" s="870"/>
      <c r="AA1303" s="870"/>
      <c r="AB1303" s="870"/>
      <c r="AC1303" s="870"/>
      <c r="AD1303" s="870"/>
      <c r="AE1303" s="870"/>
      <c r="AF1303" s="870"/>
      <c r="AG1303" s="870"/>
    </row>
    <row r="1304" spans="1:33" s="995" customFormat="1">
      <c r="A1304" s="974"/>
      <c r="D1304" s="876"/>
      <c r="E1304" s="974"/>
      <c r="F1304" s="876"/>
      <c r="G1304" s="876"/>
      <c r="H1304" s="876"/>
      <c r="I1304" s="876"/>
      <c r="J1304" s="876"/>
      <c r="K1304" s="876"/>
      <c r="L1304" s="876"/>
      <c r="M1304" s="876"/>
      <c r="N1304" s="876"/>
      <c r="O1304" s="876"/>
      <c r="P1304" s="876"/>
      <c r="Q1304" s="870"/>
      <c r="R1304" s="870"/>
      <c r="S1304" s="870"/>
      <c r="T1304" s="870"/>
      <c r="U1304" s="870"/>
      <c r="V1304" s="870"/>
      <c r="W1304" s="870"/>
      <c r="X1304" s="870"/>
      <c r="Y1304" s="870"/>
      <c r="Z1304" s="870"/>
      <c r="AA1304" s="870"/>
      <c r="AB1304" s="870"/>
      <c r="AC1304" s="870"/>
      <c r="AD1304" s="870"/>
      <c r="AE1304" s="870"/>
      <c r="AF1304" s="870"/>
      <c r="AG1304" s="870"/>
    </row>
    <row r="1305" spans="1:33" s="995" customFormat="1">
      <c r="A1305" s="974"/>
      <c r="D1305" s="876"/>
      <c r="E1305" s="974"/>
      <c r="F1305" s="876"/>
      <c r="G1305" s="876"/>
      <c r="H1305" s="876"/>
      <c r="I1305" s="876"/>
      <c r="J1305" s="876"/>
      <c r="K1305" s="876"/>
      <c r="L1305" s="876"/>
      <c r="M1305" s="876"/>
      <c r="N1305" s="876"/>
      <c r="O1305" s="876"/>
      <c r="P1305" s="876"/>
      <c r="Q1305" s="870"/>
      <c r="R1305" s="870"/>
      <c r="S1305" s="870"/>
      <c r="T1305" s="870"/>
      <c r="U1305" s="870"/>
      <c r="V1305" s="870"/>
      <c r="W1305" s="870"/>
      <c r="X1305" s="870"/>
      <c r="Y1305" s="870"/>
      <c r="Z1305" s="870"/>
      <c r="AA1305" s="870"/>
      <c r="AB1305" s="870"/>
      <c r="AC1305" s="870"/>
      <c r="AD1305" s="870"/>
      <c r="AE1305" s="870"/>
      <c r="AF1305" s="870"/>
      <c r="AG1305" s="870"/>
    </row>
    <row r="1306" spans="1:33" s="995" customFormat="1">
      <c r="A1306" s="974"/>
      <c r="D1306" s="876"/>
      <c r="E1306" s="974"/>
      <c r="F1306" s="876"/>
      <c r="G1306" s="876"/>
      <c r="H1306" s="876"/>
      <c r="I1306" s="876"/>
      <c r="J1306" s="876"/>
      <c r="K1306" s="876"/>
      <c r="L1306" s="876"/>
      <c r="M1306" s="876"/>
      <c r="N1306" s="876"/>
      <c r="O1306" s="876"/>
      <c r="P1306" s="876"/>
      <c r="Q1306" s="870"/>
      <c r="R1306" s="870"/>
      <c r="S1306" s="870"/>
      <c r="T1306" s="870"/>
      <c r="U1306" s="870"/>
      <c r="V1306" s="870"/>
      <c r="W1306" s="870"/>
      <c r="X1306" s="870"/>
      <c r="Y1306" s="870"/>
      <c r="Z1306" s="870"/>
      <c r="AA1306" s="870"/>
      <c r="AB1306" s="870"/>
      <c r="AC1306" s="870"/>
      <c r="AD1306" s="870"/>
      <c r="AE1306" s="870"/>
      <c r="AF1306" s="870"/>
      <c r="AG1306" s="870"/>
    </row>
    <row r="1307" spans="1:33" s="995" customFormat="1">
      <c r="A1307" s="974"/>
      <c r="D1307" s="876"/>
      <c r="E1307" s="974"/>
      <c r="F1307" s="876"/>
      <c r="G1307" s="876"/>
      <c r="H1307" s="876"/>
      <c r="I1307" s="876"/>
      <c r="J1307" s="876"/>
      <c r="K1307" s="876"/>
      <c r="L1307" s="876"/>
      <c r="M1307" s="876"/>
      <c r="N1307" s="876"/>
      <c r="O1307" s="876"/>
      <c r="P1307" s="876"/>
      <c r="Q1307" s="870"/>
      <c r="R1307" s="870"/>
      <c r="S1307" s="870"/>
      <c r="T1307" s="870"/>
      <c r="U1307" s="870"/>
      <c r="V1307" s="870"/>
      <c r="W1307" s="870"/>
      <c r="X1307" s="870"/>
      <c r="Y1307" s="870"/>
      <c r="Z1307" s="870"/>
      <c r="AA1307" s="870"/>
      <c r="AB1307" s="870"/>
      <c r="AC1307" s="870"/>
      <c r="AD1307" s="870"/>
      <c r="AE1307" s="870"/>
      <c r="AF1307" s="870"/>
      <c r="AG1307" s="870"/>
    </row>
    <row r="1308" spans="1:33" s="995" customFormat="1">
      <c r="A1308" s="974"/>
      <c r="D1308" s="876"/>
      <c r="E1308" s="974"/>
      <c r="F1308" s="876"/>
      <c r="G1308" s="876"/>
      <c r="H1308" s="876"/>
      <c r="I1308" s="876"/>
      <c r="J1308" s="876"/>
      <c r="K1308" s="876"/>
      <c r="L1308" s="876"/>
      <c r="M1308" s="876"/>
      <c r="N1308" s="876"/>
      <c r="O1308" s="876"/>
      <c r="P1308" s="876"/>
      <c r="Q1308" s="870"/>
      <c r="R1308" s="870"/>
      <c r="S1308" s="870"/>
      <c r="T1308" s="870"/>
      <c r="U1308" s="870"/>
      <c r="V1308" s="870"/>
      <c r="W1308" s="870"/>
      <c r="X1308" s="870"/>
      <c r="Y1308" s="870"/>
      <c r="Z1308" s="870"/>
      <c r="AA1308" s="870"/>
      <c r="AB1308" s="870"/>
      <c r="AC1308" s="870"/>
      <c r="AD1308" s="870"/>
      <c r="AE1308" s="870"/>
      <c r="AF1308" s="870"/>
      <c r="AG1308" s="870"/>
    </row>
    <row r="1309" spans="1:33" s="995" customFormat="1">
      <c r="A1309" s="974"/>
      <c r="D1309" s="876"/>
      <c r="E1309" s="974"/>
      <c r="F1309" s="876"/>
      <c r="G1309" s="876"/>
      <c r="H1309" s="876"/>
      <c r="I1309" s="876"/>
      <c r="J1309" s="876"/>
      <c r="K1309" s="876"/>
      <c r="L1309" s="876"/>
      <c r="M1309" s="876"/>
      <c r="N1309" s="876"/>
      <c r="O1309" s="876"/>
      <c r="P1309" s="876"/>
      <c r="Q1309" s="870"/>
      <c r="R1309" s="870"/>
      <c r="S1309" s="870"/>
      <c r="T1309" s="870"/>
      <c r="U1309" s="870"/>
      <c r="V1309" s="870"/>
      <c r="W1309" s="870"/>
      <c r="X1309" s="870"/>
      <c r="Y1309" s="870"/>
      <c r="Z1309" s="870"/>
      <c r="AA1309" s="870"/>
      <c r="AB1309" s="870"/>
      <c r="AC1309" s="870"/>
      <c r="AD1309" s="870"/>
      <c r="AE1309" s="870"/>
      <c r="AF1309" s="870"/>
      <c r="AG1309" s="870"/>
    </row>
    <row r="1310" spans="1:33" s="995" customFormat="1">
      <c r="A1310" s="974"/>
      <c r="D1310" s="876"/>
      <c r="E1310" s="974"/>
      <c r="F1310" s="876"/>
      <c r="G1310" s="876"/>
      <c r="H1310" s="876"/>
      <c r="I1310" s="876"/>
      <c r="J1310" s="876"/>
      <c r="K1310" s="876"/>
      <c r="L1310" s="876"/>
      <c r="M1310" s="876"/>
      <c r="N1310" s="876"/>
      <c r="O1310" s="876"/>
      <c r="P1310" s="876"/>
      <c r="Q1310" s="870"/>
      <c r="R1310" s="870"/>
      <c r="S1310" s="870"/>
      <c r="T1310" s="870"/>
      <c r="U1310" s="870"/>
      <c r="V1310" s="870"/>
      <c r="W1310" s="870"/>
      <c r="X1310" s="870"/>
      <c r="Y1310" s="870"/>
      <c r="Z1310" s="870"/>
      <c r="AA1310" s="870"/>
      <c r="AB1310" s="870"/>
      <c r="AC1310" s="870"/>
      <c r="AD1310" s="870"/>
      <c r="AE1310" s="870"/>
      <c r="AF1310" s="870"/>
      <c r="AG1310" s="870"/>
    </row>
    <row r="1311" spans="1:33" s="995" customFormat="1">
      <c r="A1311" s="974"/>
      <c r="D1311" s="876"/>
      <c r="E1311" s="974"/>
      <c r="F1311" s="876"/>
      <c r="G1311" s="876"/>
      <c r="H1311" s="876"/>
      <c r="I1311" s="876"/>
      <c r="J1311" s="876"/>
      <c r="K1311" s="876"/>
      <c r="L1311" s="876"/>
      <c r="M1311" s="876"/>
      <c r="N1311" s="876"/>
      <c r="O1311" s="876"/>
      <c r="P1311" s="876"/>
      <c r="Q1311" s="870"/>
      <c r="R1311" s="870"/>
      <c r="S1311" s="870"/>
      <c r="T1311" s="870"/>
      <c r="U1311" s="870"/>
      <c r="V1311" s="870"/>
      <c r="W1311" s="870"/>
      <c r="X1311" s="870"/>
      <c r="Y1311" s="870"/>
      <c r="Z1311" s="870"/>
      <c r="AA1311" s="870"/>
      <c r="AB1311" s="870"/>
      <c r="AC1311" s="870"/>
      <c r="AD1311" s="870"/>
      <c r="AE1311" s="870"/>
      <c r="AF1311" s="870"/>
      <c r="AG1311" s="870"/>
    </row>
    <row r="1312" spans="1:33" s="995" customFormat="1">
      <c r="A1312" s="974"/>
      <c r="D1312" s="876"/>
      <c r="E1312" s="974"/>
      <c r="F1312" s="876"/>
      <c r="G1312" s="876"/>
      <c r="H1312" s="876"/>
      <c r="I1312" s="876"/>
      <c r="J1312" s="876"/>
      <c r="K1312" s="876"/>
      <c r="L1312" s="876"/>
      <c r="M1312" s="876"/>
      <c r="N1312" s="876"/>
      <c r="O1312" s="876"/>
      <c r="P1312" s="876"/>
      <c r="Q1312" s="870"/>
      <c r="R1312" s="870"/>
      <c r="S1312" s="870"/>
      <c r="T1312" s="870"/>
      <c r="U1312" s="870"/>
      <c r="V1312" s="870"/>
      <c r="W1312" s="870"/>
      <c r="X1312" s="870"/>
      <c r="Y1312" s="870"/>
      <c r="Z1312" s="870"/>
      <c r="AA1312" s="870"/>
      <c r="AB1312" s="870"/>
      <c r="AC1312" s="870"/>
      <c r="AD1312" s="870"/>
      <c r="AE1312" s="870"/>
      <c r="AF1312" s="870"/>
      <c r="AG1312" s="870"/>
    </row>
    <row r="1313" spans="1:33" s="995" customFormat="1">
      <c r="A1313" s="974"/>
      <c r="D1313" s="876"/>
      <c r="E1313" s="974"/>
      <c r="F1313" s="876"/>
      <c r="G1313" s="876"/>
      <c r="H1313" s="876"/>
      <c r="I1313" s="876"/>
      <c r="J1313" s="876"/>
      <c r="K1313" s="876"/>
      <c r="L1313" s="876"/>
      <c r="M1313" s="876"/>
      <c r="N1313" s="876"/>
      <c r="O1313" s="876"/>
      <c r="P1313" s="876"/>
      <c r="Q1313" s="870"/>
      <c r="R1313" s="870"/>
      <c r="S1313" s="870"/>
      <c r="T1313" s="870"/>
      <c r="U1313" s="870"/>
      <c r="V1313" s="870"/>
      <c r="W1313" s="870"/>
      <c r="X1313" s="870"/>
      <c r="Y1313" s="870"/>
      <c r="Z1313" s="870"/>
      <c r="AA1313" s="870"/>
      <c r="AB1313" s="870"/>
      <c r="AC1313" s="870"/>
      <c r="AD1313" s="870"/>
      <c r="AE1313" s="870"/>
      <c r="AF1313" s="870"/>
      <c r="AG1313" s="870"/>
    </row>
    <row r="1314" spans="1:33" s="995" customFormat="1">
      <c r="A1314" s="974"/>
      <c r="D1314" s="876"/>
      <c r="E1314" s="974"/>
      <c r="F1314" s="876"/>
      <c r="G1314" s="876"/>
      <c r="H1314" s="876"/>
      <c r="I1314" s="876"/>
      <c r="J1314" s="876"/>
      <c r="K1314" s="876"/>
      <c r="L1314" s="876"/>
      <c r="M1314" s="876"/>
      <c r="N1314" s="876"/>
      <c r="O1314" s="876"/>
      <c r="P1314" s="876"/>
      <c r="Q1314" s="870"/>
      <c r="R1314" s="870"/>
      <c r="S1314" s="870"/>
      <c r="T1314" s="870"/>
      <c r="U1314" s="870"/>
      <c r="V1314" s="870"/>
      <c r="W1314" s="870"/>
      <c r="X1314" s="870"/>
      <c r="Y1314" s="870"/>
      <c r="Z1314" s="870"/>
      <c r="AA1314" s="870"/>
      <c r="AB1314" s="870"/>
      <c r="AC1314" s="870"/>
      <c r="AD1314" s="870"/>
      <c r="AE1314" s="870"/>
      <c r="AF1314" s="870"/>
      <c r="AG1314" s="870"/>
    </row>
    <row r="1315" spans="1:33" s="995" customFormat="1">
      <c r="A1315" s="974"/>
      <c r="D1315" s="876"/>
      <c r="E1315" s="974"/>
      <c r="F1315" s="876"/>
      <c r="G1315" s="876"/>
      <c r="H1315" s="876"/>
      <c r="I1315" s="876"/>
      <c r="J1315" s="876"/>
      <c r="K1315" s="876"/>
      <c r="L1315" s="876"/>
      <c r="M1315" s="876"/>
      <c r="N1315" s="876"/>
      <c r="O1315" s="876"/>
      <c r="P1315" s="876"/>
      <c r="Q1315" s="870"/>
      <c r="R1315" s="870"/>
      <c r="S1315" s="870"/>
      <c r="T1315" s="870"/>
      <c r="U1315" s="870"/>
      <c r="V1315" s="870"/>
      <c r="W1315" s="870"/>
      <c r="X1315" s="870"/>
      <c r="Y1315" s="870"/>
      <c r="Z1315" s="870"/>
      <c r="AA1315" s="870"/>
      <c r="AB1315" s="870"/>
      <c r="AC1315" s="870"/>
      <c r="AD1315" s="870"/>
      <c r="AE1315" s="870"/>
      <c r="AF1315" s="870"/>
      <c r="AG1315" s="870"/>
    </row>
    <row r="1316" spans="1:33" s="995" customFormat="1">
      <c r="A1316" s="974"/>
      <c r="D1316" s="876"/>
      <c r="E1316" s="974"/>
      <c r="F1316" s="876"/>
      <c r="G1316" s="876"/>
      <c r="H1316" s="876"/>
      <c r="I1316" s="876"/>
      <c r="J1316" s="876"/>
      <c r="K1316" s="876"/>
      <c r="L1316" s="876"/>
      <c r="M1316" s="876"/>
      <c r="N1316" s="876"/>
      <c r="O1316" s="876"/>
      <c r="P1316" s="876"/>
      <c r="Q1316" s="870"/>
      <c r="R1316" s="870"/>
      <c r="S1316" s="870"/>
      <c r="T1316" s="870"/>
      <c r="U1316" s="870"/>
      <c r="V1316" s="870"/>
      <c r="W1316" s="870"/>
      <c r="X1316" s="870"/>
      <c r="Y1316" s="870"/>
      <c r="Z1316" s="870"/>
      <c r="AA1316" s="870"/>
      <c r="AB1316" s="870"/>
      <c r="AC1316" s="870"/>
      <c r="AD1316" s="870"/>
      <c r="AE1316" s="870"/>
      <c r="AF1316" s="870"/>
      <c r="AG1316" s="870"/>
    </row>
    <row r="1317" spans="1:33" s="995" customFormat="1">
      <c r="A1317" s="974"/>
      <c r="D1317" s="876"/>
      <c r="E1317" s="974"/>
      <c r="F1317" s="876"/>
      <c r="G1317" s="876"/>
      <c r="H1317" s="876"/>
      <c r="I1317" s="876"/>
      <c r="J1317" s="876"/>
      <c r="K1317" s="876"/>
      <c r="L1317" s="876"/>
      <c r="M1317" s="876"/>
      <c r="N1317" s="876"/>
      <c r="O1317" s="876"/>
      <c r="P1317" s="876"/>
      <c r="Q1317" s="870"/>
      <c r="R1317" s="870"/>
      <c r="S1317" s="870"/>
      <c r="T1317" s="870"/>
      <c r="U1317" s="870"/>
      <c r="V1317" s="870"/>
      <c r="W1317" s="870"/>
      <c r="X1317" s="870"/>
      <c r="Y1317" s="870"/>
      <c r="Z1317" s="870"/>
      <c r="AA1317" s="870"/>
      <c r="AB1317" s="870"/>
      <c r="AC1317" s="870"/>
      <c r="AD1317" s="870"/>
      <c r="AE1317" s="870"/>
      <c r="AF1317" s="870"/>
      <c r="AG1317" s="870"/>
    </row>
    <row r="1318" spans="1:33" s="995" customFormat="1">
      <c r="A1318" s="974"/>
      <c r="D1318" s="876"/>
      <c r="E1318" s="974"/>
      <c r="F1318" s="876"/>
      <c r="G1318" s="876"/>
      <c r="H1318" s="876"/>
      <c r="I1318" s="876"/>
      <c r="J1318" s="876"/>
      <c r="K1318" s="876"/>
      <c r="L1318" s="876"/>
      <c r="M1318" s="876"/>
      <c r="N1318" s="876"/>
      <c r="O1318" s="876"/>
      <c r="P1318" s="876"/>
      <c r="Q1318" s="870"/>
      <c r="R1318" s="870"/>
      <c r="S1318" s="870"/>
      <c r="T1318" s="870"/>
      <c r="U1318" s="870"/>
      <c r="V1318" s="870"/>
      <c r="W1318" s="870"/>
      <c r="X1318" s="870"/>
      <c r="Y1318" s="870"/>
      <c r="Z1318" s="870"/>
      <c r="AA1318" s="870"/>
      <c r="AB1318" s="870"/>
      <c r="AC1318" s="870"/>
      <c r="AD1318" s="870"/>
      <c r="AE1318" s="870"/>
      <c r="AF1318" s="870"/>
      <c r="AG1318" s="870"/>
    </row>
    <row r="1319" spans="1:33" s="995" customFormat="1">
      <c r="A1319" s="974"/>
      <c r="D1319" s="876"/>
      <c r="E1319" s="974"/>
      <c r="F1319" s="876"/>
      <c r="G1319" s="876"/>
      <c r="H1319" s="876"/>
      <c r="I1319" s="876"/>
      <c r="J1319" s="876"/>
      <c r="K1319" s="876"/>
      <c r="L1319" s="876"/>
      <c r="M1319" s="876"/>
      <c r="N1319" s="876"/>
      <c r="O1319" s="876"/>
      <c r="P1319" s="876"/>
      <c r="Q1319" s="870"/>
      <c r="R1319" s="870"/>
      <c r="S1319" s="870"/>
      <c r="T1319" s="870"/>
      <c r="U1319" s="870"/>
      <c r="V1319" s="870"/>
      <c r="W1319" s="870"/>
      <c r="X1319" s="870"/>
      <c r="Y1319" s="870"/>
      <c r="Z1319" s="870"/>
      <c r="AA1319" s="870"/>
      <c r="AB1319" s="870"/>
      <c r="AC1319" s="870"/>
      <c r="AD1319" s="870"/>
      <c r="AE1319" s="870"/>
      <c r="AF1319" s="870"/>
      <c r="AG1319" s="870"/>
    </row>
    <row r="1320" spans="1:33" s="995" customFormat="1">
      <c r="A1320" s="974"/>
      <c r="D1320" s="876"/>
      <c r="E1320" s="974"/>
      <c r="F1320" s="876"/>
      <c r="G1320" s="876"/>
      <c r="H1320" s="876"/>
      <c r="I1320" s="876"/>
      <c r="J1320" s="876"/>
      <c r="K1320" s="876"/>
      <c r="L1320" s="876"/>
      <c r="M1320" s="876"/>
      <c r="N1320" s="876"/>
      <c r="O1320" s="876"/>
      <c r="P1320" s="876"/>
      <c r="Q1320" s="870"/>
      <c r="R1320" s="870"/>
      <c r="S1320" s="870"/>
      <c r="T1320" s="870"/>
      <c r="U1320" s="870"/>
      <c r="V1320" s="870"/>
      <c r="W1320" s="870"/>
      <c r="X1320" s="870"/>
      <c r="Y1320" s="870"/>
      <c r="Z1320" s="870"/>
      <c r="AA1320" s="870"/>
      <c r="AB1320" s="870"/>
      <c r="AC1320" s="870"/>
      <c r="AD1320" s="870"/>
      <c r="AE1320" s="870"/>
      <c r="AF1320" s="870"/>
      <c r="AG1320" s="870"/>
    </row>
    <row r="1321" spans="1:33" s="995" customFormat="1">
      <c r="A1321" s="974"/>
      <c r="D1321" s="876"/>
      <c r="E1321" s="974"/>
      <c r="F1321" s="876"/>
      <c r="G1321" s="876"/>
      <c r="H1321" s="876"/>
      <c r="I1321" s="876"/>
      <c r="J1321" s="876"/>
      <c r="K1321" s="876"/>
      <c r="L1321" s="876"/>
      <c r="M1321" s="876"/>
      <c r="N1321" s="876"/>
      <c r="O1321" s="876"/>
      <c r="P1321" s="876"/>
      <c r="Q1321" s="870"/>
      <c r="R1321" s="870"/>
      <c r="S1321" s="870"/>
      <c r="T1321" s="870"/>
      <c r="U1321" s="870"/>
      <c r="V1321" s="870"/>
      <c r="W1321" s="870"/>
      <c r="X1321" s="870"/>
      <c r="Y1321" s="870"/>
      <c r="Z1321" s="870"/>
      <c r="AA1321" s="870"/>
      <c r="AB1321" s="870"/>
      <c r="AC1321" s="870"/>
      <c r="AD1321" s="870"/>
      <c r="AE1321" s="870"/>
      <c r="AF1321" s="870"/>
      <c r="AG1321" s="870"/>
    </row>
    <row r="1322" spans="1:33" s="995" customFormat="1">
      <c r="A1322" s="974"/>
      <c r="D1322" s="876"/>
      <c r="E1322" s="974"/>
      <c r="F1322" s="876"/>
      <c r="G1322" s="876"/>
      <c r="H1322" s="876"/>
      <c r="I1322" s="876"/>
      <c r="J1322" s="876"/>
      <c r="K1322" s="876"/>
      <c r="L1322" s="876"/>
      <c r="M1322" s="876"/>
      <c r="N1322" s="876"/>
      <c r="O1322" s="876"/>
      <c r="P1322" s="876"/>
      <c r="Q1322" s="870"/>
      <c r="R1322" s="870"/>
      <c r="S1322" s="870"/>
      <c r="T1322" s="870"/>
      <c r="U1322" s="870"/>
      <c r="V1322" s="870"/>
      <c r="W1322" s="870"/>
      <c r="X1322" s="870"/>
      <c r="Y1322" s="870"/>
      <c r="Z1322" s="870"/>
      <c r="AA1322" s="870"/>
      <c r="AB1322" s="870"/>
      <c r="AC1322" s="870"/>
      <c r="AD1322" s="870"/>
      <c r="AE1322" s="870"/>
      <c r="AF1322" s="870"/>
      <c r="AG1322" s="870"/>
    </row>
    <row r="1323" spans="1:33" s="995" customFormat="1">
      <c r="A1323" s="974"/>
      <c r="D1323" s="876"/>
      <c r="E1323" s="974"/>
      <c r="F1323" s="876"/>
      <c r="G1323" s="876"/>
      <c r="H1323" s="876"/>
      <c r="I1323" s="876"/>
      <c r="J1323" s="876"/>
      <c r="K1323" s="876"/>
      <c r="L1323" s="876"/>
      <c r="M1323" s="876"/>
      <c r="N1323" s="876"/>
      <c r="O1323" s="876"/>
      <c r="P1323" s="876"/>
      <c r="Q1323" s="870"/>
      <c r="R1323" s="870"/>
      <c r="S1323" s="870"/>
      <c r="T1323" s="870"/>
      <c r="U1323" s="870"/>
      <c r="V1323" s="870"/>
      <c r="W1323" s="870"/>
      <c r="X1323" s="870"/>
      <c r="Y1323" s="870"/>
      <c r="Z1323" s="870"/>
      <c r="AA1323" s="870"/>
      <c r="AB1323" s="870"/>
      <c r="AC1323" s="870"/>
      <c r="AD1323" s="870"/>
      <c r="AE1323" s="870"/>
      <c r="AF1323" s="870"/>
      <c r="AG1323" s="870"/>
    </row>
    <row r="1324" spans="1:33" s="995" customFormat="1">
      <c r="A1324" s="974"/>
      <c r="D1324" s="876"/>
      <c r="E1324" s="974"/>
      <c r="F1324" s="876"/>
      <c r="G1324" s="876"/>
      <c r="H1324" s="876"/>
      <c r="I1324" s="876"/>
      <c r="J1324" s="876"/>
      <c r="K1324" s="876"/>
      <c r="L1324" s="876"/>
      <c r="M1324" s="876"/>
      <c r="N1324" s="876"/>
      <c r="O1324" s="876"/>
      <c r="P1324" s="876"/>
      <c r="Q1324" s="870"/>
      <c r="R1324" s="870"/>
      <c r="S1324" s="870"/>
      <c r="T1324" s="870"/>
      <c r="U1324" s="870"/>
      <c r="V1324" s="870"/>
      <c r="W1324" s="870"/>
      <c r="X1324" s="870"/>
      <c r="Y1324" s="870"/>
      <c r="Z1324" s="870"/>
      <c r="AA1324" s="870"/>
      <c r="AB1324" s="870"/>
      <c r="AC1324" s="870"/>
      <c r="AD1324" s="870"/>
      <c r="AE1324" s="870"/>
      <c r="AF1324" s="870"/>
      <c r="AG1324" s="870"/>
    </row>
    <row r="1325" spans="1:33" s="995" customFormat="1">
      <c r="A1325" s="974"/>
      <c r="D1325" s="876"/>
      <c r="E1325" s="974"/>
      <c r="F1325" s="876"/>
      <c r="G1325" s="876"/>
      <c r="H1325" s="876"/>
      <c r="I1325" s="876"/>
      <c r="J1325" s="876"/>
      <c r="K1325" s="876"/>
      <c r="L1325" s="876"/>
      <c r="M1325" s="876"/>
      <c r="N1325" s="876"/>
      <c r="O1325" s="876"/>
      <c r="P1325" s="876"/>
      <c r="Q1325" s="870"/>
      <c r="R1325" s="870"/>
      <c r="S1325" s="870"/>
      <c r="T1325" s="870"/>
      <c r="U1325" s="870"/>
      <c r="V1325" s="870"/>
      <c r="W1325" s="870"/>
      <c r="X1325" s="870"/>
      <c r="Y1325" s="870"/>
      <c r="Z1325" s="870"/>
      <c r="AA1325" s="870"/>
      <c r="AB1325" s="870"/>
      <c r="AC1325" s="870"/>
      <c r="AD1325" s="870"/>
      <c r="AE1325" s="870"/>
      <c r="AF1325" s="870"/>
      <c r="AG1325" s="870"/>
    </row>
    <row r="1326" spans="1:33" s="995" customFormat="1">
      <c r="A1326" s="974"/>
      <c r="D1326" s="876"/>
      <c r="E1326" s="974"/>
      <c r="F1326" s="876"/>
      <c r="G1326" s="876"/>
      <c r="H1326" s="876"/>
      <c r="I1326" s="876"/>
      <c r="J1326" s="876"/>
      <c r="K1326" s="876"/>
      <c r="L1326" s="876"/>
      <c r="M1326" s="876"/>
      <c r="N1326" s="876"/>
      <c r="O1326" s="876"/>
      <c r="P1326" s="876"/>
      <c r="Q1326" s="870"/>
      <c r="R1326" s="870"/>
      <c r="S1326" s="870"/>
      <c r="T1326" s="870"/>
      <c r="U1326" s="870"/>
      <c r="V1326" s="870"/>
      <c r="W1326" s="870"/>
      <c r="X1326" s="870"/>
      <c r="Y1326" s="870"/>
      <c r="Z1326" s="870"/>
      <c r="AA1326" s="870"/>
      <c r="AB1326" s="870"/>
      <c r="AC1326" s="870"/>
      <c r="AD1326" s="870"/>
      <c r="AE1326" s="870"/>
      <c r="AF1326" s="870"/>
      <c r="AG1326" s="870"/>
    </row>
    <row r="1327" spans="1:33" s="995" customFormat="1">
      <c r="A1327" s="974"/>
      <c r="D1327" s="876"/>
      <c r="E1327" s="974"/>
      <c r="F1327" s="876"/>
      <c r="G1327" s="876"/>
      <c r="H1327" s="876"/>
      <c r="I1327" s="876"/>
      <c r="J1327" s="876"/>
      <c r="K1327" s="876"/>
      <c r="L1327" s="876"/>
      <c r="M1327" s="876"/>
      <c r="N1327" s="876"/>
      <c r="O1327" s="876"/>
      <c r="P1327" s="876"/>
      <c r="Q1327" s="870"/>
      <c r="R1327" s="870"/>
      <c r="S1327" s="870"/>
      <c r="T1327" s="870"/>
      <c r="U1327" s="870"/>
      <c r="V1327" s="870"/>
      <c r="W1327" s="870"/>
      <c r="X1327" s="870"/>
      <c r="Y1327" s="870"/>
      <c r="Z1327" s="870"/>
      <c r="AA1327" s="870"/>
      <c r="AB1327" s="870"/>
      <c r="AC1327" s="870"/>
      <c r="AD1327" s="870"/>
      <c r="AE1327" s="870"/>
      <c r="AF1327" s="870"/>
      <c r="AG1327" s="870"/>
    </row>
    <row r="1328" spans="1:33" s="995" customFormat="1">
      <c r="A1328" s="974"/>
      <c r="D1328" s="876"/>
      <c r="E1328" s="974"/>
      <c r="F1328" s="876"/>
      <c r="G1328" s="876"/>
      <c r="H1328" s="876"/>
      <c r="I1328" s="876"/>
      <c r="J1328" s="876"/>
      <c r="K1328" s="876"/>
      <c r="L1328" s="876"/>
      <c r="M1328" s="876"/>
      <c r="N1328" s="876"/>
      <c r="O1328" s="876"/>
      <c r="P1328" s="876"/>
      <c r="Q1328" s="870"/>
      <c r="R1328" s="870"/>
      <c r="S1328" s="870"/>
      <c r="T1328" s="870"/>
      <c r="U1328" s="870"/>
      <c r="V1328" s="870"/>
      <c r="W1328" s="870"/>
      <c r="X1328" s="870"/>
      <c r="Y1328" s="870"/>
      <c r="Z1328" s="870"/>
      <c r="AA1328" s="870"/>
      <c r="AB1328" s="870"/>
      <c r="AC1328" s="870"/>
      <c r="AD1328" s="870"/>
      <c r="AE1328" s="870"/>
      <c r="AF1328" s="870"/>
      <c r="AG1328" s="870"/>
    </row>
    <row r="1329" spans="1:33" s="995" customFormat="1">
      <c r="A1329" s="974"/>
      <c r="D1329" s="876"/>
      <c r="E1329" s="974"/>
      <c r="F1329" s="876"/>
      <c r="G1329" s="876"/>
      <c r="H1329" s="876"/>
      <c r="I1329" s="876"/>
      <c r="J1329" s="876"/>
      <c r="K1329" s="876"/>
      <c r="L1329" s="876"/>
      <c r="M1329" s="876"/>
      <c r="N1329" s="876"/>
      <c r="O1329" s="876"/>
      <c r="P1329" s="876"/>
      <c r="Q1329" s="870"/>
      <c r="R1329" s="870"/>
      <c r="S1329" s="870"/>
      <c r="T1329" s="870"/>
      <c r="U1329" s="870"/>
      <c r="V1329" s="870"/>
      <c r="W1329" s="870"/>
      <c r="X1329" s="870"/>
      <c r="Y1329" s="870"/>
      <c r="Z1329" s="870"/>
      <c r="AA1329" s="870"/>
      <c r="AB1329" s="870"/>
      <c r="AC1329" s="870"/>
      <c r="AD1329" s="870"/>
      <c r="AE1329" s="870"/>
      <c r="AF1329" s="870"/>
      <c r="AG1329" s="870"/>
    </row>
    <row r="1330" spans="1:33" s="995" customFormat="1">
      <c r="A1330" s="974"/>
      <c r="D1330" s="876"/>
      <c r="E1330" s="974"/>
      <c r="F1330" s="876"/>
      <c r="G1330" s="876"/>
      <c r="H1330" s="876"/>
      <c r="I1330" s="876"/>
      <c r="J1330" s="876"/>
      <c r="K1330" s="876"/>
      <c r="L1330" s="876"/>
      <c r="M1330" s="876"/>
      <c r="N1330" s="876"/>
      <c r="O1330" s="876"/>
      <c r="P1330" s="876"/>
      <c r="Q1330" s="870"/>
      <c r="R1330" s="870"/>
      <c r="S1330" s="870"/>
      <c r="T1330" s="870"/>
      <c r="U1330" s="870"/>
      <c r="V1330" s="870"/>
      <c r="W1330" s="870"/>
      <c r="X1330" s="870"/>
      <c r="Y1330" s="870"/>
      <c r="Z1330" s="870"/>
      <c r="AA1330" s="870"/>
      <c r="AB1330" s="870"/>
      <c r="AC1330" s="870"/>
      <c r="AD1330" s="870"/>
      <c r="AE1330" s="870"/>
      <c r="AF1330" s="870"/>
      <c r="AG1330" s="870"/>
    </row>
    <row r="1331" spans="1:33" s="995" customFormat="1">
      <c r="A1331" s="974"/>
      <c r="D1331" s="876"/>
      <c r="E1331" s="974"/>
      <c r="F1331" s="876"/>
      <c r="G1331" s="876"/>
      <c r="H1331" s="876"/>
      <c r="I1331" s="876"/>
      <c r="J1331" s="876"/>
      <c r="K1331" s="876"/>
      <c r="L1331" s="876"/>
      <c r="M1331" s="876"/>
      <c r="N1331" s="876"/>
      <c r="O1331" s="876"/>
      <c r="P1331" s="876"/>
      <c r="Q1331" s="870"/>
      <c r="R1331" s="870"/>
      <c r="S1331" s="870"/>
      <c r="T1331" s="870"/>
      <c r="U1331" s="870"/>
      <c r="V1331" s="870"/>
      <c r="W1331" s="870"/>
      <c r="X1331" s="870"/>
      <c r="Y1331" s="870"/>
      <c r="Z1331" s="870"/>
      <c r="AA1331" s="870"/>
      <c r="AB1331" s="870"/>
      <c r="AC1331" s="870"/>
      <c r="AD1331" s="870"/>
      <c r="AE1331" s="870"/>
      <c r="AF1331" s="870"/>
      <c r="AG1331" s="870"/>
    </row>
    <row r="1332" spans="1:33" s="995" customFormat="1">
      <c r="A1332" s="974"/>
      <c r="D1332" s="876"/>
      <c r="E1332" s="974"/>
      <c r="F1332" s="876"/>
      <c r="G1332" s="876"/>
      <c r="H1332" s="876"/>
      <c r="I1332" s="876"/>
      <c r="J1332" s="876"/>
      <c r="K1332" s="876"/>
      <c r="L1332" s="876"/>
      <c r="M1332" s="876"/>
      <c r="N1332" s="876"/>
      <c r="O1332" s="876"/>
      <c r="P1332" s="876"/>
      <c r="Q1332" s="870"/>
      <c r="R1332" s="870"/>
      <c r="S1332" s="870"/>
      <c r="T1332" s="870"/>
      <c r="U1332" s="870"/>
      <c r="V1332" s="870"/>
      <c r="W1332" s="870"/>
      <c r="X1332" s="870"/>
      <c r="Y1332" s="870"/>
      <c r="Z1332" s="870"/>
      <c r="AA1332" s="870"/>
      <c r="AB1332" s="870"/>
      <c r="AC1332" s="870"/>
      <c r="AD1332" s="870"/>
      <c r="AE1332" s="870"/>
      <c r="AF1332" s="870"/>
      <c r="AG1332" s="870"/>
    </row>
    <row r="1333" spans="1:33" s="995" customFormat="1">
      <c r="A1333" s="974"/>
      <c r="D1333" s="876"/>
      <c r="E1333" s="974"/>
      <c r="F1333" s="876"/>
      <c r="G1333" s="876"/>
      <c r="H1333" s="876"/>
      <c r="I1333" s="876"/>
      <c r="J1333" s="876"/>
      <c r="K1333" s="876"/>
      <c r="L1333" s="876"/>
      <c r="M1333" s="876"/>
      <c r="N1333" s="876"/>
      <c r="O1333" s="876"/>
      <c r="P1333" s="876"/>
      <c r="Q1333" s="870"/>
      <c r="R1333" s="870"/>
      <c r="S1333" s="870"/>
      <c r="T1333" s="870"/>
      <c r="U1333" s="870"/>
      <c r="V1333" s="870"/>
      <c r="W1333" s="870"/>
      <c r="X1333" s="870"/>
      <c r="Y1333" s="870"/>
      <c r="Z1333" s="870"/>
      <c r="AA1333" s="870"/>
      <c r="AB1333" s="870"/>
      <c r="AC1333" s="870"/>
      <c r="AD1333" s="870"/>
      <c r="AE1333" s="870"/>
      <c r="AF1333" s="870"/>
      <c r="AG1333" s="870"/>
    </row>
    <row r="1334" spans="1:33" s="995" customFormat="1">
      <c r="A1334" s="974"/>
      <c r="D1334" s="876"/>
      <c r="E1334" s="974"/>
      <c r="F1334" s="876"/>
      <c r="G1334" s="876"/>
      <c r="H1334" s="876"/>
      <c r="I1334" s="876"/>
      <c r="J1334" s="876"/>
      <c r="K1334" s="876"/>
      <c r="L1334" s="876"/>
      <c r="M1334" s="876"/>
      <c r="N1334" s="876"/>
      <c r="O1334" s="876"/>
      <c r="P1334" s="876"/>
      <c r="Q1334" s="870"/>
      <c r="R1334" s="870"/>
      <c r="S1334" s="870"/>
      <c r="T1334" s="870"/>
      <c r="U1334" s="870"/>
      <c r="V1334" s="870"/>
      <c r="W1334" s="870"/>
      <c r="X1334" s="870"/>
      <c r="Y1334" s="870"/>
      <c r="Z1334" s="870"/>
      <c r="AA1334" s="870"/>
      <c r="AB1334" s="870"/>
      <c r="AC1334" s="870"/>
      <c r="AD1334" s="870"/>
      <c r="AE1334" s="870"/>
      <c r="AF1334" s="870"/>
      <c r="AG1334" s="870"/>
    </row>
    <row r="1335" spans="1:33" s="995" customFormat="1">
      <c r="A1335" s="974"/>
      <c r="D1335" s="876"/>
      <c r="E1335" s="974"/>
      <c r="F1335" s="876"/>
      <c r="G1335" s="876"/>
      <c r="H1335" s="876"/>
      <c r="I1335" s="876"/>
      <c r="J1335" s="876"/>
      <c r="K1335" s="876"/>
      <c r="L1335" s="876"/>
      <c r="M1335" s="876"/>
      <c r="N1335" s="876"/>
      <c r="O1335" s="876"/>
      <c r="P1335" s="876"/>
      <c r="Q1335" s="870"/>
      <c r="R1335" s="870"/>
      <c r="S1335" s="870"/>
      <c r="T1335" s="870"/>
      <c r="U1335" s="870"/>
      <c r="V1335" s="870"/>
      <c r="W1335" s="870"/>
      <c r="X1335" s="870"/>
      <c r="Y1335" s="870"/>
      <c r="Z1335" s="870"/>
      <c r="AA1335" s="870"/>
      <c r="AB1335" s="870"/>
      <c r="AC1335" s="870"/>
      <c r="AD1335" s="870"/>
      <c r="AE1335" s="870"/>
      <c r="AF1335" s="870"/>
      <c r="AG1335" s="870"/>
    </row>
    <row r="1336" spans="1:33" s="995" customFormat="1">
      <c r="A1336" s="974"/>
      <c r="D1336" s="876"/>
      <c r="E1336" s="974"/>
      <c r="F1336" s="876"/>
      <c r="G1336" s="876"/>
      <c r="H1336" s="876"/>
      <c r="I1336" s="876"/>
      <c r="J1336" s="876"/>
      <c r="K1336" s="876"/>
      <c r="L1336" s="876"/>
      <c r="M1336" s="876"/>
      <c r="N1336" s="876"/>
      <c r="O1336" s="876"/>
      <c r="P1336" s="876"/>
      <c r="Q1336" s="870"/>
      <c r="R1336" s="870"/>
      <c r="S1336" s="870"/>
      <c r="T1336" s="870"/>
      <c r="U1336" s="870"/>
      <c r="V1336" s="870"/>
      <c r="W1336" s="870"/>
      <c r="X1336" s="870"/>
      <c r="Y1336" s="870"/>
      <c r="Z1336" s="870"/>
      <c r="AA1336" s="870"/>
      <c r="AB1336" s="870"/>
      <c r="AC1336" s="870"/>
      <c r="AD1336" s="870"/>
      <c r="AE1336" s="870"/>
      <c r="AF1336" s="870"/>
      <c r="AG1336" s="870"/>
    </row>
    <row r="1337" spans="1:33" s="995" customFormat="1">
      <c r="A1337" s="974"/>
      <c r="D1337" s="876"/>
      <c r="E1337" s="974"/>
      <c r="F1337" s="876"/>
      <c r="G1337" s="876"/>
      <c r="H1337" s="876"/>
      <c r="I1337" s="876"/>
      <c r="J1337" s="876"/>
      <c r="K1337" s="876"/>
      <c r="L1337" s="876"/>
      <c r="M1337" s="876"/>
      <c r="N1337" s="876"/>
      <c r="O1337" s="876"/>
      <c r="P1337" s="876"/>
      <c r="Q1337" s="870"/>
      <c r="R1337" s="870"/>
      <c r="S1337" s="870"/>
      <c r="T1337" s="870"/>
      <c r="U1337" s="870"/>
      <c r="V1337" s="870"/>
      <c r="W1337" s="870"/>
      <c r="X1337" s="870"/>
      <c r="Y1337" s="870"/>
      <c r="Z1337" s="870"/>
      <c r="AA1337" s="870"/>
      <c r="AB1337" s="870"/>
      <c r="AC1337" s="870"/>
      <c r="AD1337" s="870"/>
      <c r="AE1337" s="870"/>
      <c r="AF1337" s="870"/>
      <c r="AG1337" s="870"/>
    </row>
    <row r="1338" spans="1:33" s="995" customFormat="1">
      <c r="A1338" s="974"/>
      <c r="D1338" s="876"/>
      <c r="E1338" s="974"/>
      <c r="F1338" s="876"/>
      <c r="G1338" s="876"/>
      <c r="H1338" s="876"/>
      <c r="I1338" s="876"/>
      <c r="J1338" s="876"/>
      <c r="K1338" s="876"/>
      <c r="L1338" s="876"/>
      <c r="M1338" s="876"/>
      <c r="N1338" s="876"/>
      <c r="O1338" s="876"/>
      <c r="P1338" s="876"/>
      <c r="Q1338" s="870"/>
      <c r="R1338" s="870"/>
      <c r="S1338" s="870"/>
      <c r="T1338" s="870"/>
      <c r="U1338" s="870"/>
      <c r="V1338" s="870"/>
      <c r="W1338" s="870"/>
      <c r="X1338" s="870"/>
      <c r="Y1338" s="870"/>
      <c r="Z1338" s="870"/>
      <c r="AA1338" s="870"/>
      <c r="AB1338" s="870"/>
      <c r="AC1338" s="870"/>
      <c r="AD1338" s="870"/>
      <c r="AE1338" s="870"/>
      <c r="AF1338" s="870"/>
      <c r="AG1338" s="870"/>
    </row>
    <row r="1339" spans="1:33" s="995" customFormat="1">
      <c r="A1339" s="974"/>
      <c r="D1339" s="876"/>
      <c r="E1339" s="974"/>
      <c r="F1339" s="876"/>
      <c r="G1339" s="876"/>
      <c r="H1339" s="876"/>
      <c r="I1339" s="876"/>
      <c r="J1339" s="876"/>
      <c r="K1339" s="876"/>
      <c r="L1339" s="876"/>
      <c r="M1339" s="876"/>
      <c r="N1339" s="876"/>
      <c r="O1339" s="876"/>
      <c r="P1339" s="876"/>
      <c r="Q1339" s="870"/>
      <c r="R1339" s="870"/>
      <c r="S1339" s="870"/>
      <c r="T1339" s="870"/>
      <c r="U1339" s="870"/>
      <c r="V1339" s="870"/>
      <c r="W1339" s="870"/>
      <c r="X1339" s="870"/>
      <c r="Y1339" s="870"/>
      <c r="Z1339" s="870"/>
      <c r="AA1339" s="870"/>
      <c r="AB1339" s="870"/>
      <c r="AC1339" s="870"/>
      <c r="AD1339" s="870"/>
      <c r="AE1339" s="870"/>
      <c r="AF1339" s="870"/>
      <c r="AG1339" s="870"/>
    </row>
    <row r="1340" spans="1:33" s="995" customFormat="1">
      <c r="A1340" s="974"/>
      <c r="D1340" s="876"/>
      <c r="E1340" s="974"/>
      <c r="F1340" s="876"/>
      <c r="G1340" s="876"/>
      <c r="H1340" s="876"/>
      <c r="I1340" s="876"/>
      <c r="J1340" s="876"/>
      <c r="K1340" s="876"/>
      <c r="L1340" s="876"/>
      <c r="M1340" s="876"/>
      <c r="N1340" s="876"/>
      <c r="O1340" s="876"/>
      <c r="P1340" s="876"/>
      <c r="Q1340" s="870"/>
      <c r="R1340" s="870"/>
      <c r="S1340" s="870"/>
      <c r="T1340" s="870"/>
      <c r="U1340" s="870"/>
      <c r="V1340" s="870"/>
      <c r="W1340" s="870"/>
      <c r="X1340" s="870"/>
      <c r="Y1340" s="870"/>
      <c r="Z1340" s="870"/>
      <c r="AA1340" s="870"/>
      <c r="AB1340" s="870"/>
      <c r="AC1340" s="870"/>
      <c r="AD1340" s="870"/>
      <c r="AE1340" s="870"/>
      <c r="AF1340" s="870"/>
      <c r="AG1340" s="870"/>
    </row>
    <row r="1341" spans="1:33" s="995" customFormat="1">
      <c r="A1341" s="974"/>
      <c r="D1341" s="876"/>
      <c r="E1341" s="974"/>
      <c r="F1341" s="876"/>
      <c r="G1341" s="876"/>
      <c r="H1341" s="876"/>
      <c r="I1341" s="876"/>
      <c r="J1341" s="876"/>
      <c r="K1341" s="876"/>
      <c r="L1341" s="876"/>
      <c r="M1341" s="876"/>
      <c r="N1341" s="876"/>
      <c r="O1341" s="876"/>
      <c r="P1341" s="876"/>
      <c r="Q1341" s="870"/>
      <c r="R1341" s="870"/>
      <c r="S1341" s="870"/>
      <c r="T1341" s="870"/>
      <c r="U1341" s="870"/>
      <c r="V1341" s="870"/>
      <c r="W1341" s="870"/>
      <c r="X1341" s="870"/>
      <c r="Y1341" s="870"/>
      <c r="Z1341" s="870"/>
      <c r="AA1341" s="870"/>
      <c r="AB1341" s="870"/>
      <c r="AC1341" s="870"/>
      <c r="AD1341" s="870"/>
      <c r="AE1341" s="870"/>
      <c r="AF1341" s="870"/>
      <c r="AG1341" s="870"/>
    </row>
    <row r="1342" spans="1:33" s="995" customFormat="1">
      <c r="A1342" s="974"/>
      <c r="D1342" s="876"/>
      <c r="E1342" s="974"/>
      <c r="F1342" s="876"/>
      <c r="G1342" s="876"/>
      <c r="H1342" s="876"/>
      <c r="I1342" s="876"/>
      <c r="J1342" s="876"/>
      <c r="K1342" s="876"/>
      <c r="L1342" s="876"/>
      <c r="M1342" s="876"/>
      <c r="N1342" s="876"/>
      <c r="O1342" s="876"/>
      <c r="P1342" s="876"/>
      <c r="Q1342" s="870"/>
      <c r="R1342" s="870"/>
      <c r="S1342" s="870"/>
      <c r="T1342" s="870"/>
      <c r="U1342" s="870"/>
      <c r="V1342" s="870"/>
      <c r="W1342" s="870"/>
      <c r="X1342" s="870"/>
      <c r="Y1342" s="870"/>
      <c r="Z1342" s="870"/>
      <c r="AA1342" s="870"/>
      <c r="AB1342" s="870"/>
      <c r="AC1342" s="870"/>
      <c r="AD1342" s="870"/>
      <c r="AE1342" s="870"/>
      <c r="AF1342" s="870"/>
      <c r="AG1342" s="870"/>
    </row>
    <row r="1343" spans="1:33" s="995" customFormat="1">
      <c r="A1343" s="974"/>
      <c r="D1343" s="876"/>
      <c r="E1343" s="974"/>
      <c r="F1343" s="876"/>
      <c r="G1343" s="876"/>
      <c r="H1343" s="876"/>
      <c r="I1343" s="876"/>
      <c r="J1343" s="876"/>
      <c r="K1343" s="876"/>
      <c r="L1343" s="876"/>
      <c r="M1343" s="876"/>
      <c r="N1343" s="876"/>
      <c r="O1343" s="876"/>
      <c r="P1343" s="876"/>
      <c r="Q1343" s="870"/>
      <c r="R1343" s="870"/>
      <c r="S1343" s="870"/>
      <c r="T1343" s="870"/>
      <c r="U1343" s="870"/>
      <c r="V1343" s="870"/>
      <c r="W1343" s="870"/>
      <c r="X1343" s="870"/>
      <c r="Y1343" s="870"/>
      <c r="Z1343" s="870"/>
      <c r="AA1343" s="870"/>
      <c r="AB1343" s="870"/>
      <c r="AC1343" s="870"/>
      <c r="AD1343" s="870"/>
      <c r="AE1343" s="870"/>
      <c r="AF1343" s="870"/>
      <c r="AG1343" s="870"/>
    </row>
    <row r="1344" spans="1:33" s="995" customFormat="1">
      <c r="A1344" s="974"/>
      <c r="D1344" s="876"/>
      <c r="E1344" s="974"/>
      <c r="F1344" s="876"/>
      <c r="G1344" s="876"/>
      <c r="H1344" s="876"/>
      <c r="I1344" s="876"/>
      <c r="J1344" s="876"/>
      <c r="K1344" s="876"/>
      <c r="L1344" s="876"/>
      <c r="M1344" s="876"/>
      <c r="N1344" s="876"/>
      <c r="O1344" s="876"/>
      <c r="P1344" s="876"/>
      <c r="Q1344" s="870"/>
      <c r="R1344" s="870"/>
      <c r="S1344" s="870"/>
      <c r="T1344" s="870"/>
      <c r="U1344" s="870"/>
      <c r="V1344" s="870"/>
      <c r="W1344" s="870"/>
      <c r="X1344" s="870"/>
      <c r="Y1344" s="870"/>
      <c r="Z1344" s="870"/>
      <c r="AA1344" s="870"/>
      <c r="AB1344" s="870"/>
      <c r="AC1344" s="870"/>
      <c r="AD1344" s="870"/>
      <c r="AE1344" s="870"/>
      <c r="AF1344" s="870"/>
      <c r="AG1344" s="870"/>
    </row>
    <row r="1345" spans="1:33" s="995" customFormat="1">
      <c r="A1345" s="974"/>
      <c r="D1345" s="876"/>
      <c r="E1345" s="974"/>
      <c r="F1345" s="876"/>
      <c r="G1345" s="876"/>
      <c r="H1345" s="876"/>
      <c r="I1345" s="876"/>
      <c r="J1345" s="876"/>
      <c r="K1345" s="876"/>
      <c r="L1345" s="876"/>
      <c r="M1345" s="876"/>
      <c r="N1345" s="876"/>
      <c r="O1345" s="876"/>
      <c r="P1345" s="876"/>
      <c r="Q1345" s="870"/>
      <c r="R1345" s="870"/>
      <c r="S1345" s="870"/>
      <c r="T1345" s="870"/>
      <c r="U1345" s="870"/>
      <c r="V1345" s="870"/>
      <c r="W1345" s="870"/>
      <c r="X1345" s="870"/>
      <c r="Y1345" s="870"/>
      <c r="Z1345" s="870"/>
      <c r="AA1345" s="870"/>
      <c r="AB1345" s="870"/>
      <c r="AC1345" s="870"/>
      <c r="AD1345" s="870"/>
      <c r="AE1345" s="870"/>
      <c r="AF1345" s="870"/>
      <c r="AG1345" s="870"/>
    </row>
    <row r="1346" spans="1:33" s="995" customFormat="1">
      <c r="A1346" s="974"/>
      <c r="D1346" s="876"/>
      <c r="E1346" s="974"/>
      <c r="F1346" s="876"/>
      <c r="G1346" s="876"/>
      <c r="H1346" s="876"/>
      <c r="I1346" s="876"/>
      <c r="J1346" s="876"/>
      <c r="K1346" s="876"/>
      <c r="L1346" s="876"/>
      <c r="M1346" s="876"/>
      <c r="N1346" s="876"/>
      <c r="O1346" s="876"/>
      <c r="P1346" s="876"/>
      <c r="Q1346" s="870"/>
      <c r="R1346" s="870"/>
      <c r="S1346" s="870"/>
      <c r="T1346" s="870"/>
      <c r="U1346" s="870"/>
      <c r="V1346" s="870"/>
      <c r="W1346" s="870"/>
      <c r="X1346" s="870"/>
      <c r="Y1346" s="870"/>
      <c r="Z1346" s="870"/>
      <c r="AA1346" s="870"/>
      <c r="AB1346" s="870"/>
      <c r="AC1346" s="870"/>
      <c r="AD1346" s="870"/>
      <c r="AE1346" s="870"/>
      <c r="AF1346" s="870"/>
      <c r="AG1346" s="870"/>
    </row>
    <row r="1347" spans="1:33" s="995" customFormat="1">
      <c r="A1347" s="974"/>
      <c r="D1347" s="876"/>
      <c r="E1347" s="974"/>
      <c r="F1347" s="876"/>
      <c r="G1347" s="876"/>
      <c r="H1347" s="876"/>
      <c r="I1347" s="876"/>
      <c r="J1347" s="876"/>
      <c r="K1347" s="876"/>
      <c r="L1347" s="876"/>
      <c r="M1347" s="876"/>
      <c r="N1347" s="876"/>
      <c r="O1347" s="876"/>
      <c r="P1347" s="876"/>
      <c r="Q1347" s="870"/>
      <c r="R1347" s="870"/>
      <c r="S1347" s="870"/>
      <c r="T1347" s="870"/>
      <c r="U1347" s="870"/>
      <c r="V1347" s="870"/>
      <c r="W1347" s="870"/>
      <c r="X1347" s="870"/>
      <c r="Y1347" s="870"/>
      <c r="Z1347" s="870"/>
      <c r="AA1347" s="870"/>
      <c r="AB1347" s="870"/>
      <c r="AC1347" s="870"/>
      <c r="AD1347" s="870"/>
      <c r="AE1347" s="870"/>
      <c r="AF1347" s="870"/>
      <c r="AG1347" s="870"/>
    </row>
    <row r="1348" spans="1:33" s="995" customFormat="1">
      <c r="A1348" s="974"/>
      <c r="D1348" s="876"/>
      <c r="E1348" s="974"/>
      <c r="F1348" s="876"/>
      <c r="G1348" s="876"/>
      <c r="H1348" s="876"/>
      <c r="I1348" s="876"/>
      <c r="J1348" s="876"/>
      <c r="K1348" s="876"/>
      <c r="L1348" s="876"/>
      <c r="M1348" s="876"/>
      <c r="N1348" s="876"/>
      <c r="O1348" s="876"/>
      <c r="P1348" s="876"/>
      <c r="Q1348" s="870"/>
      <c r="R1348" s="870"/>
      <c r="S1348" s="870"/>
      <c r="T1348" s="870"/>
      <c r="U1348" s="870"/>
      <c r="V1348" s="870"/>
      <c r="W1348" s="870"/>
      <c r="X1348" s="870"/>
      <c r="Y1348" s="870"/>
      <c r="Z1348" s="870"/>
      <c r="AA1348" s="870"/>
      <c r="AB1348" s="870"/>
      <c r="AC1348" s="870"/>
      <c r="AD1348" s="870"/>
      <c r="AE1348" s="870"/>
      <c r="AF1348" s="870"/>
      <c r="AG1348" s="870"/>
    </row>
    <row r="1349" spans="1:33" s="995" customFormat="1">
      <c r="A1349" s="974"/>
      <c r="D1349" s="876"/>
      <c r="E1349" s="974"/>
      <c r="F1349" s="876"/>
      <c r="G1349" s="876"/>
      <c r="H1349" s="876"/>
      <c r="I1349" s="876"/>
      <c r="J1349" s="876"/>
      <c r="K1349" s="876"/>
      <c r="L1349" s="876"/>
      <c r="M1349" s="876"/>
      <c r="N1349" s="876"/>
      <c r="O1349" s="876"/>
      <c r="P1349" s="876"/>
      <c r="Q1349" s="870"/>
      <c r="R1349" s="870"/>
      <c r="S1349" s="870"/>
      <c r="T1349" s="870"/>
      <c r="U1349" s="870"/>
      <c r="V1349" s="870"/>
      <c r="W1349" s="870"/>
      <c r="X1349" s="870"/>
      <c r="Y1349" s="870"/>
      <c r="Z1349" s="870"/>
      <c r="AA1349" s="870"/>
      <c r="AB1349" s="870"/>
      <c r="AC1349" s="870"/>
      <c r="AD1349" s="870"/>
      <c r="AE1349" s="870"/>
      <c r="AF1349" s="870"/>
      <c r="AG1349" s="870"/>
    </row>
    <row r="1350" spans="1:33" s="995" customFormat="1">
      <c r="A1350" s="974"/>
      <c r="D1350" s="876"/>
      <c r="E1350" s="974"/>
      <c r="F1350" s="876"/>
      <c r="G1350" s="876"/>
      <c r="H1350" s="876"/>
      <c r="I1350" s="876"/>
      <c r="J1350" s="876"/>
      <c r="K1350" s="876"/>
      <c r="L1350" s="876"/>
      <c r="M1350" s="876"/>
      <c r="N1350" s="876"/>
      <c r="O1350" s="876"/>
      <c r="P1350" s="876"/>
      <c r="Q1350" s="870"/>
      <c r="R1350" s="870"/>
      <c r="S1350" s="870"/>
      <c r="T1350" s="870"/>
      <c r="U1350" s="870"/>
      <c r="V1350" s="870"/>
      <c r="W1350" s="870"/>
      <c r="X1350" s="870"/>
      <c r="Y1350" s="870"/>
      <c r="Z1350" s="870"/>
      <c r="AA1350" s="870"/>
      <c r="AB1350" s="870"/>
      <c r="AC1350" s="870"/>
      <c r="AD1350" s="870"/>
      <c r="AE1350" s="870"/>
      <c r="AF1350" s="870"/>
      <c r="AG1350" s="870"/>
    </row>
    <row r="1351" spans="1:33" s="995" customFormat="1">
      <c r="A1351" s="974"/>
      <c r="D1351" s="876"/>
      <c r="E1351" s="974"/>
      <c r="F1351" s="876"/>
      <c r="G1351" s="876"/>
      <c r="H1351" s="876"/>
      <c r="I1351" s="876"/>
      <c r="J1351" s="876"/>
      <c r="K1351" s="876"/>
      <c r="L1351" s="876"/>
      <c r="M1351" s="876"/>
      <c r="N1351" s="876"/>
      <c r="O1351" s="876"/>
      <c r="P1351" s="876"/>
      <c r="Q1351" s="870"/>
      <c r="R1351" s="870"/>
      <c r="S1351" s="870"/>
      <c r="T1351" s="870"/>
      <c r="U1351" s="870"/>
      <c r="V1351" s="870"/>
      <c r="W1351" s="870"/>
      <c r="X1351" s="870"/>
      <c r="Y1351" s="870"/>
      <c r="Z1351" s="870"/>
      <c r="AA1351" s="870"/>
      <c r="AB1351" s="870"/>
      <c r="AC1351" s="870"/>
      <c r="AD1351" s="870"/>
      <c r="AE1351" s="870"/>
      <c r="AF1351" s="870"/>
      <c r="AG1351" s="870"/>
    </row>
    <row r="1352" spans="1:33" s="995" customFormat="1">
      <c r="A1352" s="974"/>
      <c r="D1352" s="876"/>
      <c r="E1352" s="974"/>
      <c r="F1352" s="876"/>
      <c r="G1352" s="876"/>
      <c r="H1352" s="876"/>
      <c r="I1352" s="876"/>
      <c r="J1352" s="876"/>
      <c r="K1352" s="876"/>
      <c r="L1352" s="876"/>
      <c r="M1352" s="876"/>
      <c r="N1352" s="876"/>
      <c r="O1352" s="876"/>
      <c r="P1352" s="876"/>
      <c r="Q1352" s="870"/>
      <c r="R1352" s="870"/>
      <c r="S1352" s="870"/>
      <c r="T1352" s="870"/>
      <c r="U1352" s="870"/>
      <c r="V1352" s="870"/>
      <c r="W1352" s="870"/>
      <c r="X1352" s="870"/>
      <c r="Y1352" s="870"/>
      <c r="Z1352" s="870"/>
      <c r="AA1352" s="870"/>
      <c r="AB1352" s="870"/>
      <c r="AC1352" s="870"/>
      <c r="AD1352" s="870"/>
      <c r="AE1352" s="870"/>
      <c r="AF1352" s="870"/>
      <c r="AG1352" s="870"/>
    </row>
    <row r="1353" spans="1:33" s="995" customFormat="1">
      <c r="A1353" s="974"/>
      <c r="D1353" s="876"/>
      <c r="E1353" s="974"/>
      <c r="F1353" s="876"/>
      <c r="G1353" s="876"/>
      <c r="H1353" s="876"/>
      <c r="I1353" s="876"/>
      <c r="J1353" s="876"/>
      <c r="K1353" s="876"/>
      <c r="L1353" s="876"/>
      <c r="M1353" s="876"/>
      <c r="N1353" s="876"/>
      <c r="O1353" s="876"/>
      <c r="P1353" s="876"/>
      <c r="Q1353" s="870"/>
      <c r="R1353" s="870"/>
      <c r="S1353" s="870"/>
      <c r="T1353" s="870"/>
      <c r="U1353" s="870"/>
      <c r="V1353" s="870"/>
      <c r="W1353" s="870"/>
      <c r="X1353" s="870"/>
      <c r="Y1353" s="870"/>
      <c r="Z1353" s="870"/>
      <c r="AA1353" s="870"/>
      <c r="AB1353" s="870"/>
      <c r="AC1353" s="870"/>
      <c r="AD1353" s="870"/>
      <c r="AE1353" s="870"/>
      <c r="AF1353" s="870"/>
      <c r="AG1353" s="870"/>
    </row>
  </sheetData>
  <mergeCells count="77">
    <mergeCell ref="D228:D230"/>
    <mergeCell ref="D197:D198"/>
    <mergeCell ref="D199:D205"/>
    <mergeCell ref="D206:D213"/>
    <mergeCell ref="D214:D215"/>
    <mergeCell ref="A217:AG217"/>
    <mergeCell ref="A220:AG220"/>
    <mergeCell ref="D189:D196"/>
    <mergeCell ref="A124:AG124"/>
    <mergeCell ref="A129:AG129"/>
    <mergeCell ref="D135:D136"/>
    <mergeCell ref="D138:D139"/>
    <mergeCell ref="D141:D142"/>
    <mergeCell ref="D143:D144"/>
    <mergeCell ref="D145:D167"/>
    <mergeCell ref="A169:AG169"/>
    <mergeCell ref="A170:AG170"/>
    <mergeCell ref="A173:AG173"/>
    <mergeCell ref="D174:D188"/>
    <mergeCell ref="D104:D122"/>
    <mergeCell ref="A38:AG38"/>
    <mergeCell ref="D39:D40"/>
    <mergeCell ref="D42:D46"/>
    <mergeCell ref="D47:D55"/>
    <mergeCell ref="D56:D65"/>
    <mergeCell ref="D68:D71"/>
    <mergeCell ref="D74:D75"/>
    <mergeCell ref="D79:D80"/>
    <mergeCell ref="D81:D92"/>
    <mergeCell ref="D93:D96"/>
    <mergeCell ref="D97:D103"/>
    <mergeCell ref="AG14:AG15"/>
    <mergeCell ref="A16:AG16"/>
    <mergeCell ref="D18:D19"/>
    <mergeCell ref="D20:D21"/>
    <mergeCell ref="D24:D25"/>
    <mergeCell ref="AE14:AE15"/>
    <mergeCell ref="AF14:AF15"/>
    <mergeCell ref="T14:T15"/>
    <mergeCell ref="I14:I15"/>
    <mergeCell ref="J14:J15"/>
    <mergeCell ref="K14:K15"/>
    <mergeCell ref="L14:L15"/>
    <mergeCell ref="M14:M15"/>
    <mergeCell ref="N14:N15"/>
    <mergeCell ref="D30:D31"/>
    <mergeCell ref="AA14:AA15"/>
    <mergeCell ref="AB14:AB15"/>
    <mergeCell ref="AC14:AC15"/>
    <mergeCell ref="AD14:AD15"/>
    <mergeCell ref="U14:U15"/>
    <mergeCell ref="V14:V15"/>
    <mergeCell ref="W14:W15"/>
    <mergeCell ref="X14:X15"/>
    <mergeCell ref="Y14:Y15"/>
    <mergeCell ref="Z14:Z15"/>
    <mergeCell ref="O14:O15"/>
    <mergeCell ref="P14:P15"/>
    <mergeCell ref="Q14:Q15"/>
    <mergeCell ref="R14:R15"/>
    <mergeCell ref="S14:S15"/>
    <mergeCell ref="A11:P11"/>
    <mergeCell ref="A13:P13"/>
    <mergeCell ref="A14:A15"/>
    <mergeCell ref="B14:B15"/>
    <mergeCell ref="C14:C15"/>
    <mergeCell ref="D14:D15"/>
    <mergeCell ref="E14:E15"/>
    <mergeCell ref="F14:F15"/>
    <mergeCell ref="G14:G15"/>
    <mergeCell ref="H14:H15"/>
    <mergeCell ref="A10:P10"/>
    <mergeCell ref="A1:G5"/>
    <mergeCell ref="M1:M4"/>
    <mergeCell ref="AB1:AG5"/>
    <mergeCell ref="A8:P8"/>
    <mergeCell ref="A9:P9"/>
  </mergeCells>
  <printOptions horizontalCentered="1"/>
  <pageMargins left="0.23622047244094491" right="0.19685039370078741" top="0.35433070866141736" bottom="0.43307086614173229" header="0.31496062992125984" footer="0.31496062992125984"/>
  <pageSetup paperSize="9" scale="55"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094B2-B6BE-408C-BA94-EBEF9DB4F417}">
  <dimension ref="A1:AG1353"/>
  <sheetViews>
    <sheetView topLeftCell="A7" zoomScale="80" zoomScaleNormal="80" zoomScaleSheetLayoutView="90" zoomScalePageLayoutView="70" workbookViewId="0">
      <pane xSplit="2" ySplit="10" topLeftCell="O230" activePane="bottomRight" state="frozen"/>
      <selection activeCell="A7" sqref="A7"/>
      <selection pane="topRight" activeCell="C7" sqref="C7"/>
      <selection pane="bottomLeft" activeCell="A17" sqref="A17"/>
      <selection pane="bottomRight" activeCell="G102" sqref="G102"/>
    </sheetView>
  </sheetViews>
  <sheetFormatPr defaultColWidth="9.140625" defaultRowHeight="15.75"/>
  <cols>
    <col min="1" max="1" width="6" style="918" customWidth="1"/>
    <col min="2" max="2" width="32.85546875" style="995" customWidth="1"/>
    <col min="3" max="3" width="35.28515625" style="995" customWidth="1"/>
    <col min="4" max="4" width="8.140625" style="876" customWidth="1"/>
    <col min="5" max="5" width="10.7109375" style="974" customWidth="1"/>
    <col min="6" max="6" width="10.5703125" style="876" hidden="1" customWidth="1"/>
    <col min="7" max="7" width="13.42578125" style="876" customWidth="1"/>
    <col min="8" max="8" width="10.28515625" style="876" customWidth="1"/>
    <col min="9" max="9" width="15.140625" style="876" customWidth="1"/>
    <col min="10" max="10" width="14.5703125" style="876" customWidth="1"/>
    <col min="11" max="16" width="14.7109375" style="876" customWidth="1"/>
    <col min="17" max="18" width="14.7109375" style="870" customWidth="1"/>
    <col min="19" max="19" width="14.42578125" style="870" customWidth="1"/>
    <col min="20" max="20" width="15.42578125" style="870" customWidth="1"/>
    <col min="21" max="22" width="14" style="870" customWidth="1"/>
    <col min="23" max="23" width="14.28515625" style="870" customWidth="1"/>
    <col min="24" max="24" width="15" style="870" customWidth="1"/>
    <col min="25" max="25" width="17" style="870" customWidth="1"/>
    <col min="26" max="26" width="15" style="870" customWidth="1"/>
    <col min="27" max="27" width="17" style="870" customWidth="1"/>
    <col min="28" max="28" width="15" style="870" customWidth="1"/>
    <col min="29" max="29" width="15.5703125" style="870" customWidth="1"/>
    <col min="30" max="30" width="15.140625" style="870" customWidth="1"/>
    <col min="31" max="31" width="16" style="870" customWidth="1"/>
    <col min="32" max="32" width="16.42578125" style="870" customWidth="1"/>
    <col min="33" max="16384" width="9.140625" style="870"/>
  </cols>
  <sheetData>
    <row r="1" spans="1:33" ht="15.75" customHeight="1">
      <c r="A1" s="1539"/>
      <c r="B1" s="1539"/>
      <c r="C1" s="1539"/>
      <c r="D1" s="1539"/>
      <c r="E1" s="1539"/>
      <c r="F1" s="1539"/>
      <c r="G1" s="1539"/>
      <c r="H1" s="869"/>
      <c r="I1" s="869"/>
      <c r="J1" s="869"/>
      <c r="K1" s="870"/>
      <c r="L1" s="870"/>
      <c r="M1" s="1540"/>
      <c r="N1" s="871"/>
      <c r="O1" s="871"/>
      <c r="P1" s="871"/>
      <c r="Q1" s="871"/>
      <c r="R1" s="871"/>
      <c r="S1" s="871"/>
      <c r="T1" s="871"/>
      <c r="U1" s="871"/>
      <c r="V1" s="871"/>
      <c r="W1" s="871"/>
      <c r="X1" s="871"/>
      <c r="Y1" s="871"/>
      <c r="Z1" s="871"/>
      <c r="AA1" s="871"/>
      <c r="AB1" s="1541" t="s">
        <v>2306</v>
      </c>
      <c r="AC1" s="1541"/>
      <c r="AD1" s="1541"/>
      <c r="AE1" s="1541"/>
      <c r="AF1" s="1541"/>
      <c r="AG1" s="1541"/>
    </row>
    <row r="2" spans="1:33" ht="15.75" customHeight="1">
      <c r="A2" s="1539"/>
      <c r="B2" s="1539"/>
      <c r="C2" s="1539"/>
      <c r="D2" s="1539"/>
      <c r="E2" s="1539"/>
      <c r="F2" s="1539"/>
      <c r="G2" s="1539"/>
      <c r="H2" s="869"/>
      <c r="I2" s="869"/>
      <c r="J2" s="869"/>
      <c r="K2" s="870"/>
      <c r="L2" s="870"/>
      <c r="M2" s="1540"/>
      <c r="N2" s="871"/>
      <c r="O2" s="871"/>
      <c r="P2" s="871"/>
      <c r="Q2" s="871"/>
      <c r="R2" s="871"/>
      <c r="S2" s="871"/>
      <c r="T2" s="871"/>
      <c r="U2" s="871"/>
      <c r="V2" s="871"/>
      <c r="W2" s="871"/>
      <c r="X2" s="871"/>
      <c r="Y2" s="871"/>
      <c r="Z2" s="871"/>
      <c r="AA2" s="871"/>
      <c r="AB2" s="1541"/>
      <c r="AC2" s="1541"/>
      <c r="AD2" s="1541"/>
      <c r="AE2" s="1541"/>
      <c r="AF2" s="1541"/>
      <c r="AG2" s="1541"/>
    </row>
    <row r="3" spans="1:33" ht="15.75" customHeight="1">
      <c r="A3" s="1539"/>
      <c r="B3" s="1539"/>
      <c r="C3" s="1539"/>
      <c r="D3" s="1539"/>
      <c r="E3" s="1539"/>
      <c r="F3" s="1539"/>
      <c r="G3" s="1539"/>
      <c r="H3" s="869"/>
      <c r="I3" s="869"/>
      <c r="J3" s="869"/>
      <c r="K3" s="870"/>
      <c r="L3" s="870"/>
      <c r="M3" s="1540"/>
      <c r="N3" s="871"/>
      <c r="O3" s="871"/>
      <c r="P3" s="871"/>
      <c r="Q3" s="871"/>
      <c r="R3" s="871"/>
      <c r="S3" s="871"/>
      <c r="T3" s="871"/>
      <c r="U3" s="871"/>
      <c r="V3" s="871"/>
      <c r="W3" s="871"/>
      <c r="X3" s="871"/>
      <c r="Y3" s="871"/>
      <c r="Z3" s="871"/>
      <c r="AA3" s="871"/>
      <c r="AB3" s="1541"/>
      <c r="AC3" s="1541"/>
      <c r="AD3" s="1541"/>
      <c r="AE3" s="1541"/>
      <c r="AF3" s="1541"/>
      <c r="AG3" s="1541"/>
    </row>
    <row r="4" spans="1:33" ht="15.75" customHeight="1">
      <c r="A4" s="1539"/>
      <c r="B4" s="1539"/>
      <c r="C4" s="1539"/>
      <c r="D4" s="1539"/>
      <c r="E4" s="1539"/>
      <c r="F4" s="1539"/>
      <c r="G4" s="1539"/>
      <c r="H4" s="869"/>
      <c r="I4" s="869"/>
      <c r="J4" s="869"/>
      <c r="K4" s="870"/>
      <c r="L4" s="870" t="s">
        <v>549</v>
      </c>
      <c r="M4" s="1540"/>
      <c r="N4" s="871"/>
      <c r="O4" s="871"/>
      <c r="P4" s="871"/>
      <c r="Q4" s="871"/>
      <c r="R4" s="871"/>
      <c r="S4" s="871"/>
      <c r="T4" s="871"/>
      <c r="U4" s="871"/>
      <c r="V4" s="871"/>
      <c r="W4" s="871"/>
      <c r="X4" s="871"/>
      <c r="Y4" s="871"/>
      <c r="Z4" s="871"/>
      <c r="AA4" s="871"/>
      <c r="AB4" s="1541"/>
      <c r="AC4" s="1541"/>
      <c r="AD4" s="1541"/>
      <c r="AE4" s="1541"/>
      <c r="AF4" s="1541"/>
      <c r="AG4" s="1541"/>
    </row>
    <row r="5" spans="1:33" ht="43.5" customHeight="1">
      <c r="A5" s="1539"/>
      <c r="B5" s="1539"/>
      <c r="C5" s="1539"/>
      <c r="D5" s="1539"/>
      <c r="E5" s="1539"/>
      <c r="F5" s="1539"/>
      <c r="G5" s="1539"/>
      <c r="H5" s="869"/>
      <c r="I5" s="869"/>
      <c r="J5" s="869"/>
      <c r="K5" s="870"/>
      <c r="L5" s="870"/>
      <c r="M5" s="870"/>
      <c r="N5" s="871"/>
      <c r="O5" s="871"/>
      <c r="P5" s="871"/>
      <c r="Q5" s="871"/>
      <c r="R5" s="871"/>
      <c r="S5" s="871"/>
      <c r="T5" s="871"/>
      <c r="U5" s="871"/>
      <c r="V5" s="871"/>
      <c r="W5" s="871"/>
      <c r="X5" s="871"/>
      <c r="Y5" s="871"/>
      <c r="Z5" s="871"/>
      <c r="AA5" s="871"/>
      <c r="AB5" s="1541"/>
      <c r="AC5" s="1541"/>
      <c r="AD5" s="1541"/>
      <c r="AE5" s="1541"/>
      <c r="AF5" s="1541"/>
      <c r="AG5" s="1541"/>
    </row>
    <row r="6" spans="1:33">
      <c r="A6" s="872"/>
      <c r="B6" s="873"/>
      <c r="C6" s="873"/>
      <c r="D6" s="874"/>
      <c r="E6" s="875"/>
      <c r="F6" s="875"/>
      <c r="G6" s="875"/>
      <c r="H6" s="875"/>
      <c r="I6" s="875"/>
      <c r="J6" s="875"/>
      <c r="K6" s="875"/>
      <c r="L6" s="875"/>
      <c r="M6" s="875"/>
      <c r="P6" s="877"/>
      <c r="Q6" s="877"/>
      <c r="W6" s="876"/>
      <c r="X6" s="876"/>
      <c r="Y6" s="876"/>
      <c r="Z6" s="876"/>
      <c r="AA6" s="876"/>
      <c r="AC6" s="877"/>
      <c r="AD6" s="877" t="s">
        <v>111</v>
      </c>
      <c r="AE6" s="877"/>
      <c r="AG6" s="877" t="s">
        <v>2307</v>
      </c>
    </row>
    <row r="7" spans="1:33">
      <c r="A7" s="872"/>
      <c r="B7" s="873"/>
      <c r="C7" s="873"/>
      <c r="D7" s="874"/>
      <c r="E7" s="875"/>
      <c r="F7" s="875"/>
      <c r="G7" s="875"/>
      <c r="H7" s="875"/>
      <c r="I7" s="875"/>
      <c r="J7" s="875"/>
      <c r="K7" s="875"/>
      <c r="L7" s="875"/>
      <c r="M7" s="875"/>
      <c r="P7" s="877"/>
      <c r="Q7" s="877"/>
      <c r="AG7" s="877"/>
    </row>
    <row r="8" spans="1:33" ht="20.25">
      <c r="A8" s="1538" t="s">
        <v>159</v>
      </c>
      <c r="B8" s="1538"/>
      <c r="C8" s="1538"/>
      <c r="D8" s="1538"/>
      <c r="E8" s="1538"/>
      <c r="F8" s="1538"/>
      <c r="G8" s="1538"/>
      <c r="H8" s="1538"/>
      <c r="I8" s="1538"/>
      <c r="J8" s="1538"/>
      <c r="K8" s="1538"/>
      <c r="L8" s="1538"/>
      <c r="M8" s="1538"/>
      <c r="N8" s="1538"/>
      <c r="O8" s="1538"/>
      <c r="P8" s="1538"/>
      <c r="Q8" s="878"/>
      <c r="R8" s="878"/>
      <c r="S8" s="878"/>
      <c r="T8" s="878"/>
      <c r="U8" s="878"/>
      <c r="V8" s="878"/>
      <c r="W8" s="878"/>
      <c r="X8" s="878"/>
      <c r="Y8" s="878"/>
      <c r="Z8" s="878"/>
      <c r="AA8" s="878"/>
      <c r="AB8" s="878"/>
      <c r="AC8" s="878"/>
      <c r="AD8" s="878"/>
      <c r="AE8" s="878"/>
      <c r="AF8" s="878"/>
      <c r="AG8" s="878"/>
    </row>
    <row r="9" spans="1:33" ht="20.25">
      <c r="A9" s="1538" t="s">
        <v>2361</v>
      </c>
      <c r="B9" s="1538"/>
      <c r="C9" s="1538"/>
      <c r="D9" s="1538"/>
      <c r="E9" s="1538"/>
      <c r="F9" s="1538"/>
      <c r="G9" s="1538"/>
      <c r="H9" s="1538"/>
      <c r="I9" s="1538"/>
      <c r="J9" s="1538"/>
      <c r="K9" s="1538"/>
      <c r="L9" s="1538"/>
      <c r="M9" s="1538"/>
      <c r="N9" s="1538"/>
      <c r="O9" s="1538"/>
      <c r="P9" s="1538"/>
      <c r="Q9" s="878"/>
      <c r="R9" s="878"/>
      <c r="S9" s="878"/>
      <c r="T9" s="878"/>
      <c r="U9" s="878"/>
      <c r="V9" s="878"/>
      <c r="W9" s="878"/>
      <c r="X9" s="878"/>
      <c r="Y9" s="878"/>
      <c r="Z9" s="878"/>
      <c r="AA9" s="878"/>
      <c r="AB9" s="878"/>
      <c r="AC9" s="878"/>
      <c r="AD9" s="878"/>
      <c r="AE9" s="878"/>
      <c r="AF9" s="878"/>
      <c r="AG9" s="878"/>
    </row>
    <row r="10" spans="1:33" ht="20.25">
      <c r="A10" s="1538" t="s">
        <v>803</v>
      </c>
      <c r="B10" s="1538"/>
      <c r="C10" s="1538"/>
      <c r="D10" s="1538"/>
      <c r="E10" s="1538"/>
      <c r="F10" s="1538"/>
      <c r="G10" s="1538"/>
      <c r="H10" s="1538"/>
      <c r="I10" s="1538"/>
      <c r="J10" s="1538"/>
      <c r="K10" s="1538"/>
      <c r="L10" s="1538"/>
      <c r="M10" s="1538"/>
      <c r="N10" s="1538"/>
      <c r="O10" s="1538"/>
      <c r="P10" s="1538"/>
      <c r="Q10" s="878"/>
      <c r="R10" s="878"/>
      <c r="S10" s="878"/>
      <c r="T10" s="878"/>
      <c r="U10" s="878"/>
      <c r="V10" s="878"/>
      <c r="W10" s="878"/>
      <c r="X10" s="878"/>
      <c r="Y10" s="878"/>
      <c r="Z10" s="878"/>
      <c r="AA10" s="878"/>
      <c r="AB10" s="878"/>
      <c r="AC10" s="878"/>
      <c r="AD10" s="878"/>
      <c r="AE10" s="878"/>
      <c r="AF10" s="878"/>
      <c r="AG10" s="878"/>
    </row>
    <row r="11" spans="1:33" ht="27.75" customHeight="1">
      <c r="A11" s="1542" t="s">
        <v>2309</v>
      </c>
      <c r="B11" s="1542"/>
      <c r="C11" s="1542"/>
      <c r="D11" s="1542"/>
      <c r="E11" s="1542"/>
      <c r="F11" s="1542"/>
      <c r="G11" s="1542"/>
      <c r="H11" s="1542"/>
      <c r="I11" s="1542"/>
      <c r="J11" s="1542"/>
      <c r="K11" s="1542"/>
      <c r="L11" s="1542"/>
      <c r="M11" s="1542"/>
      <c r="N11" s="1542"/>
      <c r="O11" s="1542"/>
      <c r="P11" s="1542"/>
    </row>
    <row r="12" spans="1:33" ht="27.75" customHeight="1">
      <c r="A12" s="879"/>
      <c r="B12" s="879"/>
      <c r="C12" s="879"/>
      <c r="D12" s="879"/>
      <c r="E12" s="879"/>
      <c r="F12" s="880"/>
      <c r="G12" s="881"/>
      <c r="H12" s="881"/>
      <c r="I12" s="881"/>
      <c r="J12" s="881"/>
      <c r="K12" s="881"/>
      <c r="L12" s="881"/>
      <c r="M12" s="881"/>
      <c r="N12" s="881"/>
      <c r="O12" s="881"/>
      <c r="P12" s="881"/>
      <c r="R12" s="882"/>
      <c r="S12" s="882"/>
      <c r="T12" s="882"/>
      <c r="U12" s="882"/>
      <c r="V12" s="882"/>
      <c r="W12" s="882"/>
      <c r="X12" s="882"/>
      <c r="Y12" s="882"/>
      <c r="Z12" s="882"/>
      <c r="AA12" s="882"/>
      <c r="AB12" s="882"/>
      <c r="AC12" s="882"/>
      <c r="AD12" s="882"/>
      <c r="AE12" s="882"/>
      <c r="AF12" s="882"/>
      <c r="AG12" s="882"/>
    </row>
    <row r="13" spans="1:33" ht="52.5" customHeight="1">
      <c r="A13" s="1543" t="s">
        <v>804</v>
      </c>
      <c r="B13" s="1543"/>
      <c r="C13" s="1543"/>
      <c r="D13" s="1543"/>
      <c r="E13" s="1543"/>
      <c r="F13" s="1543"/>
      <c r="G13" s="1543"/>
      <c r="H13" s="1543"/>
      <c r="I13" s="1543"/>
      <c r="J13" s="1543"/>
      <c r="K13" s="1543"/>
      <c r="L13" s="1543"/>
      <c r="M13" s="1543"/>
      <c r="N13" s="1543"/>
      <c r="O13" s="1543"/>
      <c r="P13" s="1543"/>
      <c r="Q13" s="883"/>
      <c r="R13" s="883"/>
      <c r="S13" s="883"/>
      <c r="T13" s="883"/>
      <c r="U13" s="883"/>
      <c r="V13" s="883"/>
      <c r="W13" s="883"/>
      <c r="X13" s="883"/>
      <c r="Y13" s="883"/>
      <c r="Z13" s="883"/>
      <c r="AA13" s="883"/>
      <c r="AB13" s="883"/>
      <c r="AC13" s="883"/>
      <c r="AD13" s="883"/>
      <c r="AE13" s="883"/>
      <c r="AF13" s="883"/>
      <c r="AG13" s="884"/>
    </row>
    <row r="14" spans="1:33" ht="15.75" customHeight="1">
      <c r="A14" s="1544" t="s">
        <v>7</v>
      </c>
      <c r="B14" s="1545" t="s">
        <v>9</v>
      </c>
      <c r="C14" s="1544" t="s">
        <v>111</v>
      </c>
      <c r="D14" s="1544" t="s">
        <v>805</v>
      </c>
      <c r="E14" s="1544" t="s">
        <v>806</v>
      </c>
      <c r="F14" s="1544" t="s">
        <v>807</v>
      </c>
      <c r="G14" s="1544" t="s">
        <v>808</v>
      </c>
      <c r="H14" s="1546" t="s">
        <v>809</v>
      </c>
      <c r="I14" s="1546" t="s">
        <v>810</v>
      </c>
      <c r="J14" s="1546" t="s">
        <v>811</v>
      </c>
      <c r="K14" s="1546" t="s">
        <v>812</v>
      </c>
      <c r="L14" s="1546" t="s">
        <v>813</v>
      </c>
      <c r="M14" s="1544" t="s">
        <v>814</v>
      </c>
      <c r="N14" s="1544" t="s">
        <v>815</v>
      </c>
      <c r="O14" s="1544" t="s">
        <v>816</v>
      </c>
      <c r="P14" s="1544" t="s">
        <v>817</v>
      </c>
      <c r="Q14" s="1544" t="s">
        <v>818</v>
      </c>
      <c r="R14" s="1544" t="s">
        <v>819</v>
      </c>
      <c r="S14" s="1546" t="s">
        <v>192</v>
      </c>
      <c r="T14" s="1546" t="s">
        <v>11</v>
      </c>
      <c r="U14" s="1546" t="s">
        <v>426</v>
      </c>
      <c r="V14" s="1546" t="s">
        <v>4</v>
      </c>
      <c r="W14" s="1546" t="s">
        <v>820</v>
      </c>
      <c r="X14" s="1546" t="s">
        <v>427</v>
      </c>
      <c r="Y14" s="1546" t="s">
        <v>248</v>
      </c>
      <c r="Z14" s="1546" t="s">
        <v>193</v>
      </c>
      <c r="AA14" s="1546" t="s">
        <v>186</v>
      </c>
      <c r="AB14" s="1546" t="s">
        <v>187</v>
      </c>
      <c r="AC14" s="1546" t="s">
        <v>857</v>
      </c>
      <c r="AD14" s="1546" t="s">
        <v>821</v>
      </c>
      <c r="AE14" s="1546" t="s">
        <v>2362</v>
      </c>
      <c r="AF14" s="1546" t="s">
        <v>822</v>
      </c>
      <c r="AG14" s="1544" t="s">
        <v>823</v>
      </c>
    </row>
    <row r="15" spans="1:33" ht="195" customHeight="1">
      <c r="A15" s="1544"/>
      <c r="B15" s="1545"/>
      <c r="C15" s="1544"/>
      <c r="D15" s="1544"/>
      <c r="E15" s="1544"/>
      <c r="F15" s="1544"/>
      <c r="G15" s="1544"/>
      <c r="H15" s="1547"/>
      <c r="I15" s="1547"/>
      <c r="J15" s="1547"/>
      <c r="K15" s="1547"/>
      <c r="L15" s="1547"/>
      <c r="M15" s="1544"/>
      <c r="N15" s="1544"/>
      <c r="O15" s="1544"/>
      <c r="P15" s="1544"/>
      <c r="Q15" s="1544"/>
      <c r="R15" s="1544"/>
      <c r="S15" s="1547"/>
      <c r="T15" s="1547"/>
      <c r="U15" s="1547"/>
      <c r="V15" s="1547"/>
      <c r="W15" s="1547"/>
      <c r="X15" s="1547"/>
      <c r="Y15" s="1547"/>
      <c r="Z15" s="1547"/>
      <c r="AA15" s="1547"/>
      <c r="AB15" s="1547"/>
      <c r="AC15" s="1547"/>
      <c r="AD15" s="1547"/>
      <c r="AE15" s="1547"/>
      <c r="AF15" s="1547"/>
      <c r="AG15" s="1544"/>
    </row>
    <row r="16" spans="1:33" ht="22.5" customHeight="1">
      <c r="A16" s="1549" t="s">
        <v>824</v>
      </c>
      <c r="B16" s="1550"/>
      <c r="C16" s="1550"/>
      <c r="D16" s="1550"/>
      <c r="E16" s="1550"/>
      <c r="F16" s="1550"/>
      <c r="G16" s="1550"/>
      <c r="H16" s="1550"/>
      <c r="I16" s="1550"/>
      <c r="J16" s="1550"/>
      <c r="K16" s="1550"/>
      <c r="L16" s="1550"/>
      <c r="M16" s="1550"/>
      <c r="N16" s="1550"/>
      <c r="O16" s="1550"/>
      <c r="P16" s="1550"/>
      <c r="Q16" s="1550"/>
      <c r="R16" s="1550"/>
      <c r="S16" s="1550"/>
      <c r="T16" s="1550"/>
      <c r="U16" s="1550"/>
      <c r="V16" s="1550"/>
      <c r="W16" s="1550"/>
      <c r="X16" s="1550"/>
      <c r="Y16" s="1550"/>
      <c r="Z16" s="1550"/>
      <c r="AA16" s="1550"/>
      <c r="AB16" s="1550"/>
      <c r="AC16" s="1550"/>
      <c r="AD16" s="1550"/>
      <c r="AE16" s="1550"/>
      <c r="AF16" s="1550"/>
      <c r="AG16" s="1550"/>
    </row>
    <row r="17" spans="1:33" ht="21.75" customHeight="1">
      <c r="A17" s="885">
        <v>1</v>
      </c>
      <c r="B17" s="886" t="s">
        <v>12</v>
      </c>
      <c r="C17" s="887" t="s">
        <v>428</v>
      </c>
      <c r="D17" s="885">
        <v>1</v>
      </c>
      <c r="E17" s="885">
        <v>1</v>
      </c>
      <c r="F17" s="885"/>
      <c r="G17" s="888">
        <v>45146</v>
      </c>
      <c r="H17" s="889">
        <v>80</v>
      </c>
      <c r="I17" s="890">
        <f>H17*17697</f>
        <v>1415760</v>
      </c>
      <c r="J17" s="890">
        <f>I17*10%</f>
        <v>141576</v>
      </c>
      <c r="K17" s="890"/>
      <c r="L17" s="890"/>
      <c r="M17" s="890"/>
      <c r="N17" s="890"/>
      <c r="O17" s="890"/>
      <c r="P17" s="890"/>
      <c r="Q17" s="891"/>
      <c r="R17" s="891"/>
      <c r="S17" s="892">
        <f>SUM(J17:R17)</f>
        <v>141576</v>
      </c>
      <c r="T17" s="892">
        <f>I17+S17</f>
        <v>1557336</v>
      </c>
      <c r="U17" s="892">
        <f>T17*10%</f>
        <v>155733.6</v>
      </c>
      <c r="V17" s="892">
        <f t="shared" ref="V17:V36" si="0">((T17-U17-W17)-(14*4552))*10%</f>
        <v>132087.44</v>
      </c>
      <c r="W17" s="892">
        <v>17000</v>
      </c>
      <c r="X17" s="892">
        <f>T17-U17-V17-W17</f>
        <v>1252514.96</v>
      </c>
      <c r="Y17" s="892">
        <f>T17*12</f>
        <v>18688032</v>
      </c>
      <c r="Z17" s="892">
        <f>I17</f>
        <v>1415760</v>
      </c>
      <c r="AA17" s="892">
        <f>Y17+Z17</f>
        <v>20103792</v>
      </c>
      <c r="AB17" s="892">
        <f t="shared" ref="AB17:AB36" si="1">(AA17*0.9-(W17*12))*11%-AC17</f>
        <v>1063164.7679999999</v>
      </c>
      <c r="AC17" s="892">
        <f>AA17*0.9*5%</f>
        <v>904670.64000000013</v>
      </c>
      <c r="AD17" s="892">
        <f>Y17*3%</f>
        <v>560640.96</v>
      </c>
      <c r="AE17" s="892">
        <f t="shared" ref="AE17:AE36" si="2">AA17*5%</f>
        <v>1005189.6000000001</v>
      </c>
      <c r="AF17" s="892">
        <f>AA17+AB17+AC17+AD17+AE17</f>
        <v>23637457.968000002</v>
      </c>
      <c r="AG17" s="892" t="s">
        <v>3</v>
      </c>
    </row>
    <row r="18" spans="1:33" ht="31.5">
      <c r="A18" s="885">
        <v>2</v>
      </c>
      <c r="B18" s="893" t="s">
        <v>56</v>
      </c>
      <c r="C18" s="894" t="s">
        <v>188</v>
      </c>
      <c r="D18" s="1551">
        <v>2</v>
      </c>
      <c r="E18" s="885">
        <v>1</v>
      </c>
      <c r="F18" s="885"/>
      <c r="G18" s="888">
        <v>43395</v>
      </c>
      <c r="H18" s="895">
        <v>32</v>
      </c>
      <c r="I18" s="890">
        <f>H18*17697</f>
        <v>566304</v>
      </c>
      <c r="J18" s="890">
        <f t="shared" ref="J18:J36" si="3">I18*10%</f>
        <v>56630.400000000001</v>
      </c>
      <c r="K18" s="890"/>
      <c r="L18" s="890"/>
      <c r="M18" s="890"/>
      <c r="N18" s="890"/>
      <c r="O18" s="890"/>
      <c r="P18" s="890"/>
      <c r="Q18" s="891"/>
      <c r="R18" s="891"/>
      <c r="S18" s="892">
        <f t="shared" ref="S18:S36" si="4">SUM(J18:R18)</f>
        <v>56630.400000000001</v>
      </c>
      <c r="T18" s="892">
        <f t="shared" ref="T18:T36" si="5">I18+S18</f>
        <v>622934.4</v>
      </c>
      <c r="U18" s="892">
        <f t="shared" ref="U18:U36" si="6">T18*10%</f>
        <v>62293.440000000002</v>
      </c>
      <c r="V18" s="892">
        <f t="shared" si="0"/>
        <v>47991.296000000002</v>
      </c>
      <c r="W18" s="892">
        <v>17000</v>
      </c>
      <c r="X18" s="892">
        <f t="shared" ref="X18:X36" si="7">T18-U18-V18-W18</f>
        <v>495649.66399999999</v>
      </c>
      <c r="Y18" s="892">
        <f t="shared" ref="Y18:Y36" si="8">T18*12</f>
        <v>7475212.8000000007</v>
      </c>
      <c r="Z18" s="892">
        <f t="shared" ref="Z18:Z36" si="9">I18</f>
        <v>566304</v>
      </c>
      <c r="AA18" s="892">
        <f t="shared" ref="AA18:AA36" si="10">Y18+Z18</f>
        <v>8041516.8000000007</v>
      </c>
      <c r="AB18" s="892">
        <f t="shared" si="1"/>
        <v>411801.90720000002</v>
      </c>
      <c r="AC18" s="892">
        <f>AA18*0.9*5%</f>
        <v>361868.25600000005</v>
      </c>
      <c r="AD18" s="892">
        <f t="shared" ref="AD18:AD36" si="11">Y18*3%</f>
        <v>224256.38400000002</v>
      </c>
      <c r="AE18" s="892">
        <f t="shared" si="2"/>
        <v>402075.84000000008</v>
      </c>
      <c r="AF18" s="892">
        <f t="shared" ref="AF18:AF36" si="12">AA18+AB18+AC18+AD18+AE18</f>
        <v>9441519.1871999986</v>
      </c>
      <c r="AG18" s="892" t="s">
        <v>3</v>
      </c>
    </row>
    <row r="19" spans="1:33" ht="31.5">
      <c r="A19" s="885">
        <v>3</v>
      </c>
      <c r="B19" s="896" t="s">
        <v>56</v>
      </c>
      <c r="C19" s="897" t="s">
        <v>225</v>
      </c>
      <c r="D19" s="1552"/>
      <c r="E19" s="885">
        <v>1</v>
      </c>
      <c r="F19" s="885"/>
      <c r="G19" s="888">
        <v>44907</v>
      </c>
      <c r="H19" s="898">
        <v>30</v>
      </c>
      <c r="I19" s="890">
        <f t="shared" ref="I19:I36" si="13">H19*17697</f>
        <v>530910</v>
      </c>
      <c r="J19" s="890">
        <f t="shared" si="3"/>
        <v>53091</v>
      </c>
      <c r="K19" s="890"/>
      <c r="L19" s="890"/>
      <c r="M19" s="890"/>
      <c r="N19" s="890"/>
      <c r="O19" s="890"/>
      <c r="P19" s="890"/>
      <c r="Q19" s="891"/>
      <c r="R19" s="891"/>
      <c r="S19" s="892">
        <f>SUM(J19:R19)</f>
        <v>53091</v>
      </c>
      <c r="T19" s="892">
        <f>I19+S19</f>
        <v>584001</v>
      </c>
      <c r="U19" s="892">
        <f>T19*10%</f>
        <v>58400.100000000006</v>
      </c>
      <c r="V19" s="892">
        <f t="shared" si="0"/>
        <v>45019.288</v>
      </c>
      <c r="W19" s="892">
        <f>T19*2%</f>
        <v>11680.02</v>
      </c>
      <c r="X19" s="892">
        <f t="shared" si="7"/>
        <v>468901.592</v>
      </c>
      <c r="Y19" s="892">
        <f t="shared" si="8"/>
        <v>7008012</v>
      </c>
      <c r="Z19" s="892">
        <f t="shared" si="9"/>
        <v>530910</v>
      </c>
      <c r="AA19" s="892">
        <f t="shared" si="10"/>
        <v>7538922</v>
      </c>
      <c r="AB19" s="892">
        <f t="shared" si="1"/>
        <v>391684.16159999999</v>
      </c>
      <c r="AC19" s="892">
        <f>AA19*0.9*5%</f>
        <v>339251.49</v>
      </c>
      <c r="AD19" s="892">
        <f t="shared" si="11"/>
        <v>210240.36</v>
      </c>
      <c r="AE19" s="892">
        <f t="shared" si="2"/>
        <v>376946.10000000003</v>
      </c>
      <c r="AF19" s="892">
        <f t="shared" si="12"/>
        <v>8857044.1116000004</v>
      </c>
      <c r="AG19" s="892" t="s">
        <v>3</v>
      </c>
    </row>
    <row r="20" spans="1:33" ht="31.5">
      <c r="A20" s="885">
        <v>4</v>
      </c>
      <c r="B20" s="893" t="s">
        <v>13</v>
      </c>
      <c r="C20" s="899" t="s">
        <v>429</v>
      </c>
      <c r="D20" s="1553">
        <v>2</v>
      </c>
      <c r="E20" s="885">
        <v>1</v>
      </c>
      <c r="F20" s="885"/>
      <c r="G20" s="888">
        <v>44844</v>
      </c>
      <c r="H20" s="895">
        <v>30</v>
      </c>
      <c r="I20" s="890">
        <f t="shared" si="13"/>
        <v>530910</v>
      </c>
      <c r="J20" s="890">
        <f t="shared" si="3"/>
        <v>53091</v>
      </c>
      <c r="K20" s="890"/>
      <c r="L20" s="890"/>
      <c r="M20" s="890"/>
      <c r="N20" s="890"/>
      <c r="O20" s="890"/>
      <c r="P20" s="890"/>
      <c r="Q20" s="891"/>
      <c r="R20" s="891"/>
      <c r="S20" s="892">
        <f t="shared" si="4"/>
        <v>53091</v>
      </c>
      <c r="T20" s="892">
        <f t="shared" si="5"/>
        <v>584001</v>
      </c>
      <c r="U20" s="892">
        <f t="shared" si="6"/>
        <v>58400.100000000006</v>
      </c>
      <c r="V20" s="892">
        <f t="shared" si="0"/>
        <v>45019.288</v>
      </c>
      <c r="W20" s="892">
        <f t="shared" ref="W20:W36" si="14">T20*2%</f>
        <v>11680.02</v>
      </c>
      <c r="X20" s="892">
        <f t="shared" si="7"/>
        <v>468901.592</v>
      </c>
      <c r="Y20" s="892">
        <f t="shared" si="8"/>
        <v>7008012</v>
      </c>
      <c r="Z20" s="892">
        <f t="shared" si="9"/>
        <v>530910</v>
      </c>
      <c r="AA20" s="892">
        <f t="shared" si="10"/>
        <v>7538922</v>
      </c>
      <c r="AB20" s="892">
        <f t="shared" si="1"/>
        <v>391684.16159999999</v>
      </c>
      <c r="AC20" s="892">
        <f t="shared" ref="AC20:AC36" si="15">AA20*0.9*5%</f>
        <v>339251.49</v>
      </c>
      <c r="AD20" s="892">
        <f t="shared" si="11"/>
        <v>210240.36</v>
      </c>
      <c r="AE20" s="892">
        <f t="shared" si="2"/>
        <v>376946.10000000003</v>
      </c>
      <c r="AF20" s="892">
        <f t="shared" si="12"/>
        <v>8857044.1116000004</v>
      </c>
      <c r="AG20" s="892" t="s">
        <v>3</v>
      </c>
    </row>
    <row r="21" spans="1:33" ht="31.5">
      <c r="A21" s="885">
        <v>5</v>
      </c>
      <c r="B21" s="893" t="s">
        <v>13</v>
      </c>
      <c r="C21" s="899" t="s">
        <v>430</v>
      </c>
      <c r="D21" s="1554"/>
      <c r="E21" s="885">
        <v>1</v>
      </c>
      <c r="F21" s="885"/>
      <c r="G21" s="888">
        <v>44805</v>
      </c>
      <c r="H21" s="895">
        <v>30</v>
      </c>
      <c r="I21" s="890">
        <f t="shared" si="13"/>
        <v>530910</v>
      </c>
      <c r="J21" s="890">
        <f t="shared" si="3"/>
        <v>53091</v>
      </c>
      <c r="K21" s="890"/>
      <c r="L21" s="890"/>
      <c r="M21" s="890"/>
      <c r="N21" s="890"/>
      <c r="O21" s="890"/>
      <c r="P21" s="890"/>
      <c r="Q21" s="891"/>
      <c r="R21" s="891"/>
      <c r="S21" s="892">
        <f t="shared" si="4"/>
        <v>53091</v>
      </c>
      <c r="T21" s="892">
        <f t="shared" si="5"/>
        <v>584001</v>
      </c>
      <c r="U21" s="892">
        <f t="shared" si="6"/>
        <v>58400.100000000006</v>
      </c>
      <c r="V21" s="892">
        <f t="shared" si="0"/>
        <v>45019.288</v>
      </c>
      <c r="W21" s="892">
        <f t="shared" si="14"/>
        <v>11680.02</v>
      </c>
      <c r="X21" s="892">
        <f t="shared" si="7"/>
        <v>468901.592</v>
      </c>
      <c r="Y21" s="892">
        <f t="shared" si="8"/>
        <v>7008012</v>
      </c>
      <c r="Z21" s="892">
        <f t="shared" si="9"/>
        <v>530910</v>
      </c>
      <c r="AA21" s="892">
        <f t="shared" si="10"/>
        <v>7538922</v>
      </c>
      <c r="AB21" s="892">
        <f t="shared" si="1"/>
        <v>391684.16159999999</v>
      </c>
      <c r="AC21" s="892">
        <f t="shared" si="15"/>
        <v>339251.49</v>
      </c>
      <c r="AD21" s="892">
        <f t="shared" si="11"/>
        <v>210240.36</v>
      </c>
      <c r="AE21" s="892">
        <f t="shared" si="2"/>
        <v>376946.10000000003</v>
      </c>
      <c r="AF21" s="892">
        <f t="shared" si="12"/>
        <v>8857044.1116000004</v>
      </c>
      <c r="AG21" s="892" t="s">
        <v>3</v>
      </c>
    </row>
    <row r="22" spans="1:33" ht="47.25">
      <c r="A22" s="885">
        <v>6</v>
      </c>
      <c r="B22" s="896" t="s">
        <v>431</v>
      </c>
      <c r="C22" s="900" t="s">
        <v>2311</v>
      </c>
      <c r="D22" s="885">
        <v>1</v>
      </c>
      <c r="E22" s="885">
        <v>1</v>
      </c>
      <c r="F22" s="885"/>
      <c r="G22" s="888">
        <v>45216</v>
      </c>
      <c r="H22" s="898">
        <v>33</v>
      </c>
      <c r="I22" s="890">
        <f>H22*17697</f>
        <v>584001</v>
      </c>
      <c r="J22" s="890">
        <f t="shared" si="3"/>
        <v>58400.100000000006</v>
      </c>
      <c r="K22" s="890"/>
      <c r="L22" s="890"/>
      <c r="M22" s="890"/>
      <c r="N22" s="890"/>
      <c r="O22" s="890"/>
      <c r="P22" s="890"/>
      <c r="Q22" s="891"/>
      <c r="R22" s="891"/>
      <c r="S22" s="892">
        <f t="shared" si="4"/>
        <v>58400.100000000006</v>
      </c>
      <c r="T22" s="892">
        <f t="shared" si="5"/>
        <v>642401.1</v>
      </c>
      <c r="U22" s="892">
        <f t="shared" si="6"/>
        <v>64240.11</v>
      </c>
      <c r="V22" s="892">
        <f t="shared" si="0"/>
        <v>50158.496800000001</v>
      </c>
      <c r="W22" s="892">
        <f t="shared" si="14"/>
        <v>12848.021999999999</v>
      </c>
      <c r="X22" s="892">
        <f t="shared" si="7"/>
        <v>515154.47120000003</v>
      </c>
      <c r="Y22" s="892">
        <f t="shared" si="8"/>
        <v>7708813.1999999993</v>
      </c>
      <c r="Z22" s="892">
        <f t="shared" si="9"/>
        <v>584001</v>
      </c>
      <c r="AA22" s="892">
        <f t="shared" si="10"/>
        <v>8292814.1999999993</v>
      </c>
      <c r="AB22" s="892">
        <f t="shared" si="1"/>
        <v>430852.5777599999</v>
      </c>
      <c r="AC22" s="892">
        <f t="shared" si="15"/>
        <v>373176.63899999997</v>
      </c>
      <c r="AD22" s="892">
        <f t="shared" si="11"/>
        <v>231264.39599999998</v>
      </c>
      <c r="AE22" s="892">
        <f t="shared" si="2"/>
        <v>414640.70999999996</v>
      </c>
      <c r="AF22" s="892">
        <f t="shared" si="12"/>
        <v>9742748.5227600001</v>
      </c>
      <c r="AG22" s="892" t="s">
        <v>3</v>
      </c>
    </row>
    <row r="23" spans="1:33" ht="31.5">
      <c r="A23" s="885">
        <v>7</v>
      </c>
      <c r="B23" s="893" t="s">
        <v>50</v>
      </c>
      <c r="C23" s="899" t="s">
        <v>116</v>
      </c>
      <c r="D23" s="885">
        <v>1</v>
      </c>
      <c r="E23" s="885">
        <v>1</v>
      </c>
      <c r="F23" s="885"/>
      <c r="G23" s="888">
        <v>43355</v>
      </c>
      <c r="H23" s="895">
        <v>32</v>
      </c>
      <c r="I23" s="890">
        <f t="shared" si="13"/>
        <v>566304</v>
      </c>
      <c r="J23" s="890">
        <f t="shared" si="3"/>
        <v>56630.400000000001</v>
      </c>
      <c r="K23" s="890"/>
      <c r="L23" s="890"/>
      <c r="M23" s="890"/>
      <c r="N23" s="890"/>
      <c r="O23" s="890"/>
      <c r="P23" s="890"/>
      <c r="Q23" s="891"/>
      <c r="R23" s="891"/>
      <c r="S23" s="892">
        <f t="shared" si="4"/>
        <v>56630.400000000001</v>
      </c>
      <c r="T23" s="892">
        <f t="shared" si="5"/>
        <v>622934.4</v>
      </c>
      <c r="U23" s="892">
        <f t="shared" si="6"/>
        <v>62293.440000000002</v>
      </c>
      <c r="V23" s="892">
        <f t="shared" si="0"/>
        <v>47991.296000000002</v>
      </c>
      <c r="W23" s="892">
        <v>17000</v>
      </c>
      <c r="X23" s="892">
        <f t="shared" si="7"/>
        <v>495649.66399999999</v>
      </c>
      <c r="Y23" s="892">
        <f t="shared" si="8"/>
        <v>7475212.8000000007</v>
      </c>
      <c r="Z23" s="892">
        <f t="shared" si="9"/>
        <v>566304</v>
      </c>
      <c r="AA23" s="892">
        <f t="shared" si="10"/>
        <v>8041516.8000000007</v>
      </c>
      <c r="AB23" s="892">
        <f t="shared" si="1"/>
        <v>411801.90720000002</v>
      </c>
      <c r="AC23" s="892">
        <f t="shared" si="15"/>
        <v>361868.25600000005</v>
      </c>
      <c r="AD23" s="892">
        <f t="shared" si="11"/>
        <v>224256.38400000002</v>
      </c>
      <c r="AE23" s="892">
        <f t="shared" si="2"/>
        <v>402075.84000000008</v>
      </c>
      <c r="AF23" s="892">
        <f t="shared" si="12"/>
        <v>9441519.1871999986</v>
      </c>
      <c r="AG23" s="892" t="s">
        <v>3</v>
      </c>
    </row>
    <row r="24" spans="1:33" ht="34.5" customHeight="1">
      <c r="A24" s="885">
        <v>8</v>
      </c>
      <c r="B24" s="893" t="s">
        <v>825</v>
      </c>
      <c r="C24" s="899" t="s">
        <v>432</v>
      </c>
      <c r="D24" s="1553">
        <v>2</v>
      </c>
      <c r="E24" s="885">
        <v>1</v>
      </c>
      <c r="F24" s="885"/>
      <c r="G24" s="888">
        <v>42263</v>
      </c>
      <c r="H24" s="895">
        <v>30</v>
      </c>
      <c r="I24" s="890">
        <f t="shared" si="13"/>
        <v>530910</v>
      </c>
      <c r="J24" s="890">
        <f t="shared" si="3"/>
        <v>53091</v>
      </c>
      <c r="K24" s="890"/>
      <c r="L24" s="890"/>
      <c r="M24" s="890"/>
      <c r="N24" s="890"/>
      <c r="O24" s="890"/>
      <c r="P24" s="890"/>
      <c r="Q24" s="891"/>
      <c r="R24" s="891"/>
      <c r="S24" s="892">
        <f t="shared" si="4"/>
        <v>53091</v>
      </c>
      <c r="T24" s="892">
        <f t="shared" si="5"/>
        <v>584001</v>
      </c>
      <c r="U24" s="892">
        <f t="shared" si="6"/>
        <v>58400.100000000006</v>
      </c>
      <c r="V24" s="892">
        <f t="shared" si="0"/>
        <v>45019.288</v>
      </c>
      <c r="W24" s="892">
        <f t="shared" si="14"/>
        <v>11680.02</v>
      </c>
      <c r="X24" s="892">
        <f t="shared" si="7"/>
        <v>468901.592</v>
      </c>
      <c r="Y24" s="892">
        <f t="shared" si="8"/>
        <v>7008012</v>
      </c>
      <c r="Z24" s="892">
        <f t="shared" si="9"/>
        <v>530910</v>
      </c>
      <c r="AA24" s="892">
        <f t="shared" si="10"/>
        <v>7538922</v>
      </c>
      <c r="AB24" s="892">
        <f t="shared" si="1"/>
        <v>391684.16159999999</v>
      </c>
      <c r="AC24" s="892">
        <f t="shared" si="15"/>
        <v>339251.49</v>
      </c>
      <c r="AD24" s="892">
        <f t="shared" si="11"/>
        <v>210240.36</v>
      </c>
      <c r="AE24" s="892">
        <f t="shared" si="2"/>
        <v>376946.10000000003</v>
      </c>
      <c r="AF24" s="892">
        <f t="shared" si="12"/>
        <v>8857044.1116000004</v>
      </c>
      <c r="AG24" s="892" t="s">
        <v>3</v>
      </c>
    </row>
    <row r="25" spans="1:33" ht="37.5" customHeight="1">
      <c r="A25" s="885">
        <v>9</v>
      </c>
      <c r="B25" s="893" t="s">
        <v>825</v>
      </c>
      <c r="C25" s="899" t="s">
        <v>433</v>
      </c>
      <c r="D25" s="1554"/>
      <c r="E25" s="885">
        <v>1</v>
      </c>
      <c r="F25" s="885"/>
      <c r="G25" s="888">
        <v>44106</v>
      </c>
      <c r="H25" s="895">
        <v>24</v>
      </c>
      <c r="I25" s="890">
        <f t="shared" si="13"/>
        <v>424728</v>
      </c>
      <c r="J25" s="890">
        <f t="shared" si="3"/>
        <v>42472.800000000003</v>
      </c>
      <c r="K25" s="890"/>
      <c r="L25" s="890"/>
      <c r="M25" s="890"/>
      <c r="N25" s="890"/>
      <c r="O25" s="890"/>
      <c r="P25" s="890"/>
      <c r="Q25" s="891"/>
      <c r="R25" s="891"/>
      <c r="S25" s="892">
        <f t="shared" si="4"/>
        <v>42472.800000000003</v>
      </c>
      <c r="T25" s="892">
        <f t="shared" si="5"/>
        <v>467200.8</v>
      </c>
      <c r="U25" s="892">
        <f t="shared" si="6"/>
        <v>46720.08</v>
      </c>
      <c r="V25" s="892">
        <f t="shared" si="0"/>
        <v>34740.8704</v>
      </c>
      <c r="W25" s="892">
        <f t="shared" si="14"/>
        <v>9344.0159999999996</v>
      </c>
      <c r="X25" s="892">
        <f t="shared" si="7"/>
        <v>376395.83359999995</v>
      </c>
      <c r="Y25" s="892">
        <f t="shared" si="8"/>
        <v>5606409.5999999996</v>
      </c>
      <c r="Z25" s="892">
        <f t="shared" si="9"/>
        <v>424728</v>
      </c>
      <c r="AA25" s="892">
        <f t="shared" si="10"/>
        <v>6031137.5999999996</v>
      </c>
      <c r="AB25" s="892">
        <f t="shared" si="1"/>
        <v>313347.32928000001</v>
      </c>
      <c r="AC25" s="892">
        <f t="shared" si="15"/>
        <v>271401.19199999998</v>
      </c>
      <c r="AD25" s="892">
        <f t="shared" si="11"/>
        <v>168192.28799999997</v>
      </c>
      <c r="AE25" s="892">
        <f t="shared" si="2"/>
        <v>301556.88</v>
      </c>
      <c r="AF25" s="892">
        <f t="shared" si="12"/>
        <v>7085635.2892799992</v>
      </c>
      <c r="AG25" s="892" t="s">
        <v>3</v>
      </c>
    </row>
    <row r="26" spans="1:33">
      <c r="A26" s="885">
        <v>10</v>
      </c>
      <c r="B26" s="896" t="s">
        <v>2312</v>
      </c>
      <c r="C26" s="870" t="s">
        <v>2313</v>
      </c>
      <c r="D26" s="885">
        <v>1</v>
      </c>
      <c r="E26" s="885">
        <v>1</v>
      </c>
      <c r="F26" s="885"/>
      <c r="G26" s="888">
        <v>44470</v>
      </c>
      <c r="H26" s="898">
        <v>30</v>
      </c>
      <c r="I26" s="890">
        <f t="shared" si="13"/>
        <v>530910</v>
      </c>
      <c r="J26" s="890">
        <f t="shared" si="3"/>
        <v>53091</v>
      </c>
      <c r="K26" s="890"/>
      <c r="L26" s="890"/>
      <c r="M26" s="890"/>
      <c r="N26" s="890"/>
      <c r="O26" s="890"/>
      <c r="P26" s="890"/>
      <c r="Q26" s="891"/>
      <c r="R26" s="891"/>
      <c r="S26" s="892">
        <f t="shared" si="4"/>
        <v>53091</v>
      </c>
      <c r="T26" s="892">
        <f t="shared" si="5"/>
        <v>584001</v>
      </c>
      <c r="U26" s="892">
        <f t="shared" si="6"/>
        <v>58400.100000000006</v>
      </c>
      <c r="V26" s="892">
        <f t="shared" si="0"/>
        <v>45019.288</v>
      </c>
      <c r="W26" s="892">
        <f t="shared" si="14"/>
        <v>11680.02</v>
      </c>
      <c r="X26" s="892">
        <f t="shared" si="7"/>
        <v>468901.592</v>
      </c>
      <c r="Y26" s="892">
        <f t="shared" si="8"/>
        <v>7008012</v>
      </c>
      <c r="Z26" s="892">
        <f t="shared" si="9"/>
        <v>530910</v>
      </c>
      <c r="AA26" s="892">
        <f t="shared" si="10"/>
        <v>7538922</v>
      </c>
      <c r="AB26" s="892">
        <f t="shared" si="1"/>
        <v>391684.16159999999</v>
      </c>
      <c r="AC26" s="892">
        <f t="shared" si="15"/>
        <v>339251.49</v>
      </c>
      <c r="AD26" s="892">
        <f t="shared" si="11"/>
        <v>210240.36</v>
      </c>
      <c r="AE26" s="892">
        <f t="shared" si="2"/>
        <v>376946.10000000003</v>
      </c>
      <c r="AF26" s="892">
        <f t="shared" si="12"/>
        <v>8857044.1116000004</v>
      </c>
      <c r="AG26" s="892" t="s">
        <v>3</v>
      </c>
    </row>
    <row r="27" spans="1:33">
      <c r="A27" s="885">
        <v>11</v>
      </c>
      <c r="B27" s="893" t="s">
        <v>52</v>
      </c>
      <c r="C27" s="893" t="s">
        <v>434</v>
      </c>
      <c r="D27" s="885">
        <v>1</v>
      </c>
      <c r="E27" s="885">
        <v>1</v>
      </c>
      <c r="F27" s="885"/>
      <c r="G27" s="901">
        <v>44853</v>
      </c>
      <c r="H27" s="895">
        <v>30</v>
      </c>
      <c r="I27" s="890">
        <f t="shared" si="13"/>
        <v>530910</v>
      </c>
      <c r="J27" s="890">
        <f t="shared" si="3"/>
        <v>53091</v>
      </c>
      <c r="K27" s="890"/>
      <c r="L27" s="890"/>
      <c r="M27" s="890"/>
      <c r="N27" s="890"/>
      <c r="O27" s="890"/>
      <c r="P27" s="890"/>
      <c r="Q27" s="891"/>
      <c r="R27" s="891"/>
      <c r="S27" s="892">
        <f t="shared" si="4"/>
        <v>53091</v>
      </c>
      <c r="T27" s="892">
        <f t="shared" si="5"/>
        <v>584001</v>
      </c>
      <c r="U27" s="892">
        <f t="shared" si="6"/>
        <v>58400.100000000006</v>
      </c>
      <c r="V27" s="892">
        <f t="shared" si="0"/>
        <v>45019.288</v>
      </c>
      <c r="W27" s="892">
        <f t="shared" si="14"/>
        <v>11680.02</v>
      </c>
      <c r="X27" s="892">
        <f t="shared" si="7"/>
        <v>468901.592</v>
      </c>
      <c r="Y27" s="892">
        <f t="shared" si="8"/>
        <v>7008012</v>
      </c>
      <c r="Z27" s="892">
        <f t="shared" si="9"/>
        <v>530910</v>
      </c>
      <c r="AA27" s="892">
        <f t="shared" si="10"/>
        <v>7538922</v>
      </c>
      <c r="AB27" s="892">
        <f t="shared" si="1"/>
        <v>391684.16159999999</v>
      </c>
      <c r="AC27" s="892">
        <f t="shared" si="15"/>
        <v>339251.49</v>
      </c>
      <c r="AD27" s="892">
        <f t="shared" si="11"/>
        <v>210240.36</v>
      </c>
      <c r="AE27" s="892">
        <f t="shared" si="2"/>
        <v>376946.10000000003</v>
      </c>
      <c r="AF27" s="892">
        <f t="shared" si="12"/>
        <v>8857044.1116000004</v>
      </c>
      <c r="AG27" s="892" t="s">
        <v>3</v>
      </c>
    </row>
    <row r="28" spans="1:33">
      <c r="A28" s="885">
        <v>12</v>
      </c>
      <c r="B28" s="893" t="s">
        <v>435</v>
      </c>
      <c r="C28" s="893" t="s">
        <v>436</v>
      </c>
      <c r="D28" s="885">
        <v>1</v>
      </c>
      <c r="E28" s="885">
        <v>1</v>
      </c>
      <c r="F28" s="885"/>
      <c r="G28" s="888">
        <v>43710</v>
      </c>
      <c r="H28" s="895">
        <v>35</v>
      </c>
      <c r="I28" s="890">
        <f t="shared" si="13"/>
        <v>619395</v>
      </c>
      <c r="J28" s="890">
        <f t="shared" si="3"/>
        <v>61939.5</v>
      </c>
      <c r="K28" s="890"/>
      <c r="L28" s="890"/>
      <c r="M28" s="890"/>
      <c r="N28" s="890"/>
      <c r="O28" s="890"/>
      <c r="P28" s="890"/>
      <c r="Q28" s="891"/>
      <c r="R28" s="891"/>
      <c r="S28" s="892">
        <f t="shared" si="4"/>
        <v>61939.5</v>
      </c>
      <c r="T28" s="892">
        <f t="shared" si="5"/>
        <v>681334.5</v>
      </c>
      <c r="U28" s="892">
        <f t="shared" si="6"/>
        <v>68133.45</v>
      </c>
      <c r="V28" s="892">
        <f t="shared" si="0"/>
        <v>53584.636000000013</v>
      </c>
      <c r="W28" s="892">
        <f t="shared" si="14"/>
        <v>13626.69</v>
      </c>
      <c r="X28" s="892">
        <f t="shared" si="7"/>
        <v>545989.72400000005</v>
      </c>
      <c r="Y28" s="892">
        <f t="shared" si="8"/>
        <v>8176014</v>
      </c>
      <c r="Z28" s="892">
        <f t="shared" si="9"/>
        <v>619395</v>
      </c>
      <c r="AA28" s="892">
        <f t="shared" si="10"/>
        <v>8795409</v>
      </c>
      <c r="AB28" s="892">
        <f t="shared" si="1"/>
        <v>456964.85519999999</v>
      </c>
      <c r="AC28" s="892">
        <f t="shared" si="15"/>
        <v>395793.40500000003</v>
      </c>
      <c r="AD28" s="892">
        <f t="shared" si="11"/>
        <v>245280.41999999998</v>
      </c>
      <c r="AE28" s="892">
        <f t="shared" si="2"/>
        <v>439770.45</v>
      </c>
      <c r="AF28" s="892">
        <f t="shared" si="12"/>
        <v>10333218.130199999</v>
      </c>
      <c r="AG28" s="892" t="s">
        <v>3</v>
      </c>
    </row>
    <row r="29" spans="1:33" ht="31.5">
      <c r="A29" s="902">
        <v>13</v>
      </c>
      <c r="B29" s="903" t="s">
        <v>437</v>
      </c>
      <c r="C29" s="904" t="s">
        <v>438</v>
      </c>
      <c r="D29" s="902">
        <v>1</v>
      </c>
      <c r="E29" s="902">
        <v>1</v>
      </c>
      <c r="F29" s="902"/>
      <c r="G29" s="888">
        <v>44105</v>
      </c>
      <c r="H29" s="905">
        <v>30</v>
      </c>
      <c r="I29" s="906">
        <f t="shared" si="13"/>
        <v>530910</v>
      </c>
      <c r="J29" s="906">
        <f t="shared" si="3"/>
        <v>53091</v>
      </c>
      <c r="K29" s="906"/>
      <c r="L29" s="906"/>
      <c r="M29" s="906"/>
      <c r="N29" s="906"/>
      <c r="O29" s="906"/>
      <c r="P29" s="906"/>
      <c r="Q29" s="907"/>
      <c r="R29" s="907"/>
      <c r="S29" s="908">
        <f t="shared" si="4"/>
        <v>53091</v>
      </c>
      <c r="T29" s="908">
        <f t="shared" si="5"/>
        <v>584001</v>
      </c>
      <c r="U29" s="908">
        <f t="shared" si="6"/>
        <v>58400.100000000006</v>
      </c>
      <c r="V29" s="908">
        <f t="shared" si="0"/>
        <v>45019.288</v>
      </c>
      <c r="W29" s="908">
        <f t="shared" si="14"/>
        <v>11680.02</v>
      </c>
      <c r="X29" s="908">
        <f t="shared" si="7"/>
        <v>468901.592</v>
      </c>
      <c r="Y29" s="892">
        <f t="shared" si="8"/>
        <v>7008012</v>
      </c>
      <c r="Z29" s="892">
        <f t="shared" si="9"/>
        <v>530910</v>
      </c>
      <c r="AA29" s="892">
        <f t="shared" si="10"/>
        <v>7538922</v>
      </c>
      <c r="AB29" s="892">
        <f t="shared" si="1"/>
        <v>391684.16159999999</v>
      </c>
      <c r="AC29" s="892">
        <f t="shared" si="15"/>
        <v>339251.49</v>
      </c>
      <c r="AD29" s="892">
        <f t="shared" si="11"/>
        <v>210240.36</v>
      </c>
      <c r="AE29" s="892">
        <f t="shared" si="2"/>
        <v>376946.10000000003</v>
      </c>
      <c r="AF29" s="892">
        <f t="shared" si="12"/>
        <v>8857044.1116000004</v>
      </c>
      <c r="AG29" s="892" t="s">
        <v>3</v>
      </c>
    </row>
    <row r="30" spans="1:33">
      <c r="A30" s="885">
        <v>14</v>
      </c>
      <c r="B30" s="909" t="s">
        <v>46</v>
      </c>
      <c r="C30" s="909" t="s">
        <v>2314</v>
      </c>
      <c r="D30" s="1548">
        <v>2</v>
      </c>
      <c r="E30" s="885">
        <v>1</v>
      </c>
      <c r="F30" s="885"/>
      <c r="G30" s="910">
        <v>38517</v>
      </c>
      <c r="H30" s="911">
        <v>24</v>
      </c>
      <c r="I30" s="890">
        <f t="shared" si="13"/>
        <v>424728</v>
      </c>
      <c r="J30" s="890">
        <f t="shared" si="3"/>
        <v>42472.800000000003</v>
      </c>
      <c r="K30" s="890"/>
      <c r="L30" s="890"/>
      <c r="M30" s="890"/>
      <c r="N30" s="890"/>
      <c r="O30" s="890"/>
      <c r="P30" s="890"/>
      <c r="Q30" s="891"/>
      <c r="R30" s="891"/>
      <c r="S30" s="892">
        <f t="shared" si="4"/>
        <v>42472.800000000003</v>
      </c>
      <c r="T30" s="892">
        <f t="shared" si="5"/>
        <v>467200.8</v>
      </c>
      <c r="U30" s="892">
        <f t="shared" si="6"/>
        <v>46720.08</v>
      </c>
      <c r="V30" s="892">
        <f t="shared" si="0"/>
        <v>34740.8704</v>
      </c>
      <c r="W30" s="892">
        <f t="shared" si="14"/>
        <v>9344.0159999999996</v>
      </c>
      <c r="X30" s="892">
        <f t="shared" si="7"/>
        <v>376395.83359999995</v>
      </c>
      <c r="Y30" s="892">
        <f t="shared" si="8"/>
        <v>5606409.5999999996</v>
      </c>
      <c r="Z30" s="892">
        <f t="shared" si="9"/>
        <v>424728</v>
      </c>
      <c r="AA30" s="892">
        <f t="shared" si="10"/>
        <v>6031137.5999999996</v>
      </c>
      <c r="AB30" s="892">
        <f t="shared" si="1"/>
        <v>313347.32928000001</v>
      </c>
      <c r="AC30" s="892">
        <f t="shared" si="15"/>
        <v>271401.19199999998</v>
      </c>
      <c r="AD30" s="892">
        <f t="shared" si="11"/>
        <v>168192.28799999997</v>
      </c>
      <c r="AE30" s="892">
        <f t="shared" si="2"/>
        <v>301556.88</v>
      </c>
      <c r="AF30" s="892">
        <f t="shared" si="12"/>
        <v>7085635.2892799992</v>
      </c>
      <c r="AG30" s="892" t="s">
        <v>3</v>
      </c>
    </row>
    <row r="31" spans="1:33">
      <c r="A31" s="885">
        <v>15</v>
      </c>
      <c r="B31" s="912" t="s">
        <v>46</v>
      </c>
      <c r="C31" s="912" t="s">
        <v>2315</v>
      </c>
      <c r="D31" s="1548"/>
      <c r="E31" s="885">
        <v>1</v>
      </c>
      <c r="F31" s="885"/>
      <c r="G31" s="888">
        <v>45229</v>
      </c>
      <c r="H31" s="913">
        <v>21</v>
      </c>
      <c r="I31" s="890">
        <f t="shared" si="13"/>
        <v>371637</v>
      </c>
      <c r="J31" s="890">
        <f t="shared" si="3"/>
        <v>37163.700000000004</v>
      </c>
      <c r="K31" s="890"/>
      <c r="L31" s="890"/>
      <c r="M31" s="890"/>
      <c r="N31" s="890"/>
      <c r="O31" s="890"/>
      <c r="P31" s="890"/>
      <c r="Q31" s="891"/>
      <c r="R31" s="891"/>
      <c r="S31" s="892">
        <f t="shared" si="4"/>
        <v>37163.700000000004</v>
      </c>
      <c r="T31" s="892">
        <f t="shared" si="5"/>
        <v>408800.7</v>
      </c>
      <c r="U31" s="892">
        <f t="shared" si="6"/>
        <v>40880.070000000007</v>
      </c>
      <c r="V31" s="892">
        <f t="shared" si="0"/>
        <v>29601.661599999999</v>
      </c>
      <c r="W31" s="892">
        <f t="shared" si="14"/>
        <v>8176.0140000000001</v>
      </c>
      <c r="X31" s="892">
        <f t="shared" si="7"/>
        <v>330142.95439999999</v>
      </c>
      <c r="Y31" s="892">
        <f t="shared" si="8"/>
        <v>4905608.4000000004</v>
      </c>
      <c r="Z31" s="892">
        <f t="shared" si="9"/>
        <v>371637</v>
      </c>
      <c r="AA31" s="892">
        <f t="shared" si="10"/>
        <v>5277245.4000000004</v>
      </c>
      <c r="AB31" s="892">
        <f t="shared" si="1"/>
        <v>274178.91312000004</v>
      </c>
      <c r="AC31" s="892">
        <f t="shared" si="15"/>
        <v>237476.04300000003</v>
      </c>
      <c r="AD31" s="892">
        <f t="shared" si="11"/>
        <v>147168.25200000001</v>
      </c>
      <c r="AE31" s="892">
        <f t="shared" si="2"/>
        <v>263862.27</v>
      </c>
      <c r="AF31" s="892">
        <f t="shared" si="12"/>
        <v>6199930.8781199995</v>
      </c>
      <c r="AG31" s="892" t="s">
        <v>3</v>
      </c>
    </row>
    <row r="32" spans="1:33">
      <c r="A32" s="885">
        <v>16</v>
      </c>
      <c r="B32" s="912" t="s">
        <v>439</v>
      </c>
      <c r="C32" s="914" t="s">
        <v>440</v>
      </c>
      <c r="D32" s="885">
        <v>1</v>
      </c>
      <c r="E32" s="885">
        <v>1</v>
      </c>
      <c r="F32" s="885"/>
      <c r="G32" s="901">
        <v>45019</v>
      </c>
      <c r="H32" s="913">
        <v>25</v>
      </c>
      <c r="I32" s="890">
        <f t="shared" si="13"/>
        <v>442425</v>
      </c>
      <c r="J32" s="890">
        <f t="shared" si="3"/>
        <v>44242.5</v>
      </c>
      <c r="K32" s="890"/>
      <c r="L32" s="890"/>
      <c r="M32" s="890"/>
      <c r="N32" s="890"/>
      <c r="O32" s="890"/>
      <c r="P32" s="890"/>
      <c r="Q32" s="891"/>
      <c r="R32" s="891"/>
      <c r="S32" s="892">
        <f t="shared" si="4"/>
        <v>44242.5</v>
      </c>
      <c r="T32" s="892">
        <f t="shared" si="5"/>
        <v>486667.5</v>
      </c>
      <c r="U32" s="892">
        <f t="shared" si="6"/>
        <v>48666.75</v>
      </c>
      <c r="V32" s="892">
        <f t="shared" si="0"/>
        <v>36453.94</v>
      </c>
      <c r="W32" s="892">
        <f t="shared" si="14"/>
        <v>9733.35</v>
      </c>
      <c r="X32" s="892">
        <f t="shared" si="7"/>
        <v>391813.46</v>
      </c>
      <c r="Y32" s="892">
        <f t="shared" si="8"/>
        <v>5840010</v>
      </c>
      <c r="Z32" s="892">
        <f t="shared" si="9"/>
        <v>442425</v>
      </c>
      <c r="AA32" s="892">
        <f t="shared" si="10"/>
        <v>6282435</v>
      </c>
      <c r="AB32" s="892">
        <f t="shared" si="1"/>
        <v>326403.46799999994</v>
      </c>
      <c r="AC32" s="892">
        <f t="shared" si="15"/>
        <v>282709.57500000001</v>
      </c>
      <c r="AD32" s="892">
        <f t="shared" si="11"/>
        <v>175200.3</v>
      </c>
      <c r="AE32" s="892">
        <f t="shared" si="2"/>
        <v>314121.75</v>
      </c>
      <c r="AF32" s="892">
        <f t="shared" si="12"/>
        <v>7380870.0930000003</v>
      </c>
      <c r="AG32" s="892" t="s">
        <v>3</v>
      </c>
    </row>
    <row r="33" spans="1:33" ht="31.5">
      <c r="A33" s="885">
        <v>17</v>
      </c>
      <c r="B33" s="915" t="s">
        <v>441</v>
      </c>
      <c r="C33" s="916" t="s">
        <v>826</v>
      </c>
      <c r="D33" s="885">
        <v>1</v>
      </c>
      <c r="E33" s="885">
        <v>1</v>
      </c>
      <c r="F33" s="885"/>
      <c r="G33" s="901">
        <v>45232</v>
      </c>
      <c r="H33" s="913">
        <v>28</v>
      </c>
      <c r="I33" s="890">
        <f t="shared" si="13"/>
        <v>495516</v>
      </c>
      <c r="J33" s="890">
        <f t="shared" si="3"/>
        <v>49551.600000000006</v>
      </c>
      <c r="K33" s="890"/>
      <c r="L33" s="890"/>
      <c r="M33" s="890"/>
      <c r="N33" s="890"/>
      <c r="O33" s="890"/>
      <c r="P33" s="890"/>
      <c r="Q33" s="891"/>
      <c r="R33" s="891"/>
      <c r="S33" s="892">
        <f t="shared" si="4"/>
        <v>49551.600000000006</v>
      </c>
      <c r="T33" s="892">
        <f t="shared" si="5"/>
        <v>545067.6</v>
      </c>
      <c r="U33" s="892">
        <f t="shared" si="6"/>
        <v>54506.76</v>
      </c>
      <c r="V33" s="892">
        <f t="shared" si="0"/>
        <v>41593.148799999995</v>
      </c>
      <c r="W33" s="892">
        <f t="shared" si="14"/>
        <v>10901.351999999999</v>
      </c>
      <c r="X33" s="892">
        <f t="shared" si="7"/>
        <v>438066.33919999999</v>
      </c>
      <c r="Y33" s="892">
        <f t="shared" si="8"/>
        <v>6540811.1999999993</v>
      </c>
      <c r="Z33" s="892">
        <f t="shared" si="9"/>
        <v>495516</v>
      </c>
      <c r="AA33" s="892">
        <f t="shared" si="10"/>
        <v>7036327.1999999993</v>
      </c>
      <c r="AB33" s="892">
        <f t="shared" si="1"/>
        <v>365571.88415999996</v>
      </c>
      <c r="AC33" s="892">
        <f t="shared" si="15"/>
        <v>316634.72399999999</v>
      </c>
      <c r="AD33" s="892">
        <f t="shared" si="11"/>
        <v>196224.33599999998</v>
      </c>
      <c r="AE33" s="892">
        <f t="shared" si="2"/>
        <v>351816.36</v>
      </c>
      <c r="AF33" s="892">
        <f t="shared" si="12"/>
        <v>8266574.50416</v>
      </c>
      <c r="AG33" s="892" t="s">
        <v>3</v>
      </c>
    </row>
    <row r="34" spans="1:33" ht="31.5">
      <c r="A34" s="885">
        <v>18</v>
      </c>
      <c r="B34" s="909" t="s">
        <v>442</v>
      </c>
      <c r="C34" s="909" t="s">
        <v>190</v>
      </c>
      <c r="D34" s="885">
        <v>1</v>
      </c>
      <c r="E34" s="885">
        <v>1</v>
      </c>
      <c r="F34" s="885"/>
      <c r="G34" s="888">
        <v>42980</v>
      </c>
      <c r="H34" s="911">
        <v>25</v>
      </c>
      <c r="I34" s="890">
        <f t="shared" si="13"/>
        <v>442425</v>
      </c>
      <c r="J34" s="890">
        <f t="shared" si="3"/>
        <v>44242.5</v>
      </c>
      <c r="K34" s="890"/>
      <c r="L34" s="890"/>
      <c r="M34" s="890"/>
      <c r="N34" s="890"/>
      <c r="O34" s="890"/>
      <c r="P34" s="890"/>
      <c r="Q34" s="891"/>
      <c r="R34" s="891"/>
      <c r="S34" s="892">
        <f>SUM(J34:R34)</f>
        <v>44242.5</v>
      </c>
      <c r="T34" s="892">
        <f t="shared" si="5"/>
        <v>486667.5</v>
      </c>
      <c r="U34" s="892">
        <f t="shared" si="6"/>
        <v>48666.75</v>
      </c>
      <c r="V34" s="892">
        <f t="shared" si="0"/>
        <v>36453.94</v>
      </c>
      <c r="W34" s="892">
        <f t="shared" si="14"/>
        <v>9733.35</v>
      </c>
      <c r="X34" s="892">
        <f t="shared" si="7"/>
        <v>391813.46</v>
      </c>
      <c r="Y34" s="892">
        <f t="shared" si="8"/>
        <v>5840010</v>
      </c>
      <c r="Z34" s="892">
        <f t="shared" si="9"/>
        <v>442425</v>
      </c>
      <c r="AA34" s="892">
        <f t="shared" si="10"/>
        <v>6282435</v>
      </c>
      <c r="AB34" s="892">
        <f t="shared" si="1"/>
        <v>326403.46799999994</v>
      </c>
      <c r="AC34" s="892">
        <f t="shared" si="15"/>
        <v>282709.57500000001</v>
      </c>
      <c r="AD34" s="892">
        <f t="shared" si="11"/>
        <v>175200.3</v>
      </c>
      <c r="AE34" s="892">
        <f t="shared" si="2"/>
        <v>314121.75</v>
      </c>
      <c r="AF34" s="892">
        <f t="shared" si="12"/>
        <v>7380870.0930000003</v>
      </c>
      <c r="AG34" s="892" t="s">
        <v>3</v>
      </c>
    </row>
    <row r="35" spans="1:33">
      <c r="A35" s="885">
        <v>19</v>
      </c>
      <c r="B35" s="909" t="s">
        <v>47</v>
      </c>
      <c r="C35" s="909" t="s">
        <v>2316</v>
      </c>
      <c r="D35" s="885">
        <v>1</v>
      </c>
      <c r="E35" s="885">
        <v>1</v>
      </c>
      <c r="F35" s="885"/>
      <c r="G35" s="888">
        <v>44585</v>
      </c>
      <c r="H35" s="911">
        <v>16</v>
      </c>
      <c r="I35" s="890">
        <f t="shared" si="13"/>
        <v>283152</v>
      </c>
      <c r="J35" s="890">
        <f t="shared" si="3"/>
        <v>28315.200000000001</v>
      </c>
      <c r="K35" s="890"/>
      <c r="L35" s="890"/>
      <c r="M35" s="890"/>
      <c r="N35" s="890"/>
      <c r="O35" s="890"/>
      <c r="P35" s="890"/>
      <c r="Q35" s="891"/>
      <c r="R35" s="891"/>
      <c r="S35" s="892">
        <f t="shared" si="4"/>
        <v>28315.200000000001</v>
      </c>
      <c r="T35" s="892">
        <f t="shared" si="5"/>
        <v>311467.2</v>
      </c>
      <c r="U35" s="892">
        <f t="shared" si="6"/>
        <v>31146.720000000001</v>
      </c>
      <c r="V35" s="892">
        <f t="shared" si="0"/>
        <v>21036.313600000001</v>
      </c>
      <c r="W35" s="892">
        <f t="shared" si="14"/>
        <v>6229.3440000000001</v>
      </c>
      <c r="X35" s="892">
        <f t="shared" si="7"/>
        <v>253054.82239999998</v>
      </c>
      <c r="Y35" s="892">
        <f t="shared" si="8"/>
        <v>3737606.4000000004</v>
      </c>
      <c r="Z35" s="892">
        <f t="shared" si="9"/>
        <v>283152</v>
      </c>
      <c r="AA35" s="892">
        <f t="shared" si="10"/>
        <v>4020758.4000000004</v>
      </c>
      <c r="AB35" s="892">
        <f t="shared" si="1"/>
        <v>208898.21952000004</v>
      </c>
      <c r="AC35" s="892">
        <f t="shared" si="15"/>
        <v>180934.12800000003</v>
      </c>
      <c r="AD35" s="892">
        <f t="shared" si="11"/>
        <v>112128.19200000001</v>
      </c>
      <c r="AE35" s="892">
        <f t="shared" si="2"/>
        <v>201037.92000000004</v>
      </c>
      <c r="AF35" s="892">
        <f t="shared" si="12"/>
        <v>4723756.8595199995</v>
      </c>
      <c r="AG35" s="892" t="s">
        <v>3</v>
      </c>
    </row>
    <row r="36" spans="1:33" ht="31.5">
      <c r="A36" s="885">
        <v>20</v>
      </c>
      <c r="B36" s="909" t="s">
        <v>443</v>
      </c>
      <c r="C36" s="909" t="s">
        <v>444</v>
      </c>
      <c r="D36" s="885">
        <v>1</v>
      </c>
      <c r="E36" s="885">
        <v>1</v>
      </c>
      <c r="F36" s="885"/>
      <c r="G36" s="917">
        <v>42888</v>
      </c>
      <c r="H36" s="911">
        <v>11</v>
      </c>
      <c r="I36" s="890">
        <f t="shared" si="13"/>
        <v>194667</v>
      </c>
      <c r="J36" s="890">
        <f t="shared" si="3"/>
        <v>19466.7</v>
      </c>
      <c r="K36" s="890"/>
      <c r="L36" s="890"/>
      <c r="M36" s="890"/>
      <c r="N36" s="890"/>
      <c r="O36" s="890"/>
      <c r="P36" s="890"/>
      <c r="Q36" s="891"/>
      <c r="R36" s="891"/>
      <c r="S36" s="892">
        <f t="shared" si="4"/>
        <v>19466.7</v>
      </c>
      <c r="T36" s="892">
        <f t="shared" si="5"/>
        <v>214133.7</v>
      </c>
      <c r="U36" s="892">
        <f t="shared" si="6"/>
        <v>21413.370000000003</v>
      </c>
      <c r="V36" s="892">
        <f t="shared" si="0"/>
        <v>12470.965600000003</v>
      </c>
      <c r="W36" s="892">
        <f t="shared" si="14"/>
        <v>4282.674</v>
      </c>
      <c r="X36" s="892">
        <f t="shared" si="7"/>
        <v>175966.69040000002</v>
      </c>
      <c r="Y36" s="892">
        <f t="shared" si="8"/>
        <v>2569604.4000000004</v>
      </c>
      <c r="Z36" s="892">
        <f t="shared" si="9"/>
        <v>194667</v>
      </c>
      <c r="AA36" s="892">
        <f t="shared" si="10"/>
        <v>2764271.4000000004</v>
      </c>
      <c r="AB36" s="892">
        <f t="shared" si="1"/>
        <v>143617.52592000001</v>
      </c>
      <c r="AC36" s="892">
        <f t="shared" si="15"/>
        <v>124392.21300000002</v>
      </c>
      <c r="AD36" s="892">
        <f t="shared" si="11"/>
        <v>77088.132000000012</v>
      </c>
      <c r="AE36" s="892">
        <f t="shared" si="2"/>
        <v>138213.57000000004</v>
      </c>
      <c r="AF36" s="892">
        <f t="shared" si="12"/>
        <v>3247582.8409200003</v>
      </c>
      <c r="AG36" s="892" t="s">
        <v>3</v>
      </c>
    </row>
    <row r="37" spans="1:33" ht="21" customHeight="1">
      <c r="B37" s="919" t="s">
        <v>827</v>
      </c>
      <c r="C37" s="920"/>
      <c r="D37" s="921">
        <f>SUM(D17:D36)</f>
        <v>20</v>
      </c>
      <c r="E37" s="921">
        <f>SUM(E17:E36)</f>
        <v>20</v>
      </c>
      <c r="F37" s="887"/>
      <c r="G37" s="887"/>
      <c r="H37" s="887"/>
      <c r="I37" s="922">
        <f>SUM(I17:I36)</f>
        <v>10547412</v>
      </c>
      <c r="J37" s="922">
        <f>SUM(J17:J36)</f>
        <v>1054741.2</v>
      </c>
      <c r="K37" s="887"/>
      <c r="L37" s="887"/>
      <c r="M37" s="887"/>
      <c r="N37" s="887"/>
      <c r="O37" s="887"/>
      <c r="P37" s="887"/>
      <c r="Q37" s="923"/>
      <c r="R37" s="923"/>
      <c r="S37" s="924">
        <f>SUM(S17:S36)</f>
        <v>1054741.2</v>
      </c>
      <c r="T37" s="924">
        <f t="shared" ref="T37:AF37" si="16">SUM(T17:T36)</f>
        <v>11602153.199999997</v>
      </c>
      <c r="U37" s="924">
        <f t="shared" si="16"/>
        <v>1160215.3199999998</v>
      </c>
      <c r="V37" s="924">
        <f t="shared" si="16"/>
        <v>894039.89120000019</v>
      </c>
      <c r="W37" s="924">
        <f t="shared" si="16"/>
        <v>226978.96799999999</v>
      </c>
      <c r="X37" s="924">
        <f t="shared" si="16"/>
        <v>9320919.0208000019</v>
      </c>
      <c r="Y37" s="924">
        <f t="shared" si="16"/>
        <v>139225838.40000001</v>
      </c>
      <c r="Z37" s="924">
        <f t="shared" si="16"/>
        <v>10547412</v>
      </c>
      <c r="AA37" s="924">
        <f t="shared" si="16"/>
        <v>149773250.40000001</v>
      </c>
      <c r="AB37" s="924">
        <f t="shared" si="16"/>
        <v>7788143.2838400016</v>
      </c>
      <c r="AC37" s="924">
        <f t="shared" si="16"/>
        <v>6739796.268000002</v>
      </c>
      <c r="AD37" s="924">
        <f t="shared" si="16"/>
        <v>4176775.1519999998</v>
      </c>
      <c r="AE37" s="924">
        <f t="shared" si="16"/>
        <v>7488662.5200000005</v>
      </c>
      <c r="AF37" s="924">
        <f t="shared" si="16"/>
        <v>175966627.62383994</v>
      </c>
      <c r="AG37" s="923"/>
    </row>
    <row r="38" spans="1:33" ht="20.25" customHeight="1">
      <c r="A38" s="1544" t="s">
        <v>445</v>
      </c>
      <c r="B38" s="1544"/>
      <c r="C38" s="1544"/>
      <c r="D38" s="1544"/>
      <c r="E38" s="1544"/>
      <c r="F38" s="1544"/>
      <c r="G38" s="1544"/>
      <c r="H38" s="1544"/>
      <c r="I38" s="1544"/>
      <c r="J38" s="1544"/>
      <c r="K38" s="1544"/>
      <c r="L38" s="1544"/>
      <c r="M38" s="1544"/>
      <c r="N38" s="1544"/>
      <c r="O38" s="1544"/>
      <c r="P38" s="1544"/>
      <c r="Q38" s="1544"/>
      <c r="R38" s="1544"/>
      <c r="S38" s="1544"/>
      <c r="T38" s="1544"/>
      <c r="U38" s="1544"/>
      <c r="V38" s="1544"/>
      <c r="W38" s="1544"/>
      <c r="X38" s="1544"/>
      <c r="Y38" s="1544"/>
      <c r="Z38" s="1544"/>
      <c r="AA38" s="1544"/>
      <c r="AB38" s="1544"/>
      <c r="AC38" s="1544"/>
      <c r="AD38" s="1544"/>
      <c r="AE38" s="1544"/>
      <c r="AF38" s="1544"/>
      <c r="AG38" s="1544"/>
    </row>
    <row r="39" spans="1:33" ht="33.75" customHeight="1">
      <c r="A39" s="918">
        <v>21</v>
      </c>
      <c r="B39" s="915" t="s">
        <v>446</v>
      </c>
      <c r="C39" s="925" t="s">
        <v>2317</v>
      </c>
      <c r="D39" s="1556">
        <v>2</v>
      </c>
      <c r="E39" s="918">
        <v>1</v>
      </c>
      <c r="F39" s="918"/>
      <c r="G39" s="901">
        <v>44880</v>
      </c>
      <c r="H39" s="895">
        <v>23</v>
      </c>
      <c r="I39" s="892">
        <f>E39*17697*H39</f>
        <v>407031</v>
      </c>
      <c r="J39" s="892">
        <f>I39*10%</f>
        <v>40703.100000000006</v>
      </c>
      <c r="K39" s="887"/>
      <c r="L39" s="887"/>
      <c r="M39" s="887"/>
      <c r="N39" s="887"/>
      <c r="O39" s="887"/>
      <c r="P39" s="887"/>
      <c r="Q39" s="923"/>
      <c r="R39" s="923"/>
      <c r="S39" s="892">
        <f>SUM(J39:R39)</f>
        <v>40703.100000000006</v>
      </c>
      <c r="T39" s="892">
        <f t="shared" ref="T39:T102" si="17">I39+S39</f>
        <v>447734.1</v>
      </c>
      <c r="U39" s="892">
        <f t="shared" ref="U39:U102" si="18">T39*10%</f>
        <v>44773.41</v>
      </c>
      <c r="V39" s="892">
        <f t="shared" ref="V39:V96" si="19">((T39-U39-W39)-(14*4552))*10%</f>
        <v>33027.800799999997</v>
      </c>
      <c r="W39" s="892">
        <f t="shared" ref="W39:W102" si="20">T39*2%</f>
        <v>8954.6819999999989</v>
      </c>
      <c r="X39" s="892">
        <f t="shared" ref="X39:X102" si="21">T39-U39-V39-W39</f>
        <v>360978.2072</v>
      </c>
      <c r="Y39" s="892">
        <f t="shared" ref="Y39:Y102" si="22">T39*12</f>
        <v>5372809.1999999993</v>
      </c>
      <c r="Z39" s="892">
        <f t="shared" ref="Z39:Z92" si="23">I39</f>
        <v>407031</v>
      </c>
      <c r="AA39" s="892">
        <f t="shared" ref="AA39:AA102" si="24">Y39+Z39</f>
        <v>5779840.1999999993</v>
      </c>
      <c r="AB39" s="892">
        <f t="shared" ref="AB39:AB92" si="25">(AA39*0.9-(W39*12))*11%-AC39</f>
        <v>300291.1905599999</v>
      </c>
      <c r="AC39" s="892">
        <f>AA39*0.9*5%</f>
        <v>260092.80900000001</v>
      </c>
      <c r="AD39" s="892">
        <f t="shared" ref="AD39:AD102" si="26">Y39*3%</f>
        <v>161184.27599999998</v>
      </c>
      <c r="AE39" s="892">
        <f t="shared" ref="AE39:AE102" si="27">AA39*5%</f>
        <v>288992.00999999995</v>
      </c>
      <c r="AF39" s="892">
        <f t="shared" ref="AF39:AF102" si="28">AA39+AB39+AC39+AD39+AE39</f>
        <v>6790400.485559999</v>
      </c>
      <c r="AG39" s="892" t="s">
        <v>3</v>
      </c>
    </row>
    <row r="40" spans="1:33" ht="34.5" customHeight="1">
      <c r="A40" s="918">
        <v>22</v>
      </c>
      <c r="B40" s="915" t="s">
        <v>446</v>
      </c>
      <c r="C40" s="900" t="s">
        <v>828</v>
      </c>
      <c r="D40" s="1556"/>
      <c r="E40" s="918">
        <v>1</v>
      </c>
      <c r="F40" s="918"/>
      <c r="G40" s="901">
        <v>45300</v>
      </c>
      <c r="H40" s="898">
        <v>23</v>
      </c>
      <c r="I40" s="892">
        <f>17697*H40</f>
        <v>407031</v>
      </c>
      <c r="J40" s="892">
        <f t="shared" ref="J40:J103" si="29">I40*10%</f>
        <v>40703.100000000006</v>
      </c>
      <c r="K40" s="887"/>
      <c r="L40" s="887"/>
      <c r="M40" s="887"/>
      <c r="N40" s="887"/>
      <c r="O40" s="887"/>
      <c r="P40" s="887"/>
      <c r="Q40" s="923"/>
      <c r="R40" s="923"/>
      <c r="S40" s="892">
        <f t="shared" ref="S40:S92" si="30">SUM(J40:R40)</f>
        <v>40703.100000000006</v>
      </c>
      <c r="T40" s="892">
        <f t="shared" si="17"/>
        <v>447734.1</v>
      </c>
      <c r="U40" s="892">
        <f t="shared" si="18"/>
        <v>44773.41</v>
      </c>
      <c r="V40" s="892">
        <f t="shared" si="19"/>
        <v>33027.800799999997</v>
      </c>
      <c r="W40" s="892">
        <f t="shared" si="20"/>
        <v>8954.6819999999989</v>
      </c>
      <c r="X40" s="892">
        <f t="shared" si="21"/>
        <v>360978.2072</v>
      </c>
      <c r="Y40" s="892">
        <f t="shared" si="22"/>
        <v>5372809.1999999993</v>
      </c>
      <c r="Z40" s="892">
        <f t="shared" si="23"/>
        <v>407031</v>
      </c>
      <c r="AA40" s="892">
        <f t="shared" si="24"/>
        <v>5779840.1999999993</v>
      </c>
      <c r="AB40" s="892">
        <f t="shared" si="25"/>
        <v>300291.1905599999</v>
      </c>
      <c r="AC40" s="892">
        <f t="shared" ref="AC40:AC92" si="31">AA40*0.9*5%</f>
        <v>260092.80900000001</v>
      </c>
      <c r="AD40" s="892">
        <f t="shared" si="26"/>
        <v>161184.27599999998</v>
      </c>
      <c r="AE40" s="892">
        <f t="shared" si="27"/>
        <v>288992.00999999995</v>
      </c>
      <c r="AF40" s="892">
        <f t="shared" si="28"/>
        <v>6790400.485559999</v>
      </c>
      <c r="AG40" s="892" t="s">
        <v>3</v>
      </c>
    </row>
    <row r="41" spans="1:33">
      <c r="A41" s="918">
        <v>23</v>
      </c>
      <c r="B41" s="909" t="s">
        <v>2318</v>
      </c>
      <c r="C41" s="327" t="s">
        <v>898</v>
      </c>
      <c r="D41" s="918">
        <v>1</v>
      </c>
      <c r="E41" s="918">
        <v>1</v>
      </c>
      <c r="F41" s="918"/>
      <c r="G41" s="918"/>
      <c r="H41" s="895">
        <v>25</v>
      </c>
      <c r="I41" s="892">
        <f>17697*H41</f>
        <v>442425</v>
      </c>
      <c r="J41" s="892">
        <f t="shared" si="29"/>
        <v>44242.5</v>
      </c>
      <c r="K41" s="887"/>
      <c r="L41" s="887"/>
      <c r="M41" s="887"/>
      <c r="N41" s="887"/>
      <c r="O41" s="887"/>
      <c r="P41" s="887"/>
      <c r="Q41" s="923"/>
      <c r="R41" s="923"/>
      <c r="S41" s="892">
        <f t="shared" si="30"/>
        <v>44242.5</v>
      </c>
      <c r="T41" s="892">
        <f t="shared" si="17"/>
        <v>486667.5</v>
      </c>
      <c r="U41" s="892">
        <f t="shared" si="18"/>
        <v>48666.75</v>
      </c>
      <c r="V41" s="892">
        <f t="shared" si="19"/>
        <v>36453.94</v>
      </c>
      <c r="W41" s="892">
        <f t="shared" si="20"/>
        <v>9733.35</v>
      </c>
      <c r="X41" s="892">
        <f t="shared" si="21"/>
        <v>391813.46</v>
      </c>
      <c r="Y41" s="892">
        <f t="shared" si="22"/>
        <v>5840010</v>
      </c>
      <c r="Z41" s="892">
        <f t="shared" si="23"/>
        <v>442425</v>
      </c>
      <c r="AA41" s="892">
        <f t="shared" si="24"/>
        <v>6282435</v>
      </c>
      <c r="AB41" s="892">
        <f t="shared" si="25"/>
        <v>326403.46799999994</v>
      </c>
      <c r="AC41" s="892">
        <f t="shared" si="31"/>
        <v>282709.57500000001</v>
      </c>
      <c r="AD41" s="892">
        <f t="shared" si="26"/>
        <v>175200.3</v>
      </c>
      <c r="AE41" s="892">
        <f t="shared" si="27"/>
        <v>314121.75</v>
      </c>
      <c r="AF41" s="892">
        <f t="shared" si="28"/>
        <v>7380870.0930000003</v>
      </c>
      <c r="AG41" s="892" t="s">
        <v>3</v>
      </c>
    </row>
    <row r="42" spans="1:33">
      <c r="A42" s="918">
        <v>24</v>
      </c>
      <c r="B42" s="909" t="s">
        <v>2319</v>
      </c>
      <c r="C42" s="926" t="s">
        <v>447</v>
      </c>
      <c r="D42" s="1556">
        <v>6</v>
      </c>
      <c r="E42" s="918">
        <v>1</v>
      </c>
      <c r="F42" s="918"/>
      <c r="G42" s="901">
        <v>43078</v>
      </c>
      <c r="H42" s="918">
        <v>15</v>
      </c>
      <c r="I42" s="892">
        <f t="shared" ref="I42:I92" si="32">E42*17697*H42</f>
        <v>265455</v>
      </c>
      <c r="J42" s="892">
        <f t="shared" si="29"/>
        <v>26545.5</v>
      </c>
      <c r="K42" s="887"/>
      <c r="L42" s="887"/>
      <c r="M42" s="887"/>
      <c r="N42" s="887"/>
      <c r="O42" s="887"/>
      <c r="P42" s="887"/>
      <c r="Q42" s="923"/>
      <c r="R42" s="923"/>
      <c r="S42" s="892">
        <f t="shared" si="30"/>
        <v>26545.5</v>
      </c>
      <c r="T42" s="892">
        <f t="shared" si="17"/>
        <v>292000.5</v>
      </c>
      <c r="U42" s="892">
        <f t="shared" si="18"/>
        <v>29200.050000000003</v>
      </c>
      <c r="V42" s="892">
        <f t="shared" si="19"/>
        <v>19323.244000000002</v>
      </c>
      <c r="W42" s="892">
        <f t="shared" si="20"/>
        <v>5840.01</v>
      </c>
      <c r="X42" s="892">
        <f t="shared" si="21"/>
        <v>237637.196</v>
      </c>
      <c r="Y42" s="892">
        <f t="shared" si="22"/>
        <v>3504006</v>
      </c>
      <c r="Z42" s="892">
        <f t="shared" si="23"/>
        <v>265455</v>
      </c>
      <c r="AA42" s="892">
        <f t="shared" si="24"/>
        <v>3769461</v>
      </c>
      <c r="AB42" s="892">
        <f t="shared" si="25"/>
        <v>195842.0808</v>
      </c>
      <c r="AC42" s="892">
        <f t="shared" si="31"/>
        <v>169625.745</v>
      </c>
      <c r="AD42" s="892">
        <f t="shared" si="26"/>
        <v>105120.18</v>
      </c>
      <c r="AE42" s="892">
        <f t="shared" si="27"/>
        <v>188473.05000000002</v>
      </c>
      <c r="AF42" s="892">
        <f t="shared" si="28"/>
        <v>4428522.0558000002</v>
      </c>
      <c r="AG42" s="892" t="s">
        <v>3</v>
      </c>
    </row>
    <row r="43" spans="1:33" ht="31.5">
      <c r="A43" s="918">
        <v>25</v>
      </c>
      <c r="B43" s="909" t="s">
        <v>2319</v>
      </c>
      <c r="C43" s="927" t="s">
        <v>448</v>
      </c>
      <c r="D43" s="1556"/>
      <c r="E43" s="918">
        <v>1</v>
      </c>
      <c r="F43" s="918"/>
      <c r="G43" s="888">
        <v>44781</v>
      </c>
      <c r="H43" s="918">
        <v>16</v>
      </c>
      <c r="I43" s="892">
        <f t="shared" si="32"/>
        <v>283152</v>
      </c>
      <c r="J43" s="892">
        <f t="shared" si="29"/>
        <v>28315.200000000001</v>
      </c>
      <c r="K43" s="887"/>
      <c r="L43" s="887"/>
      <c r="M43" s="887"/>
      <c r="N43" s="887"/>
      <c r="O43" s="887"/>
      <c r="P43" s="887"/>
      <c r="Q43" s="923"/>
      <c r="R43" s="923"/>
      <c r="S43" s="892">
        <f t="shared" si="30"/>
        <v>28315.200000000001</v>
      </c>
      <c r="T43" s="892">
        <f t="shared" si="17"/>
        <v>311467.2</v>
      </c>
      <c r="U43" s="892">
        <f t="shared" si="18"/>
        <v>31146.720000000001</v>
      </c>
      <c r="V43" s="892">
        <f t="shared" si="19"/>
        <v>21036.313600000001</v>
      </c>
      <c r="W43" s="892">
        <f t="shared" si="20"/>
        <v>6229.3440000000001</v>
      </c>
      <c r="X43" s="892">
        <f t="shared" si="21"/>
        <v>253054.82239999998</v>
      </c>
      <c r="Y43" s="892">
        <f t="shared" si="22"/>
        <v>3737606.4000000004</v>
      </c>
      <c r="Z43" s="892">
        <f t="shared" si="23"/>
        <v>283152</v>
      </c>
      <c r="AA43" s="892">
        <f t="shared" si="24"/>
        <v>4020758.4000000004</v>
      </c>
      <c r="AB43" s="892">
        <f t="shared" si="25"/>
        <v>208898.21952000004</v>
      </c>
      <c r="AC43" s="892">
        <f t="shared" si="31"/>
        <v>180934.12800000003</v>
      </c>
      <c r="AD43" s="892">
        <f t="shared" si="26"/>
        <v>112128.19200000001</v>
      </c>
      <c r="AE43" s="892">
        <f t="shared" si="27"/>
        <v>201037.92000000004</v>
      </c>
      <c r="AF43" s="892">
        <f t="shared" si="28"/>
        <v>4723756.8595199995</v>
      </c>
      <c r="AG43" s="892" t="s">
        <v>3</v>
      </c>
    </row>
    <row r="44" spans="1:33" ht="31.5">
      <c r="A44" s="918">
        <v>26</v>
      </c>
      <c r="B44" s="909" t="s">
        <v>2319</v>
      </c>
      <c r="C44" s="928" t="s">
        <v>2320</v>
      </c>
      <c r="D44" s="1556"/>
      <c r="E44" s="918">
        <v>1</v>
      </c>
      <c r="F44" s="918"/>
      <c r="G44" s="888">
        <v>45174</v>
      </c>
      <c r="H44" s="918">
        <v>15</v>
      </c>
      <c r="I44" s="892">
        <f t="shared" si="32"/>
        <v>265455</v>
      </c>
      <c r="J44" s="892">
        <f t="shared" si="29"/>
        <v>26545.5</v>
      </c>
      <c r="K44" s="887"/>
      <c r="L44" s="887"/>
      <c r="M44" s="887"/>
      <c r="N44" s="887"/>
      <c r="O44" s="887"/>
      <c r="P44" s="887"/>
      <c r="Q44" s="923"/>
      <c r="R44" s="923"/>
      <c r="S44" s="892">
        <f t="shared" si="30"/>
        <v>26545.5</v>
      </c>
      <c r="T44" s="892">
        <f t="shared" si="17"/>
        <v>292000.5</v>
      </c>
      <c r="U44" s="892">
        <f t="shared" si="18"/>
        <v>29200.050000000003</v>
      </c>
      <c r="V44" s="892">
        <f t="shared" si="19"/>
        <v>19323.244000000002</v>
      </c>
      <c r="W44" s="892">
        <f t="shared" si="20"/>
        <v>5840.01</v>
      </c>
      <c r="X44" s="892">
        <f t="shared" si="21"/>
        <v>237637.196</v>
      </c>
      <c r="Y44" s="892">
        <f t="shared" si="22"/>
        <v>3504006</v>
      </c>
      <c r="Z44" s="892">
        <f t="shared" si="23"/>
        <v>265455</v>
      </c>
      <c r="AA44" s="892">
        <f t="shared" si="24"/>
        <v>3769461</v>
      </c>
      <c r="AB44" s="892">
        <f t="shared" si="25"/>
        <v>195842.0808</v>
      </c>
      <c r="AC44" s="892">
        <f t="shared" si="31"/>
        <v>169625.745</v>
      </c>
      <c r="AD44" s="892">
        <f t="shared" si="26"/>
        <v>105120.18</v>
      </c>
      <c r="AE44" s="892">
        <f t="shared" si="27"/>
        <v>188473.05000000002</v>
      </c>
      <c r="AF44" s="892">
        <f t="shared" si="28"/>
        <v>4428522.0558000002</v>
      </c>
      <c r="AG44" s="892" t="s">
        <v>3</v>
      </c>
    </row>
    <row r="45" spans="1:33">
      <c r="A45" s="918">
        <v>27</v>
      </c>
      <c r="B45" s="909" t="s">
        <v>2319</v>
      </c>
      <c r="C45" s="927" t="s">
        <v>2321</v>
      </c>
      <c r="D45" s="1556"/>
      <c r="E45" s="918">
        <v>1.5</v>
      </c>
      <c r="F45" s="918"/>
      <c r="G45" s="888">
        <v>45170</v>
      </c>
      <c r="H45" s="918">
        <v>15</v>
      </c>
      <c r="I45" s="892">
        <f t="shared" si="32"/>
        <v>398182.5</v>
      </c>
      <c r="J45" s="892">
        <f t="shared" si="29"/>
        <v>39818.25</v>
      </c>
      <c r="K45" s="887"/>
      <c r="L45" s="887"/>
      <c r="M45" s="887"/>
      <c r="N45" s="887"/>
      <c r="O45" s="887"/>
      <c r="P45" s="887"/>
      <c r="Q45" s="923"/>
      <c r="R45" s="923"/>
      <c r="S45" s="892">
        <f t="shared" si="30"/>
        <v>39818.25</v>
      </c>
      <c r="T45" s="892">
        <f t="shared" si="17"/>
        <v>438000.75</v>
      </c>
      <c r="U45" s="892">
        <f t="shared" si="18"/>
        <v>43800.075000000004</v>
      </c>
      <c r="V45" s="892">
        <f t="shared" si="19"/>
        <v>32171.266</v>
      </c>
      <c r="W45" s="892">
        <f t="shared" si="20"/>
        <v>8760.0149999999994</v>
      </c>
      <c r="X45" s="892">
        <f t="shared" si="21"/>
        <v>353269.39399999997</v>
      </c>
      <c r="Y45" s="892">
        <f t="shared" si="22"/>
        <v>5256009</v>
      </c>
      <c r="Z45" s="892">
        <f t="shared" si="23"/>
        <v>398182.5</v>
      </c>
      <c r="AA45" s="892">
        <f t="shared" si="24"/>
        <v>5654191.5</v>
      </c>
      <c r="AB45" s="892">
        <f t="shared" si="25"/>
        <v>293763.12120000005</v>
      </c>
      <c r="AC45" s="892">
        <f t="shared" si="31"/>
        <v>254438.61750000005</v>
      </c>
      <c r="AD45" s="892">
        <f t="shared" si="26"/>
        <v>157680.26999999999</v>
      </c>
      <c r="AE45" s="892">
        <f t="shared" si="27"/>
        <v>282709.57500000001</v>
      </c>
      <c r="AF45" s="892">
        <f t="shared" si="28"/>
        <v>6642783.0836999994</v>
      </c>
      <c r="AG45" s="892" t="s">
        <v>3</v>
      </c>
    </row>
    <row r="46" spans="1:33" ht="31.5">
      <c r="A46" s="918">
        <v>28</v>
      </c>
      <c r="B46" s="909" t="s">
        <v>2319</v>
      </c>
      <c r="C46" s="929" t="s">
        <v>2322</v>
      </c>
      <c r="D46" s="1556"/>
      <c r="E46" s="918">
        <v>1.5</v>
      </c>
      <c r="F46" s="918"/>
      <c r="G46" s="888">
        <v>45159</v>
      </c>
      <c r="H46" s="918">
        <v>15</v>
      </c>
      <c r="I46" s="892">
        <f t="shared" si="32"/>
        <v>398182.5</v>
      </c>
      <c r="J46" s="892">
        <f t="shared" si="29"/>
        <v>39818.25</v>
      </c>
      <c r="K46" s="887"/>
      <c r="L46" s="887"/>
      <c r="M46" s="887"/>
      <c r="N46" s="887"/>
      <c r="O46" s="887"/>
      <c r="P46" s="887"/>
      <c r="Q46" s="923"/>
      <c r="R46" s="923"/>
      <c r="S46" s="892">
        <f t="shared" si="30"/>
        <v>39818.25</v>
      </c>
      <c r="T46" s="892">
        <f t="shared" si="17"/>
        <v>438000.75</v>
      </c>
      <c r="U46" s="892">
        <f t="shared" si="18"/>
        <v>43800.075000000004</v>
      </c>
      <c r="V46" s="892">
        <f t="shared" si="19"/>
        <v>32171.266</v>
      </c>
      <c r="W46" s="892">
        <f t="shared" si="20"/>
        <v>8760.0149999999994</v>
      </c>
      <c r="X46" s="892">
        <f t="shared" si="21"/>
        <v>353269.39399999997</v>
      </c>
      <c r="Y46" s="892">
        <f t="shared" si="22"/>
        <v>5256009</v>
      </c>
      <c r="Z46" s="892">
        <f t="shared" si="23"/>
        <v>398182.5</v>
      </c>
      <c r="AA46" s="892">
        <f t="shared" si="24"/>
        <v>5654191.5</v>
      </c>
      <c r="AB46" s="892">
        <f t="shared" si="25"/>
        <v>293763.12120000005</v>
      </c>
      <c r="AC46" s="892">
        <f t="shared" si="31"/>
        <v>254438.61750000005</v>
      </c>
      <c r="AD46" s="892">
        <f t="shared" si="26"/>
        <v>157680.26999999999</v>
      </c>
      <c r="AE46" s="892">
        <f t="shared" si="27"/>
        <v>282709.57500000001</v>
      </c>
      <c r="AF46" s="892">
        <f t="shared" si="28"/>
        <v>6642783.0836999994</v>
      </c>
      <c r="AG46" s="892" t="s">
        <v>3</v>
      </c>
    </row>
    <row r="47" spans="1:33">
      <c r="A47" s="918">
        <v>30</v>
      </c>
      <c r="B47" s="915" t="s">
        <v>449</v>
      </c>
      <c r="C47" s="915" t="s">
        <v>450</v>
      </c>
      <c r="D47" s="1556">
        <v>9</v>
      </c>
      <c r="E47" s="918">
        <v>1</v>
      </c>
      <c r="F47" s="918"/>
      <c r="G47" s="888">
        <v>45170</v>
      </c>
      <c r="H47" s="918">
        <v>14</v>
      </c>
      <c r="I47" s="892">
        <f t="shared" si="32"/>
        <v>247758</v>
      </c>
      <c r="J47" s="892">
        <f t="shared" si="29"/>
        <v>24775.800000000003</v>
      </c>
      <c r="K47" s="887"/>
      <c r="L47" s="887"/>
      <c r="M47" s="887"/>
      <c r="N47" s="887"/>
      <c r="O47" s="887"/>
      <c r="P47" s="887"/>
      <c r="Q47" s="923"/>
      <c r="R47" s="923"/>
      <c r="S47" s="892">
        <f t="shared" si="30"/>
        <v>24775.800000000003</v>
      </c>
      <c r="T47" s="892">
        <f t="shared" si="17"/>
        <v>272533.8</v>
      </c>
      <c r="U47" s="892">
        <f t="shared" si="18"/>
        <v>27253.38</v>
      </c>
      <c r="V47" s="892">
        <f t="shared" si="19"/>
        <v>17610.1744</v>
      </c>
      <c r="W47" s="892">
        <f t="shared" si="20"/>
        <v>5450.6759999999995</v>
      </c>
      <c r="X47" s="892">
        <f t="shared" si="21"/>
        <v>222219.56959999999</v>
      </c>
      <c r="Y47" s="892">
        <f t="shared" si="22"/>
        <v>3270405.5999999996</v>
      </c>
      <c r="Z47" s="892">
        <f t="shared" si="23"/>
        <v>247758</v>
      </c>
      <c r="AA47" s="892">
        <f t="shared" si="24"/>
        <v>3518163.5999999996</v>
      </c>
      <c r="AB47" s="892">
        <f t="shared" si="25"/>
        <v>182785.94207999998</v>
      </c>
      <c r="AC47" s="892">
        <f t="shared" si="31"/>
        <v>158317.36199999999</v>
      </c>
      <c r="AD47" s="892">
        <f t="shared" si="26"/>
        <v>98112.167999999991</v>
      </c>
      <c r="AE47" s="892">
        <f t="shared" si="27"/>
        <v>175908.18</v>
      </c>
      <c r="AF47" s="892">
        <f t="shared" si="28"/>
        <v>4133287.25208</v>
      </c>
      <c r="AG47" s="892" t="s">
        <v>3</v>
      </c>
    </row>
    <row r="48" spans="1:33" ht="31.5">
      <c r="A48" s="918">
        <v>31</v>
      </c>
      <c r="B48" s="909" t="s">
        <v>449</v>
      </c>
      <c r="C48" s="909" t="s">
        <v>2323</v>
      </c>
      <c r="D48" s="1556"/>
      <c r="E48" s="918">
        <v>1</v>
      </c>
      <c r="F48" s="918"/>
      <c r="G48" s="888">
        <v>44432</v>
      </c>
      <c r="H48" s="918">
        <v>15</v>
      </c>
      <c r="I48" s="892">
        <f t="shared" si="32"/>
        <v>265455</v>
      </c>
      <c r="J48" s="892">
        <f t="shared" si="29"/>
        <v>26545.5</v>
      </c>
      <c r="K48" s="887"/>
      <c r="L48" s="887"/>
      <c r="M48" s="887"/>
      <c r="N48" s="887"/>
      <c r="O48" s="887"/>
      <c r="P48" s="887"/>
      <c r="Q48" s="923"/>
      <c r="R48" s="923"/>
      <c r="S48" s="892">
        <f t="shared" si="30"/>
        <v>26545.5</v>
      </c>
      <c r="T48" s="892">
        <f t="shared" si="17"/>
        <v>292000.5</v>
      </c>
      <c r="U48" s="892">
        <f t="shared" si="18"/>
        <v>29200.050000000003</v>
      </c>
      <c r="V48" s="892">
        <f t="shared" si="19"/>
        <v>19323.244000000002</v>
      </c>
      <c r="W48" s="892">
        <f t="shared" si="20"/>
        <v>5840.01</v>
      </c>
      <c r="X48" s="892">
        <f t="shared" si="21"/>
        <v>237637.196</v>
      </c>
      <c r="Y48" s="892">
        <f t="shared" si="22"/>
        <v>3504006</v>
      </c>
      <c r="Z48" s="892">
        <f t="shared" si="23"/>
        <v>265455</v>
      </c>
      <c r="AA48" s="892">
        <f t="shared" si="24"/>
        <v>3769461</v>
      </c>
      <c r="AB48" s="892">
        <f t="shared" si="25"/>
        <v>195842.0808</v>
      </c>
      <c r="AC48" s="892">
        <f t="shared" si="31"/>
        <v>169625.745</v>
      </c>
      <c r="AD48" s="892">
        <f t="shared" si="26"/>
        <v>105120.18</v>
      </c>
      <c r="AE48" s="892">
        <f t="shared" si="27"/>
        <v>188473.05000000002</v>
      </c>
      <c r="AF48" s="892">
        <f t="shared" si="28"/>
        <v>4428522.0558000002</v>
      </c>
      <c r="AG48" s="892" t="s">
        <v>3</v>
      </c>
    </row>
    <row r="49" spans="1:33" ht="22.5" customHeight="1">
      <c r="A49" s="918">
        <v>32</v>
      </c>
      <c r="B49" s="909" t="s">
        <v>449</v>
      </c>
      <c r="C49" s="930" t="s">
        <v>829</v>
      </c>
      <c r="D49" s="1556"/>
      <c r="E49" s="918">
        <v>1</v>
      </c>
      <c r="F49" s="918"/>
      <c r="G49" s="888">
        <v>45237</v>
      </c>
      <c r="H49" s="918">
        <v>14</v>
      </c>
      <c r="I49" s="892">
        <f t="shared" si="32"/>
        <v>247758</v>
      </c>
      <c r="J49" s="892">
        <f t="shared" si="29"/>
        <v>24775.800000000003</v>
      </c>
      <c r="K49" s="892"/>
      <c r="L49" s="887"/>
      <c r="M49" s="887"/>
      <c r="N49" s="887"/>
      <c r="O49" s="887"/>
      <c r="P49" s="887"/>
      <c r="Q49" s="923"/>
      <c r="R49" s="923"/>
      <c r="S49" s="892">
        <f t="shared" si="30"/>
        <v>24775.800000000003</v>
      </c>
      <c r="T49" s="892">
        <f t="shared" si="17"/>
        <v>272533.8</v>
      </c>
      <c r="U49" s="892">
        <f t="shared" si="18"/>
        <v>27253.38</v>
      </c>
      <c r="V49" s="892">
        <f t="shared" si="19"/>
        <v>17610.1744</v>
      </c>
      <c r="W49" s="892">
        <f t="shared" si="20"/>
        <v>5450.6759999999995</v>
      </c>
      <c r="X49" s="892">
        <f t="shared" si="21"/>
        <v>222219.56959999999</v>
      </c>
      <c r="Y49" s="892">
        <f t="shared" si="22"/>
        <v>3270405.5999999996</v>
      </c>
      <c r="Z49" s="892">
        <f t="shared" si="23"/>
        <v>247758</v>
      </c>
      <c r="AA49" s="892">
        <f t="shared" si="24"/>
        <v>3518163.5999999996</v>
      </c>
      <c r="AB49" s="892">
        <f t="shared" si="25"/>
        <v>182785.94207999998</v>
      </c>
      <c r="AC49" s="892">
        <f t="shared" si="31"/>
        <v>158317.36199999999</v>
      </c>
      <c r="AD49" s="892">
        <f t="shared" si="26"/>
        <v>98112.167999999991</v>
      </c>
      <c r="AE49" s="892">
        <f t="shared" si="27"/>
        <v>175908.18</v>
      </c>
      <c r="AF49" s="892">
        <f t="shared" si="28"/>
        <v>4133287.25208</v>
      </c>
      <c r="AG49" s="892" t="s">
        <v>3</v>
      </c>
    </row>
    <row r="50" spans="1:33" ht="19.5" customHeight="1">
      <c r="A50" s="918">
        <v>33</v>
      </c>
      <c r="B50" s="909" t="s">
        <v>449</v>
      </c>
      <c r="C50" s="909" t="s">
        <v>451</v>
      </c>
      <c r="D50" s="1556"/>
      <c r="E50" s="918">
        <v>1</v>
      </c>
      <c r="F50" s="918"/>
      <c r="G50" s="888">
        <v>42264</v>
      </c>
      <c r="H50" s="918">
        <v>17</v>
      </c>
      <c r="I50" s="892">
        <f t="shared" si="32"/>
        <v>300849</v>
      </c>
      <c r="J50" s="892">
        <f t="shared" si="29"/>
        <v>30084.9</v>
      </c>
      <c r="K50" s="892"/>
      <c r="L50" s="887"/>
      <c r="M50" s="887"/>
      <c r="N50" s="887"/>
      <c r="O50" s="887"/>
      <c r="P50" s="887"/>
      <c r="Q50" s="923"/>
      <c r="R50" s="923"/>
      <c r="S50" s="892">
        <f t="shared" si="30"/>
        <v>30084.9</v>
      </c>
      <c r="T50" s="892">
        <f t="shared" si="17"/>
        <v>330933.90000000002</v>
      </c>
      <c r="U50" s="892">
        <f t="shared" si="18"/>
        <v>33093.390000000007</v>
      </c>
      <c r="V50" s="892">
        <f t="shared" si="19"/>
        <v>22749.3832</v>
      </c>
      <c r="W50" s="892">
        <f t="shared" si="20"/>
        <v>6618.6780000000008</v>
      </c>
      <c r="X50" s="892">
        <f t="shared" si="21"/>
        <v>268472.44880000001</v>
      </c>
      <c r="Y50" s="892">
        <f t="shared" si="22"/>
        <v>3971206.8000000003</v>
      </c>
      <c r="Z50" s="892">
        <f t="shared" si="23"/>
        <v>300849</v>
      </c>
      <c r="AA50" s="892">
        <f t="shared" si="24"/>
        <v>4272055.8000000007</v>
      </c>
      <c r="AB50" s="892">
        <f t="shared" si="25"/>
        <v>221954.35824000003</v>
      </c>
      <c r="AC50" s="892">
        <f t="shared" si="31"/>
        <v>192242.51100000006</v>
      </c>
      <c r="AD50" s="892">
        <f t="shared" si="26"/>
        <v>119136.204</v>
      </c>
      <c r="AE50" s="892">
        <f t="shared" si="27"/>
        <v>213602.79000000004</v>
      </c>
      <c r="AF50" s="892">
        <f t="shared" si="28"/>
        <v>5018991.6632400006</v>
      </c>
      <c r="AG50" s="892" t="s">
        <v>3</v>
      </c>
    </row>
    <row r="51" spans="1:33" ht="18.75" customHeight="1">
      <c r="A51" s="918">
        <v>34</v>
      </c>
      <c r="B51" s="909" t="s">
        <v>449</v>
      </c>
      <c r="C51" s="915" t="s">
        <v>2324</v>
      </c>
      <c r="D51" s="1556"/>
      <c r="E51" s="918">
        <v>1</v>
      </c>
      <c r="F51" s="918"/>
      <c r="G51" s="888">
        <v>44844</v>
      </c>
      <c r="H51" s="918">
        <v>16</v>
      </c>
      <c r="I51" s="892">
        <f t="shared" si="32"/>
        <v>283152</v>
      </c>
      <c r="J51" s="892">
        <f t="shared" si="29"/>
        <v>28315.200000000001</v>
      </c>
      <c r="K51" s="892"/>
      <c r="L51" s="887"/>
      <c r="M51" s="887"/>
      <c r="N51" s="887"/>
      <c r="O51" s="887"/>
      <c r="P51" s="887"/>
      <c r="Q51" s="923"/>
      <c r="R51" s="923"/>
      <c r="S51" s="892">
        <f t="shared" si="30"/>
        <v>28315.200000000001</v>
      </c>
      <c r="T51" s="892">
        <f t="shared" si="17"/>
        <v>311467.2</v>
      </c>
      <c r="U51" s="892">
        <f t="shared" si="18"/>
        <v>31146.720000000001</v>
      </c>
      <c r="V51" s="892">
        <f t="shared" si="19"/>
        <v>21036.313600000001</v>
      </c>
      <c r="W51" s="892">
        <f t="shared" si="20"/>
        <v>6229.3440000000001</v>
      </c>
      <c r="X51" s="892">
        <f t="shared" si="21"/>
        <v>253054.82239999998</v>
      </c>
      <c r="Y51" s="892">
        <f t="shared" si="22"/>
        <v>3737606.4000000004</v>
      </c>
      <c r="Z51" s="892">
        <f t="shared" si="23"/>
        <v>283152</v>
      </c>
      <c r="AA51" s="892">
        <f t="shared" si="24"/>
        <v>4020758.4000000004</v>
      </c>
      <c r="AB51" s="892">
        <f t="shared" si="25"/>
        <v>208898.21952000004</v>
      </c>
      <c r="AC51" s="892">
        <f t="shared" si="31"/>
        <v>180934.12800000003</v>
      </c>
      <c r="AD51" s="892">
        <f t="shared" si="26"/>
        <v>112128.19200000001</v>
      </c>
      <c r="AE51" s="892">
        <f t="shared" si="27"/>
        <v>201037.92000000004</v>
      </c>
      <c r="AF51" s="892">
        <f t="shared" si="28"/>
        <v>4723756.8595199995</v>
      </c>
      <c r="AG51" s="892" t="s">
        <v>3</v>
      </c>
    </row>
    <row r="52" spans="1:33">
      <c r="A52" s="918">
        <v>35</v>
      </c>
      <c r="B52" s="909" t="s">
        <v>449</v>
      </c>
      <c r="C52" s="909" t="s">
        <v>2325</v>
      </c>
      <c r="D52" s="1556"/>
      <c r="E52" s="918">
        <v>1</v>
      </c>
      <c r="F52" s="918"/>
      <c r="G52" s="888">
        <v>44511</v>
      </c>
      <c r="H52" s="918">
        <v>14</v>
      </c>
      <c r="I52" s="892">
        <f t="shared" si="32"/>
        <v>247758</v>
      </c>
      <c r="J52" s="892">
        <f t="shared" si="29"/>
        <v>24775.800000000003</v>
      </c>
      <c r="K52" s="887"/>
      <c r="L52" s="887"/>
      <c r="M52" s="887"/>
      <c r="N52" s="887"/>
      <c r="O52" s="887"/>
      <c r="P52" s="887"/>
      <c r="Q52" s="923"/>
      <c r="R52" s="923"/>
      <c r="S52" s="892">
        <f t="shared" si="30"/>
        <v>24775.800000000003</v>
      </c>
      <c r="T52" s="892">
        <f t="shared" si="17"/>
        <v>272533.8</v>
      </c>
      <c r="U52" s="892">
        <f t="shared" si="18"/>
        <v>27253.38</v>
      </c>
      <c r="V52" s="892">
        <f t="shared" si="19"/>
        <v>17610.1744</v>
      </c>
      <c r="W52" s="892">
        <f t="shared" si="20"/>
        <v>5450.6759999999995</v>
      </c>
      <c r="X52" s="892">
        <f t="shared" si="21"/>
        <v>222219.56959999999</v>
      </c>
      <c r="Y52" s="892">
        <f t="shared" si="22"/>
        <v>3270405.5999999996</v>
      </c>
      <c r="Z52" s="892">
        <f t="shared" si="23"/>
        <v>247758</v>
      </c>
      <c r="AA52" s="892">
        <f t="shared" si="24"/>
        <v>3518163.5999999996</v>
      </c>
      <c r="AB52" s="892">
        <f t="shared" si="25"/>
        <v>182785.94207999998</v>
      </c>
      <c r="AC52" s="892">
        <f t="shared" si="31"/>
        <v>158317.36199999999</v>
      </c>
      <c r="AD52" s="892">
        <f t="shared" si="26"/>
        <v>98112.167999999991</v>
      </c>
      <c r="AE52" s="892">
        <f t="shared" si="27"/>
        <v>175908.18</v>
      </c>
      <c r="AF52" s="892">
        <f t="shared" si="28"/>
        <v>4133287.25208</v>
      </c>
      <c r="AG52" s="892" t="s">
        <v>3</v>
      </c>
    </row>
    <row r="53" spans="1:33">
      <c r="A53" s="918">
        <v>36</v>
      </c>
      <c r="B53" s="909" t="s">
        <v>449</v>
      </c>
      <c r="C53" s="909" t="s">
        <v>452</v>
      </c>
      <c r="D53" s="1556"/>
      <c r="E53" s="918">
        <v>1</v>
      </c>
      <c r="F53" s="918"/>
      <c r="G53" s="888">
        <v>40788</v>
      </c>
      <c r="H53" s="918">
        <v>17</v>
      </c>
      <c r="I53" s="892">
        <f t="shared" si="32"/>
        <v>300849</v>
      </c>
      <c r="J53" s="892">
        <f t="shared" si="29"/>
        <v>30084.9</v>
      </c>
      <c r="K53" s="887"/>
      <c r="L53" s="887"/>
      <c r="M53" s="887"/>
      <c r="N53" s="887"/>
      <c r="O53" s="887"/>
      <c r="P53" s="887"/>
      <c r="Q53" s="923"/>
      <c r="R53" s="923"/>
      <c r="S53" s="892">
        <f t="shared" si="30"/>
        <v>30084.9</v>
      </c>
      <c r="T53" s="892">
        <f t="shared" si="17"/>
        <v>330933.90000000002</v>
      </c>
      <c r="U53" s="892">
        <f t="shared" si="18"/>
        <v>33093.390000000007</v>
      </c>
      <c r="V53" s="892">
        <f t="shared" si="19"/>
        <v>22749.3832</v>
      </c>
      <c r="W53" s="892">
        <f t="shared" si="20"/>
        <v>6618.6780000000008</v>
      </c>
      <c r="X53" s="892">
        <f t="shared" si="21"/>
        <v>268472.44880000001</v>
      </c>
      <c r="Y53" s="892">
        <f t="shared" si="22"/>
        <v>3971206.8000000003</v>
      </c>
      <c r="Z53" s="892">
        <f t="shared" si="23"/>
        <v>300849</v>
      </c>
      <c r="AA53" s="892">
        <f t="shared" si="24"/>
        <v>4272055.8000000007</v>
      </c>
      <c r="AB53" s="892">
        <f t="shared" si="25"/>
        <v>221954.35824000003</v>
      </c>
      <c r="AC53" s="892">
        <f t="shared" si="31"/>
        <v>192242.51100000006</v>
      </c>
      <c r="AD53" s="892">
        <f t="shared" si="26"/>
        <v>119136.204</v>
      </c>
      <c r="AE53" s="892">
        <f t="shared" si="27"/>
        <v>213602.79000000004</v>
      </c>
      <c r="AF53" s="892">
        <f t="shared" si="28"/>
        <v>5018991.6632400006</v>
      </c>
      <c r="AG53" s="892" t="s">
        <v>3</v>
      </c>
    </row>
    <row r="54" spans="1:33">
      <c r="A54" s="918">
        <v>37</v>
      </c>
      <c r="B54" s="909" t="s">
        <v>449</v>
      </c>
      <c r="C54" s="931" t="s">
        <v>2326</v>
      </c>
      <c r="D54" s="1556"/>
      <c r="E54" s="918">
        <v>1</v>
      </c>
      <c r="F54" s="918"/>
      <c r="G54" s="888">
        <v>45236</v>
      </c>
      <c r="H54" s="918">
        <v>14</v>
      </c>
      <c r="I54" s="892">
        <f t="shared" si="32"/>
        <v>247758</v>
      </c>
      <c r="J54" s="892">
        <f t="shared" si="29"/>
        <v>24775.800000000003</v>
      </c>
      <c r="K54" s="887"/>
      <c r="L54" s="887"/>
      <c r="M54" s="887"/>
      <c r="N54" s="887"/>
      <c r="O54" s="887"/>
      <c r="P54" s="887"/>
      <c r="Q54" s="923"/>
      <c r="R54" s="923"/>
      <c r="S54" s="892">
        <f t="shared" si="30"/>
        <v>24775.800000000003</v>
      </c>
      <c r="T54" s="892">
        <f t="shared" si="17"/>
        <v>272533.8</v>
      </c>
      <c r="U54" s="892">
        <f t="shared" si="18"/>
        <v>27253.38</v>
      </c>
      <c r="V54" s="892">
        <f t="shared" si="19"/>
        <v>17610.1744</v>
      </c>
      <c r="W54" s="892">
        <f t="shared" si="20"/>
        <v>5450.6759999999995</v>
      </c>
      <c r="X54" s="892">
        <f t="shared" si="21"/>
        <v>222219.56959999999</v>
      </c>
      <c r="Y54" s="892">
        <f t="shared" si="22"/>
        <v>3270405.5999999996</v>
      </c>
      <c r="Z54" s="892">
        <f t="shared" si="23"/>
        <v>247758</v>
      </c>
      <c r="AA54" s="892">
        <f t="shared" si="24"/>
        <v>3518163.5999999996</v>
      </c>
      <c r="AB54" s="892">
        <f t="shared" si="25"/>
        <v>182785.94207999998</v>
      </c>
      <c r="AC54" s="892">
        <f t="shared" si="31"/>
        <v>158317.36199999999</v>
      </c>
      <c r="AD54" s="892">
        <f t="shared" si="26"/>
        <v>98112.167999999991</v>
      </c>
      <c r="AE54" s="892">
        <f t="shared" si="27"/>
        <v>175908.18</v>
      </c>
      <c r="AF54" s="892">
        <f t="shared" si="28"/>
        <v>4133287.25208</v>
      </c>
      <c r="AG54" s="892" t="s">
        <v>3</v>
      </c>
    </row>
    <row r="55" spans="1:33" ht="31.5">
      <c r="A55" s="918">
        <v>38</v>
      </c>
      <c r="B55" s="909" t="s">
        <v>449</v>
      </c>
      <c r="C55" s="932" t="s">
        <v>907</v>
      </c>
      <c r="D55" s="1556"/>
      <c r="E55" s="918">
        <v>1</v>
      </c>
      <c r="F55" s="918"/>
      <c r="G55" s="918"/>
      <c r="H55" s="918">
        <v>15</v>
      </c>
      <c r="I55" s="892">
        <f t="shared" si="32"/>
        <v>265455</v>
      </c>
      <c r="J55" s="892">
        <f t="shared" si="29"/>
        <v>26545.5</v>
      </c>
      <c r="K55" s="887"/>
      <c r="L55" s="887"/>
      <c r="M55" s="887"/>
      <c r="N55" s="887"/>
      <c r="O55" s="887"/>
      <c r="P55" s="887"/>
      <c r="Q55" s="923"/>
      <c r="R55" s="923"/>
      <c r="S55" s="892">
        <f t="shared" si="30"/>
        <v>26545.5</v>
      </c>
      <c r="T55" s="892">
        <f t="shared" si="17"/>
        <v>292000.5</v>
      </c>
      <c r="U55" s="892">
        <f t="shared" si="18"/>
        <v>29200.050000000003</v>
      </c>
      <c r="V55" s="892">
        <f t="shared" si="19"/>
        <v>19323.244000000002</v>
      </c>
      <c r="W55" s="892">
        <f t="shared" si="20"/>
        <v>5840.01</v>
      </c>
      <c r="X55" s="892">
        <f t="shared" si="21"/>
        <v>237637.196</v>
      </c>
      <c r="Y55" s="892">
        <f t="shared" si="22"/>
        <v>3504006</v>
      </c>
      <c r="Z55" s="892">
        <f t="shared" si="23"/>
        <v>265455</v>
      </c>
      <c r="AA55" s="892">
        <f t="shared" si="24"/>
        <v>3769461</v>
      </c>
      <c r="AB55" s="892">
        <f t="shared" si="25"/>
        <v>195842.0808</v>
      </c>
      <c r="AC55" s="892">
        <f t="shared" si="31"/>
        <v>169625.745</v>
      </c>
      <c r="AD55" s="892">
        <f t="shared" si="26"/>
        <v>105120.18</v>
      </c>
      <c r="AE55" s="892">
        <f t="shared" si="27"/>
        <v>188473.05000000002</v>
      </c>
      <c r="AF55" s="892">
        <f t="shared" si="28"/>
        <v>4428522.0558000002</v>
      </c>
      <c r="AG55" s="892" t="s">
        <v>3</v>
      </c>
    </row>
    <row r="56" spans="1:33" ht="31.5">
      <c r="A56" s="918">
        <v>39</v>
      </c>
      <c r="B56" s="909" t="s">
        <v>453</v>
      </c>
      <c r="C56" s="933" t="s">
        <v>2327</v>
      </c>
      <c r="D56" s="1556">
        <v>7</v>
      </c>
      <c r="E56" s="918">
        <v>0.5</v>
      </c>
      <c r="F56" s="918"/>
      <c r="G56" s="888">
        <v>45183</v>
      </c>
      <c r="H56" s="918">
        <v>18</v>
      </c>
      <c r="I56" s="892">
        <f t="shared" si="32"/>
        <v>159273</v>
      </c>
      <c r="J56" s="892">
        <f t="shared" si="29"/>
        <v>15927.300000000001</v>
      </c>
      <c r="K56" s="887"/>
      <c r="L56" s="887"/>
      <c r="M56" s="887"/>
      <c r="N56" s="887"/>
      <c r="O56" s="887"/>
      <c r="P56" s="887"/>
      <c r="Q56" s="923"/>
      <c r="R56" s="923"/>
      <c r="S56" s="892">
        <f t="shared" si="30"/>
        <v>15927.300000000001</v>
      </c>
      <c r="T56" s="892">
        <f t="shared" si="17"/>
        <v>175200.3</v>
      </c>
      <c r="U56" s="892">
        <f t="shared" si="18"/>
        <v>17520.03</v>
      </c>
      <c r="V56" s="892">
        <f t="shared" si="19"/>
        <v>9044.8263999999999</v>
      </c>
      <c r="W56" s="892">
        <f t="shared" si="20"/>
        <v>3504.0059999999999</v>
      </c>
      <c r="X56" s="892">
        <f t="shared" si="21"/>
        <v>145131.4376</v>
      </c>
      <c r="Y56" s="892">
        <f t="shared" si="22"/>
        <v>2102403.5999999996</v>
      </c>
      <c r="Z56" s="892">
        <f t="shared" si="23"/>
        <v>159273</v>
      </c>
      <c r="AA56" s="892">
        <f t="shared" si="24"/>
        <v>2261676.5999999996</v>
      </c>
      <c r="AB56" s="892">
        <f t="shared" si="25"/>
        <v>117505.24847999998</v>
      </c>
      <c r="AC56" s="892">
        <f t="shared" si="31"/>
        <v>101775.44699999999</v>
      </c>
      <c r="AD56" s="892">
        <f t="shared" si="26"/>
        <v>63072.107999999986</v>
      </c>
      <c r="AE56" s="892">
        <f t="shared" si="27"/>
        <v>113083.82999999999</v>
      </c>
      <c r="AF56" s="892">
        <f t="shared" si="28"/>
        <v>2657113.2334799999</v>
      </c>
      <c r="AG56" s="892" t="s">
        <v>3</v>
      </c>
    </row>
    <row r="57" spans="1:33" ht="31.5">
      <c r="A57" s="918">
        <v>40</v>
      </c>
      <c r="B57" s="909" t="s">
        <v>453</v>
      </c>
      <c r="C57" s="909" t="s">
        <v>2328</v>
      </c>
      <c r="D57" s="1556"/>
      <c r="E57" s="918">
        <v>0.5</v>
      </c>
      <c r="F57" s="918"/>
      <c r="G57" s="888">
        <v>44980</v>
      </c>
      <c r="H57" s="895">
        <v>24</v>
      </c>
      <c r="I57" s="892">
        <f t="shared" si="32"/>
        <v>212364</v>
      </c>
      <c r="J57" s="892">
        <f t="shared" si="29"/>
        <v>21236.400000000001</v>
      </c>
      <c r="K57" s="887"/>
      <c r="L57" s="887"/>
      <c r="M57" s="887"/>
      <c r="N57" s="887"/>
      <c r="O57" s="887"/>
      <c r="P57" s="887"/>
      <c r="Q57" s="923"/>
      <c r="R57" s="923"/>
      <c r="S57" s="892">
        <f t="shared" si="30"/>
        <v>21236.400000000001</v>
      </c>
      <c r="T57" s="892">
        <f t="shared" si="17"/>
        <v>233600.4</v>
      </c>
      <c r="U57" s="892">
        <f t="shared" si="18"/>
        <v>23360.04</v>
      </c>
      <c r="V57" s="892">
        <f t="shared" si="19"/>
        <v>14184.035199999998</v>
      </c>
      <c r="W57" s="892">
        <f t="shared" si="20"/>
        <v>4672.0079999999998</v>
      </c>
      <c r="X57" s="892">
        <f t="shared" si="21"/>
        <v>191384.3168</v>
      </c>
      <c r="Y57" s="892">
        <f t="shared" si="22"/>
        <v>2803204.8</v>
      </c>
      <c r="Z57" s="892">
        <f t="shared" si="23"/>
        <v>212364</v>
      </c>
      <c r="AA57" s="892">
        <f t="shared" si="24"/>
        <v>3015568.8</v>
      </c>
      <c r="AB57" s="892">
        <f t="shared" si="25"/>
        <v>156673.66464</v>
      </c>
      <c r="AC57" s="892">
        <f t="shared" si="31"/>
        <v>135700.59599999999</v>
      </c>
      <c r="AD57" s="892">
        <f t="shared" si="26"/>
        <v>84096.143999999986</v>
      </c>
      <c r="AE57" s="892">
        <f t="shared" si="27"/>
        <v>150778.44</v>
      </c>
      <c r="AF57" s="892">
        <f t="shared" si="28"/>
        <v>3542817.6446399996</v>
      </c>
      <c r="AG57" s="892" t="s">
        <v>3</v>
      </c>
    </row>
    <row r="58" spans="1:33" ht="31.5">
      <c r="A58" s="918">
        <v>41</v>
      </c>
      <c r="B58" s="909" t="s">
        <v>453</v>
      </c>
      <c r="C58" s="909" t="s">
        <v>2329</v>
      </c>
      <c r="D58" s="1556"/>
      <c r="E58" s="918">
        <v>0.5</v>
      </c>
      <c r="F58" s="918"/>
      <c r="G58" s="888">
        <v>45170</v>
      </c>
      <c r="H58" s="895">
        <v>20</v>
      </c>
      <c r="I58" s="892">
        <f t="shared" si="32"/>
        <v>176970</v>
      </c>
      <c r="J58" s="892">
        <f t="shared" si="29"/>
        <v>17697</v>
      </c>
      <c r="K58" s="887"/>
      <c r="L58" s="887"/>
      <c r="M58" s="887"/>
      <c r="N58" s="887"/>
      <c r="O58" s="887"/>
      <c r="P58" s="887"/>
      <c r="Q58" s="923"/>
      <c r="R58" s="923"/>
      <c r="S58" s="892">
        <f t="shared" si="30"/>
        <v>17697</v>
      </c>
      <c r="T58" s="892">
        <f t="shared" si="17"/>
        <v>194667</v>
      </c>
      <c r="U58" s="892">
        <f t="shared" si="18"/>
        <v>19466.7</v>
      </c>
      <c r="V58" s="892">
        <f t="shared" si="19"/>
        <v>10757.896000000001</v>
      </c>
      <c r="W58" s="892">
        <f t="shared" si="20"/>
        <v>3893.34</v>
      </c>
      <c r="X58" s="892">
        <f t="shared" si="21"/>
        <v>160549.06399999998</v>
      </c>
      <c r="Y58" s="892">
        <f t="shared" si="22"/>
        <v>2336004</v>
      </c>
      <c r="Z58" s="892">
        <f t="shared" si="23"/>
        <v>176970</v>
      </c>
      <c r="AA58" s="892">
        <f t="shared" si="24"/>
        <v>2512974</v>
      </c>
      <c r="AB58" s="892">
        <f t="shared" si="25"/>
        <v>130561.3872</v>
      </c>
      <c r="AC58" s="892">
        <f t="shared" si="31"/>
        <v>113083.83000000002</v>
      </c>
      <c r="AD58" s="892">
        <f t="shared" si="26"/>
        <v>70080.12</v>
      </c>
      <c r="AE58" s="892">
        <f t="shared" si="27"/>
        <v>125648.70000000001</v>
      </c>
      <c r="AF58" s="892">
        <f t="shared" si="28"/>
        <v>2952348.0372000001</v>
      </c>
      <c r="AG58" s="892" t="s">
        <v>3</v>
      </c>
    </row>
    <row r="59" spans="1:33" ht="31.5">
      <c r="A59" s="918">
        <v>42</v>
      </c>
      <c r="B59" s="909" t="s">
        <v>453</v>
      </c>
      <c r="C59" s="909" t="s">
        <v>2330</v>
      </c>
      <c r="D59" s="1556"/>
      <c r="E59" s="918">
        <v>0.5</v>
      </c>
      <c r="F59" s="918"/>
      <c r="G59" s="901">
        <v>44819</v>
      </c>
      <c r="H59" s="918">
        <v>16</v>
      </c>
      <c r="I59" s="892">
        <f t="shared" si="32"/>
        <v>141576</v>
      </c>
      <c r="J59" s="892">
        <f t="shared" si="29"/>
        <v>14157.6</v>
      </c>
      <c r="K59" s="887"/>
      <c r="L59" s="887"/>
      <c r="M59" s="887"/>
      <c r="N59" s="887"/>
      <c r="O59" s="887"/>
      <c r="P59" s="887"/>
      <c r="Q59" s="923"/>
      <c r="R59" s="923"/>
      <c r="S59" s="892">
        <f t="shared" si="30"/>
        <v>14157.6</v>
      </c>
      <c r="T59" s="892">
        <f t="shared" si="17"/>
        <v>155733.6</v>
      </c>
      <c r="U59" s="892">
        <f t="shared" si="18"/>
        <v>15573.36</v>
      </c>
      <c r="V59" s="892">
        <f t="shared" si="19"/>
        <v>7331.7568000000001</v>
      </c>
      <c r="W59" s="892">
        <f t="shared" si="20"/>
        <v>3114.672</v>
      </c>
      <c r="X59" s="892">
        <f t="shared" si="21"/>
        <v>129713.81119999998</v>
      </c>
      <c r="Y59" s="892">
        <f t="shared" si="22"/>
        <v>1868803.2000000002</v>
      </c>
      <c r="Z59" s="892">
        <f t="shared" si="23"/>
        <v>141576</v>
      </c>
      <c r="AA59" s="892">
        <f t="shared" si="24"/>
        <v>2010379.2000000002</v>
      </c>
      <c r="AB59" s="892">
        <f t="shared" si="25"/>
        <v>104449.10976000002</v>
      </c>
      <c r="AC59" s="892">
        <f t="shared" si="31"/>
        <v>90467.064000000013</v>
      </c>
      <c r="AD59" s="892">
        <f t="shared" si="26"/>
        <v>56064.096000000005</v>
      </c>
      <c r="AE59" s="892">
        <f t="shared" si="27"/>
        <v>100518.96000000002</v>
      </c>
      <c r="AF59" s="892">
        <f t="shared" si="28"/>
        <v>2361878.4297599997</v>
      </c>
      <c r="AG59" s="892" t="s">
        <v>3</v>
      </c>
    </row>
    <row r="60" spans="1:33" ht="31.5">
      <c r="A60" s="918">
        <v>43</v>
      </c>
      <c r="B60" s="909" t="s">
        <v>453</v>
      </c>
      <c r="C60" s="909" t="s">
        <v>454</v>
      </c>
      <c r="D60" s="1556"/>
      <c r="E60" s="918">
        <v>1</v>
      </c>
      <c r="F60" s="918"/>
      <c r="G60" s="888">
        <v>42860</v>
      </c>
      <c r="H60" s="918">
        <v>18</v>
      </c>
      <c r="I60" s="892">
        <f t="shared" si="32"/>
        <v>318546</v>
      </c>
      <c r="J60" s="892">
        <f t="shared" si="29"/>
        <v>31854.600000000002</v>
      </c>
      <c r="K60" s="887"/>
      <c r="L60" s="887"/>
      <c r="M60" s="887"/>
      <c r="N60" s="887"/>
      <c r="O60" s="887"/>
      <c r="P60" s="887"/>
      <c r="Q60" s="923"/>
      <c r="R60" s="923"/>
      <c r="S60" s="892">
        <f t="shared" si="30"/>
        <v>31854.600000000002</v>
      </c>
      <c r="T60" s="892">
        <f t="shared" si="17"/>
        <v>350400.6</v>
      </c>
      <c r="U60" s="892">
        <f t="shared" si="18"/>
        <v>35040.06</v>
      </c>
      <c r="V60" s="892">
        <f t="shared" si="19"/>
        <v>24462.452799999999</v>
      </c>
      <c r="W60" s="892">
        <f t="shared" si="20"/>
        <v>7008.0119999999997</v>
      </c>
      <c r="X60" s="892">
        <f t="shared" si="21"/>
        <v>283890.07519999996</v>
      </c>
      <c r="Y60" s="892">
        <f t="shared" si="22"/>
        <v>4204807.1999999993</v>
      </c>
      <c r="Z60" s="892">
        <f t="shared" si="23"/>
        <v>318546</v>
      </c>
      <c r="AA60" s="892">
        <f t="shared" si="24"/>
        <v>4523353.1999999993</v>
      </c>
      <c r="AB60" s="892">
        <f t="shared" si="25"/>
        <v>235010.49695999996</v>
      </c>
      <c r="AC60" s="892">
        <f t="shared" si="31"/>
        <v>203550.89399999997</v>
      </c>
      <c r="AD60" s="892">
        <f t="shared" si="26"/>
        <v>126144.21599999997</v>
      </c>
      <c r="AE60" s="892">
        <f t="shared" si="27"/>
        <v>226167.65999999997</v>
      </c>
      <c r="AF60" s="892">
        <f t="shared" si="28"/>
        <v>5314226.4669599999</v>
      </c>
      <c r="AG60" s="892" t="s">
        <v>3</v>
      </c>
    </row>
    <row r="61" spans="1:33" ht="31.5">
      <c r="A61" s="918">
        <v>44</v>
      </c>
      <c r="B61" s="909" t="s">
        <v>453</v>
      </c>
      <c r="C61" s="909" t="s">
        <v>455</v>
      </c>
      <c r="D61" s="1556"/>
      <c r="E61" s="918">
        <v>1</v>
      </c>
      <c r="F61" s="918"/>
      <c r="G61" s="888">
        <v>44440</v>
      </c>
      <c r="H61" s="918">
        <v>20</v>
      </c>
      <c r="I61" s="892">
        <f t="shared" si="32"/>
        <v>353940</v>
      </c>
      <c r="J61" s="892">
        <f t="shared" si="29"/>
        <v>35394</v>
      </c>
      <c r="K61" s="887"/>
      <c r="L61" s="887"/>
      <c r="M61" s="887"/>
      <c r="N61" s="887"/>
      <c r="O61" s="887"/>
      <c r="P61" s="887"/>
      <c r="Q61" s="923"/>
      <c r="R61" s="923"/>
      <c r="S61" s="892">
        <f t="shared" si="30"/>
        <v>35394</v>
      </c>
      <c r="T61" s="892">
        <f t="shared" si="17"/>
        <v>389334</v>
      </c>
      <c r="U61" s="892">
        <f t="shared" si="18"/>
        <v>38933.4</v>
      </c>
      <c r="V61" s="892">
        <f t="shared" si="19"/>
        <v>27888.592000000001</v>
      </c>
      <c r="W61" s="892">
        <f t="shared" si="20"/>
        <v>7786.68</v>
      </c>
      <c r="X61" s="892">
        <f t="shared" si="21"/>
        <v>314725.32799999998</v>
      </c>
      <c r="Y61" s="892">
        <f t="shared" si="22"/>
        <v>4672008</v>
      </c>
      <c r="Z61" s="892">
        <f t="shared" si="23"/>
        <v>353940</v>
      </c>
      <c r="AA61" s="892">
        <f t="shared" si="24"/>
        <v>5025948</v>
      </c>
      <c r="AB61" s="892">
        <f t="shared" si="25"/>
        <v>261122.77439999999</v>
      </c>
      <c r="AC61" s="892">
        <f t="shared" si="31"/>
        <v>226167.66000000003</v>
      </c>
      <c r="AD61" s="892">
        <f t="shared" si="26"/>
        <v>140160.24</v>
      </c>
      <c r="AE61" s="892">
        <f t="shared" si="27"/>
        <v>251297.40000000002</v>
      </c>
      <c r="AF61" s="892">
        <f t="shared" si="28"/>
        <v>5904696.0744000003</v>
      </c>
      <c r="AG61" s="892" t="s">
        <v>3</v>
      </c>
    </row>
    <row r="62" spans="1:33" ht="31.5">
      <c r="A62" s="918">
        <v>45</v>
      </c>
      <c r="B62" s="909" t="s">
        <v>453</v>
      </c>
      <c r="C62" s="909" t="s">
        <v>455</v>
      </c>
      <c r="D62" s="1556"/>
      <c r="E62" s="934">
        <v>0.5</v>
      </c>
      <c r="F62" s="918"/>
      <c r="G62" s="888">
        <v>45184</v>
      </c>
      <c r="H62" s="918">
        <v>20</v>
      </c>
      <c r="I62" s="892">
        <f t="shared" si="32"/>
        <v>176970</v>
      </c>
      <c r="J62" s="892">
        <f t="shared" si="29"/>
        <v>17697</v>
      </c>
      <c r="K62" s="887"/>
      <c r="L62" s="887"/>
      <c r="M62" s="887"/>
      <c r="N62" s="887"/>
      <c r="O62" s="887"/>
      <c r="P62" s="887"/>
      <c r="Q62" s="923"/>
      <c r="R62" s="923"/>
      <c r="S62" s="892">
        <f t="shared" si="30"/>
        <v>17697</v>
      </c>
      <c r="T62" s="892">
        <f t="shared" si="17"/>
        <v>194667</v>
      </c>
      <c r="U62" s="892">
        <f t="shared" si="18"/>
        <v>19466.7</v>
      </c>
      <c r="V62" s="892">
        <f t="shared" si="19"/>
        <v>10757.896000000001</v>
      </c>
      <c r="W62" s="892">
        <f t="shared" si="20"/>
        <v>3893.34</v>
      </c>
      <c r="X62" s="892">
        <f t="shared" si="21"/>
        <v>160549.06399999998</v>
      </c>
      <c r="Y62" s="892">
        <f t="shared" si="22"/>
        <v>2336004</v>
      </c>
      <c r="Z62" s="892">
        <f t="shared" si="23"/>
        <v>176970</v>
      </c>
      <c r="AA62" s="892">
        <f t="shared" si="24"/>
        <v>2512974</v>
      </c>
      <c r="AB62" s="892">
        <f t="shared" si="25"/>
        <v>130561.3872</v>
      </c>
      <c r="AC62" s="892">
        <f t="shared" si="31"/>
        <v>113083.83000000002</v>
      </c>
      <c r="AD62" s="892">
        <f t="shared" si="26"/>
        <v>70080.12</v>
      </c>
      <c r="AE62" s="892">
        <f t="shared" si="27"/>
        <v>125648.70000000001</v>
      </c>
      <c r="AF62" s="892">
        <f t="shared" si="28"/>
        <v>2952348.0372000001</v>
      </c>
      <c r="AG62" s="892" t="s">
        <v>3</v>
      </c>
    </row>
    <row r="63" spans="1:33" ht="31.5">
      <c r="A63" s="918">
        <v>46</v>
      </c>
      <c r="B63" s="909" t="s">
        <v>453</v>
      </c>
      <c r="C63" s="933" t="s">
        <v>551</v>
      </c>
      <c r="D63" s="1556"/>
      <c r="E63" s="918">
        <v>0.5</v>
      </c>
      <c r="F63" s="918"/>
      <c r="G63" s="888">
        <v>45187</v>
      </c>
      <c r="H63" s="918">
        <v>20</v>
      </c>
      <c r="I63" s="892">
        <f t="shared" si="32"/>
        <v>176970</v>
      </c>
      <c r="J63" s="892">
        <f t="shared" si="29"/>
        <v>17697</v>
      </c>
      <c r="K63" s="887"/>
      <c r="L63" s="887"/>
      <c r="M63" s="887"/>
      <c r="N63" s="887"/>
      <c r="O63" s="887"/>
      <c r="P63" s="887"/>
      <c r="Q63" s="923"/>
      <c r="R63" s="923"/>
      <c r="S63" s="892">
        <f t="shared" si="30"/>
        <v>17697</v>
      </c>
      <c r="T63" s="892">
        <f t="shared" si="17"/>
        <v>194667</v>
      </c>
      <c r="U63" s="892">
        <f t="shared" si="18"/>
        <v>19466.7</v>
      </c>
      <c r="V63" s="892">
        <f t="shared" si="19"/>
        <v>10757.896000000001</v>
      </c>
      <c r="W63" s="892">
        <f t="shared" si="20"/>
        <v>3893.34</v>
      </c>
      <c r="X63" s="892">
        <f t="shared" si="21"/>
        <v>160549.06399999998</v>
      </c>
      <c r="Y63" s="892">
        <f t="shared" si="22"/>
        <v>2336004</v>
      </c>
      <c r="Z63" s="892">
        <f t="shared" si="23"/>
        <v>176970</v>
      </c>
      <c r="AA63" s="892">
        <f t="shared" si="24"/>
        <v>2512974</v>
      </c>
      <c r="AB63" s="892">
        <f t="shared" si="25"/>
        <v>130561.3872</v>
      </c>
      <c r="AC63" s="892">
        <f t="shared" si="31"/>
        <v>113083.83000000002</v>
      </c>
      <c r="AD63" s="892">
        <f t="shared" si="26"/>
        <v>70080.12</v>
      </c>
      <c r="AE63" s="892">
        <f t="shared" si="27"/>
        <v>125648.70000000001</v>
      </c>
      <c r="AF63" s="892">
        <f t="shared" si="28"/>
        <v>2952348.0372000001</v>
      </c>
      <c r="AG63" s="892" t="s">
        <v>3</v>
      </c>
    </row>
    <row r="64" spans="1:33" ht="31.5">
      <c r="A64" s="918">
        <v>47</v>
      </c>
      <c r="B64" s="935" t="s">
        <v>453</v>
      </c>
      <c r="C64" s="909" t="s">
        <v>2331</v>
      </c>
      <c r="D64" s="1556"/>
      <c r="E64" s="918">
        <v>0.5</v>
      </c>
      <c r="F64" s="918"/>
      <c r="G64" s="901">
        <v>44774</v>
      </c>
      <c r="H64" s="918">
        <v>11</v>
      </c>
      <c r="I64" s="892">
        <f t="shared" si="32"/>
        <v>97333.5</v>
      </c>
      <c r="J64" s="892">
        <f t="shared" si="29"/>
        <v>9733.35</v>
      </c>
      <c r="K64" s="887"/>
      <c r="L64" s="887"/>
      <c r="M64" s="887"/>
      <c r="N64" s="887"/>
      <c r="O64" s="887"/>
      <c r="P64" s="887"/>
      <c r="Q64" s="923"/>
      <c r="R64" s="923"/>
      <c r="S64" s="892">
        <f t="shared" si="30"/>
        <v>9733.35</v>
      </c>
      <c r="T64" s="892">
        <f t="shared" si="17"/>
        <v>107066.85</v>
      </c>
      <c r="U64" s="892">
        <f t="shared" si="18"/>
        <v>10706.685000000001</v>
      </c>
      <c r="V64" s="892">
        <f t="shared" si="19"/>
        <v>3049.082800000001</v>
      </c>
      <c r="W64" s="892">
        <f t="shared" si="20"/>
        <v>2141.337</v>
      </c>
      <c r="X64" s="892">
        <f t="shared" si="21"/>
        <v>91169.745200000005</v>
      </c>
      <c r="Y64" s="892">
        <f t="shared" si="22"/>
        <v>1284802.2000000002</v>
      </c>
      <c r="Z64" s="892">
        <f t="shared" si="23"/>
        <v>97333.5</v>
      </c>
      <c r="AA64" s="892">
        <f t="shared" si="24"/>
        <v>1382135.7000000002</v>
      </c>
      <c r="AB64" s="892">
        <f t="shared" si="25"/>
        <v>71808.762960000007</v>
      </c>
      <c r="AC64" s="892">
        <f t="shared" si="31"/>
        <v>62196.106500000009</v>
      </c>
      <c r="AD64" s="892">
        <f t="shared" si="26"/>
        <v>38544.066000000006</v>
      </c>
      <c r="AE64" s="892">
        <f t="shared" si="27"/>
        <v>69106.785000000018</v>
      </c>
      <c r="AF64" s="892">
        <f t="shared" si="28"/>
        <v>1623791.4204600002</v>
      </c>
      <c r="AG64" s="892" t="s">
        <v>3</v>
      </c>
    </row>
    <row r="65" spans="1:33" ht="31.5">
      <c r="A65" s="918">
        <v>48</v>
      </c>
      <c r="B65" s="915" t="s">
        <v>453</v>
      </c>
      <c r="C65" s="933" t="s">
        <v>2332</v>
      </c>
      <c r="D65" s="1556"/>
      <c r="E65" s="918">
        <v>0.5</v>
      </c>
      <c r="F65" s="918"/>
      <c r="G65" s="888">
        <v>45187</v>
      </c>
      <c r="H65" s="918">
        <v>20</v>
      </c>
      <c r="I65" s="892">
        <f t="shared" si="32"/>
        <v>176970</v>
      </c>
      <c r="J65" s="892">
        <f t="shared" si="29"/>
        <v>17697</v>
      </c>
      <c r="K65" s="887"/>
      <c r="L65" s="887"/>
      <c r="M65" s="887"/>
      <c r="N65" s="887"/>
      <c r="O65" s="887"/>
      <c r="P65" s="887"/>
      <c r="Q65" s="923"/>
      <c r="R65" s="923"/>
      <c r="S65" s="892">
        <f t="shared" si="30"/>
        <v>17697</v>
      </c>
      <c r="T65" s="892">
        <f t="shared" si="17"/>
        <v>194667</v>
      </c>
      <c r="U65" s="892">
        <f t="shared" si="18"/>
        <v>19466.7</v>
      </c>
      <c r="V65" s="892">
        <f t="shared" si="19"/>
        <v>10757.896000000001</v>
      </c>
      <c r="W65" s="892">
        <f t="shared" si="20"/>
        <v>3893.34</v>
      </c>
      <c r="X65" s="892">
        <f t="shared" si="21"/>
        <v>160549.06399999998</v>
      </c>
      <c r="Y65" s="892">
        <f t="shared" si="22"/>
        <v>2336004</v>
      </c>
      <c r="Z65" s="892">
        <f t="shared" si="23"/>
        <v>176970</v>
      </c>
      <c r="AA65" s="892">
        <f t="shared" si="24"/>
        <v>2512974</v>
      </c>
      <c r="AB65" s="892">
        <f t="shared" si="25"/>
        <v>130561.3872</v>
      </c>
      <c r="AC65" s="892">
        <f t="shared" si="31"/>
        <v>113083.83000000002</v>
      </c>
      <c r="AD65" s="892">
        <f t="shared" si="26"/>
        <v>70080.12</v>
      </c>
      <c r="AE65" s="892">
        <f t="shared" si="27"/>
        <v>125648.70000000001</v>
      </c>
      <c r="AF65" s="892">
        <f t="shared" si="28"/>
        <v>2952348.0372000001</v>
      </c>
      <c r="AG65" s="892" t="s">
        <v>3</v>
      </c>
    </row>
    <row r="66" spans="1:33" ht="31.5">
      <c r="A66" s="918">
        <v>49</v>
      </c>
      <c r="B66" s="909" t="s">
        <v>453</v>
      </c>
      <c r="C66" s="933" t="s">
        <v>919</v>
      </c>
      <c r="D66" s="918"/>
      <c r="E66" s="918">
        <v>1</v>
      </c>
      <c r="F66" s="918"/>
      <c r="G66" s="888"/>
      <c r="H66" s="918">
        <v>20</v>
      </c>
      <c r="I66" s="892">
        <f t="shared" si="32"/>
        <v>353940</v>
      </c>
      <c r="J66" s="892">
        <f t="shared" si="29"/>
        <v>35394</v>
      </c>
      <c r="K66" s="887"/>
      <c r="L66" s="887"/>
      <c r="M66" s="887"/>
      <c r="N66" s="887"/>
      <c r="O66" s="887"/>
      <c r="P66" s="887"/>
      <c r="Q66" s="923"/>
      <c r="R66" s="923"/>
      <c r="S66" s="892">
        <f t="shared" ref="S66" si="33">SUM(J66:R66)</f>
        <v>35394</v>
      </c>
      <c r="T66" s="892">
        <f t="shared" si="17"/>
        <v>389334</v>
      </c>
      <c r="U66" s="892">
        <f t="shared" si="18"/>
        <v>38933.4</v>
      </c>
      <c r="V66" s="892">
        <f t="shared" si="19"/>
        <v>27888.592000000001</v>
      </c>
      <c r="W66" s="892">
        <f t="shared" si="20"/>
        <v>7786.68</v>
      </c>
      <c r="X66" s="892">
        <f t="shared" si="21"/>
        <v>314725.32799999998</v>
      </c>
      <c r="Y66" s="892">
        <f t="shared" si="22"/>
        <v>4672008</v>
      </c>
      <c r="Z66" s="892">
        <f t="shared" si="23"/>
        <v>353940</v>
      </c>
      <c r="AA66" s="892">
        <f t="shared" si="24"/>
        <v>5025948</v>
      </c>
      <c r="AB66" s="892">
        <f t="shared" si="25"/>
        <v>261122.77439999999</v>
      </c>
      <c r="AC66" s="892">
        <f t="shared" si="31"/>
        <v>226167.66000000003</v>
      </c>
      <c r="AD66" s="892">
        <f t="shared" si="26"/>
        <v>140160.24</v>
      </c>
      <c r="AE66" s="892">
        <f t="shared" si="27"/>
        <v>251297.40000000002</v>
      </c>
      <c r="AF66" s="892">
        <f t="shared" si="28"/>
        <v>5904696.0744000003</v>
      </c>
      <c r="AG66" s="892" t="s">
        <v>3</v>
      </c>
    </row>
    <row r="67" spans="1:33" ht="39.75" customHeight="1">
      <c r="A67" s="918">
        <v>50</v>
      </c>
      <c r="B67" s="909" t="s">
        <v>456</v>
      </c>
      <c r="C67" s="909" t="s">
        <v>457</v>
      </c>
      <c r="D67" s="918">
        <v>1</v>
      </c>
      <c r="E67" s="918">
        <v>1</v>
      </c>
      <c r="F67" s="918"/>
      <c r="G67" s="901">
        <v>44287</v>
      </c>
      <c r="H67" s="918">
        <v>14</v>
      </c>
      <c r="I67" s="892">
        <f t="shared" si="32"/>
        <v>247758</v>
      </c>
      <c r="J67" s="892">
        <f t="shared" si="29"/>
        <v>24775.800000000003</v>
      </c>
      <c r="K67" s="887"/>
      <c r="L67" s="887"/>
      <c r="M67" s="887"/>
      <c r="N67" s="887"/>
      <c r="O67" s="887"/>
      <c r="P67" s="887"/>
      <c r="Q67" s="923"/>
      <c r="R67" s="923"/>
      <c r="S67" s="892">
        <f t="shared" si="30"/>
        <v>24775.800000000003</v>
      </c>
      <c r="T67" s="892">
        <f t="shared" si="17"/>
        <v>272533.8</v>
      </c>
      <c r="U67" s="892">
        <f t="shared" si="18"/>
        <v>27253.38</v>
      </c>
      <c r="V67" s="892">
        <f t="shared" si="19"/>
        <v>17610.1744</v>
      </c>
      <c r="W67" s="892">
        <f t="shared" si="20"/>
        <v>5450.6759999999995</v>
      </c>
      <c r="X67" s="892">
        <f t="shared" si="21"/>
        <v>222219.56959999999</v>
      </c>
      <c r="Y67" s="892">
        <f t="shared" si="22"/>
        <v>3270405.5999999996</v>
      </c>
      <c r="Z67" s="892">
        <f t="shared" si="23"/>
        <v>247758</v>
      </c>
      <c r="AA67" s="892">
        <f t="shared" si="24"/>
        <v>3518163.5999999996</v>
      </c>
      <c r="AB67" s="892">
        <f t="shared" si="25"/>
        <v>182785.94207999998</v>
      </c>
      <c r="AC67" s="892">
        <f t="shared" si="31"/>
        <v>158317.36199999999</v>
      </c>
      <c r="AD67" s="892">
        <f t="shared" si="26"/>
        <v>98112.167999999991</v>
      </c>
      <c r="AE67" s="892">
        <f t="shared" si="27"/>
        <v>175908.18</v>
      </c>
      <c r="AF67" s="892">
        <f t="shared" si="28"/>
        <v>4133287.25208</v>
      </c>
      <c r="AG67" s="892" t="s">
        <v>3</v>
      </c>
    </row>
    <row r="68" spans="1:33" ht="31.5">
      <c r="A68" s="918">
        <v>51</v>
      </c>
      <c r="B68" s="915" t="s">
        <v>16</v>
      </c>
      <c r="C68" s="909" t="s">
        <v>460</v>
      </c>
      <c r="D68" s="1556">
        <v>4</v>
      </c>
      <c r="E68" s="918">
        <v>1</v>
      </c>
      <c r="F68" s="918"/>
      <c r="G68" s="888">
        <v>42293</v>
      </c>
      <c r="H68" s="918">
        <v>19</v>
      </c>
      <c r="I68" s="892">
        <f t="shared" si="32"/>
        <v>336243</v>
      </c>
      <c r="J68" s="892">
        <f t="shared" si="29"/>
        <v>33624.300000000003</v>
      </c>
      <c r="K68" s="887"/>
      <c r="L68" s="887"/>
      <c r="M68" s="892">
        <f>I68*40%</f>
        <v>134497.20000000001</v>
      </c>
      <c r="N68" s="887"/>
      <c r="O68" s="887"/>
      <c r="P68" s="887"/>
      <c r="Q68" s="923"/>
      <c r="R68" s="923"/>
      <c r="S68" s="892">
        <f t="shared" si="30"/>
        <v>168121.5</v>
      </c>
      <c r="T68" s="892">
        <f t="shared" si="17"/>
        <v>504364.5</v>
      </c>
      <c r="U68" s="892">
        <f t="shared" si="18"/>
        <v>50436.450000000004</v>
      </c>
      <c r="V68" s="892">
        <f t="shared" si="19"/>
        <v>38011.276000000005</v>
      </c>
      <c r="W68" s="892">
        <f t="shared" si="20"/>
        <v>10087.290000000001</v>
      </c>
      <c r="X68" s="892">
        <f t="shared" si="21"/>
        <v>405829.484</v>
      </c>
      <c r="Y68" s="892">
        <f t="shared" si="22"/>
        <v>6052374</v>
      </c>
      <c r="Z68" s="892">
        <f t="shared" si="23"/>
        <v>336243</v>
      </c>
      <c r="AA68" s="892">
        <f t="shared" si="24"/>
        <v>6388617</v>
      </c>
      <c r="AB68" s="892">
        <f t="shared" si="25"/>
        <v>331670.09519999987</v>
      </c>
      <c r="AC68" s="892">
        <f t="shared" si="31"/>
        <v>287487.76500000001</v>
      </c>
      <c r="AD68" s="892">
        <f t="shared" si="26"/>
        <v>181571.22</v>
      </c>
      <c r="AE68" s="892">
        <f t="shared" si="27"/>
        <v>319430.85000000003</v>
      </c>
      <c r="AF68" s="892">
        <f t="shared" si="28"/>
        <v>7508776.9301999994</v>
      </c>
      <c r="AG68" s="892" t="s">
        <v>3</v>
      </c>
    </row>
    <row r="69" spans="1:33">
      <c r="A69" s="918">
        <v>52</v>
      </c>
      <c r="B69" s="909" t="s">
        <v>459</v>
      </c>
      <c r="C69" s="925" t="s">
        <v>461</v>
      </c>
      <c r="D69" s="1556"/>
      <c r="E69" s="918">
        <v>1</v>
      </c>
      <c r="F69" s="918"/>
      <c r="G69" s="888">
        <v>44908</v>
      </c>
      <c r="H69" s="918">
        <v>17</v>
      </c>
      <c r="I69" s="892">
        <f t="shared" si="32"/>
        <v>300849</v>
      </c>
      <c r="J69" s="892">
        <f t="shared" si="29"/>
        <v>30084.9</v>
      </c>
      <c r="K69" s="887"/>
      <c r="L69" s="887"/>
      <c r="M69" s="887"/>
      <c r="N69" s="887"/>
      <c r="O69" s="887"/>
      <c r="P69" s="887"/>
      <c r="Q69" s="923"/>
      <c r="R69" s="923"/>
      <c r="S69" s="892">
        <f t="shared" si="30"/>
        <v>30084.9</v>
      </c>
      <c r="T69" s="892">
        <f t="shared" si="17"/>
        <v>330933.90000000002</v>
      </c>
      <c r="U69" s="892">
        <f t="shared" si="18"/>
        <v>33093.390000000007</v>
      </c>
      <c r="V69" s="892">
        <f t="shared" si="19"/>
        <v>22749.3832</v>
      </c>
      <c r="W69" s="892">
        <f t="shared" si="20"/>
        <v>6618.6780000000008</v>
      </c>
      <c r="X69" s="892">
        <f t="shared" si="21"/>
        <v>268472.44880000001</v>
      </c>
      <c r="Y69" s="892">
        <f t="shared" si="22"/>
        <v>3971206.8000000003</v>
      </c>
      <c r="Z69" s="892">
        <f t="shared" si="23"/>
        <v>300849</v>
      </c>
      <c r="AA69" s="892">
        <f t="shared" si="24"/>
        <v>4272055.8000000007</v>
      </c>
      <c r="AB69" s="892">
        <f t="shared" si="25"/>
        <v>221954.35824000003</v>
      </c>
      <c r="AC69" s="892">
        <f t="shared" si="31"/>
        <v>192242.51100000006</v>
      </c>
      <c r="AD69" s="892">
        <f t="shared" si="26"/>
        <v>119136.204</v>
      </c>
      <c r="AE69" s="892">
        <f t="shared" si="27"/>
        <v>213602.79000000004</v>
      </c>
      <c r="AF69" s="892">
        <f t="shared" si="28"/>
        <v>5018991.6632400006</v>
      </c>
      <c r="AG69" s="892" t="s">
        <v>3</v>
      </c>
    </row>
    <row r="70" spans="1:33">
      <c r="A70" s="918">
        <v>53</v>
      </c>
      <c r="B70" s="909" t="s">
        <v>459</v>
      </c>
      <c r="C70" s="929" t="s">
        <v>458</v>
      </c>
      <c r="D70" s="1556"/>
      <c r="E70" s="918">
        <v>1</v>
      </c>
      <c r="F70" s="918"/>
      <c r="G70" s="888">
        <v>45160</v>
      </c>
      <c r="H70" s="918">
        <v>16</v>
      </c>
      <c r="I70" s="892">
        <f t="shared" si="32"/>
        <v>283152</v>
      </c>
      <c r="J70" s="892">
        <f t="shared" si="29"/>
        <v>28315.200000000001</v>
      </c>
      <c r="K70" s="887"/>
      <c r="L70" s="887"/>
      <c r="M70" s="887"/>
      <c r="N70" s="887"/>
      <c r="O70" s="887"/>
      <c r="P70" s="887"/>
      <c r="Q70" s="923"/>
      <c r="R70" s="923"/>
      <c r="S70" s="892">
        <f t="shared" si="30"/>
        <v>28315.200000000001</v>
      </c>
      <c r="T70" s="892">
        <f t="shared" si="17"/>
        <v>311467.2</v>
      </c>
      <c r="U70" s="892">
        <f t="shared" si="18"/>
        <v>31146.720000000001</v>
      </c>
      <c r="V70" s="892">
        <f t="shared" si="19"/>
        <v>21036.313600000001</v>
      </c>
      <c r="W70" s="892">
        <f t="shared" si="20"/>
        <v>6229.3440000000001</v>
      </c>
      <c r="X70" s="892">
        <f t="shared" si="21"/>
        <v>253054.82239999998</v>
      </c>
      <c r="Y70" s="892">
        <f t="shared" si="22"/>
        <v>3737606.4000000004</v>
      </c>
      <c r="Z70" s="892">
        <f t="shared" si="23"/>
        <v>283152</v>
      </c>
      <c r="AA70" s="892">
        <f t="shared" si="24"/>
        <v>4020758.4000000004</v>
      </c>
      <c r="AB70" s="892">
        <f t="shared" si="25"/>
        <v>208898.21952000004</v>
      </c>
      <c r="AC70" s="892">
        <f t="shared" si="31"/>
        <v>180934.12800000003</v>
      </c>
      <c r="AD70" s="892">
        <f t="shared" si="26"/>
        <v>112128.19200000001</v>
      </c>
      <c r="AE70" s="892">
        <f t="shared" si="27"/>
        <v>201037.92000000004</v>
      </c>
      <c r="AF70" s="892">
        <f t="shared" si="28"/>
        <v>4723756.8595199995</v>
      </c>
      <c r="AG70" s="892" t="s">
        <v>3</v>
      </c>
    </row>
    <row r="71" spans="1:33" ht="31.5">
      <c r="A71" s="918">
        <v>54</v>
      </c>
      <c r="B71" s="915" t="s">
        <v>459</v>
      </c>
      <c r="C71" s="912" t="s">
        <v>462</v>
      </c>
      <c r="D71" s="1556"/>
      <c r="E71" s="918">
        <v>1</v>
      </c>
      <c r="F71" s="918"/>
      <c r="G71" s="888">
        <v>43773</v>
      </c>
      <c r="H71" s="918">
        <v>19</v>
      </c>
      <c r="I71" s="892">
        <f t="shared" si="32"/>
        <v>336243</v>
      </c>
      <c r="J71" s="892">
        <f t="shared" si="29"/>
        <v>33624.300000000003</v>
      </c>
      <c r="K71" s="887"/>
      <c r="L71" s="887"/>
      <c r="M71" s="887"/>
      <c r="N71" s="887"/>
      <c r="O71" s="887"/>
      <c r="P71" s="887"/>
      <c r="Q71" s="923"/>
      <c r="R71" s="923"/>
      <c r="S71" s="892">
        <f t="shared" si="30"/>
        <v>33624.300000000003</v>
      </c>
      <c r="T71" s="892">
        <f t="shared" si="17"/>
        <v>369867.3</v>
      </c>
      <c r="U71" s="892">
        <f t="shared" si="18"/>
        <v>36986.730000000003</v>
      </c>
      <c r="V71" s="892">
        <f t="shared" si="19"/>
        <v>26175.522400000002</v>
      </c>
      <c r="W71" s="892">
        <f t="shared" si="20"/>
        <v>7397.3459999999995</v>
      </c>
      <c r="X71" s="892">
        <f t="shared" si="21"/>
        <v>299307.70159999997</v>
      </c>
      <c r="Y71" s="892">
        <f t="shared" si="22"/>
        <v>4438407.5999999996</v>
      </c>
      <c r="Z71" s="892">
        <f t="shared" si="23"/>
        <v>336243</v>
      </c>
      <c r="AA71" s="892">
        <f t="shared" si="24"/>
        <v>4774650.5999999996</v>
      </c>
      <c r="AB71" s="892">
        <f t="shared" si="25"/>
        <v>248066.63568000001</v>
      </c>
      <c r="AC71" s="892">
        <f t="shared" si="31"/>
        <v>214859.277</v>
      </c>
      <c r="AD71" s="892">
        <f t="shared" si="26"/>
        <v>133152.22799999997</v>
      </c>
      <c r="AE71" s="892">
        <f t="shared" si="27"/>
        <v>238732.53</v>
      </c>
      <c r="AF71" s="892">
        <f t="shared" si="28"/>
        <v>5609461.2706800001</v>
      </c>
      <c r="AG71" s="892" t="s">
        <v>3</v>
      </c>
    </row>
    <row r="72" spans="1:33">
      <c r="A72" s="918">
        <v>55</v>
      </c>
      <c r="B72" s="909" t="s">
        <v>463</v>
      </c>
      <c r="C72" s="936" t="s">
        <v>464</v>
      </c>
      <c r="D72" s="918">
        <v>1</v>
      </c>
      <c r="E72" s="918">
        <v>1</v>
      </c>
      <c r="F72" s="918"/>
      <c r="G72" s="888">
        <v>43064</v>
      </c>
      <c r="H72" s="918">
        <v>19</v>
      </c>
      <c r="I72" s="892">
        <f t="shared" si="32"/>
        <v>336243</v>
      </c>
      <c r="J72" s="892">
        <f t="shared" si="29"/>
        <v>33624.300000000003</v>
      </c>
      <c r="K72" s="887"/>
      <c r="L72" s="887"/>
      <c r="M72" s="887"/>
      <c r="N72" s="887"/>
      <c r="O72" s="887"/>
      <c r="P72" s="887"/>
      <c r="Q72" s="923"/>
      <c r="R72" s="923"/>
      <c r="S72" s="892">
        <f t="shared" si="30"/>
        <v>33624.300000000003</v>
      </c>
      <c r="T72" s="892">
        <f t="shared" si="17"/>
        <v>369867.3</v>
      </c>
      <c r="U72" s="892">
        <f t="shared" si="18"/>
        <v>36986.730000000003</v>
      </c>
      <c r="V72" s="892">
        <f t="shared" si="19"/>
        <v>26175.522400000002</v>
      </c>
      <c r="W72" s="892">
        <f t="shared" si="20"/>
        <v>7397.3459999999995</v>
      </c>
      <c r="X72" s="892">
        <f t="shared" si="21"/>
        <v>299307.70159999997</v>
      </c>
      <c r="Y72" s="892">
        <f t="shared" si="22"/>
        <v>4438407.5999999996</v>
      </c>
      <c r="Z72" s="892">
        <f t="shared" si="23"/>
        <v>336243</v>
      </c>
      <c r="AA72" s="892">
        <f t="shared" si="24"/>
        <v>4774650.5999999996</v>
      </c>
      <c r="AB72" s="892">
        <f t="shared" si="25"/>
        <v>248066.63568000001</v>
      </c>
      <c r="AC72" s="892">
        <f t="shared" si="31"/>
        <v>214859.277</v>
      </c>
      <c r="AD72" s="892">
        <f t="shared" si="26"/>
        <v>133152.22799999997</v>
      </c>
      <c r="AE72" s="892">
        <f t="shared" si="27"/>
        <v>238732.53</v>
      </c>
      <c r="AF72" s="892">
        <f t="shared" si="28"/>
        <v>5609461.2706800001</v>
      </c>
      <c r="AG72" s="892" t="s">
        <v>3</v>
      </c>
    </row>
    <row r="73" spans="1:33" ht="31.5">
      <c r="A73" s="918">
        <v>56</v>
      </c>
      <c r="B73" s="909" t="s">
        <v>49</v>
      </c>
      <c r="C73" s="909" t="s">
        <v>465</v>
      </c>
      <c r="D73" s="918">
        <v>1</v>
      </c>
      <c r="E73" s="918">
        <v>1</v>
      </c>
      <c r="F73" s="918"/>
      <c r="G73" s="888">
        <v>42661</v>
      </c>
      <c r="H73" s="895">
        <v>17</v>
      </c>
      <c r="I73" s="892">
        <f t="shared" si="32"/>
        <v>300849</v>
      </c>
      <c r="J73" s="892">
        <f t="shared" si="29"/>
        <v>30084.9</v>
      </c>
      <c r="K73" s="887"/>
      <c r="L73" s="887"/>
      <c r="M73" s="887"/>
      <c r="N73" s="887"/>
      <c r="O73" s="887"/>
      <c r="P73" s="892">
        <f>17697*30%</f>
        <v>5309.0999999999995</v>
      </c>
      <c r="Q73" s="923"/>
      <c r="R73" s="923"/>
      <c r="S73" s="892">
        <f t="shared" si="30"/>
        <v>35394</v>
      </c>
      <c r="T73" s="892">
        <f t="shared" si="17"/>
        <v>336243</v>
      </c>
      <c r="U73" s="892">
        <f t="shared" si="18"/>
        <v>33624.300000000003</v>
      </c>
      <c r="V73" s="892">
        <f t="shared" si="19"/>
        <v>23216.584000000003</v>
      </c>
      <c r="W73" s="892">
        <f t="shared" si="20"/>
        <v>6724.8600000000006</v>
      </c>
      <c r="X73" s="892">
        <f t="shared" si="21"/>
        <v>272677.25600000005</v>
      </c>
      <c r="Y73" s="892">
        <f t="shared" si="22"/>
        <v>4034916</v>
      </c>
      <c r="Z73" s="892">
        <f t="shared" si="23"/>
        <v>300849</v>
      </c>
      <c r="AA73" s="892">
        <f t="shared" si="24"/>
        <v>4335765</v>
      </c>
      <c r="AB73" s="892">
        <f t="shared" si="25"/>
        <v>225254.49480000001</v>
      </c>
      <c r="AC73" s="892">
        <f t="shared" si="31"/>
        <v>195109.42500000002</v>
      </c>
      <c r="AD73" s="892">
        <f t="shared" si="26"/>
        <v>121047.48</v>
      </c>
      <c r="AE73" s="892">
        <f t="shared" si="27"/>
        <v>216788.25</v>
      </c>
      <c r="AF73" s="892">
        <f t="shared" si="28"/>
        <v>5093964.6498000007</v>
      </c>
      <c r="AG73" s="892" t="s">
        <v>3</v>
      </c>
    </row>
    <row r="74" spans="1:33">
      <c r="A74" s="918">
        <v>57</v>
      </c>
      <c r="B74" s="909" t="s">
        <v>17</v>
      </c>
      <c r="C74" s="937" t="s">
        <v>466</v>
      </c>
      <c r="D74" s="1556">
        <v>2</v>
      </c>
      <c r="E74" s="918">
        <v>1</v>
      </c>
      <c r="F74" s="918"/>
      <c r="G74" s="888">
        <v>34736</v>
      </c>
      <c r="H74" s="895">
        <v>13</v>
      </c>
      <c r="I74" s="892">
        <f t="shared" si="32"/>
        <v>230061</v>
      </c>
      <c r="J74" s="892">
        <f t="shared" si="29"/>
        <v>23006.100000000002</v>
      </c>
      <c r="K74" s="887"/>
      <c r="L74" s="887"/>
      <c r="M74" s="887"/>
      <c r="N74" s="887"/>
      <c r="O74" s="887"/>
      <c r="P74" s="892">
        <f t="shared" ref="P74:P75" si="34">17697*30%</f>
        <v>5309.0999999999995</v>
      </c>
      <c r="Q74" s="923"/>
      <c r="R74" s="923"/>
      <c r="S74" s="892">
        <f t="shared" si="30"/>
        <v>28315.200000000001</v>
      </c>
      <c r="T74" s="892">
        <f t="shared" si="17"/>
        <v>258376.2</v>
      </c>
      <c r="U74" s="892">
        <f t="shared" si="18"/>
        <v>25837.620000000003</v>
      </c>
      <c r="V74" s="892">
        <f t="shared" si="19"/>
        <v>16364.305600000002</v>
      </c>
      <c r="W74" s="892">
        <f t="shared" si="20"/>
        <v>5167.5240000000003</v>
      </c>
      <c r="X74" s="892">
        <f t="shared" si="21"/>
        <v>211006.75040000002</v>
      </c>
      <c r="Y74" s="892">
        <f t="shared" si="22"/>
        <v>3100514.4000000004</v>
      </c>
      <c r="Z74" s="892">
        <f t="shared" si="23"/>
        <v>230061</v>
      </c>
      <c r="AA74" s="892">
        <f t="shared" si="24"/>
        <v>3330575.4000000004</v>
      </c>
      <c r="AB74" s="892">
        <f t="shared" si="25"/>
        <v>173029.93992</v>
      </c>
      <c r="AC74" s="892">
        <f t="shared" si="31"/>
        <v>149875.89300000001</v>
      </c>
      <c r="AD74" s="892">
        <f t="shared" si="26"/>
        <v>93015.432000000001</v>
      </c>
      <c r="AE74" s="892">
        <f t="shared" si="27"/>
        <v>166528.77000000002</v>
      </c>
      <c r="AF74" s="892">
        <f t="shared" si="28"/>
        <v>3913025.4349200004</v>
      </c>
      <c r="AG74" s="892" t="s">
        <v>3</v>
      </c>
    </row>
    <row r="75" spans="1:33">
      <c r="A75" s="918">
        <v>58</v>
      </c>
      <c r="B75" s="909" t="s">
        <v>17</v>
      </c>
      <c r="C75" s="937" t="s">
        <v>467</v>
      </c>
      <c r="D75" s="1556"/>
      <c r="E75" s="918">
        <v>1</v>
      </c>
      <c r="F75" s="918"/>
      <c r="G75" s="888">
        <v>44536</v>
      </c>
      <c r="H75" s="895">
        <v>13</v>
      </c>
      <c r="I75" s="892">
        <f t="shared" si="32"/>
        <v>230061</v>
      </c>
      <c r="J75" s="892">
        <f t="shared" si="29"/>
        <v>23006.100000000002</v>
      </c>
      <c r="K75" s="887"/>
      <c r="L75" s="887"/>
      <c r="M75" s="887"/>
      <c r="N75" s="887"/>
      <c r="O75" s="887"/>
      <c r="P75" s="892">
        <f t="shared" si="34"/>
        <v>5309.0999999999995</v>
      </c>
      <c r="Q75" s="923"/>
      <c r="R75" s="923"/>
      <c r="S75" s="892">
        <f t="shared" si="30"/>
        <v>28315.200000000001</v>
      </c>
      <c r="T75" s="892">
        <f t="shared" si="17"/>
        <v>258376.2</v>
      </c>
      <c r="U75" s="892">
        <f t="shared" si="18"/>
        <v>25837.620000000003</v>
      </c>
      <c r="V75" s="892">
        <f t="shared" si="19"/>
        <v>16364.305600000002</v>
      </c>
      <c r="W75" s="892">
        <f t="shared" si="20"/>
        <v>5167.5240000000003</v>
      </c>
      <c r="X75" s="892">
        <f t="shared" si="21"/>
        <v>211006.75040000002</v>
      </c>
      <c r="Y75" s="892">
        <f t="shared" si="22"/>
        <v>3100514.4000000004</v>
      </c>
      <c r="Z75" s="892">
        <f t="shared" si="23"/>
        <v>230061</v>
      </c>
      <c r="AA75" s="892">
        <f t="shared" si="24"/>
        <v>3330575.4000000004</v>
      </c>
      <c r="AB75" s="892">
        <f t="shared" si="25"/>
        <v>173029.93992</v>
      </c>
      <c r="AC75" s="892">
        <f t="shared" si="31"/>
        <v>149875.89300000001</v>
      </c>
      <c r="AD75" s="892">
        <f t="shared" si="26"/>
        <v>93015.432000000001</v>
      </c>
      <c r="AE75" s="892">
        <f t="shared" si="27"/>
        <v>166528.77000000002</v>
      </c>
      <c r="AF75" s="892">
        <f t="shared" si="28"/>
        <v>3913025.4349200004</v>
      </c>
      <c r="AG75" s="892" t="s">
        <v>3</v>
      </c>
    </row>
    <row r="76" spans="1:33">
      <c r="A76" s="918">
        <v>59</v>
      </c>
      <c r="B76" s="909" t="s">
        <v>51</v>
      </c>
      <c r="C76" s="937" t="s">
        <v>2333</v>
      </c>
      <c r="D76" s="918">
        <v>1</v>
      </c>
      <c r="E76" s="918">
        <v>1</v>
      </c>
      <c r="F76" s="918"/>
      <c r="G76" s="888">
        <v>44805</v>
      </c>
      <c r="H76" s="918">
        <v>11</v>
      </c>
      <c r="I76" s="892">
        <f t="shared" si="32"/>
        <v>194667</v>
      </c>
      <c r="J76" s="892">
        <f t="shared" si="29"/>
        <v>19466.7</v>
      </c>
      <c r="K76" s="887"/>
      <c r="L76" s="887"/>
      <c r="M76" s="887"/>
      <c r="N76" s="887"/>
      <c r="O76" s="887"/>
      <c r="P76" s="887"/>
      <c r="Q76" s="923"/>
      <c r="R76" s="923"/>
      <c r="S76" s="892">
        <f t="shared" si="30"/>
        <v>19466.7</v>
      </c>
      <c r="T76" s="892">
        <f t="shared" si="17"/>
        <v>214133.7</v>
      </c>
      <c r="U76" s="892">
        <f t="shared" si="18"/>
        <v>21413.370000000003</v>
      </c>
      <c r="V76" s="892">
        <f t="shared" si="19"/>
        <v>12470.965600000003</v>
      </c>
      <c r="W76" s="892">
        <f t="shared" si="20"/>
        <v>4282.674</v>
      </c>
      <c r="X76" s="892">
        <f t="shared" si="21"/>
        <v>175966.69040000002</v>
      </c>
      <c r="Y76" s="892">
        <f t="shared" si="22"/>
        <v>2569604.4000000004</v>
      </c>
      <c r="Z76" s="892">
        <f t="shared" si="23"/>
        <v>194667</v>
      </c>
      <c r="AA76" s="892">
        <f t="shared" si="24"/>
        <v>2764271.4000000004</v>
      </c>
      <c r="AB76" s="892">
        <f t="shared" si="25"/>
        <v>143617.52592000001</v>
      </c>
      <c r="AC76" s="892">
        <f t="shared" si="31"/>
        <v>124392.21300000002</v>
      </c>
      <c r="AD76" s="892">
        <f t="shared" si="26"/>
        <v>77088.132000000012</v>
      </c>
      <c r="AE76" s="892">
        <f t="shared" si="27"/>
        <v>138213.57000000004</v>
      </c>
      <c r="AF76" s="892">
        <f t="shared" si="28"/>
        <v>3247582.8409200003</v>
      </c>
      <c r="AG76" s="892" t="s">
        <v>3</v>
      </c>
    </row>
    <row r="77" spans="1:33">
      <c r="A77" s="918">
        <v>61</v>
      </c>
      <c r="B77" s="909" t="s">
        <v>18</v>
      </c>
      <c r="C77" s="937" t="s">
        <v>468</v>
      </c>
      <c r="D77" s="918">
        <v>1</v>
      </c>
      <c r="E77" s="918">
        <v>1</v>
      </c>
      <c r="F77" s="918"/>
      <c r="G77" s="888">
        <v>40702</v>
      </c>
      <c r="H77" s="918">
        <v>24</v>
      </c>
      <c r="I77" s="892">
        <f t="shared" si="32"/>
        <v>424728</v>
      </c>
      <c r="J77" s="892">
        <f t="shared" si="29"/>
        <v>42472.800000000003</v>
      </c>
      <c r="K77" s="887"/>
      <c r="L77" s="887"/>
      <c r="M77" s="887"/>
      <c r="N77" s="887"/>
      <c r="O77" s="887"/>
      <c r="P77" s="887"/>
      <c r="Q77" s="923"/>
      <c r="R77" s="923"/>
      <c r="S77" s="892">
        <f t="shared" si="30"/>
        <v>42472.800000000003</v>
      </c>
      <c r="T77" s="892">
        <f t="shared" si="17"/>
        <v>467200.8</v>
      </c>
      <c r="U77" s="892">
        <f t="shared" si="18"/>
        <v>46720.08</v>
      </c>
      <c r="V77" s="892">
        <f t="shared" si="19"/>
        <v>34740.8704</v>
      </c>
      <c r="W77" s="892">
        <f t="shared" si="20"/>
        <v>9344.0159999999996</v>
      </c>
      <c r="X77" s="892">
        <f t="shared" si="21"/>
        <v>376395.83359999995</v>
      </c>
      <c r="Y77" s="892">
        <f t="shared" si="22"/>
        <v>5606409.5999999996</v>
      </c>
      <c r="Z77" s="892">
        <f t="shared" si="23"/>
        <v>424728</v>
      </c>
      <c r="AA77" s="892">
        <f t="shared" si="24"/>
        <v>6031137.5999999996</v>
      </c>
      <c r="AB77" s="892">
        <f t="shared" si="25"/>
        <v>313347.32928000001</v>
      </c>
      <c r="AC77" s="892">
        <f t="shared" si="31"/>
        <v>271401.19199999998</v>
      </c>
      <c r="AD77" s="892">
        <f t="shared" si="26"/>
        <v>168192.28799999997</v>
      </c>
      <c r="AE77" s="892">
        <f t="shared" si="27"/>
        <v>301556.88</v>
      </c>
      <c r="AF77" s="892">
        <f t="shared" si="28"/>
        <v>7085635.2892799992</v>
      </c>
      <c r="AG77" s="892" t="s">
        <v>3</v>
      </c>
    </row>
    <row r="78" spans="1:33" ht="31.5">
      <c r="A78" s="918">
        <v>62</v>
      </c>
      <c r="B78" s="915" t="s">
        <v>469</v>
      </c>
      <c r="C78" s="938" t="s">
        <v>470</v>
      </c>
      <c r="D78" s="918">
        <v>1</v>
      </c>
      <c r="E78" s="918">
        <v>1</v>
      </c>
      <c r="F78" s="918"/>
      <c r="G78" s="888">
        <v>44998</v>
      </c>
      <c r="H78" s="898">
        <v>18</v>
      </c>
      <c r="I78" s="892">
        <f t="shared" si="32"/>
        <v>318546</v>
      </c>
      <c r="J78" s="892">
        <f t="shared" si="29"/>
        <v>31854.600000000002</v>
      </c>
      <c r="K78" s="887"/>
      <c r="L78" s="887"/>
      <c r="M78" s="887"/>
      <c r="N78" s="887"/>
      <c r="O78" s="887"/>
      <c r="P78" s="887"/>
      <c r="Q78" s="923"/>
      <c r="R78" s="923"/>
      <c r="S78" s="892">
        <f t="shared" si="30"/>
        <v>31854.600000000002</v>
      </c>
      <c r="T78" s="892">
        <f t="shared" si="17"/>
        <v>350400.6</v>
      </c>
      <c r="U78" s="892">
        <f t="shared" si="18"/>
        <v>35040.06</v>
      </c>
      <c r="V78" s="892">
        <f t="shared" si="19"/>
        <v>24462.452799999999</v>
      </c>
      <c r="W78" s="892">
        <f t="shared" si="20"/>
        <v>7008.0119999999997</v>
      </c>
      <c r="X78" s="892">
        <f t="shared" si="21"/>
        <v>283890.07519999996</v>
      </c>
      <c r="Y78" s="892">
        <f t="shared" si="22"/>
        <v>4204807.1999999993</v>
      </c>
      <c r="Z78" s="892">
        <f t="shared" si="23"/>
        <v>318546</v>
      </c>
      <c r="AA78" s="892">
        <f t="shared" si="24"/>
        <v>4523353.1999999993</v>
      </c>
      <c r="AB78" s="892">
        <f t="shared" si="25"/>
        <v>235010.49695999996</v>
      </c>
      <c r="AC78" s="892">
        <f t="shared" si="31"/>
        <v>203550.89399999997</v>
      </c>
      <c r="AD78" s="892">
        <f t="shared" si="26"/>
        <v>126144.21599999997</v>
      </c>
      <c r="AE78" s="892">
        <f t="shared" si="27"/>
        <v>226167.65999999997</v>
      </c>
      <c r="AF78" s="892">
        <f t="shared" si="28"/>
        <v>5314226.4669599999</v>
      </c>
      <c r="AG78" s="892" t="s">
        <v>3</v>
      </c>
    </row>
    <row r="79" spans="1:33" ht="31.5">
      <c r="A79" s="918">
        <v>63</v>
      </c>
      <c r="B79" s="909" t="s">
        <v>471</v>
      </c>
      <c r="C79" s="909" t="s">
        <v>472</v>
      </c>
      <c r="D79" s="1556">
        <v>2</v>
      </c>
      <c r="E79" s="918">
        <v>1</v>
      </c>
      <c r="F79" s="918"/>
      <c r="G79" s="888">
        <v>43077</v>
      </c>
      <c r="H79" s="895">
        <v>20</v>
      </c>
      <c r="I79" s="892">
        <f t="shared" si="32"/>
        <v>353940</v>
      </c>
      <c r="J79" s="892">
        <f t="shared" si="29"/>
        <v>35394</v>
      </c>
      <c r="K79" s="887"/>
      <c r="L79" s="887"/>
      <c r="M79" s="887"/>
      <c r="N79" s="887"/>
      <c r="O79" s="887"/>
      <c r="P79" s="887"/>
      <c r="Q79" s="923"/>
      <c r="R79" s="923"/>
      <c r="S79" s="892">
        <f t="shared" si="30"/>
        <v>35394</v>
      </c>
      <c r="T79" s="892">
        <f t="shared" si="17"/>
        <v>389334</v>
      </c>
      <c r="U79" s="892">
        <f t="shared" si="18"/>
        <v>38933.4</v>
      </c>
      <c r="V79" s="892">
        <f t="shared" si="19"/>
        <v>27888.592000000001</v>
      </c>
      <c r="W79" s="892">
        <f t="shared" si="20"/>
        <v>7786.68</v>
      </c>
      <c r="X79" s="892">
        <f t="shared" si="21"/>
        <v>314725.32799999998</v>
      </c>
      <c r="Y79" s="892">
        <f t="shared" si="22"/>
        <v>4672008</v>
      </c>
      <c r="Z79" s="892">
        <f t="shared" si="23"/>
        <v>353940</v>
      </c>
      <c r="AA79" s="892">
        <f t="shared" si="24"/>
        <v>5025948</v>
      </c>
      <c r="AB79" s="892">
        <f t="shared" si="25"/>
        <v>261122.77439999999</v>
      </c>
      <c r="AC79" s="892">
        <f t="shared" si="31"/>
        <v>226167.66000000003</v>
      </c>
      <c r="AD79" s="892">
        <f t="shared" si="26"/>
        <v>140160.24</v>
      </c>
      <c r="AE79" s="892">
        <f t="shared" si="27"/>
        <v>251297.40000000002</v>
      </c>
      <c r="AF79" s="892">
        <f t="shared" si="28"/>
        <v>5904696.0744000003</v>
      </c>
      <c r="AG79" s="892" t="s">
        <v>3</v>
      </c>
    </row>
    <row r="80" spans="1:33" ht="31.5">
      <c r="A80" s="918">
        <v>64</v>
      </c>
      <c r="B80" s="909" t="s">
        <v>471</v>
      </c>
      <c r="C80" s="909" t="s">
        <v>2334</v>
      </c>
      <c r="D80" s="1556"/>
      <c r="E80" s="918">
        <v>1</v>
      </c>
      <c r="F80" s="918"/>
      <c r="G80" s="888">
        <v>44460</v>
      </c>
      <c r="H80" s="895">
        <v>17</v>
      </c>
      <c r="I80" s="892">
        <f t="shared" si="32"/>
        <v>300849</v>
      </c>
      <c r="J80" s="892">
        <f t="shared" si="29"/>
        <v>30084.9</v>
      </c>
      <c r="K80" s="887"/>
      <c r="L80" s="887"/>
      <c r="M80" s="887"/>
      <c r="N80" s="887"/>
      <c r="O80" s="887"/>
      <c r="P80" s="887"/>
      <c r="Q80" s="923"/>
      <c r="R80" s="923"/>
      <c r="S80" s="892">
        <f t="shared" si="30"/>
        <v>30084.9</v>
      </c>
      <c r="T80" s="892">
        <f t="shared" si="17"/>
        <v>330933.90000000002</v>
      </c>
      <c r="U80" s="892">
        <f t="shared" si="18"/>
        <v>33093.390000000007</v>
      </c>
      <c r="V80" s="892">
        <f t="shared" si="19"/>
        <v>22749.3832</v>
      </c>
      <c r="W80" s="892">
        <f t="shared" si="20"/>
        <v>6618.6780000000008</v>
      </c>
      <c r="X80" s="892">
        <f t="shared" si="21"/>
        <v>268472.44880000001</v>
      </c>
      <c r="Y80" s="892">
        <f t="shared" si="22"/>
        <v>3971206.8000000003</v>
      </c>
      <c r="Z80" s="892">
        <f t="shared" si="23"/>
        <v>300849</v>
      </c>
      <c r="AA80" s="892">
        <f t="shared" si="24"/>
        <v>4272055.8000000007</v>
      </c>
      <c r="AB80" s="892">
        <f t="shared" si="25"/>
        <v>221954.35824000003</v>
      </c>
      <c r="AC80" s="892">
        <f t="shared" si="31"/>
        <v>192242.51100000006</v>
      </c>
      <c r="AD80" s="892">
        <f t="shared" si="26"/>
        <v>119136.204</v>
      </c>
      <c r="AE80" s="892">
        <f t="shared" si="27"/>
        <v>213602.79000000004</v>
      </c>
      <c r="AF80" s="892">
        <f t="shared" si="28"/>
        <v>5018991.6632400006</v>
      </c>
      <c r="AG80" s="892" t="s">
        <v>3</v>
      </c>
    </row>
    <row r="81" spans="1:33">
      <c r="A81" s="918">
        <v>65</v>
      </c>
      <c r="B81" s="909" t="s">
        <v>473</v>
      </c>
      <c r="C81" s="909" t="s">
        <v>2335</v>
      </c>
      <c r="D81" s="1556">
        <v>8</v>
      </c>
      <c r="E81" s="934">
        <v>0.5</v>
      </c>
      <c r="F81" s="918"/>
      <c r="G81" s="888">
        <v>45170</v>
      </c>
      <c r="H81" s="898">
        <v>15</v>
      </c>
      <c r="I81" s="892">
        <f t="shared" si="32"/>
        <v>132727.5</v>
      </c>
      <c r="J81" s="892">
        <f t="shared" si="29"/>
        <v>13272.75</v>
      </c>
      <c r="K81" s="887"/>
      <c r="L81" s="887"/>
      <c r="M81" s="887"/>
      <c r="N81" s="887"/>
      <c r="O81" s="887"/>
      <c r="P81" s="887"/>
      <c r="Q81" s="923"/>
      <c r="R81" s="923"/>
      <c r="S81" s="892">
        <f t="shared" si="30"/>
        <v>13272.75</v>
      </c>
      <c r="T81" s="892">
        <f t="shared" si="17"/>
        <v>146000.25</v>
      </c>
      <c r="U81" s="892">
        <f t="shared" si="18"/>
        <v>14600.025000000001</v>
      </c>
      <c r="V81" s="892">
        <f t="shared" si="19"/>
        <v>6475.2220000000007</v>
      </c>
      <c r="W81" s="892">
        <f t="shared" si="20"/>
        <v>2920.0050000000001</v>
      </c>
      <c r="X81" s="892">
        <f t="shared" si="21"/>
        <v>122004.99800000001</v>
      </c>
      <c r="Y81" s="892">
        <f t="shared" si="22"/>
        <v>1752003</v>
      </c>
      <c r="Z81" s="892">
        <f t="shared" si="23"/>
        <v>132727.5</v>
      </c>
      <c r="AA81" s="892">
        <f t="shared" si="24"/>
        <v>1884730.5</v>
      </c>
      <c r="AB81" s="892">
        <f t="shared" si="25"/>
        <v>97921.040399999998</v>
      </c>
      <c r="AC81" s="892">
        <f t="shared" si="31"/>
        <v>84812.872499999998</v>
      </c>
      <c r="AD81" s="892">
        <f t="shared" si="26"/>
        <v>52560.09</v>
      </c>
      <c r="AE81" s="892">
        <f t="shared" si="27"/>
        <v>94236.525000000009</v>
      </c>
      <c r="AF81" s="892">
        <f t="shared" si="28"/>
        <v>2214261.0279000001</v>
      </c>
      <c r="AG81" s="892" t="s">
        <v>3</v>
      </c>
    </row>
    <row r="82" spans="1:33">
      <c r="A82" s="918">
        <v>66</v>
      </c>
      <c r="B82" s="909" t="s">
        <v>473</v>
      </c>
      <c r="C82" s="933" t="s">
        <v>552</v>
      </c>
      <c r="D82" s="1556"/>
      <c r="E82" s="895">
        <v>1</v>
      </c>
      <c r="F82" s="918"/>
      <c r="G82" s="888">
        <v>45183</v>
      </c>
      <c r="H82" s="898">
        <v>15</v>
      </c>
      <c r="I82" s="892">
        <f t="shared" si="32"/>
        <v>265455</v>
      </c>
      <c r="J82" s="892">
        <f t="shared" si="29"/>
        <v>26545.5</v>
      </c>
      <c r="K82" s="887"/>
      <c r="L82" s="887"/>
      <c r="M82" s="887"/>
      <c r="N82" s="887"/>
      <c r="O82" s="887"/>
      <c r="P82" s="887"/>
      <c r="Q82" s="923"/>
      <c r="R82" s="923"/>
      <c r="S82" s="892">
        <f t="shared" si="30"/>
        <v>26545.5</v>
      </c>
      <c r="T82" s="892">
        <f t="shared" si="17"/>
        <v>292000.5</v>
      </c>
      <c r="U82" s="892">
        <f t="shared" si="18"/>
        <v>29200.050000000003</v>
      </c>
      <c r="V82" s="892">
        <f t="shared" si="19"/>
        <v>19323.244000000002</v>
      </c>
      <c r="W82" s="892">
        <f t="shared" si="20"/>
        <v>5840.01</v>
      </c>
      <c r="X82" s="892">
        <f t="shared" si="21"/>
        <v>237637.196</v>
      </c>
      <c r="Y82" s="892">
        <f t="shared" si="22"/>
        <v>3504006</v>
      </c>
      <c r="Z82" s="892">
        <f t="shared" si="23"/>
        <v>265455</v>
      </c>
      <c r="AA82" s="892">
        <f t="shared" si="24"/>
        <v>3769461</v>
      </c>
      <c r="AB82" s="892">
        <f t="shared" si="25"/>
        <v>195842.0808</v>
      </c>
      <c r="AC82" s="892">
        <f t="shared" si="31"/>
        <v>169625.745</v>
      </c>
      <c r="AD82" s="892">
        <f t="shared" si="26"/>
        <v>105120.18</v>
      </c>
      <c r="AE82" s="892">
        <f t="shared" si="27"/>
        <v>188473.05000000002</v>
      </c>
      <c r="AF82" s="892">
        <f t="shared" si="28"/>
        <v>4428522.0558000002</v>
      </c>
      <c r="AG82" s="892" t="s">
        <v>3</v>
      </c>
    </row>
    <row r="83" spans="1:33">
      <c r="A83" s="918">
        <v>67</v>
      </c>
      <c r="B83" s="909" t="s">
        <v>473</v>
      </c>
      <c r="C83" s="909" t="s">
        <v>2336</v>
      </c>
      <c r="D83" s="1556"/>
      <c r="E83" s="895">
        <v>1</v>
      </c>
      <c r="F83" s="918"/>
      <c r="G83" s="888">
        <v>44806</v>
      </c>
      <c r="H83" s="895">
        <v>12</v>
      </c>
      <c r="I83" s="892">
        <f t="shared" si="32"/>
        <v>212364</v>
      </c>
      <c r="J83" s="892">
        <f t="shared" si="29"/>
        <v>21236.400000000001</v>
      </c>
      <c r="K83" s="887"/>
      <c r="L83" s="887"/>
      <c r="M83" s="887"/>
      <c r="N83" s="887"/>
      <c r="O83" s="887"/>
      <c r="P83" s="887"/>
      <c r="Q83" s="923"/>
      <c r="R83" s="923"/>
      <c r="S83" s="892">
        <f t="shared" si="30"/>
        <v>21236.400000000001</v>
      </c>
      <c r="T83" s="892">
        <f t="shared" si="17"/>
        <v>233600.4</v>
      </c>
      <c r="U83" s="892">
        <f t="shared" si="18"/>
        <v>23360.04</v>
      </c>
      <c r="V83" s="892">
        <f t="shared" si="19"/>
        <v>14184.035199999998</v>
      </c>
      <c r="W83" s="892">
        <f t="shared" si="20"/>
        <v>4672.0079999999998</v>
      </c>
      <c r="X83" s="892">
        <f t="shared" si="21"/>
        <v>191384.3168</v>
      </c>
      <c r="Y83" s="892">
        <f t="shared" si="22"/>
        <v>2803204.8</v>
      </c>
      <c r="Z83" s="892">
        <f t="shared" si="23"/>
        <v>212364</v>
      </c>
      <c r="AA83" s="892">
        <f t="shared" si="24"/>
        <v>3015568.8</v>
      </c>
      <c r="AB83" s="892">
        <f t="shared" si="25"/>
        <v>156673.66464</v>
      </c>
      <c r="AC83" s="892">
        <f t="shared" si="31"/>
        <v>135700.59599999999</v>
      </c>
      <c r="AD83" s="892">
        <f t="shared" si="26"/>
        <v>84096.143999999986</v>
      </c>
      <c r="AE83" s="892">
        <f t="shared" si="27"/>
        <v>150778.44</v>
      </c>
      <c r="AF83" s="892">
        <f t="shared" si="28"/>
        <v>3542817.6446399996</v>
      </c>
      <c r="AG83" s="892" t="s">
        <v>3</v>
      </c>
    </row>
    <row r="84" spans="1:33">
      <c r="A84" s="918">
        <v>68</v>
      </c>
      <c r="B84" s="909" t="s">
        <v>473</v>
      </c>
      <c r="C84" s="909" t="s">
        <v>2337</v>
      </c>
      <c r="D84" s="1556"/>
      <c r="E84" s="895">
        <v>1</v>
      </c>
      <c r="F84" s="918"/>
      <c r="G84" s="888">
        <v>44890</v>
      </c>
      <c r="H84" s="895">
        <v>12</v>
      </c>
      <c r="I84" s="892">
        <f t="shared" si="32"/>
        <v>212364</v>
      </c>
      <c r="J84" s="892">
        <f t="shared" si="29"/>
        <v>21236.400000000001</v>
      </c>
      <c r="K84" s="887"/>
      <c r="L84" s="887"/>
      <c r="M84" s="887"/>
      <c r="N84" s="887"/>
      <c r="O84" s="887"/>
      <c r="P84" s="887"/>
      <c r="Q84" s="923"/>
      <c r="R84" s="923"/>
      <c r="S84" s="892">
        <f t="shared" si="30"/>
        <v>21236.400000000001</v>
      </c>
      <c r="T84" s="892">
        <f t="shared" si="17"/>
        <v>233600.4</v>
      </c>
      <c r="U84" s="892">
        <f t="shared" si="18"/>
        <v>23360.04</v>
      </c>
      <c r="V84" s="892">
        <f t="shared" si="19"/>
        <v>14184.035199999998</v>
      </c>
      <c r="W84" s="892">
        <f t="shared" si="20"/>
        <v>4672.0079999999998</v>
      </c>
      <c r="X84" s="892">
        <f t="shared" si="21"/>
        <v>191384.3168</v>
      </c>
      <c r="Y84" s="892">
        <f t="shared" si="22"/>
        <v>2803204.8</v>
      </c>
      <c r="Z84" s="892">
        <f t="shared" si="23"/>
        <v>212364</v>
      </c>
      <c r="AA84" s="892">
        <f t="shared" si="24"/>
        <v>3015568.8</v>
      </c>
      <c r="AB84" s="892">
        <f t="shared" si="25"/>
        <v>156673.66464</v>
      </c>
      <c r="AC84" s="892">
        <f t="shared" si="31"/>
        <v>135700.59599999999</v>
      </c>
      <c r="AD84" s="892">
        <f t="shared" si="26"/>
        <v>84096.143999999986</v>
      </c>
      <c r="AE84" s="892">
        <f t="shared" si="27"/>
        <v>150778.44</v>
      </c>
      <c r="AF84" s="892">
        <f t="shared" si="28"/>
        <v>3542817.6446399996</v>
      </c>
      <c r="AG84" s="892" t="s">
        <v>3</v>
      </c>
    </row>
    <row r="85" spans="1:33">
      <c r="A85" s="918">
        <v>69</v>
      </c>
      <c r="B85" s="909" t="s">
        <v>473</v>
      </c>
      <c r="C85" s="909" t="s">
        <v>2338</v>
      </c>
      <c r="D85" s="1556"/>
      <c r="E85" s="934">
        <v>0.5</v>
      </c>
      <c r="F85" s="918"/>
      <c r="G85" s="888">
        <v>44510</v>
      </c>
      <c r="H85" s="895">
        <v>12</v>
      </c>
      <c r="I85" s="892">
        <f t="shared" si="32"/>
        <v>106182</v>
      </c>
      <c r="J85" s="892">
        <f t="shared" si="29"/>
        <v>10618.2</v>
      </c>
      <c r="K85" s="887"/>
      <c r="L85" s="887"/>
      <c r="M85" s="887"/>
      <c r="N85" s="887"/>
      <c r="O85" s="887"/>
      <c r="P85" s="887"/>
      <c r="Q85" s="923"/>
      <c r="R85" s="923"/>
      <c r="S85" s="892">
        <f t="shared" si="30"/>
        <v>10618.2</v>
      </c>
      <c r="T85" s="892">
        <f t="shared" si="17"/>
        <v>116800.2</v>
      </c>
      <c r="U85" s="892">
        <f t="shared" si="18"/>
        <v>11680.02</v>
      </c>
      <c r="V85" s="892">
        <f t="shared" si="19"/>
        <v>3905.6175999999996</v>
      </c>
      <c r="W85" s="892">
        <f t="shared" si="20"/>
        <v>2336.0039999999999</v>
      </c>
      <c r="X85" s="892">
        <f t="shared" si="21"/>
        <v>98878.558399999994</v>
      </c>
      <c r="Y85" s="892">
        <f t="shared" si="22"/>
        <v>1401602.4</v>
      </c>
      <c r="Z85" s="892">
        <f t="shared" si="23"/>
        <v>106182</v>
      </c>
      <c r="AA85" s="892">
        <f t="shared" si="24"/>
        <v>1507784.4</v>
      </c>
      <c r="AB85" s="892">
        <f t="shared" si="25"/>
        <v>78336.832320000001</v>
      </c>
      <c r="AC85" s="892">
        <f t="shared" si="31"/>
        <v>67850.297999999995</v>
      </c>
      <c r="AD85" s="892">
        <f t="shared" si="26"/>
        <v>42048.071999999993</v>
      </c>
      <c r="AE85" s="892">
        <f t="shared" si="27"/>
        <v>75389.22</v>
      </c>
      <c r="AF85" s="892">
        <f t="shared" si="28"/>
        <v>1771408.8223199998</v>
      </c>
      <c r="AG85" s="892" t="s">
        <v>3</v>
      </c>
    </row>
    <row r="86" spans="1:33">
      <c r="A86" s="918">
        <v>70</v>
      </c>
      <c r="B86" s="909" t="s">
        <v>473</v>
      </c>
      <c r="C86" s="909" t="s">
        <v>470</v>
      </c>
      <c r="D86" s="1556"/>
      <c r="E86" s="939">
        <v>0.25</v>
      </c>
      <c r="F86" s="918"/>
      <c r="G86" s="888">
        <v>45184</v>
      </c>
      <c r="H86" s="895">
        <v>18</v>
      </c>
      <c r="I86" s="892">
        <f t="shared" si="32"/>
        <v>79636.5</v>
      </c>
      <c r="J86" s="892">
        <f t="shared" si="29"/>
        <v>7963.6500000000005</v>
      </c>
      <c r="K86" s="887"/>
      <c r="L86" s="887"/>
      <c r="M86" s="887"/>
      <c r="N86" s="887"/>
      <c r="O86" s="887"/>
      <c r="P86" s="887"/>
      <c r="Q86" s="923"/>
      <c r="R86" s="923"/>
      <c r="S86" s="892">
        <f t="shared" si="30"/>
        <v>7963.6500000000005</v>
      </c>
      <c r="T86" s="892">
        <f t="shared" si="17"/>
        <v>87600.15</v>
      </c>
      <c r="U86" s="892">
        <f t="shared" si="18"/>
        <v>8760.0149999999994</v>
      </c>
      <c r="V86" s="892">
        <f t="shared" si="19"/>
        <v>1336.0131999999999</v>
      </c>
      <c r="W86" s="892">
        <f t="shared" si="20"/>
        <v>1752.0029999999999</v>
      </c>
      <c r="X86" s="892">
        <f t="shared" si="21"/>
        <v>75752.118799999997</v>
      </c>
      <c r="Y86" s="892">
        <f t="shared" si="22"/>
        <v>1051201.7999999998</v>
      </c>
      <c r="Z86" s="892">
        <f t="shared" si="23"/>
        <v>79636.5</v>
      </c>
      <c r="AA86" s="892">
        <f t="shared" si="24"/>
        <v>1130838.2999999998</v>
      </c>
      <c r="AB86" s="892">
        <f t="shared" si="25"/>
        <v>58752.62423999999</v>
      </c>
      <c r="AC86" s="892">
        <f t="shared" si="31"/>
        <v>50887.723499999993</v>
      </c>
      <c r="AD86" s="892">
        <f t="shared" si="26"/>
        <v>31536.053999999993</v>
      </c>
      <c r="AE86" s="892">
        <f t="shared" si="27"/>
        <v>56541.914999999994</v>
      </c>
      <c r="AF86" s="892">
        <f t="shared" si="28"/>
        <v>1328556.61674</v>
      </c>
      <c r="AG86" s="892" t="s">
        <v>3</v>
      </c>
    </row>
    <row r="87" spans="1:33">
      <c r="A87" s="918">
        <v>71</v>
      </c>
      <c r="B87" s="915" t="s">
        <v>473</v>
      </c>
      <c r="C87" s="940" t="s">
        <v>550</v>
      </c>
      <c r="D87" s="1556"/>
      <c r="E87" s="918">
        <v>0.5</v>
      </c>
      <c r="F87" s="918"/>
      <c r="G87" s="888">
        <v>45218</v>
      </c>
      <c r="H87" s="918">
        <v>20</v>
      </c>
      <c r="I87" s="892">
        <f t="shared" si="32"/>
        <v>176970</v>
      </c>
      <c r="J87" s="892">
        <f t="shared" si="29"/>
        <v>17697</v>
      </c>
      <c r="K87" s="887"/>
      <c r="L87" s="887"/>
      <c r="M87" s="887"/>
      <c r="N87" s="887"/>
      <c r="O87" s="887"/>
      <c r="P87" s="887"/>
      <c r="Q87" s="923"/>
      <c r="R87" s="923"/>
      <c r="S87" s="892">
        <f t="shared" si="30"/>
        <v>17697</v>
      </c>
      <c r="T87" s="892">
        <f t="shared" si="17"/>
        <v>194667</v>
      </c>
      <c r="U87" s="892">
        <f t="shared" si="18"/>
        <v>19466.7</v>
      </c>
      <c r="V87" s="892">
        <f t="shared" si="19"/>
        <v>10757.896000000001</v>
      </c>
      <c r="W87" s="892">
        <f t="shared" si="20"/>
        <v>3893.34</v>
      </c>
      <c r="X87" s="892">
        <f t="shared" si="21"/>
        <v>160549.06399999998</v>
      </c>
      <c r="Y87" s="892">
        <f t="shared" si="22"/>
        <v>2336004</v>
      </c>
      <c r="Z87" s="892">
        <f t="shared" si="23"/>
        <v>176970</v>
      </c>
      <c r="AA87" s="892">
        <f t="shared" si="24"/>
        <v>2512974</v>
      </c>
      <c r="AB87" s="892">
        <f t="shared" si="25"/>
        <v>130561.3872</v>
      </c>
      <c r="AC87" s="892">
        <f t="shared" si="31"/>
        <v>113083.83000000002</v>
      </c>
      <c r="AD87" s="892">
        <f t="shared" si="26"/>
        <v>70080.12</v>
      </c>
      <c r="AE87" s="892">
        <f t="shared" si="27"/>
        <v>125648.70000000001</v>
      </c>
      <c r="AF87" s="892">
        <f t="shared" si="28"/>
        <v>2952348.0372000001</v>
      </c>
      <c r="AG87" s="892" t="s">
        <v>3</v>
      </c>
    </row>
    <row r="88" spans="1:33">
      <c r="A88" s="918">
        <v>72</v>
      </c>
      <c r="B88" s="909" t="s">
        <v>473</v>
      </c>
      <c r="C88" s="909" t="s">
        <v>2339</v>
      </c>
      <c r="D88" s="1556"/>
      <c r="E88" s="934">
        <v>0.5</v>
      </c>
      <c r="F88" s="918"/>
      <c r="G88" s="888">
        <v>44805</v>
      </c>
      <c r="H88" s="895">
        <v>18</v>
      </c>
      <c r="I88" s="892">
        <f t="shared" si="32"/>
        <v>159273</v>
      </c>
      <c r="J88" s="892">
        <f t="shared" si="29"/>
        <v>15927.300000000001</v>
      </c>
      <c r="K88" s="887"/>
      <c r="L88" s="887"/>
      <c r="M88" s="887"/>
      <c r="N88" s="887"/>
      <c r="O88" s="887"/>
      <c r="P88" s="887"/>
      <c r="Q88" s="923"/>
      <c r="R88" s="923"/>
      <c r="S88" s="892">
        <f t="shared" si="30"/>
        <v>15927.300000000001</v>
      </c>
      <c r="T88" s="892">
        <f t="shared" si="17"/>
        <v>175200.3</v>
      </c>
      <c r="U88" s="892">
        <f t="shared" si="18"/>
        <v>17520.03</v>
      </c>
      <c r="V88" s="892">
        <f t="shared" si="19"/>
        <v>9044.8263999999999</v>
      </c>
      <c r="W88" s="892">
        <f t="shared" si="20"/>
        <v>3504.0059999999999</v>
      </c>
      <c r="X88" s="892">
        <f t="shared" si="21"/>
        <v>145131.4376</v>
      </c>
      <c r="Y88" s="892">
        <f t="shared" si="22"/>
        <v>2102403.5999999996</v>
      </c>
      <c r="Z88" s="892">
        <f t="shared" si="23"/>
        <v>159273</v>
      </c>
      <c r="AA88" s="892">
        <f t="shared" si="24"/>
        <v>2261676.5999999996</v>
      </c>
      <c r="AB88" s="892">
        <f t="shared" si="25"/>
        <v>117505.24847999998</v>
      </c>
      <c r="AC88" s="892">
        <f t="shared" si="31"/>
        <v>101775.44699999999</v>
      </c>
      <c r="AD88" s="892">
        <f t="shared" si="26"/>
        <v>63072.107999999986</v>
      </c>
      <c r="AE88" s="892">
        <f t="shared" si="27"/>
        <v>113083.82999999999</v>
      </c>
      <c r="AF88" s="892">
        <f t="shared" si="28"/>
        <v>2657113.2334799999</v>
      </c>
      <c r="AG88" s="892" t="s">
        <v>3</v>
      </c>
    </row>
    <row r="89" spans="1:33">
      <c r="A89" s="918">
        <v>73</v>
      </c>
      <c r="B89" s="909" t="s">
        <v>473</v>
      </c>
      <c r="C89" s="936" t="s">
        <v>2340</v>
      </c>
      <c r="D89" s="1556"/>
      <c r="E89" s="895">
        <v>1</v>
      </c>
      <c r="F89" s="918"/>
      <c r="G89" s="888">
        <v>44075</v>
      </c>
      <c r="H89" s="895">
        <v>12</v>
      </c>
      <c r="I89" s="892">
        <f t="shared" si="32"/>
        <v>212364</v>
      </c>
      <c r="J89" s="892">
        <f t="shared" si="29"/>
        <v>21236.400000000001</v>
      </c>
      <c r="K89" s="887"/>
      <c r="L89" s="887"/>
      <c r="M89" s="887"/>
      <c r="N89" s="887"/>
      <c r="O89" s="887"/>
      <c r="P89" s="887"/>
      <c r="Q89" s="923"/>
      <c r="R89" s="923"/>
      <c r="S89" s="892">
        <f t="shared" si="30"/>
        <v>21236.400000000001</v>
      </c>
      <c r="T89" s="892">
        <f t="shared" si="17"/>
        <v>233600.4</v>
      </c>
      <c r="U89" s="892">
        <f t="shared" si="18"/>
        <v>23360.04</v>
      </c>
      <c r="V89" s="892">
        <f t="shared" si="19"/>
        <v>14184.035199999998</v>
      </c>
      <c r="W89" s="892">
        <f t="shared" si="20"/>
        <v>4672.0079999999998</v>
      </c>
      <c r="X89" s="892">
        <f t="shared" si="21"/>
        <v>191384.3168</v>
      </c>
      <c r="Y89" s="892">
        <f t="shared" si="22"/>
        <v>2803204.8</v>
      </c>
      <c r="Z89" s="892">
        <f t="shared" si="23"/>
        <v>212364</v>
      </c>
      <c r="AA89" s="892">
        <f t="shared" si="24"/>
        <v>3015568.8</v>
      </c>
      <c r="AB89" s="892">
        <f t="shared" si="25"/>
        <v>156673.66464</v>
      </c>
      <c r="AC89" s="892">
        <f t="shared" si="31"/>
        <v>135700.59599999999</v>
      </c>
      <c r="AD89" s="892">
        <f t="shared" si="26"/>
        <v>84096.143999999986</v>
      </c>
      <c r="AE89" s="892">
        <f t="shared" si="27"/>
        <v>150778.44</v>
      </c>
      <c r="AF89" s="892">
        <f t="shared" si="28"/>
        <v>3542817.6446399996</v>
      </c>
      <c r="AG89" s="892" t="s">
        <v>3</v>
      </c>
    </row>
    <row r="90" spans="1:33" ht="18" customHeight="1">
      <c r="A90" s="918">
        <v>74</v>
      </c>
      <c r="B90" s="915" t="s">
        <v>473</v>
      </c>
      <c r="C90" s="915" t="s">
        <v>468</v>
      </c>
      <c r="D90" s="1556"/>
      <c r="E90" s="941">
        <v>0.25</v>
      </c>
      <c r="F90" s="918"/>
      <c r="G90" s="888">
        <v>45171</v>
      </c>
      <c r="H90" s="898">
        <v>24</v>
      </c>
      <c r="I90" s="892">
        <f t="shared" si="32"/>
        <v>106182</v>
      </c>
      <c r="J90" s="892">
        <f t="shared" si="29"/>
        <v>10618.2</v>
      </c>
      <c r="K90" s="887"/>
      <c r="L90" s="887"/>
      <c r="M90" s="887"/>
      <c r="N90" s="887"/>
      <c r="O90" s="887"/>
      <c r="P90" s="887"/>
      <c r="Q90" s="923"/>
      <c r="R90" s="923"/>
      <c r="S90" s="892">
        <f t="shared" si="30"/>
        <v>10618.2</v>
      </c>
      <c r="T90" s="892">
        <f t="shared" si="17"/>
        <v>116800.2</v>
      </c>
      <c r="U90" s="892">
        <f t="shared" si="18"/>
        <v>11680.02</v>
      </c>
      <c r="V90" s="892">
        <f t="shared" si="19"/>
        <v>3905.6175999999996</v>
      </c>
      <c r="W90" s="892">
        <f t="shared" si="20"/>
        <v>2336.0039999999999</v>
      </c>
      <c r="X90" s="892">
        <f t="shared" si="21"/>
        <v>98878.558399999994</v>
      </c>
      <c r="Y90" s="892">
        <f t="shared" si="22"/>
        <v>1401602.4</v>
      </c>
      <c r="Z90" s="892">
        <f t="shared" si="23"/>
        <v>106182</v>
      </c>
      <c r="AA90" s="892">
        <f t="shared" si="24"/>
        <v>1507784.4</v>
      </c>
      <c r="AB90" s="892">
        <f t="shared" si="25"/>
        <v>78336.832320000001</v>
      </c>
      <c r="AC90" s="892">
        <f t="shared" si="31"/>
        <v>67850.297999999995</v>
      </c>
      <c r="AD90" s="892">
        <f t="shared" si="26"/>
        <v>42048.071999999993</v>
      </c>
      <c r="AE90" s="892">
        <f t="shared" si="27"/>
        <v>75389.22</v>
      </c>
      <c r="AF90" s="892">
        <f t="shared" si="28"/>
        <v>1771408.8223199998</v>
      </c>
      <c r="AG90" s="892" t="s">
        <v>3</v>
      </c>
    </row>
    <row r="91" spans="1:33">
      <c r="A91" s="918">
        <v>75</v>
      </c>
      <c r="B91" s="915" t="s">
        <v>473</v>
      </c>
      <c r="C91" s="928" t="s">
        <v>553</v>
      </c>
      <c r="D91" s="1556"/>
      <c r="E91" s="942">
        <v>0.5</v>
      </c>
      <c r="F91" s="918"/>
      <c r="G91" s="888">
        <v>45183</v>
      </c>
      <c r="H91" s="898">
        <v>15</v>
      </c>
      <c r="I91" s="892">
        <f t="shared" si="32"/>
        <v>132727.5</v>
      </c>
      <c r="J91" s="892">
        <f t="shared" si="29"/>
        <v>13272.75</v>
      </c>
      <c r="K91" s="887"/>
      <c r="L91" s="887"/>
      <c r="M91" s="887"/>
      <c r="N91" s="887"/>
      <c r="O91" s="887"/>
      <c r="P91" s="887"/>
      <c r="Q91" s="923"/>
      <c r="R91" s="923"/>
      <c r="S91" s="892">
        <f t="shared" si="30"/>
        <v>13272.75</v>
      </c>
      <c r="T91" s="892">
        <f t="shared" si="17"/>
        <v>146000.25</v>
      </c>
      <c r="U91" s="892">
        <f t="shared" si="18"/>
        <v>14600.025000000001</v>
      </c>
      <c r="V91" s="892">
        <f t="shared" si="19"/>
        <v>6475.2220000000007</v>
      </c>
      <c r="W91" s="892">
        <f t="shared" si="20"/>
        <v>2920.0050000000001</v>
      </c>
      <c r="X91" s="892">
        <f t="shared" si="21"/>
        <v>122004.99800000001</v>
      </c>
      <c r="Y91" s="892">
        <f t="shared" si="22"/>
        <v>1752003</v>
      </c>
      <c r="Z91" s="892">
        <f t="shared" si="23"/>
        <v>132727.5</v>
      </c>
      <c r="AA91" s="892">
        <f t="shared" si="24"/>
        <v>1884730.5</v>
      </c>
      <c r="AB91" s="892">
        <f t="shared" si="25"/>
        <v>97921.040399999998</v>
      </c>
      <c r="AC91" s="892">
        <f t="shared" si="31"/>
        <v>84812.872499999998</v>
      </c>
      <c r="AD91" s="892">
        <f t="shared" si="26"/>
        <v>52560.09</v>
      </c>
      <c r="AE91" s="892">
        <f t="shared" si="27"/>
        <v>94236.525000000009</v>
      </c>
      <c r="AF91" s="892">
        <f t="shared" si="28"/>
        <v>2214261.0279000001</v>
      </c>
      <c r="AG91" s="892" t="s">
        <v>3</v>
      </c>
    </row>
    <row r="92" spans="1:33" ht="31.5">
      <c r="A92" s="918">
        <v>76</v>
      </c>
      <c r="B92" s="915" t="s">
        <v>473</v>
      </c>
      <c r="C92" s="931" t="s">
        <v>2341</v>
      </c>
      <c r="D92" s="1556"/>
      <c r="E92" s="918">
        <v>1</v>
      </c>
      <c r="F92" s="918"/>
      <c r="G92" s="888">
        <v>45244</v>
      </c>
      <c r="H92" s="918">
        <v>20</v>
      </c>
      <c r="I92" s="892">
        <f t="shared" si="32"/>
        <v>353940</v>
      </c>
      <c r="J92" s="892">
        <f t="shared" si="29"/>
        <v>35394</v>
      </c>
      <c r="K92" s="887"/>
      <c r="L92" s="887"/>
      <c r="M92" s="887"/>
      <c r="N92" s="887"/>
      <c r="O92" s="887"/>
      <c r="P92" s="887"/>
      <c r="Q92" s="923"/>
      <c r="R92" s="923"/>
      <c r="S92" s="892">
        <f t="shared" si="30"/>
        <v>35394</v>
      </c>
      <c r="T92" s="892">
        <f t="shared" si="17"/>
        <v>389334</v>
      </c>
      <c r="U92" s="892">
        <f t="shared" si="18"/>
        <v>38933.4</v>
      </c>
      <c r="V92" s="892">
        <f t="shared" si="19"/>
        <v>27888.592000000001</v>
      </c>
      <c r="W92" s="892">
        <f t="shared" si="20"/>
        <v>7786.68</v>
      </c>
      <c r="X92" s="892">
        <f t="shared" si="21"/>
        <v>314725.32799999998</v>
      </c>
      <c r="Y92" s="892">
        <f t="shared" si="22"/>
        <v>4672008</v>
      </c>
      <c r="Z92" s="892">
        <f t="shared" si="23"/>
        <v>353940</v>
      </c>
      <c r="AA92" s="892">
        <f t="shared" si="24"/>
        <v>5025948</v>
      </c>
      <c r="AB92" s="892">
        <f t="shared" si="25"/>
        <v>261122.77439999999</v>
      </c>
      <c r="AC92" s="892">
        <f t="shared" si="31"/>
        <v>226167.66000000003</v>
      </c>
      <c r="AD92" s="892">
        <f t="shared" si="26"/>
        <v>140160.24</v>
      </c>
      <c r="AE92" s="892">
        <f t="shared" si="27"/>
        <v>251297.40000000002</v>
      </c>
      <c r="AF92" s="892">
        <f t="shared" si="28"/>
        <v>5904696.0744000003</v>
      </c>
      <c r="AG92" s="892" t="s">
        <v>3</v>
      </c>
    </row>
    <row r="93" spans="1:33" ht="31.5">
      <c r="A93" s="918">
        <v>77</v>
      </c>
      <c r="B93" s="943" t="s">
        <v>446</v>
      </c>
      <c r="C93" s="325" t="s">
        <v>896</v>
      </c>
      <c r="D93" s="1557">
        <v>4</v>
      </c>
      <c r="E93" s="944">
        <v>1</v>
      </c>
      <c r="F93" s="944"/>
      <c r="G93" s="945">
        <v>45902</v>
      </c>
      <c r="H93" s="946">
        <v>9</v>
      </c>
      <c r="I93" s="947">
        <f>E93*17697*H93</f>
        <v>159273</v>
      </c>
      <c r="J93" s="947">
        <f t="shared" si="29"/>
        <v>15927.300000000001</v>
      </c>
      <c r="K93" s="948"/>
      <c r="L93" s="948"/>
      <c r="M93" s="948"/>
      <c r="N93" s="948"/>
      <c r="O93" s="948"/>
      <c r="P93" s="948"/>
      <c r="Q93" s="949"/>
      <c r="R93" s="949"/>
      <c r="S93" s="947">
        <f t="shared" ref="S93:S112" si="35">SUM(J93:R93)</f>
        <v>15927.300000000001</v>
      </c>
      <c r="T93" s="947">
        <f t="shared" si="17"/>
        <v>175200.3</v>
      </c>
      <c r="U93" s="947">
        <f t="shared" si="18"/>
        <v>17520.03</v>
      </c>
      <c r="V93" s="947">
        <f t="shared" si="19"/>
        <v>9044.8263999999999</v>
      </c>
      <c r="W93" s="947">
        <f t="shared" si="20"/>
        <v>3504.0059999999999</v>
      </c>
      <c r="X93" s="947">
        <f t="shared" si="21"/>
        <v>145131.4376</v>
      </c>
      <c r="Y93" s="947">
        <f t="shared" si="22"/>
        <v>2102403.5999999996</v>
      </c>
      <c r="Z93" s="947">
        <f t="shared" ref="Z93:Z122" si="36">I93*2</f>
        <v>318546</v>
      </c>
      <c r="AA93" s="947">
        <f t="shared" si="24"/>
        <v>2420949.5999999996</v>
      </c>
      <c r="AB93" s="947">
        <f>(AA93*0.9-(W93*12))*11%-AC93</f>
        <v>126105.99047999995</v>
      </c>
      <c r="AC93" s="947">
        <f>AA93*0.9*5%</f>
        <v>108942.73199999999</v>
      </c>
      <c r="AD93" s="947">
        <f t="shared" si="26"/>
        <v>63072.107999999986</v>
      </c>
      <c r="AE93" s="947">
        <f t="shared" si="27"/>
        <v>121047.47999999998</v>
      </c>
      <c r="AF93" s="947">
        <f t="shared" si="28"/>
        <v>2840117.9104799996</v>
      </c>
      <c r="AG93" s="947" t="s">
        <v>3</v>
      </c>
    </row>
    <row r="94" spans="1:33" ht="31.5">
      <c r="A94" s="918">
        <v>78</v>
      </c>
      <c r="B94" s="943" t="s">
        <v>446</v>
      </c>
      <c r="C94" s="950" t="s">
        <v>828</v>
      </c>
      <c r="D94" s="1555"/>
      <c r="E94" s="944">
        <v>1</v>
      </c>
      <c r="F94" s="944"/>
      <c r="G94" s="951">
        <v>45300</v>
      </c>
      <c r="H94" s="946">
        <v>17</v>
      </c>
      <c r="I94" s="947">
        <f t="shared" ref="I94:I96" si="37">17697*H94</f>
        <v>300849</v>
      </c>
      <c r="J94" s="947">
        <f t="shared" si="29"/>
        <v>30084.9</v>
      </c>
      <c r="K94" s="948"/>
      <c r="L94" s="948"/>
      <c r="M94" s="948"/>
      <c r="N94" s="948"/>
      <c r="O94" s="948"/>
      <c r="P94" s="948"/>
      <c r="Q94" s="949"/>
      <c r="R94" s="949"/>
      <c r="S94" s="947">
        <f t="shared" si="35"/>
        <v>30084.9</v>
      </c>
      <c r="T94" s="947">
        <f t="shared" si="17"/>
        <v>330933.90000000002</v>
      </c>
      <c r="U94" s="947">
        <f t="shared" si="18"/>
        <v>33093.390000000007</v>
      </c>
      <c r="V94" s="947">
        <f t="shared" si="19"/>
        <v>22749.3832</v>
      </c>
      <c r="W94" s="947">
        <f t="shared" si="20"/>
        <v>6618.6780000000008</v>
      </c>
      <c r="X94" s="947">
        <f t="shared" si="21"/>
        <v>268472.44880000001</v>
      </c>
      <c r="Y94" s="947">
        <f t="shared" si="22"/>
        <v>3971206.8000000003</v>
      </c>
      <c r="Z94" s="947">
        <f t="shared" si="36"/>
        <v>601698</v>
      </c>
      <c r="AA94" s="947">
        <f t="shared" si="24"/>
        <v>4572904.8000000007</v>
      </c>
      <c r="AB94" s="947">
        <f t="shared" ref="AB94:AB122" si="38">(AA94*0.9-(W94*12))*11%-AC94</f>
        <v>238200.20424000002</v>
      </c>
      <c r="AC94" s="947">
        <f t="shared" ref="AC94:AC122" si="39">AA94*0.9*5%</f>
        <v>205780.71600000004</v>
      </c>
      <c r="AD94" s="947">
        <f t="shared" si="26"/>
        <v>119136.204</v>
      </c>
      <c r="AE94" s="947">
        <f t="shared" si="27"/>
        <v>228645.24000000005</v>
      </c>
      <c r="AF94" s="947">
        <f t="shared" si="28"/>
        <v>5364667.1642400008</v>
      </c>
      <c r="AG94" s="947" t="s">
        <v>3</v>
      </c>
    </row>
    <row r="95" spans="1:33" ht="31.5">
      <c r="A95" s="918">
        <v>79</v>
      </c>
      <c r="B95" s="943" t="s">
        <v>446</v>
      </c>
      <c r="C95" s="326" t="s">
        <v>897</v>
      </c>
      <c r="D95" s="1555"/>
      <c r="E95" s="944">
        <v>1</v>
      </c>
      <c r="F95" s="944"/>
      <c r="G95" s="945">
        <v>45902</v>
      </c>
      <c r="H95" s="946">
        <v>32</v>
      </c>
      <c r="I95" s="947">
        <f t="shared" si="37"/>
        <v>566304</v>
      </c>
      <c r="J95" s="947">
        <f t="shared" si="29"/>
        <v>56630.400000000001</v>
      </c>
      <c r="K95" s="948"/>
      <c r="L95" s="948"/>
      <c r="M95" s="948"/>
      <c r="N95" s="948"/>
      <c r="O95" s="948"/>
      <c r="P95" s="948"/>
      <c r="Q95" s="949"/>
      <c r="R95" s="949"/>
      <c r="S95" s="947">
        <f t="shared" si="35"/>
        <v>56630.400000000001</v>
      </c>
      <c r="T95" s="947">
        <f t="shared" si="17"/>
        <v>622934.4</v>
      </c>
      <c r="U95" s="947">
        <f t="shared" si="18"/>
        <v>62293.440000000002</v>
      </c>
      <c r="V95" s="947">
        <f t="shared" si="19"/>
        <v>48445.427200000006</v>
      </c>
      <c r="W95" s="947">
        <f t="shared" si="20"/>
        <v>12458.688</v>
      </c>
      <c r="X95" s="947">
        <f t="shared" si="21"/>
        <v>499736.8447999999</v>
      </c>
      <c r="Y95" s="947">
        <f t="shared" si="22"/>
        <v>7475212.8000000007</v>
      </c>
      <c r="Z95" s="947">
        <f t="shared" si="36"/>
        <v>1132608</v>
      </c>
      <c r="AA95" s="947">
        <f t="shared" si="24"/>
        <v>8607820.8000000007</v>
      </c>
      <c r="AB95" s="947">
        <f t="shared" si="38"/>
        <v>448376.85503999999</v>
      </c>
      <c r="AC95" s="947">
        <f t="shared" si="39"/>
        <v>387351.93600000005</v>
      </c>
      <c r="AD95" s="947">
        <f t="shared" si="26"/>
        <v>224256.38400000002</v>
      </c>
      <c r="AE95" s="947">
        <f t="shared" si="27"/>
        <v>430391.04000000004</v>
      </c>
      <c r="AF95" s="947">
        <f t="shared" si="28"/>
        <v>10098197.015040003</v>
      </c>
      <c r="AG95" s="947" t="s">
        <v>3</v>
      </c>
    </row>
    <row r="96" spans="1:33" ht="31.5">
      <c r="A96" s="918">
        <v>80</v>
      </c>
      <c r="B96" s="952" t="s">
        <v>446</v>
      </c>
      <c r="C96" s="327" t="s">
        <v>898</v>
      </c>
      <c r="D96" s="1558"/>
      <c r="E96" s="944">
        <v>1</v>
      </c>
      <c r="F96" s="944"/>
      <c r="G96" s="945">
        <v>45902</v>
      </c>
      <c r="H96" s="946">
        <v>27</v>
      </c>
      <c r="I96" s="953">
        <f t="shared" si="37"/>
        <v>477819</v>
      </c>
      <c r="J96" s="953">
        <f t="shared" si="29"/>
        <v>47781.9</v>
      </c>
      <c r="K96" s="954"/>
      <c r="L96" s="954"/>
      <c r="M96" s="954"/>
      <c r="N96" s="954"/>
      <c r="O96" s="954"/>
      <c r="P96" s="954"/>
      <c r="Q96" s="955"/>
      <c r="R96" s="955"/>
      <c r="S96" s="953">
        <f t="shared" si="35"/>
        <v>47781.9</v>
      </c>
      <c r="T96" s="953">
        <f t="shared" si="17"/>
        <v>525600.9</v>
      </c>
      <c r="U96" s="953">
        <f t="shared" si="18"/>
        <v>52560.090000000004</v>
      </c>
      <c r="V96" s="953">
        <f t="shared" si="19"/>
        <v>39880.079200000007</v>
      </c>
      <c r="W96" s="953">
        <f t="shared" si="20"/>
        <v>10512.018</v>
      </c>
      <c r="X96" s="953">
        <f t="shared" si="21"/>
        <v>422648.71280000004</v>
      </c>
      <c r="Y96" s="953">
        <f t="shared" si="22"/>
        <v>6307210.8000000007</v>
      </c>
      <c r="Z96" s="953">
        <f t="shared" si="36"/>
        <v>955638</v>
      </c>
      <c r="AA96" s="953">
        <f t="shared" si="24"/>
        <v>7262848.8000000007</v>
      </c>
      <c r="AB96" s="953">
        <f t="shared" si="38"/>
        <v>378317.97144000005</v>
      </c>
      <c r="AC96" s="953">
        <f t="shared" si="39"/>
        <v>326828.19600000005</v>
      </c>
      <c r="AD96" s="953">
        <f t="shared" si="26"/>
        <v>189216.32400000002</v>
      </c>
      <c r="AE96" s="947">
        <f t="shared" si="27"/>
        <v>363142.44000000006</v>
      </c>
      <c r="AF96" s="953">
        <f t="shared" si="28"/>
        <v>8520353.7314400021</v>
      </c>
      <c r="AG96" s="947" t="s">
        <v>3</v>
      </c>
    </row>
    <row r="97" spans="1:33">
      <c r="A97" s="918">
        <v>81</v>
      </c>
      <c r="B97" s="943" t="s">
        <v>449</v>
      </c>
      <c r="C97" s="956" t="s">
        <v>906</v>
      </c>
      <c r="D97" s="1557">
        <v>9</v>
      </c>
      <c r="E97" s="944">
        <v>1</v>
      </c>
      <c r="F97" s="944"/>
      <c r="G97" s="945">
        <v>45519</v>
      </c>
      <c r="H97" s="944">
        <f>2+5</f>
        <v>7</v>
      </c>
      <c r="I97" s="947">
        <f t="shared" ref="I97:I119" si="40">E97*17697*H97</f>
        <v>123879</v>
      </c>
      <c r="J97" s="947">
        <f t="shared" si="29"/>
        <v>12387.900000000001</v>
      </c>
      <c r="K97" s="948"/>
      <c r="L97" s="948"/>
      <c r="M97" s="948"/>
      <c r="N97" s="948"/>
      <c r="O97" s="948"/>
      <c r="P97" s="948"/>
      <c r="Q97" s="949"/>
      <c r="R97" s="949"/>
      <c r="S97" s="947">
        <f t="shared" si="35"/>
        <v>12387.900000000001</v>
      </c>
      <c r="T97" s="947">
        <f t="shared" si="17"/>
        <v>136266.9</v>
      </c>
      <c r="U97" s="947">
        <f t="shared" si="18"/>
        <v>13626.69</v>
      </c>
      <c r="V97" s="947">
        <f>(T97-U97-W97)*10%</f>
        <v>11991.4872</v>
      </c>
      <c r="W97" s="947">
        <f t="shared" si="20"/>
        <v>2725.3379999999997</v>
      </c>
      <c r="X97" s="947">
        <f t="shared" si="21"/>
        <v>107923.38479999999</v>
      </c>
      <c r="Y97" s="947">
        <f t="shared" si="22"/>
        <v>1635202.7999999998</v>
      </c>
      <c r="Z97" s="947">
        <f t="shared" si="36"/>
        <v>247758</v>
      </c>
      <c r="AA97" s="947">
        <f t="shared" si="24"/>
        <v>1882960.7999999998</v>
      </c>
      <c r="AB97" s="947">
        <f t="shared" si="38"/>
        <v>98082.43703999999</v>
      </c>
      <c r="AC97" s="947">
        <f t="shared" si="39"/>
        <v>84733.236000000004</v>
      </c>
      <c r="AD97" s="947">
        <f t="shared" si="26"/>
        <v>49056.083999999995</v>
      </c>
      <c r="AE97" s="947">
        <f t="shared" si="27"/>
        <v>94148.04</v>
      </c>
      <c r="AF97" s="947">
        <f t="shared" si="28"/>
        <v>2208980.5970399999</v>
      </c>
      <c r="AG97" s="947" t="s">
        <v>3</v>
      </c>
    </row>
    <row r="98" spans="1:33">
      <c r="A98" s="918">
        <v>82</v>
      </c>
      <c r="B98" s="943" t="s">
        <v>449</v>
      </c>
      <c r="C98" s="943" t="s">
        <v>450</v>
      </c>
      <c r="D98" s="1555"/>
      <c r="E98" s="944">
        <v>1</v>
      </c>
      <c r="F98" s="944"/>
      <c r="G98" s="945">
        <v>45170</v>
      </c>
      <c r="H98" s="944">
        <f>3+5</f>
        <v>8</v>
      </c>
      <c r="I98" s="947">
        <f t="shared" si="40"/>
        <v>141576</v>
      </c>
      <c r="J98" s="947">
        <f t="shared" si="29"/>
        <v>14157.6</v>
      </c>
      <c r="K98" s="948"/>
      <c r="L98" s="948"/>
      <c r="M98" s="948"/>
      <c r="N98" s="948"/>
      <c r="O98" s="948"/>
      <c r="P98" s="948"/>
      <c r="Q98" s="949"/>
      <c r="R98" s="949"/>
      <c r="S98" s="947">
        <f t="shared" si="35"/>
        <v>14157.6</v>
      </c>
      <c r="T98" s="947">
        <f t="shared" si="17"/>
        <v>155733.6</v>
      </c>
      <c r="U98" s="947">
        <f t="shared" si="18"/>
        <v>15573.36</v>
      </c>
      <c r="V98" s="947">
        <f t="shared" ref="V98:V102" si="41">(T98-U98-W98)*10%</f>
        <v>13704.5568</v>
      </c>
      <c r="W98" s="947">
        <f t="shared" si="20"/>
        <v>3114.672</v>
      </c>
      <c r="X98" s="947">
        <f t="shared" si="21"/>
        <v>123341.01119999998</v>
      </c>
      <c r="Y98" s="947">
        <f t="shared" si="22"/>
        <v>1868803.2000000002</v>
      </c>
      <c r="Z98" s="947">
        <f t="shared" si="36"/>
        <v>283152</v>
      </c>
      <c r="AA98" s="947">
        <f t="shared" si="24"/>
        <v>2151955.2000000002</v>
      </c>
      <c r="AB98" s="947">
        <f t="shared" si="38"/>
        <v>112094.21376</v>
      </c>
      <c r="AC98" s="947">
        <f t="shared" si="39"/>
        <v>96837.984000000011</v>
      </c>
      <c r="AD98" s="947">
        <f t="shared" si="26"/>
        <v>56064.096000000005</v>
      </c>
      <c r="AE98" s="947">
        <f t="shared" si="27"/>
        <v>107597.76000000001</v>
      </c>
      <c r="AF98" s="947">
        <f t="shared" si="28"/>
        <v>2524549.2537600007</v>
      </c>
      <c r="AG98" s="947" t="s">
        <v>3</v>
      </c>
    </row>
    <row r="99" spans="1:33">
      <c r="A99" s="918">
        <v>83</v>
      </c>
      <c r="B99" s="957" t="s">
        <v>449</v>
      </c>
      <c r="C99" s="958" t="s">
        <v>829</v>
      </c>
      <c r="D99" s="1555"/>
      <c r="E99" s="944">
        <v>1</v>
      </c>
      <c r="F99" s="944"/>
      <c r="G99" s="945">
        <v>45237</v>
      </c>
      <c r="H99" s="944">
        <f>3+5</f>
        <v>8</v>
      </c>
      <c r="I99" s="947">
        <f t="shared" si="40"/>
        <v>141576</v>
      </c>
      <c r="J99" s="947">
        <f t="shared" si="29"/>
        <v>14157.6</v>
      </c>
      <c r="K99" s="947"/>
      <c r="L99" s="948"/>
      <c r="M99" s="948"/>
      <c r="N99" s="948"/>
      <c r="O99" s="948"/>
      <c r="P99" s="948"/>
      <c r="Q99" s="949"/>
      <c r="R99" s="949"/>
      <c r="S99" s="947">
        <f t="shared" si="35"/>
        <v>14157.6</v>
      </c>
      <c r="T99" s="947">
        <f t="shared" si="17"/>
        <v>155733.6</v>
      </c>
      <c r="U99" s="947">
        <f t="shared" si="18"/>
        <v>15573.36</v>
      </c>
      <c r="V99" s="947">
        <f t="shared" si="41"/>
        <v>13704.5568</v>
      </c>
      <c r="W99" s="947">
        <f t="shared" si="20"/>
        <v>3114.672</v>
      </c>
      <c r="X99" s="947">
        <f t="shared" si="21"/>
        <v>123341.01119999998</v>
      </c>
      <c r="Y99" s="947">
        <f t="shared" si="22"/>
        <v>1868803.2000000002</v>
      </c>
      <c r="Z99" s="947">
        <f t="shared" si="36"/>
        <v>283152</v>
      </c>
      <c r="AA99" s="947">
        <f t="shared" si="24"/>
        <v>2151955.2000000002</v>
      </c>
      <c r="AB99" s="947">
        <f t="shared" si="38"/>
        <v>112094.21376</v>
      </c>
      <c r="AC99" s="947">
        <f t="shared" si="39"/>
        <v>96837.984000000011</v>
      </c>
      <c r="AD99" s="947">
        <f t="shared" si="26"/>
        <v>56064.096000000005</v>
      </c>
      <c r="AE99" s="947">
        <f t="shared" si="27"/>
        <v>107597.76000000001</v>
      </c>
      <c r="AF99" s="947">
        <f t="shared" si="28"/>
        <v>2524549.2537600007</v>
      </c>
      <c r="AG99" s="947" t="s">
        <v>3</v>
      </c>
    </row>
    <row r="100" spans="1:33">
      <c r="A100" s="918">
        <v>84</v>
      </c>
      <c r="B100" s="957" t="s">
        <v>449</v>
      </c>
      <c r="C100" s="957" t="s">
        <v>451</v>
      </c>
      <c r="D100" s="1555"/>
      <c r="E100" s="944">
        <v>1</v>
      </c>
      <c r="F100" s="944"/>
      <c r="G100" s="945">
        <v>42264</v>
      </c>
      <c r="H100" s="944">
        <f>6+5</f>
        <v>11</v>
      </c>
      <c r="I100" s="947">
        <f t="shared" si="40"/>
        <v>194667</v>
      </c>
      <c r="J100" s="947">
        <f t="shared" si="29"/>
        <v>19466.7</v>
      </c>
      <c r="K100" s="947"/>
      <c r="L100" s="948"/>
      <c r="M100" s="948"/>
      <c r="N100" s="948"/>
      <c r="O100" s="948"/>
      <c r="P100" s="948"/>
      <c r="Q100" s="949"/>
      <c r="R100" s="949"/>
      <c r="S100" s="947">
        <f t="shared" si="35"/>
        <v>19466.7</v>
      </c>
      <c r="T100" s="947">
        <f t="shared" si="17"/>
        <v>214133.7</v>
      </c>
      <c r="U100" s="947">
        <f t="shared" si="18"/>
        <v>21413.370000000003</v>
      </c>
      <c r="V100" s="947">
        <f>((T100-U100-W100)-(14*4552))*10%</f>
        <v>12470.965600000003</v>
      </c>
      <c r="W100" s="947">
        <f t="shared" si="20"/>
        <v>4282.674</v>
      </c>
      <c r="X100" s="947">
        <f t="shared" si="21"/>
        <v>175966.69040000002</v>
      </c>
      <c r="Y100" s="947">
        <f t="shared" si="22"/>
        <v>2569604.4000000004</v>
      </c>
      <c r="Z100" s="947">
        <f t="shared" si="36"/>
        <v>389334</v>
      </c>
      <c r="AA100" s="947">
        <f t="shared" si="24"/>
        <v>2958938.4000000004</v>
      </c>
      <c r="AB100" s="947">
        <f t="shared" si="38"/>
        <v>154129.54392000005</v>
      </c>
      <c r="AC100" s="947">
        <f t="shared" si="39"/>
        <v>133152.22800000003</v>
      </c>
      <c r="AD100" s="947">
        <f t="shared" si="26"/>
        <v>77088.132000000012</v>
      </c>
      <c r="AE100" s="947">
        <f t="shared" si="27"/>
        <v>147946.92000000001</v>
      </c>
      <c r="AF100" s="947">
        <f t="shared" si="28"/>
        <v>3471255.2239200007</v>
      </c>
      <c r="AG100" s="947" t="s">
        <v>3</v>
      </c>
    </row>
    <row r="101" spans="1:33" ht="31.5">
      <c r="A101" s="918">
        <v>85</v>
      </c>
      <c r="B101" s="957" t="s">
        <v>449</v>
      </c>
      <c r="C101" s="957" t="s">
        <v>907</v>
      </c>
      <c r="D101" s="1555"/>
      <c r="E101" s="944">
        <v>1</v>
      </c>
      <c r="F101" s="944"/>
      <c r="G101" s="945">
        <v>45540</v>
      </c>
      <c r="H101" s="944">
        <f>2+5</f>
        <v>7</v>
      </c>
      <c r="I101" s="947">
        <f t="shared" si="40"/>
        <v>123879</v>
      </c>
      <c r="J101" s="947">
        <f t="shared" si="29"/>
        <v>12387.900000000001</v>
      </c>
      <c r="K101" s="948"/>
      <c r="L101" s="948"/>
      <c r="M101" s="948"/>
      <c r="N101" s="948"/>
      <c r="O101" s="948"/>
      <c r="P101" s="948"/>
      <c r="Q101" s="949"/>
      <c r="R101" s="949"/>
      <c r="S101" s="947">
        <f t="shared" si="35"/>
        <v>12387.900000000001</v>
      </c>
      <c r="T101" s="947">
        <f t="shared" si="17"/>
        <v>136266.9</v>
      </c>
      <c r="U101" s="947">
        <f t="shared" si="18"/>
        <v>13626.69</v>
      </c>
      <c r="V101" s="947">
        <f t="shared" si="41"/>
        <v>11991.4872</v>
      </c>
      <c r="W101" s="947">
        <f t="shared" si="20"/>
        <v>2725.3379999999997</v>
      </c>
      <c r="X101" s="947">
        <f t="shared" si="21"/>
        <v>107923.38479999999</v>
      </c>
      <c r="Y101" s="947">
        <f t="shared" si="22"/>
        <v>1635202.7999999998</v>
      </c>
      <c r="Z101" s="947">
        <f t="shared" si="36"/>
        <v>247758</v>
      </c>
      <c r="AA101" s="947">
        <f t="shared" si="24"/>
        <v>1882960.7999999998</v>
      </c>
      <c r="AB101" s="947">
        <f t="shared" si="38"/>
        <v>98082.43703999999</v>
      </c>
      <c r="AC101" s="947">
        <f t="shared" si="39"/>
        <v>84733.236000000004</v>
      </c>
      <c r="AD101" s="947">
        <f t="shared" si="26"/>
        <v>49056.083999999995</v>
      </c>
      <c r="AE101" s="947">
        <f t="shared" si="27"/>
        <v>94148.04</v>
      </c>
      <c r="AF101" s="947">
        <f t="shared" si="28"/>
        <v>2208980.5970399999</v>
      </c>
      <c r="AG101" s="947" t="s">
        <v>3</v>
      </c>
    </row>
    <row r="102" spans="1:33">
      <c r="A102" s="918">
        <v>86</v>
      </c>
      <c r="B102" s="957" t="s">
        <v>449</v>
      </c>
      <c r="C102" s="957" t="s">
        <v>908</v>
      </c>
      <c r="D102" s="1555"/>
      <c r="E102" s="944">
        <v>1</v>
      </c>
      <c r="F102" s="944"/>
      <c r="G102" s="945">
        <v>45537</v>
      </c>
      <c r="H102" s="944">
        <f>2+10</f>
        <v>12</v>
      </c>
      <c r="I102" s="947">
        <f t="shared" si="40"/>
        <v>212364</v>
      </c>
      <c r="J102" s="947">
        <f t="shared" si="29"/>
        <v>21236.400000000001</v>
      </c>
      <c r="K102" s="948"/>
      <c r="L102" s="948"/>
      <c r="M102" s="948"/>
      <c r="N102" s="948"/>
      <c r="O102" s="948"/>
      <c r="P102" s="948"/>
      <c r="Q102" s="949"/>
      <c r="R102" s="949"/>
      <c r="S102" s="947">
        <f t="shared" si="35"/>
        <v>21236.400000000001</v>
      </c>
      <c r="T102" s="947">
        <f t="shared" si="17"/>
        <v>233600.4</v>
      </c>
      <c r="U102" s="947">
        <f t="shared" si="18"/>
        <v>23360.04</v>
      </c>
      <c r="V102" s="947">
        <f t="shared" si="41"/>
        <v>20556.835200000001</v>
      </c>
      <c r="W102" s="947">
        <f t="shared" si="20"/>
        <v>4672.0079999999998</v>
      </c>
      <c r="X102" s="947">
        <f t="shared" si="21"/>
        <v>185011.51679999998</v>
      </c>
      <c r="Y102" s="947">
        <f t="shared" si="22"/>
        <v>2803204.8</v>
      </c>
      <c r="Z102" s="947">
        <f t="shared" si="36"/>
        <v>424728</v>
      </c>
      <c r="AA102" s="947">
        <f t="shared" si="24"/>
        <v>3227932.8</v>
      </c>
      <c r="AB102" s="947">
        <f t="shared" si="38"/>
        <v>168141.32064000002</v>
      </c>
      <c r="AC102" s="947">
        <f t="shared" si="39"/>
        <v>145256.976</v>
      </c>
      <c r="AD102" s="947">
        <f t="shared" si="26"/>
        <v>84096.143999999986</v>
      </c>
      <c r="AE102" s="947">
        <f t="shared" si="27"/>
        <v>161396.64000000001</v>
      </c>
      <c r="AF102" s="947">
        <f t="shared" si="28"/>
        <v>3786823.8806399996</v>
      </c>
      <c r="AG102" s="947" t="s">
        <v>3</v>
      </c>
    </row>
    <row r="103" spans="1:33">
      <c r="A103" s="918">
        <v>87</v>
      </c>
      <c r="B103" s="957" t="s">
        <v>449</v>
      </c>
      <c r="C103" s="957" t="s">
        <v>452</v>
      </c>
      <c r="D103" s="1555"/>
      <c r="E103" s="944">
        <v>1</v>
      </c>
      <c r="F103" s="944"/>
      <c r="G103" s="945">
        <v>40788</v>
      </c>
      <c r="H103" s="944">
        <f>5+5</f>
        <v>10</v>
      </c>
      <c r="I103" s="947">
        <f t="shared" si="40"/>
        <v>176970</v>
      </c>
      <c r="J103" s="947">
        <f t="shared" si="29"/>
        <v>17697</v>
      </c>
      <c r="K103" s="948"/>
      <c r="L103" s="948"/>
      <c r="M103" s="948"/>
      <c r="N103" s="948"/>
      <c r="O103" s="948"/>
      <c r="P103" s="948"/>
      <c r="Q103" s="949"/>
      <c r="R103" s="949"/>
      <c r="S103" s="947">
        <f t="shared" si="35"/>
        <v>17697</v>
      </c>
      <c r="T103" s="947">
        <f t="shared" ref="T103:T122" si="42">I103+S103</f>
        <v>194667</v>
      </c>
      <c r="U103" s="947">
        <f t="shared" ref="U103:U122" si="43">T103*10%</f>
        <v>19466.7</v>
      </c>
      <c r="V103" s="947">
        <f t="shared" ref="V103:V122" si="44">((T103-U103-W103)-(14*4552))*10%</f>
        <v>10757.896000000001</v>
      </c>
      <c r="W103" s="947">
        <f t="shared" ref="W103:W122" si="45">T103*2%</f>
        <v>3893.34</v>
      </c>
      <c r="X103" s="947">
        <f t="shared" ref="X103:X122" si="46">T103-U103-V103-W103</f>
        <v>160549.06399999998</v>
      </c>
      <c r="Y103" s="947">
        <f t="shared" ref="Y103:Y122" si="47">T103*12</f>
        <v>2336004</v>
      </c>
      <c r="Z103" s="947">
        <f t="shared" si="36"/>
        <v>353940</v>
      </c>
      <c r="AA103" s="947">
        <f t="shared" ref="AA103:AA122" si="48">Y103+Z103</f>
        <v>2689944</v>
      </c>
      <c r="AB103" s="947">
        <f t="shared" si="38"/>
        <v>140117.7672</v>
      </c>
      <c r="AC103" s="947">
        <f t="shared" si="39"/>
        <v>121047.48000000001</v>
      </c>
      <c r="AD103" s="947">
        <f t="shared" ref="AD103:AD122" si="49">Y103*3%</f>
        <v>70080.12</v>
      </c>
      <c r="AE103" s="947">
        <f t="shared" ref="AE103:AE122" si="50">AA103*5%</f>
        <v>134497.20000000001</v>
      </c>
      <c r="AF103" s="947">
        <f t="shared" ref="AF103:AF122" si="51">AA103+AB103+AC103+AD103+AE103</f>
        <v>3155686.5672000004</v>
      </c>
      <c r="AG103" s="947" t="s">
        <v>3</v>
      </c>
    </row>
    <row r="104" spans="1:33" ht="31.5">
      <c r="A104" s="918">
        <v>88</v>
      </c>
      <c r="B104" s="943" t="s">
        <v>453</v>
      </c>
      <c r="C104" s="943" t="s">
        <v>217</v>
      </c>
      <c r="D104" s="1555">
        <v>8</v>
      </c>
      <c r="E104" s="944">
        <v>0.25</v>
      </c>
      <c r="F104" s="944"/>
      <c r="G104" s="945">
        <v>45901</v>
      </c>
      <c r="H104" s="946">
        <v>40</v>
      </c>
      <c r="I104" s="947">
        <f t="shared" si="40"/>
        <v>176970</v>
      </c>
      <c r="J104" s="947">
        <f t="shared" ref="J104:J122" si="52">I104*10%</f>
        <v>17697</v>
      </c>
      <c r="K104" s="948"/>
      <c r="L104" s="948"/>
      <c r="M104" s="948"/>
      <c r="N104" s="948"/>
      <c r="O104" s="948"/>
      <c r="P104" s="948"/>
      <c r="Q104" s="949"/>
      <c r="R104" s="949"/>
      <c r="S104" s="947">
        <f t="shared" si="35"/>
        <v>17697</v>
      </c>
      <c r="T104" s="947">
        <f t="shared" si="42"/>
        <v>194667</v>
      </c>
      <c r="U104" s="947">
        <f t="shared" si="43"/>
        <v>19466.7</v>
      </c>
      <c r="V104" s="947">
        <f t="shared" si="44"/>
        <v>10757.896000000001</v>
      </c>
      <c r="W104" s="947">
        <f t="shared" si="45"/>
        <v>3893.34</v>
      </c>
      <c r="X104" s="947">
        <f t="shared" si="46"/>
        <v>160549.06399999998</v>
      </c>
      <c r="Y104" s="947">
        <f t="shared" si="47"/>
        <v>2336004</v>
      </c>
      <c r="Z104" s="947"/>
      <c r="AA104" s="947">
        <f t="shared" si="48"/>
        <v>2336004</v>
      </c>
      <c r="AB104" s="947">
        <f t="shared" si="38"/>
        <v>121005.00720000001</v>
      </c>
      <c r="AC104" s="947">
        <f t="shared" si="39"/>
        <v>105120.18000000001</v>
      </c>
      <c r="AD104" s="947">
        <f t="shared" si="49"/>
        <v>70080.12</v>
      </c>
      <c r="AE104" s="947">
        <f t="shared" si="50"/>
        <v>116800.20000000001</v>
      </c>
      <c r="AF104" s="947">
        <f t="shared" si="51"/>
        <v>2749009.5072000003</v>
      </c>
      <c r="AG104" s="947" t="s">
        <v>3</v>
      </c>
    </row>
    <row r="105" spans="1:33" ht="31.5">
      <c r="A105" s="918">
        <v>89</v>
      </c>
      <c r="B105" s="943" t="s">
        <v>453</v>
      </c>
      <c r="C105" s="943" t="s">
        <v>910</v>
      </c>
      <c r="D105" s="1555"/>
      <c r="E105" s="944">
        <v>0.25</v>
      </c>
      <c r="F105" s="944"/>
      <c r="G105" s="945">
        <v>45902</v>
      </c>
      <c r="H105" s="944">
        <v>40</v>
      </c>
      <c r="I105" s="947">
        <f t="shared" si="40"/>
        <v>176970</v>
      </c>
      <c r="J105" s="947">
        <f t="shared" si="52"/>
        <v>17697</v>
      </c>
      <c r="K105" s="948"/>
      <c r="L105" s="948"/>
      <c r="M105" s="948"/>
      <c r="N105" s="948"/>
      <c r="O105" s="948"/>
      <c r="P105" s="948"/>
      <c r="Q105" s="949"/>
      <c r="R105" s="949"/>
      <c r="S105" s="947">
        <f t="shared" si="35"/>
        <v>17697</v>
      </c>
      <c r="T105" s="947">
        <f t="shared" si="42"/>
        <v>194667</v>
      </c>
      <c r="U105" s="947">
        <f t="shared" si="43"/>
        <v>19466.7</v>
      </c>
      <c r="V105" s="947">
        <f t="shared" si="44"/>
        <v>10757.896000000001</v>
      </c>
      <c r="W105" s="947">
        <f t="shared" si="45"/>
        <v>3893.34</v>
      </c>
      <c r="X105" s="947">
        <f t="shared" si="46"/>
        <v>160549.06399999998</v>
      </c>
      <c r="Y105" s="947">
        <f t="shared" si="47"/>
        <v>2336004</v>
      </c>
      <c r="Z105" s="947"/>
      <c r="AA105" s="947">
        <f t="shared" si="48"/>
        <v>2336004</v>
      </c>
      <c r="AB105" s="947">
        <f t="shared" si="38"/>
        <v>121005.00720000001</v>
      </c>
      <c r="AC105" s="947">
        <f t="shared" si="39"/>
        <v>105120.18000000001</v>
      </c>
      <c r="AD105" s="947">
        <f t="shared" si="49"/>
        <v>70080.12</v>
      </c>
      <c r="AE105" s="947">
        <f t="shared" si="50"/>
        <v>116800.20000000001</v>
      </c>
      <c r="AF105" s="947">
        <f t="shared" si="51"/>
        <v>2749009.5072000003</v>
      </c>
      <c r="AG105" s="947" t="s">
        <v>3</v>
      </c>
    </row>
    <row r="106" spans="1:33" ht="31.5">
      <c r="A106" s="918">
        <v>90</v>
      </c>
      <c r="B106" s="943" t="s">
        <v>453</v>
      </c>
      <c r="C106" s="959" t="s">
        <v>911</v>
      </c>
      <c r="D106" s="1555"/>
      <c r="E106" s="944">
        <v>0.5</v>
      </c>
      <c r="F106" s="944"/>
      <c r="G106" s="945">
        <v>45901</v>
      </c>
      <c r="H106" s="944">
        <v>40</v>
      </c>
      <c r="I106" s="947">
        <f t="shared" si="40"/>
        <v>353940</v>
      </c>
      <c r="J106" s="947">
        <f t="shared" si="52"/>
        <v>35394</v>
      </c>
      <c r="K106" s="948"/>
      <c r="L106" s="948"/>
      <c r="M106" s="948"/>
      <c r="N106" s="948"/>
      <c r="O106" s="948"/>
      <c r="P106" s="948"/>
      <c r="Q106" s="949"/>
      <c r="R106" s="949"/>
      <c r="S106" s="947">
        <f t="shared" si="35"/>
        <v>35394</v>
      </c>
      <c r="T106" s="947">
        <f t="shared" si="42"/>
        <v>389334</v>
      </c>
      <c r="U106" s="947">
        <f t="shared" si="43"/>
        <v>38933.4</v>
      </c>
      <c r="V106" s="947">
        <f t="shared" si="44"/>
        <v>27888.592000000001</v>
      </c>
      <c r="W106" s="947">
        <f t="shared" si="45"/>
        <v>7786.68</v>
      </c>
      <c r="X106" s="947">
        <f t="shared" si="46"/>
        <v>314725.32799999998</v>
      </c>
      <c r="Y106" s="947">
        <f t="shared" si="47"/>
        <v>4672008</v>
      </c>
      <c r="Z106" s="947"/>
      <c r="AA106" s="947">
        <f t="shared" si="48"/>
        <v>4672008</v>
      </c>
      <c r="AB106" s="947">
        <f t="shared" si="38"/>
        <v>242010.01440000001</v>
      </c>
      <c r="AC106" s="947">
        <f t="shared" si="39"/>
        <v>210240.36000000002</v>
      </c>
      <c r="AD106" s="947">
        <f t="shared" si="49"/>
        <v>140160.24</v>
      </c>
      <c r="AE106" s="947">
        <f t="shared" si="50"/>
        <v>233600.40000000002</v>
      </c>
      <c r="AF106" s="947">
        <f t="shared" si="51"/>
        <v>5498019.0144000007</v>
      </c>
      <c r="AG106" s="947" t="s">
        <v>3</v>
      </c>
    </row>
    <row r="107" spans="1:33" ht="31.5">
      <c r="A107" s="918">
        <v>91</v>
      </c>
      <c r="B107" s="943" t="s">
        <v>453</v>
      </c>
      <c r="C107" s="959" t="s">
        <v>206</v>
      </c>
      <c r="D107" s="1555"/>
      <c r="E107" s="944">
        <v>0.25</v>
      </c>
      <c r="F107" s="944"/>
      <c r="G107" s="945">
        <v>45901</v>
      </c>
      <c r="H107" s="944">
        <v>40</v>
      </c>
      <c r="I107" s="947">
        <f t="shared" si="40"/>
        <v>176970</v>
      </c>
      <c r="J107" s="947">
        <f t="shared" si="52"/>
        <v>17697</v>
      </c>
      <c r="K107" s="948"/>
      <c r="L107" s="948"/>
      <c r="M107" s="948"/>
      <c r="N107" s="948"/>
      <c r="O107" s="948"/>
      <c r="P107" s="948"/>
      <c r="Q107" s="949"/>
      <c r="R107" s="949"/>
      <c r="S107" s="947">
        <f t="shared" si="35"/>
        <v>17697</v>
      </c>
      <c r="T107" s="947">
        <f t="shared" si="42"/>
        <v>194667</v>
      </c>
      <c r="U107" s="947">
        <f t="shared" si="43"/>
        <v>19466.7</v>
      </c>
      <c r="V107" s="947">
        <f t="shared" si="44"/>
        <v>10757.896000000001</v>
      </c>
      <c r="W107" s="947">
        <f t="shared" si="45"/>
        <v>3893.34</v>
      </c>
      <c r="X107" s="947">
        <f t="shared" si="46"/>
        <v>160549.06399999998</v>
      </c>
      <c r="Y107" s="947">
        <f t="shared" si="47"/>
        <v>2336004</v>
      </c>
      <c r="Z107" s="947"/>
      <c r="AA107" s="947">
        <f t="shared" si="48"/>
        <v>2336004</v>
      </c>
      <c r="AB107" s="947">
        <f t="shared" si="38"/>
        <v>121005.00720000001</v>
      </c>
      <c r="AC107" s="947">
        <f t="shared" si="39"/>
        <v>105120.18000000001</v>
      </c>
      <c r="AD107" s="947">
        <f t="shared" si="49"/>
        <v>70080.12</v>
      </c>
      <c r="AE107" s="947">
        <f t="shared" si="50"/>
        <v>116800.20000000001</v>
      </c>
      <c r="AF107" s="947">
        <f t="shared" si="51"/>
        <v>2749009.5072000003</v>
      </c>
      <c r="AG107" s="947" t="s">
        <v>3</v>
      </c>
    </row>
    <row r="108" spans="1:33" ht="31.5">
      <c r="A108" s="918">
        <v>92</v>
      </c>
      <c r="B108" s="943" t="s">
        <v>453</v>
      </c>
      <c r="C108" s="959" t="s">
        <v>912</v>
      </c>
      <c r="D108" s="1555"/>
      <c r="E108" s="960">
        <v>0.25</v>
      </c>
      <c r="F108" s="944"/>
      <c r="G108" s="945">
        <v>45902</v>
      </c>
      <c r="H108" s="944">
        <v>40</v>
      </c>
      <c r="I108" s="947">
        <f t="shared" si="40"/>
        <v>176970</v>
      </c>
      <c r="J108" s="947">
        <f t="shared" si="52"/>
        <v>17697</v>
      </c>
      <c r="K108" s="948"/>
      <c r="L108" s="948"/>
      <c r="M108" s="948"/>
      <c r="N108" s="948"/>
      <c r="O108" s="948"/>
      <c r="P108" s="948"/>
      <c r="Q108" s="949"/>
      <c r="R108" s="949"/>
      <c r="S108" s="947">
        <f t="shared" si="35"/>
        <v>17697</v>
      </c>
      <c r="T108" s="947">
        <f t="shared" si="42"/>
        <v>194667</v>
      </c>
      <c r="U108" s="947">
        <f t="shared" si="43"/>
        <v>19466.7</v>
      </c>
      <c r="V108" s="947">
        <f t="shared" si="44"/>
        <v>10757.896000000001</v>
      </c>
      <c r="W108" s="947">
        <f t="shared" si="45"/>
        <v>3893.34</v>
      </c>
      <c r="X108" s="947">
        <f t="shared" si="46"/>
        <v>160549.06399999998</v>
      </c>
      <c r="Y108" s="947">
        <f t="shared" si="47"/>
        <v>2336004</v>
      </c>
      <c r="Z108" s="947"/>
      <c r="AA108" s="947">
        <f t="shared" si="48"/>
        <v>2336004</v>
      </c>
      <c r="AB108" s="947">
        <f t="shared" si="38"/>
        <v>121005.00720000001</v>
      </c>
      <c r="AC108" s="947">
        <f t="shared" si="39"/>
        <v>105120.18000000001</v>
      </c>
      <c r="AD108" s="947">
        <f t="shared" si="49"/>
        <v>70080.12</v>
      </c>
      <c r="AE108" s="947">
        <f t="shared" si="50"/>
        <v>116800.20000000001</v>
      </c>
      <c r="AF108" s="947">
        <f t="shared" si="51"/>
        <v>2749009.5072000003</v>
      </c>
      <c r="AG108" s="947" t="s">
        <v>3</v>
      </c>
    </row>
    <row r="109" spans="1:33" ht="31.5">
      <c r="A109" s="918">
        <v>93</v>
      </c>
      <c r="B109" s="943" t="s">
        <v>453</v>
      </c>
      <c r="C109" s="959" t="s">
        <v>913</v>
      </c>
      <c r="D109" s="1555"/>
      <c r="E109" s="960">
        <v>0.25</v>
      </c>
      <c r="F109" s="944"/>
      <c r="G109" s="945">
        <v>45901</v>
      </c>
      <c r="H109" s="944">
        <v>40</v>
      </c>
      <c r="I109" s="947">
        <f t="shared" si="40"/>
        <v>176970</v>
      </c>
      <c r="J109" s="947">
        <f t="shared" si="52"/>
        <v>17697</v>
      </c>
      <c r="K109" s="947"/>
      <c r="L109" s="948"/>
      <c r="M109" s="948"/>
      <c r="N109" s="948"/>
      <c r="O109" s="948"/>
      <c r="P109" s="948"/>
      <c r="Q109" s="949"/>
      <c r="R109" s="949"/>
      <c r="S109" s="947">
        <f t="shared" si="35"/>
        <v>17697</v>
      </c>
      <c r="T109" s="947">
        <f t="shared" si="42"/>
        <v>194667</v>
      </c>
      <c r="U109" s="947">
        <f t="shared" si="43"/>
        <v>19466.7</v>
      </c>
      <c r="V109" s="947">
        <f t="shared" si="44"/>
        <v>10757.896000000001</v>
      </c>
      <c r="W109" s="947">
        <f t="shared" si="45"/>
        <v>3893.34</v>
      </c>
      <c r="X109" s="947">
        <f t="shared" si="46"/>
        <v>160549.06399999998</v>
      </c>
      <c r="Y109" s="947">
        <f t="shared" si="47"/>
        <v>2336004</v>
      </c>
      <c r="Z109" s="947"/>
      <c r="AA109" s="947">
        <f t="shared" si="48"/>
        <v>2336004</v>
      </c>
      <c r="AB109" s="947">
        <f t="shared" si="38"/>
        <v>121005.00720000001</v>
      </c>
      <c r="AC109" s="947">
        <f t="shared" si="39"/>
        <v>105120.18000000001</v>
      </c>
      <c r="AD109" s="947">
        <f t="shared" si="49"/>
        <v>70080.12</v>
      </c>
      <c r="AE109" s="947">
        <f t="shared" si="50"/>
        <v>116800.20000000001</v>
      </c>
      <c r="AF109" s="947">
        <f t="shared" si="51"/>
        <v>2749009.5072000003</v>
      </c>
      <c r="AG109" s="947" t="s">
        <v>3</v>
      </c>
    </row>
    <row r="110" spans="1:33" ht="31.5">
      <c r="A110" s="918">
        <v>94</v>
      </c>
      <c r="B110" s="943" t="s">
        <v>453</v>
      </c>
      <c r="C110" s="943" t="s">
        <v>914</v>
      </c>
      <c r="D110" s="1555"/>
      <c r="E110" s="944">
        <v>0.5</v>
      </c>
      <c r="F110" s="944"/>
      <c r="G110" s="945">
        <v>45901</v>
      </c>
      <c r="H110" s="944">
        <v>40</v>
      </c>
      <c r="I110" s="947">
        <f t="shared" si="40"/>
        <v>353940</v>
      </c>
      <c r="J110" s="947">
        <f t="shared" si="52"/>
        <v>35394</v>
      </c>
      <c r="K110" s="948"/>
      <c r="L110" s="948"/>
      <c r="M110" s="948"/>
      <c r="N110" s="948"/>
      <c r="O110" s="948"/>
      <c r="P110" s="948"/>
      <c r="Q110" s="949"/>
      <c r="R110" s="949"/>
      <c r="S110" s="947">
        <f t="shared" si="35"/>
        <v>35394</v>
      </c>
      <c r="T110" s="947">
        <f t="shared" si="42"/>
        <v>389334</v>
      </c>
      <c r="U110" s="947">
        <f t="shared" si="43"/>
        <v>38933.4</v>
      </c>
      <c r="V110" s="947">
        <f t="shared" si="44"/>
        <v>27888.592000000001</v>
      </c>
      <c r="W110" s="947">
        <f t="shared" si="45"/>
        <v>7786.68</v>
      </c>
      <c r="X110" s="947">
        <f t="shared" si="46"/>
        <v>314725.32799999998</v>
      </c>
      <c r="Y110" s="947">
        <f t="shared" si="47"/>
        <v>4672008</v>
      </c>
      <c r="Z110" s="947"/>
      <c r="AA110" s="947">
        <f t="shared" si="48"/>
        <v>4672008</v>
      </c>
      <c r="AB110" s="947">
        <f t="shared" si="38"/>
        <v>242010.01440000001</v>
      </c>
      <c r="AC110" s="947">
        <f t="shared" si="39"/>
        <v>210240.36000000002</v>
      </c>
      <c r="AD110" s="947">
        <f t="shared" si="49"/>
        <v>140160.24</v>
      </c>
      <c r="AE110" s="947">
        <f t="shared" si="50"/>
        <v>233600.40000000002</v>
      </c>
      <c r="AF110" s="947">
        <f t="shared" si="51"/>
        <v>5498019.0144000007</v>
      </c>
      <c r="AG110" s="947" t="s">
        <v>3</v>
      </c>
    </row>
    <row r="111" spans="1:33" ht="31.5">
      <c r="A111" s="918">
        <v>95</v>
      </c>
      <c r="B111" s="943" t="s">
        <v>453</v>
      </c>
      <c r="C111" s="943" t="s">
        <v>897</v>
      </c>
      <c r="D111" s="1555"/>
      <c r="E111" s="944">
        <v>0.25</v>
      </c>
      <c r="F111" s="944"/>
      <c r="G111" s="945">
        <v>45901</v>
      </c>
      <c r="H111" s="944">
        <v>40</v>
      </c>
      <c r="I111" s="947">
        <f t="shared" si="40"/>
        <v>176970</v>
      </c>
      <c r="J111" s="947">
        <f t="shared" si="52"/>
        <v>17697</v>
      </c>
      <c r="K111" s="948"/>
      <c r="L111" s="948"/>
      <c r="M111" s="948"/>
      <c r="N111" s="948"/>
      <c r="O111" s="948"/>
      <c r="P111" s="948"/>
      <c r="Q111" s="949"/>
      <c r="R111" s="949"/>
      <c r="S111" s="947">
        <f t="shared" si="35"/>
        <v>17697</v>
      </c>
      <c r="T111" s="947">
        <f t="shared" si="42"/>
        <v>194667</v>
      </c>
      <c r="U111" s="947">
        <f t="shared" si="43"/>
        <v>19466.7</v>
      </c>
      <c r="V111" s="947">
        <f t="shared" si="44"/>
        <v>10757.896000000001</v>
      </c>
      <c r="W111" s="947">
        <f t="shared" si="45"/>
        <v>3893.34</v>
      </c>
      <c r="X111" s="947">
        <f t="shared" si="46"/>
        <v>160549.06399999998</v>
      </c>
      <c r="Y111" s="947">
        <f t="shared" si="47"/>
        <v>2336004</v>
      </c>
      <c r="Z111" s="947"/>
      <c r="AA111" s="947">
        <f t="shared" si="48"/>
        <v>2336004</v>
      </c>
      <c r="AB111" s="947">
        <f t="shared" si="38"/>
        <v>121005.00720000001</v>
      </c>
      <c r="AC111" s="947">
        <f t="shared" si="39"/>
        <v>105120.18000000001</v>
      </c>
      <c r="AD111" s="947">
        <f t="shared" si="49"/>
        <v>70080.12</v>
      </c>
      <c r="AE111" s="947">
        <f t="shared" si="50"/>
        <v>116800.20000000001</v>
      </c>
      <c r="AF111" s="947">
        <f t="shared" si="51"/>
        <v>2749009.5072000003</v>
      </c>
      <c r="AG111" s="947" t="s">
        <v>3</v>
      </c>
    </row>
    <row r="112" spans="1:33" ht="31.5">
      <c r="A112" s="918">
        <v>96</v>
      </c>
      <c r="B112" s="943" t="s">
        <v>453</v>
      </c>
      <c r="C112" s="959" t="s">
        <v>455</v>
      </c>
      <c r="D112" s="1555"/>
      <c r="E112" s="944">
        <v>0.25</v>
      </c>
      <c r="F112" s="944"/>
      <c r="G112" s="951">
        <v>45917</v>
      </c>
      <c r="H112" s="944">
        <v>18</v>
      </c>
      <c r="I112" s="947">
        <f t="shared" si="40"/>
        <v>79636.5</v>
      </c>
      <c r="J112" s="947">
        <f t="shared" si="52"/>
        <v>7963.6500000000005</v>
      </c>
      <c r="K112" s="948"/>
      <c r="L112" s="948"/>
      <c r="M112" s="948"/>
      <c r="N112" s="948"/>
      <c r="O112" s="948"/>
      <c r="P112" s="948"/>
      <c r="Q112" s="949"/>
      <c r="R112" s="949"/>
      <c r="S112" s="947">
        <f t="shared" si="35"/>
        <v>7963.6500000000005</v>
      </c>
      <c r="T112" s="947">
        <f t="shared" si="42"/>
        <v>87600.15</v>
      </c>
      <c r="U112" s="947">
        <f t="shared" si="43"/>
        <v>8760.0149999999994</v>
      </c>
      <c r="V112" s="947">
        <f t="shared" si="44"/>
        <v>1336.0131999999999</v>
      </c>
      <c r="W112" s="947">
        <f t="shared" si="45"/>
        <v>1752.0029999999999</v>
      </c>
      <c r="X112" s="947">
        <f t="shared" si="46"/>
        <v>75752.118799999997</v>
      </c>
      <c r="Y112" s="947">
        <f t="shared" si="47"/>
        <v>1051201.7999999998</v>
      </c>
      <c r="Z112" s="947"/>
      <c r="AA112" s="947">
        <f t="shared" si="48"/>
        <v>1051201.7999999998</v>
      </c>
      <c r="AB112" s="947">
        <f t="shared" si="38"/>
        <v>54452.253239999998</v>
      </c>
      <c r="AC112" s="947">
        <f t="shared" si="39"/>
        <v>47304.080999999998</v>
      </c>
      <c r="AD112" s="947">
        <f t="shared" si="49"/>
        <v>31536.053999999993</v>
      </c>
      <c r="AE112" s="947">
        <f t="shared" si="50"/>
        <v>52560.09</v>
      </c>
      <c r="AF112" s="947">
        <f t="shared" si="51"/>
        <v>1237054.2782399999</v>
      </c>
      <c r="AG112" s="947" t="s">
        <v>3</v>
      </c>
    </row>
    <row r="113" spans="1:33" ht="31.5">
      <c r="A113" s="918">
        <v>97</v>
      </c>
      <c r="B113" s="943" t="s">
        <v>453</v>
      </c>
      <c r="C113" s="959" t="s">
        <v>898</v>
      </c>
      <c r="D113" s="1555"/>
      <c r="E113" s="944">
        <v>0.25</v>
      </c>
      <c r="F113" s="944"/>
      <c r="G113" s="951">
        <v>45917</v>
      </c>
      <c r="H113" s="944">
        <v>18</v>
      </c>
      <c r="I113" s="947">
        <f t="shared" si="40"/>
        <v>79636.5</v>
      </c>
      <c r="J113" s="947">
        <f t="shared" si="52"/>
        <v>7963.6500000000005</v>
      </c>
      <c r="K113" s="948"/>
      <c r="L113" s="948"/>
      <c r="M113" s="948"/>
      <c r="N113" s="948"/>
      <c r="O113" s="948"/>
      <c r="P113" s="948"/>
      <c r="Q113" s="949"/>
      <c r="R113" s="949"/>
      <c r="S113" s="947">
        <f t="shared" ref="S113:S122" si="53">SUM(J113:R113)</f>
        <v>7963.6500000000005</v>
      </c>
      <c r="T113" s="947">
        <f t="shared" si="42"/>
        <v>87600.15</v>
      </c>
      <c r="U113" s="947">
        <f t="shared" si="43"/>
        <v>8760.0149999999994</v>
      </c>
      <c r="V113" s="947">
        <f t="shared" si="44"/>
        <v>1336.0131999999999</v>
      </c>
      <c r="W113" s="947">
        <f t="shared" si="45"/>
        <v>1752.0029999999999</v>
      </c>
      <c r="X113" s="947">
        <f t="shared" si="46"/>
        <v>75752.118799999997</v>
      </c>
      <c r="Y113" s="947">
        <f t="shared" si="47"/>
        <v>1051201.7999999998</v>
      </c>
      <c r="Z113" s="947"/>
      <c r="AA113" s="947">
        <f t="shared" si="48"/>
        <v>1051201.7999999998</v>
      </c>
      <c r="AB113" s="947">
        <f t="shared" si="38"/>
        <v>54452.253239999998</v>
      </c>
      <c r="AC113" s="947">
        <f t="shared" si="39"/>
        <v>47304.080999999998</v>
      </c>
      <c r="AD113" s="947">
        <f t="shared" si="49"/>
        <v>31536.053999999993</v>
      </c>
      <c r="AE113" s="947">
        <f t="shared" si="50"/>
        <v>52560.09</v>
      </c>
      <c r="AF113" s="947">
        <f t="shared" si="51"/>
        <v>1237054.2782399999</v>
      </c>
      <c r="AG113" s="947" t="s">
        <v>3</v>
      </c>
    </row>
    <row r="114" spans="1:33" ht="31.5">
      <c r="A114" s="918">
        <v>98</v>
      </c>
      <c r="B114" s="943" t="s">
        <v>453</v>
      </c>
      <c r="C114" s="959" t="s">
        <v>915</v>
      </c>
      <c r="D114" s="1555"/>
      <c r="E114" s="944">
        <v>0.25</v>
      </c>
      <c r="F114" s="944"/>
      <c r="G114" s="951">
        <v>45917</v>
      </c>
      <c r="H114" s="944">
        <v>18</v>
      </c>
      <c r="I114" s="947">
        <f t="shared" si="40"/>
        <v>79636.5</v>
      </c>
      <c r="J114" s="947">
        <f t="shared" si="52"/>
        <v>7963.6500000000005</v>
      </c>
      <c r="K114" s="948"/>
      <c r="L114" s="948"/>
      <c r="M114" s="948"/>
      <c r="N114" s="948"/>
      <c r="O114" s="948"/>
      <c r="P114" s="948"/>
      <c r="Q114" s="949"/>
      <c r="R114" s="949"/>
      <c r="S114" s="947">
        <f t="shared" si="53"/>
        <v>7963.6500000000005</v>
      </c>
      <c r="T114" s="947">
        <f t="shared" si="42"/>
        <v>87600.15</v>
      </c>
      <c r="U114" s="947">
        <f t="shared" si="43"/>
        <v>8760.0149999999994</v>
      </c>
      <c r="V114" s="947">
        <f t="shared" si="44"/>
        <v>1336.0131999999999</v>
      </c>
      <c r="W114" s="947">
        <f t="shared" si="45"/>
        <v>1752.0029999999999</v>
      </c>
      <c r="X114" s="947">
        <f t="shared" si="46"/>
        <v>75752.118799999997</v>
      </c>
      <c r="Y114" s="947">
        <f t="shared" si="47"/>
        <v>1051201.7999999998</v>
      </c>
      <c r="Z114" s="947"/>
      <c r="AA114" s="947">
        <f t="shared" si="48"/>
        <v>1051201.7999999998</v>
      </c>
      <c r="AB114" s="947">
        <f t="shared" si="38"/>
        <v>54452.253239999998</v>
      </c>
      <c r="AC114" s="947">
        <f t="shared" si="39"/>
        <v>47304.080999999998</v>
      </c>
      <c r="AD114" s="947">
        <f t="shared" si="49"/>
        <v>31536.053999999993</v>
      </c>
      <c r="AE114" s="947">
        <f t="shared" si="50"/>
        <v>52560.09</v>
      </c>
      <c r="AF114" s="947">
        <f t="shared" si="51"/>
        <v>1237054.2782399999</v>
      </c>
      <c r="AG114" s="947" t="s">
        <v>3</v>
      </c>
    </row>
    <row r="115" spans="1:33" ht="31.5">
      <c r="A115" s="918">
        <v>99</v>
      </c>
      <c r="B115" s="943" t="s">
        <v>453</v>
      </c>
      <c r="C115" s="959" t="s">
        <v>548</v>
      </c>
      <c r="D115" s="1555"/>
      <c r="E115" s="944">
        <v>0.5</v>
      </c>
      <c r="F115" s="944"/>
      <c r="G115" s="945">
        <v>45901</v>
      </c>
      <c r="H115" s="944">
        <v>40</v>
      </c>
      <c r="I115" s="947">
        <f t="shared" si="40"/>
        <v>353940</v>
      </c>
      <c r="J115" s="947">
        <f t="shared" si="52"/>
        <v>35394</v>
      </c>
      <c r="K115" s="948"/>
      <c r="L115" s="948"/>
      <c r="M115" s="948"/>
      <c r="N115" s="948"/>
      <c r="O115" s="948"/>
      <c r="P115" s="948"/>
      <c r="Q115" s="949"/>
      <c r="R115" s="949"/>
      <c r="S115" s="947">
        <f t="shared" si="53"/>
        <v>35394</v>
      </c>
      <c r="T115" s="947">
        <f t="shared" si="42"/>
        <v>389334</v>
      </c>
      <c r="U115" s="947">
        <f t="shared" si="43"/>
        <v>38933.4</v>
      </c>
      <c r="V115" s="947">
        <f t="shared" si="44"/>
        <v>27888.592000000001</v>
      </c>
      <c r="W115" s="947">
        <f t="shared" si="45"/>
        <v>7786.68</v>
      </c>
      <c r="X115" s="947">
        <f t="shared" si="46"/>
        <v>314725.32799999998</v>
      </c>
      <c r="Y115" s="947">
        <f t="shared" si="47"/>
        <v>4672008</v>
      </c>
      <c r="Z115" s="947"/>
      <c r="AA115" s="947">
        <f t="shared" si="48"/>
        <v>4672008</v>
      </c>
      <c r="AB115" s="947">
        <f t="shared" si="38"/>
        <v>242010.01440000001</v>
      </c>
      <c r="AC115" s="947">
        <f t="shared" si="39"/>
        <v>210240.36000000002</v>
      </c>
      <c r="AD115" s="947">
        <f t="shared" si="49"/>
        <v>140160.24</v>
      </c>
      <c r="AE115" s="947">
        <f t="shared" si="50"/>
        <v>233600.40000000002</v>
      </c>
      <c r="AF115" s="947">
        <f t="shared" si="51"/>
        <v>5498019.0144000007</v>
      </c>
      <c r="AG115" s="947" t="s">
        <v>3</v>
      </c>
    </row>
    <row r="116" spans="1:33" ht="31.5">
      <c r="A116" s="918">
        <v>100</v>
      </c>
      <c r="B116" s="943" t="s">
        <v>453</v>
      </c>
      <c r="C116" s="959" t="s">
        <v>916</v>
      </c>
      <c r="D116" s="1555"/>
      <c r="E116" s="944">
        <v>0.5</v>
      </c>
      <c r="F116" s="944"/>
      <c r="G116" s="945">
        <v>45931</v>
      </c>
      <c r="H116" s="944">
        <v>40</v>
      </c>
      <c r="I116" s="947">
        <f t="shared" si="40"/>
        <v>353940</v>
      </c>
      <c r="J116" s="947">
        <f t="shared" si="52"/>
        <v>35394</v>
      </c>
      <c r="K116" s="948"/>
      <c r="L116" s="948"/>
      <c r="M116" s="948"/>
      <c r="N116" s="948"/>
      <c r="O116" s="948"/>
      <c r="P116" s="948"/>
      <c r="Q116" s="949"/>
      <c r="R116" s="949"/>
      <c r="S116" s="947">
        <f t="shared" si="53"/>
        <v>35394</v>
      </c>
      <c r="T116" s="947">
        <f t="shared" si="42"/>
        <v>389334</v>
      </c>
      <c r="U116" s="947">
        <f t="shared" si="43"/>
        <v>38933.4</v>
      </c>
      <c r="V116" s="947">
        <f t="shared" si="44"/>
        <v>27888.592000000001</v>
      </c>
      <c r="W116" s="947">
        <f t="shared" si="45"/>
        <v>7786.68</v>
      </c>
      <c r="X116" s="947">
        <f t="shared" si="46"/>
        <v>314725.32799999998</v>
      </c>
      <c r="Y116" s="947">
        <f t="shared" si="47"/>
        <v>4672008</v>
      </c>
      <c r="Z116" s="947"/>
      <c r="AA116" s="947">
        <f t="shared" si="48"/>
        <v>4672008</v>
      </c>
      <c r="AB116" s="947">
        <f t="shared" si="38"/>
        <v>242010.01440000001</v>
      </c>
      <c r="AC116" s="947">
        <f t="shared" si="39"/>
        <v>210240.36000000002</v>
      </c>
      <c r="AD116" s="947">
        <f t="shared" si="49"/>
        <v>140160.24</v>
      </c>
      <c r="AE116" s="947">
        <f t="shared" si="50"/>
        <v>233600.40000000002</v>
      </c>
      <c r="AF116" s="947">
        <f t="shared" si="51"/>
        <v>5498019.0144000007</v>
      </c>
      <c r="AG116" s="947" t="s">
        <v>3</v>
      </c>
    </row>
    <row r="117" spans="1:33" ht="31.5">
      <c r="A117" s="918">
        <v>101</v>
      </c>
      <c r="B117" s="943" t="s">
        <v>453</v>
      </c>
      <c r="C117" s="959" t="s">
        <v>917</v>
      </c>
      <c r="D117" s="1555"/>
      <c r="E117" s="944">
        <v>0.25</v>
      </c>
      <c r="F117" s="944"/>
      <c r="G117" s="951">
        <v>45917</v>
      </c>
      <c r="H117" s="944">
        <v>18</v>
      </c>
      <c r="I117" s="947">
        <f t="shared" si="40"/>
        <v>79636.5</v>
      </c>
      <c r="J117" s="947">
        <f t="shared" si="52"/>
        <v>7963.6500000000005</v>
      </c>
      <c r="K117" s="948"/>
      <c r="L117" s="948"/>
      <c r="M117" s="948"/>
      <c r="N117" s="948"/>
      <c r="O117" s="948"/>
      <c r="P117" s="948"/>
      <c r="Q117" s="949"/>
      <c r="R117" s="949"/>
      <c r="S117" s="947">
        <f t="shared" si="53"/>
        <v>7963.6500000000005</v>
      </c>
      <c r="T117" s="947">
        <f t="shared" si="42"/>
        <v>87600.15</v>
      </c>
      <c r="U117" s="947">
        <f t="shared" si="43"/>
        <v>8760.0149999999994</v>
      </c>
      <c r="V117" s="947">
        <f t="shared" si="44"/>
        <v>1336.0131999999999</v>
      </c>
      <c r="W117" s="947">
        <f t="shared" si="45"/>
        <v>1752.0029999999999</v>
      </c>
      <c r="X117" s="947">
        <f t="shared" si="46"/>
        <v>75752.118799999997</v>
      </c>
      <c r="Y117" s="947">
        <f t="shared" si="47"/>
        <v>1051201.7999999998</v>
      </c>
      <c r="Z117" s="947"/>
      <c r="AA117" s="947">
        <f t="shared" si="48"/>
        <v>1051201.7999999998</v>
      </c>
      <c r="AB117" s="947">
        <f t="shared" si="38"/>
        <v>54452.253239999998</v>
      </c>
      <c r="AC117" s="947">
        <f t="shared" si="39"/>
        <v>47304.080999999998</v>
      </c>
      <c r="AD117" s="947">
        <f t="shared" si="49"/>
        <v>31536.053999999993</v>
      </c>
      <c r="AE117" s="947">
        <f t="shared" si="50"/>
        <v>52560.09</v>
      </c>
      <c r="AF117" s="947">
        <f t="shared" si="51"/>
        <v>1237054.2782399999</v>
      </c>
      <c r="AG117" s="947" t="s">
        <v>3</v>
      </c>
    </row>
    <row r="118" spans="1:33" ht="31.5">
      <c r="A118" s="918">
        <v>102</v>
      </c>
      <c r="B118" s="943" t="s">
        <v>453</v>
      </c>
      <c r="C118" s="959" t="s">
        <v>918</v>
      </c>
      <c r="D118" s="1555"/>
      <c r="E118" s="944">
        <v>0.25</v>
      </c>
      <c r="F118" s="944"/>
      <c r="G118" s="951">
        <v>45917</v>
      </c>
      <c r="H118" s="944">
        <v>18</v>
      </c>
      <c r="I118" s="947">
        <f t="shared" si="40"/>
        <v>79636.5</v>
      </c>
      <c r="J118" s="947">
        <f t="shared" si="52"/>
        <v>7963.6500000000005</v>
      </c>
      <c r="K118" s="948"/>
      <c r="L118" s="948"/>
      <c r="M118" s="948"/>
      <c r="N118" s="948"/>
      <c r="O118" s="948"/>
      <c r="P118" s="948"/>
      <c r="Q118" s="949"/>
      <c r="R118" s="949"/>
      <c r="S118" s="947">
        <f t="shared" si="53"/>
        <v>7963.6500000000005</v>
      </c>
      <c r="T118" s="947">
        <f t="shared" si="42"/>
        <v>87600.15</v>
      </c>
      <c r="U118" s="947">
        <f t="shared" si="43"/>
        <v>8760.0149999999994</v>
      </c>
      <c r="V118" s="947">
        <f t="shared" si="44"/>
        <v>1336.0131999999999</v>
      </c>
      <c r="W118" s="947">
        <f t="shared" si="45"/>
        <v>1752.0029999999999</v>
      </c>
      <c r="X118" s="947">
        <f t="shared" si="46"/>
        <v>75752.118799999997</v>
      </c>
      <c r="Y118" s="947">
        <f t="shared" si="47"/>
        <v>1051201.7999999998</v>
      </c>
      <c r="Z118" s="947"/>
      <c r="AA118" s="947">
        <f t="shared" si="48"/>
        <v>1051201.7999999998</v>
      </c>
      <c r="AB118" s="947">
        <f t="shared" si="38"/>
        <v>54452.253239999998</v>
      </c>
      <c r="AC118" s="947">
        <f t="shared" si="39"/>
        <v>47304.080999999998</v>
      </c>
      <c r="AD118" s="947">
        <f t="shared" si="49"/>
        <v>31536.053999999993</v>
      </c>
      <c r="AE118" s="947">
        <f t="shared" si="50"/>
        <v>52560.09</v>
      </c>
      <c r="AF118" s="947">
        <f t="shared" si="51"/>
        <v>1237054.2782399999</v>
      </c>
      <c r="AG118" s="947" t="s">
        <v>3</v>
      </c>
    </row>
    <row r="119" spans="1:33" ht="31.5">
      <c r="A119" s="918">
        <v>103</v>
      </c>
      <c r="B119" s="943" t="s">
        <v>453</v>
      </c>
      <c r="C119" s="959" t="s">
        <v>919</v>
      </c>
      <c r="D119" s="1555"/>
      <c r="E119" s="944">
        <v>0.25</v>
      </c>
      <c r="F119" s="944"/>
      <c r="G119" s="945">
        <v>45901</v>
      </c>
      <c r="H119" s="944">
        <v>40</v>
      </c>
      <c r="I119" s="947">
        <f t="shared" si="40"/>
        <v>176970</v>
      </c>
      <c r="J119" s="947">
        <f t="shared" si="52"/>
        <v>17697</v>
      </c>
      <c r="K119" s="948"/>
      <c r="L119" s="948"/>
      <c r="M119" s="948"/>
      <c r="N119" s="948"/>
      <c r="O119" s="948"/>
      <c r="P119" s="948"/>
      <c r="Q119" s="949"/>
      <c r="R119" s="949"/>
      <c r="S119" s="947">
        <f t="shared" si="53"/>
        <v>17697</v>
      </c>
      <c r="T119" s="947">
        <f t="shared" si="42"/>
        <v>194667</v>
      </c>
      <c r="U119" s="947">
        <f t="shared" si="43"/>
        <v>19466.7</v>
      </c>
      <c r="V119" s="947">
        <f t="shared" si="44"/>
        <v>10757.896000000001</v>
      </c>
      <c r="W119" s="947">
        <f t="shared" si="45"/>
        <v>3893.34</v>
      </c>
      <c r="X119" s="947">
        <f t="shared" si="46"/>
        <v>160549.06399999998</v>
      </c>
      <c r="Y119" s="947">
        <f t="shared" si="47"/>
        <v>2336004</v>
      </c>
      <c r="Z119" s="947"/>
      <c r="AA119" s="947">
        <f t="shared" si="48"/>
        <v>2336004</v>
      </c>
      <c r="AB119" s="947">
        <f t="shared" si="38"/>
        <v>121005.00720000001</v>
      </c>
      <c r="AC119" s="947">
        <f t="shared" si="39"/>
        <v>105120.18000000001</v>
      </c>
      <c r="AD119" s="947">
        <f t="shared" si="49"/>
        <v>70080.12</v>
      </c>
      <c r="AE119" s="947">
        <f t="shared" si="50"/>
        <v>116800.20000000001</v>
      </c>
      <c r="AF119" s="947">
        <f t="shared" si="51"/>
        <v>2749009.5072000003</v>
      </c>
      <c r="AG119" s="947" t="s">
        <v>3</v>
      </c>
    </row>
    <row r="120" spans="1:33" ht="31.5">
      <c r="A120" s="918">
        <v>104</v>
      </c>
      <c r="B120" s="943" t="s">
        <v>453</v>
      </c>
      <c r="C120" s="959" t="s">
        <v>455</v>
      </c>
      <c r="D120" s="1555"/>
      <c r="E120" s="944"/>
      <c r="F120" s="944"/>
      <c r="G120" s="945"/>
      <c r="H120" s="944">
        <v>40</v>
      </c>
      <c r="I120" s="947">
        <f>17697*H120</f>
        <v>707880</v>
      </c>
      <c r="J120" s="947">
        <f t="shared" si="52"/>
        <v>70788</v>
      </c>
      <c r="K120" s="948"/>
      <c r="L120" s="948"/>
      <c r="M120" s="948"/>
      <c r="N120" s="948"/>
      <c r="O120" s="948"/>
      <c r="P120" s="948"/>
      <c r="Q120" s="949"/>
      <c r="R120" s="949"/>
      <c r="S120" s="947">
        <f t="shared" si="53"/>
        <v>70788</v>
      </c>
      <c r="T120" s="947">
        <f t="shared" si="42"/>
        <v>778668</v>
      </c>
      <c r="U120" s="947">
        <f t="shared" si="43"/>
        <v>77866.8</v>
      </c>
      <c r="V120" s="947">
        <f t="shared" si="44"/>
        <v>62149.983999999997</v>
      </c>
      <c r="W120" s="947">
        <f t="shared" si="45"/>
        <v>15573.36</v>
      </c>
      <c r="X120" s="947">
        <f t="shared" si="46"/>
        <v>623077.85600000003</v>
      </c>
      <c r="Y120" s="947">
        <f t="shared" si="47"/>
        <v>9344016</v>
      </c>
      <c r="Z120" s="947">
        <f t="shared" si="36"/>
        <v>1415760</v>
      </c>
      <c r="AA120" s="947">
        <f t="shared" si="48"/>
        <v>10759776</v>
      </c>
      <c r="AB120" s="947">
        <f t="shared" si="38"/>
        <v>560471.06880000001</v>
      </c>
      <c r="AC120" s="947">
        <f t="shared" si="39"/>
        <v>484189.92000000004</v>
      </c>
      <c r="AD120" s="947">
        <f t="shared" si="49"/>
        <v>280320.48</v>
      </c>
      <c r="AE120" s="947">
        <f t="shared" si="50"/>
        <v>537988.80000000005</v>
      </c>
      <c r="AF120" s="947">
        <f t="shared" si="51"/>
        <v>12622746.268800002</v>
      </c>
      <c r="AG120" s="947" t="s">
        <v>3</v>
      </c>
    </row>
    <row r="121" spans="1:33" ht="31.5">
      <c r="A121" s="918">
        <v>105</v>
      </c>
      <c r="B121" s="943" t="s">
        <v>453</v>
      </c>
      <c r="C121" s="959" t="s">
        <v>915</v>
      </c>
      <c r="D121" s="1555"/>
      <c r="E121" s="944"/>
      <c r="F121" s="944"/>
      <c r="G121" s="945"/>
      <c r="H121" s="944">
        <v>40</v>
      </c>
      <c r="I121" s="947">
        <f>17697*H121</f>
        <v>707880</v>
      </c>
      <c r="J121" s="947">
        <f t="shared" si="52"/>
        <v>70788</v>
      </c>
      <c r="K121" s="948"/>
      <c r="L121" s="948"/>
      <c r="M121" s="948"/>
      <c r="N121" s="948"/>
      <c r="O121" s="948"/>
      <c r="P121" s="948"/>
      <c r="Q121" s="949"/>
      <c r="R121" s="949"/>
      <c r="S121" s="947">
        <f t="shared" si="53"/>
        <v>70788</v>
      </c>
      <c r="T121" s="947">
        <f t="shared" si="42"/>
        <v>778668</v>
      </c>
      <c r="U121" s="947">
        <f t="shared" si="43"/>
        <v>77866.8</v>
      </c>
      <c r="V121" s="947">
        <f t="shared" si="44"/>
        <v>62149.983999999997</v>
      </c>
      <c r="W121" s="947">
        <f t="shared" si="45"/>
        <v>15573.36</v>
      </c>
      <c r="X121" s="947">
        <f t="shared" si="46"/>
        <v>623077.85600000003</v>
      </c>
      <c r="Y121" s="947">
        <f t="shared" si="47"/>
        <v>9344016</v>
      </c>
      <c r="Z121" s="947">
        <f t="shared" si="36"/>
        <v>1415760</v>
      </c>
      <c r="AA121" s="947">
        <f t="shared" si="48"/>
        <v>10759776</v>
      </c>
      <c r="AB121" s="947">
        <f t="shared" si="38"/>
        <v>560471.06880000001</v>
      </c>
      <c r="AC121" s="947">
        <f t="shared" si="39"/>
        <v>484189.92000000004</v>
      </c>
      <c r="AD121" s="947">
        <f t="shared" si="49"/>
        <v>280320.48</v>
      </c>
      <c r="AE121" s="947">
        <f t="shared" si="50"/>
        <v>537988.80000000005</v>
      </c>
      <c r="AF121" s="947">
        <f t="shared" si="51"/>
        <v>12622746.268800002</v>
      </c>
      <c r="AG121" s="947" t="s">
        <v>3</v>
      </c>
    </row>
    <row r="122" spans="1:33" ht="31.5">
      <c r="A122" s="918">
        <v>106</v>
      </c>
      <c r="B122" s="943" t="s">
        <v>453</v>
      </c>
      <c r="C122" s="959" t="s">
        <v>918</v>
      </c>
      <c r="D122" s="1555"/>
      <c r="E122" s="944"/>
      <c r="F122" s="944"/>
      <c r="G122" s="951"/>
      <c r="H122" s="944">
        <v>40</v>
      </c>
      <c r="I122" s="947">
        <f>17697*H122</f>
        <v>707880</v>
      </c>
      <c r="J122" s="947">
        <f t="shared" si="52"/>
        <v>70788</v>
      </c>
      <c r="K122" s="948"/>
      <c r="L122" s="948"/>
      <c r="M122" s="948"/>
      <c r="N122" s="948"/>
      <c r="O122" s="948"/>
      <c r="P122" s="948"/>
      <c r="Q122" s="949"/>
      <c r="R122" s="949"/>
      <c r="S122" s="947">
        <f t="shared" si="53"/>
        <v>70788</v>
      </c>
      <c r="T122" s="947">
        <f t="shared" si="42"/>
        <v>778668</v>
      </c>
      <c r="U122" s="947">
        <f t="shared" si="43"/>
        <v>77866.8</v>
      </c>
      <c r="V122" s="947">
        <f t="shared" si="44"/>
        <v>62149.983999999997</v>
      </c>
      <c r="W122" s="947">
        <f t="shared" si="45"/>
        <v>15573.36</v>
      </c>
      <c r="X122" s="947">
        <f t="shared" si="46"/>
        <v>623077.85600000003</v>
      </c>
      <c r="Y122" s="947">
        <f t="shared" si="47"/>
        <v>9344016</v>
      </c>
      <c r="Z122" s="947">
        <f t="shared" si="36"/>
        <v>1415760</v>
      </c>
      <c r="AA122" s="947">
        <f t="shared" si="48"/>
        <v>10759776</v>
      </c>
      <c r="AB122" s="947">
        <f t="shared" si="38"/>
        <v>560471.06880000001</v>
      </c>
      <c r="AC122" s="947">
        <f t="shared" si="39"/>
        <v>484189.92000000004</v>
      </c>
      <c r="AD122" s="947">
        <f t="shared" si="49"/>
        <v>280320.48</v>
      </c>
      <c r="AE122" s="947">
        <f t="shared" si="50"/>
        <v>537988.80000000005</v>
      </c>
      <c r="AF122" s="947">
        <f t="shared" si="51"/>
        <v>12622746.268800002</v>
      </c>
      <c r="AG122" s="947" t="s">
        <v>3</v>
      </c>
    </row>
    <row r="123" spans="1:33" ht="24" customHeight="1">
      <c r="B123" s="919" t="s">
        <v>830</v>
      </c>
      <c r="C123" s="920"/>
      <c r="D123" s="921">
        <f>SUM(D39:D92)</f>
        <v>47</v>
      </c>
      <c r="E123" s="921">
        <f>SUM(E39:E92)</f>
        <v>47</v>
      </c>
      <c r="F123" s="918"/>
      <c r="G123" s="918"/>
      <c r="H123" s="918"/>
      <c r="I123" s="924">
        <f>SUM(I39:I122)</f>
        <v>21758461.5</v>
      </c>
      <c r="J123" s="924">
        <f t="shared" ref="J123:AF123" si="54">SUM(J39:J122)</f>
        <v>2175846.149999999</v>
      </c>
      <c r="K123" s="924">
        <f t="shared" si="54"/>
        <v>0</v>
      </c>
      <c r="L123" s="924">
        <f t="shared" si="54"/>
        <v>0</v>
      </c>
      <c r="M123" s="924">
        <f t="shared" si="54"/>
        <v>134497.20000000001</v>
      </c>
      <c r="N123" s="924">
        <f t="shared" si="54"/>
        <v>0</v>
      </c>
      <c r="O123" s="924">
        <f t="shared" si="54"/>
        <v>0</v>
      </c>
      <c r="P123" s="924">
        <f t="shared" si="54"/>
        <v>15927.3</v>
      </c>
      <c r="Q123" s="924">
        <f t="shared" si="54"/>
        <v>0</v>
      </c>
      <c r="R123" s="924">
        <f t="shared" si="54"/>
        <v>0</v>
      </c>
      <c r="S123" s="924">
        <f t="shared" si="54"/>
        <v>2326270.6499999985</v>
      </c>
      <c r="T123" s="924">
        <f t="shared" si="54"/>
        <v>24084732.149999991</v>
      </c>
      <c r="U123" s="924">
        <f t="shared" si="54"/>
        <v>2408473.2149999994</v>
      </c>
      <c r="V123" s="924">
        <f t="shared" si="54"/>
        <v>1616005.2291999988</v>
      </c>
      <c r="W123" s="924">
        <f t="shared" si="54"/>
        <v>481694.64300000027</v>
      </c>
      <c r="X123" s="924">
        <f t="shared" si="54"/>
        <v>19578559.062799986</v>
      </c>
      <c r="Y123" s="924">
        <f t="shared" si="54"/>
        <v>289016785.80000013</v>
      </c>
      <c r="Z123" s="924">
        <f t="shared" si="54"/>
        <v>23448525</v>
      </c>
      <c r="AA123" s="924">
        <f t="shared" si="54"/>
        <v>312465310.80000019</v>
      </c>
      <c r="AB123" s="924">
        <f t="shared" si="54"/>
        <v>16237289.854440005</v>
      </c>
      <c r="AC123" s="924">
        <f t="shared" si="54"/>
        <v>14060938.986</v>
      </c>
      <c r="AD123" s="924">
        <f t="shared" si="54"/>
        <v>8670503.574000001</v>
      </c>
      <c r="AE123" s="924">
        <f t="shared" si="54"/>
        <v>15623265.539999999</v>
      </c>
      <c r="AF123" s="924">
        <f t="shared" si="54"/>
        <v>367057308.75444037</v>
      </c>
      <c r="AG123" s="923"/>
    </row>
    <row r="124" spans="1:33" ht="20.25" customHeight="1">
      <c r="A124" s="1544" t="s">
        <v>474</v>
      </c>
      <c r="B124" s="1544"/>
      <c r="C124" s="1544"/>
      <c r="D124" s="1544"/>
      <c r="E124" s="1544"/>
      <c r="F124" s="1544"/>
      <c r="G124" s="1544"/>
      <c r="H124" s="1544"/>
      <c r="I124" s="1544"/>
      <c r="J124" s="1544"/>
      <c r="K124" s="1544"/>
      <c r="L124" s="1544"/>
      <c r="M124" s="1544"/>
      <c r="N124" s="1544"/>
      <c r="O124" s="1544"/>
      <c r="P124" s="1544"/>
      <c r="Q124" s="1544"/>
      <c r="R124" s="1544"/>
      <c r="S124" s="1544"/>
      <c r="T124" s="1544"/>
      <c r="U124" s="1544"/>
      <c r="V124" s="1544"/>
      <c r="W124" s="1544"/>
      <c r="X124" s="1544"/>
      <c r="Y124" s="1544"/>
      <c r="Z124" s="1544"/>
      <c r="AA124" s="1544"/>
      <c r="AB124" s="1544"/>
      <c r="AC124" s="1544"/>
      <c r="AD124" s="1544"/>
      <c r="AE124" s="1544"/>
      <c r="AF124" s="1544"/>
      <c r="AG124" s="1544"/>
    </row>
    <row r="125" spans="1:33">
      <c r="A125" s="918">
        <v>78</v>
      </c>
      <c r="B125" s="961" t="s">
        <v>475</v>
      </c>
      <c r="C125" s="962" t="s">
        <v>476</v>
      </c>
      <c r="D125" s="918">
        <v>1</v>
      </c>
      <c r="E125" s="918">
        <v>1</v>
      </c>
      <c r="F125" s="887"/>
      <c r="G125" s="888">
        <v>44797</v>
      </c>
      <c r="H125" s="918">
        <v>21</v>
      </c>
      <c r="I125" s="892">
        <f t="shared" ref="I125:I127" si="55">E125*17697*H125</f>
        <v>371637</v>
      </c>
      <c r="J125" s="892">
        <f t="shared" ref="J125:J127" si="56">I125*10%</f>
        <v>37163.700000000004</v>
      </c>
      <c r="K125" s="887"/>
      <c r="L125" s="887"/>
      <c r="M125" s="887"/>
      <c r="N125" s="887"/>
      <c r="O125" s="887"/>
      <c r="P125" s="887"/>
      <c r="Q125" s="923"/>
      <c r="R125" s="923"/>
      <c r="S125" s="892">
        <f t="shared" ref="S125:S127" si="57">SUM(J125:R125)</f>
        <v>37163.700000000004</v>
      </c>
      <c r="T125" s="892">
        <f t="shared" ref="T125:T127" si="58">I125+S125</f>
        <v>408800.7</v>
      </c>
      <c r="U125" s="892">
        <f t="shared" ref="U125:U127" si="59">T125*10%</f>
        <v>40880.070000000007</v>
      </c>
      <c r="V125" s="892">
        <f>((T125-U125-W125)-(14*4552))*10%</f>
        <v>29601.661599999999</v>
      </c>
      <c r="W125" s="892">
        <f t="shared" ref="W125:W127" si="60">T125*2%</f>
        <v>8176.0140000000001</v>
      </c>
      <c r="X125" s="892">
        <f t="shared" ref="X125:X127" si="61">T125-U125-V125-W125</f>
        <v>330142.95439999999</v>
      </c>
      <c r="Y125" s="892">
        <f t="shared" ref="Y125:Y127" si="62">T125*12</f>
        <v>4905608.4000000004</v>
      </c>
      <c r="Z125" s="892">
        <f t="shared" ref="Z125:Z127" si="63">I125</f>
        <v>371637</v>
      </c>
      <c r="AA125" s="892">
        <f t="shared" ref="AA125:AA127" si="64">Y125+Z125</f>
        <v>5277245.4000000004</v>
      </c>
      <c r="AB125" s="892">
        <f>(AA125*0.9-(W125*12))*11%-AC125</f>
        <v>274178.91312000004</v>
      </c>
      <c r="AC125" s="892">
        <f>AA125*0.9*5%</f>
        <v>237476.04300000003</v>
      </c>
      <c r="AD125" s="892">
        <f t="shared" ref="AD125:AD127" si="65">Y125*3%</f>
        <v>147168.25200000001</v>
      </c>
      <c r="AE125" s="892">
        <f>AA125*5%</f>
        <v>263862.27</v>
      </c>
      <c r="AF125" s="892">
        <f t="shared" ref="AF125:AF127" si="66">AA125+AB125+AC125+AD125+AE125</f>
        <v>6199930.8781199995</v>
      </c>
      <c r="AG125" s="892" t="s">
        <v>3</v>
      </c>
    </row>
    <row r="126" spans="1:33" ht="15.75" customHeight="1">
      <c r="A126" s="918">
        <v>79</v>
      </c>
      <c r="B126" s="961" t="s">
        <v>19</v>
      </c>
      <c r="C126" s="962" t="s">
        <v>477</v>
      </c>
      <c r="D126" s="918">
        <v>1</v>
      </c>
      <c r="E126" s="918">
        <v>1</v>
      </c>
      <c r="F126" s="887"/>
      <c r="G126" s="888">
        <v>42248</v>
      </c>
      <c r="H126" s="918">
        <v>16</v>
      </c>
      <c r="I126" s="892">
        <f t="shared" si="55"/>
        <v>283152</v>
      </c>
      <c r="J126" s="892">
        <f t="shared" si="56"/>
        <v>28315.200000000001</v>
      </c>
      <c r="K126" s="887"/>
      <c r="L126" s="887"/>
      <c r="M126" s="887"/>
      <c r="N126" s="887"/>
      <c r="O126" s="887"/>
      <c r="P126" s="887"/>
      <c r="Q126" s="923"/>
      <c r="R126" s="923"/>
      <c r="S126" s="892">
        <f t="shared" si="57"/>
        <v>28315.200000000001</v>
      </c>
      <c r="T126" s="892">
        <f t="shared" si="58"/>
        <v>311467.2</v>
      </c>
      <c r="U126" s="892">
        <f t="shared" si="59"/>
        <v>31146.720000000001</v>
      </c>
      <c r="V126" s="892">
        <f>((T126-U126-W126)-(14*4552))*10%</f>
        <v>21036.313600000001</v>
      </c>
      <c r="W126" s="892">
        <f t="shared" si="60"/>
        <v>6229.3440000000001</v>
      </c>
      <c r="X126" s="892">
        <f t="shared" si="61"/>
        <v>253054.82239999998</v>
      </c>
      <c r="Y126" s="892">
        <f t="shared" si="62"/>
        <v>3737606.4000000004</v>
      </c>
      <c r="Z126" s="892">
        <f t="shared" si="63"/>
        <v>283152</v>
      </c>
      <c r="AA126" s="892">
        <f t="shared" si="64"/>
        <v>4020758.4000000004</v>
      </c>
      <c r="AB126" s="892">
        <f>(AA126*0.9-(W126*12))*11%-AC126</f>
        <v>208898.21952000004</v>
      </c>
      <c r="AC126" s="892">
        <f t="shared" ref="AC126:AC127" si="67">AA126*0.9*5%</f>
        <v>180934.12800000003</v>
      </c>
      <c r="AD126" s="892">
        <f t="shared" si="65"/>
        <v>112128.19200000001</v>
      </c>
      <c r="AE126" s="892">
        <f>AA126*5%</f>
        <v>201037.92000000004</v>
      </c>
      <c r="AF126" s="892">
        <f t="shared" si="66"/>
        <v>4723756.8595199995</v>
      </c>
      <c r="AG126" s="892" t="s">
        <v>3</v>
      </c>
    </row>
    <row r="127" spans="1:33">
      <c r="A127" s="918">
        <v>80</v>
      </c>
      <c r="B127" s="963" t="s">
        <v>478</v>
      </c>
      <c r="C127" s="964" t="s">
        <v>479</v>
      </c>
      <c r="D127" s="918">
        <v>1</v>
      </c>
      <c r="E127" s="918">
        <v>1</v>
      </c>
      <c r="F127" s="887"/>
      <c r="G127" s="888">
        <v>44151</v>
      </c>
      <c r="H127" s="918">
        <v>16</v>
      </c>
      <c r="I127" s="892">
        <f t="shared" si="55"/>
        <v>283152</v>
      </c>
      <c r="J127" s="892">
        <f t="shared" si="56"/>
        <v>28315.200000000001</v>
      </c>
      <c r="K127" s="887"/>
      <c r="L127" s="887"/>
      <c r="M127" s="887"/>
      <c r="N127" s="887"/>
      <c r="O127" s="887"/>
      <c r="P127" s="887"/>
      <c r="Q127" s="923"/>
      <c r="R127" s="923"/>
      <c r="S127" s="892">
        <f t="shared" si="57"/>
        <v>28315.200000000001</v>
      </c>
      <c r="T127" s="892">
        <f t="shared" si="58"/>
        <v>311467.2</v>
      </c>
      <c r="U127" s="892">
        <f t="shared" si="59"/>
        <v>31146.720000000001</v>
      </c>
      <c r="V127" s="892">
        <f>((T127-U127-W127)-(14*4552))*10%</f>
        <v>21036.313600000001</v>
      </c>
      <c r="W127" s="892">
        <f t="shared" si="60"/>
        <v>6229.3440000000001</v>
      </c>
      <c r="X127" s="892">
        <f t="shared" si="61"/>
        <v>253054.82239999998</v>
      </c>
      <c r="Y127" s="892">
        <f t="shared" si="62"/>
        <v>3737606.4000000004</v>
      </c>
      <c r="Z127" s="892">
        <f t="shared" si="63"/>
        <v>283152</v>
      </c>
      <c r="AA127" s="892">
        <f t="shared" si="64"/>
        <v>4020758.4000000004</v>
      </c>
      <c r="AB127" s="892">
        <f>(AA127*0.9-(W127*12))*11%-AC127</f>
        <v>208898.21952000004</v>
      </c>
      <c r="AC127" s="892">
        <f t="shared" si="67"/>
        <v>180934.12800000003</v>
      </c>
      <c r="AD127" s="892">
        <f t="shared" si="65"/>
        <v>112128.19200000001</v>
      </c>
      <c r="AE127" s="892">
        <f>AA127*5%</f>
        <v>201037.92000000004</v>
      </c>
      <c r="AF127" s="892">
        <f t="shared" si="66"/>
        <v>4723756.8595199995</v>
      </c>
      <c r="AG127" s="892" t="s">
        <v>3</v>
      </c>
    </row>
    <row r="128" spans="1:33" ht="24" customHeight="1">
      <c r="B128" s="919" t="s">
        <v>831</v>
      </c>
      <c r="C128" s="965"/>
      <c r="D128" s="921">
        <f>SUM(D125:D127)</f>
        <v>3</v>
      </c>
      <c r="E128" s="921">
        <f>SUM(E125:E127)</f>
        <v>3</v>
      </c>
      <c r="F128" s="918"/>
      <c r="G128" s="918"/>
      <c r="H128" s="918"/>
      <c r="I128" s="924">
        <f>SUM(I125:I127)</f>
        <v>937941</v>
      </c>
      <c r="J128" s="924">
        <f>SUM(J125:J127)</f>
        <v>93794.1</v>
      </c>
      <c r="K128" s="924">
        <f>SUM(K125:K127)</f>
        <v>0</v>
      </c>
      <c r="L128" s="924">
        <f t="shared" ref="L128:AF128" si="68">SUM(L125:L127)</f>
        <v>0</v>
      </c>
      <c r="M128" s="924">
        <f t="shared" si="68"/>
        <v>0</v>
      </c>
      <c r="N128" s="924">
        <f t="shared" si="68"/>
        <v>0</v>
      </c>
      <c r="O128" s="924">
        <f t="shared" si="68"/>
        <v>0</v>
      </c>
      <c r="P128" s="924">
        <f t="shared" si="68"/>
        <v>0</v>
      </c>
      <c r="Q128" s="924">
        <f t="shared" si="68"/>
        <v>0</v>
      </c>
      <c r="R128" s="924">
        <f t="shared" si="68"/>
        <v>0</v>
      </c>
      <c r="S128" s="924">
        <f t="shared" si="68"/>
        <v>93794.1</v>
      </c>
      <c r="T128" s="924">
        <f t="shared" si="68"/>
        <v>1031735.1000000001</v>
      </c>
      <c r="U128" s="924">
        <f t="shared" si="68"/>
        <v>103173.51000000001</v>
      </c>
      <c r="V128" s="924">
        <f t="shared" si="68"/>
        <v>71674.288800000009</v>
      </c>
      <c r="W128" s="924">
        <f t="shared" si="68"/>
        <v>20634.702000000001</v>
      </c>
      <c r="X128" s="924">
        <f t="shared" si="68"/>
        <v>836252.59919999994</v>
      </c>
      <c r="Y128" s="924">
        <f t="shared" si="68"/>
        <v>12380821.200000001</v>
      </c>
      <c r="Z128" s="924">
        <f t="shared" si="68"/>
        <v>937941</v>
      </c>
      <c r="AA128" s="924">
        <f t="shared" si="68"/>
        <v>13318762.200000001</v>
      </c>
      <c r="AB128" s="924">
        <f t="shared" si="68"/>
        <v>691975.35216000013</v>
      </c>
      <c r="AC128" s="924">
        <f t="shared" si="68"/>
        <v>599344.29900000012</v>
      </c>
      <c r="AD128" s="924">
        <f t="shared" si="68"/>
        <v>371424.63600000006</v>
      </c>
      <c r="AE128" s="924">
        <f t="shared" si="68"/>
        <v>665938.1100000001</v>
      </c>
      <c r="AF128" s="924">
        <f t="shared" si="68"/>
        <v>15647444.597159998</v>
      </c>
      <c r="AG128" s="923"/>
    </row>
    <row r="129" spans="1:33" ht="21.75" customHeight="1">
      <c r="A129" s="1544" t="s">
        <v>480</v>
      </c>
      <c r="B129" s="1544"/>
      <c r="C129" s="1544"/>
      <c r="D129" s="1544"/>
      <c r="E129" s="1544"/>
      <c r="F129" s="1544"/>
      <c r="G129" s="1544"/>
      <c r="H129" s="1544"/>
      <c r="I129" s="1544"/>
      <c r="J129" s="1544"/>
      <c r="K129" s="1544"/>
      <c r="L129" s="1544"/>
      <c r="M129" s="1544"/>
      <c r="N129" s="1544"/>
      <c r="O129" s="1544"/>
      <c r="P129" s="1544"/>
      <c r="Q129" s="1544"/>
      <c r="R129" s="1544"/>
      <c r="S129" s="1544"/>
      <c r="T129" s="1544"/>
      <c r="U129" s="1544"/>
      <c r="V129" s="1544"/>
      <c r="W129" s="1544"/>
      <c r="X129" s="1544"/>
      <c r="Y129" s="1544"/>
      <c r="Z129" s="1544"/>
      <c r="AA129" s="1544"/>
      <c r="AB129" s="1544"/>
      <c r="AC129" s="1544"/>
      <c r="AD129" s="1544"/>
      <c r="AE129" s="1544"/>
      <c r="AF129" s="1544"/>
      <c r="AG129" s="1544"/>
    </row>
    <row r="130" spans="1:33" ht="31.5">
      <c r="A130" s="918">
        <v>81</v>
      </c>
      <c r="B130" s="915" t="s">
        <v>481</v>
      </c>
      <c r="C130" s="966" t="s">
        <v>482</v>
      </c>
      <c r="D130" s="918">
        <v>1</v>
      </c>
      <c r="E130" s="967">
        <v>1</v>
      </c>
      <c r="F130" s="887"/>
      <c r="G130" s="888">
        <v>44872</v>
      </c>
      <c r="H130" s="898">
        <v>19</v>
      </c>
      <c r="I130" s="892">
        <f t="shared" ref="I130:I167" si="69">E130*17697*H130</f>
        <v>336243</v>
      </c>
      <c r="J130" s="892">
        <f t="shared" ref="J130:J167" si="70">I130*10%</f>
        <v>33624.300000000003</v>
      </c>
      <c r="K130" s="887"/>
      <c r="L130" s="887"/>
      <c r="M130" s="887"/>
      <c r="N130" s="887"/>
      <c r="O130" s="887"/>
      <c r="P130" s="887"/>
      <c r="Q130" s="923"/>
      <c r="R130" s="923"/>
      <c r="S130" s="892">
        <f t="shared" ref="S130:S167" si="71">SUM(J130:R130)</f>
        <v>33624.300000000003</v>
      </c>
      <c r="T130" s="892">
        <f t="shared" ref="T130:T167" si="72">I130+S130</f>
        <v>369867.3</v>
      </c>
      <c r="U130" s="892">
        <f t="shared" ref="U130:U167" si="73">T130*10%</f>
        <v>36986.730000000003</v>
      </c>
      <c r="V130" s="892">
        <f t="shared" ref="V130:V167" si="74">((T130-U130-W130)-(14*4552))*10%</f>
        <v>26175.522400000002</v>
      </c>
      <c r="W130" s="892">
        <f t="shared" ref="W130:W167" si="75">T130*2%</f>
        <v>7397.3459999999995</v>
      </c>
      <c r="X130" s="892">
        <f t="shared" ref="X130:X167" si="76">T130-U130-V130-W130</f>
        <v>299307.70159999997</v>
      </c>
      <c r="Y130" s="892">
        <f t="shared" ref="Y130:Y167" si="77">T130*12</f>
        <v>4438407.5999999996</v>
      </c>
      <c r="Z130" s="892">
        <f t="shared" ref="Z130:Z167" si="78">I130</f>
        <v>336243</v>
      </c>
      <c r="AA130" s="892">
        <f t="shared" ref="AA130:AA167" si="79">Y130+Z130</f>
        <v>4774650.5999999996</v>
      </c>
      <c r="AB130" s="892">
        <f t="shared" ref="AB130:AB167" si="80">(AA130*0.9-(W130*12))*11%-AC130</f>
        <v>248066.63568000001</v>
      </c>
      <c r="AC130" s="892">
        <f>AA130*0.9*5%</f>
        <v>214859.277</v>
      </c>
      <c r="AD130" s="892">
        <f t="shared" ref="AD130:AD167" si="81">Y130*3%</f>
        <v>133152.22799999997</v>
      </c>
      <c r="AE130" s="892">
        <f t="shared" ref="AE130:AE167" si="82">AA130*5%</f>
        <v>238732.53</v>
      </c>
      <c r="AF130" s="892">
        <f t="shared" ref="AF130:AF167" si="83">AA130+AB130+AC130+AD130+AE130</f>
        <v>5609461.2706800001</v>
      </c>
      <c r="AG130" s="892" t="s">
        <v>3</v>
      </c>
    </row>
    <row r="131" spans="1:33">
      <c r="A131" s="918">
        <v>82</v>
      </c>
      <c r="B131" s="912" t="s">
        <v>48</v>
      </c>
      <c r="C131" s="968" t="s">
        <v>2342</v>
      </c>
      <c r="D131" s="918">
        <v>1</v>
      </c>
      <c r="E131" s="934">
        <v>1</v>
      </c>
      <c r="F131" s="887"/>
      <c r="G131" s="888">
        <v>44866</v>
      </c>
      <c r="H131" s="895">
        <v>20</v>
      </c>
      <c r="I131" s="892">
        <f t="shared" si="69"/>
        <v>353940</v>
      </c>
      <c r="J131" s="892">
        <f t="shared" si="70"/>
        <v>35394</v>
      </c>
      <c r="K131" s="887"/>
      <c r="L131" s="887"/>
      <c r="M131" s="887"/>
      <c r="N131" s="887"/>
      <c r="O131" s="887"/>
      <c r="P131" s="887"/>
      <c r="Q131" s="923"/>
      <c r="R131" s="923"/>
      <c r="S131" s="892">
        <f t="shared" si="71"/>
        <v>35394</v>
      </c>
      <c r="T131" s="892">
        <f t="shared" si="72"/>
        <v>389334</v>
      </c>
      <c r="U131" s="892">
        <f t="shared" si="73"/>
        <v>38933.4</v>
      </c>
      <c r="V131" s="892">
        <f t="shared" si="74"/>
        <v>27888.592000000001</v>
      </c>
      <c r="W131" s="892">
        <f t="shared" si="75"/>
        <v>7786.68</v>
      </c>
      <c r="X131" s="892">
        <f t="shared" si="76"/>
        <v>314725.32799999998</v>
      </c>
      <c r="Y131" s="892">
        <f t="shared" si="77"/>
        <v>4672008</v>
      </c>
      <c r="Z131" s="892">
        <f t="shared" si="78"/>
        <v>353940</v>
      </c>
      <c r="AA131" s="892">
        <f t="shared" si="79"/>
        <v>5025948</v>
      </c>
      <c r="AB131" s="892">
        <f t="shared" si="80"/>
        <v>261122.77439999999</v>
      </c>
      <c r="AC131" s="892">
        <f t="shared" ref="AC131:AC167" si="84">AA131*0.9*5%</f>
        <v>226167.66000000003</v>
      </c>
      <c r="AD131" s="892">
        <f t="shared" si="81"/>
        <v>140160.24</v>
      </c>
      <c r="AE131" s="892">
        <f t="shared" si="82"/>
        <v>251297.40000000002</v>
      </c>
      <c r="AF131" s="892">
        <f t="shared" si="83"/>
        <v>5904696.0744000003</v>
      </c>
      <c r="AG131" s="892" t="s">
        <v>3</v>
      </c>
    </row>
    <row r="132" spans="1:33" ht="31.5">
      <c r="A132" s="918">
        <v>83</v>
      </c>
      <c r="B132" s="909" t="s">
        <v>483</v>
      </c>
      <c r="C132" s="909" t="s">
        <v>484</v>
      </c>
      <c r="D132" s="918">
        <v>1</v>
      </c>
      <c r="E132" s="967">
        <v>1</v>
      </c>
      <c r="F132" s="887"/>
      <c r="G132" s="888">
        <v>44986</v>
      </c>
      <c r="H132" s="898">
        <v>16</v>
      </c>
      <c r="I132" s="892">
        <f t="shared" si="69"/>
        <v>283152</v>
      </c>
      <c r="J132" s="892">
        <f t="shared" si="70"/>
        <v>28315.200000000001</v>
      </c>
      <c r="K132" s="887"/>
      <c r="L132" s="887"/>
      <c r="M132" s="887"/>
      <c r="N132" s="887"/>
      <c r="O132" s="892"/>
      <c r="P132" s="892"/>
      <c r="Q132" s="969"/>
      <c r="R132" s="892">
        <f>25%*17697</f>
        <v>4424.25</v>
      </c>
      <c r="S132" s="892">
        <f t="shared" si="71"/>
        <v>32739.45</v>
      </c>
      <c r="T132" s="892">
        <f t="shared" si="72"/>
        <v>315891.45</v>
      </c>
      <c r="U132" s="892">
        <f t="shared" si="73"/>
        <v>31589.145000000004</v>
      </c>
      <c r="V132" s="892">
        <f t="shared" si="74"/>
        <v>21425.647599999997</v>
      </c>
      <c r="W132" s="892">
        <f t="shared" si="75"/>
        <v>6317.8290000000006</v>
      </c>
      <c r="X132" s="892">
        <f t="shared" si="76"/>
        <v>256558.82840000003</v>
      </c>
      <c r="Y132" s="892">
        <f t="shared" si="77"/>
        <v>3790697.4000000004</v>
      </c>
      <c r="Z132" s="892">
        <f t="shared" si="78"/>
        <v>283152</v>
      </c>
      <c r="AA132" s="892">
        <f t="shared" si="79"/>
        <v>4073849.4000000004</v>
      </c>
      <c r="AB132" s="892">
        <f t="shared" si="80"/>
        <v>211648.33332000006</v>
      </c>
      <c r="AC132" s="892">
        <f t="shared" si="84"/>
        <v>183323.22300000003</v>
      </c>
      <c r="AD132" s="892">
        <f t="shared" si="81"/>
        <v>113720.92200000001</v>
      </c>
      <c r="AE132" s="892">
        <f t="shared" si="82"/>
        <v>203692.47000000003</v>
      </c>
      <c r="AF132" s="892">
        <f t="shared" si="83"/>
        <v>4786234.3483200008</v>
      </c>
      <c r="AG132" s="892" t="s">
        <v>3</v>
      </c>
    </row>
    <row r="133" spans="1:33">
      <c r="A133" s="918">
        <v>84</v>
      </c>
      <c r="B133" s="909" t="s">
        <v>110</v>
      </c>
      <c r="C133" s="970" t="s">
        <v>485</v>
      </c>
      <c r="D133" s="918">
        <v>1</v>
      </c>
      <c r="E133" s="934">
        <v>1</v>
      </c>
      <c r="F133" s="887"/>
      <c r="G133" s="888">
        <v>42324</v>
      </c>
      <c r="H133" s="895">
        <v>14</v>
      </c>
      <c r="I133" s="892">
        <f t="shared" si="69"/>
        <v>247758</v>
      </c>
      <c r="J133" s="892">
        <f t="shared" si="70"/>
        <v>24775.800000000003</v>
      </c>
      <c r="K133" s="887"/>
      <c r="L133" s="887"/>
      <c r="M133" s="887"/>
      <c r="N133" s="887"/>
      <c r="O133" s="892">
        <f>35%*17697</f>
        <v>6193.95</v>
      </c>
      <c r="P133" s="892"/>
      <c r="Q133" s="969"/>
      <c r="R133" s="969"/>
      <c r="S133" s="892">
        <f t="shared" si="71"/>
        <v>30969.750000000004</v>
      </c>
      <c r="T133" s="892">
        <f t="shared" si="72"/>
        <v>278727.75</v>
      </c>
      <c r="U133" s="892">
        <f t="shared" si="73"/>
        <v>27872.775000000001</v>
      </c>
      <c r="V133" s="892">
        <f t="shared" si="74"/>
        <v>18155.242000000002</v>
      </c>
      <c r="W133" s="892">
        <f t="shared" si="75"/>
        <v>5574.5550000000003</v>
      </c>
      <c r="X133" s="892">
        <f t="shared" si="76"/>
        <v>227125.17800000001</v>
      </c>
      <c r="Y133" s="892">
        <f t="shared" si="77"/>
        <v>3344733</v>
      </c>
      <c r="Z133" s="892">
        <f t="shared" si="78"/>
        <v>247758</v>
      </c>
      <c r="AA133" s="892">
        <f t="shared" si="79"/>
        <v>3592491</v>
      </c>
      <c r="AB133" s="892">
        <f t="shared" si="80"/>
        <v>186636.10139999996</v>
      </c>
      <c r="AC133" s="892">
        <f t="shared" si="84"/>
        <v>161662.095</v>
      </c>
      <c r="AD133" s="892">
        <f t="shared" si="81"/>
        <v>100341.98999999999</v>
      </c>
      <c r="AE133" s="892">
        <f t="shared" si="82"/>
        <v>179624.55000000002</v>
      </c>
      <c r="AF133" s="892">
        <f t="shared" si="83"/>
        <v>4220755.7363999998</v>
      </c>
      <c r="AG133" s="892" t="s">
        <v>3</v>
      </c>
    </row>
    <row r="134" spans="1:33">
      <c r="A134" s="918">
        <v>85</v>
      </c>
      <c r="B134" s="970" t="s">
        <v>486</v>
      </c>
      <c r="C134" s="936" t="s">
        <v>487</v>
      </c>
      <c r="D134" s="918">
        <v>1</v>
      </c>
      <c r="E134" s="934">
        <v>1</v>
      </c>
      <c r="F134" s="887"/>
      <c r="G134" s="901">
        <v>44075</v>
      </c>
      <c r="H134" s="895">
        <v>18</v>
      </c>
      <c r="I134" s="892">
        <f t="shared" si="69"/>
        <v>318546</v>
      </c>
      <c r="J134" s="892">
        <f t="shared" si="70"/>
        <v>31854.600000000002</v>
      </c>
      <c r="K134" s="887"/>
      <c r="L134" s="887"/>
      <c r="M134" s="887"/>
      <c r="N134" s="887"/>
      <c r="O134" s="892"/>
      <c r="P134" s="892"/>
      <c r="Q134" s="969"/>
      <c r="R134" s="969"/>
      <c r="S134" s="892">
        <f t="shared" si="71"/>
        <v>31854.600000000002</v>
      </c>
      <c r="T134" s="892">
        <f t="shared" si="72"/>
        <v>350400.6</v>
      </c>
      <c r="U134" s="892">
        <f t="shared" si="73"/>
        <v>35040.06</v>
      </c>
      <c r="V134" s="892">
        <f t="shared" si="74"/>
        <v>24462.452799999999</v>
      </c>
      <c r="W134" s="892">
        <f t="shared" si="75"/>
        <v>7008.0119999999997</v>
      </c>
      <c r="X134" s="892">
        <f t="shared" si="76"/>
        <v>283890.07519999996</v>
      </c>
      <c r="Y134" s="892">
        <f t="shared" si="77"/>
        <v>4204807.1999999993</v>
      </c>
      <c r="Z134" s="892">
        <f t="shared" si="78"/>
        <v>318546</v>
      </c>
      <c r="AA134" s="892">
        <f t="shared" si="79"/>
        <v>4523353.1999999993</v>
      </c>
      <c r="AB134" s="892">
        <f t="shared" si="80"/>
        <v>235010.49695999996</v>
      </c>
      <c r="AC134" s="892">
        <f t="shared" si="84"/>
        <v>203550.89399999997</v>
      </c>
      <c r="AD134" s="892">
        <f t="shared" si="81"/>
        <v>126144.21599999997</v>
      </c>
      <c r="AE134" s="892">
        <f t="shared" si="82"/>
        <v>226167.65999999997</v>
      </c>
      <c r="AF134" s="892">
        <f t="shared" si="83"/>
        <v>5314226.4669599999</v>
      </c>
      <c r="AG134" s="892" t="s">
        <v>3</v>
      </c>
    </row>
    <row r="135" spans="1:33">
      <c r="A135" s="918">
        <v>86</v>
      </c>
      <c r="B135" s="915" t="s">
        <v>832</v>
      </c>
      <c r="C135" s="966" t="s">
        <v>2343</v>
      </c>
      <c r="D135" s="1559">
        <v>2</v>
      </c>
      <c r="E135" s="971">
        <v>1</v>
      </c>
      <c r="F135" s="887"/>
      <c r="G135" s="888">
        <v>44875</v>
      </c>
      <c r="H135" s="898">
        <v>13</v>
      </c>
      <c r="I135" s="892">
        <f t="shared" si="69"/>
        <v>230061</v>
      </c>
      <c r="J135" s="892">
        <f t="shared" si="70"/>
        <v>23006.100000000002</v>
      </c>
      <c r="K135" s="887"/>
      <c r="L135" s="887"/>
      <c r="M135" s="887"/>
      <c r="N135" s="887"/>
      <c r="O135" s="892"/>
      <c r="P135" s="892"/>
      <c r="Q135" s="969"/>
      <c r="R135" s="969"/>
      <c r="S135" s="892">
        <f t="shared" si="71"/>
        <v>23006.100000000002</v>
      </c>
      <c r="T135" s="892">
        <f t="shared" si="72"/>
        <v>253067.1</v>
      </c>
      <c r="U135" s="892">
        <f t="shared" si="73"/>
        <v>25306.710000000003</v>
      </c>
      <c r="V135" s="892">
        <f t="shared" si="74"/>
        <v>15897.104800000001</v>
      </c>
      <c r="W135" s="892">
        <f t="shared" si="75"/>
        <v>5061.3420000000006</v>
      </c>
      <c r="X135" s="892">
        <f t="shared" si="76"/>
        <v>206801.94320000001</v>
      </c>
      <c r="Y135" s="892">
        <f t="shared" si="77"/>
        <v>3036805.2</v>
      </c>
      <c r="Z135" s="892">
        <f t="shared" si="78"/>
        <v>230061</v>
      </c>
      <c r="AA135" s="892">
        <f t="shared" si="79"/>
        <v>3266866.2</v>
      </c>
      <c r="AB135" s="892">
        <f t="shared" si="80"/>
        <v>169729.80335999999</v>
      </c>
      <c r="AC135" s="892">
        <f t="shared" si="84"/>
        <v>147008.97900000002</v>
      </c>
      <c r="AD135" s="892">
        <f t="shared" si="81"/>
        <v>91104.156000000003</v>
      </c>
      <c r="AE135" s="892">
        <f t="shared" si="82"/>
        <v>163343.31000000003</v>
      </c>
      <c r="AF135" s="892">
        <f t="shared" si="83"/>
        <v>3838052.4483599998</v>
      </c>
      <c r="AG135" s="892" t="s">
        <v>3</v>
      </c>
    </row>
    <row r="136" spans="1:33">
      <c r="A136" s="918">
        <v>87</v>
      </c>
      <c r="B136" s="915" t="s">
        <v>832</v>
      </c>
      <c r="C136" s="932" t="s">
        <v>839</v>
      </c>
      <c r="D136" s="1561"/>
      <c r="E136" s="971">
        <v>1</v>
      </c>
      <c r="F136" s="887"/>
      <c r="G136" s="887"/>
      <c r="H136" s="898">
        <v>15</v>
      </c>
      <c r="I136" s="892">
        <f t="shared" si="69"/>
        <v>265455</v>
      </c>
      <c r="J136" s="892">
        <f t="shared" si="70"/>
        <v>26545.5</v>
      </c>
      <c r="K136" s="887"/>
      <c r="L136" s="887"/>
      <c r="M136" s="887"/>
      <c r="N136" s="887"/>
      <c r="O136" s="892"/>
      <c r="P136" s="892"/>
      <c r="Q136" s="969"/>
      <c r="R136" s="969"/>
      <c r="S136" s="892">
        <f t="shared" si="71"/>
        <v>26545.5</v>
      </c>
      <c r="T136" s="892">
        <f t="shared" si="72"/>
        <v>292000.5</v>
      </c>
      <c r="U136" s="892">
        <f t="shared" si="73"/>
        <v>29200.050000000003</v>
      </c>
      <c r="V136" s="892">
        <f t="shared" si="74"/>
        <v>19323.244000000002</v>
      </c>
      <c r="W136" s="892">
        <f t="shared" si="75"/>
        <v>5840.01</v>
      </c>
      <c r="X136" s="892">
        <f t="shared" si="76"/>
        <v>237637.196</v>
      </c>
      <c r="Y136" s="892">
        <f t="shared" si="77"/>
        <v>3504006</v>
      </c>
      <c r="Z136" s="892">
        <f t="shared" si="78"/>
        <v>265455</v>
      </c>
      <c r="AA136" s="892">
        <f t="shared" si="79"/>
        <v>3769461</v>
      </c>
      <c r="AB136" s="892">
        <f t="shared" si="80"/>
        <v>195842.0808</v>
      </c>
      <c r="AC136" s="892">
        <f t="shared" si="84"/>
        <v>169625.745</v>
      </c>
      <c r="AD136" s="892">
        <f t="shared" si="81"/>
        <v>105120.18</v>
      </c>
      <c r="AE136" s="892">
        <f t="shared" si="82"/>
        <v>188473.05000000002</v>
      </c>
      <c r="AF136" s="892">
        <f t="shared" si="83"/>
        <v>4428522.0558000002</v>
      </c>
      <c r="AG136" s="892" t="s">
        <v>3</v>
      </c>
    </row>
    <row r="137" spans="1:33" ht="31.5">
      <c r="A137" s="918">
        <v>88</v>
      </c>
      <c r="B137" s="909" t="s">
        <v>488</v>
      </c>
      <c r="C137" s="909" t="s">
        <v>489</v>
      </c>
      <c r="D137" s="918">
        <v>1</v>
      </c>
      <c r="E137" s="934">
        <v>1</v>
      </c>
      <c r="F137" s="887"/>
      <c r="G137" s="888">
        <v>42780</v>
      </c>
      <c r="H137" s="895">
        <v>12</v>
      </c>
      <c r="I137" s="892">
        <f t="shared" si="69"/>
        <v>212364</v>
      </c>
      <c r="J137" s="892">
        <f t="shared" si="70"/>
        <v>21236.400000000001</v>
      </c>
      <c r="K137" s="887"/>
      <c r="L137" s="887"/>
      <c r="M137" s="887"/>
      <c r="N137" s="887"/>
      <c r="O137" s="892"/>
      <c r="P137" s="892"/>
      <c r="Q137" s="969"/>
      <c r="R137" s="969"/>
      <c r="S137" s="892">
        <f t="shared" si="71"/>
        <v>21236.400000000001</v>
      </c>
      <c r="T137" s="892">
        <f t="shared" si="72"/>
        <v>233600.4</v>
      </c>
      <c r="U137" s="892">
        <f t="shared" si="73"/>
        <v>23360.04</v>
      </c>
      <c r="V137" s="892">
        <f t="shared" si="74"/>
        <v>14184.035199999998</v>
      </c>
      <c r="W137" s="892">
        <f t="shared" si="75"/>
        <v>4672.0079999999998</v>
      </c>
      <c r="X137" s="892">
        <f t="shared" si="76"/>
        <v>191384.3168</v>
      </c>
      <c r="Y137" s="892">
        <f t="shared" si="77"/>
        <v>2803204.8</v>
      </c>
      <c r="Z137" s="892">
        <f t="shared" si="78"/>
        <v>212364</v>
      </c>
      <c r="AA137" s="892">
        <f t="shared" si="79"/>
        <v>3015568.8</v>
      </c>
      <c r="AB137" s="892">
        <f t="shared" si="80"/>
        <v>156673.66464</v>
      </c>
      <c r="AC137" s="892">
        <f t="shared" si="84"/>
        <v>135700.59599999999</v>
      </c>
      <c r="AD137" s="892">
        <f t="shared" si="81"/>
        <v>84096.143999999986</v>
      </c>
      <c r="AE137" s="892">
        <f t="shared" si="82"/>
        <v>150778.44</v>
      </c>
      <c r="AF137" s="892">
        <f t="shared" si="83"/>
        <v>3542817.6446399996</v>
      </c>
      <c r="AG137" s="892" t="s">
        <v>3</v>
      </c>
    </row>
    <row r="138" spans="1:33">
      <c r="A138" s="918">
        <v>89</v>
      </c>
      <c r="B138" s="912" t="s">
        <v>490</v>
      </c>
      <c r="C138" s="909" t="s">
        <v>491</v>
      </c>
      <c r="D138" s="1562">
        <v>2</v>
      </c>
      <c r="E138" s="967">
        <v>1</v>
      </c>
      <c r="F138" s="887"/>
      <c r="G138" s="887"/>
      <c r="H138" s="898">
        <v>15</v>
      </c>
      <c r="I138" s="892">
        <f t="shared" si="69"/>
        <v>265455</v>
      </c>
      <c r="J138" s="892">
        <f t="shared" si="70"/>
        <v>26545.5</v>
      </c>
      <c r="K138" s="887"/>
      <c r="L138" s="887"/>
      <c r="M138" s="887"/>
      <c r="N138" s="887"/>
      <c r="O138" s="892"/>
      <c r="P138" s="892"/>
      <c r="Q138" s="969"/>
      <c r="R138" s="969"/>
      <c r="S138" s="892">
        <f t="shared" si="71"/>
        <v>26545.5</v>
      </c>
      <c r="T138" s="892">
        <f t="shared" si="72"/>
        <v>292000.5</v>
      </c>
      <c r="U138" s="892">
        <f t="shared" si="73"/>
        <v>29200.050000000003</v>
      </c>
      <c r="V138" s="892">
        <f t="shared" si="74"/>
        <v>19323.244000000002</v>
      </c>
      <c r="W138" s="892">
        <f t="shared" si="75"/>
        <v>5840.01</v>
      </c>
      <c r="X138" s="892">
        <f t="shared" si="76"/>
        <v>237637.196</v>
      </c>
      <c r="Y138" s="892">
        <f t="shared" si="77"/>
        <v>3504006</v>
      </c>
      <c r="Z138" s="892">
        <f t="shared" si="78"/>
        <v>265455</v>
      </c>
      <c r="AA138" s="892">
        <f t="shared" si="79"/>
        <v>3769461</v>
      </c>
      <c r="AB138" s="892">
        <f t="shared" si="80"/>
        <v>195842.0808</v>
      </c>
      <c r="AC138" s="892">
        <f t="shared" si="84"/>
        <v>169625.745</v>
      </c>
      <c r="AD138" s="892">
        <f t="shared" si="81"/>
        <v>105120.18</v>
      </c>
      <c r="AE138" s="892">
        <f t="shared" si="82"/>
        <v>188473.05000000002</v>
      </c>
      <c r="AF138" s="892">
        <f t="shared" si="83"/>
        <v>4428522.0558000002</v>
      </c>
      <c r="AG138" s="892" t="s">
        <v>3</v>
      </c>
    </row>
    <row r="139" spans="1:33" ht="19.5" customHeight="1">
      <c r="A139" s="918">
        <v>90</v>
      </c>
      <c r="B139" s="912" t="s">
        <v>490</v>
      </c>
      <c r="C139" s="909" t="s">
        <v>491</v>
      </c>
      <c r="D139" s="1563"/>
      <c r="E139" s="934">
        <v>1</v>
      </c>
      <c r="F139" s="887"/>
      <c r="G139" s="888">
        <v>43654</v>
      </c>
      <c r="H139" s="895">
        <v>12</v>
      </c>
      <c r="I139" s="892">
        <f t="shared" si="69"/>
        <v>212364</v>
      </c>
      <c r="J139" s="892">
        <f t="shared" si="70"/>
        <v>21236.400000000001</v>
      </c>
      <c r="K139" s="887"/>
      <c r="L139" s="887"/>
      <c r="M139" s="887"/>
      <c r="N139" s="887"/>
      <c r="O139" s="892"/>
      <c r="P139" s="892"/>
      <c r="Q139" s="969"/>
      <c r="R139" s="969"/>
      <c r="S139" s="892">
        <f t="shared" si="71"/>
        <v>21236.400000000001</v>
      </c>
      <c r="T139" s="892">
        <f t="shared" si="72"/>
        <v>233600.4</v>
      </c>
      <c r="U139" s="892">
        <f t="shared" si="73"/>
        <v>23360.04</v>
      </c>
      <c r="V139" s="892">
        <f t="shared" si="74"/>
        <v>14184.035199999998</v>
      </c>
      <c r="W139" s="892">
        <f t="shared" si="75"/>
        <v>4672.0079999999998</v>
      </c>
      <c r="X139" s="892">
        <f t="shared" si="76"/>
        <v>191384.3168</v>
      </c>
      <c r="Y139" s="892">
        <f t="shared" si="77"/>
        <v>2803204.8</v>
      </c>
      <c r="Z139" s="892">
        <f t="shared" si="78"/>
        <v>212364</v>
      </c>
      <c r="AA139" s="892">
        <f t="shared" si="79"/>
        <v>3015568.8</v>
      </c>
      <c r="AB139" s="892">
        <f t="shared" si="80"/>
        <v>156673.66464</v>
      </c>
      <c r="AC139" s="892">
        <f t="shared" si="84"/>
        <v>135700.59599999999</v>
      </c>
      <c r="AD139" s="892">
        <f t="shared" si="81"/>
        <v>84096.143999999986</v>
      </c>
      <c r="AE139" s="892">
        <f t="shared" si="82"/>
        <v>150778.44</v>
      </c>
      <c r="AF139" s="892">
        <f t="shared" si="83"/>
        <v>3542817.6446399996</v>
      </c>
      <c r="AG139" s="892" t="s">
        <v>3</v>
      </c>
    </row>
    <row r="140" spans="1:33">
      <c r="A140" s="918">
        <v>91</v>
      </c>
      <c r="B140" s="909" t="s">
        <v>492</v>
      </c>
      <c r="C140" s="937" t="s">
        <v>493</v>
      </c>
      <c r="D140" s="918">
        <v>1</v>
      </c>
      <c r="E140" s="934">
        <v>1</v>
      </c>
      <c r="F140" s="887"/>
      <c r="G140" s="888">
        <v>44508</v>
      </c>
      <c r="H140" s="895">
        <v>11</v>
      </c>
      <c r="I140" s="892">
        <f t="shared" si="69"/>
        <v>194667</v>
      </c>
      <c r="J140" s="892">
        <f t="shared" si="70"/>
        <v>19466.7</v>
      </c>
      <c r="K140" s="887"/>
      <c r="L140" s="887"/>
      <c r="M140" s="887"/>
      <c r="N140" s="887"/>
      <c r="O140" s="892"/>
      <c r="P140" s="892"/>
      <c r="Q140" s="969"/>
      <c r="R140" s="969"/>
      <c r="S140" s="892">
        <f t="shared" si="71"/>
        <v>19466.7</v>
      </c>
      <c r="T140" s="892">
        <f t="shared" si="72"/>
        <v>214133.7</v>
      </c>
      <c r="U140" s="892">
        <f t="shared" si="73"/>
        <v>21413.370000000003</v>
      </c>
      <c r="V140" s="892">
        <f t="shared" si="74"/>
        <v>12470.965600000003</v>
      </c>
      <c r="W140" s="892">
        <f t="shared" si="75"/>
        <v>4282.674</v>
      </c>
      <c r="X140" s="892">
        <f t="shared" si="76"/>
        <v>175966.69040000002</v>
      </c>
      <c r="Y140" s="892">
        <f t="shared" si="77"/>
        <v>2569604.4000000004</v>
      </c>
      <c r="Z140" s="892">
        <f t="shared" si="78"/>
        <v>194667</v>
      </c>
      <c r="AA140" s="892">
        <f t="shared" si="79"/>
        <v>2764271.4000000004</v>
      </c>
      <c r="AB140" s="892">
        <f t="shared" si="80"/>
        <v>143617.52592000001</v>
      </c>
      <c r="AC140" s="892">
        <f t="shared" si="84"/>
        <v>124392.21300000002</v>
      </c>
      <c r="AD140" s="892">
        <f t="shared" si="81"/>
        <v>77088.132000000012</v>
      </c>
      <c r="AE140" s="892">
        <f t="shared" si="82"/>
        <v>138213.57000000004</v>
      </c>
      <c r="AF140" s="892">
        <f t="shared" si="83"/>
        <v>3247582.8409200003</v>
      </c>
      <c r="AG140" s="892" t="s">
        <v>3</v>
      </c>
    </row>
    <row r="141" spans="1:33">
      <c r="A141" s="918">
        <v>92</v>
      </c>
      <c r="B141" s="909" t="s">
        <v>53</v>
      </c>
      <c r="C141" s="972" t="s">
        <v>833</v>
      </c>
      <c r="D141" s="1562">
        <v>2</v>
      </c>
      <c r="E141" s="934">
        <v>1</v>
      </c>
      <c r="F141" s="887"/>
      <c r="G141" s="888">
        <v>45246</v>
      </c>
      <c r="H141" s="895">
        <v>12</v>
      </c>
      <c r="I141" s="892">
        <f t="shared" si="69"/>
        <v>212364</v>
      </c>
      <c r="J141" s="892">
        <f t="shared" si="70"/>
        <v>21236.400000000001</v>
      </c>
      <c r="K141" s="887"/>
      <c r="L141" s="887"/>
      <c r="M141" s="887"/>
      <c r="N141" s="887"/>
      <c r="O141" s="892"/>
      <c r="P141" s="892"/>
      <c r="Q141" s="969"/>
      <c r="R141" s="969"/>
      <c r="S141" s="892">
        <f t="shared" si="71"/>
        <v>21236.400000000001</v>
      </c>
      <c r="T141" s="892">
        <f t="shared" si="72"/>
        <v>233600.4</v>
      </c>
      <c r="U141" s="892">
        <f t="shared" si="73"/>
        <v>23360.04</v>
      </c>
      <c r="V141" s="892">
        <f t="shared" si="74"/>
        <v>14184.035199999998</v>
      </c>
      <c r="W141" s="892">
        <f t="shared" si="75"/>
        <v>4672.0079999999998</v>
      </c>
      <c r="X141" s="892">
        <f t="shared" si="76"/>
        <v>191384.3168</v>
      </c>
      <c r="Y141" s="892">
        <f t="shared" si="77"/>
        <v>2803204.8</v>
      </c>
      <c r="Z141" s="892">
        <f t="shared" si="78"/>
        <v>212364</v>
      </c>
      <c r="AA141" s="892">
        <f t="shared" si="79"/>
        <v>3015568.8</v>
      </c>
      <c r="AB141" s="892">
        <f t="shared" si="80"/>
        <v>156673.66464</v>
      </c>
      <c r="AC141" s="892">
        <f t="shared" si="84"/>
        <v>135700.59599999999</v>
      </c>
      <c r="AD141" s="892">
        <f t="shared" si="81"/>
        <v>84096.143999999986</v>
      </c>
      <c r="AE141" s="892">
        <f t="shared" si="82"/>
        <v>150778.44</v>
      </c>
      <c r="AF141" s="892">
        <f t="shared" si="83"/>
        <v>3542817.6446399996</v>
      </c>
      <c r="AG141" s="892" t="s">
        <v>3</v>
      </c>
    </row>
    <row r="142" spans="1:33">
      <c r="A142" s="918">
        <v>93</v>
      </c>
      <c r="B142" s="915" t="s">
        <v>53</v>
      </c>
      <c r="C142" s="915" t="s">
        <v>494</v>
      </c>
      <c r="D142" s="1563"/>
      <c r="E142" s="967">
        <v>1</v>
      </c>
      <c r="F142" s="887"/>
      <c r="G142" s="888">
        <v>44219</v>
      </c>
      <c r="H142" s="898">
        <v>12</v>
      </c>
      <c r="I142" s="892">
        <f t="shared" si="69"/>
        <v>212364</v>
      </c>
      <c r="J142" s="892">
        <f t="shared" si="70"/>
        <v>21236.400000000001</v>
      </c>
      <c r="K142" s="887"/>
      <c r="L142" s="887"/>
      <c r="M142" s="887"/>
      <c r="N142" s="887"/>
      <c r="O142" s="892"/>
      <c r="P142" s="892"/>
      <c r="Q142" s="969"/>
      <c r="R142" s="969"/>
      <c r="S142" s="892">
        <f t="shared" si="71"/>
        <v>21236.400000000001</v>
      </c>
      <c r="T142" s="892">
        <f t="shared" si="72"/>
        <v>233600.4</v>
      </c>
      <c r="U142" s="892">
        <f t="shared" si="73"/>
        <v>23360.04</v>
      </c>
      <c r="V142" s="892">
        <f t="shared" si="74"/>
        <v>14184.035199999998</v>
      </c>
      <c r="W142" s="892">
        <f t="shared" si="75"/>
        <v>4672.0079999999998</v>
      </c>
      <c r="X142" s="892">
        <f t="shared" si="76"/>
        <v>191384.3168</v>
      </c>
      <c r="Y142" s="892">
        <f t="shared" si="77"/>
        <v>2803204.8</v>
      </c>
      <c r="Z142" s="892">
        <f t="shared" si="78"/>
        <v>212364</v>
      </c>
      <c r="AA142" s="892">
        <f t="shared" si="79"/>
        <v>3015568.8</v>
      </c>
      <c r="AB142" s="892">
        <f t="shared" si="80"/>
        <v>156673.66464</v>
      </c>
      <c r="AC142" s="892">
        <f t="shared" si="84"/>
        <v>135700.59599999999</v>
      </c>
      <c r="AD142" s="892">
        <f t="shared" si="81"/>
        <v>84096.143999999986</v>
      </c>
      <c r="AE142" s="892">
        <f t="shared" si="82"/>
        <v>150778.44</v>
      </c>
      <c r="AF142" s="892">
        <f t="shared" si="83"/>
        <v>3542817.6446399996</v>
      </c>
      <c r="AG142" s="892" t="s">
        <v>3</v>
      </c>
    </row>
    <row r="143" spans="1:33" ht="47.25">
      <c r="A143" s="918">
        <v>94</v>
      </c>
      <c r="B143" s="909" t="s">
        <v>834</v>
      </c>
      <c r="C143" s="909" t="s">
        <v>495</v>
      </c>
      <c r="D143" s="1562">
        <v>2</v>
      </c>
      <c r="E143" s="934">
        <v>1</v>
      </c>
      <c r="F143" s="887"/>
      <c r="G143" s="888">
        <v>44201</v>
      </c>
      <c r="H143" s="895">
        <v>13</v>
      </c>
      <c r="I143" s="892">
        <f t="shared" si="69"/>
        <v>230061</v>
      </c>
      <c r="J143" s="892">
        <f t="shared" si="70"/>
        <v>23006.100000000002</v>
      </c>
      <c r="K143" s="887"/>
      <c r="L143" s="887"/>
      <c r="M143" s="887"/>
      <c r="N143" s="887"/>
      <c r="O143" s="892"/>
      <c r="P143" s="892"/>
      <c r="Q143" s="969"/>
      <c r="R143" s="892">
        <f t="shared" ref="R143:R144" si="85">25%*17697</f>
        <v>4424.25</v>
      </c>
      <c r="S143" s="892">
        <f t="shared" si="71"/>
        <v>27430.350000000002</v>
      </c>
      <c r="T143" s="892">
        <f t="shared" si="72"/>
        <v>257491.35</v>
      </c>
      <c r="U143" s="892">
        <f t="shared" si="73"/>
        <v>25749.135000000002</v>
      </c>
      <c r="V143" s="892">
        <f t="shared" si="74"/>
        <v>16286.438800000002</v>
      </c>
      <c r="W143" s="892">
        <f t="shared" si="75"/>
        <v>5149.8270000000002</v>
      </c>
      <c r="X143" s="892">
        <f t="shared" si="76"/>
        <v>210305.9492</v>
      </c>
      <c r="Y143" s="892">
        <f t="shared" si="77"/>
        <v>3089896.2</v>
      </c>
      <c r="Z143" s="892">
        <f t="shared" si="78"/>
        <v>230061</v>
      </c>
      <c r="AA143" s="892">
        <f t="shared" si="79"/>
        <v>3319957.2</v>
      </c>
      <c r="AB143" s="892">
        <f t="shared" si="80"/>
        <v>172479.91716000001</v>
      </c>
      <c r="AC143" s="892">
        <f t="shared" si="84"/>
        <v>149398.07400000002</v>
      </c>
      <c r="AD143" s="892">
        <f t="shared" si="81"/>
        <v>92696.885999999999</v>
      </c>
      <c r="AE143" s="892">
        <f t="shared" si="82"/>
        <v>165997.86000000002</v>
      </c>
      <c r="AF143" s="892">
        <f t="shared" si="83"/>
        <v>3900529.9371600002</v>
      </c>
      <c r="AG143" s="892" t="s">
        <v>3</v>
      </c>
    </row>
    <row r="144" spans="1:33" ht="47.25">
      <c r="A144" s="918">
        <v>95</v>
      </c>
      <c r="B144" s="909" t="s">
        <v>834</v>
      </c>
      <c r="C144" s="909" t="s">
        <v>496</v>
      </c>
      <c r="D144" s="1563"/>
      <c r="E144" s="934">
        <v>1</v>
      </c>
      <c r="F144" s="887"/>
      <c r="G144" s="888">
        <v>44593</v>
      </c>
      <c r="H144" s="895">
        <v>11</v>
      </c>
      <c r="I144" s="892">
        <f t="shared" si="69"/>
        <v>194667</v>
      </c>
      <c r="J144" s="892">
        <f t="shared" si="70"/>
        <v>19466.7</v>
      </c>
      <c r="K144" s="887"/>
      <c r="L144" s="887"/>
      <c r="M144" s="887"/>
      <c r="N144" s="887"/>
      <c r="O144" s="892"/>
      <c r="P144" s="892"/>
      <c r="Q144" s="969"/>
      <c r="R144" s="892">
        <f t="shared" si="85"/>
        <v>4424.25</v>
      </c>
      <c r="S144" s="892">
        <f t="shared" si="71"/>
        <v>23890.95</v>
      </c>
      <c r="T144" s="892">
        <f t="shared" si="72"/>
        <v>218557.95</v>
      </c>
      <c r="U144" s="892">
        <f t="shared" si="73"/>
        <v>21855.795000000002</v>
      </c>
      <c r="V144" s="892">
        <f t="shared" si="74"/>
        <v>12860.299599999998</v>
      </c>
      <c r="W144" s="892">
        <f t="shared" si="75"/>
        <v>4371.1590000000006</v>
      </c>
      <c r="X144" s="892">
        <f t="shared" si="76"/>
        <v>179470.69639999999</v>
      </c>
      <c r="Y144" s="892">
        <f t="shared" si="77"/>
        <v>2622695.4000000004</v>
      </c>
      <c r="Z144" s="892">
        <f t="shared" si="78"/>
        <v>194667</v>
      </c>
      <c r="AA144" s="892">
        <f t="shared" si="79"/>
        <v>2817362.4000000004</v>
      </c>
      <c r="AB144" s="892">
        <f t="shared" si="80"/>
        <v>146367.63972000009</v>
      </c>
      <c r="AC144" s="892">
        <f t="shared" si="84"/>
        <v>126781.30800000003</v>
      </c>
      <c r="AD144" s="892">
        <f t="shared" si="81"/>
        <v>78680.862000000008</v>
      </c>
      <c r="AE144" s="892">
        <f t="shared" si="82"/>
        <v>140868.12000000002</v>
      </c>
      <c r="AF144" s="892">
        <f t="shared" si="83"/>
        <v>3310060.3297200012</v>
      </c>
      <c r="AG144" s="892" t="s">
        <v>3</v>
      </c>
    </row>
    <row r="145" spans="1:33" ht="31.5">
      <c r="A145" s="918">
        <v>96</v>
      </c>
      <c r="B145" s="909" t="s">
        <v>14</v>
      </c>
      <c r="C145" s="970" t="s">
        <v>2344</v>
      </c>
      <c r="D145" s="1562">
        <v>25</v>
      </c>
      <c r="E145" s="934">
        <v>1</v>
      </c>
      <c r="F145" s="887"/>
      <c r="G145" s="888">
        <v>44204</v>
      </c>
      <c r="H145" s="895">
        <v>10</v>
      </c>
      <c r="I145" s="892">
        <f t="shared" si="69"/>
        <v>176970</v>
      </c>
      <c r="J145" s="892">
        <f t="shared" si="70"/>
        <v>17697</v>
      </c>
      <c r="K145" s="887"/>
      <c r="L145" s="887"/>
      <c r="M145" s="887"/>
      <c r="N145" s="887"/>
      <c r="O145" s="918"/>
      <c r="P145" s="939">
        <f>17697*30%</f>
        <v>5309.0999999999995</v>
      </c>
      <c r="Q145" s="973"/>
      <c r="R145" s="973"/>
      <c r="S145" s="892">
        <f t="shared" si="71"/>
        <v>23006.1</v>
      </c>
      <c r="T145" s="892">
        <f t="shared" si="72"/>
        <v>199976.1</v>
      </c>
      <c r="U145" s="892">
        <f t="shared" si="73"/>
        <v>19997.61</v>
      </c>
      <c r="V145" s="892">
        <f t="shared" si="74"/>
        <v>11225.096799999999</v>
      </c>
      <c r="W145" s="892">
        <f t="shared" si="75"/>
        <v>3999.5220000000004</v>
      </c>
      <c r="X145" s="892">
        <f t="shared" si="76"/>
        <v>164753.87119999999</v>
      </c>
      <c r="Y145" s="892">
        <f t="shared" si="77"/>
        <v>2399713.2000000002</v>
      </c>
      <c r="Z145" s="892">
        <f t="shared" si="78"/>
        <v>176970</v>
      </c>
      <c r="AA145" s="892">
        <f t="shared" si="79"/>
        <v>2576683.2000000002</v>
      </c>
      <c r="AB145" s="892">
        <f t="shared" si="80"/>
        <v>133861.52376000001</v>
      </c>
      <c r="AC145" s="892">
        <f t="shared" si="84"/>
        <v>115950.74400000002</v>
      </c>
      <c r="AD145" s="892">
        <f t="shared" si="81"/>
        <v>71991.396000000008</v>
      </c>
      <c r="AE145" s="892">
        <f t="shared" si="82"/>
        <v>128834.16000000002</v>
      </c>
      <c r="AF145" s="892">
        <f t="shared" si="83"/>
        <v>3027321.0237600007</v>
      </c>
      <c r="AG145" s="892" t="s">
        <v>3</v>
      </c>
    </row>
    <row r="146" spans="1:33" ht="31.5">
      <c r="A146" s="918">
        <v>97</v>
      </c>
      <c r="B146" s="909" t="s">
        <v>14</v>
      </c>
      <c r="C146" s="909" t="s">
        <v>2345</v>
      </c>
      <c r="D146" s="1564"/>
      <c r="E146" s="934">
        <v>1</v>
      </c>
      <c r="F146" s="887"/>
      <c r="G146" s="888">
        <v>42248</v>
      </c>
      <c r="H146" s="895">
        <v>10</v>
      </c>
      <c r="I146" s="892">
        <f t="shared" si="69"/>
        <v>176970</v>
      </c>
      <c r="J146" s="892">
        <f t="shared" si="70"/>
        <v>17697</v>
      </c>
      <c r="K146" s="887"/>
      <c r="L146" s="887"/>
      <c r="M146" s="887"/>
      <c r="N146" s="887"/>
      <c r="O146" s="887"/>
      <c r="P146" s="939">
        <f>17697*30%</f>
        <v>5309.0999999999995</v>
      </c>
      <c r="Q146" s="923"/>
      <c r="R146" s="923"/>
      <c r="S146" s="892">
        <f t="shared" si="71"/>
        <v>23006.1</v>
      </c>
      <c r="T146" s="892">
        <f t="shared" si="72"/>
        <v>199976.1</v>
      </c>
      <c r="U146" s="892">
        <f t="shared" si="73"/>
        <v>19997.61</v>
      </c>
      <c r="V146" s="892">
        <f t="shared" si="74"/>
        <v>11225.096799999999</v>
      </c>
      <c r="W146" s="892">
        <f t="shared" si="75"/>
        <v>3999.5220000000004</v>
      </c>
      <c r="X146" s="892">
        <f t="shared" si="76"/>
        <v>164753.87119999999</v>
      </c>
      <c r="Y146" s="892">
        <f t="shared" si="77"/>
        <v>2399713.2000000002</v>
      </c>
      <c r="Z146" s="892">
        <f t="shared" si="78"/>
        <v>176970</v>
      </c>
      <c r="AA146" s="892">
        <f t="shared" si="79"/>
        <v>2576683.2000000002</v>
      </c>
      <c r="AB146" s="892">
        <f t="shared" si="80"/>
        <v>133861.52376000001</v>
      </c>
      <c r="AC146" s="892">
        <f t="shared" si="84"/>
        <v>115950.74400000002</v>
      </c>
      <c r="AD146" s="892">
        <f t="shared" si="81"/>
        <v>71991.396000000008</v>
      </c>
      <c r="AE146" s="892">
        <f t="shared" si="82"/>
        <v>128834.16000000002</v>
      </c>
      <c r="AF146" s="892">
        <f t="shared" si="83"/>
        <v>3027321.0237600007</v>
      </c>
      <c r="AG146" s="892" t="s">
        <v>3</v>
      </c>
    </row>
    <row r="147" spans="1:33" ht="31.5">
      <c r="A147" s="918">
        <v>98</v>
      </c>
      <c r="B147" s="909" t="s">
        <v>14</v>
      </c>
      <c r="C147" s="915" t="s">
        <v>497</v>
      </c>
      <c r="D147" s="1564"/>
      <c r="E147" s="934">
        <v>1</v>
      </c>
      <c r="F147" s="887"/>
      <c r="G147" s="888">
        <v>44294</v>
      </c>
      <c r="H147" s="895">
        <v>10</v>
      </c>
      <c r="I147" s="892">
        <f t="shared" si="69"/>
        <v>176970</v>
      </c>
      <c r="J147" s="892">
        <f t="shared" si="70"/>
        <v>17697</v>
      </c>
      <c r="K147" s="887"/>
      <c r="L147" s="887"/>
      <c r="M147" s="887"/>
      <c r="N147" s="887"/>
      <c r="O147" s="887"/>
      <c r="P147" s="939"/>
      <c r="Q147" s="939">
        <f>17697*20%</f>
        <v>3539.4</v>
      </c>
      <c r="R147" s="923"/>
      <c r="S147" s="892">
        <f t="shared" si="71"/>
        <v>21236.400000000001</v>
      </c>
      <c r="T147" s="892">
        <f t="shared" si="72"/>
        <v>198206.4</v>
      </c>
      <c r="U147" s="892">
        <f t="shared" si="73"/>
        <v>19820.64</v>
      </c>
      <c r="V147" s="892">
        <f t="shared" si="74"/>
        <v>11069.363200000002</v>
      </c>
      <c r="W147" s="892">
        <f t="shared" si="75"/>
        <v>3964.1280000000002</v>
      </c>
      <c r="X147" s="892">
        <f t="shared" si="76"/>
        <v>163352.26880000002</v>
      </c>
      <c r="Y147" s="892">
        <f t="shared" si="77"/>
        <v>2378476.7999999998</v>
      </c>
      <c r="Z147" s="892">
        <f t="shared" si="78"/>
        <v>176970</v>
      </c>
      <c r="AA147" s="892">
        <f t="shared" si="79"/>
        <v>2555446.7999999998</v>
      </c>
      <c r="AB147" s="892">
        <f t="shared" si="80"/>
        <v>132761.47824000003</v>
      </c>
      <c r="AC147" s="892">
        <f t="shared" si="84"/>
        <v>114995.10600000001</v>
      </c>
      <c r="AD147" s="892">
        <f t="shared" si="81"/>
        <v>71354.303999999989</v>
      </c>
      <c r="AE147" s="892">
        <f t="shared" si="82"/>
        <v>127772.34</v>
      </c>
      <c r="AF147" s="892">
        <f t="shared" si="83"/>
        <v>3002330.0282399999</v>
      </c>
      <c r="AG147" s="892" t="s">
        <v>3</v>
      </c>
    </row>
    <row r="148" spans="1:33" ht="31.5">
      <c r="A148" s="918">
        <v>99</v>
      </c>
      <c r="B148" s="909" t="s">
        <v>14</v>
      </c>
      <c r="C148" s="970" t="s">
        <v>2346</v>
      </c>
      <c r="D148" s="1564"/>
      <c r="E148" s="934">
        <v>1</v>
      </c>
      <c r="F148" s="887"/>
      <c r="G148" s="888">
        <v>42562</v>
      </c>
      <c r="H148" s="895">
        <v>10</v>
      </c>
      <c r="I148" s="892">
        <f t="shared" si="69"/>
        <v>176970</v>
      </c>
      <c r="J148" s="892">
        <f t="shared" si="70"/>
        <v>17697</v>
      </c>
      <c r="K148" s="887"/>
      <c r="L148" s="887"/>
      <c r="M148" s="887"/>
      <c r="N148" s="887"/>
      <c r="O148" s="887"/>
      <c r="P148" s="939">
        <f t="shared" ref="P148:P150" si="86">17697*30%</f>
        <v>5309.0999999999995</v>
      </c>
      <c r="Q148" s="939"/>
      <c r="R148" s="923"/>
      <c r="S148" s="892">
        <f t="shared" si="71"/>
        <v>23006.1</v>
      </c>
      <c r="T148" s="892">
        <f t="shared" si="72"/>
        <v>199976.1</v>
      </c>
      <c r="U148" s="892">
        <f t="shared" si="73"/>
        <v>19997.61</v>
      </c>
      <c r="V148" s="892">
        <f t="shared" si="74"/>
        <v>11225.096799999999</v>
      </c>
      <c r="W148" s="892">
        <f t="shared" si="75"/>
        <v>3999.5220000000004</v>
      </c>
      <c r="X148" s="892">
        <f t="shared" si="76"/>
        <v>164753.87119999999</v>
      </c>
      <c r="Y148" s="892">
        <f t="shared" si="77"/>
        <v>2399713.2000000002</v>
      </c>
      <c r="Z148" s="892">
        <f t="shared" si="78"/>
        <v>176970</v>
      </c>
      <c r="AA148" s="892">
        <f t="shared" si="79"/>
        <v>2576683.2000000002</v>
      </c>
      <c r="AB148" s="892">
        <f t="shared" si="80"/>
        <v>133861.52376000001</v>
      </c>
      <c r="AC148" s="892">
        <f t="shared" si="84"/>
        <v>115950.74400000002</v>
      </c>
      <c r="AD148" s="892">
        <f t="shared" si="81"/>
        <v>71991.396000000008</v>
      </c>
      <c r="AE148" s="892">
        <f t="shared" si="82"/>
        <v>128834.16000000002</v>
      </c>
      <c r="AF148" s="892">
        <f t="shared" si="83"/>
        <v>3027321.0237600007</v>
      </c>
      <c r="AG148" s="892" t="s">
        <v>3</v>
      </c>
    </row>
    <row r="149" spans="1:33" ht="31.5">
      <c r="A149" s="918">
        <v>100</v>
      </c>
      <c r="B149" s="909" t="s">
        <v>14</v>
      </c>
      <c r="C149" s="909" t="s">
        <v>2347</v>
      </c>
      <c r="D149" s="1564"/>
      <c r="E149" s="934">
        <v>1</v>
      </c>
      <c r="F149" s="887"/>
      <c r="G149" s="888">
        <v>42541</v>
      </c>
      <c r="H149" s="895">
        <v>10</v>
      </c>
      <c r="I149" s="892">
        <f t="shared" si="69"/>
        <v>176970</v>
      </c>
      <c r="J149" s="892">
        <f t="shared" si="70"/>
        <v>17697</v>
      </c>
      <c r="K149" s="887"/>
      <c r="L149" s="887"/>
      <c r="M149" s="887"/>
      <c r="N149" s="887"/>
      <c r="O149" s="887"/>
      <c r="P149" s="939">
        <f t="shared" si="86"/>
        <v>5309.0999999999995</v>
      </c>
      <c r="Q149" s="939"/>
      <c r="R149" s="923"/>
      <c r="S149" s="892">
        <f t="shared" si="71"/>
        <v>23006.1</v>
      </c>
      <c r="T149" s="892">
        <f t="shared" si="72"/>
        <v>199976.1</v>
      </c>
      <c r="U149" s="892">
        <f t="shared" si="73"/>
        <v>19997.61</v>
      </c>
      <c r="V149" s="892">
        <f t="shared" si="74"/>
        <v>11225.096799999999</v>
      </c>
      <c r="W149" s="892">
        <f t="shared" si="75"/>
        <v>3999.5220000000004</v>
      </c>
      <c r="X149" s="892">
        <f t="shared" si="76"/>
        <v>164753.87119999999</v>
      </c>
      <c r="Y149" s="892">
        <f t="shared" si="77"/>
        <v>2399713.2000000002</v>
      </c>
      <c r="Z149" s="892">
        <f t="shared" si="78"/>
        <v>176970</v>
      </c>
      <c r="AA149" s="892">
        <f t="shared" si="79"/>
        <v>2576683.2000000002</v>
      </c>
      <c r="AB149" s="892">
        <f t="shared" si="80"/>
        <v>133861.52376000001</v>
      </c>
      <c r="AC149" s="892">
        <f t="shared" si="84"/>
        <v>115950.74400000002</v>
      </c>
      <c r="AD149" s="892">
        <f t="shared" si="81"/>
        <v>71991.396000000008</v>
      </c>
      <c r="AE149" s="892">
        <f t="shared" si="82"/>
        <v>128834.16000000002</v>
      </c>
      <c r="AF149" s="892">
        <f t="shared" si="83"/>
        <v>3027321.0237600007</v>
      </c>
      <c r="AG149" s="892" t="s">
        <v>3</v>
      </c>
    </row>
    <row r="150" spans="1:33" ht="31.5">
      <c r="A150" s="918">
        <v>101</v>
      </c>
      <c r="B150" s="909" t="s">
        <v>14</v>
      </c>
      <c r="C150" s="909" t="s">
        <v>2348</v>
      </c>
      <c r="D150" s="1564"/>
      <c r="E150" s="934">
        <v>1</v>
      </c>
      <c r="F150" s="887"/>
      <c r="G150" s="888">
        <v>43752</v>
      </c>
      <c r="H150" s="895">
        <v>10</v>
      </c>
      <c r="I150" s="892">
        <f t="shared" si="69"/>
        <v>176970</v>
      </c>
      <c r="J150" s="892">
        <f t="shared" si="70"/>
        <v>17697</v>
      </c>
      <c r="K150" s="887"/>
      <c r="L150" s="887"/>
      <c r="M150" s="887"/>
      <c r="N150" s="887"/>
      <c r="O150" s="887"/>
      <c r="P150" s="939">
        <f t="shared" si="86"/>
        <v>5309.0999999999995</v>
      </c>
      <c r="Q150" s="939"/>
      <c r="R150" s="923"/>
      <c r="S150" s="892">
        <f t="shared" si="71"/>
        <v>23006.1</v>
      </c>
      <c r="T150" s="892">
        <f t="shared" si="72"/>
        <v>199976.1</v>
      </c>
      <c r="U150" s="892">
        <f t="shared" si="73"/>
        <v>19997.61</v>
      </c>
      <c r="V150" s="892">
        <f t="shared" si="74"/>
        <v>11225.096799999999</v>
      </c>
      <c r="W150" s="892">
        <f t="shared" si="75"/>
        <v>3999.5220000000004</v>
      </c>
      <c r="X150" s="892">
        <f t="shared" si="76"/>
        <v>164753.87119999999</v>
      </c>
      <c r="Y150" s="892">
        <f t="shared" si="77"/>
        <v>2399713.2000000002</v>
      </c>
      <c r="Z150" s="892">
        <f t="shared" si="78"/>
        <v>176970</v>
      </c>
      <c r="AA150" s="892">
        <f t="shared" si="79"/>
        <v>2576683.2000000002</v>
      </c>
      <c r="AB150" s="892">
        <f t="shared" si="80"/>
        <v>133861.52376000001</v>
      </c>
      <c r="AC150" s="892">
        <f t="shared" si="84"/>
        <v>115950.74400000002</v>
      </c>
      <c r="AD150" s="892">
        <f t="shared" si="81"/>
        <v>71991.396000000008</v>
      </c>
      <c r="AE150" s="892">
        <f t="shared" si="82"/>
        <v>128834.16000000002</v>
      </c>
      <c r="AF150" s="892">
        <f t="shared" si="83"/>
        <v>3027321.0237600007</v>
      </c>
      <c r="AG150" s="892" t="s">
        <v>3</v>
      </c>
    </row>
    <row r="151" spans="1:33" ht="31.5">
      <c r="A151" s="918">
        <v>102</v>
      </c>
      <c r="B151" s="909" t="s">
        <v>14</v>
      </c>
      <c r="C151" s="909" t="s">
        <v>498</v>
      </c>
      <c r="D151" s="1564"/>
      <c r="E151" s="934">
        <v>1</v>
      </c>
      <c r="F151" s="887"/>
      <c r="G151" s="888">
        <v>42342</v>
      </c>
      <c r="H151" s="895">
        <v>10</v>
      </c>
      <c r="I151" s="892">
        <f t="shared" si="69"/>
        <v>176970</v>
      </c>
      <c r="J151" s="892">
        <f t="shared" si="70"/>
        <v>17697</v>
      </c>
      <c r="K151" s="887"/>
      <c r="L151" s="887"/>
      <c r="M151" s="887"/>
      <c r="N151" s="887"/>
      <c r="O151" s="887"/>
      <c r="P151" s="939"/>
      <c r="Q151" s="939">
        <f>17697*20%</f>
        <v>3539.4</v>
      </c>
      <c r="R151" s="923"/>
      <c r="S151" s="892">
        <f t="shared" si="71"/>
        <v>21236.400000000001</v>
      </c>
      <c r="T151" s="892">
        <f t="shared" si="72"/>
        <v>198206.4</v>
      </c>
      <c r="U151" s="892">
        <f t="shared" si="73"/>
        <v>19820.64</v>
      </c>
      <c r="V151" s="892">
        <f t="shared" si="74"/>
        <v>11069.363200000002</v>
      </c>
      <c r="W151" s="892">
        <f t="shared" si="75"/>
        <v>3964.1280000000002</v>
      </c>
      <c r="X151" s="892">
        <f t="shared" si="76"/>
        <v>163352.26880000002</v>
      </c>
      <c r="Y151" s="892">
        <f t="shared" si="77"/>
        <v>2378476.7999999998</v>
      </c>
      <c r="Z151" s="892">
        <f t="shared" si="78"/>
        <v>176970</v>
      </c>
      <c r="AA151" s="892">
        <f t="shared" si="79"/>
        <v>2555446.7999999998</v>
      </c>
      <c r="AB151" s="892">
        <f t="shared" si="80"/>
        <v>132761.47824000003</v>
      </c>
      <c r="AC151" s="892">
        <f t="shared" si="84"/>
        <v>114995.10600000001</v>
      </c>
      <c r="AD151" s="892">
        <f t="shared" si="81"/>
        <v>71354.303999999989</v>
      </c>
      <c r="AE151" s="892">
        <f t="shared" si="82"/>
        <v>127772.34</v>
      </c>
      <c r="AF151" s="892">
        <f t="shared" si="83"/>
        <v>3002330.0282399999</v>
      </c>
      <c r="AG151" s="892" t="s">
        <v>3</v>
      </c>
    </row>
    <row r="152" spans="1:33" ht="31.5">
      <c r="A152" s="918">
        <v>103</v>
      </c>
      <c r="B152" s="909" t="s">
        <v>14</v>
      </c>
      <c r="C152" s="909" t="s">
        <v>499</v>
      </c>
      <c r="D152" s="1564"/>
      <c r="E152" s="934">
        <v>1</v>
      </c>
      <c r="F152" s="887"/>
      <c r="G152" s="888">
        <v>44455</v>
      </c>
      <c r="H152" s="895">
        <v>10</v>
      </c>
      <c r="I152" s="892">
        <f t="shared" si="69"/>
        <v>176970</v>
      </c>
      <c r="J152" s="892">
        <f t="shared" si="70"/>
        <v>17697</v>
      </c>
      <c r="K152" s="887"/>
      <c r="L152" s="887"/>
      <c r="M152" s="887"/>
      <c r="N152" s="887"/>
      <c r="O152" s="887"/>
      <c r="P152" s="939">
        <f t="shared" ref="P152:P153" si="87">17697*30%</f>
        <v>5309.0999999999995</v>
      </c>
      <c r="Q152" s="939"/>
      <c r="R152" s="923"/>
      <c r="S152" s="892">
        <f t="shared" si="71"/>
        <v>23006.1</v>
      </c>
      <c r="T152" s="892">
        <f t="shared" si="72"/>
        <v>199976.1</v>
      </c>
      <c r="U152" s="892">
        <f t="shared" si="73"/>
        <v>19997.61</v>
      </c>
      <c r="V152" s="892">
        <f t="shared" si="74"/>
        <v>11225.096799999999</v>
      </c>
      <c r="W152" s="892">
        <f t="shared" si="75"/>
        <v>3999.5220000000004</v>
      </c>
      <c r="X152" s="892">
        <f t="shared" si="76"/>
        <v>164753.87119999999</v>
      </c>
      <c r="Y152" s="892">
        <f t="shared" si="77"/>
        <v>2399713.2000000002</v>
      </c>
      <c r="Z152" s="892">
        <f t="shared" si="78"/>
        <v>176970</v>
      </c>
      <c r="AA152" s="892">
        <f t="shared" si="79"/>
        <v>2576683.2000000002</v>
      </c>
      <c r="AB152" s="892">
        <f t="shared" si="80"/>
        <v>133861.52376000001</v>
      </c>
      <c r="AC152" s="892">
        <f t="shared" si="84"/>
        <v>115950.74400000002</v>
      </c>
      <c r="AD152" s="892">
        <f t="shared" si="81"/>
        <v>71991.396000000008</v>
      </c>
      <c r="AE152" s="892">
        <f t="shared" si="82"/>
        <v>128834.16000000002</v>
      </c>
      <c r="AF152" s="892">
        <f t="shared" si="83"/>
        <v>3027321.0237600007</v>
      </c>
      <c r="AG152" s="892" t="s">
        <v>3</v>
      </c>
    </row>
    <row r="153" spans="1:33" ht="31.5">
      <c r="A153" s="918">
        <v>104</v>
      </c>
      <c r="B153" s="909" t="s">
        <v>14</v>
      </c>
      <c r="C153" s="909" t="s">
        <v>2349</v>
      </c>
      <c r="D153" s="1564"/>
      <c r="E153" s="934">
        <v>1</v>
      </c>
      <c r="F153" s="887"/>
      <c r="G153" s="888">
        <v>44211</v>
      </c>
      <c r="H153" s="895">
        <v>10</v>
      </c>
      <c r="I153" s="892">
        <f t="shared" si="69"/>
        <v>176970</v>
      </c>
      <c r="J153" s="892">
        <f t="shared" si="70"/>
        <v>17697</v>
      </c>
      <c r="K153" s="887"/>
      <c r="L153" s="887"/>
      <c r="M153" s="887"/>
      <c r="N153" s="887"/>
      <c r="O153" s="887"/>
      <c r="P153" s="939">
        <f t="shared" si="87"/>
        <v>5309.0999999999995</v>
      </c>
      <c r="Q153" s="939"/>
      <c r="R153" s="923"/>
      <c r="S153" s="892">
        <f t="shared" si="71"/>
        <v>23006.1</v>
      </c>
      <c r="T153" s="892">
        <f t="shared" si="72"/>
        <v>199976.1</v>
      </c>
      <c r="U153" s="892">
        <f t="shared" si="73"/>
        <v>19997.61</v>
      </c>
      <c r="V153" s="892">
        <f t="shared" si="74"/>
        <v>11225.096799999999</v>
      </c>
      <c r="W153" s="892">
        <f t="shared" si="75"/>
        <v>3999.5220000000004</v>
      </c>
      <c r="X153" s="892">
        <f t="shared" si="76"/>
        <v>164753.87119999999</v>
      </c>
      <c r="Y153" s="892">
        <f t="shared" si="77"/>
        <v>2399713.2000000002</v>
      </c>
      <c r="Z153" s="892">
        <f t="shared" si="78"/>
        <v>176970</v>
      </c>
      <c r="AA153" s="892">
        <f t="shared" si="79"/>
        <v>2576683.2000000002</v>
      </c>
      <c r="AB153" s="892">
        <f t="shared" si="80"/>
        <v>133861.52376000001</v>
      </c>
      <c r="AC153" s="892">
        <f t="shared" si="84"/>
        <v>115950.74400000002</v>
      </c>
      <c r="AD153" s="892">
        <f t="shared" si="81"/>
        <v>71991.396000000008</v>
      </c>
      <c r="AE153" s="892">
        <f t="shared" si="82"/>
        <v>128834.16000000002</v>
      </c>
      <c r="AF153" s="892">
        <f t="shared" si="83"/>
        <v>3027321.0237600007</v>
      </c>
      <c r="AG153" s="892" t="s">
        <v>3</v>
      </c>
    </row>
    <row r="154" spans="1:33" ht="31.5">
      <c r="A154" s="918">
        <v>105</v>
      </c>
      <c r="B154" s="909" t="s">
        <v>14</v>
      </c>
      <c r="C154" s="909" t="s">
        <v>500</v>
      </c>
      <c r="D154" s="1564"/>
      <c r="E154" s="934">
        <v>1</v>
      </c>
      <c r="F154" s="887"/>
      <c r="G154" s="888">
        <v>42440</v>
      </c>
      <c r="H154" s="895">
        <v>10</v>
      </c>
      <c r="I154" s="892">
        <f t="shared" si="69"/>
        <v>176970</v>
      </c>
      <c r="J154" s="892">
        <f t="shared" si="70"/>
        <v>17697</v>
      </c>
      <c r="K154" s="887"/>
      <c r="L154" s="887"/>
      <c r="M154" s="887"/>
      <c r="N154" s="887"/>
      <c r="O154" s="887"/>
      <c r="P154" s="939"/>
      <c r="Q154" s="939">
        <f>17697*20%</f>
        <v>3539.4</v>
      </c>
      <c r="R154" s="923"/>
      <c r="S154" s="892">
        <f t="shared" si="71"/>
        <v>21236.400000000001</v>
      </c>
      <c r="T154" s="892">
        <f t="shared" si="72"/>
        <v>198206.4</v>
      </c>
      <c r="U154" s="892">
        <f t="shared" si="73"/>
        <v>19820.64</v>
      </c>
      <c r="V154" s="892">
        <f t="shared" si="74"/>
        <v>11069.363200000002</v>
      </c>
      <c r="W154" s="892">
        <f t="shared" si="75"/>
        <v>3964.1280000000002</v>
      </c>
      <c r="X154" s="892">
        <f t="shared" si="76"/>
        <v>163352.26880000002</v>
      </c>
      <c r="Y154" s="892">
        <f t="shared" si="77"/>
        <v>2378476.7999999998</v>
      </c>
      <c r="Z154" s="892">
        <f t="shared" si="78"/>
        <v>176970</v>
      </c>
      <c r="AA154" s="892">
        <f t="shared" si="79"/>
        <v>2555446.7999999998</v>
      </c>
      <c r="AB154" s="892">
        <f t="shared" si="80"/>
        <v>132761.47824000003</v>
      </c>
      <c r="AC154" s="892">
        <f t="shared" si="84"/>
        <v>114995.10600000001</v>
      </c>
      <c r="AD154" s="892">
        <f t="shared" si="81"/>
        <v>71354.303999999989</v>
      </c>
      <c r="AE154" s="892">
        <f t="shared" si="82"/>
        <v>127772.34</v>
      </c>
      <c r="AF154" s="892">
        <f t="shared" si="83"/>
        <v>3002330.0282399999</v>
      </c>
      <c r="AG154" s="892" t="s">
        <v>3</v>
      </c>
    </row>
    <row r="155" spans="1:33" ht="31.5">
      <c r="A155" s="918">
        <v>106</v>
      </c>
      <c r="B155" s="909" t="s">
        <v>14</v>
      </c>
      <c r="C155" s="909" t="s">
        <v>501</v>
      </c>
      <c r="D155" s="1564"/>
      <c r="E155" s="934">
        <v>1</v>
      </c>
      <c r="F155" s="887"/>
      <c r="G155" s="888">
        <v>42284</v>
      </c>
      <c r="H155" s="895">
        <v>10</v>
      </c>
      <c r="I155" s="892">
        <f t="shared" si="69"/>
        <v>176970</v>
      </c>
      <c r="J155" s="892">
        <f t="shared" si="70"/>
        <v>17697</v>
      </c>
      <c r="K155" s="887"/>
      <c r="L155" s="887"/>
      <c r="M155" s="887"/>
      <c r="N155" s="887"/>
      <c r="O155" s="887"/>
      <c r="P155" s="939">
        <f t="shared" ref="P155:P156" si="88">17697*30%</f>
        <v>5309.0999999999995</v>
      </c>
      <c r="Q155" s="939"/>
      <c r="R155" s="923"/>
      <c r="S155" s="892">
        <f t="shared" si="71"/>
        <v>23006.1</v>
      </c>
      <c r="T155" s="892">
        <f t="shared" si="72"/>
        <v>199976.1</v>
      </c>
      <c r="U155" s="892">
        <f t="shared" si="73"/>
        <v>19997.61</v>
      </c>
      <c r="V155" s="892">
        <f t="shared" si="74"/>
        <v>11225.096799999999</v>
      </c>
      <c r="W155" s="892">
        <f t="shared" si="75"/>
        <v>3999.5220000000004</v>
      </c>
      <c r="X155" s="892">
        <f t="shared" si="76"/>
        <v>164753.87119999999</v>
      </c>
      <c r="Y155" s="892">
        <f t="shared" si="77"/>
        <v>2399713.2000000002</v>
      </c>
      <c r="Z155" s="892">
        <f t="shared" si="78"/>
        <v>176970</v>
      </c>
      <c r="AA155" s="892">
        <f t="shared" si="79"/>
        <v>2576683.2000000002</v>
      </c>
      <c r="AB155" s="892">
        <f t="shared" si="80"/>
        <v>133861.52376000001</v>
      </c>
      <c r="AC155" s="892">
        <f t="shared" si="84"/>
        <v>115950.74400000002</v>
      </c>
      <c r="AD155" s="892">
        <f t="shared" si="81"/>
        <v>71991.396000000008</v>
      </c>
      <c r="AE155" s="892">
        <f t="shared" si="82"/>
        <v>128834.16000000002</v>
      </c>
      <c r="AF155" s="892">
        <f t="shared" si="83"/>
        <v>3027321.0237600007</v>
      </c>
      <c r="AG155" s="892" t="s">
        <v>3</v>
      </c>
    </row>
    <row r="156" spans="1:33" ht="31.5">
      <c r="A156" s="918">
        <v>107</v>
      </c>
      <c r="B156" s="909" t="s">
        <v>14</v>
      </c>
      <c r="C156" s="909" t="s">
        <v>502</v>
      </c>
      <c r="D156" s="1564"/>
      <c r="E156" s="934">
        <v>1</v>
      </c>
      <c r="F156" s="887"/>
      <c r="G156" s="888">
        <v>44204</v>
      </c>
      <c r="H156" s="895">
        <v>10</v>
      </c>
      <c r="I156" s="892">
        <f t="shared" si="69"/>
        <v>176970</v>
      </c>
      <c r="J156" s="892">
        <f t="shared" si="70"/>
        <v>17697</v>
      </c>
      <c r="K156" s="887"/>
      <c r="L156" s="887"/>
      <c r="M156" s="887"/>
      <c r="N156" s="887"/>
      <c r="O156" s="887"/>
      <c r="P156" s="939">
        <f t="shared" si="88"/>
        <v>5309.0999999999995</v>
      </c>
      <c r="Q156" s="939"/>
      <c r="R156" s="923"/>
      <c r="S156" s="892">
        <f t="shared" si="71"/>
        <v>23006.1</v>
      </c>
      <c r="T156" s="892">
        <f t="shared" si="72"/>
        <v>199976.1</v>
      </c>
      <c r="U156" s="892">
        <f t="shared" si="73"/>
        <v>19997.61</v>
      </c>
      <c r="V156" s="892">
        <f t="shared" si="74"/>
        <v>11225.096799999999</v>
      </c>
      <c r="W156" s="892">
        <f t="shared" si="75"/>
        <v>3999.5220000000004</v>
      </c>
      <c r="X156" s="892">
        <f t="shared" si="76"/>
        <v>164753.87119999999</v>
      </c>
      <c r="Y156" s="892">
        <f t="shared" si="77"/>
        <v>2399713.2000000002</v>
      </c>
      <c r="Z156" s="892">
        <f t="shared" si="78"/>
        <v>176970</v>
      </c>
      <c r="AA156" s="892">
        <f t="shared" si="79"/>
        <v>2576683.2000000002</v>
      </c>
      <c r="AB156" s="892">
        <f t="shared" si="80"/>
        <v>133861.52376000001</v>
      </c>
      <c r="AC156" s="892">
        <f t="shared" si="84"/>
        <v>115950.74400000002</v>
      </c>
      <c r="AD156" s="892">
        <f t="shared" si="81"/>
        <v>71991.396000000008</v>
      </c>
      <c r="AE156" s="892">
        <f t="shared" si="82"/>
        <v>128834.16000000002</v>
      </c>
      <c r="AF156" s="892">
        <f t="shared" si="83"/>
        <v>3027321.0237600007</v>
      </c>
      <c r="AG156" s="892" t="s">
        <v>3</v>
      </c>
    </row>
    <row r="157" spans="1:33" ht="31.5">
      <c r="A157" s="918">
        <v>108</v>
      </c>
      <c r="B157" s="909" t="s">
        <v>14</v>
      </c>
      <c r="C157" s="909" t="s">
        <v>2350</v>
      </c>
      <c r="D157" s="1564"/>
      <c r="E157" s="934">
        <v>1</v>
      </c>
      <c r="F157" s="887"/>
      <c r="G157" s="888">
        <v>44502</v>
      </c>
      <c r="H157" s="895">
        <v>10</v>
      </c>
      <c r="I157" s="892">
        <f t="shared" si="69"/>
        <v>176970</v>
      </c>
      <c r="J157" s="892">
        <f t="shared" si="70"/>
        <v>17697</v>
      </c>
      <c r="K157" s="887"/>
      <c r="L157" s="887"/>
      <c r="M157" s="887"/>
      <c r="N157" s="887"/>
      <c r="O157" s="887"/>
      <c r="P157" s="939"/>
      <c r="Q157" s="939">
        <f t="shared" ref="Q157:Q158" si="89">17697*20%</f>
        <v>3539.4</v>
      </c>
      <c r="R157" s="923"/>
      <c r="S157" s="892">
        <f t="shared" si="71"/>
        <v>21236.400000000001</v>
      </c>
      <c r="T157" s="892">
        <f t="shared" si="72"/>
        <v>198206.4</v>
      </c>
      <c r="U157" s="892">
        <f t="shared" si="73"/>
        <v>19820.64</v>
      </c>
      <c r="V157" s="892">
        <f t="shared" si="74"/>
        <v>11069.363200000002</v>
      </c>
      <c r="W157" s="892">
        <f t="shared" si="75"/>
        <v>3964.1280000000002</v>
      </c>
      <c r="X157" s="892">
        <f t="shared" si="76"/>
        <v>163352.26880000002</v>
      </c>
      <c r="Y157" s="892">
        <f t="shared" si="77"/>
        <v>2378476.7999999998</v>
      </c>
      <c r="Z157" s="892">
        <f t="shared" si="78"/>
        <v>176970</v>
      </c>
      <c r="AA157" s="892">
        <f t="shared" si="79"/>
        <v>2555446.7999999998</v>
      </c>
      <c r="AB157" s="892">
        <f t="shared" si="80"/>
        <v>132761.47824000003</v>
      </c>
      <c r="AC157" s="892">
        <f t="shared" si="84"/>
        <v>114995.10600000001</v>
      </c>
      <c r="AD157" s="892">
        <f t="shared" si="81"/>
        <v>71354.303999999989</v>
      </c>
      <c r="AE157" s="892">
        <f t="shared" si="82"/>
        <v>127772.34</v>
      </c>
      <c r="AF157" s="892">
        <f t="shared" si="83"/>
        <v>3002330.0282399999</v>
      </c>
      <c r="AG157" s="892" t="s">
        <v>3</v>
      </c>
    </row>
    <row r="158" spans="1:33" ht="31.5">
      <c r="A158" s="918">
        <v>109</v>
      </c>
      <c r="B158" s="909" t="s">
        <v>14</v>
      </c>
      <c r="C158" s="909" t="s">
        <v>503</v>
      </c>
      <c r="D158" s="1564"/>
      <c r="E158" s="934">
        <v>1</v>
      </c>
      <c r="F158" s="887"/>
      <c r="G158" s="888">
        <v>44204</v>
      </c>
      <c r="H158" s="895">
        <v>10</v>
      </c>
      <c r="I158" s="892">
        <f t="shared" si="69"/>
        <v>176970</v>
      </c>
      <c r="J158" s="892">
        <f t="shared" si="70"/>
        <v>17697</v>
      </c>
      <c r="K158" s="887"/>
      <c r="L158" s="887"/>
      <c r="M158" s="887"/>
      <c r="N158" s="887"/>
      <c r="O158" s="887"/>
      <c r="P158" s="939"/>
      <c r="Q158" s="939">
        <f t="shared" si="89"/>
        <v>3539.4</v>
      </c>
      <c r="R158" s="923"/>
      <c r="S158" s="892">
        <f t="shared" si="71"/>
        <v>21236.400000000001</v>
      </c>
      <c r="T158" s="892">
        <f t="shared" si="72"/>
        <v>198206.4</v>
      </c>
      <c r="U158" s="892">
        <f t="shared" si="73"/>
        <v>19820.64</v>
      </c>
      <c r="V158" s="892">
        <f t="shared" si="74"/>
        <v>11069.363200000002</v>
      </c>
      <c r="W158" s="892">
        <f t="shared" si="75"/>
        <v>3964.1280000000002</v>
      </c>
      <c r="X158" s="892">
        <f t="shared" si="76"/>
        <v>163352.26880000002</v>
      </c>
      <c r="Y158" s="892">
        <f t="shared" si="77"/>
        <v>2378476.7999999998</v>
      </c>
      <c r="Z158" s="892">
        <f t="shared" si="78"/>
        <v>176970</v>
      </c>
      <c r="AA158" s="892">
        <f t="shared" si="79"/>
        <v>2555446.7999999998</v>
      </c>
      <c r="AB158" s="892">
        <f t="shared" si="80"/>
        <v>132761.47824000003</v>
      </c>
      <c r="AC158" s="892">
        <f t="shared" si="84"/>
        <v>114995.10600000001</v>
      </c>
      <c r="AD158" s="892">
        <f t="shared" si="81"/>
        <v>71354.303999999989</v>
      </c>
      <c r="AE158" s="892">
        <f t="shared" si="82"/>
        <v>127772.34</v>
      </c>
      <c r="AF158" s="892">
        <f t="shared" si="83"/>
        <v>3002330.0282399999</v>
      </c>
      <c r="AG158" s="892" t="s">
        <v>3</v>
      </c>
    </row>
    <row r="159" spans="1:33" ht="31.5">
      <c r="A159" s="918">
        <v>110</v>
      </c>
      <c r="B159" s="909" t="s">
        <v>14</v>
      </c>
      <c r="C159" s="909" t="s">
        <v>2351</v>
      </c>
      <c r="D159" s="1564"/>
      <c r="E159" s="934">
        <v>1</v>
      </c>
      <c r="F159" s="887"/>
      <c r="G159" s="888">
        <v>41348</v>
      </c>
      <c r="H159" s="895">
        <v>10</v>
      </c>
      <c r="I159" s="892">
        <f t="shared" si="69"/>
        <v>176970</v>
      </c>
      <c r="J159" s="892">
        <f t="shared" si="70"/>
        <v>17697</v>
      </c>
      <c r="K159" s="887"/>
      <c r="L159" s="887"/>
      <c r="M159" s="887"/>
      <c r="N159" s="887"/>
      <c r="O159" s="887"/>
      <c r="P159" s="939">
        <f t="shared" ref="P159:P162" si="90">17697*30%</f>
        <v>5309.0999999999995</v>
      </c>
      <c r="Q159" s="939"/>
      <c r="R159" s="923"/>
      <c r="S159" s="892">
        <f t="shared" si="71"/>
        <v>23006.1</v>
      </c>
      <c r="T159" s="892">
        <f t="shared" si="72"/>
        <v>199976.1</v>
      </c>
      <c r="U159" s="892">
        <f t="shared" si="73"/>
        <v>19997.61</v>
      </c>
      <c r="V159" s="892">
        <f t="shared" si="74"/>
        <v>11225.096799999999</v>
      </c>
      <c r="W159" s="892">
        <f t="shared" si="75"/>
        <v>3999.5220000000004</v>
      </c>
      <c r="X159" s="892">
        <f t="shared" si="76"/>
        <v>164753.87119999999</v>
      </c>
      <c r="Y159" s="892">
        <f t="shared" si="77"/>
        <v>2399713.2000000002</v>
      </c>
      <c r="Z159" s="892">
        <f t="shared" si="78"/>
        <v>176970</v>
      </c>
      <c r="AA159" s="892">
        <f t="shared" si="79"/>
        <v>2576683.2000000002</v>
      </c>
      <c r="AB159" s="892">
        <f t="shared" si="80"/>
        <v>133861.52376000001</v>
      </c>
      <c r="AC159" s="892">
        <f t="shared" si="84"/>
        <v>115950.74400000002</v>
      </c>
      <c r="AD159" s="892">
        <f t="shared" si="81"/>
        <v>71991.396000000008</v>
      </c>
      <c r="AE159" s="892">
        <f t="shared" si="82"/>
        <v>128834.16000000002</v>
      </c>
      <c r="AF159" s="892">
        <f t="shared" si="83"/>
        <v>3027321.0237600007</v>
      </c>
      <c r="AG159" s="892" t="s">
        <v>3</v>
      </c>
    </row>
    <row r="160" spans="1:33" ht="31.5">
      <c r="A160" s="918">
        <v>111</v>
      </c>
      <c r="B160" s="909" t="s">
        <v>14</v>
      </c>
      <c r="C160" s="909" t="s">
        <v>2352</v>
      </c>
      <c r="D160" s="1564"/>
      <c r="E160" s="934">
        <v>1</v>
      </c>
      <c r="F160" s="887"/>
      <c r="G160" s="888">
        <v>44222</v>
      </c>
      <c r="H160" s="895">
        <v>10</v>
      </c>
      <c r="I160" s="892">
        <f t="shared" si="69"/>
        <v>176970</v>
      </c>
      <c r="J160" s="892">
        <f t="shared" si="70"/>
        <v>17697</v>
      </c>
      <c r="K160" s="887"/>
      <c r="L160" s="887"/>
      <c r="M160" s="887"/>
      <c r="N160" s="887"/>
      <c r="O160" s="887"/>
      <c r="P160" s="939">
        <f t="shared" si="90"/>
        <v>5309.0999999999995</v>
      </c>
      <c r="Q160" s="939"/>
      <c r="R160" s="923"/>
      <c r="S160" s="892">
        <f t="shared" si="71"/>
        <v>23006.1</v>
      </c>
      <c r="T160" s="892">
        <f t="shared" si="72"/>
        <v>199976.1</v>
      </c>
      <c r="U160" s="892">
        <f t="shared" si="73"/>
        <v>19997.61</v>
      </c>
      <c r="V160" s="892">
        <f t="shared" si="74"/>
        <v>11225.096799999999</v>
      </c>
      <c r="W160" s="892">
        <f t="shared" si="75"/>
        <v>3999.5220000000004</v>
      </c>
      <c r="X160" s="892">
        <f t="shared" si="76"/>
        <v>164753.87119999999</v>
      </c>
      <c r="Y160" s="892">
        <f t="shared" si="77"/>
        <v>2399713.2000000002</v>
      </c>
      <c r="Z160" s="892">
        <f t="shared" si="78"/>
        <v>176970</v>
      </c>
      <c r="AA160" s="892">
        <f t="shared" si="79"/>
        <v>2576683.2000000002</v>
      </c>
      <c r="AB160" s="892">
        <f t="shared" si="80"/>
        <v>133861.52376000001</v>
      </c>
      <c r="AC160" s="892">
        <f t="shared" si="84"/>
        <v>115950.74400000002</v>
      </c>
      <c r="AD160" s="892">
        <f t="shared" si="81"/>
        <v>71991.396000000008</v>
      </c>
      <c r="AE160" s="892">
        <f t="shared" si="82"/>
        <v>128834.16000000002</v>
      </c>
      <c r="AF160" s="892">
        <f t="shared" si="83"/>
        <v>3027321.0237600007</v>
      </c>
      <c r="AG160" s="892" t="s">
        <v>3</v>
      </c>
    </row>
    <row r="161" spans="1:33" ht="31.5">
      <c r="A161" s="918">
        <v>112</v>
      </c>
      <c r="B161" s="909" t="s">
        <v>14</v>
      </c>
      <c r="C161" s="909" t="s">
        <v>504</v>
      </c>
      <c r="D161" s="1564"/>
      <c r="E161" s="934">
        <v>1</v>
      </c>
      <c r="F161" s="887"/>
      <c r="G161" s="888">
        <v>44453</v>
      </c>
      <c r="H161" s="895">
        <v>10</v>
      </c>
      <c r="I161" s="892">
        <f t="shared" si="69"/>
        <v>176970</v>
      </c>
      <c r="J161" s="892">
        <f t="shared" si="70"/>
        <v>17697</v>
      </c>
      <c r="K161" s="887"/>
      <c r="L161" s="887"/>
      <c r="M161" s="887"/>
      <c r="N161" s="887"/>
      <c r="O161" s="887"/>
      <c r="P161" s="939">
        <f t="shared" si="90"/>
        <v>5309.0999999999995</v>
      </c>
      <c r="Q161" s="939"/>
      <c r="R161" s="923"/>
      <c r="S161" s="892">
        <f t="shared" si="71"/>
        <v>23006.1</v>
      </c>
      <c r="T161" s="892">
        <f t="shared" si="72"/>
        <v>199976.1</v>
      </c>
      <c r="U161" s="892">
        <f t="shared" si="73"/>
        <v>19997.61</v>
      </c>
      <c r="V161" s="892">
        <f t="shared" si="74"/>
        <v>11225.096799999999</v>
      </c>
      <c r="W161" s="892">
        <f t="shared" si="75"/>
        <v>3999.5220000000004</v>
      </c>
      <c r="X161" s="892">
        <f t="shared" si="76"/>
        <v>164753.87119999999</v>
      </c>
      <c r="Y161" s="892">
        <f t="shared" si="77"/>
        <v>2399713.2000000002</v>
      </c>
      <c r="Z161" s="892">
        <f t="shared" si="78"/>
        <v>176970</v>
      </c>
      <c r="AA161" s="892">
        <f t="shared" si="79"/>
        <v>2576683.2000000002</v>
      </c>
      <c r="AB161" s="892">
        <f t="shared" si="80"/>
        <v>133861.52376000001</v>
      </c>
      <c r="AC161" s="892">
        <f t="shared" si="84"/>
        <v>115950.74400000002</v>
      </c>
      <c r="AD161" s="892">
        <f t="shared" si="81"/>
        <v>71991.396000000008</v>
      </c>
      <c r="AE161" s="892">
        <f t="shared" si="82"/>
        <v>128834.16000000002</v>
      </c>
      <c r="AF161" s="892">
        <f t="shared" si="83"/>
        <v>3027321.0237600007</v>
      </c>
      <c r="AG161" s="892" t="s">
        <v>3</v>
      </c>
    </row>
    <row r="162" spans="1:33" ht="31.5">
      <c r="A162" s="918">
        <v>113</v>
      </c>
      <c r="B162" s="909" t="s">
        <v>14</v>
      </c>
      <c r="C162" s="909" t="s">
        <v>505</v>
      </c>
      <c r="D162" s="1564"/>
      <c r="E162" s="934">
        <v>1</v>
      </c>
      <c r="F162" s="887"/>
      <c r="G162" s="888">
        <v>44797</v>
      </c>
      <c r="H162" s="895">
        <v>10</v>
      </c>
      <c r="I162" s="892">
        <f t="shared" si="69"/>
        <v>176970</v>
      </c>
      <c r="J162" s="892">
        <f t="shared" si="70"/>
        <v>17697</v>
      </c>
      <c r="K162" s="887"/>
      <c r="L162" s="887"/>
      <c r="M162" s="887"/>
      <c r="N162" s="887"/>
      <c r="O162" s="887"/>
      <c r="P162" s="939">
        <f t="shared" si="90"/>
        <v>5309.0999999999995</v>
      </c>
      <c r="Q162" s="939"/>
      <c r="R162" s="923"/>
      <c r="S162" s="892">
        <f t="shared" si="71"/>
        <v>23006.1</v>
      </c>
      <c r="T162" s="892">
        <f t="shared" si="72"/>
        <v>199976.1</v>
      </c>
      <c r="U162" s="892">
        <f t="shared" si="73"/>
        <v>19997.61</v>
      </c>
      <c r="V162" s="892">
        <f t="shared" si="74"/>
        <v>11225.096799999999</v>
      </c>
      <c r="W162" s="892">
        <f t="shared" si="75"/>
        <v>3999.5220000000004</v>
      </c>
      <c r="X162" s="892">
        <f t="shared" si="76"/>
        <v>164753.87119999999</v>
      </c>
      <c r="Y162" s="892">
        <f t="shared" si="77"/>
        <v>2399713.2000000002</v>
      </c>
      <c r="Z162" s="892">
        <f t="shared" si="78"/>
        <v>176970</v>
      </c>
      <c r="AA162" s="892">
        <f t="shared" si="79"/>
        <v>2576683.2000000002</v>
      </c>
      <c r="AB162" s="892">
        <f t="shared" si="80"/>
        <v>133861.52376000001</v>
      </c>
      <c r="AC162" s="892">
        <f t="shared" si="84"/>
        <v>115950.74400000002</v>
      </c>
      <c r="AD162" s="892">
        <f t="shared" si="81"/>
        <v>71991.396000000008</v>
      </c>
      <c r="AE162" s="892">
        <f t="shared" si="82"/>
        <v>128834.16000000002</v>
      </c>
      <c r="AF162" s="892">
        <f t="shared" si="83"/>
        <v>3027321.0237600007</v>
      </c>
      <c r="AG162" s="892" t="s">
        <v>3</v>
      </c>
    </row>
    <row r="163" spans="1:33" ht="31.5">
      <c r="A163" s="918">
        <v>114</v>
      </c>
      <c r="B163" s="909" t="s">
        <v>14</v>
      </c>
      <c r="C163" s="909" t="s">
        <v>506</v>
      </c>
      <c r="D163" s="1564"/>
      <c r="E163" s="934">
        <v>1</v>
      </c>
      <c r="F163" s="887"/>
      <c r="G163" s="888">
        <v>44204</v>
      </c>
      <c r="H163" s="895">
        <v>10</v>
      </c>
      <c r="I163" s="892">
        <f t="shared" si="69"/>
        <v>176970</v>
      </c>
      <c r="J163" s="892">
        <f t="shared" si="70"/>
        <v>17697</v>
      </c>
      <c r="K163" s="887"/>
      <c r="L163" s="887"/>
      <c r="M163" s="887"/>
      <c r="N163" s="887"/>
      <c r="O163" s="887"/>
      <c r="P163" s="939"/>
      <c r="Q163" s="939">
        <f t="shared" ref="Q163:Q164" si="91">17697*20%</f>
        <v>3539.4</v>
      </c>
      <c r="R163" s="923"/>
      <c r="S163" s="892">
        <f t="shared" si="71"/>
        <v>21236.400000000001</v>
      </c>
      <c r="T163" s="892">
        <f t="shared" si="72"/>
        <v>198206.4</v>
      </c>
      <c r="U163" s="892">
        <f t="shared" si="73"/>
        <v>19820.64</v>
      </c>
      <c r="V163" s="892">
        <f t="shared" si="74"/>
        <v>11069.363200000002</v>
      </c>
      <c r="W163" s="892">
        <f t="shared" si="75"/>
        <v>3964.1280000000002</v>
      </c>
      <c r="X163" s="892">
        <f t="shared" si="76"/>
        <v>163352.26880000002</v>
      </c>
      <c r="Y163" s="892">
        <f t="shared" si="77"/>
        <v>2378476.7999999998</v>
      </c>
      <c r="Z163" s="892">
        <f t="shared" si="78"/>
        <v>176970</v>
      </c>
      <c r="AA163" s="892">
        <f t="shared" si="79"/>
        <v>2555446.7999999998</v>
      </c>
      <c r="AB163" s="892">
        <f t="shared" si="80"/>
        <v>132761.47824000003</v>
      </c>
      <c r="AC163" s="892">
        <f t="shared" si="84"/>
        <v>114995.10600000001</v>
      </c>
      <c r="AD163" s="892">
        <f t="shared" si="81"/>
        <v>71354.303999999989</v>
      </c>
      <c r="AE163" s="892">
        <f t="shared" si="82"/>
        <v>127772.34</v>
      </c>
      <c r="AF163" s="892">
        <f t="shared" si="83"/>
        <v>3002330.0282399999</v>
      </c>
      <c r="AG163" s="892" t="s">
        <v>3</v>
      </c>
    </row>
    <row r="164" spans="1:33" ht="31.5">
      <c r="A164" s="918">
        <v>115</v>
      </c>
      <c r="B164" s="909" t="s">
        <v>14</v>
      </c>
      <c r="C164" s="909" t="s">
        <v>507</v>
      </c>
      <c r="D164" s="1564"/>
      <c r="E164" s="934">
        <v>1.5</v>
      </c>
      <c r="F164" s="887"/>
      <c r="G164" s="888">
        <v>39314</v>
      </c>
      <c r="H164" s="895">
        <v>10</v>
      </c>
      <c r="I164" s="892">
        <f t="shared" si="69"/>
        <v>265455</v>
      </c>
      <c r="J164" s="892">
        <f t="shared" si="70"/>
        <v>26545.5</v>
      </c>
      <c r="K164" s="887"/>
      <c r="L164" s="887"/>
      <c r="M164" s="887"/>
      <c r="N164" s="887"/>
      <c r="O164" s="887"/>
      <c r="P164" s="939"/>
      <c r="Q164" s="939">
        <f t="shared" si="91"/>
        <v>3539.4</v>
      </c>
      <c r="R164" s="923"/>
      <c r="S164" s="892">
        <f t="shared" si="71"/>
        <v>30084.9</v>
      </c>
      <c r="T164" s="892">
        <f t="shared" si="72"/>
        <v>295539.90000000002</v>
      </c>
      <c r="U164" s="892">
        <f t="shared" si="73"/>
        <v>29553.990000000005</v>
      </c>
      <c r="V164" s="892">
        <f t="shared" si="74"/>
        <v>19634.711200000002</v>
      </c>
      <c r="W164" s="892">
        <f t="shared" si="75"/>
        <v>5910.7980000000007</v>
      </c>
      <c r="X164" s="892">
        <f t="shared" si="76"/>
        <v>240440.40080000003</v>
      </c>
      <c r="Y164" s="892">
        <f t="shared" si="77"/>
        <v>3546478.8000000003</v>
      </c>
      <c r="Z164" s="892">
        <f t="shared" si="78"/>
        <v>265455</v>
      </c>
      <c r="AA164" s="892">
        <f t="shared" si="79"/>
        <v>3811933.8000000003</v>
      </c>
      <c r="AB164" s="892">
        <f t="shared" si="80"/>
        <v>198042.17184</v>
      </c>
      <c r="AC164" s="892">
        <f t="shared" si="84"/>
        <v>171537.02100000004</v>
      </c>
      <c r="AD164" s="892">
        <f t="shared" si="81"/>
        <v>106394.364</v>
      </c>
      <c r="AE164" s="892">
        <f t="shared" si="82"/>
        <v>190596.69000000003</v>
      </c>
      <c r="AF164" s="892">
        <f t="shared" si="83"/>
        <v>4478504.0468400009</v>
      </c>
      <c r="AG164" s="892" t="s">
        <v>3</v>
      </c>
    </row>
    <row r="165" spans="1:33" ht="31.5">
      <c r="A165" s="918">
        <v>116</v>
      </c>
      <c r="B165" s="909" t="s">
        <v>14</v>
      </c>
      <c r="C165" s="909" t="s">
        <v>508</v>
      </c>
      <c r="D165" s="1564"/>
      <c r="E165" s="934">
        <v>1.5</v>
      </c>
      <c r="F165" s="887"/>
      <c r="G165" s="888">
        <v>44204</v>
      </c>
      <c r="H165" s="895">
        <v>10</v>
      </c>
      <c r="I165" s="892">
        <f t="shared" si="69"/>
        <v>265455</v>
      </c>
      <c r="J165" s="892">
        <f t="shared" si="70"/>
        <v>26545.5</v>
      </c>
      <c r="K165" s="887"/>
      <c r="L165" s="887"/>
      <c r="M165" s="887"/>
      <c r="N165" s="887"/>
      <c r="O165" s="887"/>
      <c r="P165" s="939">
        <f t="shared" ref="P165:P167" si="92">17697*30%</f>
        <v>5309.0999999999995</v>
      </c>
      <c r="Q165" s="923"/>
      <c r="R165" s="923"/>
      <c r="S165" s="892">
        <f t="shared" si="71"/>
        <v>31854.6</v>
      </c>
      <c r="T165" s="892">
        <f t="shared" si="72"/>
        <v>297309.59999999998</v>
      </c>
      <c r="U165" s="892">
        <f t="shared" si="73"/>
        <v>29730.959999999999</v>
      </c>
      <c r="V165" s="892">
        <f t="shared" si="74"/>
        <v>19790.444799999997</v>
      </c>
      <c r="W165" s="892">
        <f t="shared" si="75"/>
        <v>5946.192</v>
      </c>
      <c r="X165" s="892">
        <f t="shared" si="76"/>
        <v>241842.00319999995</v>
      </c>
      <c r="Y165" s="892">
        <f t="shared" si="77"/>
        <v>3567715.1999999997</v>
      </c>
      <c r="Z165" s="892">
        <f t="shared" si="78"/>
        <v>265455</v>
      </c>
      <c r="AA165" s="892">
        <f t="shared" si="79"/>
        <v>3833170.1999999997</v>
      </c>
      <c r="AB165" s="892">
        <f t="shared" si="80"/>
        <v>199142.21736000001</v>
      </c>
      <c r="AC165" s="892">
        <f t="shared" si="84"/>
        <v>172492.65899999999</v>
      </c>
      <c r="AD165" s="892">
        <f t="shared" si="81"/>
        <v>107031.45599999999</v>
      </c>
      <c r="AE165" s="892">
        <f t="shared" si="82"/>
        <v>191658.51</v>
      </c>
      <c r="AF165" s="892">
        <f t="shared" si="83"/>
        <v>4503495.0423600003</v>
      </c>
      <c r="AG165" s="892" t="s">
        <v>3</v>
      </c>
    </row>
    <row r="166" spans="1:33" ht="31.5">
      <c r="A166" s="918">
        <v>117</v>
      </c>
      <c r="B166" s="909" t="s">
        <v>14</v>
      </c>
      <c r="C166" s="909" t="s">
        <v>2353</v>
      </c>
      <c r="D166" s="1564"/>
      <c r="E166" s="934">
        <v>1.5</v>
      </c>
      <c r="F166" s="887"/>
      <c r="G166" s="888">
        <v>44204</v>
      </c>
      <c r="H166" s="895">
        <v>10</v>
      </c>
      <c r="I166" s="892">
        <f t="shared" si="69"/>
        <v>265455</v>
      </c>
      <c r="J166" s="892">
        <f t="shared" si="70"/>
        <v>26545.5</v>
      </c>
      <c r="K166" s="887"/>
      <c r="L166" s="887"/>
      <c r="M166" s="887"/>
      <c r="N166" s="887"/>
      <c r="O166" s="887"/>
      <c r="P166" s="939">
        <f t="shared" si="92"/>
        <v>5309.0999999999995</v>
      </c>
      <c r="Q166" s="923"/>
      <c r="R166" s="923"/>
      <c r="S166" s="892">
        <f t="shared" si="71"/>
        <v>31854.6</v>
      </c>
      <c r="T166" s="892">
        <f t="shared" si="72"/>
        <v>297309.59999999998</v>
      </c>
      <c r="U166" s="892">
        <f t="shared" si="73"/>
        <v>29730.959999999999</v>
      </c>
      <c r="V166" s="892">
        <f t="shared" si="74"/>
        <v>19790.444799999997</v>
      </c>
      <c r="W166" s="892">
        <f t="shared" si="75"/>
        <v>5946.192</v>
      </c>
      <c r="X166" s="892">
        <f t="shared" si="76"/>
        <v>241842.00319999995</v>
      </c>
      <c r="Y166" s="892">
        <f t="shared" si="77"/>
        <v>3567715.1999999997</v>
      </c>
      <c r="Z166" s="892">
        <f t="shared" si="78"/>
        <v>265455</v>
      </c>
      <c r="AA166" s="892">
        <f t="shared" si="79"/>
        <v>3833170.1999999997</v>
      </c>
      <c r="AB166" s="892">
        <f t="shared" si="80"/>
        <v>199142.21736000001</v>
      </c>
      <c r="AC166" s="892">
        <f t="shared" si="84"/>
        <v>172492.65899999999</v>
      </c>
      <c r="AD166" s="892">
        <f t="shared" si="81"/>
        <v>107031.45599999999</v>
      </c>
      <c r="AE166" s="892">
        <f t="shared" si="82"/>
        <v>191658.51</v>
      </c>
      <c r="AF166" s="892">
        <f t="shared" si="83"/>
        <v>4503495.0423600003</v>
      </c>
      <c r="AG166" s="892" t="s">
        <v>3</v>
      </c>
    </row>
    <row r="167" spans="1:33" ht="31.5">
      <c r="A167" s="918">
        <v>118</v>
      </c>
      <c r="B167" s="909" t="s">
        <v>14</v>
      </c>
      <c r="C167" s="909" t="s">
        <v>2354</v>
      </c>
      <c r="D167" s="1564"/>
      <c r="E167" s="934">
        <v>1.5</v>
      </c>
      <c r="F167" s="887"/>
      <c r="G167" s="888">
        <v>43741</v>
      </c>
      <c r="H167" s="895">
        <v>10</v>
      </c>
      <c r="I167" s="892">
        <f t="shared" si="69"/>
        <v>265455</v>
      </c>
      <c r="J167" s="892">
        <f t="shared" si="70"/>
        <v>26545.5</v>
      </c>
      <c r="K167" s="887"/>
      <c r="L167" s="887"/>
      <c r="M167" s="887"/>
      <c r="N167" s="887"/>
      <c r="O167" s="887"/>
      <c r="P167" s="939">
        <f t="shared" si="92"/>
        <v>5309.0999999999995</v>
      </c>
      <c r="Q167" s="923"/>
      <c r="R167" s="923"/>
      <c r="S167" s="892">
        <f t="shared" si="71"/>
        <v>31854.6</v>
      </c>
      <c r="T167" s="892">
        <f t="shared" si="72"/>
        <v>297309.59999999998</v>
      </c>
      <c r="U167" s="892">
        <f t="shared" si="73"/>
        <v>29730.959999999999</v>
      </c>
      <c r="V167" s="892">
        <f t="shared" si="74"/>
        <v>19790.444799999997</v>
      </c>
      <c r="W167" s="892">
        <f t="shared" si="75"/>
        <v>5946.192</v>
      </c>
      <c r="X167" s="892">
        <f t="shared" si="76"/>
        <v>241842.00319999995</v>
      </c>
      <c r="Y167" s="892">
        <f t="shared" si="77"/>
        <v>3567715.1999999997</v>
      </c>
      <c r="Z167" s="892">
        <f t="shared" si="78"/>
        <v>265455</v>
      </c>
      <c r="AA167" s="892">
        <f t="shared" si="79"/>
        <v>3833170.1999999997</v>
      </c>
      <c r="AB167" s="892">
        <f t="shared" si="80"/>
        <v>199142.21736000001</v>
      </c>
      <c r="AC167" s="892">
        <f t="shared" si="84"/>
        <v>172492.65899999999</v>
      </c>
      <c r="AD167" s="892">
        <f t="shared" si="81"/>
        <v>107031.45599999999</v>
      </c>
      <c r="AE167" s="892">
        <f t="shared" si="82"/>
        <v>191658.51</v>
      </c>
      <c r="AF167" s="892">
        <f t="shared" si="83"/>
        <v>4503495.0423600003</v>
      </c>
      <c r="AG167" s="892" t="s">
        <v>3</v>
      </c>
    </row>
    <row r="168" spans="1:33" ht="18.75" customHeight="1">
      <c r="B168" s="919" t="s">
        <v>835</v>
      </c>
      <c r="C168" s="920"/>
      <c r="D168" s="921">
        <f>SUM(D130:D167)</f>
        <v>40</v>
      </c>
      <c r="E168" s="921">
        <f>SUM(E130:E167)</f>
        <v>40</v>
      </c>
      <c r="F168" s="918"/>
      <c r="G168" s="918"/>
      <c r="H168" s="918"/>
      <c r="I168" s="924">
        <f t="shared" ref="I168:AF168" si="93">SUM(I130:I167)</f>
        <v>8193711</v>
      </c>
      <c r="J168" s="924">
        <f t="shared" si="93"/>
        <v>819371.10000000009</v>
      </c>
      <c r="K168" s="924">
        <f t="shared" si="93"/>
        <v>0</v>
      </c>
      <c r="L168" s="924">
        <f t="shared" si="93"/>
        <v>0</v>
      </c>
      <c r="M168" s="924">
        <f t="shared" si="93"/>
        <v>0</v>
      </c>
      <c r="N168" s="924">
        <f t="shared" si="93"/>
        <v>0</v>
      </c>
      <c r="O168" s="924">
        <f t="shared" si="93"/>
        <v>6193.95</v>
      </c>
      <c r="P168" s="924">
        <f t="shared" si="93"/>
        <v>84945.600000000006</v>
      </c>
      <c r="Q168" s="924">
        <f t="shared" si="93"/>
        <v>24775.800000000003</v>
      </c>
      <c r="R168" s="924">
        <f t="shared" si="93"/>
        <v>13272.75</v>
      </c>
      <c r="S168" s="924">
        <f t="shared" si="93"/>
        <v>948559.19999999984</v>
      </c>
      <c r="T168" s="924">
        <f t="shared" si="93"/>
        <v>9142270.1999999974</v>
      </c>
      <c r="U168" s="924">
        <f t="shared" si="93"/>
        <v>914227.01999999979</v>
      </c>
      <c r="V168" s="924">
        <f t="shared" si="93"/>
        <v>562353.37760000001</v>
      </c>
      <c r="W168" s="924">
        <f t="shared" si="93"/>
        <v>182845.40400000001</v>
      </c>
      <c r="X168" s="924">
        <f t="shared" si="93"/>
        <v>7482844.3983999994</v>
      </c>
      <c r="Y168" s="924">
        <f t="shared" si="93"/>
        <v>109707242.40000002</v>
      </c>
      <c r="Z168" s="924">
        <f t="shared" si="93"/>
        <v>8193711</v>
      </c>
      <c r="AA168" s="924">
        <f t="shared" si="93"/>
        <v>117900953.40000002</v>
      </c>
      <c r="AB168" s="924">
        <f t="shared" si="93"/>
        <v>6125295.550320005</v>
      </c>
      <c r="AC168" s="924">
        <f t="shared" si="93"/>
        <v>5305542.9029999999</v>
      </c>
      <c r="AD168" s="924">
        <f t="shared" si="93"/>
        <v>3291217.2720000003</v>
      </c>
      <c r="AE168" s="924">
        <f t="shared" si="93"/>
        <v>5895047.6700000009</v>
      </c>
      <c r="AF168" s="924">
        <f t="shared" si="93"/>
        <v>138518056.79532003</v>
      </c>
      <c r="AG168" s="923"/>
    </row>
    <row r="169" spans="1:33" ht="24.75" customHeight="1">
      <c r="A169" s="1565" t="s">
        <v>836</v>
      </c>
      <c r="B169" s="1565"/>
      <c r="C169" s="1565"/>
      <c r="D169" s="1565"/>
      <c r="E169" s="1565"/>
      <c r="F169" s="1565"/>
      <c r="G169" s="1565"/>
      <c r="H169" s="1565"/>
      <c r="I169" s="1565"/>
      <c r="J169" s="1565"/>
      <c r="K169" s="1565"/>
      <c r="L169" s="1565"/>
      <c r="M169" s="1565"/>
      <c r="N169" s="1565"/>
      <c r="O169" s="1565"/>
      <c r="P169" s="1565"/>
      <c r="Q169" s="1565"/>
      <c r="R169" s="1565"/>
      <c r="S169" s="1565"/>
      <c r="T169" s="1565"/>
      <c r="U169" s="1565"/>
      <c r="V169" s="1565"/>
      <c r="W169" s="1565"/>
      <c r="X169" s="1565"/>
      <c r="Y169" s="1565"/>
      <c r="Z169" s="1565"/>
      <c r="AA169" s="1565"/>
      <c r="AB169" s="1565"/>
      <c r="AC169" s="1565"/>
      <c r="AD169" s="1565"/>
      <c r="AE169" s="1565"/>
      <c r="AF169" s="1565"/>
      <c r="AG169" s="1565"/>
    </row>
    <row r="170" spans="1:33" ht="22.5" customHeight="1">
      <c r="A170" s="1544" t="s">
        <v>509</v>
      </c>
      <c r="B170" s="1544"/>
      <c r="C170" s="1544"/>
      <c r="D170" s="1544"/>
      <c r="E170" s="1544"/>
      <c r="F170" s="1544"/>
      <c r="G170" s="1544"/>
      <c r="H170" s="1544"/>
      <c r="I170" s="1544"/>
      <c r="J170" s="1544"/>
      <c r="K170" s="1544"/>
      <c r="L170" s="1544"/>
      <c r="M170" s="1544"/>
      <c r="N170" s="1544"/>
      <c r="O170" s="1544"/>
      <c r="P170" s="1544"/>
      <c r="Q170" s="1544"/>
      <c r="R170" s="1544"/>
      <c r="S170" s="1544"/>
      <c r="T170" s="1544"/>
      <c r="U170" s="1544"/>
      <c r="V170" s="1544"/>
      <c r="W170" s="1544"/>
      <c r="X170" s="1544"/>
      <c r="Y170" s="1544"/>
      <c r="Z170" s="1544"/>
      <c r="AA170" s="1544"/>
      <c r="AB170" s="1544"/>
      <c r="AC170" s="1544"/>
      <c r="AD170" s="1544"/>
      <c r="AE170" s="1544"/>
      <c r="AF170" s="1544"/>
      <c r="AG170" s="1544"/>
    </row>
    <row r="171" spans="1:33">
      <c r="A171" s="974">
        <v>120</v>
      </c>
      <c r="B171" s="893" t="s">
        <v>510</v>
      </c>
      <c r="C171" s="894" t="s">
        <v>511</v>
      </c>
      <c r="D171" s="918">
        <v>1</v>
      </c>
      <c r="E171" s="918">
        <v>1</v>
      </c>
      <c r="F171" s="918"/>
      <c r="G171" s="888">
        <v>44629</v>
      </c>
      <c r="H171" s="918">
        <v>31</v>
      </c>
      <c r="I171" s="892">
        <f t="shared" ref="I171" si="94">E171*17697*H171</f>
        <v>548607</v>
      </c>
      <c r="J171" s="892">
        <f t="shared" ref="J171" si="95">I171*10%</f>
        <v>54860.700000000004</v>
      </c>
      <c r="K171" s="924"/>
      <c r="L171" s="924"/>
      <c r="M171" s="924"/>
      <c r="N171" s="924"/>
      <c r="O171" s="924"/>
      <c r="P171" s="924"/>
      <c r="Q171" s="924"/>
      <c r="R171" s="924"/>
      <c r="S171" s="892">
        <f t="shared" ref="S171" si="96">SUM(J171:R171)</f>
        <v>54860.700000000004</v>
      </c>
      <c r="T171" s="892">
        <f t="shared" ref="T171" si="97">I171+S171</f>
        <v>603467.69999999995</v>
      </c>
      <c r="U171" s="892">
        <f t="shared" ref="U171" si="98">T171*10%</f>
        <v>60346.77</v>
      </c>
      <c r="V171" s="892">
        <f>((T171-U171-W171)-(14*4552))*10%</f>
        <v>46732.357599999988</v>
      </c>
      <c r="W171" s="892">
        <f t="shared" ref="W171" si="99">T171*2%</f>
        <v>12069.353999999999</v>
      </c>
      <c r="X171" s="892">
        <f t="shared" ref="X171" si="100">T171-U171-V171-W171</f>
        <v>484319.21839999995</v>
      </c>
      <c r="Y171" s="892">
        <f t="shared" ref="Y171" si="101">T171*12</f>
        <v>7241612.3999999994</v>
      </c>
      <c r="Z171" s="892">
        <f t="shared" ref="Z171" si="102">I171</f>
        <v>548607</v>
      </c>
      <c r="AA171" s="892">
        <f t="shared" ref="AA171" si="103">Y171+Z171</f>
        <v>7790219.3999999994</v>
      </c>
      <c r="AB171" s="892">
        <f>(AA171*0.9-(W171*12))*11%-AC171</f>
        <v>404740.30032000004</v>
      </c>
      <c r="AC171" s="892">
        <f>AA171*0.9*5%</f>
        <v>350559.87300000002</v>
      </c>
      <c r="AD171" s="892">
        <f t="shared" ref="AD171" si="104">Y171*3%</f>
        <v>217248.37199999997</v>
      </c>
      <c r="AE171" s="892">
        <f>AA171*5%</f>
        <v>389510.97</v>
      </c>
      <c r="AF171" s="892">
        <f t="shared" ref="AF171" si="105">AA171+AB171+AC171+AD171+AE171</f>
        <v>9152278.9153199997</v>
      </c>
      <c r="AG171" s="892" t="s">
        <v>3</v>
      </c>
    </row>
    <row r="172" spans="1:33" ht="22.5" customHeight="1">
      <c r="B172" s="919" t="s">
        <v>827</v>
      </c>
      <c r="C172" s="920"/>
      <c r="D172" s="921">
        <f>SUM(D171)</f>
        <v>1</v>
      </c>
      <c r="E172" s="921">
        <f t="shared" ref="E172:AF172" si="106">SUM(E171)</f>
        <v>1</v>
      </c>
      <c r="F172" s="921">
        <f t="shared" si="106"/>
        <v>0</v>
      </c>
      <c r="G172" s="921"/>
      <c r="H172" s="921"/>
      <c r="I172" s="924">
        <f t="shared" si="106"/>
        <v>548607</v>
      </c>
      <c r="J172" s="924">
        <f t="shared" si="106"/>
        <v>54860.700000000004</v>
      </c>
      <c r="K172" s="921">
        <f t="shared" si="106"/>
        <v>0</v>
      </c>
      <c r="L172" s="921">
        <f t="shared" si="106"/>
        <v>0</v>
      </c>
      <c r="M172" s="921">
        <f t="shared" si="106"/>
        <v>0</v>
      </c>
      <c r="N172" s="921">
        <f t="shared" si="106"/>
        <v>0</v>
      </c>
      <c r="O172" s="921">
        <f t="shared" si="106"/>
        <v>0</v>
      </c>
      <c r="P172" s="921">
        <f t="shared" si="106"/>
        <v>0</v>
      </c>
      <c r="Q172" s="921">
        <f t="shared" si="106"/>
        <v>0</v>
      </c>
      <c r="R172" s="921">
        <f t="shared" si="106"/>
        <v>0</v>
      </c>
      <c r="S172" s="924">
        <f t="shared" si="106"/>
        <v>54860.700000000004</v>
      </c>
      <c r="T172" s="924">
        <f t="shared" si="106"/>
        <v>603467.69999999995</v>
      </c>
      <c r="U172" s="924">
        <f t="shared" si="106"/>
        <v>60346.77</v>
      </c>
      <c r="V172" s="924">
        <f t="shared" si="106"/>
        <v>46732.357599999988</v>
      </c>
      <c r="W172" s="924">
        <f t="shared" si="106"/>
        <v>12069.353999999999</v>
      </c>
      <c r="X172" s="924">
        <f t="shared" si="106"/>
        <v>484319.21839999995</v>
      </c>
      <c r="Y172" s="924">
        <f t="shared" si="106"/>
        <v>7241612.3999999994</v>
      </c>
      <c r="Z172" s="924">
        <f t="shared" si="106"/>
        <v>548607</v>
      </c>
      <c r="AA172" s="924">
        <f t="shared" si="106"/>
        <v>7790219.3999999994</v>
      </c>
      <c r="AB172" s="924">
        <f t="shared" si="106"/>
        <v>404740.30032000004</v>
      </c>
      <c r="AC172" s="924">
        <f t="shared" si="106"/>
        <v>350559.87300000002</v>
      </c>
      <c r="AD172" s="924">
        <f t="shared" si="106"/>
        <v>217248.37199999997</v>
      </c>
      <c r="AE172" s="924">
        <f t="shared" si="106"/>
        <v>389510.97</v>
      </c>
      <c r="AF172" s="924">
        <f t="shared" si="106"/>
        <v>9152278.9153199997</v>
      </c>
      <c r="AG172" s="923"/>
    </row>
    <row r="173" spans="1:33" ht="24.75" customHeight="1">
      <c r="A173" s="1544" t="s">
        <v>445</v>
      </c>
      <c r="B173" s="1544"/>
      <c r="C173" s="1544"/>
      <c r="D173" s="1544"/>
      <c r="E173" s="1544"/>
      <c r="F173" s="1544"/>
      <c r="G173" s="1544"/>
      <c r="H173" s="1544"/>
      <c r="I173" s="1544"/>
      <c r="J173" s="1544"/>
      <c r="K173" s="1544"/>
      <c r="L173" s="1544"/>
      <c r="M173" s="1544"/>
      <c r="N173" s="1544"/>
      <c r="O173" s="1544"/>
      <c r="P173" s="1544"/>
      <c r="Q173" s="1544"/>
      <c r="R173" s="1544"/>
      <c r="S173" s="1544"/>
      <c r="T173" s="1544"/>
      <c r="U173" s="1544"/>
      <c r="V173" s="1544"/>
      <c r="W173" s="1544"/>
      <c r="X173" s="1544"/>
      <c r="Y173" s="1544"/>
      <c r="Z173" s="1544"/>
      <c r="AA173" s="1544"/>
      <c r="AB173" s="1544"/>
      <c r="AC173" s="1544"/>
      <c r="AD173" s="1544"/>
      <c r="AE173" s="1544"/>
      <c r="AF173" s="1544"/>
      <c r="AG173" s="1544"/>
    </row>
    <row r="174" spans="1:33">
      <c r="A174" s="918">
        <v>121</v>
      </c>
      <c r="B174" s="909" t="s">
        <v>512</v>
      </c>
      <c r="C174" s="914" t="s">
        <v>513</v>
      </c>
      <c r="D174" s="1559">
        <v>15</v>
      </c>
      <c r="E174" s="918">
        <v>1</v>
      </c>
      <c r="F174" s="918"/>
      <c r="G174" s="888">
        <v>44826</v>
      </c>
      <c r="H174" s="895">
        <v>17</v>
      </c>
      <c r="I174" s="892">
        <f t="shared" ref="I174:I215" si="107">E174*17697*H174</f>
        <v>300849</v>
      </c>
      <c r="J174" s="892">
        <f t="shared" ref="J174:J215" si="108">I174*10%</f>
        <v>30084.9</v>
      </c>
      <c r="K174" s="892">
        <f>10*4552</f>
        <v>45520</v>
      </c>
      <c r="L174" s="924"/>
      <c r="M174" s="924"/>
      <c r="N174" s="924"/>
      <c r="O174" s="924"/>
      <c r="P174" s="924"/>
      <c r="Q174" s="924"/>
      <c r="R174" s="924"/>
      <c r="S174" s="892">
        <f t="shared" ref="S174:S215" si="109">SUM(J174:R174)</f>
        <v>75604.899999999994</v>
      </c>
      <c r="T174" s="892">
        <f t="shared" ref="T174:T215" si="110">I174+S174</f>
        <v>376453.9</v>
      </c>
      <c r="U174" s="892">
        <f t="shared" ref="U174:U215" si="111">T174*10%</f>
        <v>37645.390000000007</v>
      </c>
      <c r="V174" s="892">
        <f t="shared" ref="V174:V199" si="112">((T174-U174-W174)-(14*4552))*10%</f>
        <v>26755.143200000006</v>
      </c>
      <c r="W174" s="892">
        <f t="shared" ref="W174:W215" si="113">T174*2%</f>
        <v>7529.0780000000004</v>
      </c>
      <c r="X174" s="892">
        <f t="shared" ref="X174:X215" si="114">T174-U174-V174-W174</f>
        <v>304524.28880000004</v>
      </c>
      <c r="Y174" s="892">
        <f t="shared" ref="Y174:Y215" si="115">T174*12</f>
        <v>4517446.8000000007</v>
      </c>
      <c r="Z174" s="892">
        <f t="shared" ref="Z174:Z198" si="116">I174</f>
        <v>300849</v>
      </c>
      <c r="AA174" s="892">
        <f t="shared" ref="AA174:AA215" si="117">Y174+Z174</f>
        <v>4818295.8000000007</v>
      </c>
      <c r="AB174" s="892">
        <f t="shared" ref="AB174:AB198" si="118">(AA174*0.9-(W174*12))*11%-AC174</f>
        <v>250249.59024000005</v>
      </c>
      <c r="AC174" s="892">
        <f>AA174*0.9*5%</f>
        <v>216823.31100000005</v>
      </c>
      <c r="AD174" s="892">
        <f t="shared" ref="AD174:AD215" si="119">Y174*3%</f>
        <v>135523.40400000001</v>
      </c>
      <c r="AE174" s="892">
        <f t="shared" ref="AE174:AE215" si="120">AA174*5%</f>
        <v>240914.79000000004</v>
      </c>
      <c r="AF174" s="892">
        <f t="shared" ref="AF174:AF215" si="121">AA174+AB174+AC174+AD174+AE174</f>
        <v>5661806.8952400004</v>
      </c>
      <c r="AG174" s="892" t="s">
        <v>3</v>
      </c>
    </row>
    <row r="175" spans="1:33" ht="31.5">
      <c r="A175" s="918">
        <v>122</v>
      </c>
      <c r="B175" s="909" t="s">
        <v>512</v>
      </c>
      <c r="C175" s="928" t="s">
        <v>554</v>
      </c>
      <c r="D175" s="1560"/>
      <c r="E175" s="918">
        <v>1</v>
      </c>
      <c r="F175" s="918"/>
      <c r="G175" s="888">
        <v>45180</v>
      </c>
      <c r="H175" s="895">
        <v>17</v>
      </c>
      <c r="I175" s="892">
        <f t="shared" si="107"/>
        <v>300849</v>
      </c>
      <c r="J175" s="892">
        <f t="shared" si="108"/>
        <v>30084.9</v>
      </c>
      <c r="K175" s="892"/>
      <c r="L175" s="924"/>
      <c r="M175" s="924"/>
      <c r="N175" s="924"/>
      <c r="O175" s="924"/>
      <c r="P175" s="924"/>
      <c r="Q175" s="924"/>
      <c r="R175" s="924"/>
      <c r="S175" s="892">
        <f t="shared" si="109"/>
        <v>30084.9</v>
      </c>
      <c r="T175" s="892">
        <f t="shared" si="110"/>
        <v>330933.90000000002</v>
      </c>
      <c r="U175" s="892">
        <f t="shared" si="111"/>
        <v>33093.390000000007</v>
      </c>
      <c r="V175" s="892">
        <f t="shared" si="112"/>
        <v>22749.3832</v>
      </c>
      <c r="W175" s="892">
        <f t="shared" si="113"/>
        <v>6618.6780000000008</v>
      </c>
      <c r="X175" s="892">
        <f t="shared" si="114"/>
        <v>268472.44880000001</v>
      </c>
      <c r="Y175" s="892">
        <f t="shared" si="115"/>
        <v>3971206.8000000003</v>
      </c>
      <c r="Z175" s="892">
        <f t="shared" si="116"/>
        <v>300849</v>
      </c>
      <c r="AA175" s="892">
        <f t="shared" si="117"/>
        <v>4272055.8000000007</v>
      </c>
      <c r="AB175" s="892">
        <f t="shared" si="118"/>
        <v>221954.35824000003</v>
      </c>
      <c r="AC175" s="892">
        <f t="shared" ref="AC175:AC198" si="122">AA175*0.9*5%</f>
        <v>192242.51100000006</v>
      </c>
      <c r="AD175" s="892">
        <f t="shared" si="119"/>
        <v>119136.204</v>
      </c>
      <c r="AE175" s="892">
        <f t="shared" si="120"/>
        <v>213602.79000000004</v>
      </c>
      <c r="AF175" s="892">
        <f t="shared" si="121"/>
        <v>5018991.6632400006</v>
      </c>
      <c r="AG175" s="892" t="s">
        <v>3</v>
      </c>
    </row>
    <row r="176" spans="1:33">
      <c r="A176" s="918">
        <v>123</v>
      </c>
      <c r="B176" s="909" t="s">
        <v>512</v>
      </c>
      <c r="C176" s="909" t="s">
        <v>514</v>
      </c>
      <c r="D176" s="1560"/>
      <c r="E176" s="918">
        <v>1</v>
      </c>
      <c r="F176" s="918"/>
      <c r="G176" s="888">
        <v>39675</v>
      </c>
      <c r="H176" s="895">
        <v>21</v>
      </c>
      <c r="I176" s="892">
        <f t="shared" si="107"/>
        <v>371637</v>
      </c>
      <c r="J176" s="892">
        <f t="shared" si="108"/>
        <v>37163.700000000004</v>
      </c>
      <c r="K176" s="892"/>
      <c r="L176" s="924"/>
      <c r="M176" s="939">
        <f>I176*30%</f>
        <v>111491.09999999999</v>
      </c>
      <c r="N176" s="924"/>
      <c r="O176" s="924"/>
      <c r="P176" s="924"/>
      <c r="Q176" s="924"/>
      <c r="R176" s="924"/>
      <c r="S176" s="892">
        <f t="shared" si="109"/>
        <v>148654.79999999999</v>
      </c>
      <c r="T176" s="892">
        <f t="shared" si="110"/>
        <v>520291.8</v>
      </c>
      <c r="U176" s="892">
        <f t="shared" si="111"/>
        <v>52029.18</v>
      </c>
      <c r="V176" s="892">
        <f t="shared" si="112"/>
        <v>39412.878400000001</v>
      </c>
      <c r="W176" s="892">
        <f t="shared" si="113"/>
        <v>10405.835999999999</v>
      </c>
      <c r="X176" s="892">
        <f t="shared" si="114"/>
        <v>418443.9056</v>
      </c>
      <c r="Y176" s="892">
        <f t="shared" si="115"/>
        <v>6243501.5999999996</v>
      </c>
      <c r="Z176" s="892">
        <f t="shared" si="116"/>
        <v>371637</v>
      </c>
      <c r="AA176" s="892">
        <f t="shared" si="117"/>
        <v>6615138.5999999996</v>
      </c>
      <c r="AB176" s="892">
        <f t="shared" si="118"/>
        <v>343481.78088000003</v>
      </c>
      <c r="AC176" s="892">
        <f t="shared" si="122"/>
        <v>297681.23700000002</v>
      </c>
      <c r="AD176" s="892">
        <f t="shared" si="119"/>
        <v>187305.04799999998</v>
      </c>
      <c r="AE176" s="892">
        <f t="shared" si="120"/>
        <v>330756.93</v>
      </c>
      <c r="AF176" s="892">
        <f t="shared" si="121"/>
        <v>7774363.5958799999</v>
      </c>
      <c r="AG176" s="892" t="s">
        <v>3</v>
      </c>
    </row>
    <row r="177" spans="1:33">
      <c r="A177" s="918">
        <v>124</v>
      </c>
      <c r="B177" s="915" t="s">
        <v>512</v>
      </c>
      <c r="C177" s="937" t="s">
        <v>2355</v>
      </c>
      <c r="D177" s="1560"/>
      <c r="E177" s="918">
        <v>1</v>
      </c>
      <c r="F177" s="918"/>
      <c r="G177" s="888">
        <v>42310</v>
      </c>
      <c r="H177" s="898">
        <v>17</v>
      </c>
      <c r="I177" s="892">
        <f t="shared" si="107"/>
        <v>300849</v>
      </c>
      <c r="J177" s="892">
        <f t="shared" si="108"/>
        <v>30084.9</v>
      </c>
      <c r="K177" s="892"/>
      <c r="L177" s="924"/>
      <c r="M177" s="975"/>
      <c r="N177" s="924"/>
      <c r="O177" s="924"/>
      <c r="P177" s="924"/>
      <c r="Q177" s="924"/>
      <c r="R177" s="924"/>
      <c r="S177" s="892">
        <f t="shared" si="109"/>
        <v>30084.9</v>
      </c>
      <c r="T177" s="892">
        <f t="shared" si="110"/>
        <v>330933.90000000002</v>
      </c>
      <c r="U177" s="892">
        <f t="shared" si="111"/>
        <v>33093.390000000007</v>
      </c>
      <c r="V177" s="892">
        <f t="shared" si="112"/>
        <v>22749.3832</v>
      </c>
      <c r="W177" s="892">
        <f t="shared" si="113"/>
        <v>6618.6780000000008</v>
      </c>
      <c r="X177" s="892">
        <f t="shared" si="114"/>
        <v>268472.44880000001</v>
      </c>
      <c r="Y177" s="892">
        <f t="shared" si="115"/>
        <v>3971206.8000000003</v>
      </c>
      <c r="Z177" s="892">
        <f t="shared" si="116"/>
        <v>300849</v>
      </c>
      <c r="AA177" s="892">
        <f t="shared" si="117"/>
        <v>4272055.8000000007</v>
      </c>
      <c r="AB177" s="892">
        <f t="shared" si="118"/>
        <v>221954.35824000003</v>
      </c>
      <c r="AC177" s="892">
        <f t="shared" si="122"/>
        <v>192242.51100000006</v>
      </c>
      <c r="AD177" s="892">
        <f t="shared" si="119"/>
        <v>119136.204</v>
      </c>
      <c r="AE177" s="892">
        <f t="shared" si="120"/>
        <v>213602.79000000004</v>
      </c>
      <c r="AF177" s="892">
        <f t="shared" si="121"/>
        <v>5018991.6632400006</v>
      </c>
      <c r="AG177" s="892" t="s">
        <v>3</v>
      </c>
    </row>
    <row r="178" spans="1:33">
      <c r="A178" s="918">
        <v>125</v>
      </c>
      <c r="B178" s="909" t="s">
        <v>512</v>
      </c>
      <c r="C178" s="909" t="s">
        <v>515</v>
      </c>
      <c r="D178" s="1560"/>
      <c r="E178" s="918">
        <v>1</v>
      </c>
      <c r="F178" s="918"/>
      <c r="G178" s="888">
        <v>33486</v>
      </c>
      <c r="H178" s="895">
        <v>24</v>
      </c>
      <c r="I178" s="892">
        <f t="shared" si="107"/>
        <v>424728</v>
      </c>
      <c r="J178" s="892">
        <f t="shared" si="108"/>
        <v>42472.800000000003</v>
      </c>
      <c r="K178" s="892"/>
      <c r="L178" s="924"/>
      <c r="M178" s="975">
        <f>I178*30%</f>
        <v>127418.4</v>
      </c>
      <c r="N178" s="939">
        <f t="shared" ref="N178:N181" si="123">17697*90%</f>
        <v>15927.300000000001</v>
      </c>
      <c r="O178" s="924"/>
      <c r="P178" s="924"/>
      <c r="Q178" s="924"/>
      <c r="R178" s="924"/>
      <c r="S178" s="892">
        <f t="shared" si="109"/>
        <v>185818.5</v>
      </c>
      <c r="T178" s="892">
        <f t="shared" si="110"/>
        <v>610546.5</v>
      </c>
      <c r="U178" s="892">
        <f t="shared" si="111"/>
        <v>61054.65</v>
      </c>
      <c r="V178" s="892">
        <f t="shared" si="112"/>
        <v>47355.291999999994</v>
      </c>
      <c r="W178" s="892">
        <f t="shared" si="113"/>
        <v>12210.93</v>
      </c>
      <c r="X178" s="892">
        <f t="shared" si="114"/>
        <v>489925.62799999997</v>
      </c>
      <c r="Y178" s="892">
        <f t="shared" si="115"/>
        <v>7326558</v>
      </c>
      <c r="Z178" s="892">
        <f t="shared" si="116"/>
        <v>424728</v>
      </c>
      <c r="AA178" s="892">
        <f t="shared" si="117"/>
        <v>7751286</v>
      </c>
      <c r="AB178" s="892">
        <f t="shared" si="118"/>
        <v>402451.01640000002</v>
      </c>
      <c r="AC178" s="892">
        <f t="shared" si="122"/>
        <v>348807.87000000005</v>
      </c>
      <c r="AD178" s="892">
        <f t="shared" si="119"/>
        <v>219796.74</v>
      </c>
      <c r="AE178" s="892">
        <f t="shared" si="120"/>
        <v>387564.30000000005</v>
      </c>
      <c r="AF178" s="892">
        <f t="shared" si="121"/>
        <v>9109905.9264000002</v>
      </c>
      <c r="AG178" s="892" t="s">
        <v>3</v>
      </c>
    </row>
    <row r="179" spans="1:33" ht="31.5">
      <c r="A179" s="918">
        <v>126</v>
      </c>
      <c r="B179" s="909" t="s">
        <v>512</v>
      </c>
      <c r="C179" s="909" t="s">
        <v>516</v>
      </c>
      <c r="D179" s="1560"/>
      <c r="E179" s="918">
        <v>1</v>
      </c>
      <c r="F179" s="918"/>
      <c r="G179" s="888">
        <v>45170</v>
      </c>
      <c r="H179" s="895">
        <v>22</v>
      </c>
      <c r="I179" s="892">
        <f t="shared" si="107"/>
        <v>389334</v>
      </c>
      <c r="J179" s="892">
        <f t="shared" si="108"/>
        <v>38933.4</v>
      </c>
      <c r="K179" s="892"/>
      <c r="L179" s="924"/>
      <c r="M179" s="975"/>
      <c r="N179" s="939"/>
      <c r="O179" s="924"/>
      <c r="P179" s="924"/>
      <c r="Q179" s="924"/>
      <c r="R179" s="924"/>
      <c r="S179" s="892">
        <f t="shared" si="109"/>
        <v>38933.4</v>
      </c>
      <c r="T179" s="892">
        <f t="shared" si="110"/>
        <v>428267.4</v>
      </c>
      <c r="U179" s="892">
        <f t="shared" si="111"/>
        <v>42826.740000000005</v>
      </c>
      <c r="V179" s="892">
        <f t="shared" si="112"/>
        <v>31314.731200000006</v>
      </c>
      <c r="W179" s="892">
        <f t="shared" si="113"/>
        <v>8565.348</v>
      </c>
      <c r="X179" s="892">
        <f t="shared" si="114"/>
        <v>345560.58080000005</v>
      </c>
      <c r="Y179" s="892">
        <f t="shared" si="115"/>
        <v>5139208.8000000007</v>
      </c>
      <c r="Z179" s="892">
        <f t="shared" si="116"/>
        <v>389334</v>
      </c>
      <c r="AA179" s="892">
        <f t="shared" si="117"/>
        <v>5528542.8000000007</v>
      </c>
      <c r="AB179" s="892">
        <f t="shared" si="118"/>
        <v>287235.05184000003</v>
      </c>
      <c r="AC179" s="892">
        <f t="shared" si="122"/>
        <v>248784.42600000004</v>
      </c>
      <c r="AD179" s="892">
        <f t="shared" si="119"/>
        <v>154176.26400000002</v>
      </c>
      <c r="AE179" s="892">
        <f t="shared" si="120"/>
        <v>276427.14000000007</v>
      </c>
      <c r="AF179" s="892">
        <f t="shared" si="121"/>
        <v>6495165.6818400007</v>
      </c>
      <c r="AG179" s="892" t="s">
        <v>3</v>
      </c>
    </row>
    <row r="180" spans="1:33" ht="31.5">
      <c r="A180" s="918">
        <v>127</v>
      </c>
      <c r="B180" s="909" t="s">
        <v>512</v>
      </c>
      <c r="C180" s="909" t="s">
        <v>517</v>
      </c>
      <c r="D180" s="1560"/>
      <c r="E180" s="918">
        <v>1</v>
      </c>
      <c r="F180" s="918"/>
      <c r="G180" s="888">
        <v>40045</v>
      </c>
      <c r="H180" s="895">
        <v>24</v>
      </c>
      <c r="I180" s="892">
        <f t="shared" si="107"/>
        <v>424728</v>
      </c>
      <c r="J180" s="892">
        <f t="shared" si="108"/>
        <v>42472.800000000003</v>
      </c>
      <c r="K180" s="892"/>
      <c r="L180" s="924"/>
      <c r="M180" s="975"/>
      <c r="N180" s="939">
        <f t="shared" si="123"/>
        <v>15927.300000000001</v>
      </c>
      <c r="O180" s="924"/>
      <c r="P180" s="924"/>
      <c r="Q180" s="924"/>
      <c r="R180" s="924"/>
      <c r="S180" s="892">
        <f t="shared" si="109"/>
        <v>58400.100000000006</v>
      </c>
      <c r="T180" s="892">
        <f t="shared" si="110"/>
        <v>483128.1</v>
      </c>
      <c r="U180" s="892">
        <f t="shared" si="111"/>
        <v>48312.81</v>
      </c>
      <c r="V180" s="892">
        <f t="shared" si="112"/>
        <v>36142.472800000003</v>
      </c>
      <c r="W180" s="892">
        <f t="shared" si="113"/>
        <v>9662.5619999999999</v>
      </c>
      <c r="X180" s="892">
        <f t="shared" si="114"/>
        <v>389010.25520000001</v>
      </c>
      <c r="Y180" s="892">
        <f t="shared" si="115"/>
        <v>5797537.1999999993</v>
      </c>
      <c r="Z180" s="892">
        <f t="shared" si="116"/>
        <v>424728</v>
      </c>
      <c r="AA180" s="892">
        <f t="shared" si="117"/>
        <v>6222265.1999999993</v>
      </c>
      <c r="AB180" s="892">
        <f t="shared" si="118"/>
        <v>323247.73895999999</v>
      </c>
      <c r="AC180" s="892">
        <f t="shared" si="122"/>
        <v>280001.93400000001</v>
      </c>
      <c r="AD180" s="892">
        <f t="shared" si="119"/>
        <v>173926.11599999998</v>
      </c>
      <c r="AE180" s="892">
        <f t="shared" si="120"/>
        <v>311113.25999999995</v>
      </c>
      <c r="AF180" s="892">
        <f t="shared" si="121"/>
        <v>7310554.2489599995</v>
      </c>
      <c r="AG180" s="892" t="s">
        <v>3</v>
      </c>
    </row>
    <row r="181" spans="1:33" ht="31.5">
      <c r="A181" s="918">
        <v>128</v>
      </c>
      <c r="B181" s="909" t="s">
        <v>512</v>
      </c>
      <c r="C181" s="909" t="s">
        <v>2356</v>
      </c>
      <c r="D181" s="1560"/>
      <c r="E181" s="918">
        <v>1</v>
      </c>
      <c r="F181" s="918"/>
      <c r="G181" s="888">
        <v>39336</v>
      </c>
      <c r="H181" s="895">
        <v>18</v>
      </c>
      <c r="I181" s="892">
        <f t="shared" si="107"/>
        <v>318546</v>
      </c>
      <c r="J181" s="892">
        <f t="shared" si="108"/>
        <v>31854.600000000002</v>
      </c>
      <c r="K181" s="892"/>
      <c r="L181" s="924"/>
      <c r="M181" s="975">
        <f t="shared" ref="M181:M183" si="124">I181*30%</f>
        <v>95563.8</v>
      </c>
      <c r="N181" s="939">
        <f t="shared" si="123"/>
        <v>15927.300000000001</v>
      </c>
      <c r="O181" s="924"/>
      <c r="P181" s="924"/>
      <c r="Q181" s="924"/>
      <c r="R181" s="924"/>
      <c r="S181" s="892">
        <f t="shared" si="109"/>
        <v>143345.70000000001</v>
      </c>
      <c r="T181" s="892">
        <f t="shared" si="110"/>
        <v>461891.7</v>
      </c>
      <c r="U181" s="892">
        <f t="shared" si="111"/>
        <v>46189.170000000006</v>
      </c>
      <c r="V181" s="892">
        <f t="shared" si="112"/>
        <v>34273.669600000008</v>
      </c>
      <c r="W181" s="892">
        <f t="shared" si="113"/>
        <v>9237.8340000000007</v>
      </c>
      <c r="X181" s="892">
        <f t="shared" si="114"/>
        <v>372191.02640000003</v>
      </c>
      <c r="Y181" s="892">
        <f t="shared" si="115"/>
        <v>5542700.4000000004</v>
      </c>
      <c r="Z181" s="892">
        <f t="shared" si="116"/>
        <v>318546</v>
      </c>
      <c r="AA181" s="892">
        <f t="shared" si="117"/>
        <v>5861246.4000000004</v>
      </c>
      <c r="AB181" s="892">
        <f t="shared" si="118"/>
        <v>304313.36472000001</v>
      </c>
      <c r="AC181" s="892">
        <f t="shared" si="122"/>
        <v>263756.08800000005</v>
      </c>
      <c r="AD181" s="892">
        <f t="shared" si="119"/>
        <v>166281.01200000002</v>
      </c>
      <c r="AE181" s="892">
        <f t="shared" si="120"/>
        <v>293062.32</v>
      </c>
      <c r="AF181" s="892">
        <f t="shared" si="121"/>
        <v>6888659.1847200012</v>
      </c>
      <c r="AG181" s="892" t="s">
        <v>3</v>
      </c>
    </row>
    <row r="182" spans="1:33" ht="31.5">
      <c r="A182" s="918">
        <v>129</v>
      </c>
      <c r="B182" s="909" t="s">
        <v>512</v>
      </c>
      <c r="C182" s="909" t="s">
        <v>518</v>
      </c>
      <c r="D182" s="1560"/>
      <c r="E182" s="918">
        <v>1</v>
      </c>
      <c r="F182" s="918"/>
      <c r="G182" s="888">
        <v>38155</v>
      </c>
      <c r="H182" s="895">
        <v>22</v>
      </c>
      <c r="I182" s="892">
        <f t="shared" si="107"/>
        <v>389334</v>
      </c>
      <c r="J182" s="892">
        <f t="shared" si="108"/>
        <v>38933.4</v>
      </c>
      <c r="K182" s="892"/>
      <c r="L182" s="924"/>
      <c r="M182" s="975">
        <f t="shared" si="124"/>
        <v>116800.2</v>
      </c>
      <c r="N182" s="939"/>
      <c r="O182" s="924"/>
      <c r="P182" s="924"/>
      <c r="Q182" s="924"/>
      <c r="R182" s="924"/>
      <c r="S182" s="892">
        <f t="shared" si="109"/>
        <v>155733.6</v>
      </c>
      <c r="T182" s="892">
        <f t="shared" si="110"/>
        <v>545067.6</v>
      </c>
      <c r="U182" s="892">
        <f t="shared" si="111"/>
        <v>54506.76</v>
      </c>
      <c r="V182" s="892">
        <f t="shared" si="112"/>
        <v>41593.148799999995</v>
      </c>
      <c r="W182" s="892">
        <f t="shared" si="113"/>
        <v>10901.351999999999</v>
      </c>
      <c r="X182" s="892">
        <f t="shared" si="114"/>
        <v>438066.33919999999</v>
      </c>
      <c r="Y182" s="892">
        <f t="shared" si="115"/>
        <v>6540811.1999999993</v>
      </c>
      <c r="Z182" s="892">
        <f t="shared" si="116"/>
        <v>389334</v>
      </c>
      <c r="AA182" s="892">
        <f t="shared" si="117"/>
        <v>6930145.1999999993</v>
      </c>
      <c r="AB182" s="892">
        <f t="shared" si="118"/>
        <v>359838.05615999992</v>
      </c>
      <c r="AC182" s="892">
        <f t="shared" si="122"/>
        <v>311856.53399999999</v>
      </c>
      <c r="AD182" s="892">
        <f t="shared" si="119"/>
        <v>196224.33599999998</v>
      </c>
      <c r="AE182" s="892">
        <f t="shared" si="120"/>
        <v>346507.26</v>
      </c>
      <c r="AF182" s="892">
        <f t="shared" si="121"/>
        <v>8144571.3861599993</v>
      </c>
      <c r="AG182" s="892" t="s">
        <v>3</v>
      </c>
    </row>
    <row r="183" spans="1:33">
      <c r="A183" s="918">
        <v>130</v>
      </c>
      <c r="B183" s="909" t="s">
        <v>512</v>
      </c>
      <c r="C183" s="937" t="s">
        <v>2357</v>
      </c>
      <c r="D183" s="1560"/>
      <c r="E183" s="918">
        <v>1</v>
      </c>
      <c r="F183" s="918"/>
      <c r="G183" s="888">
        <v>33504</v>
      </c>
      <c r="H183" s="895">
        <v>24</v>
      </c>
      <c r="I183" s="892">
        <f t="shared" si="107"/>
        <v>424728</v>
      </c>
      <c r="J183" s="892">
        <f t="shared" si="108"/>
        <v>42472.800000000003</v>
      </c>
      <c r="K183" s="892"/>
      <c r="L183" s="924"/>
      <c r="M183" s="975">
        <f t="shared" si="124"/>
        <v>127418.4</v>
      </c>
      <c r="N183" s="939"/>
      <c r="O183" s="924"/>
      <c r="P183" s="924"/>
      <c r="Q183" s="924"/>
      <c r="R183" s="924"/>
      <c r="S183" s="892">
        <f t="shared" si="109"/>
        <v>169891.20000000001</v>
      </c>
      <c r="T183" s="892">
        <f t="shared" si="110"/>
        <v>594619.19999999995</v>
      </c>
      <c r="U183" s="892">
        <f t="shared" si="111"/>
        <v>59461.919999999998</v>
      </c>
      <c r="V183" s="892">
        <f t="shared" si="112"/>
        <v>45953.689599999991</v>
      </c>
      <c r="W183" s="892">
        <f t="shared" si="113"/>
        <v>11892.384</v>
      </c>
      <c r="X183" s="892">
        <f t="shared" si="114"/>
        <v>477311.20639999991</v>
      </c>
      <c r="Y183" s="892">
        <f t="shared" si="115"/>
        <v>7135430.3999999994</v>
      </c>
      <c r="Z183" s="892">
        <f t="shared" si="116"/>
        <v>424728</v>
      </c>
      <c r="AA183" s="892">
        <f t="shared" si="117"/>
        <v>7560158.3999999994</v>
      </c>
      <c r="AB183" s="892">
        <f t="shared" si="118"/>
        <v>392550.60671999992</v>
      </c>
      <c r="AC183" s="892">
        <f t="shared" si="122"/>
        <v>340207.12800000003</v>
      </c>
      <c r="AD183" s="892">
        <f t="shared" si="119"/>
        <v>214062.91199999998</v>
      </c>
      <c r="AE183" s="892">
        <f t="shared" si="120"/>
        <v>378007.92</v>
      </c>
      <c r="AF183" s="892">
        <f t="shared" si="121"/>
        <v>8884986.9667199999</v>
      </c>
      <c r="AG183" s="892" t="s">
        <v>3</v>
      </c>
    </row>
    <row r="184" spans="1:33">
      <c r="A184" s="918">
        <v>131</v>
      </c>
      <c r="B184" s="909" t="s">
        <v>512</v>
      </c>
      <c r="C184" s="937" t="s">
        <v>519</v>
      </c>
      <c r="D184" s="1560"/>
      <c r="E184" s="918">
        <v>1</v>
      </c>
      <c r="F184" s="918"/>
      <c r="G184" s="888">
        <v>44644</v>
      </c>
      <c r="H184" s="895">
        <v>17</v>
      </c>
      <c r="I184" s="892">
        <f t="shared" si="107"/>
        <v>300849</v>
      </c>
      <c r="J184" s="892">
        <f t="shared" si="108"/>
        <v>30084.9</v>
      </c>
      <c r="K184" s="892"/>
      <c r="L184" s="924"/>
      <c r="M184" s="939"/>
      <c r="N184" s="939"/>
      <c r="O184" s="924"/>
      <c r="P184" s="924"/>
      <c r="Q184" s="924"/>
      <c r="R184" s="924"/>
      <c r="S184" s="892">
        <f t="shared" si="109"/>
        <v>30084.9</v>
      </c>
      <c r="T184" s="892">
        <f t="shared" si="110"/>
        <v>330933.90000000002</v>
      </c>
      <c r="U184" s="892">
        <f t="shared" si="111"/>
        <v>33093.390000000007</v>
      </c>
      <c r="V184" s="892">
        <f t="shared" si="112"/>
        <v>22749.3832</v>
      </c>
      <c r="W184" s="892">
        <f t="shared" si="113"/>
        <v>6618.6780000000008</v>
      </c>
      <c r="X184" s="892">
        <f t="shared" si="114"/>
        <v>268472.44880000001</v>
      </c>
      <c r="Y184" s="892">
        <f t="shared" si="115"/>
        <v>3971206.8000000003</v>
      </c>
      <c r="Z184" s="892">
        <f t="shared" si="116"/>
        <v>300849</v>
      </c>
      <c r="AA184" s="892">
        <f t="shared" si="117"/>
        <v>4272055.8000000007</v>
      </c>
      <c r="AB184" s="892">
        <f t="shared" si="118"/>
        <v>221954.35824000003</v>
      </c>
      <c r="AC184" s="892">
        <f t="shared" si="122"/>
        <v>192242.51100000006</v>
      </c>
      <c r="AD184" s="892">
        <f t="shared" si="119"/>
        <v>119136.204</v>
      </c>
      <c r="AE184" s="892">
        <f t="shared" si="120"/>
        <v>213602.79000000004</v>
      </c>
      <c r="AF184" s="892">
        <f t="shared" si="121"/>
        <v>5018991.6632400006</v>
      </c>
      <c r="AG184" s="892" t="s">
        <v>3</v>
      </c>
    </row>
    <row r="185" spans="1:33">
      <c r="A185" s="918">
        <v>132</v>
      </c>
      <c r="B185" s="909" t="s">
        <v>512</v>
      </c>
      <c r="C185" s="909" t="s">
        <v>520</v>
      </c>
      <c r="D185" s="1560"/>
      <c r="E185" s="918">
        <v>1</v>
      </c>
      <c r="F185" s="918"/>
      <c r="G185" s="888">
        <v>42251</v>
      </c>
      <c r="H185" s="895">
        <v>17</v>
      </c>
      <c r="I185" s="892">
        <f t="shared" si="107"/>
        <v>300849</v>
      </c>
      <c r="J185" s="892">
        <f t="shared" si="108"/>
        <v>30084.9</v>
      </c>
      <c r="K185" s="892"/>
      <c r="L185" s="924"/>
      <c r="M185" s="975"/>
      <c r="N185" s="939">
        <f>17697*40%</f>
        <v>7078.8</v>
      </c>
      <c r="O185" s="924"/>
      <c r="P185" s="924"/>
      <c r="Q185" s="924"/>
      <c r="R185" s="924"/>
      <c r="S185" s="892">
        <f t="shared" si="109"/>
        <v>37163.700000000004</v>
      </c>
      <c r="T185" s="892">
        <f t="shared" si="110"/>
        <v>338012.7</v>
      </c>
      <c r="U185" s="892">
        <f t="shared" si="111"/>
        <v>33801.270000000004</v>
      </c>
      <c r="V185" s="892">
        <f t="shared" si="112"/>
        <v>23372.317599999998</v>
      </c>
      <c r="W185" s="892">
        <f t="shared" si="113"/>
        <v>6760.2540000000008</v>
      </c>
      <c r="X185" s="892">
        <f t="shared" si="114"/>
        <v>274078.85839999997</v>
      </c>
      <c r="Y185" s="892">
        <f t="shared" si="115"/>
        <v>4056152.4000000004</v>
      </c>
      <c r="Z185" s="892">
        <f t="shared" si="116"/>
        <v>300849</v>
      </c>
      <c r="AA185" s="892">
        <f t="shared" si="117"/>
        <v>4357001.4000000004</v>
      </c>
      <c r="AB185" s="892">
        <f t="shared" si="118"/>
        <v>226354.54032000003</v>
      </c>
      <c r="AC185" s="892">
        <f t="shared" si="122"/>
        <v>196065.06300000002</v>
      </c>
      <c r="AD185" s="892">
        <f t="shared" si="119"/>
        <v>121684.572</v>
      </c>
      <c r="AE185" s="892">
        <f t="shared" si="120"/>
        <v>217850.07000000004</v>
      </c>
      <c r="AF185" s="892">
        <f t="shared" si="121"/>
        <v>5118955.6453200001</v>
      </c>
      <c r="AG185" s="892" t="s">
        <v>3</v>
      </c>
    </row>
    <row r="186" spans="1:33">
      <c r="A186" s="918">
        <v>133</v>
      </c>
      <c r="B186" s="909" t="s">
        <v>512</v>
      </c>
      <c r="C186" s="909" t="s">
        <v>521</v>
      </c>
      <c r="D186" s="1560"/>
      <c r="E186" s="918">
        <v>1</v>
      </c>
      <c r="F186" s="918"/>
      <c r="G186" s="888">
        <v>41517</v>
      </c>
      <c r="H186" s="895">
        <v>22</v>
      </c>
      <c r="I186" s="892">
        <f t="shared" si="107"/>
        <v>389334</v>
      </c>
      <c r="J186" s="892">
        <f t="shared" si="108"/>
        <v>38933.4</v>
      </c>
      <c r="K186" s="892"/>
      <c r="L186" s="924"/>
      <c r="M186" s="975">
        <f t="shared" ref="M186:M187" si="125">I186*30%</f>
        <v>116800.2</v>
      </c>
      <c r="N186" s="924"/>
      <c r="O186" s="924"/>
      <c r="P186" s="924"/>
      <c r="Q186" s="924"/>
      <c r="R186" s="924"/>
      <c r="S186" s="892">
        <f t="shared" si="109"/>
        <v>155733.6</v>
      </c>
      <c r="T186" s="892">
        <f t="shared" si="110"/>
        <v>545067.6</v>
      </c>
      <c r="U186" s="892">
        <f t="shared" si="111"/>
        <v>54506.76</v>
      </c>
      <c r="V186" s="892">
        <f t="shared" si="112"/>
        <v>41593.148799999995</v>
      </c>
      <c r="W186" s="892">
        <f t="shared" si="113"/>
        <v>10901.351999999999</v>
      </c>
      <c r="X186" s="892">
        <f t="shared" si="114"/>
        <v>438066.33919999999</v>
      </c>
      <c r="Y186" s="892">
        <f t="shared" si="115"/>
        <v>6540811.1999999993</v>
      </c>
      <c r="Z186" s="892">
        <f t="shared" si="116"/>
        <v>389334</v>
      </c>
      <c r="AA186" s="892">
        <f t="shared" si="117"/>
        <v>6930145.1999999993</v>
      </c>
      <c r="AB186" s="892">
        <f t="shared" si="118"/>
        <v>359838.05615999992</v>
      </c>
      <c r="AC186" s="892">
        <f t="shared" si="122"/>
        <v>311856.53399999999</v>
      </c>
      <c r="AD186" s="892">
        <f t="shared" si="119"/>
        <v>196224.33599999998</v>
      </c>
      <c r="AE186" s="892">
        <f t="shared" si="120"/>
        <v>346507.26</v>
      </c>
      <c r="AF186" s="892">
        <f t="shared" si="121"/>
        <v>8144571.3861599993</v>
      </c>
      <c r="AG186" s="892" t="s">
        <v>3</v>
      </c>
    </row>
    <row r="187" spans="1:33">
      <c r="A187" s="918">
        <v>134</v>
      </c>
      <c r="B187" s="909" t="s">
        <v>512</v>
      </c>
      <c r="C187" s="909" t="s">
        <v>522</v>
      </c>
      <c r="D187" s="1560"/>
      <c r="E187" s="918">
        <v>1</v>
      </c>
      <c r="F187" s="918"/>
      <c r="G187" s="888">
        <v>39685</v>
      </c>
      <c r="H187" s="895">
        <v>22</v>
      </c>
      <c r="I187" s="892">
        <f t="shared" si="107"/>
        <v>389334</v>
      </c>
      <c r="J187" s="892">
        <f t="shared" si="108"/>
        <v>38933.4</v>
      </c>
      <c r="K187" s="892"/>
      <c r="L187" s="924"/>
      <c r="M187" s="975">
        <f t="shared" si="125"/>
        <v>116800.2</v>
      </c>
      <c r="N187" s="924"/>
      <c r="O187" s="924"/>
      <c r="P187" s="924"/>
      <c r="Q187" s="924"/>
      <c r="R187" s="924"/>
      <c r="S187" s="892">
        <f t="shared" si="109"/>
        <v>155733.6</v>
      </c>
      <c r="T187" s="892">
        <f t="shared" si="110"/>
        <v>545067.6</v>
      </c>
      <c r="U187" s="892">
        <f t="shared" si="111"/>
        <v>54506.76</v>
      </c>
      <c r="V187" s="892">
        <f t="shared" si="112"/>
        <v>41593.148799999995</v>
      </c>
      <c r="W187" s="892">
        <f t="shared" si="113"/>
        <v>10901.351999999999</v>
      </c>
      <c r="X187" s="892">
        <f t="shared" si="114"/>
        <v>438066.33919999999</v>
      </c>
      <c r="Y187" s="892">
        <f t="shared" si="115"/>
        <v>6540811.1999999993</v>
      </c>
      <c r="Z187" s="892">
        <f t="shared" si="116"/>
        <v>389334</v>
      </c>
      <c r="AA187" s="892">
        <f t="shared" si="117"/>
        <v>6930145.1999999993</v>
      </c>
      <c r="AB187" s="892">
        <f t="shared" si="118"/>
        <v>359838.05615999992</v>
      </c>
      <c r="AC187" s="892">
        <f t="shared" si="122"/>
        <v>311856.53399999999</v>
      </c>
      <c r="AD187" s="892">
        <f t="shared" si="119"/>
        <v>196224.33599999998</v>
      </c>
      <c r="AE187" s="892">
        <f t="shared" si="120"/>
        <v>346507.26</v>
      </c>
      <c r="AF187" s="892">
        <f t="shared" si="121"/>
        <v>8144571.3861599993</v>
      </c>
      <c r="AG187" s="892" t="s">
        <v>3</v>
      </c>
    </row>
    <row r="188" spans="1:33">
      <c r="A188" s="918">
        <v>135</v>
      </c>
      <c r="B188" s="909" t="s">
        <v>512</v>
      </c>
      <c r="C188" s="909" t="s">
        <v>837</v>
      </c>
      <c r="D188" s="1561"/>
      <c r="E188" s="918">
        <v>1</v>
      </c>
      <c r="F188" s="918"/>
      <c r="G188" s="888">
        <v>45231</v>
      </c>
      <c r="H188" s="895">
        <v>17</v>
      </c>
      <c r="I188" s="892">
        <f t="shared" si="107"/>
        <v>300849</v>
      </c>
      <c r="J188" s="892">
        <f t="shared" si="108"/>
        <v>30084.9</v>
      </c>
      <c r="K188" s="892"/>
      <c r="L188" s="924"/>
      <c r="M188" s="924"/>
      <c r="N188" s="924"/>
      <c r="O188" s="924"/>
      <c r="P188" s="924"/>
      <c r="Q188" s="924"/>
      <c r="R188" s="924"/>
      <c r="S188" s="892">
        <f t="shared" si="109"/>
        <v>30084.9</v>
      </c>
      <c r="T188" s="892">
        <f t="shared" si="110"/>
        <v>330933.90000000002</v>
      </c>
      <c r="U188" s="892">
        <f t="shared" si="111"/>
        <v>33093.390000000007</v>
      </c>
      <c r="V188" s="892">
        <f t="shared" si="112"/>
        <v>22749.3832</v>
      </c>
      <c r="W188" s="892">
        <f t="shared" si="113"/>
        <v>6618.6780000000008</v>
      </c>
      <c r="X188" s="892">
        <f t="shared" si="114"/>
        <v>268472.44880000001</v>
      </c>
      <c r="Y188" s="892">
        <f t="shared" si="115"/>
        <v>3971206.8000000003</v>
      </c>
      <c r="Z188" s="892">
        <f t="shared" si="116"/>
        <v>300849</v>
      </c>
      <c r="AA188" s="892">
        <f t="shared" si="117"/>
        <v>4272055.8000000007</v>
      </c>
      <c r="AB188" s="892">
        <f t="shared" si="118"/>
        <v>221954.35824000003</v>
      </c>
      <c r="AC188" s="892">
        <f t="shared" si="122"/>
        <v>192242.51100000006</v>
      </c>
      <c r="AD188" s="892">
        <f t="shared" si="119"/>
        <v>119136.204</v>
      </c>
      <c r="AE188" s="892">
        <f t="shared" si="120"/>
        <v>213602.79000000004</v>
      </c>
      <c r="AF188" s="892">
        <f t="shared" si="121"/>
        <v>5018991.6632400006</v>
      </c>
      <c r="AG188" s="892" t="s">
        <v>3</v>
      </c>
    </row>
    <row r="189" spans="1:33" ht="31.5">
      <c r="A189" s="918">
        <v>136</v>
      </c>
      <c r="B189" s="909" t="s">
        <v>523</v>
      </c>
      <c r="C189" s="909" t="s">
        <v>524</v>
      </c>
      <c r="D189" s="1559">
        <v>8</v>
      </c>
      <c r="E189" s="918">
        <v>1</v>
      </c>
      <c r="F189" s="918"/>
      <c r="G189" s="888">
        <v>41512</v>
      </c>
      <c r="H189" s="895">
        <v>13</v>
      </c>
      <c r="I189" s="892">
        <f t="shared" si="107"/>
        <v>230061</v>
      </c>
      <c r="J189" s="892">
        <f t="shared" si="108"/>
        <v>23006.100000000002</v>
      </c>
      <c r="K189" s="892"/>
      <c r="L189" s="924"/>
      <c r="M189" s="924"/>
      <c r="N189" s="924"/>
      <c r="O189" s="924"/>
      <c r="P189" s="924"/>
      <c r="Q189" s="924"/>
      <c r="R189" s="924"/>
      <c r="S189" s="892">
        <f t="shared" si="109"/>
        <v>23006.100000000002</v>
      </c>
      <c r="T189" s="892">
        <f t="shared" si="110"/>
        <v>253067.1</v>
      </c>
      <c r="U189" s="892">
        <f t="shared" si="111"/>
        <v>25306.710000000003</v>
      </c>
      <c r="V189" s="892">
        <f t="shared" si="112"/>
        <v>15897.104800000001</v>
      </c>
      <c r="W189" s="892">
        <f t="shared" si="113"/>
        <v>5061.3420000000006</v>
      </c>
      <c r="X189" s="892">
        <f t="shared" si="114"/>
        <v>206801.94320000001</v>
      </c>
      <c r="Y189" s="892">
        <f t="shared" si="115"/>
        <v>3036805.2</v>
      </c>
      <c r="Z189" s="892">
        <f t="shared" si="116"/>
        <v>230061</v>
      </c>
      <c r="AA189" s="892">
        <f t="shared" si="117"/>
        <v>3266866.2</v>
      </c>
      <c r="AB189" s="892">
        <f t="shared" si="118"/>
        <v>169729.80335999999</v>
      </c>
      <c r="AC189" s="892">
        <f t="shared" si="122"/>
        <v>147008.97900000002</v>
      </c>
      <c r="AD189" s="892">
        <f t="shared" si="119"/>
        <v>91104.156000000003</v>
      </c>
      <c r="AE189" s="892">
        <f t="shared" si="120"/>
        <v>163343.31000000003</v>
      </c>
      <c r="AF189" s="892">
        <f t="shared" si="121"/>
        <v>3838052.4483599998</v>
      </c>
      <c r="AG189" s="892" t="s">
        <v>3</v>
      </c>
    </row>
    <row r="190" spans="1:33" ht="31.5">
      <c r="A190" s="918">
        <v>137</v>
      </c>
      <c r="B190" s="909" t="s">
        <v>523</v>
      </c>
      <c r="C190" s="909" t="s">
        <v>525</v>
      </c>
      <c r="D190" s="1560"/>
      <c r="E190" s="918">
        <v>1</v>
      </c>
      <c r="F190" s="918"/>
      <c r="G190" s="888">
        <v>42248</v>
      </c>
      <c r="H190" s="895">
        <v>13</v>
      </c>
      <c r="I190" s="892">
        <f t="shared" si="107"/>
        <v>230061</v>
      </c>
      <c r="J190" s="892">
        <f t="shared" si="108"/>
        <v>23006.100000000002</v>
      </c>
      <c r="K190" s="892">
        <f>10*4552</f>
        <v>45520</v>
      </c>
      <c r="L190" s="924"/>
      <c r="M190" s="924"/>
      <c r="N190" s="924"/>
      <c r="O190" s="924"/>
      <c r="P190" s="924"/>
      <c r="Q190" s="924"/>
      <c r="R190" s="924"/>
      <c r="S190" s="892">
        <f t="shared" si="109"/>
        <v>68526.100000000006</v>
      </c>
      <c r="T190" s="892">
        <f t="shared" si="110"/>
        <v>298587.09999999998</v>
      </c>
      <c r="U190" s="892">
        <f t="shared" si="111"/>
        <v>29858.71</v>
      </c>
      <c r="V190" s="892">
        <f t="shared" si="112"/>
        <v>19902.864799999996</v>
      </c>
      <c r="W190" s="892">
        <f t="shared" si="113"/>
        <v>5971.7419999999993</v>
      </c>
      <c r="X190" s="892">
        <f t="shared" si="114"/>
        <v>242853.78319999998</v>
      </c>
      <c r="Y190" s="892">
        <f t="shared" si="115"/>
        <v>3583045.1999999997</v>
      </c>
      <c r="Z190" s="892">
        <f t="shared" si="116"/>
        <v>230061</v>
      </c>
      <c r="AA190" s="892">
        <f t="shared" si="117"/>
        <v>3813106.1999999997</v>
      </c>
      <c r="AB190" s="892">
        <f t="shared" si="118"/>
        <v>198025.03535999998</v>
      </c>
      <c r="AC190" s="892">
        <f t="shared" si="122"/>
        <v>171589.77899999998</v>
      </c>
      <c r="AD190" s="892">
        <f t="shared" si="119"/>
        <v>107491.35599999999</v>
      </c>
      <c r="AE190" s="892">
        <f t="shared" si="120"/>
        <v>190655.31</v>
      </c>
      <c r="AF190" s="892">
        <f t="shared" si="121"/>
        <v>4480867.6803599996</v>
      </c>
      <c r="AG190" s="892" t="s">
        <v>3</v>
      </c>
    </row>
    <row r="191" spans="1:33">
      <c r="A191" s="918">
        <v>138</v>
      </c>
      <c r="B191" s="909" t="s">
        <v>523</v>
      </c>
      <c r="C191" s="937" t="s">
        <v>526</v>
      </c>
      <c r="D191" s="1560"/>
      <c r="E191" s="918">
        <v>1</v>
      </c>
      <c r="F191" s="918"/>
      <c r="G191" s="888">
        <v>44593</v>
      </c>
      <c r="H191" s="895">
        <v>13</v>
      </c>
      <c r="I191" s="892">
        <f t="shared" si="107"/>
        <v>230061</v>
      </c>
      <c r="J191" s="892">
        <f t="shared" si="108"/>
        <v>23006.100000000002</v>
      </c>
      <c r="K191" s="924"/>
      <c r="L191" s="924"/>
      <c r="M191" s="924"/>
      <c r="N191" s="924"/>
      <c r="O191" s="924"/>
      <c r="P191" s="924"/>
      <c r="Q191" s="924"/>
      <c r="R191" s="924"/>
      <c r="S191" s="892">
        <f t="shared" si="109"/>
        <v>23006.100000000002</v>
      </c>
      <c r="T191" s="892">
        <f t="shared" si="110"/>
        <v>253067.1</v>
      </c>
      <c r="U191" s="892">
        <f t="shared" si="111"/>
        <v>25306.710000000003</v>
      </c>
      <c r="V191" s="892">
        <f t="shared" si="112"/>
        <v>15897.104800000001</v>
      </c>
      <c r="W191" s="892">
        <f t="shared" si="113"/>
        <v>5061.3420000000006</v>
      </c>
      <c r="X191" s="892">
        <f t="shared" si="114"/>
        <v>206801.94320000001</v>
      </c>
      <c r="Y191" s="892">
        <f t="shared" si="115"/>
        <v>3036805.2</v>
      </c>
      <c r="Z191" s="892">
        <f t="shared" si="116"/>
        <v>230061</v>
      </c>
      <c r="AA191" s="892">
        <f t="shared" si="117"/>
        <v>3266866.2</v>
      </c>
      <c r="AB191" s="892">
        <f t="shared" si="118"/>
        <v>169729.80335999999</v>
      </c>
      <c r="AC191" s="892">
        <f t="shared" si="122"/>
        <v>147008.97900000002</v>
      </c>
      <c r="AD191" s="892">
        <f t="shared" si="119"/>
        <v>91104.156000000003</v>
      </c>
      <c r="AE191" s="892">
        <f t="shared" si="120"/>
        <v>163343.31000000003</v>
      </c>
      <c r="AF191" s="892">
        <f t="shared" si="121"/>
        <v>3838052.4483599998</v>
      </c>
      <c r="AG191" s="892" t="s">
        <v>3</v>
      </c>
    </row>
    <row r="192" spans="1:33">
      <c r="A192" s="918">
        <v>139</v>
      </c>
      <c r="B192" s="909" t="s">
        <v>523</v>
      </c>
      <c r="C192" s="937" t="s">
        <v>527</v>
      </c>
      <c r="D192" s="1560"/>
      <c r="E192" s="918">
        <v>1</v>
      </c>
      <c r="F192" s="918"/>
      <c r="G192" s="888">
        <v>40716</v>
      </c>
      <c r="H192" s="895">
        <v>13</v>
      </c>
      <c r="I192" s="892">
        <f t="shared" si="107"/>
        <v>230061</v>
      </c>
      <c r="J192" s="892">
        <f t="shared" si="108"/>
        <v>23006.100000000002</v>
      </c>
      <c r="K192" s="924"/>
      <c r="L192" s="924"/>
      <c r="M192" s="924"/>
      <c r="N192" s="924"/>
      <c r="O192" s="924"/>
      <c r="P192" s="924"/>
      <c r="Q192" s="924"/>
      <c r="R192" s="924"/>
      <c r="S192" s="892">
        <f t="shared" si="109"/>
        <v>23006.100000000002</v>
      </c>
      <c r="T192" s="892">
        <f t="shared" si="110"/>
        <v>253067.1</v>
      </c>
      <c r="U192" s="892">
        <f t="shared" si="111"/>
        <v>25306.710000000003</v>
      </c>
      <c r="V192" s="892">
        <f t="shared" si="112"/>
        <v>15897.104800000001</v>
      </c>
      <c r="W192" s="892">
        <f t="shared" si="113"/>
        <v>5061.3420000000006</v>
      </c>
      <c r="X192" s="892">
        <f t="shared" si="114"/>
        <v>206801.94320000001</v>
      </c>
      <c r="Y192" s="892">
        <f t="shared" si="115"/>
        <v>3036805.2</v>
      </c>
      <c r="Z192" s="892">
        <f t="shared" si="116"/>
        <v>230061</v>
      </c>
      <c r="AA192" s="892">
        <f t="shared" si="117"/>
        <v>3266866.2</v>
      </c>
      <c r="AB192" s="892">
        <f t="shared" si="118"/>
        <v>169729.80335999999</v>
      </c>
      <c r="AC192" s="892">
        <f t="shared" si="122"/>
        <v>147008.97900000002</v>
      </c>
      <c r="AD192" s="892">
        <f t="shared" si="119"/>
        <v>91104.156000000003</v>
      </c>
      <c r="AE192" s="892">
        <f t="shared" si="120"/>
        <v>163343.31000000003</v>
      </c>
      <c r="AF192" s="892">
        <f t="shared" si="121"/>
        <v>3838052.4483599998</v>
      </c>
      <c r="AG192" s="892" t="s">
        <v>3</v>
      </c>
    </row>
    <row r="193" spans="1:33">
      <c r="A193" s="918">
        <v>140</v>
      </c>
      <c r="B193" s="909" t="s">
        <v>523</v>
      </c>
      <c r="C193" s="909" t="s">
        <v>528</v>
      </c>
      <c r="D193" s="1560"/>
      <c r="E193" s="918">
        <v>1</v>
      </c>
      <c r="F193" s="918"/>
      <c r="G193" s="888">
        <v>44818</v>
      </c>
      <c r="H193" s="895">
        <v>13</v>
      </c>
      <c r="I193" s="892">
        <f t="shared" si="107"/>
        <v>230061</v>
      </c>
      <c r="J193" s="892">
        <f t="shared" si="108"/>
        <v>23006.100000000002</v>
      </c>
      <c r="K193" s="924"/>
      <c r="L193" s="924"/>
      <c r="M193" s="924"/>
      <c r="N193" s="924"/>
      <c r="O193" s="924"/>
      <c r="P193" s="924"/>
      <c r="Q193" s="924"/>
      <c r="R193" s="924"/>
      <c r="S193" s="892">
        <f t="shared" si="109"/>
        <v>23006.100000000002</v>
      </c>
      <c r="T193" s="892">
        <f t="shared" si="110"/>
        <v>253067.1</v>
      </c>
      <c r="U193" s="892">
        <f t="shared" si="111"/>
        <v>25306.710000000003</v>
      </c>
      <c r="V193" s="892">
        <f t="shared" si="112"/>
        <v>15897.104800000001</v>
      </c>
      <c r="W193" s="892">
        <f t="shared" si="113"/>
        <v>5061.3420000000006</v>
      </c>
      <c r="X193" s="892">
        <f t="shared" si="114"/>
        <v>206801.94320000001</v>
      </c>
      <c r="Y193" s="892">
        <f t="shared" si="115"/>
        <v>3036805.2</v>
      </c>
      <c r="Z193" s="892">
        <f t="shared" si="116"/>
        <v>230061</v>
      </c>
      <c r="AA193" s="892">
        <f t="shared" si="117"/>
        <v>3266866.2</v>
      </c>
      <c r="AB193" s="892">
        <f t="shared" si="118"/>
        <v>169729.80335999999</v>
      </c>
      <c r="AC193" s="892">
        <f t="shared" si="122"/>
        <v>147008.97900000002</v>
      </c>
      <c r="AD193" s="892">
        <f t="shared" si="119"/>
        <v>91104.156000000003</v>
      </c>
      <c r="AE193" s="892">
        <f t="shared" si="120"/>
        <v>163343.31000000003</v>
      </c>
      <c r="AF193" s="892">
        <f t="shared" si="121"/>
        <v>3838052.4483599998</v>
      </c>
      <c r="AG193" s="892" t="s">
        <v>3</v>
      </c>
    </row>
    <row r="194" spans="1:33" ht="32.25" customHeight="1">
      <c r="A194" s="918">
        <v>141</v>
      </c>
      <c r="B194" s="935" t="s">
        <v>523</v>
      </c>
      <c r="C194" s="909" t="s">
        <v>529</v>
      </c>
      <c r="D194" s="1560"/>
      <c r="E194" s="918">
        <v>1</v>
      </c>
      <c r="F194" s="918"/>
      <c r="G194" s="888">
        <v>42249</v>
      </c>
      <c r="H194" s="895">
        <v>13</v>
      </c>
      <c r="I194" s="892">
        <f t="shared" si="107"/>
        <v>230061</v>
      </c>
      <c r="J194" s="892">
        <f t="shared" si="108"/>
        <v>23006.100000000002</v>
      </c>
      <c r="K194" s="924"/>
      <c r="L194" s="924"/>
      <c r="M194" s="924"/>
      <c r="N194" s="924"/>
      <c r="O194" s="924"/>
      <c r="P194" s="924"/>
      <c r="Q194" s="924"/>
      <c r="R194" s="924"/>
      <c r="S194" s="892">
        <f t="shared" si="109"/>
        <v>23006.100000000002</v>
      </c>
      <c r="T194" s="892">
        <f t="shared" si="110"/>
        <v>253067.1</v>
      </c>
      <c r="U194" s="892">
        <f t="shared" si="111"/>
        <v>25306.710000000003</v>
      </c>
      <c r="V194" s="892">
        <f t="shared" si="112"/>
        <v>15897.104800000001</v>
      </c>
      <c r="W194" s="892">
        <f t="shared" si="113"/>
        <v>5061.3420000000006</v>
      </c>
      <c r="X194" s="892">
        <f t="shared" si="114"/>
        <v>206801.94320000001</v>
      </c>
      <c r="Y194" s="892">
        <f t="shared" si="115"/>
        <v>3036805.2</v>
      </c>
      <c r="Z194" s="892">
        <f t="shared" si="116"/>
        <v>230061</v>
      </c>
      <c r="AA194" s="892">
        <f t="shared" si="117"/>
        <v>3266866.2</v>
      </c>
      <c r="AB194" s="892">
        <f t="shared" si="118"/>
        <v>169729.80335999999</v>
      </c>
      <c r="AC194" s="892">
        <f t="shared" si="122"/>
        <v>147008.97900000002</v>
      </c>
      <c r="AD194" s="892">
        <f t="shared" si="119"/>
        <v>91104.156000000003</v>
      </c>
      <c r="AE194" s="892">
        <f t="shared" si="120"/>
        <v>163343.31000000003</v>
      </c>
      <c r="AF194" s="892">
        <f t="shared" si="121"/>
        <v>3838052.4483599998</v>
      </c>
      <c r="AG194" s="892" t="s">
        <v>3</v>
      </c>
    </row>
    <row r="195" spans="1:33" ht="19.5" customHeight="1">
      <c r="A195" s="918">
        <v>142</v>
      </c>
      <c r="B195" s="935" t="s">
        <v>523</v>
      </c>
      <c r="C195" s="935" t="s">
        <v>530</v>
      </c>
      <c r="D195" s="1560"/>
      <c r="E195" s="918">
        <v>1</v>
      </c>
      <c r="F195" s="918"/>
      <c r="G195" s="888">
        <v>44827</v>
      </c>
      <c r="H195" s="895">
        <v>13</v>
      </c>
      <c r="I195" s="892">
        <f t="shared" si="107"/>
        <v>230061</v>
      </c>
      <c r="J195" s="892">
        <f t="shared" si="108"/>
        <v>23006.100000000002</v>
      </c>
      <c r="K195" s="924"/>
      <c r="L195" s="924"/>
      <c r="M195" s="924"/>
      <c r="N195" s="924"/>
      <c r="O195" s="924"/>
      <c r="P195" s="924"/>
      <c r="Q195" s="924"/>
      <c r="R195" s="924"/>
      <c r="S195" s="892">
        <f t="shared" si="109"/>
        <v>23006.100000000002</v>
      </c>
      <c r="T195" s="892">
        <f t="shared" si="110"/>
        <v>253067.1</v>
      </c>
      <c r="U195" s="892">
        <f t="shared" si="111"/>
        <v>25306.710000000003</v>
      </c>
      <c r="V195" s="892">
        <f t="shared" si="112"/>
        <v>15897.104800000001</v>
      </c>
      <c r="W195" s="892">
        <f t="shared" si="113"/>
        <v>5061.3420000000006</v>
      </c>
      <c r="X195" s="892">
        <f t="shared" si="114"/>
        <v>206801.94320000001</v>
      </c>
      <c r="Y195" s="892">
        <f t="shared" si="115"/>
        <v>3036805.2</v>
      </c>
      <c r="Z195" s="892">
        <f t="shared" si="116"/>
        <v>230061</v>
      </c>
      <c r="AA195" s="892">
        <f t="shared" si="117"/>
        <v>3266866.2</v>
      </c>
      <c r="AB195" s="892">
        <f t="shared" si="118"/>
        <v>169729.80335999999</v>
      </c>
      <c r="AC195" s="892">
        <f t="shared" si="122"/>
        <v>147008.97900000002</v>
      </c>
      <c r="AD195" s="892">
        <f t="shared" si="119"/>
        <v>91104.156000000003</v>
      </c>
      <c r="AE195" s="892">
        <f t="shared" si="120"/>
        <v>163343.31000000003</v>
      </c>
      <c r="AF195" s="892">
        <f t="shared" si="121"/>
        <v>3838052.4483599998</v>
      </c>
      <c r="AG195" s="892" t="s">
        <v>3</v>
      </c>
    </row>
    <row r="196" spans="1:33" ht="31.5">
      <c r="A196" s="918">
        <v>143</v>
      </c>
      <c r="B196" s="935" t="s">
        <v>523</v>
      </c>
      <c r="C196" s="935" t="s">
        <v>531</v>
      </c>
      <c r="D196" s="1561"/>
      <c r="E196" s="918">
        <v>1</v>
      </c>
      <c r="F196" s="918"/>
      <c r="G196" s="888">
        <v>42614</v>
      </c>
      <c r="H196" s="895">
        <v>13</v>
      </c>
      <c r="I196" s="892">
        <f t="shared" si="107"/>
        <v>230061</v>
      </c>
      <c r="J196" s="892">
        <f t="shared" si="108"/>
        <v>23006.100000000002</v>
      </c>
      <c r="K196" s="924"/>
      <c r="L196" s="924"/>
      <c r="M196" s="924"/>
      <c r="N196" s="924"/>
      <c r="O196" s="924"/>
      <c r="P196" s="924"/>
      <c r="Q196" s="924"/>
      <c r="R196" s="924"/>
      <c r="S196" s="892">
        <f t="shared" si="109"/>
        <v>23006.100000000002</v>
      </c>
      <c r="T196" s="892">
        <f t="shared" si="110"/>
        <v>253067.1</v>
      </c>
      <c r="U196" s="892">
        <f t="shared" si="111"/>
        <v>25306.710000000003</v>
      </c>
      <c r="V196" s="892">
        <f t="shared" si="112"/>
        <v>15897.104800000001</v>
      </c>
      <c r="W196" s="892">
        <f t="shared" si="113"/>
        <v>5061.3420000000006</v>
      </c>
      <c r="X196" s="892">
        <f t="shared" si="114"/>
        <v>206801.94320000001</v>
      </c>
      <c r="Y196" s="892">
        <f t="shared" si="115"/>
        <v>3036805.2</v>
      </c>
      <c r="Z196" s="892">
        <f t="shared" si="116"/>
        <v>230061</v>
      </c>
      <c r="AA196" s="892">
        <f t="shared" si="117"/>
        <v>3266866.2</v>
      </c>
      <c r="AB196" s="892">
        <f t="shared" si="118"/>
        <v>169729.80335999999</v>
      </c>
      <c r="AC196" s="892">
        <f t="shared" si="122"/>
        <v>147008.97900000002</v>
      </c>
      <c r="AD196" s="892">
        <f t="shared" si="119"/>
        <v>91104.156000000003</v>
      </c>
      <c r="AE196" s="892">
        <f t="shared" si="120"/>
        <v>163343.31000000003</v>
      </c>
      <c r="AF196" s="892">
        <f t="shared" si="121"/>
        <v>3838052.4483599998</v>
      </c>
      <c r="AG196" s="892" t="s">
        <v>3</v>
      </c>
    </row>
    <row r="197" spans="1:33" ht="31.5">
      <c r="A197" s="918">
        <v>144</v>
      </c>
      <c r="B197" s="909" t="s">
        <v>532</v>
      </c>
      <c r="C197" s="909" t="s">
        <v>533</v>
      </c>
      <c r="D197" s="1559">
        <v>2</v>
      </c>
      <c r="E197" s="918">
        <v>1</v>
      </c>
      <c r="F197" s="918"/>
      <c r="G197" s="888">
        <v>44645</v>
      </c>
      <c r="H197" s="895">
        <v>13</v>
      </c>
      <c r="I197" s="892">
        <f t="shared" si="107"/>
        <v>230061</v>
      </c>
      <c r="J197" s="892">
        <f t="shared" si="108"/>
        <v>23006.100000000002</v>
      </c>
      <c r="K197" s="924"/>
      <c r="L197" s="924"/>
      <c r="M197" s="924"/>
      <c r="N197" s="924"/>
      <c r="O197" s="924"/>
      <c r="P197" s="924"/>
      <c r="Q197" s="924"/>
      <c r="R197" s="924"/>
      <c r="S197" s="892">
        <f t="shared" si="109"/>
        <v>23006.100000000002</v>
      </c>
      <c r="T197" s="892">
        <f t="shared" si="110"/>
        <v>253067.1</v>
      </c>
      <c r="U197" s="892">
        <f t="shared" si="111"/>
        <v>25306.710000000003</v>
      </c>
      <c r="V197" s="892">
        <f t="shared" si="112"/>
        <v>15897.104800000001</v>
      </c>
      <c r="W197" s="892">
        <f t="shared" si="113"/>
        <v>5061.3420000000006</v>
      </c>
      <c r="X197" s="892">
        <f t="shared" si="114"/>
        <v>206801.94320000001</v>
      </c>
      <c r="Y197" s="892">
        <f t="shared" si="115"/>
        <v>3036805.2</v>
      </c>
      <c r="Z197" s="892">
        <f t="shared" si="116"/>
        <v>230061</v>
      </c>
      <c r="AA197" s="892">
        <f t="shared" si="117"/>
        <v>3266866.2</v>
      </c>
      <c r="AB197" s="892">
        <f t="shared" si="118"/>
        <v>169729.80335999999</v>
      </c>
      <c r="AC197" s="892">
        <f t="shared" si="122"/>
        <v>147008.97900000002</v>
      </c>
      <c r="AD197" s="892">
        <f t="shared" si="119"/>
        <v>91104.156000000003</v>
      </c>
      <c r="AE197" s="892">
        <f t="shared" si="120"/>
        <v>163343.31000000003</v>
      </c>
      <c r="AF197" s="892">
        <f t="shared" si="121"/>
        <v>3838052.4483599998</v>
      </c>
      <c r="AG197" s="892" t="s">
        <v>3</v>
      </c>
    </row>
    <row r="198" spans="1:33">
      <c r="A198" s="918">
        <v>145</v>
      </c>
      <c r="B198" s="909" t="s">
        <v>532</v>
      </c>
      <c r="C198" s="914" t="s">
        <v>534</v>
      </c>
      <c r="D198" s="1561"/>
      <c r="E198" s="918">
        <v>1</v>
      </c>
      <c r="F198" s="918"/>
      <c r="G198" s="888">
        <v>44874</v>
      </c>
      <c r="H198" s="895">
        <v>13</v>
      </c>
      <c r="I198" s="892">
        <f t="shared" si="107"/>
        <v>230061</v>
      </c>
      <c r="J198" s="892">
        <f t="shared" si="108"/>
        <v>23006.100000000002</v>
      </c>
      <c r="K198" s="924"/>
      <c r="L198" s="924"/>
      <c r="M198" s="924"/>
      <c r="N198" s="924"/>
      <c r="O198" s="924"/>
      <c r="P198" s="924"/>
      <c r="Q198" s="924"/>
      <c r="R198" s="924"/>
      <c r="S198" s="892">
        <f t="shared" si="109"/>
        <v>23006.100000000002</v>
      </c>
      <c r="T198" s="892">
        <f t="shared" si="110"/>
        <v>253067.1</v>
      </c>
      <c r="U198" s="892">
        <f t="shared" si="111"/>
        <v>25306.710000000003</v>
      </c>
      <c r="V198" s="892">
        <f t="shared" si="112"/>
        <v>15897.104800000001</v>
      </c>
      <c r="W198" s="892">
        <f t="shared" si="113"/>
        <v>5061.3420000000006</v>
      </c>
      <c r="X198" s="892">
        <f t="shared" si="114"/>
        <v>206801.94320000001</v>
      </c>
      <c r="Y198" s="892">
        <f t="shared" si="115"/>
        <v>3036805.2</v>
      </c>
      <c r="Z198" s="892">
        <f t="shared" si="116"/>
        <v>230061</v>
      </c>
      <c r="AA198" s="892">
        <f t="shared" si="117"/>
        <v>3266866.2</v>
      </c>
      <c r="AB198" s="892">
        <f t="shared" si="118"/>
        <v>169729.80335999999</v>
      </c>
      <c r="AC198" s="892">
        <f t="shared" si="122"/>
        <v>147008.97900000002</v>
      </c>
      <c r="AD198" s="892">
        <f t="shared" si="119"/>
        <v>91104.156000000003</v>
      </c>
      <c r="AE198" s="892">
        <f t="shared" si="120"/>
        <v>163343.31000000003</v>
      </c>
      <c r="AF198" s="892">
        <f t="shared" si="121"/>
        <v>3838052.4483599998</v>
      </c>
      <c r="AG198" s="892" t="s">
        <v>3</v>
      </c>
    </row>
    <row r="199" spans="1:33">
      <c r="A199" s="918">
        <v>146</v>
      </c>
      <c r="B199" s="957" t="s">
        <v>512</v>
      </c>
      <c r="C199" s="976" t="s">
        <v>513</v>
      </c>
      <c r="D199" s="1557">
        <v>6</v>
      </c>
      <c r="E199" s="944">
        <v>1</v>
      </c>
      <c r="F199" s="944"/>
      <c r="G199" s="945">
        <v>44826</v>
      </c>
      <c r="H199" s="977">
        <v>3</v>
      </c>
      <c r="I199" s="947">
        <f t="shared" si="107"/>
        <v>53091</v>
      </c>
      <c r="J199" s="947">
        <f t="shared" si="108"/>
        <v>5309.1</v>
      </c>
      <c r="K199" s="947">
        <f>10*4552</f>
        <v>45520</v>
      </c>
      <c r="L199" s="978"/>
      <c r="M199" s="979">
        <f>I199*30%</f>
        <v>15927.3</v>
      </c>
      <c r="N199" s="978"/>
      <c r="O199" s="978"/>
      <c r="P199" s="978"/>
      <c r="Q199" s="978"/>
      <c r="R199" s="978"/>
      <c r="S199" s="947">
        <f t="shared" si="109"/>
        <v>66756.399999999994</v>
      </c>
      <c r="T199" s="947">
        <f t="shared" si="110"/>
        <v>119847.4</v>
      </c>
      <c r="U199" s="947">
        <f t="shared" si="111"/>
        <v>11984.74</v>
      </c>
      <c r="V199" s="947">
        <f t="shared" si="112"/>
        <v>4173.7711999999983</v>
      </c>
      <c r="W199" s="947">
        <f t="shared" si="113"/>
        <v>2396.9479999999999</v>
      </c>
      <c r="X199" s="947">
        <f t="shared" si="114"/>
        <v>101291.94079999998</v>
      </c>
      <c r="Y199" s="947">
        <f t="shared" si="115"/>
        <v>1438168.7999999998</v>
      </c>
      <c r="Z199" s="947">
        <f t="shared" ref="Z199:Z215" si="126">I199*2</f>
        <v>106182</v>
      </c>
      <c r="AA199" s="947">
        <f t="shared" si="117"/>
        <v>1544350.7999999998</v>
      </c>
      <c r="AB199" s="947">
        <f>(AA199*0.9-(W199*12))*11%-AC199</f>
        <v>80230.971839999998</v>
      </c>
      <c r="AC199" s="947">
        <f>AA199*0.9*5%</f>
        <v>69495.786000000007</v>
      </c>
      <c r="AD199" s="947">
        <f t="shared" si="119"/>
        <v>43145.063999999991</v>
      </c>
      <c r="AE199" s="947">
        <f t="shared" si="120"/>
        <v>77217.539999999994</v>
      </c>
      <c r="AF199" s="947">
        <f t="shared" si="121"/>
        <v>1814440.16184</v>
      </c>
      <c r="AG199" s="947" t="s">
        <v>3</v>
      </c>
    </row>
    <row r="200" spans="1:33" ht="31.5">
      <c r="A200" s="918">
        <v>147</v>
      </c>
      <c r="B200" s="957" t="s">
        <v>512</v>
      </c>
      <c r="C200" s="980" t="s">
        <v>554</v>
      </c>
      <c r="D200" s="1555"/>
      <c r="E200" s="944">
        <v>1</v>
      </c>
      <c r="F200" s="944"/>
      <c r="G200" s="945">
        <v>45180</v>
      </c>
      <c r="H200" s="977">
        <v>3</v>
      </c>
      <c r="I200" s="947">
        <f t="shared" si="107"/>
        <v>53091</v>
      </c>
      <c r="J200" s="947">
        <f t="shared" si="108"/>
        <v>5309.1</v>
      </c>
      <c r="K200" s="947"/>
      <c r="L200" s="978"/>
      <c r="M200" s="978"/>
      <c r="N200" s="978"/>
      <c r="O200" s="978"/>
      <c r="P200" s="978"/>
      <c r="Q200" s="978"/>
      <c r="R200" s="978"/>
      <c r="S200" s="947">
        <f t="shared" si="109"/>
        <v>5309.1</v>
      </c>
      <c r="T200" s="947">
        <f t="shared" si="110"/>
        <v>58400.1</v>
      </c>
      <c r="U200" s="947">
        <f t="shared" si="111"/>
        <v>5840.01</v>
      </c>
      <c r="V200" s="947">
        <f t="shared" ref="V200" si="127">(T200-U200-W200)*10%</f>
        <v>5139.2088000000003</v>
      </c>
      <c r="W200" s="947">
        <f t="shared" si="113"/>
        <v>1168.002</v>
      </c>
      <c r="X200" s="947">
        <f t="shared" si="114"/>
        <v>46252.879199999996</v>
      </c>
      <c r="Y200" s="947">
        <f t="shared" si="115"/>
        <v>700801.2</v>
      </c>
      <c r="Z200" s="947">
        <f t="shared" si="126"/>
        <v>106182</v>
      </c>
      <c r="AA200" s="947">
        <f t="shared" si="117"/>
        <v>806983.2</v>
      </c>
      <c r="AB200" s="947">
        <f t="shared" ref="AB200:AB215" si="128">(AA200*0.9-(W200*12))*11%-AC200</f>
        <v>42035.330160000005</v>
      </c>
      <c r="AC200" s="947">
        <f t="shared" ref="AC200:AC215" si="129">AA200*0.9*5%</f>
        <v>36314.243999999999</v>
      </c>
      <c r="AD200" s="947">
        <f t="shared" si="119"/>
        <v>21024.035999999996</v>
      </c>
      <c r="AE200" s="947">
        <f t="shared" si="120"/>
        <v>40349.160000000003</v>
      </c>
      <c r="AF200" s="947">
        <f t="shared" si="121"/>
        <v>946705.97015999991</v>
      </c>
      <c r="AG200" s="947" t="s">
        <v>3</v>
      </c>
    </row>
    <row r="201" spans="1:33" ht="31.5">
      <c r="A201" s="918">
        <v>148</v>
      </c>
      <c r="B201" s="943" t="s">
        <v>512</v>
      </c>
      <c r="C201" s="943" t="s">
        <v>448</v>
      </c>
      <c r="D201" s="1555"/>
      <c r="E201" s="944">
        <v>1</v>
      </c>
      <c r="F201" s="944"/>
      <c r="G201" s="945">
        <v>45902</v>
      </c>
      <c r="H201" s="946">
        <v>4</v>
      </c>
      <c r="I201" s="947">
        <f>E201*17697*H201</f>
        <v>70788</v>
      </c>
      <c r="J201" s="947">
        <f t="shared" si="108"/>
        <v>7078.8</v>
      </c>
      <c r="K201" s="947"/>
      <c r="L201" s="978"/>
      <c r="M201" s="960"/>
      <c r="N201" s="978"/>
      <c r="O201" s="978"/>
      <c r="P201" s="978"/>
      <c r="Q201" s="978"/>
      <c r="R201" s="978"/>
      <c r="S201" s="947">
        <f t="shared" si="109"/>
        <v>7078.8</v>
      </c>
      <c r="T201" s="947">
        <f t="shared" si="110"/>
        <v>77866.8</v>
      </c>
      <c r="U201" s="947">
        <f t="shared" si="111"/>
        <v>7786.68</v>
      </c>
      <c r="V201" s="947">
        <f>((T201-U201-W201)-(14*4552))*10%</f>
        <v>479.47839999999997</v>
      </c>
      <c r="W201" s="947">
        <f t="shared" si="113"/>
        <v>1557.336</v>
      </c>
      <c r="X201" s="947">
        <f t="shared" si="114"/>
        <v>68043.305600000007</v>
      </c>
      <c r="Y201" s="947">
        <f t="shared" si="115"/>
        <v>934401.60000000009</v>
      </c>
      <c r="Z201" s="947">
        <f t="shared" si="126"/>
        <v>141576</v>
      </c>
      <c r="AA201" s="947">
        <f t="shared" si="117"/>
        <v>1075977.6000000001</v>
      </c>
      <c r="AB201" s="947">
        <f t="shared" si="128"/>
        <v>56047.106879999999</v>
      </c>
      <c r="AC201" s="947">
        <f t="shared" si="129"/>
        <v>48418.992000000006</v>
      </c>
      <c r="AD201" s="947">
        <f t="shared" si="119"/>
        <v>28032.048000000003</v>
      </c>
      <c r="AE201" s="947">
        <f t="shared" si="120"/>
        <v>53798.880000000005</v>
      </c>
      <c r="AF201" s="947">
        <f t="shared" si="121"/>
        <v>1262274.6268800003</v>
      </c>
      <c r="AG201" s="947" t="s">
        <v>3</v>
      </c>
    </row>
    <row r="202" spans="1:33">
      <c r="A202" s="918">
        <v>149</v>
      </c>
      <c r="B202" s="957" t="s">
        <v>512</v>
      </c>
      <c r="C202" s="957" t="s">
        <v>933</v>
      </c>
      <c r="D202" s="1555"/>
      <c r="E202" s="944">
        <v>1</v>
      </c>
      <c r="F202" s="944"/>
      <c r="G202" s="945">
        <v>45923</v>
      </c>
      <c r="H202" s="977">
        <v>5</v>
      </c>
      <c r="I202" s="947">
        <f t="shared" si="107"/>
        <v>88485</v>
      </c>
      <c r="J202" s="947">
        <f t="shared" si="108"/>
        <v>8848.5</v>
      </c>
      <c r="K202" s="947"/>
      <c r="L202" s="978"/>
      <c r="M202" s="960"/>
      <c r="N202" s="979"/>
      <c r="O202" s="978"/>
      <c r="P202" s="978"/>
      <c r="Q202" s="978"/>
      <c r="R202" s="978"/>
      <c r="S202" s="947">
        <f t="shared" si="109"/>
        <v>8848.5</v>
      </c>
      <c r="T202" s="947">
        <f t="shared" si="110"/>
        <v>97333.5</v>
      </c>
      <c r="U202" s="947">
        <f t="shared" si="111"/>
        <v>9733.35</v>
      </c>
      <c r="V202" s="947">
        <f>((T202-U202-W202)-(14*4552))*10%</f>
        <v>2192.5479999999998</v>
      </c>
      <c r="W202" s="947">
        <f t="shared" si="113"/>
        <v>1946.67</v>
      </c>
      <c r="X202" s="947">
        <f t="shared" si="114"/>
        <v>83460.932000000001</v>
      </c>
      <c r="Y202" s="947">
        <f t="shared" si="115"/>
        <v>1168002</v>
      </c>
      <c r="Z202" s="947">
        <f t="shared" si="126"/>
        <v>176970</v>
      </c>
      <c r="AA202" s="947">
        <f t="shared" si="117"/>
        <v>1344972</v>
      </c>
      <c r="AB202" s="947">
        <f t="shared" si="128"/>
        <v>70058.883600000001</v>
      </c>
      <c r="AC202" s="947">
        <f t="shared" si="129"/>
        <v>60523.740000000005</v>
      </c>
      <c r="AD202" s="947">
        <f t="shared" si="119"/>
        <v>35040.06</v>
      </c>
      <c r="AE202" s="947">
        <f t="shared" si="120"/>
        <v>67248.600000000006</v>
      </c>
      <c r="AF202" s="947">
        <f t="shared" si="121"/>
        <v>1577843.2836000002</v>
      </c>
      <c r="AG202" s="947" t="s">
        <v>3</v>
      </c>
    </row>
    <row r="203" spans="1:33">
      <c r="A203" s="918">
        <v>150</v>
      </c>
      <c r="B203" s="957" t="s">
        <v>512</v>
      </c>
      <c r="C203" s="957" t="s">
        <v>520</v>
      </c>
      <c r="D203" s="1555"/>
      <c r="E203" s="944">
        <v>1</v>
      </c>
      <c r="F203" s="944"/>
      <c r="G203" s="945">
        <v>42251</v>
      </c>
      <c r="H203" s="977">
        <v>5</v>
      </c>
      <c r="I203" s="947">
        <f t="shared" si="107"/>
        <v>88485</v>
      </c>
      <c r="J203" s="947">
        <f t="shared" si="108"/>
        <v>8848.5</v>
      </c>
      <c r="K203" s="947"/>
      <c r="L203" s="978"/>
      <c r="M203" s="960"/>
      <c r="N203" s="979"/>
      <c r="O203" s="978"/>
      <c r="P203" s="978"/>
      <c r="Q203" s="978"/>
      <c r="R203" s="978"/>
      <c r="S203" s="947">
        <f t="shared" si="109"/>
        <v>8848.5</v>
      </c>
      <c r="T203" s="947">
        <f t="shared" si="110"/>
        <v>97333.5</v>
      </c>
      <c r="U203" s="947">
        <f t="shared" si="111"/>
        <v>9733.35</v>
      </c>
      <c r="V203" s="947">
        <f>((T203-U203-W203)-(14*4552))*10%</f>
        <v>2192.5479999999998</v>
      </c>
      <c r="W203" s="947">
        <f t="shared" si="113"/>
        <v>1946.67</v>
      </c>
      <c r="X203" s="947">
        <f t="shared" si="114"/>
        <v>83460.932000000001</v>
      </c>
      <c r="Y203" s="947">
        <f t="shared" si="115"/>
        <v>1168002</v>
      </c>
      <c r="Z203" s="947">
        <f t="shared" si="126"/>
        <v>176970</v>
      </c>
      <c r="AA203" s="947">
        <f t="shared" si="117"/>
        <v>1344972</v>
      </c>
      <c r="AB203" s="947">
        <f t="shared" si="128"/>
        <v>70058.883600000001</v>
      </c>
      <c r="AC203" s="947">
        <f t="shared" si="129"/>
        <v>60523.740000000005</v>
      </c>
      <c r="AD203" s="947">
        <f t="shared" si="119"/>
        <v>35040.06</v>
      </c>
      <c r="AE203" s="947">
        <f t="shared" si="120"/>
        <v>67248.600000000006</v>
      </c>
      <c r="AF203" s="947">
        <f t="shared" si="121"/>
        <v>1577843.2836000002</v>
      </c>
      <c r="AG203" s="947" t="s">
        <v>3</v>
      </c>
    </row>
    <row r="204" spans="1:33">
      <c r="A204" s="918">
        <v>151</v>
      </c>
      <c r="B204" s="957" t="s">
        <v>512</v>
      </c>
      <c r="C204" s="957" t="s">
        <v>837</v>
      </c>
      <c r="D204" s="1555"/>
      <c r="E204" s="944">
        <v>1</v>
      </c>
      <c r="F204" s="944"/>
      <c r="G204" s="945">
        <v>45231</v>
      </c>
      <c r="H204" s="977">
        <v>3</v>
      </c>
      <c r="I204" s="947">
        <f t="shared" si="107"/>
        <v>53091</v>
      </c>
      <c r="J204" s="947">
        <f t="shared" si="108"/>
        <v>5309.1</v>
      </c>
      <c r="K204" s="947"/>
      <c r="L204" s="978"/>
      <c r="M204" s="978"/>
      <c r="N204" s="978"/>
      <c r="O204" s="978"/>
      <c r="P204" s="978"/>
      <c r="Q204" s="978"/>
      <c r="R204" s="978"/>
      <c r="S204" s="947">
        <f t="shared" si="109"/>
        <v>5309.1</v>
      </c>
      <c r="T204" s="947">
        <f t="shared" si="110"/>
        <v>58400.1</v>
      </c>
      <c r="U204" s="947">
        <f t="shared" si="111"/>
        <v>5840.01</v>
      </c>
      <c r="V204" s="947">
        <f t="shared" ref="V204" si="130">(T204-U204-W204)*10%</f>
        <v>5139.2088000000003</v>
      </c>
      <c r="W204" s="947">
        <f t="shared" si="113"/>
        <v>1168.002</v>
      </c>
      <c r="X204" s="947">
        <f t="shared" si="114"/>
        <v>46252.879199999996</v>
      </c>
      <c r="Y204" s="947">
        <f t="shared" si="115"/>
        <v>700801.2</v>
      </c>
      <c r="Z204" s="947">
        <f t="shared" si="126"/>
        <v>106182</v>
      </c>
      <c r="AA204" s="947">
        <f t="shared" si="117"/>
        <v>806983.2</v>
      </c>
      <c r="AB204" s="947">
        <f t="shared" si="128"/>
        <v>42035.330160000005</v>
      </c>
      <c r="AC204" s="947">
        <f t="shared" si="129"/>
        <v>36314.243999999999</v>
      </c>
      <c r="AD204" s="947">
        <f t="shared" si="119"/>
        <v>21024.035999999996</v>
      </c>
      <c r="AE204" s="947">
        <f t="shared" si="120"/>
        <v>40349.160000000003</v>
      </c>
      <c r="AF204" s="947">
        <f t="shared" si="121"/>
        <v>946705.97015999991</v>
      </c>
      <c r="AG204" s="947" t="s">
        <v>3</v>
      </c>
    </row>
    <row r="205" spans="1:33">
      <c r="A205" s="918">
        <v>152</v>
      </c>
      <c r="B205" s="943" t="s">
        <v>512</v>
      </c>
      <c r="C205" s="943" t="s">
        <v>837</v>
      </c>
      <c r="D205" s="1558"/>
      <c r="E205" s="944"/>
      <c r="F205" s="944"/>
      <c r="G205" s="945"/>
      <c r="H205" s="946">
        <v>18</v>
      </c>
      <c r="I205" s="947">
        <f>17697*H205</f>
        <v>318546</v>
      </c>
      <c r="J205" s="947">
        <f t="shared" si="108"/>
        <v>31854.600000000002</v>
      </c>
      <c r="K205" s="947"/>
      <c r="L205" s="978"/>
      <c r="M205" s="978"/>
      <c r="N205" s="978"/>
      <c r="O205" s="978"/>
      <c r="P205" s="978"/>
      <c r="Q205" s="978"/>
      <c r="R205" s="978"/>
      <c r="S205" s="947">
        <f t="shared" si="109"/>
        <v>31854.600000000002</v>
      </c>
      <c r="T205" s="947">
        <f t="shared" si="110"/>
        <v>350400.6</v>
      </c>
      <c r="U205" s="947">
        <f t="shared" si="111"/>
        <v>35040.06</v>
      </c>
      <c r="V205" s="947">
        <f>((T205-U205-W205)-(14*4552))*10%</f>
        <v>24462.452799999999</v>
      </c>
      <c r="W205" s="947">
        <f t="shared" si="113"/>
        <v>7008.0119999999997</v>
      </c>
      <c r="X205" s="947">
        <f t="shared" si="114"/>
        <v>283890.07519999996</v>
      </c>
      <c r="Y205" s="947">
        <f t="shared" si="115"/>
        <v>4204807.1999999993</v>
      </c>
      <c r="Z205" s="947">
        <f t="shared" si="126"/>
        <v>637092</v>
      </c>
      <c r="AA205" s="947">
        <f t="shared" si="117"/>
        <v>4841899.1999999993</v>
      </c>
      <c r="AB205" s="947">
        <f t="shared" si="128"/>
        <v>252211.9809599999</v>
      </c>
      <c r="AC205" s="947">
        <f t="shared" si="129"/>
        <v>217885.46399999998</v>
      </c>
      <c r="AD205" s="947">
        <f t="shared" si="119"/>
        <v>126144.21599999997</v>
      </c>
      <c r="AE205" s="947">
        <f t="shared" si="120"/>
        <v>242094.95999999996</v>
      </c>
      <c r="AF205" s="947">
        <f t="shared" si="121"/>
        <v>5680235.8209599992</v>
      </c>
      <c r="AG205" s="947" t="s">
        <v>3</v>
      </c>
    </row>
    <row r="206" spans="1:33" ht="31.5">
      <c r="A206" s="918">
        <v>153</v>
      </c>
      <c r="B206" s="957" t="s">
        <v>523</v>
      </c>
      <c r="C206" s="957" t="s">
        <v>524</v>
      </c>
      <c r="D206" s="1557">
        <v>8</v>
      </c>
      <c r="E206" s="944">
        <v>1</v>
      </c>
      <c r="F206" s="944"/>
      <c r="G206" s="945">
        <v>41512</v>
      </c>
      <c r="H206" s="977">
        <v>3</v>
      </c>
      <c r="I206" s="947">
        <f t="shared" si="107"/>
        <v>53091</v>
      </c>
      <c r="J206" s="947">
        <f t="shared" si="108"/>
        <v>5309.1</v>
      </c>
      <c r="K206" s="947"/>
      <c r="L206" s="978"/>
      <c r="M206" s="978"/>
      <c r="N206" s="978"/>
      <c r="O206" s="978"/>
      <c r="P206" s="978"/>
      <c r="Q206" s="978"/>
      <c r="R206" s="978"/>
      <c r="S206" s="947">
        <f t="shared" si="109"/>
        <v>5309.1</v>
      </c>
      <c r="T206" s="947">
        <f t="shared" si="110"/>
        <v>58400.1</v>
      </c>
      <c r="U206" s="947">
        <f t="shared" si="111"/>
        <v>5840.01</v>
      </c>
      <c r="V206" s="947">
        <f t="shared" ref="V206" si="131">(T206-U206-W206)*10%</f>
        <v>5139.2088000000003</v>
      </c>
      <c r="W206" s="947">
        <f t="shared" si="113"/>
        <v>1168.002</v>
      </c>
      <c r="X206" s="947">
        <f t="shared" si="114"/>
        <v>46252.879199999996</v>
      </c>
      <c r="Y206" s="947">
        <f t="shared" si="115"/>
        <v>700801.2</v>
      </c>
      <c r="Z206" s="947">
        <f t="shared" si="126"/>
        <v>106182</v>
      </c>
      <c r="AA206" s="947">
        <f t="shared" si="117"/>
        <v>806983.2</v>
      </c>
      <c r="AB206" s="947">
        <f t="shared" si="128"/>
        <v>42035.330160000005</v>
      </c>
      <c r="AC206" s="947">
        <f t="shared" si="129"/>
        <v>36314.243999999999</v>
      </c>
      <c r="AD206" s="947">
        <f t="shared" si="119"/>
        <v>21024.035999999996</v>
      </c>
      <c r="AE206" s="947">
        <f t="shared" si="120"/>
        <v>40349.160000000003</v>
      </c>
      <c r="AF206" s="947">
        <f t="shared" si="121"/>
        <v>946705.97015999991</v>
      </c>
      <c r="AG206" s="947" t="s">
        <v>3</v>
      </c>
    </row>
    <row r="207" spans="1:33" ht="31.5">
      <c r="A207" s="918">
        <v>154</v>
      </c>
      <c r="B207" s="957" t="s">
        <v>523</v>
      </c>
      <c r="C207" s="957" t="s">
        <v>525</v>
      </c>
      <c r="D207" s="1555"/>
      <c r="E207" s="944">
        <v>1</v>
      </c>
      <c r="F207" s="944"/>
      <c r="G207" s="945">
        <v>42248</v>
      </c>
      <c r="H207" s="977">
        <v>3</v>
      </c>
      <c r="I207" s="947">
        <f t="shared" si="107"/>
        <v>53091</v>
      </c>
      <c r="J207" s="947">
        <f t="shared" si="108"/>
        <v>5309.1</v>
      </c>
      <c r="K207" s="947">
        <f>10*4552</f>
        <v>45520</v>
      </c>
      <c r="L207" s="978"/>
      <c r="M207" s="978"/>
      <c r="N207" s="978"/>
      <c r="O207" s="978"/>
      <c r="P207" s="978"/>
      <c r="Q207" s="978"/>
      <c r="R207" s="978"/>
      <c r="S207" s="947">
        <f t="shared" si="109"/>
        <v>50829.1</v>
      </c>
      <c r="T207" s="947">
        <f t="shared" si="110"/>
        <v>103920.1</v>
      </c>
      <c r="U207" s="947">
        <f t="shared" si="111"/>
        <v>10392.010000000002</v>
      </c>
      <c r="V207" s="947">
        <f>((T207-U207-W207)-(14*4552))*10%</f>
        <v>2772.1687999999995</v>
      </c>
      <c r="W207" s="947">
        <f t="shared" si="113"/>
        <v>2078.402</v>
      </c>
      <c r="X207" s="947">
        <f t="shared" si="114"/>
        <v>88677.519199999995</v>
      </c>
      <c r="Y207" s="947">
        <f t="shared" si="115"/>
        <v>1247041.2000000002</v>
      </c>
      <c r="Z207" s="947">
        <f t="shared" si="126"/>
        <v>106182</v>
      </c>
      <c r="AA207" s="947">
        <f t="shared" si="117"/>
        <v>1353223.2000000002</v>
      </c>
      <c r="AB207" s="947">
        <f t="shared" si="128"/>
        <v>70330.562160000016</v>
      </c>
      <c r="AC207" s="947">
        <f t="shared" si="129"/>
        <v>60895.044000000009</v>
      </c>
      <c r="AD207" s="947">
        <f t="shared" si="119"/>
        <v>37411.236000000004</v>
      </c>
      <c r="AE207" s="947">
        <f t="shared" si="120"/>
        <v>67661.160000000018</v>
      </c>
      <c r="AF207" s="947">
        <f t="shared" si="121"/>
        <v>1589521.2021600001</v>
      </c>
      <c r="AG207" s="947" t="s">
        <v>3</v>
      </c>
    </row>
    <row r="208" spans="1:33">
      <c r="A208" s="918">
        <v>155</v>
      </c>
      <c r="B208" s="957" t="s">
        <v>523</v>
      </c>
      <c r="C208" s="981" t="s">
        <v>526</v>
      </c>
      <c r="D208" s="1555"/>
      <c r="E208" s="944">
        <v>1</v>
      </c>
      <c r="F208" s="944"/>
      <c r="G208" s="945">
        <v>44593</v>
      </c>
      <c r="H208" s="977">
        <v>3</v>
      </c>
      <c r="I208" s="947">
        <f t="shared" si="107"/>
        <v>53091</v>
      </c>
      <c r="J208" s="947">
        <f t="shared" si="108"/>
        <v>5309.1</v>
      </c>
      <c r="K208" s="978"/>
      <c r="L208" s="978"/>
      <c r="M208" s="978"/>
      <c r="N208" s="978"/>
      <c r="O208" s="978"/>
      <c r="P208" s="978"/>
      <c r="Q208" s="978"/>
      <c r="R208" s="978"/>
      <c r="S208" s="947">
        <f t="shared" si="109"/>
        <v>5309.1</v>
      </c>
      <c r="T208" s="947">
        <f t="shared" si="110"/>
        <v>58400.1</v>
      </c>
      <c r="U208" s="947">
        <f t="shared" si="111"/>
        <v>5840.01</v>
      </c>
      <c r="V208" s="947">
        <f t="shared" ref="V208:V215" si="132">(T208-U208-W208)*10%</f>
        <v>5139.2088000000003</v>
      </c>
      <c r="W208" s="947">
        <f t="shared" si="113"/>
        <v>1168.002</v>
      </c>
      <c r="X208" s="947">
        <f t="shared" si="114"/>
        <v>46252.879199999996</v>
      </c>
      <c r="Y208" s="947">
        <f t="shared" si="115"/>
        <v>700801.2</v>
      </c>
      <c r="Z208" s="947">
        <f t="shared" si="126"/>
        <v>106182</v>
      </c>
      <c r="AA208" s="947">
        <f t="shared" si="117"/>
        <v>806983.2</v>
      </c>
      <c r="AB208" s="947">
        <f t="shared" si="128"/>
        <v>42035.330160000005</v>
      </c>
      <c r="AC208" s="947">
        <f t="shared" si="129"/>
        <v>36314.243999999999</v>
      </c>
      <c r="AD208" s="947">
        <f t="shared" si="119"/>
        <v>21024.035999999996</v>
      </c>
      <c r="AE208" s="947">
        <f t="shared" si="120"/>
        <v>40349.160000000003</v>
      </c>
      <c r="AF208" s="947">
        <f t="shared" si="121"/>
        <v>946705.97015999991</v>
      </c>
      <c r="AG208" s="947" t="s">
        <v>3</v>
      </c>
    </row>
    <row r="209" spans="1:33">
      <c r="A209" s="918">
        <v>156</v>
      </c>
      <c r="B209" s="957" t="s">
        <v>523</v>
      </c>
      <c r="C209" s="981" t="s">
        <v>527</v>
      </c>
      <c r="D209" s="1555"/>
      <c r="E209" s="944">
        <v>1</v>
      </c>
      <c r="F209" s="944"/>
      <c r="G209" s="945">
        <v>40716</v>
      </c>
      <c r="H209" s="977">
        <v>3</v>
      </c>
      <c r="I209" s="947">
        <f t="shared" si="107"/>
        <v>53091</v>
      </c>
      <c r="J209" s="947">
        <f t="shared" si="108"/>
        <v>5309.1</v>
      </c>
      <c r="K209" s="978"/>
      <c r="L209" s="978"/>
      <c r="M209" s="978"/>
      <c r="N209" s="978"/>
      <c r="O209" s="978"/>
      <c r="P209" s="978"/>
      <c r="Q209" s="978"/>
      <c r="R209" s="978"/>
      <c r="S209" s="947">
        <f t="shared" si="109"/>
        <v>5309.1</v>
      </c>
      <c r="T209" s="947">
        <f t="shared" si="110"/>
        <v>58400.1</v>
      </c>
      <c r="U209" s="947">
        <f t="shared" si="111"/>
        <v>5840.01</v>
      </c>
      <c r="V209" s="947">
        <f t="shared" si="132"/>
        <v>5139.2088000000003</v>
      </c>
      <c r="W209" s="947">
        <f t="shared" si="113"/>
        <v>1168.002</v>
      </c>
      <c r="X209" s="947">
        <f t="shared" si="114"/>
        <v>46252.879199999996</v>
      </c>
      <c r="Y209" s="947">
        <f t="shared" si="115"/>
        <v>700801.2</v>
      </c>
      <c r="Z209" s="947">
        <f t="shared" si="126"/>
        <v>106182</v>
      </c>
      <c r="AA209" s="947">
        <f t="shared" si="117"/>
        <v>806983.2</v>
      </c>
      <c r="AB209" s="947">
        <f t="shared" si="128"/>
        <v>42035.330160000005</v>
      </c>
      <c r="AC209" s="947">
        <f t="shared" si="129"/>
        <v>36314.243999999999</v>
      </c>
      <c r="AD209" s="947">
        <f t="shared" si="119"/>
        <v>21024.035999999996</v>
      </c>
      <c r="AE209" s="947">
        <f t="shared" si="120"/>
        <v>40349.160000000003</v>
      </c>
      <c r="AF209" s="947">
        <f t="shared" si="121"/>
        <v>946705.97015999991</v>
      </c>
      <c r="AG209" s="947" t="s">
        <v>3</v>
      </c>
    </row>
    <row r="210" spans="1:33">
      <c r="A210" s="918">
        <v>157</v>
      </c>
      <c r="B210" s="957" t="s">
        <v>523</v>
      </c>
      <c r="C210" s="957" t="s">
        <v>528</v>
      </c>
      <c r="D210" s="1555"/>
      <c r="E210" s="944">
        <v>1</v>
      </c>
      <c r="F210" s="944"/>
      <c r="G210" s="945">
        <v>44818</v>
      </c>
      <c r="H210" s="977">
        <v>3</v>
      </c>
      <c r="I210" s="947">
        <f t="shared" si="107"/>
        <v>53091</v>
      </c>
      <c r="J210" s="947">
        <f t="shared" si="108"/>
        <v>5309.1</v>
      </c>
      <c r="K210" s="978"/>
      <c r="L210" s="978"/>
      <c r="M210" s="978"/>
      <c r="N210" s="978"/>
      <c r="O210" s="978"/>
      <c r="P210" s="978"/>
      <c r="Q210" s="978"/>
      <c r="R210" s="978"/>
      <c r="S210" s="947">
        <f t="shared" si="109"/>
        <v>5309.1</v>
      </c>
      <c r="T210" s="947">
        <f t="shared" si="110"/>
        <v>58400.1</v>
      </c>
      <c r="U210" s="947">
        <f t="shared" si="111"/>
        <v>5840.01</v>
      </c>
      <c r="V210" s="947">
        <f t="shared" si="132"/>
        <v>5139.2088000000003</v>
      </c>
      <c r="W210" s="947">
        <f t="shared" si="113"/>
        <v>1168.002</v>
      </c>
      <c r="X210" s="947">
        <f t="shared" si="114"/>
        <v>46252.879199999996</v>
      </c>
      <c r="Y210" s="947">
        <f t="shared" si="115"/>
        <v>700801.2</v>
      </c>
      <c r="Z210" s="947">
        <f t="shared" si="126"/>
        <v>106182</v>
      </c>
      <c r="AA210" s="947">
        <f t="shared" si="117"/>
        <v>806983.2</v>
      </c>
      <c r="AB210" s="947">
        <f t="shared" si="128"/>
        <v>42035.330160000005</v>
      </c>
      <c r="AC210" s="947">
        <f t="shared" si="129"/>
        <v>36314.243999999999</v>
      </c>
      <c r="AD210" s="947">
        <f t="shared" si="119"/>
        <v>21024.035999999996</v>
      </c>
      <c r="AE210" s="947">
        <f t="shared" si="120"/>
        <v>40349.160000000003</v>
      </c>
      <c r="AF210" s="947">
        <f t="shared" si="121"/>
        <v>946705.97015999991</v>
      </c>
      <c r="AG210" s="947" t="s">
        <v>3</v>
      </c>
    </row>
    <row r="211" spans="1:33">
      <c r="A211" s="918">
        <v>158</v>
      </c>
      <c r="B211" s="982" t="s">
        <v>523</v>
      </c>
      <c r="C211" s="957" t="s">
        <v>529</v>
      </c>
      <c r="D211" s="1555"/>
      <c r="E211" s="944">
        <v>1</v>
      </c>
      <c r="F211" s="944"/>
      <c r="G211" s="945">
        <v>42249</v>
      </c>
      <c r="H211" s="977">
        <v>3</v>
      </c>
      <c r="I211" s="947">
        <f t="shared" si="107"/>
        <v>53091</v>
      </c>
      <c r="J211" s="947">
        <f t="shared" si="108"/>
        <v>5309.1</v>
      </c>
      <c r="K211" s="978"/>
      <c r="L211" s="978"/>
      <c r="M211" s="978"/>
      <c r="N211" s="978"/>
      <c r="O211" s="978"/>
      <c r="P211" s="978"/>
      <c r="Q211" s="978"/>
      <c r="R211" s="978"/>
      <c r="S211" s="947">
        <f t="shared" si="109"/>
        <v>5309.1</v>
      </c>
      <c r="T211" s="947">
        <f t="shared" si="110"/>
        <v>58400.1</v>
      </c>
      <c r="U211" s="947">
        <f t="shared" si="111"/>
        <v>5840.01</v>
      </c>
      <c r="V211" s="947">
        <f t="shared" si="132"/>
        <v>5139.2088000000003</v>
      </c>
      <c r="W211" s="947">
        <f t="shared" si="113"/>
        <v>1168.002</v>
      </c>
      <c r="X211" s="947">
        <f t="shared" si="114"/>
        <v>46252.879199999996</v>
      </c>
      <c r="Y211" s="947">
        <f t="shared" si="115"/>
        <v>700801.2</v>
      </c>
      <c r="Z211" s="947">
        <f t="shared" si="126"/>
        <v>106182</v>
      </c>
      <c r="AA211" s="947">
        <f t="shared" si="117"/>
        <v>806983.2</v>
      </c>
      <c r="AB211" s="947">
        <f t="shared" si="128"/>
        <v>42035.330160000005</v>
      </c>
      <c r="AC211" s="947">
        <f t="shared" si="129"/>
        <v>36314.243999999999</v>
      </c>
      <c r="AD211" s="947">
        <f t="shared" si="119"/>
        <v>21024.035999999996</v>
      </c>
      <c r="AE211" s="947">
        <f t="shared" si="120"/>
        <v>40349.160000000003</v>
      </c>
      <c r="AF211" s="947">
        <f t="shared" si="121"/>
        <v>946705.97015999991</v>
      </c>
      <c r="AG211" s="947" t="s">
        <v>3</v>
      </c>
    </row>
    <row r="212" spans="1:33">
      <c r="A212" s="918">
        <v>159</v>
      </c>
      <c r="B212" s="982" t="s">
        <v>523</v>
      </c>
      <c r="C212" s="982" t="s">
        <v>530</v>
      </c>
      <c r="D212" s="1555"/>
      <c r="E212" s="944">
        <v>1</v>
      </c>
      <c r="F212" s="944"/>
      <c r="G212" s="945">
        <v>44827</v>
      </c>
      <c r="H212" s="977">
        <v>3</v>
      </c>
      <c r="I212" s="947">
        <f t="shared" si="107"/>
        <v>53091</v>
      </c>
      <c r="J212" s="947">
        <f t="shared" si="108"/>
        <v>5309.1</v>
      </c>
      <c r="K212" s="978"/>
      <c r="L212" s="978"/>
      <c r="M212" s="978"/>
      <c r="N212" s="978"/>
      <c r="O212" s="978"/>
      <c r="P212" s="978"/>
      <c r="Q212" s="978"/>
      <c r="R212" s="978"/>
      <c r="S212" s="947">
        <f t="shared" si="109"/>
        <v>5309.1</v>
      </c>
      <c r="T212" s="947">
        <f t="shared" si="110"/>
        <v>58400.1</v>
      </c>
      <c r="U212" s="947">
        <f t="shared" si="111"/>
        <v>5840.01</v>
      </c>
      <c r="V212" s="947">
        <f t="shared" si="132"/>
        <v>5139.2088000000003</v>
      </c>
      <c r="W212" s="947">
        <f t="shared" si="113"/>
        <v>1168.002</v>
      </c>
      <c r="X212" s="947">
        <f t="shared" si="114"/>
        <v>46252.879199999996</v>
      </c>
      <c r="Y212" s="947">
        <f t="shared" si="115"/>
        <v>700801.2</v>
      </c>
      <c r="Z212" s="947">
        <f t="shared" si="126"/>
        <v>106182</v>
      </c>
      <c r="AA212" s="947">
        <f t="shared" si="117"/>
        <v>806983.2</v>
      </c>
      <c r="AB212" s="947">
        <f t="shared" si="128"/>
        <v>42035.330160000005</v>
      </c>
      <c r="AC212" s="947">
        <f t="shared" si="129"/>
        <v>36314.243999999999</v>
      </c>
      <c r="AD212" s="947">
        <f t="shared" si="119"/>
        <v>21024.035999999996</v>
      </c>
      <c r="AE212" s="947">
        <f t="shared" si="120"/>
        <v>40349.160000000003</v>
      </c>
      <c r="AF212" s="947">
        <f t="shared" si="121"/>
        <v>946705.97015999991</v>
      </c>
      <c r="AG212" s="947" t="s">
        <v>3</v>
      </c>
    </row>
    <row r="213" spans="1:33" ht="31.5">
      <c r="A213" s="918">
        <v>160</v>
      </c>
      <c r="B213" s="982" t="s">
        <v>523</v>
      </c>
      <c r="C213" s="982" t="s">
        <v>531</v>
      </c>
      <c r="D213" s="1558"/>
      <c r="E213" s="944">
        <v>1</v>
      </c>
      <c r="F213" s="944"/>
      <c r="G213" s="945">
        <v>42614</v>
      </c>
      <c r="H213" s="977">
        <v>3</v>
      </c>
      <c r="I213" s="947">
        <f t="shared" si="107"/>
        <v>53091</v>
      </c>
      <c r="J213" s="947">
        <f t="shared" si="108"/>
        <v>5309.1</v>
      </c>
      <c r="K213" s="978"/>
      <c r="L213" s="978"/>
      <c r="M213" s="978"/>
      <c r="N213" s="978"/>
      <c r="O213" s="978"/>
      <c r="P213" s="978"/>
      <c r="Q213" s="978"/>
      <c r="R213" s="978"/>
      <c r="S213" s="947">
        <f t="shared" si="109"/>
        <v>5309.1</v>
      </c>
      <c r="T213" s="947">
        <f t="shared" si="110"/>
        <v>58400.1</v>
      </c>
      <c r="U213" s="947">
        <f t="shared" si="111"/>
        <v>5840.01</v>
      </c>
      <c r="V213" s="947">
        <f t="shared" si="132"/>
        <v>5139.2088000000003</v>
      </c>
      <c r="W213" s="947">
        <f t="shared" si="113"/>
        <v>1168.002</v>
      </c>
      <c r="X213" s="947">
        <f t="shared" si="114"/>
        <v>46252.879199999996</v>
      </c>
      <c r="Y213" s="947">
        <f t="shared" si="115"/>
        <v>700801.2</v>
      </c>
      <c r="Z213" s="947">
        <f t="shared" si="126"/>
        <v>106182</v>
      </c>
      <c r="AA213" s="947">
        <f t="shared" si="117"/>
        <v>806983.2</v>
      </c>
      <c r="AB213" s="947">
        <f t="shared" si="128"/>
        <v>42035.330160000005</v>
      </c>
      <c r="AC213" s="947">
        <f t="shared" si="129"/>
        <v>36314.243999999999</v>
      </c>
      <c r="AD213" s="947">
        <f t="shared" si="119"/>
        <v>21024.035999999996</v>
      </c>
      <c r="AE213" s="947">
        <f t="shared" si="120"/>
        <v>40349.160000000003</v>
      </c>
      <c r="AF213" s="947">
        <f t="shared" si="121"/>
        <v>946705.97015999991</v>
      </c>
      <c r="AG213" s="947" t="s">
        <v>3</v>
      </c>
    </row>
    <row r="214" spans="1:33" ht="31.5">
      <c r="A214" s="918">
        <v>161</v>
      </c>
      <c r="B214" s="957" t="s">
        <v>532</v>
      </c>
      <c r="C214" s="957" t="s">
        <v>533</v>
      </c>
      <c r="D214" s="1557">
        <v>2</v>
      </c>
      <c r="E214" s="944">
        <v>1</v>
      </c>
      <c r="F214" s="944"/>
      <c r="G214" s="945">
        <v>44645</v>
      </c>
      <c r="H214" s="977">
        <v>3</v>
      </c>
      <c r="I214" s="947">
        <f t="shared" si="107"/>
        <v>53091</v>
      </c>
      <c r="J214" s="947">
        <f t="shared" si="108"/>
        <v>5309.1</v>
      </c>
      <c r="K214" s="978"/>
      <c r="L214" s="978"/>
      <c r="M214" s="978"/>
      <c r="N214" s="978"/>
      <c r="O214" s="978"/>
      <c r="P214" s="978"/>
      <c r="Q214" s="978"/>
      <c r="R214" s="978"/>
      <c r="S214" s="947">
        <f t="shared" si="109"/>
        <v>5309.1</v>
      </c>
      <c r="T214" s="947">
        <f t="shared" si="110"/>
        <v>58400.1</v>
      </c>
      <c r="U214" s="947">
        <f t="shared" si="111"/>
        <v>5840.01</v>
      </c>
      <c r="V214" s="947">
        <f t="shared" si="132"/>
        <v>5139.2088000000003</v>
      </c>
      <c r="W214" s="947">
        <f t="shared" si="113"/>
        <v>1168.002</v>
      </c>
      <c r="X214" s="947">
        <f t="shared" si="114"/>
        <v>46252.879199999996</v>
      </c>
      <c r="Y214" s="947">
        <f t="shared" si="115"/>
        <v>700801.2</v>
      </c>
      <c r="Z214" s="947">
        <f t="shared" si="126"/>
        <v>106182</v>
      </c>
      <c r="AA214" s="947">
        <f t="shared" si="117"/>
        <v>806983.2</v>
      </c>
      <c r="AB214" s="947">
        <f t="shared" si="128"/>
        <v>42035.330160000005</v>
      </c>
      <c r="AC214" s="947">
        <f t="shared" si="129"/>
        <v>36314.243999999999</v>
      </c>
      <c r="AD214" s="947">
        <f t="shared" si="119"/>
        <v>21024.035999999996</v>
      </c>
      <c r="AE214" s="947">
        <f t="shared" si="120"/>
        <v>40349.160000000003</v>
      </c>
      <c r="AF214" s="947">
        <f t="shared" si="121"/>
        <v>946705.97015999991</v>
      </c>
      <c r="AG214" s="947" t="s">
        <v>3</v>
      </c>
    </row>
    <row r="215" spans="1:33">
      <c r="A215" s="918">
        <v>162</v>
      </c>
      <c r="B215" s="957" t="s">
        <v>532</v>
      </c>
      <c r="C215" s="976" t="s">
        <v>534</v>
      </c>
      <c r="D215" s="1558"/>
      <c r="E215" s="944">
        <v>1</v>
      </c>
      <c r="F215" s="944"/>
      <c r="G215" s="945">
        <v>44874</v>
      </c>
      <c r="H215" s="977">
        <v>3</v>
      </c>
      <c r="I215" s="947">
        <f t="shared" si="107"/>
        <v>53091</v>
      </c>
      <c r="J215" s="947">
        <f t="shared" si="108"/>
        <v>5309.1</v>
      </c>
      <c r="K215" s="978"/>
      <c r="L215" s="978"/>
      <c r="M215" s="978"/>
      <c r="N215" s="978"/>
      <c r="O215" s="978"/>
      <c r="P215" s="978"/>
      <c r="Q215" s="978"/>
      <c r="R215" s="978"/>
      <c r="S215" s="947">
        <f t="shared" si="109"/>
        <v>5309.1</v>
      </c>
      <c r="T215" s="947">
        <f t="shared" si="110"/>
        <v>58400.1</v>
      </c>
      <c r="U215" s="947">
        <f t="shared" si="111"/>
        <v>5840.01</v>
      </c>
      <c r="V215" s="947">
        <f t="shared" si="132"/>
        <v>5139.2088000000003</v>
      </c>
      <c r="W215" s="947">
        <f t="shared" si="113"/>
        <v>1168.002</v>
      </c>
      <c r="X215" s="947">
        <f t="shared" si="114"/>
        <v>46252.879199999996</v>
      </c>
      <c r="Y215" s="947">
        <f t="shared" si="115"/>
        <v>700801.2</v>
      </c>
      <c r="Z215" s="947">
        <f t="shared" si="126"/>
        <v>106182</v>
      </c>
      <c r="AA215" s="947">
        <f t="shared" si="117"/>
        <v>806983.2</v>
      </c>
      <c r="AB215" s="947">
        <f t="shared" si="128"/>
        <v>42035.330160000005</v>
      </c>
      <c r="AC215" s="947">
        <f t="shared" si="129"/>
        <v>36314.243999999999</v>
      </c>
      <c r="AD215" s="947">
        <f t="shared" si="119"/>
        <v>21024.035999999996</v>
      </c>
      <c r="AE215" s="947">
        <f t="shared" si="120"/>
        <v>40349.160000000003</v>
      </c>
      <c r="AF215" s="947">
        <f t="shared" si="121"/>
        <v>946705.97015999991</v>
      </c>
      <c r="AG215" s="947" t="s">
        <v>3</v>
      </c>
    </row>
    <row r="216" spans="1:33" ht="20.25" customHeight="1">
      <c r="B216" s="919" t="s">
        <v>830</v>
      </c>
      <c r="C216" s="920"/>
      <c r="D216" s="921">
        <f>SUM(D174:D198)</f>
        <v>25</v>
      </c>
      <c r="E216" s="921">
        <f>SUM(E174:E198)</f>
        <v>25</v>
      </c>
      <c r="F216" s="921">
        <f>SUM(F174:F198)</f>
        <v>0</v>
      </c>
      <c r="G216" s="921"/>
      <c r="H216" s="921"/>
      <c r="I216" s="924">
        <f>SUM(I174:I215)</f>
        <v>8883894</v>
      </c>
      <c r="J216" s="924">
        <f t="shared" ref="J216:AF216" si="133">SUM(J174:J215)</f>
        <v>888389.39999999956</v>
      </c>
      <c r="K216" s="924">
        <f t="shared" si="133"/>
        <v>182080</v>
      </c>
      <c r="L216" s="924">
        <f t="shared" si="133"/>
        <v>0</v>
      </c>
      <c r="M216" s="924">
        <f t="shared" si="133"/>
        <v>828219.6</v>
      </c>
      <c r="N216" s="924">
        <f t="shared" si="133"/>
        <v>54860.700000000004</v>
      </c>
      <c r="O216" s="924">
        <f t="shared" si="133"/>
        <v>0</v>
      </c>
      <c r="P216" s="924">
        <f t="shared" si="133"/>
        <v>0</v>
      </c>
      <c r="Q216" s="924">
        <f t="shared" si="133"/>
        <v>0</v>
      </c>
      <c r="R216" s="924">
        <f t="shared" si="133"/>
        <v>0</v>
      </c>
      <c r="S216" s="924">
        <f t="shared" si="133"/>
        <v>1953549.700000002</v>
      </c>
      <c r="T216" s="924">
        <f t="shared" si="133"/>
        <v>10837443.699999994</v>
      </c>
      <c r="U216" s="924">
        <f t="shared" si="133"/>
        <v>1083744.3699999999</v>
      </c>
      <c r="V216" s="924">
        <f t="shared" si="133"/>
        <v>756138.24559999979</v>
      </c>
      <c r="W216" s="924">
        <f t="shared" si="133"/>
        <v>216748.87400000016</v>
      </c>
      <c r="X216" s="924">
        <f t="shared" si="133"/>
        <v>8780812.2104000021</v>
      </c>
      <c r="Y216" s="924">
        <f t="shared" si="133"/>
        <v>130049324.40000005</v>
      </c>
      <c r="Z216" s="924">
        <f t="shared" si="133"/>
        <v>10140381</v>
      </c>
      <c r="AA216" s="924">
        <f t="shared" si="133"/>
        <v>140189705.39999995</v>
      </c>
      <c r="AB216" s="924">
        <f t="shared" si="133"/>
        <v>7284135.5779200075</v>
      </c>
      <c r="AC216" s="924">
        <f t="shared" si="133"/>
        <v>6308536.7430000016</v>
      </c>
      <c r="AD216" s="924">
        <f t="shared" si="133"/>
        <v>3901479.731999998</v>
      </c>
      <c r="AE216" s="924">
        <f t="shared" si="133"/>
        <v>7009485.2699999968</v>
      </c>
      <c r="AF216" s="924">
        <f t="shared" si="133"/>
        <v>164693342.72292006</v>
      </c>
      <c r="AG216" s="924"/>
    </row>
    <row r="217" spans="1:33" ht="22.5" customHeight="1">
      <c r="A217" s="1544" t="s">
        <v>474</v>
      </c>
      <c r="B217" s="1544"/>
      <c r="C217" s="1544"/>
      <c r="D217" s="1544"/>
      <c r="E217" s="1544"/>
      <c r="F217" s="1544"/>
      <c r="G217" s="1544"/>
      <c r="H217" s="1544"/>
      <c r="I217" s="1544"/>
      <c r="J217" s="1544"/>
      <c r="K217" s="1544"/>
      <c r="L217" s="1544"/>
      <c r="M217" s="1544"/>
      <c r="N217" s="1544"/>
      <c r="O217" s="1544"/>
      <c r="P217" s="1544"/>
      <c r="Q217" s="1544"/>
      <c r="R217" s="1544"/>
      <c r="S217" s="1544"/>
      <c r="T217" s="1544"/>
      <c r="U217" s="1544"/>
      <c r="V217" s="1544"/>
      <c r="W217" s="1544"/>
      <c r="X217" s="1544"/>
      <c r="Y217" s="1544"/>
      <c r="Z217" s="1544"/>
      <c r="AA217" s="1544"/>
      <c r="AB217" s="1544"/>
      <c r="AC217" s="1544"/>
      <c r="AD217" s="1544"/>
      <c r="AE217" s="1544"/>
      <c r="AF217" s="1544"/>
      <c r="AG217" s="1544"/>
    </row>
    <row r="218" spans="1:33" ht="31.5">
      <c r="A218" s="974">
        <v>146</v>
      </c>
      <c r="B218" s="893" t="s">
        <v>19</v>
      </c>
      <c r="C218" s="983" t="s">
        <v>2358</v>
      </c>
      <c r="D218" s="918">
        <v>1</v>
      </c>
      <c r="E218" s="918">
        <v>1</v>
      </c>
      <c r="F218" s="918"/>
      <c r="G218" s="918"/>
      <c r="H218" s="918">
        <v>16</v>
      </c>
      <c r="I218" s="892">
        <f>17697*H218</f>
        <v>283152</v>
      </c>
      <c r="J218" s="892">
        <f t="shared" ref="J218" si="134">I218*10%</f>
        <v>28315.200000000001</v>
      </c>
      <c r="K218" s="924"/>
      <c r="L218" s="924"/>
      <c r="M218" s="924"/>
      <c r="N218" s="924"/>
      <c r="O218" s="924"/>
      <c r="P218" s="924"/>
      <c r="Q218" s="924"/>
      <c r="R218" s="924"/>
      <c r="S218" s="892">
        <f t="shared" ref="S218" si="135">SUM(J218:R218)</f>
        <v>28315.200000000001</v>
      </c>
      <c r="T218" s="892">
        <f t="shared" ref="T218" si="136">I218+S218</f>
        <v>311467.2</v>
      </c>
      <c r="U218" s="892">
        <f t="shared" ref="U218" si="137">T218*10%</f>
        <v>31146.720000000001</v>
      </c>
      <c r="V218" s="892">
        <f>((T218-U218-W218)-(14*4552))*10%</f>
        <v>21036.313600000001</v>
      </c>
      <c r="W218" s="892">
        <f t="shared" ref="W218" si="138">T218*2%</f>
        <v>6229.3440000000001</v>
      </c>
      <c r="X218" s="892">
        <f t="shared" ref="X218" si="139">T218-U218-V218-W218</f>
        <v>253054.82239999998</v>
      </c>
      <c r="Y218" s="892">
        <f t="shared" ref="Y218" si="140">T218*12</f>
        <v>3737606.4000000004</v>
      </c>
      <c r="Z218" s="892">
        <f t="shared" ref="Z218" si="141">I218</f>
        <v>283152</v>
      </c>
      <c r="AA218" s="892">
        <f t="shared" ref="AA218" si="142">Y218+Z218</f>
        <v>4020758.4000000004</v>
      </c>
      <c r="AB218" s="892">
        <f>(AA218*0.9-(W218*12))*11%-AC218</f>
        <v>208898.21952000004</v>
      </c>
      <c r="AC218" s="892">
        <f>AA218*0.9*5%</f>
        <v>180934.12800000003</v>
      </c>
      <c r="AD218" s="892">
        <f t="shared" ref="AD218" si="143">Y218*3%</f>
        <v>112128.19200000001</v>
      </c>
      <c r="AE218" s="892">
        <f>AA218*5%</f>
        <v>201037.92000000004</v>
      </c>
      <c r="AF218" s="892">
        <f t="shared" ref="AF218" si="144">AA218+AB218+AC218+AD218+AE218</f>
        <v>4723756.8595199995</v>
      </c>
      <c r="AG218" s="892" t="s">
        <v>3</v>
      </c>
    </row>
    <row r="219" spans="1:33" ht="20.25" customHeight="1">
      <c r="B219" s="919" t="s">
        <v>831</v>
      </c>
      <c r="C219" s="920"/>
      <c r="D219" s="921">
        <f>SUM(D218)</f>
        <v>1</v>
      </c>
      <c r="E219" s="921">
        <v>1</v>
      </c>
      <c r="F219" s="921">
        <f t="shared" ref="F219:AF219" si="145">SUM(F218)</f>
        <v>0</v>
      </c>
      <c r="G219" s="921"/>
      <c r="H219" s="921"/>
      <c r="I219" s="924">
        <f t="shared" si="145"/>
        <v>283152</v>
      </c>
      <c r="J219" s="924">
        <f t="shared" si="145"/>
        <v>28315.200000000001</v>
      </c>
      <c r="K219" s="924">
        <f t="shared" si="145"/>
        <v>0</v>
      </c>
      <c r="L219" s="924">
        <f t="shared" si="145"/>
        <v>0</v>
      </c>
      <c r="M219" s="924">
        <f t="shared" si="145"/>
        <v>0</v>
      </c>
      <c r="N219" s="924">
        <f t="shared" si="145"/>
        <v>0</v>
      </c>
      <c r="O219" s="924">
        <f t="shared" si="145"/>
        <v>0</v>
      </c>
      <c r="P219" s="924">
        <f t="shared" si="145"/>
        <v>0</v>
      </c>
      <c r="Q219" s="924">
        <f t="shared" si="145"/>
        <v>0</v>
      </c>
      <c r="R219" s="924">
        <f t="shared" si="145"/>
        <v>0</v>
      </c>
      <c r="S219" s="924">
        <f t="shared" si="145"/>
        <v>28315.200000000001</v>
      </c>
      <c r="T219" s="924">
        <f t="shared" si="145"/>
        <v>311467.2</v>
      </c>
      <c r="U219" s="924">
        <f t="shared" si="145"/>
        <v>31146.720000000001</v>
      </c>
      <c r="V219" s="924">
        <f t="shared" si="145"/>
        <v>21036.313600000001</v>
      </c>
      <c r="W219" s="924">
        <f t="shared" si="145"/>
        <v>6229.3440000000001</v>
      </c>
      <c r="X219" s="924">
        <f t="shared" si="145"/>
        <v>253054.82239999998</v>
      </c>
      <c r="Y219" s="924">
        <f t="shared" si="145"/>
        <v>3737606.4000000004</v>
      </c>
      <c r="Z219" s="924">
        <f t="shared" si="145"/>
        <v>283152</v>
      </c>
      <c r="AA219" s="924">
        <f t="shared" si="145"/>
        <v>4020758.4000000004</v>
      </c>
      <c r="AB219" s="924">
        <f t="shared" si="145"/>
        <v>208898.21952000004</v>
      </c>
      <c r="AC219" s="924">
        <f t="shared" si="145"/>
        <v>180934.12800000003</v>
      </c>
      <c r="AD219" s="924">
        <f t="shared" si="145"/>
        <v>112128.19200000001</v>
      </c>
      <c r="AE219" s="924">
        <f t="shared" si="145"/>
        <v>201037.92000000004</v>
      </c>
      <c r="AF219" s="924">
        <f t="shared" si="145"/>
        <v>4723756.8595199995</v>
      </c>
      <c r="AG219" s="921"/>
    </row>
    <row r="220" spans="1:33" ht="20.25" customHeight="1">
      <c r="A220" s="1544" t="s">
        <v>535</v>
      </c>
      <c r="B220" s="1544"/>
      <c r="C220" s="1544"/>
      <c r="D220" s="1544"/>
      <c r="E220" s="1544"/>
      <c r="F220" s="1544"/>
      <c r="G220" s="1544"/>
      <c r="H220" s="1544"/>
      <c r="I220" s="1544"/>
      <c r="J220" s="1544"/>
      <c r="K220" s="1544"/>
      <c r="L220" s="1544"/>
      <c r="M220" s="1544"/>
      <c r="N220" s="1544"/>
      <c r="O220" s="1544"/>
      <c r="P220" s="1544"/>
      <c r="Q220" s="1544"/>
      <c r="R220" s="1544"/>
      <c r="S220" s="1544"/>
      <c r="T220" s="1544"/>
      <c r="U220" s="1544"/>
      <c r="V220" s="1544"/>
      <c r="W220" s="1544"/>
      <c r="X220" s="1544"/>
      <c r="Y220" s="1544"/>
      <c r="Z220" s="1544"/>
      <c r="AA220" s="1544"/>
      <c r="AB220" s="1544"/>
      <c r="AC220" s="1544"/>
      <c r="AD220" s="1544"/>
      <c r="AE220" s="1544"/>
      <c r="AF220" s="1544"/>
      <c r="AG220" s="1544"/>
    </row>
    <row r="221" spans="1:33" ht="36.75" customHeight="1">
      <c r="A221" s="885">
        <v>147</v>
      </c>
      <c r="B221" s="909" t="s">
        <v>838</v>
      </c>
      <c r="C221" s="909" t="s">
        <v>536</v>
      </c>
      <c r="D221" s="885">
        <v>1</v>
      </c>
      <c r="E221" s="984">
        <v>1</v>
      </c>
      <c r="F221" s="985"/>
      <c r="G221" s="888">
        <v>42719</v>
      </c>
      <c r="H221" s="911">
        <v>23</v>
      </c>
      <c r="I221" s="892">
        <f>E221*17697*H221</f>
        <v>407031</v>
      </c>
      <c r="J221" s="892">
        <f t="shared" ref="J221:J231" si="146">I221*10%</f>
        <v>40703.100000000006</v>
      </c>
      <c r="K221" s="985"/>
      <c r="L221" s="985"/>
      <c r="M221" s="985"/>
      <c r="N221" s="985"/>
      <c r="O221" s="985"/>
      <c r="P221" s="985"/>
      <c r="Q221" s="985"/>
      <c r="R221" s="985"/>
      <c r="S221" s="892">
        <f t="shared" ref="S221" si="147">SUM(J221:R221)</f>
        <v>40703.100000000006</v>
      </c>
      <c r="T221" s="892">
        <f t="shared" ref="T221:T231" si="148">I221+S221</f>
        <v>447734.1</v>
      </c>
      <c r="U221" s="892">
        <f t="shared" ref="U221:U231" si="149">T221*10%</f>
        <v>44773.41</v>
      </c>
      <c r="V221" s="892">
        <f t="shared" ref="V221:V231" si="150">((T221-U221-W221)-(14*4552))*10%</f>
        <v>33027.800799999997</v>
      </c>
      <c r="W221" s="892">
        <f t="shared" ref="W221:W231" si="151">T221*2%</f>
        <v>8954.6819999999989</v>
      </c>
      <c r="X221" s="892">
        <f t="shared" ref="X221:X231" si="152">T221-U221-V221-W221</f>
        <v>360978.2072</v>
      </c>
      <c r="Y221" s="892">
        <f t="shared" ref="Y221:Y231" si="153">T221*12</f>
        <v>5372809.1999999993</v>
      </c>
      <c r="Z221" s="892">
        <f t="shared" ref="Z221:Z231" si="154">I221</f>
        <v>407031</v>
      </c>
      <c r="AA221" s="892">
        <f t="shared" ref="AA221:AA231" si="155">Y221+Z221</f>
        <v>5779840.1999999993</v>
      </c>
      <c r="AB221" s="892">
        <f t="shared" ref="AB221:AB231" si="156">(AA221*0.9-(W221*12))*11%-AC221</f>
        <v>300291.1905599999</v>
      </c>
      <c r="AC221" s="892">
        <f>AA221*0.9*5%</f>
        <v>260092.80900000001</v>
      </c>
      <c r="AD221" s="892">
        <f t="shared" ref="AD221:AD231" si="157">Y221*3%</f>
        <v>161184.27599999998</v>
      </c>
      <c r="AE221" s="892">
        <f t="shared" ref="AE221:AE230" si="158">AA221*5%</f>
        <v>288992.00999999995</v>
      </c>
      <c r="AF221" s="892">
        <f t="shared" ref="AF221:AF231" si="159">AA221+AB221+AC221+AD221+AE221</f>
        <v>6790400.485559999</v>
      </c>
      <c r="AG221" s="892" t="s">
        <v>3</v>
      </c>
    </row>
    <row r="222" spans="1:33">
      <c r="A222" s="885">
        <v>148</v>
      </c>
      <c r="B222" s="932" t="s">
        <v>490</v>
      </c>
      <c r="C222" s="932" t="s">
        <v>833</v>
      </c>
      <c r="D222" s="885">
        <v>1</v>
      </c>
      <c r="E222" s="986">
        <v>1</v>
      </c>
      <c r="F222" s="985"/>
      <c r="G222" s="985"/>
      <c r="H222" s="987">
        <v>15</v>
      </c>
      <c r="I222" s="892">
        <f>17697*H222</f>
        <v>265455</v>
      </c>
      <c r="J222" s="892">
        <f t="shared" si="146"/>
        <v>26545.5</v>
      </c>
      <c r="K222" s="985"/>
      <c r="L222" s="985"/>
      <c r="M222" s="985"/>
      <c r="N222" s="985"/>
      <c r="O222" s="985"/>
      <c r="P222" s="985"/>
      <c r="Q222" s="985"/>
      <c r="R222" s="985"/>
      <c r="S222" s="892">
        <f t="shared" ref="S222:S231" si="160">SUM(J222:R222)</f>
        <v>26545.5</v>
      </c>
      <c r="T222" s="892">
        <f t="shared" si="148"/>
        <v>292000.5</v>
      </c>
      <c r="U222" s="892">
        <f t="shared" si="149"/>
        <v>29200.050000000003</v>
      </c>
      <c r="V222" s="892">
        <f t="shared" si="150"/>
        <v>19323.244000000002</v>
      </c>
      <c r="W222" s="892">
        <f t="shared" si="151"/>
        <v>5840.01</v>
      </c>
      <c r="X222" s="892">
        <f t="shared" si="152"/>
        <v>237637.196</v>
      </c>
      <c r="Y222" s="892">
        <f t="shared" si="153"/>
        <v>3504006</v>
      </c>
      <c r="Z222" s="892">
        <f t="shared" si="154"/>
        <v>265455</v>
      </c>
      <c r="AA222" s="892">
        <f t="shared" si="155"/>
        <v>3769461</v>
      </c>
      <c r="AB222" s="892">
        <f t="shared" si="156"/>
        <v>195842.0808</v>
      </c>
      <c r="AC222" s="892">
        <f t="shared" ref="AC222:AC231" si="161">AA222*0.9*5%</f>
        <v>169625.745</v>
      </c>
      <c r="AD222" s="892">
        <f t="shared" si="157"/>
        <v>105120.18</v>
      </c>
      <c r="AE222" s="892">
        <f t="shared" si="158"/>
        <v>188473.05000000002</v>
      </c>
      <c r="AF222" s="892">
        <f t="shared" si="159"/>
        <v>4428522.0558000002</v>
      </c>
      <c r="AG222" s="892" t="s">
        <v>3</v>
      </c>
    </row>
    <row r="223" spans="1:33">
      <c r="A223" s="885">
        <v>149</v>
      </c>
      <c r="B223" s="915" t="s">
        <v>537</v>
      </c>
      <c r="C223" s="932" t="s">
        <v>494</v>
      </c>
      <c r="D223" s="885">
        <v>1</v>
      </c>
      <c r="E223" s="988">
        <v>1</v>
      </c>
      <c r="F223" s="985"/>
      <c r="G223" s="985"/>
      <c r="H223" s="913">
        <v>15</v>
      </c>
      <c r="I223" s="892">
        <f>17697*H223</f>
        <v>265455</v>
      </c>
      <c r="J223" s="892">
        <f t="shared" si="146"/>
        <v>26545.5</v>
      </c>
      <c r="K223" s="985"/>
      <c r="L223" s="985"/>
      <c r="M223" s="985"/>
      <c r="N223" s="985"/>
      <c r="O223" s="985"/>
      <c r="P223" s="985"/>
      <c r="Q223" s="985"/>
      <c r="R223" s="985"/>
      <c r="S223" s="892">
        <f t="shared" si="160"/>
        <v>26545.5</v>
      </c>
      <c r="T223" s="892">
        <f t="shared" si="148"/>
        <v>292000.5</v>
      </c>
      <c r="U223" s="892">
        <f t="shared" si="149"/>
        <v>29200.050000000003</v>
      </c>
      <c r="V223" s="892">
        <f t="shared" si="150"/>
        <v>19323.244000000002</v>
      </c>
      <c r="W223" s="892">
        <f t="shared" si="151"/>
        <v>5840.01</v>
      </c>
      <c r="X223" s="892">
        <f t="shared" si="152"/>
        <v>237637.196</v>
      </c>
      <c r="Y223" s="892">
        <f t="shared" si="153"/>
        <v>3504006</v>
      </c>
      <c r="Z223" s="892">
        <f t="shared" si="154"/>
        <v>265455</v>
      </c>
      <c r="AA223" s="892">
        <f t="shared" si="155"/>
        <v>3769461</v>
      </c>
      <c r="AB223" s="892">
        <f t="shared" si="156"/>
        <v>195842.0808</v>
      </c>
      <c r="AC223" s="892">
        <f t="shared" si="161"/>
        <v>169625.745</v>
      </c>
      <c r="AD223" s="892">
        <f t="shared" si="157"/>
        <v>105120.18</v>
      </c>
      <c r="AE223" s="892">
        <f t="shared" si="158"/>
        <v>188473.05000000002</v>
      </c>
      <c r="AF223" s="892">
        <f t="shared" si="159"/>
        <v>4428522.0558000002</v>
      </c>
      <c r="AG223" s="892" t="s">
        <v>3</v>
      </c>
    </row>
    <row r="224" spans="1:33">
      <c r="A224" s="885">
        <v>150</v>
      </c>
      <c r="B224" s="915" t="s">
        <v>15</v>
      </c>
      <c r="C224" s="989" t="s">
        <v>839</v>
      </c>
      <c r="D224" s="885">
        <v>1</v>
      </c>
      <c r="E224" s="988">
        <v>1</v>
      </c>
      <c r="F224" s="985"/>
      <c r="G224" s="901">
        <v>45231</v>
      </c>
      <c r="H224" s="913">
        <v>12</v>
      </c>
      <c r="I224" s="892">
        <f t="shared" ref="I224:I231" si="162">E224*17697*H224</f>
        <v>212364</v>
      </c>
      <c r="J224" s="892">
        <f t="shared" si="146"/>
        <v>21236.400000000001</v>
      </c>
      <c r="K224" s="985"/>
      <c r="L224" s="985"/>
      <c r="M224" s="985"/>
      <c r="N224" s="985"/>
      <c r="O224" s="985"/>
      <c r="P224" s="985"/>
      <c r="Q224" s="985"/>
      <c r="R224" s="985"/>
      <c r="S224" s="892">
        <f t="shared" si="160"/>
        <v>21236.400000000001</v>
      </c>
      <c r="T224" s="892">
        <f t="shared" si="148"/>
        <v>233600.4</v>
      </c>
      <c r="U224" s="892">
        <f t="shared" si="149"/>
        <v>23360.04</v>
      </c>
      <c r="V224" s="892">
        <f t="shared" si="150"/>
        <v>14184.035199999998</v>
      </c>
      <c r="W224" s="892">
        <f t="shared" si="151"/>
        <v>4672.0079999999998</v>
      </c>
      <c r="X224" s="892">
        <f t="shared" si="152"/>
        <v>191384.3168</v>
      </c>
      <c r="Y224" s="892">
        <f t="shared" si="153"/>
        <v>2803204.8</v>
      </c>
      <c r="Z224" s="892">
        <f t="shared" si="154"/>
        <v>212364</v>
      </c>
      <c r="AA224" s="892">
        <f t="shared" si="155"/>
        <v>3015568.8</v>
      </c>
      <c r="AB224" s="892">
        <f t="shared" si="156"/>
        <v>156673.66464</v>
      </c>
      <c r="AC224" s="892">
        <f t="shared" si="161"/>
        <v>135700.59599999999</v>
      </c>
      <c r="AD224" s="892">
        <f t="shared" si="157"/>
        <v>84096.143999999986</v>
      </c>
      <c r="AE224" s="892">
        <f t="shared" si="158"/>
        <v>150778.44</v>
      </c>
      <c r="AF224" s="892">
        <f t="shared" si="159"/>
        <v>3542817.6446399996</v>
      </c>
      <c r="AG224" s="892" t="s">
        <v>3</v>
      </c>
    </row>
    <row r="225" spans="1:33" ht="31.5">
      <c r="A225" s="885">
        <v>151</v>
      </c>
      <c r="B225" s="915" t="s">
        <v>53</v>
      </c>
      <c r="C225" s="990" t="s">
        <v>538</v>
      </c>
      <c r="D225" s="885">
        <v>1</v>
      </c>
      <c r="E225" s="988">
        <v>1</v>
      </c>
      <c r="F225" s="985"/>
      <c r="G225" s="888">
        <v>44868</v>
      </c>
      <c r="H225" s="913">
        <v>12</v>
      </c>
      <c r="I225" s="892">
        <f t="shared" si="162"/>
        <v>212364</v>
      </c>
      <c r="J225" s="892">
        <f t="shared" si="146"/>
        <v>21236.400000000001</v>
      </c>
      <c r="K225" s="985"/>
      <c r="L225" s="985"/>
      <c r="M225" s="985"/>
      <c r="N225" s="985"/>
      <c r="O225" s="985"/>
      <c r="P225" s="985"/>
      <c r="Q225" s="985"/>
      <c r="R225" s="985"/>
      <c r="S225" s="892">
        <f t="shared" si="160"/>
        <v>21236.400000000001</v>
      </c>
      <c r="T225" s="892">
        <f t="shared" si="148"/>
        <v>233600.4</v>
      </c>
      <c r="U225" s="892">
        <f t="shared" si="149"/>
        <v>23360.04</v>
      </c>
      <c r="V225" s="892">
        <f t="shared" si="150"/>
        <v>14184.035199999998</v>
      </c>
      <c r="W225" s="892">
        <f t="shared" si="151"/>
        <v>4672.0079999999998</v>
      </c>
      <c r="X225" s="892">
        <f t="shared" si="152"/>
        <v>191384.3168</v>
      </c>
      <c r="Y225" s="892">
        <f t="shared" si="153"/>
        <v>2803204.8</v>
      </c>
      <c r="Z225" s="892">
        <f t="shared" si="154"/>
        <v>212364</v>
      </c>
      <c r="AA225" s="892">
        <f t="shared" si="155"/>
        <v>3015568.8</v>
      </c>
      <c r="AB225" s="892">
        <f t="shared" si="156"/>
        <v>156673.66464</v>
      </c>
      <c r="AC225" s="892">
        <f t="shared" si="161"/>
        <v>135700.59599999999</v>
      </c>
      <c r="AD225" s="892">
        <f t="shared" si="157"/>
        <v>84096.143999999986</v>
      </c>
      <c r="AE225" s="892">
        <f t="shared" si="158"/>
        <v>150778.44</v>
      </c>
      <c r="AF225" s="892">
        <f t="shared" si="159"/>
        <v>3542817.6446399996</v>
      </c>
      <c r="AG225" s="892" t="s">
        <v>3</v>
      </c>
    </row>
    <row r="226" spans="1:33" ht="47.25">
      <c r="A226" s="885">
        <v>152</v>
      </c>
      <c r="B226" s="915" t="s">
        <v>834</v>
      </c>
      <c r="C226" s="912" t="s">
        <v>538</v>
      </c>
      <c r="D226" s="885">
        <v>1</v>
      </c>
      <c r="E226" s="988">
        <v>1</v>
      </c>
      <c r="F226" s="985"/>
      <c r="G226" s="985"/>
      <c r="H226" s="913">
        <v>15</v>
      </c>
      <c r="I226" s="892">
        <f t="shared" si="162"/>
        <v>265455</v>
      </c>
      <c r="J226" s="892">
        <f t="shared" si="146"/>
        <v>26545.5</v>
      </c>
      <c r="K226" s="985"/>
      <c r="L226" s="985"/>
      <c r="M226" s="985"/>
      <c r="N226" s="985"/>
      <c r="O226" s="985"/>
      <c r="P226" s="985"/>
      <c r="Q226" s="985"/>
      <c r="R226" s="985"/>
      <c r="S226" s="892">
        <f t="shared" si="160"/>
        <v>26545.5</v>
      </c>
      <c r="T226" s="892">
        <f t="shared" si="148"/>
        <v>292000.5</v>
      </c>
      <c r="U226" s="892">
        <f t="shared" si="149"/>
        <v>29200.050000000003</v>
      </c>
      <c r="V226" s="892">
        <f t="shared" si="150"/>
        <v>19323.244000000002</v>
      </c>
      <c r="W226" s="892">
        <f t="shared" si="151"/>
        <v>5840.01</v>
      </c>
      <c r="X226" s="892">
        <f t="shared" si="152"/>
        <v>237637.196</v>
      </c>
      <c r="Y226" s="892">
        <f t="shared" si="153"/>
        <v>3504006</v>
      </c>
      <c r="Z226" s="892">
        <f t="shared" si="154"/>
        <v>265455</v>
      </c>
      <c r="AA226" s="892">
        <f t="shared" si="155"/>
        <v>3769461</v>
      </c>
      <c r="AB226" s="892">
        <f t="shared" si="156"/>
        <v>195842.0808</v>
      </c>
      <c r="AC226" s="892">
        <f t="shared" si="161"/>
        <v>169625.745</v>
      </c>
      <c r="AD226" s="892">
        <f t="shared" si="157"/>
        <v>105120.18</v>
      </c>
      <c r="AE226" s="892">
        <f t="shared" si="158"/>
        <v>188473.05000000002</v>
      </c>
      <c r="AF226" s="892">
        <f t="shared" si="159"/>
        <v>4428522.0558000002</v>
      </c>
      <c r="AG226" s="892" t="s">
        <v>3</v>
      </c>
    </row>
    <row r="227" spans="1:33">
      <c r="A227" s="885">
        <v>153</v>
      </c>
      <c r="B227" s="909" t="s">
        <v>539</v>
      </c>
      <c r="C227" s="914" t="s">
        <v>540</v>
      </c>
      <c r="D227" s="885">
        <v>1</v>
      </c>
      <c r="E227" s="984">
        <v>1</v>
      </c>
      <c r="F227" s="985"/>
      <c r="G227" s="888">
        <v>44986</v>
      </c>
      <c r="H227" s="911">
        <v>13</v>
      </c>
      <c r="I227" s="892">
        <f t="shared" si="162"/>
        <v>230061</v>
      </c>
      <c r="J227" s="892">
        <f t="shared" si="146"/>
        <v>23006.100000000002</v>
      </c>
      <c r="K227" s="985"/>
      <c r="L227" s="985"/>
      <c r="M227" s="985"/>
      <c r="N227" s="985"/>
      <c r="O227" s="985"/>
      <c r="P227" s="985"/>
      <c r="Q227" s="985"/>
      <c r="R227" s="939">
        <f>17697*25%</f>
        <v>4424.25</v>
      </c>
      <c r="S227" s="892">
        <f t="shared" si="160"/>
        <v>27430.350000000002</v>
      </c>
      <c r="T227" s="892">
        <f t="shared" si="148"/>
        <v>257491.35</v>
      </c>
      <c r="U227" s="892">
        <f t="shared" si="149"/>
        <v>25749.135000000002</v>
      </c>
      <c r="V227" s="892">
        <f t="shared" si="150"/>
        <v>16286.438800000002</v>
      </c>
      <c r="W227" s="892">
        <f t="shared" si="151"/>
        <v>5149.8270000000002</v>
      </c>
      <c r="X227" s="892">
        <f t="shared" si="152"/>
        <v>210305.9492</v>
      </c>
      <c r="Y227" s="892">
        <f t="shared" si="153"/>
        <v>3089896.2</v>
      </c>
      <c r="Z227" s="892">
        <f t="shared" si="154"/>
        <v>230061</v>
      </c>
      <c r="AA227" s="892">
        <f t="shared" si="155"/>
        <v>3319957.2</v>
      </c>
      <c r="AB227" s="892">
        <f t="shared" si="156"/>
        <v>172479.91716000001</v>
      </c>
      <c r="AC227" s="892">
        <f t="shared" si="161"/>
        <v>149398.07400000002</v>
      </c>
      <c r="AD227" s="892">
        <f t="shared" si="157"/>
        <v>92696.885999999999</v>
      </c>
      <c r="AE227" s="892">
        <f t="shared" si="158"/>
        <v>165997.86000000002</v>
      </c>
      <c r="AF227" s="892">
        <f t="shared" si="159"/>
        <v>3900529.9371600002</v>
      </c>
      <c r="AG227" s="892" t="s">
        <v>3</v>
      </c>
    </row>
    <row r="228" spans="1:33" ht="31.5">
      <c r="A228" s="885">
        <v>154</v>
      </c>
      <c r="B228" s="909" t="s">
        <v>14</v>
      </c>
      <c r="C228" s="909" t="s">
        <v>541</v>
      </c>
      <c r="D228" s="1551">
        <v>4</v>
      </c>
      <c r="E228" s="984">
        <v>1</v>
      </c>
      <c r="F228" s="985"/>
      <c r="G228" s="888">
        <v>43468</v>
      </c>
      <c r="H228" s="911">
        <v>10</v>
      </c>
      <c r="I228" s="892">
        <f t="shared" si="162"/>
        <v>176970</v>
      </c>
      <c r="J228" s="892">
        <f t="shared" si="146"/>
        <v>17697</v>
      </c>
      <c r="K228" s="985"/>
      <c r="L228" s="985"/>
      <c r="M228" s="985"/>
      <c r="N228" s="985"/>
      <c r="O228" s="985"/>
      <c r="P228" s="939">
        <f>17697*30%</f>
        <v>5309.0999999999995</v>
      </c>
      <c r="Q228" s="985"/>
      <c r="R228" s="985"/>
      <c r="S228" s="892">
        <f t="shared" si="160"/>
        <v>23006.1</v>
      </c>
      <c r="T228" s="892">
        <f t="shared" si="148"/>
        <v>199976.1</v>
      </c>
      <c r="U228" s="892">
        <f t="shared" si="149"/>
        <v>19997.61</v>
      </c>
      <c r="V228" s="892">
        <f t="shared" si="150"/>
        <v>11225.096799999999</v>
      </c>
      <c r="W228" s="892">
        <f t="shared" si="151"/>
        <v>3999.5220000000004</v>
      </c>
      <c r="X228" s="892">
        <f t="shared" si="152"/>
        <v>164753.87119999999</v>
      </c>
      <c r="Y228" s="892">
        <f t="shared" si="153"/>
        <v>2399713.2000000002</v>
      </c>
      <c r="Z228" s="892">
        <f t="shared" si="154"/>
        <v>176970</v>
      </c>
      <c r="AA228" s="892">
        <f t="shared" si="155"/>
        <v>2576683.2000000002</v>
      </c>
      <c r="AB228" s="892">
        <f t="shared" si="156"/>
        <v>133861.52376000001</v>
      </c>
      <c r="AC228" s="892">
        <f t="shared" si="161"/>
        <v>115950.74400000002</v>
      </c>
      <c r="AD228" s="892">
        <f t="shared" si="157"/>
        <v>71991.396000000008</v>
      </c>
      <c r="AE228" s="892">
        <f t="shared" si="158"/>
        <v>128834.16000000002</v>
      </c>
      <c r="AF228" s="892">
        <f t="shared" si="159"/>
        <v>3027321.0237600007</v>
      </c>
      <c r="AG228" s="892" t="s">
        <v>3</v>
      </c>
    </row>
    <row r="229" spans="1:33" ht="31.5">
      <c r="A229" s="885">
        <v>155</v>
      </c>
      <c r="B229" s="909" t="s">
        <v>14</v>
      </c>
      <c r="C229" s="909" t="s">
        <v>542</v>
      </c>
      <c r="D229" s="1566"/>
      <c r="E229" s="984">
        <v>1.5</v>
      </c>
      <c r="F229" s="918"/>
      <c r="G229" s="888">
        <v>43332</v>
      </c>
      <c r="H229" s="911">
        <v>10</v>
      </c>
      <c r="I229" s="892">
        <f t="shared" si="162"/>
        <v>265455</v>
      </c>
      <c r="J229" s="892">
        <f t="shared" si="146"/>
        <v>26545.5</v>
      </c>
      <c r="K229" s="924"/>
      <c r="L229" s="924"/>
      <c r="M229" s="924"/>
      <c r="N229" s="924"/>
      <c r="O229" s="924"/>
      <c r="P229" s="939">
        <f t="shared" ref="P229:P230" si="163">17697*30%</f>
        <v>5309.0999999999995</v>
      </c>
      <c r="Q229" s="924"/>
      <c r="R229" s="924"/>
      <c r="S229" s="892">
        <f t="shared" si="160"/>
        <v>31854.6</v>
      </c>
      <c r="T229" s="892">
        <f t="shared" si="148"/>
        <v>297309.59999999998</v>
      </c>
      <c r="U229" s="892">
        <f t="shared" si="149"/>
        <v>29730.959999999999</v>
      </c>
      <c r="V229" s="892">
        <f t="shared" si="150"/>
        <v>19790.444799999997</v>
      </c>
      <c r="W229" s="892">
        <f t="shared" si="151"/>
        <v>5946.192</v>
      </c>
      <c r="X229" s="892">
        <f t="shared" si="152"/>
        <v>241842.00319999995</v>
      </c>
      <c r="Y229" s="892">
        <f t="shared" si="153"/>
        <v>3567715.1999999997</v>
      </c>
      <c r="Z229" s="892">
        <f t="shared" si="154"/>
        <v>265455</v>
      </c>
      <c r="AA229" s="892">
        <f t="shared" si="155"/>
        <v>3833170.1999999997</v>
      </c>
      <c r="AB229" s="892">
        <f t="shared" si="156"/>
        <v>199142.21736000001</v>
      </c>
      <c r="AC229" s="892">
        <f t="shared" si="161"/>
        <v>172492.65899999999</v>
      </c>
      <c r="AD229" s="892">
        <f t="shared" si="157"/>
        <v>107031.45599999999</v>
      </c>
      <c r="AE229" s="892">
        <f t="shared" si="158"/>
        <v>191658.51</v>
      </c>
      <c r="AF229" s="892">
        <f t="shared" si="159"/>
        <v>4503495.0423600003</v>
      </c>
      <c r="AG229" s="892" t="s">
        <v>3</v>
      </c>
    </row>
    <row r="230" spans="1:33" ht="31.5">
      <c r="A230" s="885">
        <v>156</v>
      </c>
      <c r="B230" s="915" t="s">
        <v>14</v>
      </c>
      <c r="C230" s="966" t="s">
        <v>2359</v>
      </c>
      <c r="D230" s="1566"/>
      <c r="E230" s="988">
        <v>1.5</v>
      </c>
      <c r="F230" s="887"/>
      <c r="G230" s="888">
        <v>44811</v>
      </c>
      <c r="H230" s="913">
        <v>10</v>
      </c>
      <c r="I230" s="892">
        <f t="shared" si="162"/>
        <v>265455</v>
      </c>
      <c r="J230" s="892">
        <f t="shared" si="146"/>
        <v>26545.5</v>
      </c>
      <c r="K230" s="887"/>
      <c r="L230" s="887"/>
      <c r="M230" s="887"/>
      <c r="N230" s="887"/>
      <c r="O230" s="887"/>
      <c r="P230" s="939">
        <f t="shared" si="163"/>
        <v>5309.0999999999995</v>
      </c>
      <c r="Q230" s="923"/>
      <c r="R230" s="923"/>
      <c r="S230" s="892">
        <f t="shared" si="160"/>
        <v>31854.6</v>
      </c>
      <c r="T230" s="892">
        <f t="shared" si="148"/>
        <v>297309.59999999998</v>
      </c>
      <c r="U230" s="892">
        <f t="shared" si="149"/>
        <v>29730.959999999999</v>
      </c>
      <c r="V230" s="892">
        <f t="shared" si="150"/>
        <v>19790.444799999997</v>
      </c>
      <c r="W230" s="892">
        <f t="shared" si="151"/>
        <v>5946.192</v>
      </c>
      <c r="X230" s="892">
        <f t="shared" si="152"/>
        <v>241842.00319999995</v>
      </c>
      <c r="Y230" s="892">
        <f t="shared" si="153"/>
        <v>3567715.1999999997</v>
      </c>
      <c r="Z230" s="892">
        <f t="shared" si="154"/>
        <v>265455</v>
      </c>
      <c r="AA230" s="892">
        <f t="shared" si="155"/>
        <v>3833170.1999999997</v>
      </c>
      <c r="AB230" s="892">
        <f t="shared" si="156"/>
        <v>199142.21736000001</v>
      </c>
      <c r="AC230" s="892">
        <f t="shared" si="161"/>
        <v>172492.65899999999</v>
      </c>
      <c r="AD230" s="892">
        <f t="shared" si="157"/>
        <v>107031.45599999999</v>
      </c>
      <c r="AE230" s="892">
        <f t="shared" si="158"/>
        <v>191658.51</v>
      </c>
      <c r="AF230" s="892">
        <f t="shared" si="159"/>
        <v>4503495.0423600003</v>
      </c>
      <c r="AG230" s="892" t="s">
        <v>3</v>
      </c>
    </row>
    <row r="231" spans="1:33" ht="19.5" customHeight="1">
      <c r="A231" s="885">
        <v>158</v>
      </c>
      <c r="B231" s="915" t="s">
        <v>543</v>
      </c>
      <c r="C231" s="915" t="s">
        <v>544</v>
      </c>
      <c r="D231" s="918">
        <v>1</v>
      </c>
      <c r="E231" s="988">
        <v>1</v>
      </c>
      <c r="F231" s="887"/>
      <c r="G231" s="888">
        <v>44987</v>
      </c>
      <c r="H231" s="913">
        <v>12</v>
      </c>
      <c r="I231" s="892">
        <f t="shared" si="162"/>
        <v>212364</v>
      </c>
      <c r="J231" s="892">
        <f t="shared" si="146"/>
        <v>21236.400000000001</v>
      </c>
      <c r="K231" s="887"/>
      <c r="L231" s="887"/>
      <c r="M231" s="887"/>
      <c r="N231" s="887"/>
      <c r="O231" s="887"/>
      <c r="P231" s="939">
        <f>17697*30%</f>
        <v>5309.0999999999995</v>
      </c>
      <c r="Q231" s="923"/>
      <c r="R231" s="923"/>
      <c r="S231" s="892">
        <f t="shared" si="160"/>
        <v>26545.5</v>
      </c>
      <c r="T231" s="892">
        <f t="shared" si="148"/>
        <v>238909.5</v>
      </c>
      <c r="U231" s="892">
        <f t="shared" si="149"/>
        <v>23890.95</v>
      </c>
      <c r="V231" s="892">
        <f t="shared" si="150"/>
        <v>14651.235999999999</v>
      </c>
      <c r="W231" s="892">
        <f t="shared" si="151"/>
        <v>4778.1900000000005</v>
      </c>
      <c r="X231" s="892">
        <f t="shared" si="152"/>
        <v>195589.12399999998</v>
      </c>
      <c r="Y231" s="892">
        <f t="shared" si="153"/>
        <v>2866914</v>
      </c>
      <c r="Z231" s="892">
        <f t="shared" si="154"/>
        <v>212364</v>
      </c>
      <c r="AA231" s="892">
        <f t="shared" si="155"/>
        <v>3079278</v>
      </c>
      <c r="AB231" s="892">
        <f t="shared" si="156"/>
        <v>159973.80120000005</v>
      </c>
      <c r="AC231" s="892">
        <f t="shared" si="161"/>
        <v>138567.51</v>
      </c>
      <c r="AD231" s="892">
        <f t="shared" si="157"/>
        <v>86007.42</v>
      </c>
      <c r="AE231" s="892">
        <f>AA231*5%-265.45</f>
        <v>153698.44999999998</v>
      </c>
      <c r="AF231" s="892">
        <f t="shared" si="159"/>
        <v>3617525.1812000005</v>
      </c>
      <c r="AG231" s="892" t="s">
        <v>3</v>
      </c>
    </row>
    <row r="232" spans="1:33" ht="24" customHeight="1">
      <c r="B232" s="919" t="s">
        <v>835</v>
      </c>
      <c r="C232" s="920"/>
      <c r="D232" s="921">
        <f>SUM(D221:D231)</f>
        <v>12</v>
      </c>
      <c r="E232" s="921">
        <f>SUM(E221:E231)</f>
        <v>12</v>
      </c>
      <c r="F232" s="921">
        <f>SUM(F221:F231)</f>
        <v>0</v>
      </c>
      <c r="G232" s="921"/>
      <c r="H232" s="921"/>
      <c r="I232" s="924">
        <f t="shared" ref="I232:AF232" si="164">SUM(I221:I231)</f>
        <v>2778429</v>
      </c>
      <c r="J232" s="924">
        <f t="shared" si="164"/>
        <v>277842.90000000002</v>
      </c>
      <c r="K232" s="924">
        <f t="shared" si="164"/>
        <v>0</v>
      </c>
      <c r="L232" s="924">
        <f t="shared" si="164"/>
        <v>0</v>
      </c>
      <c r="M232" s="924">
        <f t="shared" si="164"/>
        <v>0</v>
      </c>
      <c r="N232" s="924">
        <f t="shared" si="164"/>
        <v>0</v>
      </c>
      <c r="O232" s="924">
        <f t="shared" si="164"/>
        <v>0</v>
      </c>
      <c r="P232" s="924">
        <f t="shared" si="164"/>
        <v>21236.399999999998</v>
      </c>
      <c r="Q232" s="924">
        <f t="shared" si="164"/>
        <v>0</v>
      </c>
      <c r="R232" s="924">
        <f t="shared" si="164"/>
        <v>4424.25</v>
      </c>
      <c r="S232" s="924">
        <f t="shared" si="164"/>
        <v>303503.55</v>
      </c>
      <c r="T232" s="924">
        <f t="shared" si="164"/>
        <v>3081932.5500000003</v>
      </c>
      <c r="U232" s="924">
        <f t="shared" si="164"/>
        <v>308193.255</v>
      </c>
      <c r="V232" s="924">
        <f t="shared" si="164"/>
        <v>201109.26440000001</v>
      </c>
      <c r="W232" s="924">
        <f t="shared" si="164"/>
        <v>61638.651000000005</v>
      </c>
      <c r="X232" s="924">
        <f t="shared" si="164"/>
        <v>2510991.3795999996</v>
      </c>
      <c r="Y232" s="924">
        <f t="shared" si="164"/>
        <v>36983190.600000001</v>
      </c>
      <c r="Z232" s="924">
        <f t="shared" si="164"/>
        <v>2778429</v>
      </c>
      <c r="AA232" s="924">
        <f t="shared" si="164"/>
        <v>39761619.600000001</v>
      </c>
      <c r="AB232" s="924">
        <f t="shared" si="164"/>
        <v>2065764.4390799999</v>
      </c>
      <c r="AC232" s="924">
        <f t="shared" si="164"/>
        <v>1789272.882</v>
      </c>
      <c r="AD232" s="924">
        <f t="shared" si="164"/>
        <v>1109495.7179999999</v>
      </c>
      <c r="AE232" s="924">
        <f t="shared" si="164"/>
        <v>1987815.53</v>
      </c>
      <c r="AF232" s="924">
        <f t="shared" si="164"/>
        <v>46713968.169079997</v>
      </c>
      <c r="AG232" s="921"/>
    </row>
    <row r="233" spans="1:33" ht="26.25" customHeight="1">
      <c r="B233" s="919" t="s">
        <v>840</v>
      </c>
      <c r="C233" s="920"/>
      <c r="D233" s="921">
        <f t="shared" ref="D233:AF233" si="165">D232+D219+D216+D172+D168+D128+D123+D37</f>
        <v>149</v>
      </c>
      <c r="E233" s="921">
        <f t="shared" si="165"/>
        <v>149</v>
      </c>
      <c r="F233" s="921">
        <f t="shared" si="165"/>
        <v>0</v>
      </c>
      <c r="G233" s="921">
        <f t="shared" si="165"/>
        <v>0</v>
      </c>
      <c r="H233" s="921">
        <f t="shared" si="165"/>
        <v>0</v>
      </c>
      <c r="I233" s="924">
        <f t="shared" si="165"/>
        <v>53931607.5</v>
      </c>
      <c r="J233" s="924">
        <f t="shared" si="165"/>
        <v>5393160.7499999991</v>
      </c>
      <c r="K233" s="924">
        <f t="shared" si="165"/>
        <v>182080</v>
      </c>
      <c r="L233" s="924">
        <f t="shared" si="165"/>
        <v>0</v>
      </c>
      <c r="M233" s="924">
        <f t="shared" si="165"/>
        <v>962716.8</v>
      </c>
      <c r="N233" s="924">
        <f t="shared" si="165"/>
        <v>54860.700000000004</v>
      </c>
      <c r="O233" s="924">
        <f t="shared" si="165"/>
        <v>6193.95</v>
      </c>
      <c r="P233" s="924">
        <f t="shared" si="165"/>
        <v>122109.3</v>
      </c>
      <c r="Q233" s="924">
        <f t="shared" si="165"/>
        <v>24775.800000000003</v>
      </c>
      <c r="R233" s="924">
        <f t="shared" si="165"/>
        <v>17697</v>
      </c>
      <c r="S233" s="924">
        <f t="shared" si="165"/>
        <v>6763594.3000000007</v>
      </c>
      <c r="T233" s="924">
        <f t="shared" si="165"/>
        <v>60695201.799999975</v>
      </c>
      <c r="U233" s="924">
        <f t="shared" si="165"/>
        <v>6069520.1799999997</v>
      </c>
      <c r="V233" s="924">
        <f t="shared" si="165"/>
        <v>4169088.9679999985</v>
      </c>
      <c r="W233" s="924">
        <f t="shared" si="165"/>
        <v>1208839.9400000004</v>
      </c>
      <c r="X233" s="924">
        <f t="shared" si="165"/>
        <v>49247752.71199999</v>
      </c>
      <c r="Y233" s="924">
        <f t="shared" si="165"/>
        <v>728342421.60000014</v>
      </c>
      <c r="Z233" s="924">
        <f t="shared" si="165"/>
        <v>56878158</v>
      </c>
      <c r="AA233" s="924">
        <f t="shared" si="165"/>
        <v>785220579.60000014</v>
      </c>
      <c r="AB233" s="924">
        <f t="shared" si="165"/>
        <v>40806242.577600017</v>
      </c>
      <c r="AC233" s="924">
        <f t="shared" si="165"/>
        <v>35334926.082000002</v>
      </c>
      <c r="AD233" s="924">
        <f t="shared" si="165"/>
        <v>21850272.647999998</v>
      </c>
      <c r="AE233" s="924">
        <f t="shared" si="165"/>
        <v>39260763.530000001</v>
      </c>
      <c r="AF233" s="924">
        <f t="shared" si="165"/>
        <v>922472784.43760049</v>
      </c>
      <c r="AG233" s="921"/>
    </row>
    <row r="234" spans="1:33">
      <c r="A234" s="872"/>
      <c r="B234" s="991"/>
      <c r="C234" s="873"/>
      <c r="D234" s="880"/>
      <c r="E234" s="880"/>
      <c r="F234" s="880"/>
      <c r="G234" s="880"/>
      <c r="H234" s="880"/>
      <c r="I234" s="992"/>
      <c r="J234" s="992"/>
      <c r="K234" s="992"/>
      <c r="L234" s="992"/>
      <c r="M234" s="992"/>
      <c r="N234" s="992"/>
      <c r="O234" s="992"/>
      <c r="P234" s="992"/>
      <c r="Q234" s="992"/>
      <c r="R234" s="992"/>
      <c r="S234" s="992"/>
      <c r="T234" s="992"/>
      <c r="U234" s="992"/>
      <c r="V234" s="992"/>
      <c r="W234" s="992"/>
      <c r="X234" s="992"/>
      <c r="Y234" s="992"/>
      <c r="Z234" s="992"/>
      <c r="AA234" s="992"/>
      <c r="AB234" s="992"/>
      <c r="AC234" s="992"/>
      <c r="AD234" s="992"/>
      <c r="AE234" s="992"/>
      <c r="AF234" s="992"/>
      <c r="AG234" s="880"/>
    </row>
    <row r="235" spans="1:33">
      <c r="A235" s="872"/>
      <c r="B235" s="873"/>
      <c r="C235" s="873"/>
      <c r="D235" s="881"/>
      <c r="E235" s="872"/>
      <c r="F235" s="881"/>
      <c r="G235" s="881"/>
      <c r="H235" s="881"/>
      <c r="I235" s="881"/>
      <c r="J235" s="881"/>
      <c r="K235" s="881"/>
      <c r="L235" s="881"/>
      <c r="M235" s="881"/>
      <c r="N235" s="881"/>
      <c r="O235" s="881"/>
      <c r="P235" s="881"/>
      <c r="AF235" s="993"/>
    </row>
    <row r="236" spans="1:33" s="995" customFormat="1">
      <c r="A236" s="974"/>
      <c r="B236" s="994" t="s">
        <v>2360</v>
      </c>
      <c r="C236" s="876"/>
      <c r="D236" s="994" t="s">
        <v>841</v>
      </c>
      <c r="E236" s="974"/>
      <c r="F236" s="876"/>
      <c r="G236" s="876"/>
      <c r="H236" s="876"/>
      <c r="I236" s="876"/>
      <c r="J236" s="876"/>
      <c r="K236" s="876"/>
      <c r="L236" s="876"/>
      <c r="M236" s="876"/>
      <c r="N236" s="876"/>
      <c r="O236" s="876"/>
      <c r="P236" s="876"/>
      <c r="Q236" s="870"/>
      <c r="R236" s="870"/>
      <c r="S236" s="870"/>
      <c r="T236" s="870"/>
      <c r="U236" s="870"/>
      <c r="V236" s="870"/>
      <c r="W236" s="870"/>
      <c r="X236" s="870"/>
      <c r="Y236" s="870"/>
      <c r="Z236" s="870"/>
      <c r="AA236" s="870"/>
      <c r="AB236" s="870"/>
      <c r="AC236" s="870"/>
      <c r="AD236" s="870"/>
      <c r="AE236" s="870"/>
      <c r="AF236" s="870"/>
      <c r="AG236" s="870"/>
    </row>
    <row r="237" spans="1:33" s="995" customFormat="1">
      <c r="A237" s="974"/>
      <c r="B237" s="994"/>
      <c r="C237" s="876"/>
      <c r="E237" s="974"/>
      <c r="F237" s="876"/>
      <c r="G237" s="876"/>
      <c r="H237" s="876"/>
      <c r="I237" s="876"/>
      <c r="J237" s="876"/>
      <c r="K237" s="876"/>
      <c r="L237" s="876"/>
      <c r="M237" s="876"/>
      <c r="N237" s="876"/>
      <c r="O237" s="876"/>
      <c r="P237" s="876"/>
      <c r="Q237" s="870"/>
      <c r="R237" s="870"/>
      <c r="S237" s="870"/>
      <c r="T237" s="870"/>
      <c r="U237" s="870"/>
      <c r="V237" s="870"/>
      <c r="W237" s="870"/>
      <c r="X237" s="870"/>
      <c r="Y237" s="870"/>
      <c r="Z237" s="870"/>
      <c r="AA237" s="870"/>
      <c r="AB237" s="870"/>
      <c r="AC237" s="870"/>
      <c r="AD237" s="870"/>
      <c r="AE237" s="870"/>
      <c r="AF237" s="993"/>
      <c r="AG237" s="870"/>
    </row>
    <row r="238" spans="1:33" s="995" customFormat="1" ht="9.75" customHeight="1">
      <c r="A238" s="974"/>
      <c r="B238" s="994"/>
      <c r="C238" s="876"/>
      <c r="E238" s="974"/>
      <c r="F238" s="876"/>
      <c r="G238" s="876"/>
      <c r="H238" s="876"/>
      <c r="I238" s="876"/>
      <c r="J238" s="876"/>
      <c r="K238" s="876"/>
      <c r="L238" s="876"/>
      <c r="M238" s="876"/>
      <c r="N238" s="876"/>
      <c r="O238" s="876"/>
      <c r="P238" s="876"/>
      <c r="Q238" s="870"/>
      <c r="R238" s="870"/>
      <c r="S238" s="870"/>
      <c r="T238" s="870"/>
      <c r="U238" s="870"/>
      <c r="V238" s="870"/>
      <c r="W238" s="870"/>
      <c r="X238" s="870"/>
      <c r="Y238" s="870"/>
      <c r="Z238" s="870"/>
      <c r="AA238" s="870"/>
      <c r="AB238" s="870"/>
      <c r="AC238" s="870"/>
      <c r="AD238" s="870"/>
      <c r="AE238" s="870"/>
      <c r="AF238" s="870"/>
      <c r="AG238" s="870"/>
    </row>
    <row r="239" spans="1:33" s="995" customFormat="1">
      <c r="A239" s="974"/>
      <c r="B239" s="994" t="s">
        <v>54</v>
      </c>
      <c r="C239" s="876"/>
      <c r="D239" s="994" t="s">
        <v>842</v>
      </c>
      <c r="E239" s="974"/>
      <c r="F239" s="876"/>
      <c r="G239" s="876"/>
      <c r="H239" s="876"/>
      <c r="I239" s="876"/>
      <c r="J239" s="876"/>
      <c r="K239" s="876"/>
      <c r="L239" s="876"/>
      <c r="M239" s="876"/>
      <c r="N239" s="876"/>
      <c r="O239" s="876"/>
      <c r="P239" s="876"/>
      <c r="Q239" s="870"/>
      <c r="R239" s="870"/>
      <c r="S239" s="870"/>
      <c r="T239" s="870"/>
      <c r="U239" s="870"/>
      <c r="V239" s="870"/>
      <c r="W239" s="870"/>
      <c r="X239" s="870"/>
      <c r="Y239" s="870"/>
      <c r="Z239" s="870"/>
      <c r="AA239" s="870"/>
      <c r="AB239" s="870"/>
      <c r="AC239" s="870"/>
      <c r="AD239" s="870"/>
      <c r="AE239" s="870"/>
      <c r="AF239" s="870"/>
      <c r="AG239" s="870"/>
    </row>
    <row r="240" spans="1:33" s="995" customFormat="1">
      <c r="A240" s="974"/>
      <c r="B240" s="994"/>
      <c r="C240" s="876"/>
      <c r="E240" s="974"/>
      <c r="F240" s="876"/>
      <c r="G240" s="876"/>
      <c r="H240" s="876"/>
      <c r="I240" s="876"/>
      <c r="J240" s="876"/>
      <c r="K240" s="876"/>
      <c r="L240" s="876"/>
      <c r="M240" s="876"/>
      <c r="N240" s="876"/>
      <c r="O240" s="876"/>
      <c r="P240" s="876"/>
      <c r="Q240" s="870"/>
      <c r="R240" s="870"/>
      <c r="S240" s="870"/>
      <c r="T240" s="870"/>
      <c r="U240" s="870"/>
      <c r="V240" s="870"/>
      <c r="W240" s="870"/>
      <c r="X240" s="870"/>
      <c r="Y240" s="870"/>
      <c r="Z240" s="870"/>
      <c r="AA240" s="870"/>
      <c r="AB240" s="870"/>
      <c r="AC240" s="870"/>
      <c r="AD240" s="870"/>
      <c r="AE240" s="870"/>
      <c r="AF240" s="870"/>
      <c r="AG240" s="870"/>
    </row>
    <row r="241" spans="1:33" s="995" customFormat="1" ht="12" customHeight="1">
      <c r="A241" s="974"/>
      <c r="C241" s="876"/>
      <c r="E241" s="974"/>
      <c r="F241" s="876"/>
      <c r="G241" s="876"/>
      <c r="H241" s="876"/>
      <c r="I241" s="876"/>
      <c r="J241" s="876"/>
      <c r="K241" s="876"/>
      <c r="L241" s="876"/>
      <c r="M241" s="876"/>
      <c r="N241" s="876"/>
      <c r="O241" s="876"/>
      <c r="P241" s="876"/>
      <c r="Q241" s="870"/>
      <c r="R241" s="870"/>
      <c r="S241" s="870"/>
      <c r="T241" s="870"/>
      <c r="U241" s="870"/>
      <c r="V241" s="870"/>
      <c r="W241" s="870"/>
      <c r="X241" s="870"/>
      <c r="Y241" s="870"/>
      <c r="Z241" s="870"/>
      <c r="AA241" s="870"/>
      <c r="AB241" s="870"/>
      <c r="AC241" s="870"/>
      <c r="AD241" s="870"/>
      <c r="AE241" s="870"/>
      <c r="AF241" s="870"/>
      <c r="AG241" s="870"/>
    </row>
    <row r="242" spans="1:33" s="995" customFormat="1">
      <c r="A242" s="974"/>
      <c r="B242" s="994" t="s">
        <v>843</v>
      </c>
      <c r="C242" s="876"/>
      <c r="D242" s="994" t="s">
        <v>844</v>
      </c>
      <c r="E242" s="974"/>
      <c r="F242" s="876"/>
      <c r="G242" s="876"/>
      <c r="H242" s="876"/>
      <c r="I242" s="876"/>
      <c r="J242" s="876"/>
      <c r="K242" s="876"/>
      <c r="L242" s="876"/>
      <c r="M242" s="876"/>
      <c r="N242" s="876"/>
      <c r="O242" s="876"/>
      <c r="P242" s="876"/>
      <c r="Q242" s="870"/>
      <c r="R242" s="870"/>
      <c r="S242" s="870"/>
      <c r="T242" s="870"/>
      <c r="U242" s="870"/>
      <c r="V242" s="870"/>
      <c r="W242" s="870"/>
      <c r="X242" s="870"/>
      <c r="Y242" s="870"/>
      <c r="Z242" s="870"/>
      <c r="AA242" s="870"/>
      <c r="AB242" s="870"/>
      <c r="AC242" s="870"/>
      <c r="AD242" s="870"/>
      <c r="AE242" s="870"/>
      <c r="AF242" s="870"/>
      <c r="AG242" s="870"/>
    </row>
    <row r="243" spans="1:33" s="995" customFormat="1">
      <c r="A243" s="974"/>
      <c r="D243" s="876"/>
      <c r="E243" s="974"/>
      <c r="F243" s="876"/>
      <c r="G243" s="876"/>
      <c r="H243" s="876"/>
      <c r="I243" s="876"/>
      <c r="J243" s="876"/>
      <c r="K243" s="876"/>
      <c r="L243" s="876"/>
      <c r="M243" s="876"/>
      <c r="N243" s="876"/>
      <c r="O243" s="876"/>
      <c r="P243" s="876"/>
      <c r="Q243" s="870"/>
      <c r="R243" s="870"/>
      <c r="S243" s="870"/>
      <c r="T243" s="870"/>
      <c r="U243" s="870"/>
      <c r="V243" s="870"/>
      <c r="W243" s="870"/>
      <c r="X243" s="870"/>
      <c r="Y243" s="870"/>
      <c r="Z243" s="870"/>
      <c r="AA243" s="870"/>
      <c r="AB243" s="870"/>
      <c r="AC243" s="870"/>
      <c r="AD243" s="870"/>
      <c r="AE243" s="870"/>
      <c r="AF243" s="870"/>
      <c r="AG243" s="870"/>
    </row>
    <row r="244" spans="1:33" s="995" customFormat="1">
      <c r="A244" s="974"/>
      <c r="D244" s="876"/>
      <c r="E244" s="974"/>
      <c r="F244" s="876"/>
      <c r="G244" s="876"/>
      <c r="H244" s="876"/>
      <c r="I244" s="876"/>
      <c r="J244" s="876"/>
      <c r="K244" s="876"/>
      <c r="L244" s="876"/>
      <c r="M244" s="876"/>
      <c r="N244" s="876"/>
      <c r="O244" s="876"/>
      <c r="P244" s="876"/>
      <c r="Q244" s="870"/>
      <c r="R244" s="870"/>
      <c r="S244" s="870"/>
      <c r="T244" s="870"/>
      <c r="U244" s="870"/>
      <c r="V244" s="870"/>
      <c r="W244" s="870"/>
      <c r="X244" s="870"/>
      <c r="Y244" s="870"/>
      <c r="Z244" s="870"/>
      <c r="AA244" s="870"/>
      <c r="AB244" s="870"/>
      <c r="AC244" s="870"/>
      <c r="AD244" s="870"/>
      <c r="AE244" s="870"/>
      <c r="AF244" s="870"/>
      <c r="AG244" s="870"/>
    </row>
    <row r="245" spans="1:33" s="995" customFormat="1">
      <c r="A245" s="974"/>
      <c r="D245" s="876"/>
      <c r="E245" s="974"/>
      <c r="F245" s="876"/>
      <c r="G245" s="876"/>
      <c r="H245" s="876"/>
      <c r="I245" s="876"/>
      <c r="J245" s="876"/>
      <c r="K245" s="876"/>
      <c r="L245" s="876"/>
      <c r="M245" s="876"/>
      <c r="N245" s="876"/>
      <c r="O245" s="876"/>
      <c r="P245" s="876"/>
      <c r="Q245" s="870"/>
      <c r="R245" s="870"/>
      <c r="S245" s="870"/>
      <c r="T245" s="870"/>
      <c r="U245" s="870"/>
      <c r="V245" s="870"/>
      <c r="W245" s="870"/>
      <c r="X245" s="870"/>
      <c r="Y245" s="870"/>
      <c r="Z245" s="870"/>
      <c r="AA245" s="870"/>
      <c r="AB245" s="870"/>
      <c r="AC245" s="870"/>
      <c r="AD245" s="870"/>
      <c r="AE245" s="870"/>
      <c r="AF245" s="870"/>
      <c r="AG245" s="870"/>
    </row>
    <row r="246" spans="1:33" s="995" customFormat="1">
      <c r="A246" s="974"/>
      <c r="D246" s="876"/>
      <c r="E246" s="974"/>
      <c r="F246" s="876"/>
      <c r="G246" s="876"/>
      <c r="H246" s="876"/>
      <c r="I246" s="876"/>
      <c r="J246" s="876"/>
      <c r="K246" s="876"/>
      <c r="L246" s="876"/>
      <c r="M246" s="876"/>
      <c r="N246" s="876"/>
      <c r="O246" s="876"/>
      <c r="P246" s="876"/>
      <c r="Q246" s="870"/>
      <c r="R246" s="870"/>
      <c r="S246" s="870"/>
      <c r="T246" s="870"/>
      <c r="U246" s="870"/>
      <c r="V246" s="870"/>
      <c r="W246" s="870"/>
      <c r="X246" s="870"/>
      <c r="Y246" s="870"/>
      <c r="Z246" s="870"/>
      <c r="AA246" s="870"/>
      <c r="AB246" s="870"/>
      <c r="AC246" s="870"/>
      <c r="AD246" s="870"/>
      <c r="AE246" s="870"/>
      <c r="AF246" s="870"/>
      <c r="AG246" s="870"/>
    </row>
    <row r="247" spans="1:33" s="995" customFormat="1">
      <c r="A247" s="974"/>
      <c r="D247" s="876"/>
      <c r="E247" s="974"/>
      <c r="F247" s="876"/>
      <c r="G247" s="876"/>
      <c r="H247" s="876"/>
      <c r="I247" s="876"/>
      <c r="J247" s="876"/>
      <c r="K247" s="876"/>
      <c r="L247" s="876"/>
      <c r="M247" s="876"/>
      <c r="N247" s="876"/>
      <c r="O247" s="876"/>
      <c r="P247" s="876"/>
      <c r="Q247" s="870"/>
      <c r="R247" s="870"/>
      <c r="S247" s="870"/>
      <c r="T247" s="870"/>
      <c r="U247" s="870"/>
      <c r="V247" s="870"/>
      <c r="W247" s="870"/>
      <c r="X247" s="870"/>
      <c r="Y247" s="870"/>
      <c r="Z247" s="870"/>
      <c r="AA247" s="870"/>
      <c r="AB247" s="870"/>
      <c r="AC247" s="870"/>
      <c r="AD247" s="870"/>
      <c r="AE247" s="870"/>
      <c r="AF247" s="870"/>
      <c r="AG247" s="870"/>
    </row>
    <row r="248" spans="1:33" s="995" customFormat="1">
      <c r="A248" s="974"/>
      <c r="D248" s="876"/>
      <c r="E248" s="974"/>
      <c r="F248" s="876"/>
      <c r="G248" s="876"/>
      <c r="H248" s="876"/>
      <c r="I248" s="876"/>
      <c r="J248" s="876"/>
      <c r="K248" s="876"/>
      <c r="L248" s="876"/>
      <c r="M248" s="876"/>
      <c r="N248" s="876"/>
      <c r="O248" s="876"/>
      <c r="P248" s="876"/>
      <c r="Q248" s="870"/>
      <c r="R248" s="870"/>
      <c r="S248" s="870"/>
      <c r="T248" s="870"/>
      <c r="U248" s="870"/>
      <c r="V248" s="870"/>
      <c r="W248" s="870"/>
      <c r="X248" s="870"/>
      <c r="Y248" s="870"/>
      <c r="Z248" s="870"/>
      <c r="AA248" s="870"/>
      <c r="AB248" s="870"/>
      <c r="AC248" s="870"/>
      <c r="AD248" s="870"/>
      <c r="AE248" s="870"/>
      <c r="AF248" s="870"/>
      <c r="AG248" s="870"/>
    </row>
    <row r="249" spans="1:33" s="995" customFormat="1">
      <c r="A249" s="974"/>
      <c r="D249" s="876"/>
      <c r="E249" s="974"/>
      <c r="F249" s="876"/>
      <c r="G249" s="876"/>
      <c r="H249" s="876"/>
      <c r="I249" s="876"/>
      <c r="J249" s="876"/>
      <c r="K249" s="876"/>
      <c r="L249" s="876"/>
      <c r="M249" s="876"/>
      <c r="N249" s="876"/>
      <c r="O249" s="876"/>
      <c r="P249" s="876"/>
      <c r="Q249" s="870"/>
      <c r="R249" s="870"/>
      <c r="S249" s="870"/>
      <c r="T249" s="870"/>
      <c r="U249" s="870"/>
      <c r="V249" s="870"/>
      <c r="W249" s="870"/>
      <c r="X249" s="870"/>
      <c r="Y249" s="870"/>
      <c r="Z249" s="870"/>
      <c r="AA249" s="870"/>
      <c r="AB249" s="870"/>
      <c r="AC249" s="870"/>
      <c r="AD249" s="870"/>
      <c r="AE249" s="870"/>
      <c r="AF249" s="870"/>
      <c r="AG249" s="870"/>
    </row>
    <row r="250" spans="1:33" s="995" customFormat="1">
      <c r="A250" s="974"/>
      <c r="D250" s="876"/>
      <c r="E250" s="974"/>
      <c r="F250" s="876"/>
      <c r="G250" s="876"/>
      <c r="H250" s="876"/>
      <c r="I250" s="876"/>
      <c r="J250" s="876"/>
      <c r="K250" s="876"/>
      <c r="L250" s="876"/>
      <c r="M250" s="876"/>
      <c r="N250" s="876"/>
      <c r="O250" s="876"/>
      <c r="P250" s="876"/>
      <c r="Q250" s="870"/>
      <c r="R250" s="870"/>
      <c r="S250" s="870"/>
      <c r="T250" s="870"/>
      <c r="U250" s="870"/>
      <c r="V250" s="870"/>
      <c r="W250" s="870"/>
      <c r="X250" s="870"/>
      <c r="Y250" s="870"/>
      <c r="Z250" s="870"/>
      <c r="AA250" s="870"/>
      <c r="AB250" s="870"/>
      <c r="AC250" s="870"/>
      <c r="AD250" s="870"/>
      <c r="AE250" s="870"/>
      <c r="AF250" s="870"/>
      <c r="AG250" s="870"/>
    </row>
    <row r="251" spans="1:33" s="995" customFormat="1">
      <c r="A251" s="974"/>
      <c r="D251" s="876"/>
      <c r="E251" s="974"/>
      <c r="F251" s="876"/>
      <c r="G251" s="876"/>
      <c r="H251" s="876"/>
      <c r="I251" s="876"/>
      <c r="J251" s="876"/>
      <c r="K251" s="876"/>
      <c r="L251" s="876"/>
      <c r="M251" s="876"/>
      <c r="N251" s="876"/>
      <c r="O251" s="876"/>
      <c r="P251" s="876"/>
      <c r="Q251" s="870"/>
      <c r="R251" s="870"/>
      <c r="S251" s="870"/>
      <c r="T251" s="870"/>
      <c r="U251" s="870"/>
      <c r="V251" s="870"/>
      <c r="W251" s="870"/>
      <c r="X251" s="870"/>
      <c r="Y251" s="870"/>
      <c r="Z251" s="870"/>
      <c r="AA251" s="870"/>
      <c r="AB251" s="870"/>
      <c r="AC251" s="870"/>
      <c r="AD251" s="870"/>
      <c r="AE251" s="870"/>
      <c r="AF251" s="870"/>
      <c r="AG251" s="870"/>
    </row>
    <row r="252" spans="1:33" s="995" customFormat="1">
      <c r="A252" s="974"/>
      <c r="D252" s="876"/>
      <c r="E252" s="974"/>
      <c r="F252" s="876"/>
      <c r="G252" s="876"/>
      <c r="H252" s="876"/>
      <c r="I252" s="876"/>
      <c r="J252" s="876"/>
      <c r="K252" s="876"/>
      <c r="L252" s="876"/>
      <c r="M252" s="876"/>
      <c r="N252" s="876"/>
      <c r="O252" s="876"/>
      <c r="P252" s="876"/>
      <c r="Q252" s="870"/>
      <c r="R252" s="870"/>
      <c r="S252" s="870"/>
      <c r="T252" s="870"/>
      <c r="U252" s="870"/>
      <c r="V252" s="870"/>
      <c r="W252" s="870"/>
      <c r="X252" s="870"/>
      <c r="Y252" s="870"/>
      <c r="Z252" s="870"/>
      <c r="AA252" s="870"/>
      <c r="AB252" s="870"/>
      <c r="AC252" s="870"/>
      <c r="AD252" s="870"/>
      <c r="AE252" s="870"/>
      <c r="AF252" s="870"/>
      <c r="AG252" s="870"/>
    </row>
    <row r="253" spans="1:33" s="995" customFormat="1">
      <c r="A253" s="974"/>
      <c r="D253" s="876"/>
      <c r="E253" s="974"/>
      <c r="F253" s="876"/>
      <c r="G253" s="876"/>
      <c r="H253" s="876"/>
      <c r="I253" s="876"/>
      <c r="J253" s="876"/>
      <c r="K253" s="876"/>
      <c r="L253" s="876"/>
      <c r="M253" s="876"/>
      <c r="N253" s="876"/>
      <c r="O253" s="876"/>
      <c r="P253" s="876"/>
      <c r="Q253" s="870"/>
      <c r="R253" s="870"/>
      <c r="S253" s="870"/>
      <c r="T253" s="870"/>
      <c r="U253" s="870"/>
      <c r="V253" s="870"/>
      <c r="W253" s="870"/>
      <c r="X253" s="870"/>
      <c r="Y253" s="870"/>
      <c r="Z253" s="870"/>
      <c r="AA253" s="870"/>
      <c r="AB253" s="870"/>
      <c r="AC253" s="870"/>
      <c r="AD253" s="870"/>
      <c r="AE253" s="870"/>
      <c r="AF253" s="870"/>
      <c r="AG253" s="870"/>
    </row>
    <row r="254" spans="1:33" s="995" customFormat="1">
      <c r="A254" s="974"/>
      <c r="D254" s="876"/>
      <c r="E254" s="974"/>
      <c r="F254" s="876"/>
      <c r="G254" s="876"/>
      <c r="H254" s="876"/>
      <c r="I254" s="876"/>
      <c r="J254" s="876"/>
      <c r="K254" s="876"/>
      <c r="L254" s="876"/>
      <c r="M254" s="876"/>
      <c r="N254" s="876"/>
      <c r="O254" s="876"/>
      <c r="P254" s="876"/>
      <c r="Q254" s="870"/>
      <c r="R254" s="870"/>
      <c r="S254" s="870"/>
      <c r="T254" s="870"/>
      <c r="U254" s="870"/>
      <c r="V254" s="870"/>
      <c r="W254" s="870"/>
      <c r="X254" s="870"/>
      <c r="Y254" s="870"/>
      <c r="Z254" s="870"/>
      <c r="AA254" s="870"/>
      <c r="AB254" s="870"/>
      <c r="AC254" s="870"/>
      <c r="AD254" s="870"/>
      <c r="AE254" s="870"/>
      <c r="AF254" s="870"/>
      <c r="AG254" s="870"/>
    </row>
    <row r="255" spans="1:33" s="995" customFormat="1">
      <c r="A255" s="974"/>
      <c r="D255" s="876"/>
      <c r="E255" s="974"/>
      <c r="F255" s="876"/>
      <c r="G255" s="876"/>
      <c r="H255" s="876"/>
      <c r="I255" s="876"/>
      <c r="J255" s="876"/>
      <c r="K255" s="876"/>
      <c r="L255" s="876"/>
      <c r="M255" s="876"/>
      <c r="N255" s="876"/>
      <c r="O255" s="876"/>
      <c r="P255" s="876"/>
      <c r="Q255" s="870"/>
      <c r="R255" s="870"/>
      <c r="S255" s="870"/>
      <c r="T255" s="870"/>
      <c r="U255" s="870"/>
      <c r="V255" s="870"/>
      <c r="W255" s="870"/>
      <c r="X255" s="870"/>
      <c r="Y255" s="870"/>
      <c r="Z255" s="870"/>
      <c r="AA255" s="870"/>
      <c r="AB255" s="870"/>
      <c r="AC255" s="870"/>
      <c r="AD255" s="870"/>
      <c r="AE255" s="870"/>
      <c r="AF255" s="870"/>
      <c r="AG255" s="870"/>
    </row>
    <row r="256" spans="1:33" s="995" customFormat="1">
      <c r="A256" s="974"/>
      <c r="D256" s="876"/>
      <c r="E256" s="974"/>
      <c r="F256" s="876"/>
      <c r="G256" s="876"/>
      <c r="H256" s="876"/>
      <c r="I256" s="876"/>
      <c r="J256" s="876"/>
      <c r="K256" s="876"/>
      <c r="L256" s="876"/>
      <c r="M256" s="876"/>
      <c r="N256" s="876"/>
      <c r="O256" s="876"/>
      <c r="P256" s="876"/>
      <c r="Q256" s="870"/>
      <c r="R256" s="870"/>
      <c r="S256" s="870"/>
      <c r="T256" s="870"/>
      <c r="U256" s="870"/>
      <c r="V256" s="870"/>
      <c r="W256" s="870"/>
      <c r="X256" s="870"/>
      <c r="Y256" s="870"/>
      <c r="Z256" s="870"/>
      <c r="AA256" s="870"/>
      <c r="AB256" s="870"/>
      <c r="AC256" s="870"/>
      <c r="AD256" s="870"/>
      <c r="AE256" s="870"/>
      <c r="AF256" s="870"/>
      <c r="AG256" s="870"/>
    </row>
    <row r="257" spans="1:33" s="995" customFormat="1">
      <c r="A257" s="974"/>
      <c r="D257" s="876"/>
      <c r="E257" s="974"/>
      <c r="F257" s="876"/>
      <c r="G257" s="876"/>
      <c r="H257" s="876"/>
      <c r="I257" s="876"/>
      <c r="J257" s="876"/>
      <c r="K257" s="876"/>
      <c r="L257" s="876"/>
      <c r="M257" s="876"/>
      <c r="N257" s="876"/>
      <c r="O257" s="876"/>
      <c r="P257" s="876"/>
      <c r="Q257" s="870"/>
      <c r="R257" s="870"/>
      <c r="S257" s="870"/>
      <c r="T257" s="870"/>
      <c r="U257" s="870"/>
      <c r="V257" s="870"/>
      <c r="W257" s="870"/>
      <c r="X257" s="870"/>
      <c r="Y257" s="870"/>
      <c r="Z257" s="870"/>
      <c r="AA257" s="870"/>
      <c r="AB257" s="870"/>
      <c r="AC257" s="870"/>
      <c r="AD257" s="870"/>
      <c r="AE257" s="870"/>
      <c r="AF257" s="870"/>
      <c r="AG257" s="870"/>
    </row>
    <row r="258" spans="1:33" s="995" customFormat="1">
      <c r="A258" s="974"/>
      <c r="D258" s="876"/>
      <c r="E258" s="974"/>
      <c r="F258" s="876"/>
      <c r="G258" s="876"/>
      <c r="H258" s="876"/>
      <c r="I258" s="876"/>
      <c r="J258" s="876"/>
      <c r="K258" s="876"/>
      <c r="L258" s="876"/>
      <c r="M258" s="876"/>
      <c r="N258" s="876"/>
      <c r="O258" s="876"/>
      <c r="P258" s="876"/>
      <c r="Q258" s="870"/>
      <c r="R258" s="870"/>
      <c r="S258" s="870"/>
      <c r="T258" s="870"/>
      <c r="U258" s="870"/>
      <c r="V258" s="870"/>
      <c r="W258" s="870"/>
      <c r="X258" s="870"/>
      <c r="Y258" s="870"/>
      <c r="Z258" s="870"/>
      <c r="AA258" s="870"/>
      <c r="AB258" s="870"/>
      <c r="AC258" s="870"/>
      <c r="AD258" s="870"/>
      <c r="AE258" s="870"/>
      <c r="AF258" s="870"/>
      <c r="AG258" s="870"/>
    </row>
    <row r="259" spans="1:33">
      <c r="A259" s="974"/>
    </row>
    <row r="260" spans="1:33">
      <c r="A260" s="974"/>
    </row>
    <row r="261" spans="1:33">
      <c r="A261" s="974"/>
    </row>
    <row r="262" spans="1:33">
      <c r="A262" s="974"/>
    </row>
    <row r="263" spans="1:33">
      <c r="A263" s="974"/>
    </row>
    <row r="264" spans="1:33">
      <c r="A264" s="974"/>
    </row>
    <row r="265" spans="1:33">
      <c r="A265" s="974"/>
    </row>
    <row r="266" spans="1:33">
      <c r="A266" s="974"/>
    </row>
    <row r="267" spans="1:33" s="995" customFormat="1">
      <c r="A267" s="974"/>
      <c r="D267" s="876"/>
      <c r="E267" s="974"/>
      <c r="F267" s="876"/>
      <c r="G267" s="876"/>
      <c r="H267" s="876"/>
      <c r="I267" s="876"/>
      <c r="J267" s="876"/>
      <c r="K267" s="876"/>
      <c r="L267" s="876"/>
      <c r="M267" s="876"/>
      <c r="N267" s="876"/>
      <c r="O267" s="876"/>
      <c r="P267" s="876"/>
      <c r="Q267" s="870"/>
      <c r="R267" s="870"/>
      <c r="S267" s="870"/>
      <c r="T267" s="870"/>
      <c r="U267" s="870"/>
      <c r="V267" s="870"/>
      <c r="W267" s="870"/>
      <c r="X267" s="870"/>
      <c r="Y267" s="870"/>
      <c r="Z267" s="870"/>
      <c r="AA267" s="870"/>
      <c r="AB267" s="870"/>
      <c r="AC267" s="870"/>
      <c r="AD267" s="870"/>
      <c r="AE267" s="870"/>
      <c r="AF267" s="870"/>
      <c r="AG267" s="870"/>
    </row>
    <row r="268" spans="1:33" s="995" customFormat="1">
      <c r="A268" s="974"/>
      <c r="D268" s="876"/>
      <c r="E268" s="974"/>
      <c r="F268" s="876"/>
      <c r="G268" s="876"/>
      <c r="H268" s="876"/>
      <c r="I268" s="876"/>
      <c r="J268" s="876"/>
      <c r="K268" s="876"/>
      <c r="L268" s="876"/>
      <c r="M268" s="876"/>
      <c r="N268" s="876"/>
      <c r="O268" s="876"/>
      <c r="P268" s="876"/>
      <c r="Q268" s="870"/>
      <c r="R268" s="870"/>
      <c r="S268" s="870"/>
      <c r="T268" s="870"/>
      <c r="U268" s="870"/>
      <c r="V268" s="870"/>
      <c r="W268" s="870"/>
      <c r="X268" s="870"/>
      <c r="Y268" s="870"/>
      <c r="Z268" s="870"/>
      <c r="AA268" s="870"/>
      <c r="AB268" s="870"/>
      <c r="AC268" s="870"/>
      <c r="AD268" s="870"/>
      <c r="AE268" s="870"/>
      <c r="AF268" s="870"/>
      <c r="AG268" s="870"/>
    </row>
    <row r="269" spans="1:33" s="995" customFormat="1">
      <c r="A269" s="974"/>
      <c r="D269" s="876"/>
      <c r="E269" s="974"/>
      <c r="F269" s="876"/>
      <c r="G269" s="876"/>
      <c r="H269" s="876"/>
      <c r="I269" s="876"/>
      <c r="J269" s="876"/>
      <c r="K269" s="876"/>
      <c r="L269" s="876"/>
      <c r="M269" s="876"/>
      <c r="N269" s="876"/>
      <c r="O269" s="876"/>
      <c r="P269" s="876"/>
      <c r="Q269" s="870"/>
      <c r="R269" s="870"/>
      <c r="S269" s="870"/>
      <c r="T269" s="870"/>
      <c r="U269" s="870"/>
      <c r="V269" s="870"/>
      <c r="W269" s="870"/>
      <c r="X269" s="870"/>
      <c r="Y269" s="870"/>
      <c r="Z269" s="870"/>
      <c r="AA269" s="870"/>
      <c r="AB269" s="870"/>
      <c r="AC269" s="870"/>
      <c r="AD269" s="870"/>
      <c r="AE269" s="870"/>
      <c r="AF269" s="870"/>
      <c r="AG269" s="870"/>
    </row>
    <row r="270" spans="1:33" s="995" customFormat="1">
      <c r="A270" s="974"/>
      <c r="D270" s="876"/>
      <c r="E270" s="974"/>
      <c r="F270" s="876"/>
      <c r="G270" s="876"/>
      <c r="H270" s="876"/>
      <c r="I270" s="876"/>
      <c r="J270" s="876"/>
      <c r="K270" s="876"/>
      <c r="L270" s="876"/>
      <c r="M270" s="876"/>
      <c r="N270" s="876"/>
      <c r="O270" s="876"/>
      <c r="P270" s="876"/>
      <c r="Q270" s="870"/>
      <c r="R270" s="870"/>
      <c r="S270" s="870"/>
      <c r="T270" s="870"/>
      <c r="U270" s="870"/>
      <c r="V270" s="870"/>
      <c r="W270" s="870"/>
      <c r="X270" s="870"/>
      <c r="Y270" s="870"/>
      <c r="Z270" s="870"/>
      <c r="AA270" s="870"/>
      <c r="AB270" s="870"/>
      <c r="AC270" s="870"/>
      <c r="AD270" s="870"/>
      <c r="AE270" s="870"/>
      <c r="AF270" s="870"/>
      <c r="AG270" s="870"/>
    </row>
    <row r="271" spans="1:33" s="995" customFormat="1">
      <c r="A271" s="974"/>
      <c r="D271" s="876"/>
      <c r="E271" s="974"/>
      <c r="F271" s="876"/>
      <c r="G271" s="876"/>
      <c r="H271" s="876"/>
      <c r="I271" s="876"/>
      <c r="J271" s="876"/>
      <c r="K271" s="876"/>
      <c r="L271" s="876"/>
      <c r="M271" s="876"/>
      <c r="N271" s="876"/>
      <c r="O271" s="876"/>
      <c r="P271" s="876"/>
      <c r="Q271" s="870"/>
      <c r="R271" s="870"/>
      <c r="S271" s="870"/>
      <c r="T271" s="870"/>
      <c r="U271" s="870"/>
      <c r="V271" s="870"/>
      <c r="W271" s="870"/>
      <c r="X271" s="870"/>
      <c r="Y271" s="870"/>
      <c r="Z271" s="870"/>
      <c r="AA271" s="870"/>
      <c r="AB271" s="870"/>
      <c r="AC271" s="870"/>
      <c r="AD271" s="870"/>
      <c r="AE271" s="870"/>
      <c r="AF271" s="870"/>
      <c r="AG271" s="870"/>
    </row>
    <row r="272" spans="1:33" s="995" customFormat="1">
      <c r="A272" s="974"/>
      <c r="D272" s="876"/>
      <c r="E272" s="974"/>
      <c r="F272" s="876"/>
      <c r="G272" s="876"/>
      <c r="H272" s="876"/>
      <c r="I272" s="876"/>
      <c r="J272" s="876"/>
      <c r="K272" s="876"/>
      <c r="L272" s="876"/>
      <c r="M272" s="876"/>
      <c r="N272" s="876"/>
      <c r="O272" s="876"/>
      <c r="P272" s="876"/>
      <c r="Q272" s="870"/>
      <c r="R272" s="870"/>
      <c r="S272" s="870"/>
      <c r="T272" s="870"/>
      <c r="U272" s="870"/>
      <c r="V272" s="870"/>
      <c r="W272" s="870"/>
      <c r="X272" s="870"/>
      <c r="Y272" s="870"/>
      <c r="Z272" s="870"/>
      <c r="AA272" s="870"/>
      <c r="AB272" s="870"/>
      <c r="AC272" s="870"/>
      <c r="AD272" s="870"/>
      <c r="AE272" s="870"/>
      <c r="AF272" s="870"/>
      <c r="AG272" s="870"/>
    </row>
    <row r="273" spans="1:33" s="995" customFormat="1">
      <c r="A273" s="974"/>
      <c r="D273" s="876"/>
      <c r="E273" s="974"/>
      <c r="F273" s="876"/>
      <c r="G273" s="876"/>
      <c r="H273" s="876"/>
      <c r="I273" s="876"/>
      <c r="J273" s="876"/>
      <c r="K273" s="876"/>
      <c r="L273" s="876"/>
      <c r="M273" s="876"/>
      <c r="N273" s="876"/>
      <c r="O273" s="876"/>
      <c r="P273" s="876"/>
      <c r="Q273" s="870"/>
      <c r="R273" s="870"/>
      <c r="S273" s="870"/>
      <c r="T273" s="870"/>
      <c r="U273" s="870"/>
      <c r="V273" s="870"/>
      <c r="W273" s="870"/>
      <c r="X273" s="870"/>
      <c r="Y273" s="870"/>
      <c r="Z273" s="870"/>
      <c r="AA273" s="870"/>
      <c r="AB273" s="870"/>
      <c r="AC273" s="870"/>
      <c r="AD273" s="870"/>
      <c r="AE273" s="870"/>
      <c r="AF273" s="870"/>
      <c r="AG273" s="870"/>
    </row>
    <row r="274" spans="1:33" s="995" customFormat="1">
      <c r="A274" s="974"/>
      <c r="D274" s="876"/>
      <c r="E274" s="974"/>
      <c r="F274" s="876"/>
      <c r="G274" s="876"/>
      <c r="H274" s="876"/>
      <c r="I274" s="876"/>
      <c r="J274" s="876"/>
      <c r="K274" s="876"/>
      <c r="L274" s="876"/>
      <c r="M274" s="876"/>
      <c r="N274" s="876"/>
      <c r="O274" s="876"/>
      <c r="P274" s="876"/>
      <c r="Q274" s="870"/>
      <c r="R274" s="870"/>
      <c r="S274" s="870"/>
      <c r="T274" s="870"/>
      <c r="U274" s="870"/>
      <c r="V274" s="870"/>
      <c r="W274" s="870"/>
      <c r="X274" s="870"/>
      <c r="Y274" s="870"/>
      <c r="Z274" s="870"/>
      <c r="AA274" s="870"/>
      <c r="AB274" s="870"/>
      <c r="AC274" s="870"/>
      <c r="AD274" s="870"/>
      <c r="AE274" s="870"/>
      <c r="AF274" s="870"/>
      <c r="AG274" s="870"/>
    </row>
    <row r="275" spans="1:33" s="995" customFormat="1">
      <c r="A275" s="974"/>
      <c r="D275" s="876"/>
      <c r="E275" s="974"/>
      <c r="F275" s="876"/>
      <c r="G275" s="876"/>
      <c r="H275" s="876"/>
      <c r="I275" s="876"/>
      <c r="J275" s="876"/>
      <c r="K275" s="876"/>
      <c r="L275" s="876"/>
      <c r="M275" s="876"/>
      <c r="N275" s="876"/>
      <c r="O275" s="876"/>
      <c r="P275" s="876"/>
      <c r="Q275" s="870"/>
      <c r="R275" s="870"/>
      <c r="S275" s="870"/>
      <c r="T275" s="870"/>
      <c r="U275" s="870"/>
      <c r="V275" s="870"/>
      <c r="W275" s="870"/>
      <c r="X275" s="870"/>
      <c r="Y275" s="870"/>
      <c r="Z275" s="870"/>
      <c r="AA275" s="870"/>
      <c r="AB275" s="870"/>
      <c r="AC275" s="870"/>
      <c r="AD275" s="870"/>
      <c r="AE275" s="870"/>
      <c r="AF275" s="870"/>
      <c r="AG275" s="870"/>
    </row>
    <row r="276" spans="1:33" s="995" customFormat="1">
      <c r="A276" s="974"/>
      <c r="D276" s="876"/>
      <c r="E276" s="974"/>
      <c r="F276" s="876"/>
      <c r="G276" s="876"/>
      <c r="H276" s="876"/>
      <c r="I276" s="876"/>
      <c r="J276" s="876"/>
      <c r="K276" s="876"/>
      <c r="L276" s="876"/>
      <c r="M276" s="876"/>
      <c r="N276" s="876"/>
      <c r="O276" s="876"/>
      <c r="P276" s="876"/>
      <c r="Q276" s="870"/>
      <c r="R276" s="870"/>
      <c r="S276" s="870"/>
      <c r="T276" s="870"/>
      <c r="U276" s="870"/>
      <c r="V276" s="870"/>
      <c r="W276" s="870"/>
      <c r="X276" s="870"/>
      <c r="Y276" s="870"/>
      <c r="Z276" s="870"/>
      <c r="AA276" s="870"/>
      <c r="AB276" s="870"/>
      <c r="AC276" s="870"/>
      <c r="AD276" s="870"/>
      <c r="AE276" s="870"/>
      <c r="AF276" s="870"/>
      <c r="AG276" s="870"/>
    </row>
    <row r="277" spans="1:33" s="995" customFormat="1">
      <c r="A277" s="974"/>
      <c r="D277" s="876"/>
      <c r="E277" s="974"/>
      <c r="F277" s="876"/>
      <c r="G277" s="876"/>
      <c r="H277" s="876"/>
      <c r="I277" s="876"/>
      <c r="J277" s="876"/>
      <c r="K277" s="876"/>
      <c r="L277" s="876"/>
      <c r="M277" s="876"/>
      <c r="N277" s="876"/>
      <c r="O277" s="876"/>
      <c r="P277" s="876"/>
      <c r="Q277" s="870"/>
      <c r="R277" s="870"/>
      <c r="S277" s="870"/>
      <c r="T277" s="870"/>
      <c r="U277" s="870"/>
      <c r="V277" s="870"/>
      <c r="W277" s="870"/>
      <c r="X277" s="870"/>
      <c r="Y277" s="870"/>
      <c r="Z277" s="870"/>
      <c r="AA277" s="870"/>
      <c r="AB277" s="870"/>
      <c r="AC277" s="870"/>
      <c r="AD277" s="870"/>
      <c r="AE277" s="870"/>
      <c r="AF277" s="870"/>
      <c r="AG277" s="870"/>
    </row>
    <row r="278" spans="1:33" s="995" customFormat="1">
      <c r="A278" s="974"/>
      <c r="D278" s="876"/>
      <c r="E278" s="974"/>
      <c r="F278" s="876"/>
      <c r="G278" s="876"/>
      <c r="H278" s="876"/>
      <c r="I278" s="876"/>
      <c r="J278" s="876"/>
      <c r="K278" s="876"/>
      <c r="L278" s="876"/>
      <c r="M278" s="876"/>
      <c r="N278" s="876"/>
      <c r="O278" s="876"/>
      <c r="P278" s="876"/>
      <c r="Q278" s="870"/>
      <c r="R278" s="870"/>
      <c r="S278" s="870"/>
      <c r="T278" s="870"/>
      <c r="U278" s="870"/>
      <c r="V278" s="870"/>
      <c r="W278" s="870"/>
      <c r="X278" s="870"/>
      <c r="Y278" s="870"/>
      <c r="Z278" s="870"/>
      <c r="AA278" s="870"/>
      <c r="AB278" s="870"/>
      <c r="AC278" s="870"/>
      <c r="AD278" s="870"/>
      <c r="AE278" s="870"/>
      <c r="AF278" s="870"/>
      <c r="AG278" s="870"/>
    </row>
    <row r="279" spans="1:33" s="995" customFormat="1">
      <c r="A279" s="974"/>
      <c r="D279" s="876"/>
      <c r="E279" s="974"/>
      <c r="F279" s="876"/>
      <c r="G279" s="876"/>
      <c r="H279" s="876"/>
      <c r="I279" s="876"/>
      <c r="J279" s="876"/>
      <c r="K279" s="876"/>
      <c r="L279" s="876"/>
      <c r="M279" s="876"/>
      <c r="N279" s="876"/>
      <c r="O279" s="876"/>
      <c r="P279" s="876"/>
      <c r="Q279" s="870"/>
      <c r="R279" s="870"/>
      <c r="S279" s="870"/>
      <c r="T279" s="870"/>
      <c r="U279" s="870"/>
      <c r="V279" s="870"/>
      <c r="W279" s="870"/>
      <c r="X279" s="870"/>
      <c r="Y279" s="870"/>
      <c r="Z279" s="870"/>
      <c r="AA279" s="870"/>
      <c r="AB279" s="870"/>
      <c r="AC279" s="870"/>
      <c r="AD279" s="870"/>
      <c r="AE279" s="870"/>
      <c r="AF279" s="870"/>
      <c r="AG279" s="870"/>
    </row>
    <row r="280" spans="1:33" s="995" customFormat="1">
      <c r="A280" s="974"/>
      <c r="D280" s="876"/>
      <c r="E280" s="974"/>
      <c r="F280" s="876"/>
      <c r="G280" s="876"/>
      <c r="H280" s="876"/>
      <c r="I280" s="876"/>
      <c r="J280" s="876"/>
      <c r="K280" s="876"/>
      <c r="L280" s="876"/>
      <c r="M280" s="876"/>
      <c r="N280" s="876"/>
      <c r="O280" s="876"/>
      <c r="P280" s="876"/>
      <c r="Q280" s="870"/>
      <c r="R280" s="870"/>
      <c r="S280" s="870"/>
      <c r="T280" s="870"/>
      <c r="U280" s="870"/>
      <c r="V280" s="870"/>
      <c r="W280" s="870"/>
      <c r="X280" s="870"/>
      <c r="Y280" s="870"/>
      <c r="Z280" s="870"/>
      <c r="AA280" s="870"/>
      <c r="AB280" s="870"/>
      <c r="AC280" s="870"/>
      <c r="AD280" s="870"/>
      <c r="AE280" s="870"/>
      <c r="AF280" s="870"/>
      <c r="AG280" s="870"/>
    </row>
    <row r="281" spans="1:33" s="995" customFormat="1">
      <c r="A281" s="974"/>
      <c r="D281" s="876"/>
      <c r="E281" s="974"/>
      <c r="F281" s="876"/>
      <c r="G281" s="876"/>
      <c r="H281" s="876"/>
      <c r="I281" s="876"/>
      <c r="J281" s="876"/>
      <c r="K281" s="876"/>
      <c r="L281" s="876"/>
      <c r="M281" s="876"/>
      <c r="N281" s="876"/>
      <c r="O281" s="876"/>
      <c r="P281" s="876"/>
      <c r="Q281" s="870"/>
      <c r="R281" s="870"/>
      <c r="S281" s="870"/>
      <c r="T281" s="870"/>
      <c r="U281" s="870"/>
      <c r="V281" s="870"/>
      <c r="W281" s="870"/>
      <c r="X281" s="870"/>
      <c r="Y281" s="870"/>
      <c r="Z281" s="870"/>
      <c r="AA281" s="870"/>
      <c r="AB281" s="870"/>
      <c r="AC281" s="870"/>
      <c r="AD281" s="870"/>
      <c r="AE281" s="870"/>
      <c r="AF281" s="870"/>
      <c r="AG281" s="870"/>
    </row>
    <row r="282" spans="1:33" s="995" customFormat="1">
      <c r="A282" s="974"/>
      <c r="D282" s="876"/>
      <c r="E282" s="974"/>
      <c r="F282" s="876"/>
      <c r="G282" s="876"/>
      <c r="H282" s="876"/>
      <c r="I282" s="876"/>
      <c r="J282" s="876"/>
      <c r="K282" s="876"/>
      <c r="L282" s="876"/>
      <c r="M282" s="876"/>
      <c r="N282" s="876"/>
      <c r="O282" s="876"/>
      <c r="P282" s="876"/>
      <c r="Q282" s="870"/>
      <c r="R282" s="870"/>
      <c r="S282" s="870"/>
      <c r="T282" s="870"/>
      <c r="U282" s="870"/>
      <c r="V282" s="870"/>
      <c r="W282" s="870"/>
      <c r="X282" s="870"/>
      <c r="Y282" s="870"/>
      <c r="Z282" s="870"/>
      <c r="AA282" s="870"/>
      <c r="AB282" s="870"/>
      <c r="AC282" s="870"/>
      <c r="AD282" s="870"/>
      <c r="AE282" s="870"/>
      <c r="AF282" s="870"/>
      <c r="AG282" s="870"/>
    </row>
    <row r="283" spans="1:33" s="995" customFormat="1">
      <c r="A283" s="974"/>
      <c r="D283" s="876"/>
      <c r="E283" s="974"/>
      <c r="F283" s="876"/>
      <c r="G283" s="876"/>
      <c r="H283" s="876"/>
      <c r="I283" s="876"/>
      <c r="J283" s="876"/>
      <c r="K283" s="876"/>
      <c r="L283" s="876"/>
      <c r="M283" s="876"/>
      <c r="N283" s="876"/>
      <c r="O283" s="876"/>
      <c r="P283" s="876"/>
      <c r="Q283" s="870"/>
      <c r="R283" s="870"/>
      <c r="S283" s="870"/>
      <c r="T283" s="870"/>
      <c r="U283" s="870"/>
      <c r="V283" s="870"/>
      <c r="W283" s="870"/>
      <c r="X283" s="870"/>
      <c r="Y283" s="870"/>
      <c r="Z283" s="870"/>
      <c r="AA283" s="870"/>
      <c r="AB283" s="870"/>
      <c r="AC283" s="870"/>
      <c r="AD283" s="870"/>
      <c r="AE283" s="870"/>
      <c r="AF283" s="870"/>
      <c r="AG283" s="870"/>
    </row>
    <row r="284" spans="1:33" s="995" customFormat="1">
      <c r="A284" s="974"/>
      <c r="D284" s="876"/>
      <c r="E284" s="974"/>
      <c r="F284" s="876"/>
      <c r="G284" s="876"/>
      <c r="H284" s="876"/>
      <c r="I284" s="876"/>
      <c r="J284" s="876"/>
      <c r="K284" s="876"/>
      <c r="L284" s="876"/>
      <c r="M284" s="876"/>
      <c r="N284" s="876"/>
      <c r="O284" s="876"/>
      <c r="P284" s="876"/>
      <c r="Q284" s="870"/>
      <c r="R284" s="870"/>
      <c r="S284" s="870"/>
      <c r="T284" s="870"/>
      <c r="U284" s="870"/>
      <c r="V284" s="870"/>
      <c r="W284" s="870"/>
      <c r="X284" s="870"/>
      <c r="Y284" s="870"/>
      <c r="Z284" s="870"/>
      <c r="AA284" s="870"/>
      <c r="AB284" s="870"/>
      <c r="AC284" s="870"/>
      <c r="AD284" s="870"/>
      <c r="AE284" s="870"/>
      <c r="AF284" s="870"/>
      <c r="AG284" s="870"/>
    </row>
    <row r="285" spans="1:33" s="995" customFormat="1">
      <c r="A285" s="974"/>
      <c r="D285" s="876"/>
      <c r="E285" s="974"/>
      <c r="F285" s="876"/>
      <c r="G285" s="876"/>
      <c r="H285" s="876"/>
      <c r="I285" s="876"/>
      <c r="J285" s="876"/>
      <c r="K285" s="876"/>
      <c r="L285" s="876"/>
      <c r="M285" s="876"/>
      <c r="N285" s="876"/>
      <c r="O285" s="876"/>
      <c r="P285" s="876"/>
      <c r="Q285" s="870"/>
      <c r="R285" s="870"/>
      <c r="S285" s="870"/>
      <c r="T285" s="870"/>
      <c r="U285" s="870"/>
      <c r="V285" s="870"/>
      <c r="W285" s="870"/>
      <c r="X285" s="870"/>
      <c r="Y285" s="870"/>
      <c r="Z285" s="870"/>
      <c r="AA285" s="870"/>
      <c r="AB285" s="870"/>
      <c r="AC285" s="870"/>
      <c r="AD285" s="870"/>
      <c r="AE285" s="870"/>
      <c r="AF285" s="870"/>
      <c r="AG285" s="870"/>
    </row>
    <row r="286" spans="1:33" s="995" customFormat="1">
      <c r="A286" s="974"/>
      <c r="D286" s="876"/>
      <c r="E286" s="974"/>
      <c r="F286" s="876"/>
      <c r="G286" s="876"/>
      <c r="H286" s="876"/>
      <c r="I286" s="876"/>
      <c r="J286" s="876"/>
      <c r="K286" s="876"/>
      <c r="L286" s="876"/>
      <c r="M286" s="876"/>
      <c r="N286" s="876"/>
      <c r="O286" s="876"/>
      <c r="P286" s="876"/>
      <c r="Q286" s="870"/>
      <c r="R286" s="870"/>
      <c r="S286" s="870"/>
      <c r="T286" s="870"/>
      <c r="U286" s="870"/>
      <c r="V286" s="870"/>
      <c r="W286" s="870"/>
      <c r="X286" s="870"/>
      <c r="Y286" s="870"/>
      <c r="Z286" s="870"/>
      <c r="AA286" s="870"/>
      <c r="AB286" s="870"/>
      <c r="AC286" s="870"/>
      <c r="AD286" s="870"/>
      <c r="AE286" s="870"/>
      <c r="AF286" s="870"/>
      <c r="AG286" s="870"/>
    </row>
    <row r="287" spans="1:33" s="995" customFormat="1">
      <c r="A287" s="974"/>
      <c r="D287" s="876"/>
      <c r="E287" s="974"/>
      <c r="F287" s="876"/>
      <c r="G287" s="876"/>
      <c r="H287" s="876"/>
      <c r="I287" s="876"/>
      <c r="J287" s="876"/>
      <c r="K287" s="876"/>
      <c r="L287" s="876"/>
      <c r="M287" s="876"/>
      <c r="N287" s="876"/>
      <c r="O287" s="876"/>
      <c r="P287" s="876"/>
      <c r="Q287" s="870"/>
      <c r="R287" s="870"/>
      <c r="S287" s="870"/>
      <c r="T287" s="870"/>
      <c r="U287" s="870"/>
      <c r="V287" s="870"/>
      <c r="W287" s="870"/>
      <c r="X287" s="870"/>
      <c r="Y287" s="870"/>
      <c r="Z287" s="870"/>
      <c r="AA287" s="870"/>
      <c r="AB287" s="870"/>
      <c r="AC287" s="870"/>
      <c r="AD287" s="870"/>
      <c r="AE287" s="870"/>
      <c r="AF287" s="870"/>
      <c r="AG287" s="870"/>
    </row>
    <row r="288" spans="1:33" s="995" customFormat="1">
      <c r="A288" s="974"/>
      <c r="D288" s="876"/>
      <c r="E288" s="974"/>
      <c r="F288" s="876"/>
      <c r="G288" s="876"/>
      <c r="H288" s="876"/>
      <c r="I288" s="876"/>
      <c r="J288" s="876"/>
      <c r="K288" s="876"/>
      <c r="L288" s="876"/>
      <c r="M288" s="876"/>
      <c r="N288" s="876"/>
      <c r="O288" s="876"/>
      <c r="P288" s="876"/>
      <c r="Q288" s="870"/>
      <c r="R288" s="870"/>
      <c r="S288" s="870"/>
      <c r="T288" s="870"/>
      <c r="U288" s="870"/>
      <c r="V288" s="870"/>
      <c r="W288" s="870"/>
      <c r="X288" s="870"/>
      <c r="Y288" s="870"/>
      <c r="Z288" s="870"/>
      <c r="AA288" s="870"/>
      <c r="AB288" s="870"/>
      <c r="AC288" s="870"/>
      <c r="AD288" s="870"/>
      <c r="AE288" s="870"/>
      <c r="AF288" s="870"/>
      <c r="AG288" s="870"/>
    </row>
    <row r="289" spans="1:33" s="995" customFormat="1">
      <c r="A289" s="974"/>
      <c r="D289" s="876"/>
      <c r="E289" s="974"/>
      <c r="F289" s="876"/>
      <c r="G289" s="876"/>
      <c r="H289" s="876"/>
      <c r="I289" s="876"/>
      <c r="J289" s="876"/>
      <c r="K289" s="876"/>
      <c r="L289" s="876"/>
      <c r="M289" s="876"/>
      <c r="N289" s="876"/>
      <c r="O289" s="876"/>
      <c r="P289" s="876"/>
      <c r="Q289" s="870"/>
      <c r="R289" s="870"/>
      <c r="S289" s="870"/>
      <c r="T289" s="870"/>
      <c r="U289" s="870"/>
      <c r="V289" s="870"/>
      <c r="W289" s="870"/>
      <c r="X289" s="870"/>
      <c r="Y289" s="870"/>
      <c r="Z289" s="870"/>
      <c r="AA289" s="870"/>
      <c r="AB289" s="870"/>
      <c r="AC289" s="870"/>
      <c r="AD289" s="870"/>
      <c r="AE289" s="870"/>
      <c r="AF289" s="870"/>
      <c r="AG289" s="870"/>
    </row>
    <row r="290" spans="1:33" s="995" customFormat="1">
      <c r="A290" s="974"/>
      <c r="D290" s="876"/>
      <c r="E290" s="974"/>
      <c r="F290" s="876"/>
      <c r="G290" s="876"/>
      <c r="H290" s="876"/>
      <c r="I290" s="876"/>
      <c r="J290" s="876"/>
      <c r="K290" s="876"/>
      <c r="L290" s="876"/>
      <c r="M290" s="876"/>
      <c r="N290" s="876"/>
      <c r="O290" s="876"/>
      <c r="P290" s="876"/>
      <c r="Q290" s="870"/>
      <c r="R290" s="870"/>
      <c r="S290" s="870"/>
      <c r="T290" s="870"/>
      <c r="U290" s="870"/>
      <c r="V290" s="870"/>
      <c r="W290" s="870"/>
      <c r="X290" s="870"/>
      <c r="Y290" s="870"/>
      <c r="Z290" s="870"/>
      <c r="AA290" s="870"/>
      <c r="AB290" s="870"/>
      <c r="AC290" s="870"/>
      <c r="AD290" s="870"/>
      <c r="AE290" s="870"/>
      <c r="AF290" s="870"/>
      <c r="AG290" s="870"/>
    </row>
    <row r="291" spans="1:33" s="995" customFormat="1">
      <c r="A291" s="974"/>
      <c r="D291" s="876"/>
      <c r="E291" s="974"/>
      <c r="F291" s="876"/>
      <c r="G291" s="876"/>
      <c r="H291" s="876"/>
      <c r="I291" s="876"/>
      <c r="J291" s="876"/>
      <c r="K291" s="876"/>
      <c r="L291" s="876"/>
      <c r="M291" s="876"/>
      <c r="N291" s="876"/>
      <c r="O291" s="876"/>
      <c r="P291" s="876"/>
      <c r="Q291" s="870"/>
      <c r="R291" s="870"/>
      <c r="S291" s="870"/>
      <c r="T291" s="870"/>
      <c r="U291" s="870"/>
      <c r="V291" s="870"/>
      <c r="W291" s="870"/>
      <c r="X291" s="870"/>
      <c r="Y291" s="870"/>
      <c r="Z291" s="870"/>
      <c r="AA291" s="870"/>
      <c r="AB291" s="870"/>
      <c r="AC291" s="870"/>
      <c r="AD291" s="870"/>
      <c r="AE291" s="870"/>
      <c r="AF291" s="870"/>
      <c r="AG291" s="870"/>
    </row>
    <row r="292" spans="1:33" s="995" customFormat="1">
      <c r="A292" s="974"/>
      <c r="D292" s="876"/>
      <c r="E292" s="974"/>
      <c r="F292" s="876"/>
      <c r="G292" s="876"/>
      <c r="H292" s="876"/>
      <c r="I292" s="876"/>
      <c r="J292" s="876"/>
      <c r="K292" s="876"/>
      <c r="L292" s="876"/>
      <c r="M292" s="876"/>
      <c r="N292" s="876"/>
      <c r="O292" s="876"/>
      <c r="P292" s="876"/>
      <c r="Q292" s="870"/>
      <c r="R292" s="870"/>
      <c r="S292" s="870"/>
      <c r="T292" s="870"/>
      <c r="U292" s="870"/>
      <c r="V292" s="870"/>
      <c r="W292" s="870"/>
      <c r="X292" s="870"/>
      <c r="Y292" s="870"/>
      <c r="Z292" s="870"/>
      <c r="AA292" s="870"/>
      <c r="AB292" s="870"/>
      <c r="AC292" s="870"/>
      <c r="AD292" s="870"/>
      <c r="AE292" s="870"/>
      <c r="AF292" s="870"/>
      <c r="AG292" s="870"/>
    </row>
    <row r="293" spans="1:33" s="995" customFormat="1">
      <c r="A293" s="974"/>
      <c r="D293" s="876"/>
      <c r="E293" s="974"/>
      <c r="F293" s="876"/>
      <c r="G293" s="876"/>
      <c r="H293" s="876"/>
      <c r="I293" s="876"/>
      <c r="J293" s="876"/>
      <c r="K293" s="876"/>
      <c r="L293" s="876"/>
      <c r="M293" s="876"/>
      <c r="N293" s="876"/>
      <c r="O293" s="876"/>
      <c r="P293" s="876"/>
      <c r="Q293" s="870"/>
      <c r="R293" s="870"/>
      <c r="S293" s="870"/>
      <c r="T293" s="870"/>
      <c r="U293" s="870"/>
      <c r="V293" s="870"/>
      <c r="W293" s="870"/>
      <c r="X293" s="870"/>
      <c r="Y293" s="870"/>
      <c r="Z293" s="870"/>
      <c r="AA293" s="870"/>
      <c r="AB293" s="870"/>
      <c r="AC293" s="870"/>
      <c r="AD293" s="870"/>
      <c r="AE293" s="870"/>
      <c r="AF293" s="870"/>
      <c r="AG293" s="870"/>
    </row>
    <row r="294" spans="1:33" s="995" customFormat="1">
      <c r="A294" s="974"/>
      <c r="D294" s="876"/>
      <c r="E294" s="974"/>
      <c r="F294" s="876"/>
      <c r="G294" s="876"/>
      <c r="H294" s="876"/>
      <c r="I294" s="876"/>
      <c r="J294" s="876"/>
      <c r="K294" s="876"/>
      <c r="L294" s="876"/>
      <c r="M294" s="876"/>
      <c r="N294" s="876"/>
      <c r="O294" s="876"/>
      <c r="P294" s="876"/>
      <c r="Q294" s="870"/>
      <c r="R294" s="870"/>
      <c r="S294" s="870"/>
      <c r="T294" s="870"/>
      <c r="U294" s="870"/>
      <c r="V294" s="870"/>
      <c r="W294" s="870"/>
      <c r="X294" s="870"/>
      <c r="Y294" s="870"/>
      <c r="Z294" s="870"/>
      <c r="AA294" s="870"/>
      <c r="AB294" s="870"/>
      <c r="AC294" s="870"/>
      <c r="AD294" s="870"/>
      <c r="AE294" s="870"/>
      <c r="AF294" s="870"/>
      <c r="AG294" s="870"/>
    </row>
    <row r="295" spans="1:33" s="995" customFormat="1">
      <c r="A295" s="974"/>
      <c r="D295" s="876"/>
      <c r="E295" s="974"/>
      <c r="F295" s="876"/>
      <c r="G295" s="876"/>
      <c r="H295" s="876"/>
      <c r="I295" s="876"/>
      <c r="J295" s="876"/>
      <c r="K295" s="876"/>
      <c r="L295" s="876"/>
      <c r="M295" s="876"/>
      <c r="N295" s="876"/>
      <c r="O295" s="876"/>
      <c r="P295" s="876"/>
      <c r="Q295" s="870"/>
      <c r="R295" s="870"/>
      <c r="S295" s="870"/>
      <c r="T295" s="870"/>
      <c r="U295" s="870"/>
      <c r="V295" s="870"/>
      <c r="W295" s="870"/>
      <c r="X295" s="870"/>
      <c r="Y295" s="870"/>
      <c r="Z295" s="870"/>
      <c r="AA295" s="870"/>
      <c r="AB295" s="870"/>
      <c r="AC295" s="870"/>
      <c r="AD295" s="870"/>
      <c r="AE295" s="870"/>
      <c r="AF295" s="870"/>
      <c r="AG295" s="870"/>
    </row>
    <row r="296" spans="1:33" s="995" customFormat="1">
      <c r="A296" s="974"/>
      <c r="D296" s="876"/>
      <c r="E296" s="974"/>
      <c r="F296" s="876"/>
      <c r="G296" s="876"/>
      <c r="H296" s="876"/>
      <c r="I296" s="876"/>
      <c r="J296" s="876"/>
      <c r="K296" s="876"/>
      <c r="L296" s="876"/>
      <c r="M296" s="876"/>
      <c r="N296" s="876"/>
      <c r="O296" s="876"/>
      <c r="P296" s="876"/>
      <c r="Q296" s="870"/>
      <c r="R296" s="870"/>
      <c r="S296" s="870"/>
      <c r="T296" s="870"/>
      <c r="U296" s="870"/>
      <c r="V296" s="870"/>
      <c r="W296" s="870"/>
      <c r="X296" s="870"/>
      <c r="Y296" s="870"/>
      <c r="Z296" s="870"/>
      <c r="AA296" s="870"/>
      <c r="AB296" s="870"/>
      <c r="AC296" s="870"/>
      <c r="AD296" s="870"/>
      <c r="AE296" s="870"/>
      <c r="AF296" s="870"/>
      <c r="AG296" s="870"/>
    </row>
    <row r="297" spans="1:33" s="995" customFormat="1">
      <c r="A297" s="974"/>
      <c r="D297" s="876"/>
      <c r="E297" s="974"/>
      <c r="F297" s="876"/>
      <c r="G297" s="876"/>
      <c r="H297" s="876"/>
      <c r="I297" s="876"/>
      <c r="J297" s="876"/>
      <c r="K297" s="876"/>
      <c r="L297" s="876"/>
      <c r="M297" s="876"/>
      <c r="N297" s="876"/>
      <c r="O297" s="876"/>
      <c r="P297" s="876"/>
      <c r="Q297" s="870"/>
      <c r="R297" s="870"/>
      <c r="S297" s="870"/>
      <c r="T297" s="870"/>
      <c r="U297" s="870"/>
      <c r="V297" s="870"/>
      <c r="W297" s="870"/>
      <c r="X297" s="870"/>
      <c r="Y297" s="870"/>
      <c r="Z297" s="870"/>
      <c r="AA297" s="870"/>
      <c r="AB297" s="870"/>
      <c r="AC297" s="870"/>
      <c r="AD297" s="870"/>
      <c r="AE297" s="870"/>
      <c r="AF297" s="870"/>
      <c r="AG297" s="870"/>
    </row>
    <row r="298" spans="1:33" s="995" customFormat="1">
      <c r="A298" s="974"/>
      <c r="D298" s="876"/>
      <c r="E298" s="974"/>
      <c r="F298" s="876"/>
      <c r="G298" s="876"/>
      <c r="H298" s="876"/>
      <c r="I298" s="876"/>
      <c r="J298" s="876"/>
      <c r="K298" s="876"/>
      <c r="L298" s="876"/>
      <c r="M298" s="876"/>
      <c r="N298" s="876"/>
      <c r="O298" s="876"/>
      <c r="P298" s="876"/>
      <c r="Q298" s="870"/>
      <c r="R298" s="870"/>
      <c r="S298" s="870"/>
      <c r="T298" s="870"/>
      <c r="U298" s="870"/>
      <c r="V298" s="870"/>
      <c r="W298" s="870"/>
      <c r="X298" s="870"/>
      <c r="Y298" s="870"/>
      <c r="Z298" s="870"/>
      <c r="AA298" s="870"/>
      <c r="AB298" s="870"/>
      <c r="AC298" s="870"/>
      <c r="AD298" s="870"/>
      <c r="AE298" s="870"/>
      <c r="AF298" s="870"/>
      <c r="AG298" s="870"/>
    </row>
    <row r="299" spans="1:33" s="995" customFormat="1">
      <c r="A299" s="974"/>
      <c r="D299" s="876"/>
      <c r="E299" s="974"/>
      <c r="F299" s="876"/>
      <c r="G299" s="876"/>
      <c r="H299" s="876"/>
      <c r="I299" s="876"/>
      <c r="J299" s="876"/>
      <c r="K299" s="876"/>
      <c r="L299" s="876"/>
      <c r="M299" s="876"/>
      <c r="N299" s="876"/>
      <c r="O299" s="876"/>
      <c r="P299" s="876"/>
      <c r="Q299" s="870"/>
      <c r="R299" s="870"/>
      <c r="S299" s="870"/>
      <c r="T299" s="870"/>
      <c r="U299" s="870"/>
      <c r="V299" s="870"/>
      <c r="W299" s="870"/>
      <c r="X299" s="870"/>
      <c r="Y299" s="870"/>
      <c r="Z299" s="870"/>
      <c r="AA299" s="870"/>
      <c r="AB299" s="870"/>
      <c r="AC299" s="870"/>
      <c r="AD299" s="870"/>
      <c r="AE299" s="870"/>
      <c r="AF299" s="870"/>
      <c r="AG299" s="870"/>
    </row>
    <row r="300" spans="1:33" s="995" customFormat="1">
      <c r="A300" s="974"/>
      <c r="D300" s="876"/>
      <c r="E300" s="974"/>
      <c r="F300" s="876"/>
      <c r="G300" s="876"/>
      <c r="H300" s="876"/>
      <c r="I300" s="876"/>
      <c r="J300" s="876"/>
      <c r="K300" s="876"/>
      <c r="L300" s="876"/>
      <c r="M300" s="876"/>
      <c r="N300" s="876"/>
      <c r="O300" s="876"/>
      <c r="P300" s="876"/>
      <c r="Q300" s="870"/>
      <c r="R300" s="870"/>
      <c r="S300" s="870"/>
      <c r="T300" s="870"/>
      <c r="U300" s="870"/>
      <c r="V300" s="870"/>
      <c r="W300" s="870"/>
      <c r="X300" s="870"/>
      <c r="Y300" s="870"/>
      <c r="Z300" s="870"/>
      <c r="AA300" s="870"/>
      <c r="AB300" s="870"/>
      <c r="AC300" s="870"/>
      <c r="AD300" s="870"/>
      <c r="AE300" s="870"/>
      <c r="AF300" s="870"/>
      <c r="AG300" s="870"/>
    </row>
    <row r="301" spans="1:33" s="995" customFormat="1">
      <c r="A301" s="974"/>
      <c r="D301" s="876"/>
      <c r="E301" s="974"/>
      <c r="F301" s="876"/>
      <c r="G301" s="876"/>
      <c r="H301" s="876"/>
      <c r="I301" s="876"/>
      <c r="J301" s="876"/>
      <c r="K301" s="876"/>
      <c r="L301" s="876"/>
      <c r="M301" s="876"/>
      <c r="N301" s="876"/>
      <c r="O301" s="876"/>
      <c r="P301" s="876"/>
      <c r="Q301" s="870"/>
      <c r="R301" s="870"/>
      <c r="S301" s="870"/>
      <c r="T301" s="870"/>
      <c r="U301" s="870"/>
      <c r="V301" s="870"/>
      <c r="W301" s="870"/>
      <c r="X301" s="870"/>
      <c r="Y301" s="870"/>
      <c r="Z301" s="870"/>
      <c r="AA301" s="870"/>
      <c r="AB301" s="870"/>
      <c r="AC301" s="870"/>
      <c r="AD301" s="870"/>
      <c r="AE301" s="870"/>
      <c r="AF301" s="870"/>
      <c r="AG301" s="870"/>
    </row>
    <row r="302" spans="1:33" s="995" customFormat="1">
      <c r="A302" s="974"/>
      <c r="D302" s="876"/>
      <c r="E302" s="974"/>
      <c r="F302" s="876"/>
      <c r="G302" s="876"/>
      <c r="H302" s="876"/>
      <c r="I302" s="876"/>
      <c r="J302" s="876"/>
      <c r="K302" s="876"/>
      <c r="L302" s="876"/>
      <c r="M302" s="876"/>
      <c r="N302" s="876"/>
      <c r="O302" s="876"/>
      <c r="P302" s="876"/>
      <c r="Q302" s="870"/>
      <c r="R302" s="870"/>
      <c r="S302" s="870"/>
      <c r="T302" s="870"/>
      <c r="U302" s="870"/>
      <c r="V302" s="870"/>
      <c r="W302" s="870"/>
      <c r="X302" s="870"/>
      <c r="Y302" s="870"/>
      <c r="Z302" s="870"/>
      <c r="AA302" s="870"/>
      <c r="AB302" s="870"/>
      <c r="AC302" s="870"/>
      <c r="AD302" s="870"/>
      <c r="AE302" s="870"/>
      <c r="AF302" s="870"/>
      <c r="AG302" s="870"/>
    </row>
    <row r="303" spans="1:33" s="995" customFormat="1">
      <c r="A303" s="974"/>
      <c r="D303" s="876"/>
      <c r="E303" s="974"/>
      <c r="F303" s="876"/>
      <c r="G303" s="876"/>
      <c r="H303" s="876"/>
      <c r="I303" s="876"/>
      <c r="J303" s="876"/>
      <c r="K303" s="876"/>
      <c r="L303" s="876"/>
      <c r="M303" s="876"/>
      <c r="N303" s="876"/>
      <c r="O303" s="876"/>
      <c r="P303" s="876"/>
      <c r="Q303" s="870"/>
      <c r="R303" s="870"/>
      <c r="S303" s="870"/>
      <c r="T303" s="870"/>
      <c r="U303" s="870"/>
      <c r="V303" s="870"/>
      <c r="W303" s="870"/>
      <c r="X303" s="870"/>
      <c r="Y303" s="870"/>
      <c r="Z303" s="870"/>
      <c r="AA303" s="870"/>
      <c r="AB303" s="870"/>
      <c r="AC303" s="870"/>
      <c r="AD303" s="870"/>
      <c r="AE303" s="870"/>
      <c r="AF303" s="870"/>
      <c r="AG303" s="870"/>
    </row>
    <row r="304" spans="1:33" s="995" customFormat="1">
      <c r="A304" s="974"/>
      <c r="D304" s="876"/>
      <c r="E304" s="974"/>
      <c r="F304" s="876"/>
      <c r="G304" s="876"/>
      <c r="H304" s="876"/>
      <c r="I304" s="876"/>
      <c r="J304" s="876"/>
      <c r="K304" s="876"/>
      <c r="L304" s="876"/>
      <c r="M304" s="876"/>
      <c r="N304" s="876"/>
      <c r="O304" s="876"/>
      <c r="P304" s="876"/>
      <c r="Q304" s="870"/>
      <c r="R304" s="870"/>
      <c r="S304" s="870"/>
      <c r="T304" s="870"/>
      <c r="U304" s="870"/>
      <c r="V304" s="870"/>
      <c r="W304" s="870"/>
      <c r="X304" s="870"/>
      <c r="Y304" s="870"/>
      <c r="Z304" s="870"/>
      <c r="AA304" s="870"/>
      <c r="AB304" s="870"/>
      <c r="AC304" s="870"/>
      <c r="AD304" s="870"/>
      <c r="AE304" s="870"/>
      <c r="AF304" s="870"/>
      <c r="AG304" s="870"/>
    </row>
    <row r="305" spans="1:33" s="995" customFormat="1">
      <c r="A305" s="974"/>
      <c r="D305" s="876"/>
      <c r="E305" s="974"/>
      <c r="F305" s="876"/>
      <c r="G305" s="876"/>
      <c r="H305" s="876"/>
      <c r="I305" s="876"/>
      <c r="J305" s="876"/>
      <c r="K305" s="876"/>
      <c r="L305" s="876"/>
      <c r="M305" s="876"/>
      <c r="N305" s="876"/>
      <c r="O305" s="876"/>
      <c r="P305" s="876"/>
      <c r="Q305" s="870"/>
      <c r="R305" s="870"/>
      <c r="S305" s="870"/>
      <c r="T305" s="870"/>
      <c r="U305" s="870"/>
      <c r="V305" s="870"/>
      <c r="W305" s="870"/>
      <c r="X305" s="870"/>
      <c r="Y305" s="870"/>
      <c r="Z305" s="870"/>
      <c r="AA305" s="870"/>
      <c r="AB305" s="870"/>
      <c r="AC305" s="870"/>
      <c r="AD305" s="870"/>
      <c r="AE305" s="870"/>
      <c r="AF305" s="870"/>
      <c r="AG305" s="870"/>
    </row>
    <row r="306" spans="1:33" s="995" customFormat="1">
      <c r="A306" s="974"/>
      <c r="D306" s="876"/>
      <c r="E306" s="974"/>
      <c r="F306" s="876"/>
      <c r="G306" s="876"/>
      <c r="H306" s="876"/>
      <c r="I306" s="876"/>
      <c r="J306" s="876"/>
      <c r="K306" s="876"/>
      <c r="L306" s="876"/>
      <c r="M306" s="876"/>
      <c r="N306" s="876"/>
      <c r="O306" s="876"/>
      <c r="P306" s="876"/>
      <c r="Q306" s="870"/>
      <c r="R306" s="870"/>
      <c r="S306" s="870"/>
      <c r="T306" s="870"/>
      <c r="U306" s="870"/>
      <c r="V306" s="870"/>
      <c r="W306" s="870"/>
      <c r="X306" s="870"/>
      <c r="Y306" s="870"/>
      <c r="Z306" s="870"/>
      <c r="AA306" s="870"/>
      <c r="AB306" s="870"/>
      <c r="AC306" s="870"/>
      <c r="AD306" s="870"/>
      <c r="AE306" s="870"/>
      <c r="AF306" s="870"/>
      <c r="AG306" s="870"/>
    </row>
    <row r="307" spans="1:33" s="995" customFormat="1">
      <c r="A307" s="974"/>
      <c r="D307" s="876"/>
      <c r="E307" s="974"/>
      <c r="F307" s="876"/>
      <c r="G307" s="876"/>
      <c r="H307" s="876"/>
      <c r="I307" s="876"/>
      <c r="J307" s="876"/>
      <c r="K307" s="876"/>
      <c r="L307" s="876"/>
      <c r="M307" s="876"/>
      <c r="N307" s="876"/>
      <c r="O307" s="876"/>
      <c r="P307" s="876"/>
      <c r="Q307" s="870"/>
      <c r="R307" s="870"/>
      <c r="S307" s="870"/>
      <c r="T307" s="870"/>
      <c r="U307" s="870"/>
      <c r="V307" s="870"/>
      <c r="W307" s="870"/>
      <c r="X307" s="870"/>
      <c r="Y307" s="870"/>
      <c r="Z307" s="870"/>
      <c r="AA307" s="870"/>
      <c r="AB307" s="870"/>
      <c r="AC307" s="870"/>
      <c r="AD307" s="870"/>
      <c r="AE307" s="870"/>
      <c r="AF307" s="870"/>
      <c r="AG307" s="870"/>
    </row>
    <row r="308" spans="1:33" s="995" customFormat="1">
      <c r="A308" s="974"/>
      <c r="D308" s="876"/>
      <c r="E308" s="974"/>
      <c r="F308" s="876"/>
      <c r="G308" s="876"/>
      <c r="H308" s="876"/>
      <c r="I308" s="876"/>
      <c r="J308" s="876"/>
      <c r="K308" s="876"/>
      <c r="L308" s="876"/>
      <c r="M308" s="876"/>
      <c r="N308" s="876"/>
      <c r="O308" s="876"/>
      <c r="P308" s="876"/>
      <c r="Q308" s="870"/>
      <c r="R308" s="870"/>
      <c r="S308" s="870"/>
      <c r="T308" s="870"/>
      <c r="U308" s="870"/>
      <c r="V308" s="870"/>
      <c r="W308" s="870"/>
      <c r="X308" s="870"/>
      <c r="Y308" s="870"/>
      <c r="Z308" s="870"/>
      <c r="AA308" s="870"/>
      <c r="AB308" s="870"/>
      <c r="AC308" s="870"/>
      <c r="AD308" s="870"/>
      <c r="AE308" s="870"/>
      <c r="AF308" s="870"/>
      <c r="AG308" s="870"/>
    </row>
    <row r="309" spans="1:33" s="995" customFormat="1">
      <c r="A309" s="974"/>
      <c r="D309" s="876"/>
      <c r="E309" s="974"/>
      <c r="F309" s="876"/>
      <c r="G309" s="876"/>
      <c r="H309" s="876"/>
      <c r="I309" s="876"/>
      <c r="J309" s="876"/>
      <c r="K309" s="876"/>
      <c r="L309" s="876"/>
      <c r="M309" s="876"/>
      <c r="N309" s="876"/>
      <c r="O309" s="876"/>
      <c r="P309" s="876"/>
      <c r="Q309" s="870"/>
      <c r="R309" s="870"/>
      <c r="S309" s="870"/>
      <c r="T309" s="870"/>
      <c r="U309" s="870"/>
      <c r="V309" s="870"/>
      <c r="W309" s="870"/>
      <c r="X309" s="870"/>
      <c r="Y309" s="870"/>
      <c r="Z309" s="870"/>
      <c r="AA309" s="870"/>
      <c r="AB309" s="870"/>
      <c r="AC309" s="870"/>
      <c r="AD309" s="870"/>
      <c r="AE309" s="870"/>
      <c r="AF309" s="870"/>
      <c r="AG309" s="870"/>
    </row>
    <row r="310" spans="1:33" s="995" customFormat="1">
      <c r="A310" s="974"/>
      <c r="D310" s="876"/>
      <c r="E310" s="974"/>
      <c r="F310" s="876"/>
      <c r="G310" s="876"/>
      <c r="H310" s="876"/>
      <c r="I310" s="876"/>
      <c r="J310" s="876"/>
      <c r="K310" s="876"/>
      <c r="L310" s="876"/>
      <c r="M310" s="876"/>
      <c r="N310" s="876"/>
      <c r="O310" s="876"/>
      <c r="P310" s="876"/>
      <c r="Q310" s="870"/>
      <c r="R310" s="870"/>
      <c r="S310" s="870"/>
      <c r="T310" s="870"/>
      <c r="U310" s="870"/>
      <c r="V310" s="870"/>
      <c r="W310" s="870"/>
      <c r="X310" s="870"/>
      <c r="Y310" s="870"/>
      <c r="Z310" s="870"/>
      <c r="AA310" s="870"/>
      <c r="AB310" s="870"/>
      <c r="AC310" s="870"/>
      <c r="AD310" s="870"/>
      <c r="AE310" s="870"/>
      <c r="AF310" s="870"/>
      <c r="AG310" s="870"/>
    </row>
    <row r="311" spans="1:33" s="995" customFormat="1">
      <c r="A311" s="974"/>
      <c r="D311" s="876"/>
      <c r="E311" s="974"/>
      <c r="F311" s="876"/>
      <c r="G311" s="876"/>
      <c r="H311" s="876"/>
      <c r="I311" s="876"/>
      <c r="J311" s="876"/>
      <c r="K311" s="876"/>
      <c r="L311" s="876"/>
      <c r="M311" s="876"/>
      <c r="N311" s="876"/>
      <c r="O311" s="876"/>
      <c r="P311" s="876"/>
      <c r="Q311" s="870"/>
      <c r="R311" s="870"/>
      <c r="S311" s="870"/>
      <c r="T311" s="870"/>
      <c r="U311" s="870"/>
      <c r="V311" s="870"/>
      <c r="W311" s="870"/>
      <c r="X311" s="870"/>
      <c r="Y311" s="870"/>
      <c r="Z311" s="870"/>
      <c r="AA311" s="870"/>
      <c r="AB311" s="870"/>
      <c r="AC311" s="870"/>
      <c r="AD311" s="870"/>
      <c r="AE311" s="870"/>
      <c r="AF311" s="870"/>
      <c r="AG311" s="870"/>
    </row>
    <row r="312" spans="1:33" s="995" customFormat="1">
      <c r="A312" s="974"/>
      <c r="D312" s="876"/>
      <c r="E312" s="974"/>
      <c r="F312" s="876"/>
      <c r="G312" s="876"/>
      <c r="H312" s="876"/>
      <c r="I312" s="876"/>
      <c r="J312" s="876"/>
      <c r="K312" s="876"/>
      <c r="L312" s="876"/>
      <c r="M312" s="876"/>
      <c r="N312" s="876"/>
      <c r="O312" s="876"/>
      <c r="P312" s="876"/>
      <c r="Q312" s="870"/>
      <c r="R312" s="870"/>
      <c r="S312" s="870"/>
      <c r="T312" s="870"/>
      <c r="U312" s="870"/>
      <c r="V312" s="870"/>
      <c r="W312" s="870"/>
      <c r="X312" s="870"/>
      <c r="Y312" s="870"/>
      <c r="Z312" s="870"/>
      <c r="AA312" s="870"/>
      <c r="AB312" s="870"/>
      <c r="AC312" s="870"/>
      <c r="AD312" s="870"/>
      <c r="AE312" s="870"/>
      <c r="AF312" s="870"/>
      <c r="AG312" s="870"/>
    </row>
    <row r="313" spans="1:33" s="995" customFormat="1">
      <c r="A313" s="974"/>
      <c r="D313" s="876"/>
      <c r="E313" s="974"/>
      <c r="F313" s="876"/>
      <c r="G313" s="876"/>
      <c r="H313" s="876"/>
      <c r="I313" s="876"/>
      <c r="J313" s="876"/>
      <c r="K313" s="876"/>
      <c r="L313" s="876"/>
      <c r="M313" s="876"/>
      <c r="N313" s="876"/>
      <c r="O313" s="876"/>
      <c r="P313" s="876"/>
      <c r="Q313" s="870"/>
      <c r="R313" s="870"/>
      <c r="S313" s="870"/>
      <c r="T313" s="870"/>
      <c r="U313" s="870"/>
      <c r="V313" s="870"/>
      <c r="W313" s="870"/>
      <c r="X313" s="870"/>
      <c r="Y313" s="870"/>
      <c r="Z313" s="870"/>
      <c r="AA313" s="870"/>
      <c r="AB313" s="870"/>
      <c r="AC313" s="870"/>
      <c r="AD313" s="870"/>
      <c r="AE313" s="870"/>
      <c r="AF313" s="870"/>
      <c r="AG313" s="870"/>
    </row>
    <row r="314" spans="1:33" s="995" customFormat="1">
      <c r="A314" s="974"/>
      <c r="D314" s="876"/>
      <c r="E314" s="974"/>
      <c r="F314" s="876"/>
      <c r="G314" s="876"/>
      <c r="H314" s="876"/>
      <c r="I314" s="876"/>
      <c r="J314" s="876"/>
      <c r="K314" s="876"/>
      <c r="L314" s="876"/>
      <c r="M314" s="876"/>
      <c r="N314" s="876"/>
      <c r="O314" s="876"/>
      <c r="P314" s="876"/>
      <c r="Q314" s="870"/>
      <c r="R314" s="870"/>
      <c r="S314" s="870"/>
      <c r="T314" s="870"/>
      <c r="U314" s="870"/>
      <c r="V314" s="870"/>
      <c r="W314" s="870"/>
      <c r="X314" s="870"/>
      <c r="Y314" s="870"/>
      <c r="Z314" s="870"/>
      <c r="AA314" s="870"/>
      <c r="AB314" s="870"/>
      <c r="AC314" s="870"/>
      <c r="AD314" s="870"/>
      <c r="AE314" s="870"/>
      <c r="AF314" s="870"/>
      <c r="AG314" s="870"/>
    </row>
    <row r="315" spans="1:33" s="995" customFormat="1">
      <c r="A315" s="974"/>
      <c r="D315" s="876"/>
      <c r="E315" s="974"/>
      <c r="F315" s="876"/>
      <c r="G315" s="876"/>
      <c r="H315" s="876"/>
      <c r="I315" s="876"/>
      <c r="J315" s="876"/>
      <c r="K315" s="876"/>
      <c r="L315" s="876"/>
      <c r="M315" s="876"/>
      <c r="N315" s="876"/>
      <c r="O315" s="876"/>
      <c r="P315" s="876"/>
      <c r="Q315" s="870"/>
      <c r="R315" s="870"/>
      <c r="S315" s="870"/>
      <c r="T315" s="870"/>
      <c r="U315" s="870"/>
      <c r="V315" s="870"/>
      <c r="W315" s="870"/>
      <c r="X315" s="870"/>
      <c r="Y315" s="870"/>
      <c r="Z315" s="870"/>
      <c r="AA315" s="870"/>
      <c r="AB315" s="870"/>
      <c r="AC315" s="870"/>
      <c r="AD315" s="870"/>
      <c r="AE315" s="870"/>
      <c r="AF315" s="870"/>
      <c r="AG315" s="870"/>
    </row>
    <row r="316" spans="1:33" s="995" customFormat="1">
      <c r="A316" s="974"/>
      <c r="D316" s="876"/>
      <c r="E316" s="974"/>
      <c r="F316" s="876"/>
      <c r="G316" s="876"/>
      <c r="H316" s="876"/>
      <c r="I316" s="876"/>
      <c r="J316" s="876"/>
      <c r="K316" s="876"/>
      <c r="L316" s="876"/>
      <c r="M316" s="876"/>
      <c r="N316" s="876"/>
      <c r="O316" s="876"/>
      <c r="P316" s="876"/>
      <c r="Q316" s="870"/>
      <c r="R316" s="870"/>
      <c r="S316" s="870"/>
      <c r="T316" s="870"/>
      <c r="U316" s="870"/>
      <c r="V316" s="870"/>
      <c r="W316" s="870"/>
      <c r="X316" s="870"/>
      <c r="Y316" s="870"/>
      <c r="Z316" s="870"/>
      <c r="AA316" s="870"/>
      <c r="AB316" s="870"/>
      <c r="AC316" s="870"/>
      <c r="AD316" s="870"/>
      <c r="AE316" s="870"/>
      <c r="AF316" s="870"/>
      <c r="AG316" s="870"/>
    </row>
    <row r="317" spans="1:33" s="995" customFormat="1">
      <c r="A317" s="974"/>
      <c r="D317" s="876"/>
      <c r="E317" s="974"/>
      <c r="F317" s="876"/>
      <c r="G317" s="876"/>
      <c r="H317" s="876"/>
      <c r="I317" s="876"/>
      <c r="J317" s="876"/>
      <c r="K317" s="876"/>
      <c r="L317" s="876"/>
      <c r="M317" s="876"/>
      <c r="N317" s="876"/>
      <c r="O317" s="876"/>
      <c r="P317" s="876"/>
      <c r="Q317" s="870"/>
      <c r="R317" s="870"/>
      <c r="S317" s="870"/>
      <c r="T317" s="870"/>
      <c r="U317" s="870"/>
      <c r="V317" s="870"/>
      <c r="W317" s="870"/>
      <c r="X317" s="870"/>
      <c r="Y317" s="870"/>
      <c r="Z317" s="870"/>
      <c r="AA317" s="870"/>
      <c r="AB317" s="870"/>
      <c r="AC317" s="870"/>
      <c r="AD317" s="870"/>
      <c r="AE317" s="870"/>
      <c r="AF317" s="870"/>
      <c r="AG317" s="870"/>
    </row>
    <row r="318" spans="1:33" s="995" customFormat="1">
      <c r="A318" s="974"/>
      <c r="D318" s="876"/>
      <c r="E318" s="974"/>
      <c r="F318" s="876"/>
      <c r="G318" s="876"/>
      <c r="H318" s="876"/>
      <c r="I318" s="876"/>
      <c r="J318" s="876"/>
      <c r="K318" s="876"/>
      <c r="L318" s="876"/>
      <c r="M318" s="876"/>
      <c r="N318" s="876"/>
      <c r="O318" s="876"/>
      <c r="P318" s="876"/>
      <c r="Q318" s="870"/>
      <c r="R318" s="870"/>
      <c r="S318" s="870"/>
      <c r="T318" s="870"/>
      <c r="U318" s="870"/>
      <c r="V318" s="870"/>
      <c r="W318" s="870"/>
      <c r="X318" s="870"/>
      <c r="Y318" s="870"/>
      <c r="Z318" s="870"/>
      <c r="AA318" s="870"/>
      <c r="AB318" s="870"/>
      <c r="AC318" s="870"/>
      <c r="AD318" s="870"/>
      <c r="AE318" s="870"/>
      <c r="AF318" s="870"/>
      <c r="AG318" s="870"/>
    </row>
    <row r="319" spans="1:33" s="995" customFormat="1">
      <c r="A319" s="974"/>
      <c r="D319" s="876"/>
      <c r="E319" s="974"/>
      <c r="F319" s="876"/>
      <c r="G319" s="876"/>
      <c r="H319" s="876"/>
      <c r="I319" s="876"/>
      <c r="J319" s="876"/>
      <c r="K319" s="876"/>
      <c r="L319" s="876"/>
      <c r="M319" s="876"/>
      <c r="N319" s="876"/>
      <c r="O319" s="876"/>
      <c r="P319" s="876"/>
      <c r="Q319" s="870"/>
      <c r="R319" s="870"/>
      <c r="S319" s="870"/>
      <c r="T319" s="870"/>
      <c r="U319" s="870"/>
      <c r="V319" s="870"/>
      <c r="W319" s="870"/>
      <c r="X319" s="870"/>
      <c r="Y319" s="870"/>
      <c r="Z319" s="870"/>
      <c r="AA319" s="870"/>
      <c r="AB319" s="870"/>
      <c r="AC319" s="870"/>
      <c r="AD319" s="870"/>
      <c r="AE319" s="870"/>
      <c r="AF319" s="870"/>
      <c r="AG319" s="870"/>
    </row>
    <row r="320" spans="1:33" s="995" customFormat="1">
      <c r="A320" s="974"/>
      <c r="D320" s="876"/>
      <c r="E320" s="974"/>
      <c r="F320" s="876"/>
      <c r="G320" s="876"/>
      <c r="H320" s="876"/>
      <c r="I320" s="876"/>
      <c r="J320" s="876"/>
      <c r="K320" s="876"/>
      <c r="L320" s="876"/>
      <c r="M320" s="876"/>
      <c r="N320" s="876"/>
      <c r="O320" s="876"/>
      <c r="P320" s="876"/>
      <c r="Q320" s="870"/>
      <c r="R320" s="870"/>
      <c r="S320" s="870"/>
      <c r="T320" s="870"/>
      <c r="U320" s="870"/>
      <c r="V320" s="870"/>
      <c r="W320" s="870"/>
      <c r="X320" s="870"/>
      <c r="Y320" s="870"/>
      <c r="Z320" s="870"/>
      <c r="AA320" s="870"/>
      <c r="AB320" s="870"/>
      <c r="AC320" s="870"/>
      <c r="AD320" s="870"/>
      <c r="AE320" s="870"/>
      <c r="AF320" s="870"/>
      <c r="AG320" s="870"/>
    </row>
    <row r="321" spans="1:33" s="995" customFormat="1">
      <c r="A321" s="974"/>
      <c r="D321" s="876"/>
      <c r="E321" s="974"/>
      <c r="F321" s="876"/>
      <c r="G321" s="876"/>
      <c r="H321" s="876"/>
      <c r="I321" s="876"/>
      <c r="J321" s="876"/>
      <c r="K321" s="876"/>
      <c r="L321" s="876"/>
      <c r="M321" s="876"/>
      <c r="N321" s="876"/>
      <c r="O321" s="876"/>
      <c r="P321" s="876"/>
      <c r="Q321" s="870"/>
      <c r="R321" s="870"/>
      <c r="S321" s="870"/>
      <c r="T321" s="870"/>
      <c r="U321" s="870"/>
      <c r="V321" s="870"/>
      <c r="W321" s="870"/>
      <c r="X321" s="870"/>
      <c r="Y321" s="870"/>
      <c r="Z321" s="870"/>
      <c r="AA321" s="870"/>
      <c r="AB321" s="870"/>
      <c r="AC321" s="870"/>
      <c r="AD321" s="870"/>
      <c r="AE321" s="870"/>
      <c r="AF321" s="870"/>
      <c r="AG321" s="870"/>
    </row>
    <row r="322" spans="1:33" s="995" customFormat="1">
      <c r="A322" s="974"/>
      <c r="D322" s="876"/>
      <c r="E322" s="974"/>
      <c r="F322" s="876"/>
      <c r="G322" s="876"/>
      <c r="H322" s="876"/>
      <c r="I322" s="876"/>
      <c r="J322" s="876"/>
      <c r="K322" s="876"/>
      <c r="L322" s="876"/>
      <c r="M322" s="876"/>
      <c r="N322" s="876"/>
      <c r="O322" s="876"/>
      <c r="P322" s="876"/>
      <c r="Q322" s="870"/>
      <c r="R322" s="870"/>
      <c r="S322" s="870"/>
      <c r="T322" s="870"/>
      <c r="U322" s="870"/>
      <c r="V322" s="870"/>
      <c r="W322" s="870"/>
      <c r="X322" s="870"/>
      <c r="Y322" s="870"/>
      <c r="Z322" s="870"/>
      <c r="AA322" s="870"/>
      <c r="AB322" s="870"/>
      <c r="AC322" s="870"/>
      <c r="AD322" s="870"/>
      <c r="AE322" s="870"/>
      <c r="AF322" s="870"/>
      <c r="AG322" s="870"/>
    </row>
    <row r="323" spans="1:33" s="995" customFormat="1">
      <c r="A323" s="974"/>
      <c r="D323" s="876"/>
      <c r="E323" s="974"/>
      <c r="F323" s="876"/>
      <c r="G323" s="876"/>
      <c r="H323" s="876"/>
      <c r="I323" s="876"/>
      <c r="J323" s="876"/>
      <c r="K323" s="876"/>
      <c r="L323" s="876"/>
      <c r="M323" s="876"/>
      <c r="N323" s="876"/>
      <c r="O323" s="876"/>
      <c r="P323" s="876"/>
      <c r="Q323" s="870"/>
      <c r="R323" s="870"/>
      <c r="S323" s="870"/>
      <c r="T323" s="870"/>
      <c r="U323" s="870"/>
      <c r="V323" s="870"/>
      <c r="W323" s="870"/>
      <c r="X323" s="870"/>
      <c r="Y323" s="870"/>
      <c r="Z323" s="870"/>
      <c r="AA323" s="870"/>
      <c r="AB323" s="870"/>
      <c r="AC323" s="870"/>
      <c r="AD323" s="870"/>
      <c r="AE323" s="870"/>
      <c r="AF323" s="870"/>
      <c r="AG323" s="870"/>
    </row>
    <row r="324" spans="1:33" s="995" customFormat="1">
      <c r="A324" s="974"/>
      <c r="D324" s="876"/>
      <c r="E324" s="974"/>
      <c r="F324" s="876"/>
      <c r="G324" s="876"/>
      <c r="H324" s="876"/>
      <c r="I324" s="876"/>
      <c r="J324" s="876"/>
      <c r="K324" s="876"/>
      <c r="L324" s="876"/>
      <c r="M324" s="876"/>
      <c r="N324" s="876"/>
      <c r="O324" s="876"/>
      <c r="P324" s="876"/>
      <c r="Q324" s="870"/>
      <c r="R324" s="870"/>
      <c r="S324" s="870"/>
      <c r="T324" s="870"/>
      <c r="U324" s="870"/>
      <c r="V324" s="870"/>
      <c r="W324" s="870"/>
      <c r="X324" s="870"/>
      <c r="Y324" s="870"/>
      <c r="Z324" s="870"/>
      <c r="AA324" s="870"/>
      <c r="AB324" s="870"/>
      <c r="AC324" s="870"/>
      <c r="AD324" s="870"/>
      <c r="AE324" s="870"/>
      <c r="AF324" s="870"/>
      <c r="AG324" s="870"/>
    </row>
    <row r="325" spans="1:33" s="995" customFormat="1">
      <c r="A325" s="974"/>
      <c r="D325" s="876"/>
      <c r="E325" s="974"/>
      <c r="F325" s="876"/>
      <c r="G325" s="876"/>
      <c r="H325" s="876"/>
      <c r="I325" s="876"/>
      <c r="J325" s="876"/>
      <c r="K325" s="876"/>
      <c r="L325" s="876"/>
      <c r="M325" s="876"/>
      <c r="N325" s="876"/>
      <c r="O325" s="876"/>
      <c r="P325" s="876"/>
      <c r="Q325" s="870"/>
      <c r="R325" s="870"/>
      <c r="S325" s="870"/>
      <c r="T325" s="870"/>
      <c r="U325" s="870"/>
      <c r="V325" s="870"/>
      <c r="W325" s="870"/>
      <c r="X325" s="870"/>
      <c r="Y325" s="870"/>
      <c r="Z325" s="870"/>
      <c r="AA325" s="870"/>
      <c r="AB325" s="870"/>
      <c r="AC325" s="870"/>
      <c r="AD325" s="870"/>
      <c r="AE325" s="870"/>
      <c r="AF325" s="870"/>
      <c r="AG325" s="870"/>
    </row>
    <row r="326" spans="1:33" s="995" customFormat="1">
      <c r="A326" s="974"/>
      <c r="D326" s="876"/>
      <c r="E326" s="974"/>
      <c r="F326" s="876"/>
      <c r="G326" s="876"/>
      <c r="H326" s="876"/>
      <c r="I326" s="876"/>
      <c r="J326" s="876"/>
      <c r="K326" s="876"/>
      <c r="L326" s="876"/>
      <c r="M326" s="876"/>
      <c r="N326" s="876"/>
      <c r="O326" s="876"/>
      <c r="P326" s="876"/>
      <c r="Q326" s="870"/>
      <c r="R326" s="870"/>
      <c r="S326" s="870"/>
      <c r="T326" s="870"/>
      <c r="U326" s="870"/>
      <c r="V326" s="870"/>
      <c r="W326" s="870"/>
      <c r="X326" s="870"/>
      <c r="Y326" s="870"/>
      <c r="Z326" s="870"/>
      <c r="AA326" s="870"/>
      <c r="AB326" s="870"/>
      <c r="AC326" s="870"/>
      <c r="AD326" s="870"/>
      <c r="AE326" s="870"/>
      <c r="AF326" s="870"/>
      <c r="AG326" s="870"/>
    </row>
    <row r="327" spans="1:33" s="995" customFormat="1">
      <c r="A327" s="974"/>
      <c r="D327" s="876"/>
      <c r="E327" s="974"/>
      <c r="F327" s="876"/>
      <c r="G327" s="876"/>
      <c r="H327" s="876"/>
      <c r="I327" s="876"/>
      <c r="J327" s="876"/>
      <c r="K327" s="876"/>
      <c r="L327" s="876"/>
      <c r="M327" s="876"/>
      <c r="N327" s="876"/>
      <c r="O327" s="876"/>
      <c r="P327" s="876"/>
      <c r="Q327" s="870"/>
      <c r="R327" s="870"/>
      <c r="S327" s="870"/>
      <c r="T327" s="870"/>
      <c r="U327" s="870"/>
      <c r="V327" s="870"/>
      <c r="W327" s="870"/>
      <c r="X327" s="870"/>
      <c r="Y327" s="870"/>
      <c r="Z327" s="870"/>
      <c r="AA327" s="870"/>
      <c r="AB327" s="870"/>
      <c r="AC327" s="870"/>
      <c r="AD327" s="870"/>
      <c r="AE327" s="870"/>
      <c r="AF327" s="870"/>
      <c r="AG327" s="870"/>
    </row>
    <row r="328" spans="1:33" s="995" customFormat="1">
      <c r="A328" s="974"/>
      <c r="D328" s="876"/>
      <c r="E328" s="974"/>
      <c r="F328" s="876"/>
      <c r="G328" s="876"/>
      <c r="H328" s="876"/>
      <c r="I328" s="876"/>
      <c r="J328" s="876"/>
      <c r="K328" s="876"/>
      <c r="L328" s="876"/>
      <c r="M328" s="876"/>
      <c r="N328" s="876"/>
      <c r="O328" s="876"/>
      <c r="P328" s="876"/>
      <c r="Q328" s="870"/>
      <c r="R328" s="870"/>
      <c r="S328" s="870"/>
      <c r="T328" s="870"/>
      <c r="U328" s="870"/>
      <c r="V328" s="870"/>
      <c r="W328" s="870"/>
      <c r="X328" s="870"/>
      <c r="Y328" s="870"/>
      <c r="Z328" s="870"/>
      <c r="AA328" s="870"/>
      <c r="AB328" s="870"/>
      <c r="AC328" s="870"/>
      <c r="AD328" s="870"/>
      <c r="AE328" s="870"/>
      <c r="AF328" s="870"/>
      <c r="AG328" s="870"/>
    </row>
    <row r="329" spans="1:33" s="995" customFormat="1">
      <c r="A329" s="974"/>
      <c r="D329" s="876"/>
      <c r="E329" s="974"/>
      <c r="F329" s="876"/>
      <c r="G329" s="876"/>
      <c r="H329" s="876"/>
      <c r="I329" s="876"/>
      <c r="J329" s="876"/>
      <c r="K329" s="876"/>
      <c r="L329" s="876"/>
      <c r="M329" s="876"/>
      <c r="N329" s="876"/>
      <c r="O329" s="876"/>
      <c r="P329" s="876"/>
      <c r="Q329" s="870"/>
      <c r="R329" s="870"/>
      <c r="S329" s="870"/>
      <c r="T329" s="870"/>
      <c r="U329" s="870"/>
      <c r="V329" s="870"/>
      <c r="W329" s="870"/>
      <c r="X329" s="870"/>
      <c r="Y329" s="870"/>
      <c r="Z329" s="870"/>
      <c r="AA329" s="870"/>
      <c r="AB329" s="870"/>
      <c r="AC329" s="870"/>
      <c r="AD329" s="870"/>
      <c r="AE329" s="870"/>
      <c r="AF329" s="870"/>
      <c r="AG329" s="870"/>
    </row>
    <row r="330" spans="1:33" s="995" customFormat="1">
      <c r="A330" s="974"/>
      <c r="D330" s="876"/>
      <c r="E330" s="974"/>
      <c r="F330" s="876"/>
      <c r="G330" s="876"/>
      <c r="H330" s="876"/>
      <c r="I330" s="876"/>
      <c r="J330" s="876"/>
      <c r="K330" s="876"/>
      <c r="L330" s="876"/>
      <c r="M330" s="876"/>
      <c r="N330" s="876"/>
      <c r="O330" s="876"/>
      <c r="P330" s="876"/>
      <c r="Q330" s="870"/>
      <c r="R330" s="870"/>
      <c r="S330" s="870"/>
      <c r="T330" s="870"/>
      <c r="U330" s="870"/>
      <c r="V330" s="870"/>
      <c r="W330" s="870"/>
      <c r="X330" s="870"/>
      <c r="Y330" s="870"/>
      <c r="Z330" s="870"/>
      <c r="AA330" s="870"/>
      <c r="AB330" s="870"/>
      <c r="AC330" s="870"/>
      <c r="AD330" s="870"/>
      <c r="AE330" s="870"/>
      <c r="AF330" s="870"/>
      <c r="AG330" s="870"/>
    </row>
    <row r="331" spans="1:33" s="995" customFormat="1">
      <c r="A331" s="974"/>
      <c r="D331" s="876"/>
      <c r="E331" s="974"/>
      <c r="F331" s="876"/>
      <c r="G331" s="876"/>
      <c r="H331" s="876"/>
      <c r="I331" s="876"/>
      <c r="J331" s="876"/>
      <c r="K331" s="876"/>
      <c r="L331" s="876"/>
      <c r="M331" s="876"/>
      <c r="N331" s="876"/>
      <c r="O331" s="876"/>
      <c r="P331" s="876"/>
      <c r="Q331" s="870"/>
      <c r="R331" s="870"/>
      <c r="S331" s="870"/>
      <c r="T331" s="870"/>
      <c r="U331" s="870"/>
      <c r="V331" s="870"/>
      <c r="W331" s="870"/>
      <c r="X331" s="870"/>
      <c r="Y331" s="870"/>
      <c r="Z331" s="870"/>
      <c r="AA331" s="870"/>
      <c r="AB331" s="870"/>
      <c r="AC331" s="870"/>
      <c r="AD331" s="870"/>
      <c r="AE331" s="870"/>
      <c r="AF331" s="870"/>
      <c r="AG331" s="870"/>
    </row>
    <row r="332" spans="1:33" s="995" customFormat="1">
      <c r="A332" s="974"/>
      <c r="D332" s="876"/>
      <c r="E332" s="974"/>
      <c r="F332" s="876"/>
      <c r="G332" s="876"/>
      <c r="H332" s="876"/>
      <c r="I332" s="876"/>
      <c r="J332" s="876"/>
      <c r="K332" s="876"/>
      <c r="L332" s="876"/>
      <c r="M332" s="876"/>
      <c r="N332" s="876"/>
      <c r="O332" s="876"/>
      <c r="P332" s="876"/>
      <c r="Q332" s="870"/>
      <c r="R332" s="870"/>
      <c r="S332" s="870"/>
      <c r="T332" s="870"/>
      <c r="U332" s="870"/>
      <c r="V332" s="870"/>
      <c r="W332" s="870"/>
      <c r="X332" s="870"/>
      <c r="Y332" s="870"/>
      <c r="Z332" s="870"/>
      <c r="AA332" s="870"/>
      <c r="AB332" s="870"/>
      <c r="AC332" s="870"/>
      <c r="AD332" s="870"/>
      <c r="AE332" s="870"/>
      <c r="AF332" s="870"/>
      <c r="AG332" s="870"/>
    </row>
    <row r="333" spans="1:33" s="995" customFormat="1">
      <c r="A333" s="974"/>
      <c r="D333" s="876"/>
      <c r="E333" s="974"/>
      <c r="F333" s="876"/>
      <c r="G333" s="876"/>
      <c r="H333" s="876"/>
      <c r="I333" s="876"/>
      <c r="J333" s="876"/>
      <c r="K333" s="876"/>
      <c r="L333" s="876"/>
      <c r="M333" s="876"/>
      <c r="N333" s="876"/>
      <c r="O333" s="876"/>
      <c r="P333" s="876"/>
      <c r="Q333" s="870"/>
      <c r="R333" s="870"/>
      <c r="S333" s="870"/>
      <c r="T333" s="870"/>
      <c r="U333" s="870"/>
      <c r="V333" s="870"/>
      <c r="W333" s="870"/>
      <c r="X333" s="870"/>
      <c r="Y333" s="870"/>
      <c r="Z333" s="870"/>
      <c r="AA333" s="870"/>
      <c r="AB333" s="870"/>
      <c r="AC333" s="870"/>
      <c r="AD333" s="870"/>
      <c r="AE333" s="870"/>
      <c r="AF333" s="870"/>
      <c r="AG333" s="870"/>
    </row>
    <row r="334" spans="1:33" s="995" customFormat="1">
      <c r="A334" s="974"/>
      <c r="D334" s="876"/>
      <c r="E334" s="974"/>
      <c r="F334" s="876"/>
      <c r="G334" s="876"/>
      <c r="H334" s="876"/>
      <c r="I334" s="876"/>
      <c r="J334" s="876"/>
      <c r="K334" s="876"/>
      <c r="L334" s="876"/>
      <c r="M334" s="876"/>
      <c r="N334" s="876"/>
      <c r="O334" s="876"/>
      <c r="P334" s="876"/>
      <c r="Q334" s="870"/>
      <c r="R334" s="870"/>
      <c r="S334" s="870"/>
      <c r="T334" s="870"/>
      <c r="U334" s="870"/>
      <c r="V334" s="870"/>
      <c r="W334" s="870"/>
      <c r="X334" s="870"/>
      <c r="Y334" s="870"/>
      <c r="Z334" s="870"/>
      <c r="AA334" s="870"/>
      <c r="AB334" s="870"/>
      <c r="AC334" s="870"/>
      <c r="AD334" s="870"/>
      <c r="AE334" s="870"/>
      <c r="AF334" s="870"/>
      <c r="AG334" s="870"/>
    </row>
    <row r="335" spans="1:33" s="995" customFormat="1">
      <c r="A335" s="974"/>
      <c r="D335" s="876"/>
      <c r="E335" s="974"/>
      <c r="F335" s="876"/>
      <c r="G335" s="876"/>
      <c r="H335" s="876"/>
      <c r="I335" s="876"/>
      <c r="J335" s="876"/>
      <c r="K335" s="876"/>
      <c r="L335" s="876"/>
      <c r="M335" s="876"/>
      <c r="N335" s="876"/>
      <c r="O335" s="876"/>
      <c r="P335" s="876"/>
      <c r="Q335" s="870"/>
      <c r="R335" s="870"/>
      <c r="S335" s="870"/>
      <c r="T335" s="870"/>
      <c r="U335" s="870"/>
      <c r="V335" s="870"/>
      <c r="W335" s="870"/>
      <c r="X335" s="870"/>
      <c r="Y335" s="870"/>
      <c r="Z335" s="870"/>
      <c r="AA335" s="870"/>
      <c r="AB335" s="870"/>
      <c r="AC335" s="870"/>
      <c r="AD335" s="870"/>
      <c r="AE335" s="870"/>
      <c r="AF335" s="870"/>
      <c r="AG335" s="870"/>
    </row>
    <row r="336" spans="1:33" s="995" customFormat="1">
      <c r="A336" s="974"/>
      <c r="D336" s="876"/>
      <c r="E336" s="974"/>
      <c r="F336" s="876"/>
      <c r="G336" s="876"/>
      <c r="H336" s="876"/>
      <c r="I336" s="876"/>
      <c r="J336" s="876"/>
      <c r="K336" s="876"/>
      <c r="L336" s="876"/>
      <c r="M336" s="876"/>
      <c r="N336" s="876"/>
      <c r="O336" s="876"/>
      <c r="P336" s="876"/>
      <c r="Q336" s="870"/>
      <c r="R336" s="870"/>
      <c r="S336" s="870"/>
      <c r="T336" s="870"/>
      <c r="U336" s="870"/>
      <c r="V336" s="870"/>
      <c r="W336" s="870"/>
      <c r="X336" s="870"/>
      <c r="Y336" s="870"/>
      <c r="Z336" s="870"/>
      <c r="AA336" s="870"/>
      <c r="AB336" s="870"/>
      <c r="AC336" s="870"/>
      <c r="AD336" s="870"/>
      <c r="AE336" s="870"/>
      <c r="AF336" s="870"/>
      <c r="AG336" s="870"/>
    </row>
    <row r="337" spans="1:33" s="995" customFormat="1">
      <c r="A337" s="974"/>
      <c r="D337" s="876"/>
      <c r="E337" s="974"/>
      <c r="F337" s="876"/>
      <c r="G337" s="876"/>
      <c r="H337" s="876"/>
      <c r="I337" s="876"/>
      <c r="J337" s="876"/>
      <c r="K337" s="876"/>
      <c r="L337" s="876"/>
      <c r="M337" s="876"/>
      <c r="N337" s="876"/>
      <c r="O337" s="876"/>
      <c r="P337" s="876"/>
      <c r="Q337" s="870"/>
      <c r="R337" s="870"/>
      <c r="S337" s="870"/>
      <c r="T337" s="870"/>
      <c r="U337" s="870"/>
      <c r="V337" s="870"/>
      <c r="W337" s="870"/>
      <c r="X337" s="870"/>
      <c r="Y337" s="870"/>
      <c r="Z337" s="870"/>
      <c r="AA337" s="870"/>
      <c r="AB337" s="870"/>
      <c r="AC337" s="870"/>
      <c r="AD337" s="870"/>
      <c r="AE337" s="870"/>
      <c r="AF337" s="870"/>
      <c r="AG337" s="870"/>
    </row>
    <row r="338" spans="1:33" s="995" customFormat="1">
      <c r="A338" s="974"/>
      <c r="D338" s="876"/>
      <c r="E338" s="974"/>
      <c r="F338" s="876"/>
      <c r="G338" s="876"/>
      <c r="H338" s="876"/>
      <c r="I338" s="876"/>
      <c r="J338" s="876"/>
      <c r="K338" s="876"/>
      <c r="L338" s="876"/>
      <c r="M338" s="876"/>
      <c r="N338" s="876"/>
      <c r="O338" s="876"/>
      <c r="P338" s="876"/>
      <c r="Q338" s="870"/>
      <c r="R338" s="870"/>
      <c r="S338" s="870"/>
      <c r="T338" s="870"/>
      <c r="U338" s="870"/>
      <c r="V338" s="870"/>
      <c r="W338" s="870"/>
      <c r="X338" s="870"/>
      <c r="Y338" s="870"/>
      <c r="Z338" s="870"/>
      <c r="AA338" s="870"/>
      <c r="AB338" s="870"/>
      <c r="AC338" s="870"/>
      <c r="AD338" s="870"/>
      <c r="AE338" s="870"/>
      <c r="AF338" s="870"/>
      <c r="AG338" s="870"/>
    </row>
    <row r="339" spans="1:33" s="995" customFormat="1">
      <c r="A339" s="974"/>
      <c r="D339" s="876"/>
      <c r="E339" s="974"/>
      <c r="F339" s="876"/>
      <c r="G339" s="876"/>
      <c r="H339" s="876"/>
      <c r="I339" s="876"/>
      <c r="J339" s="876"/>
      <c r="K339" s="876"/>
      <c r="L339" s="876"/>
      <c r="M339" s="876"/>
      <c r="N339" s="876"/>
      <c r="O339" s="876"/>
      <c r="P339" s="876"/>
      <c r="Q339" s="870"/>
      <c r="R339" s="870"/>
      <c r="S339" s="870"/>
      <c r="T339" s="870"/>
      <c r="U339" s="870"/>
      <c r="V339" s="870"/>
      <c r="W339" s="870"/>
      <c r="X339" s="870"/>
      <c r="Y339" s="870"/>
      <c r="Z339" s="870"/>
      <c r="AA339" s="870"/>
      <c r="AB339" s="870"/>
      <c r="AC339" s="870"/>
      <c r="AD339" s="870"/>
      <c r="AE339" s="870"/>
      <c r="AF339" s="870"/>
      <c r="AG339" s="870"/>
    </row>
    <row r="340" spans="1:33" s="995" customFormat="1">
      <c r="A340" s="974"/>
      <c r="D340" s="876"/>
      <c r="E340" s="974"/>
      <c r="F340" s="876"/>
      <c r="G340" s="876"/>
      <c r="H340" s="876"/>
      <c r="I340" s="876"/>
      <c r="J340" s="876"/>
      <c r="K340" s="876"/>
      <c r="L340" s="876"/>
      <c r="M340" s="876"/>
      <c r="N340" s="876"/>
      <c r="O340" s="876"/>
      <c r="P340" s="876"/>
      <c r="Q340" s="870"/>
      <c r="R340" s="870"/>
      <c r="S340" s="870"/>
      <c r="T340" s="870"/>
      <c r="U340" s="870"/>
      <c r="V340" s="870"/>
      <c r="W340" s="870"/>
      <c r="X340" s="870"/>
      <c r="Y340" s="870"/>
      <c r="Z340" s="870"/>
      <c r="AA340" s="870"/>
      <c r="AB340" s="870"/>
      <c r="AC340" s="870"/>
      <c r="AD340" s="870"/>
      <c r="AE340" s="870"/>
      <c r="AF340" s="870"/>
      <c r="AG340" s="870"/>
    </row>
    <row r="341" spans="1:33" s="995" customFormat="1">
      <c r="A341" s="974"/>
      <c r="D341" s="876"/>
      <c r="E341" s="974"/>
      <c r="F341" s="876"/>
      <c r="G341" s="876"/>
      <c r="H341" s="876"/>
      <c r="I341" s="876"/>
      <c r="J341" s="876"/>
      <c r="K341" s="876"/>
      <c r="L341" s="876"/>
      <c r="M341" s="876"/>
      <c r="N341" s="876"/>
      <c r="O341" s="876"/>
      <c r="P341" s="876"/>
      <c r="Q341" s="870"/>
      <c r="R341" s="870"/>
      <c r="S341" s="870"/>
      <c r="T341" s="870"/>
      <c r="U341" s="870"/>
      <c r="V341" s="870"/>
      <c r="W341" s="870"/>
      <c r="X341" s="870"/>
      <c r="Y341" s="870"/>
      <c r="Z341" s="870"/>
      <c r="AA341" s="870"/>
      <c r="AB341" s="870"/>
      <c r="AC341" s="870"/>
      <c r="AD341" s="870"/>
      <c r="AE341" s="870"/>
      <c r="AF341" s="870"/>
      <c r="AG341" s="870"/>
    </row>
    <row r="342" spans="1:33" s="995" customFormat="1">
      <c r="A342" s="974"/>
      <c r="D342" s="876"/>
      <c r="E342" s="974"/>
      <c r="F342" s="876"/>
      <c r="G342" s="876"/>
      <c r="H342" s="876"/>
      <c r="I342" s="876"/>
      <c r="J342" s="876"/>
      <c r="K342" s="876"/>
      <c r="L342" s="876"/>
      <c r="M342" s="876"/>
      <c r="N342" s="876"/>
      <c r="O342" s="876"/>
      <c r="P342" s="876"/>
      <c r="Q342" s="870"/>
      <c r="R342" s="870"/>
      <c r="S342" s="870"/>
      <c r="T342" s="870"/>
      <c r="U342" s="870"/>
      <c r="V342" s="870"/>
      <c r="W342" s="870"/>
      <c r="X342" s="870"/>
      <c r="Y342" s="870"/>
      <c r="Z342" s="870"/>
      <c r="AA342" s="870"/>
      <c r="AB342" s="870"/>
      <c r="AC342" s="870"/>
      <c r="AD342" s="870"/>
      <c r="AE342" s="870"/>
      <c r="AF342" s="870"/>
      <c r="AG342" s="870"/>
    </row>
    <row r="343" spans="1:33" s="995" customFormat="1">
      <c r="A343" s="974"/>
      <c r="D343" s="876"/>
      <c r="E343" s="974"/>
      <c r="F343" s="876"/>
      <c r="G343" s="876"/>
      <c r="H343" s="876"/>
      <c r="I343" s="876"/>
      <c r="J343" s="876"/>
      <c r="K343" s="876"/>
      <c r="L343" s="876"/>
      <c r="M343" s="876"/>
      <c r="N343" s="876"/>
      <c r="O343" s="876"/>
      <c r="P343" s="876"/>
      <c r="Q343" s="870"/>
      <c r="R343" s="870"/>
      <c r="S343" s="870"/>
      <c r="T343" s="870"/>
      <c r="U343" s="870"/>
      <c r="V343" s="870"/>
      <c r="W343" s="870"/>
      <c r="X343" s="870"/>
      <c r="Y343" s="870"/>
      <c r="Z343" s="870"/>
      <c r="AA343" s="870"/>
      <c r="AB343" s="870"/>
      <c r="AC343" s="870"/>
      <c r="AD343" s="870"/>
      <c r="AE343" s="870"/>
      <c r="AF343" s="870"/>
      <c r="AG343" s="870"/>
    </row>
    <row r="344" spans="1:33" s="995" customFormat="1">
      <c r="A344" s="974"/>
      <c r="D344" s="876"/>
      <c r="E344" s="974"/>
      <c r="F344" s="876"/>
      <c r="G344" s="876"/>
      <c r="H344" s="876"/>
      <c r="I344" s="876"/>
      <c r="J344" s="876"/>
      <c r="K344" s="876"/>
      <c r="L344" s="876"/>
      <c r="M344" s="876"/>
      <c r="N344" s="876"/>
      <c r="O344" s="876"/>
      <c r="P344" s="876"/>
      <c r="Q344" s="870"/>
      <c r="R344" s="870"/>
      <c r="S344" s="870"/>
      <c r="T344" s="870"/>
      <c r="U344" s="870"/>
      <c r="V344" s="870"/>
      <c r="W344" s="870"/>
      <c r="X344" s="870"/>
      <c r="Y344" s="870"/>
      <c r="Z344" s="870"/>
      <c r="AA344" s="870"/>
      <c r="AB344" s="870"/>
      <c r="AC344" s="870"/>
      <c r="AD344" s="870"/>
      <c r="AE344" s="870"/>
      <c r="AF344" s="870"/>
      <c r="AG344" s="870"/>
    </row>
    <row r="345" spans="1:33" s="995" customFormat="1">
      <c r="A345" s="974"/>
      <c r="D345" s="876"/>
      <c r="E345" s="974"/>
      <c r="F345" s="876"/>
      <c r="G345" s="876"/>
      <c r="H345" s="876"/>
      <c r="I345" s="876"/>
      <c r="J345" s="876"/>
      <c r="K345" s="876"/>
      <c r="L345" s="876"/>
      <c r="M345" s="876"/>
      <c r="N345" s="876"/>
      <c r="O345" s="876"/>
      <c r="P345" s="876"/>
      <c r="Q345" s="870"/>
      <c r="R345" s="870"/>
      <c r="S345" s="870"/>
      <c r="T345" s="870"/>
      <c r="U345" s="870"/>
      <c r="V345" s="870"/>
      <c r="W345" s="870"/>
      <c r="X345" s="870"/>
      <c r="Y345" s="870"/>
      <c r="Z345" s="870"/>
      <c r="AA345" s="870"/>
      <c r="AB345" s="870"/>
      <c r="AC345" s="870"/>
      <c r="AD345" s="870"/>
      <c r="AE345" s="870"/>
      <c r="AF345" s="870"/>
      <c r="AG345" s="870"/>
    </row>
    <row r="346" spans="1:33" s="995" customFormat="1">
      <c r="A346" s="974"/>
      <c r="D346" s="876"/>
      <c r="E346" s="974"/>
      <c r="F346" s="876"/>
      <c r="G346" s="876"/>
      <c r="H346" s="876"/>
      <c r="I346" s="876"/>
      <c r="J346" s="876"/>
      <c r="K346" s="876"/>
      <c r="L346" s="876"/>
      <c r="M346" s="876"/>
      <c r="N346" s="876"/>
      <c r="O346" s="876"/>
      <c r="P346" s="876"/>
      <c r="Q346" s="870"/>
      <c r="R346" s="870"/>
      <c r="S346" s="870"/>
      <c r="T346" s="870"/>
      <c r="U346" s="870"/>
      <c r="V346" s="870"/>
      <c r="W346" s="870"/>
      <c r="X346" s="870"/>
      <c r="Y346" s="870"/>
      <c r="Z346" s="870"/>
      <c r="AA346" s="870"/>
      <c r="AB346" s="870"/>
      <c r="AC346" s="870"/>
      <c r="AD346" s="870"/>
      <c r="AE346" s="870"/>
      <c r="AF346" s="870"/>
      <c r="AG346" s="870"/>
    </row>
    <row r="347" spans="1:33" s="995" customFormat="1">
      <c r="A347" s="974"/>
      <c r="D347" s="876"/>
      <c r="E347" s="974"/>
      <c r="F347" s="876"/>
      <c r="G347" s="876"/>
      <c r="H347" s="876"/>
      <c r="I347" s="876"/>
      <c r="J347" s="876"/>
      <c r="K347" s="876"/>
      <c r="L347" s="876"/>
      <c r="M347" s="876"/>
      <c r="N347" s="876"/>
      <c r="O347" s="876"/>
      <c r="P347" s="876"/>
      <c r="Q347" s="870"/>
      <c r="R347" s="870"/>
      <c r="S347" s="870"/>
      <c r="T347" s="870"/>
      <c r="U347" s="870"/>
      <c r="V347" s="870"/>
      <c r="W347" s="870"/>
      <c r="X347" s="870"/>
      <c r="Y347" s="870"/>
      <c r="Z347" s="870"/>
      <c r="AA347" s="870"/>
      <c r="AB347" s="870"/>
      <c r="AC347" s="870"/>
      <c r="AD347" s="870"/>
      <c r="AE347" s="870"/>
      <c r="AF347" s="870"/>
      <c r="AG347" s="870"/>
    </row>
    <row r="348" spans="1:33" s="995" customFormat="1">
      <c r="A348" s="974"/>
      <c r="D348" s="876"/>
      <c r="E348" s="974"/>
      <c r="F348" s="876"/>
      <c r="G348" s="876"/>
      <c r="H348" s="876"/>
      <c r="I348" s="876"/>
      <c r="J348" s="876"/>
      <c r="K348" s="876"/>
      <c r="L348" s="876"/>
      <c r="M348" s="876"/>
      <c r="N348" s="876"/>
      <c r="O348" s="876"/>
      <c r="P348" s="876"/>
      <c r="Q348" s="870"/>
      <c r="R348" s="870"/>
      <c r="S348" s="870"/>
      <c r="T348" s="870"/>
      <c r="U348" s="870"/>
      <c r="V348" s="870"/>
      <c r="W348" s="870"/>
      <c r="X348" s="870"/>
      <c r="Y348" s="870"/>
      <c r="Z348" s="870"/>
      <c r="AA348" s="870"/>
      <c r="AB348" s="870"/>
      <c r="AC348" s="870"/>
      <c r="AD348" s="870"/>
      <c r="AE348" s="870"/>
      <c r="AF348" s="870"/>
      <c r="AG348" s="870"/>
    </row>
    <row r="349" spans="1:33" s="995" customFormat="1">
      <c r="A349" s="974"/>
      <c r="D349" s="876"/>
      <c r="E349" s="974"/>
      <c r="F349" s="876"/>
      <c r="G349" s="876"/>
      <c r="H349" s="876"/>
      <c r="I349" s="876"/>
      <c r="J349" s="876"/>
      <c r="K349" s="876"/>
      <c r="L349" s="876"/>
      <c r="M349" s="876"/>
      <c r="N349" s="876"/>
      <c r="O349" s="876"/>
      <c r="P349" s="876"/>
      <c r="Q349" s="870"/>
      <c r="R349" s="870"/>
      <c r="S349" s="870"/>
      <c r="T349" s="870"/>
      <c r="U349" s="870"/>
      <c r="V349" s="870"/>
      <c r="W349" s="870"/>
      <c r="X349" s="870"/>
      <c r="Y349" s="870"/>
      <c r="Z349" s="870"/>
      <c r="AA349" s="870"/>
      <c r="AB349" s="870"/>
      <c r="AC349" s="870"/>
      <c r="AD349" s="870"/>
      <c r="AE349" s="870"/>
      <c r="AF349" s="870"/>
      <c r="AG349" s="870"/>
    </row>
    <row r="350" spans="1:33" s="995" customFormat="1">
      <c r="A350" s="974"/>
      <c r="D350" s="876"/>
      <c r="E350" s="974"/>
      <c r="F350" s="876"/>
      <c r="G350" s="876"/>
      <c r="H350" s="876"/>
      <c r="I350" s="876"/>
      <c r="J350" s="876"/>
      <c r="K350" s="876"/>
      <c r="L350" s="876"/>
      <c r="M350" s="876"/>
      <c r="N350" s="876"/>
      <c r="O350" s="876"/>
      <c r="P350" s="876"/>
      <c r="Q350" s="870"/>
      <c r="R350" s="870"/>
      <c r="S350" s="870"/>
      <c r="T350" s="870"/>
      <c r="U350" s="870"/>
      <c r="V350" s="870"/>
      <c r="W350" s="870"/>
      <c r="X350" s="870"/>
      <c r="Y350" s="870"/>
      <c r="Z350" s="870"/>
      <c r="AA350" s="870"/>
      <c r="AB350" s="870"/>
      <c r="AC350" s="870"/>
      <c r="AD350" s="870"/>
      <c r="AE350" s="870"/>
      <c r="AF350" s="870"/>
      <c r="AG350" s="870"/>
    </row>
    <row r="351" spans="1:33" s="995" customFormat="1">
      <c r="A351" s="974"/>
      <c r="D351" s="876"/>
      <c r="E351" s="974"/>
      <c r="F351" s="876"/>
      <c r="G351" s="876"/>
      <c r="H351" s="876"/>
      <c r="I351" s="876"/>
      <c r="J351" s="876"/>
      <c r="K351" s="876"/>
      <c r="L351" s="876"/>
      <c r="M351" s="876"/>
      <c r="N351" s="876"/>
      <c r="O351" s="876"/>
      <c r="P351" s="876"/>
      <c r="Q351" s="870"/>
      <c r="R351" s="870"/>
      <c r="S351" s="870"/>
      <c r="T351" s="870"/>
      <c r="U351" s="870"/>
      <c r="V351" s="870"/>
      <c r="W351" s="870"/>
      <c r="X351" s="870"/>
      <c r="Y351" s="870"/>
      <c r="Z351" s="870"/>
      <c r="AA351" s="870"/>
      <c r="AB351" s="870"/>
      <c r="AC351" s="870"/>
      <c r="AD351" s="870"/>
      <c r="AE351" s="870"/>
      <c r="AF351" s="870"/>
      <c r="AG351" s="870"/>
    </row>
    <row r="352" spans="1:33" s="995" customFormat="1">
      <c r="A352" s="974"/>
      <c r="D352" s="876"/>
      <c r="E352" s="974"/>
      <c r="F352" s="876"/>
      <c r="G352" s="876"/>
      <c r="H352" s="876"/>
      <c r="I352" s="876"/>
      <c r="J352" s="876"/>
      <c r="K352" s="876"/>
      <c r="L352" s="876"/>
      <c r="M352" s="876"/>
      <c r="N352" s="876"/>
      <c r="O352" s="876"/>
      <c r="P352" s="876"/>
      <c r="Q352" s="870"/>
      <c r="R352" s="870"/>
      <c r="S352" s="870"/>
      <c r="T352" s="870"/>
      <c r="U352" s="870"/>
      <c r="V352" s="870"/>
      <c r="W352" s="870"/>
      <c r="X352" s="870"/>
      <c r="Y352" s="870"/>
      <c r="Z352" s="870"/>
      <c r="AA352" s="870"/>
      <c r="AB352" s="870"/>
      <c r="AC352" s="870"/>
      <c r="AD352" s="870"/>
      <c r="AE352" s="870"/>
      <c r="AF352" s="870"/>
      <c r="AG352" s="870"/>
    </row>
    <row r="353" spans="1:33" s="995" customFormat="1">
      <c r="A353" s="974"/>
      <c r="D353" s="876"/>
      <c r="E353" s="974"/>
      <c r="F353" s="876"/>
      <c r="G353" s="876"/>
      <c r="H353" s="876"/>
      <c r="I353" s="876"/>
      <c r="J353" s="876"/>
      <c r="K353" s="876"/>
      <c r="L353" s="876"/>
      <c r="M353" s="876"/>
      <c r="N353" s="876"/>
      <c r="O353" s="876"/>
      <c r="P353" s="876"/>
      <c r="Q353" s="870"/>
      <c r="R353" s="870"/>
      <c r="S353" s="870"/>
      <c r="T353" s="870"/>
      <c r="U353" s="870"/>
      <c r="V353" s="870"/>
      <c r="W353" s="870"/>
      <c r="X353" s="870"/>
      <c r="Y353" s="870"/>
      <c r="Z353" s="870"/>
      <c r="AA353" s="870"/>
      <c r="AB353" s="870"/>
      <c r="AC353" s="870"/>
      <c r="AD353" s="870"/>
      <c r="AE353" s="870"/>
      <c r="AF353" s="870"/>
      <c r="AG353" s="870"/>
    </row>
    <row r="354" spans="1:33" s="995" customFormat="1">
      <c r="A354" s="974"/>
      <c r="D354" s="876"/>
      <c r="E354" s="974"/>
      <c r="F354" s="876"/>
      <c r="G354" s="876"/>
      <c r="H354" s="876"/>
      <c r="I354" s="876"/>
      <c r="J354" s="876"/>
      <c r="K354" s="876"/>
      <c r="L354" s="876"/>
      <c r="M354" s="876"/>
      <c r="N354" s="876"/>
      <c r="O354" s="876"/>
      <c r="P354" s="876"/>
      <c r="Q354" s="870"/>
      <c r="R354" s="870"/>
      <c r="S354" s="870"/>
      <c r="T354" s="870"/>
      <c r="U354" s="870"/>
      <c r="V354" s="870"/>
      <c r="W354" s="870"/>
      <c r="X354" s="870"/>
      <c r="Y354" s="870"/>
      <c r="Z354" s="870"/>
      <c r="AA354" s="870"/>
      <c r="AB354" s="870"/>
      <c r="AC354" s="870"/>
      <c r="AD354" s="870"/>
      <c r="AE354" s="870"/>
      <c r="AF354" s="870"/>
      <c r="AG354" s="870"/>
    </row>
    <row r="355" spans="1:33" s="995" customFormat="1">
      <c r="A355" s="974"/>
      <c r="D355" s="876"/>
      <c r="E355" s="974"/>
      <c r="F355" s="876"/>
      <c r="G355" s="876"/>
      <c r="H355" s="876"/>
      <c r="I355" s="876"/>
      <c r="J355" s="876"/>
      <c r="K355" s="876"/>
      <c r="L355" s="876"/>
      <c r="M355" s="876"/>
      <c r="N355" s="876"/>
      <c r="O355" s="876"/>
      <c r="P355" s="876"/>
      <c r="Q355" s="870"/>
      <c r="R355" s="870"/>
      <c r="S355" s="870"/>
      <c r="T355" s="870"/>
      <c r="U355" s="870"/>
      <c r="V355" s="870"/>
      <c r="W355" s="870"/>
      <c r="X355" s="870"/>
      <c r="Y355" s="870"/>
      <c r="Z355" s="870"/>
      <c r="AA355" s="870"/>
      <c r="AB355" s="870"/>
      <c r="AC355" s="870"/>
      <c r="AD355" s="870"/>
      <c r="AE355" s="870"/>
      <c r="AF355" s="870"/>
      <c r="AG355" s="870"/>
    </row>
    <row r="356" spans="1:33" s="995" customFormat="1">
      <c r="A356" s="974"/>
      <c r="D356" s="876"/>
      <c r="E356" s="974"/>
      <c r="F356" s="876"/>
      <c r="G356" s="876"/>
      <c r="H356" s="876"/>
      <c r="I356" s="876"/>
      <c r="J356" s="876"/>
      <c r="K356" s="876"/>
      <c r="L356" s="876"/>
      <c r="M356" s="876"/>
      <c r="N356" s="876"/>
      <c r="O356" s="876"/>
      <c r="P356" s="876"/>
      <c r="Q356" s="870"/>
      <c r="R356" s="870"/>
      <c r="S356" s="870"/>
      <c r="T356" s="870"/>
      <c r="U356" s="870"/>
      <c r="V356" s="870"/>
      <c r="W356" s="870"/>
      <c r="X356" s="870"/>
      <c r="Y356" s="870"/>
      <c r="Z356" s="870"/>
      <c r="AA356" s="870"/>
      <c r="AB356" s="870"/>
      <c r="AC356" s="870"/>
      <c r="AD356" s="870"/>
      <c r="AE356" s="870"/>
      <c r="AF356" s="870"/>
      <c r="AG356" s="870"/>
    </row>
    <row r="357" spans="1:33" s="995" customFormat="1">
      <c r="A357" s="974"/>
      <c r="D357" s="876"/>
      <c r="E357" s="974"/>
      <c r="F357" s="876"/>
      <c r="G357" s="876"/>
      <c r="H357" s="876"/>
      <c r="I357" s="876"/>
      <c r="J357" s="876"/>
      <c r="K357" s="876"/>
      <c r="L357" s="876"/>
      <c r="M357" s="876"/>
      <c r="N357" s="876"/>
      <c r="O357" s="876"/>
      <c r="P357" s="876"/>
      <c r="Q357" s="870"/>
      <c r="R357" s="870"/>
      <c r="S357" s="870"/>
      <c r="T357" s="870"/>
      <c r="U357" s="870"/>
      <c r="V357" s="870"/>
      <c r="W357" s="870"/>
      <c r="X357" s="870"/>
      <c r="Y357" s="870"/>
      <c r="Z357" s="870"/>
      <c r="AA357" s="870"/>
      <c r="AB357" s="870"/>
      <c r="AC357" s="870"/>
      <c r="AD357" s="870"/>
      <c r="AE357" s="870"/>
      <c r="AF357" s="870"/>
      <c r="AG357" s="870"/>
    </row>
    <row r="358" spans="1:33" s="995" customFormat="1">
      <c r="A358" s="974"/>
      <c r="D358" s="876"/>
      <c r="E358" s="974"/>
      <c r="F358" s="876"/>
      <c r="G358" s="876"/>
      <c r="H358" s="876"/>
      <c r="I358" s="876"/>
      <c r="J358" s="876"/>
      <c r="K358" s="876"/>
      <c r="L358" s="876"/>
      <c r="M358" s="876"/>
      <c r="N358" s="876"/>
      <c r="O358" s="876"/>
      <c r="P358" s="876"/>
      <c r="Q358" s="870"/>
      <c r="R358" s="870"/>
      <c r="S358" s="870"/>
      <c r="T358" s="870"/>
      <c r="U358" s="870"/>
      <c r="V358" s="870"/>
      <c r="W358" s="870"/>
      <c r="X358" s="870"/>
      <c r="Y358" s="870"/>
      <c r="Z358" s="870"/>
      <c r="AA358" s="870"/>
      <c r="AB358" s="870"/>
      <c r="AC358" s="870"/>
      <c r="AD358" s="870"/>
      <c r="AE358" s="870"/>
      <c r="AF358" s="870"/>
      <c r="AG358" s="870"/>
    </row>
    <row r="359" spans="1:33" s="995" customFormat="1">
      <c r="A359" s="974"/>
      <c r="D359" s="876"/>
      <c r="E359" s="974"/>
      <c r="F359" s="876"/>
      <c r="G359" s="876"/>
      <c r="H359" s="876"/>
      <c r="I359" s="876"/>
      <c r="J359" s="876"/>
      <c r="K359" s="876"/>
      <c r="L359" s="876"/>
      <c r="M359" s="876"/>
      <c r="N359" s="876"/>
      <c r="O359" s="876"/>
      <c r="P359" s="876"/>
      <c r="Q359" s="870"/>
      <c r="R359" s="870"/>
      <c r="S359" s="870"/>
      <c r="T359" s="870"/>
      <c r="U359" s="870"/>
      <c r="V359" s="870"/>
      <c r="W359" s="870"/>
      <c r="X359" s="870"/>
      <c r="Y359" s="870"/>
      <c r="Z359" s="870"/>
      <c r="AA359" s="870"/>
      <c r="AB359" s="870"/>
      <c r="AC359" s="870"/>
      <c r="AD359" s="870"/>
      <c r="AE359" s="870"/>
      <c r="AF359" s="870"/>
      <c r="AG359" s="870"/>
    </row>
    <row r="360" spans="1:33" s="995" customFormat="1">
      <c r="A360" s="974"/>
      <c r="D360" s="876"/>
      <c r="E360" s="974"/>
      <c r="F360" s="876"/>
      <c r="G360" s="876"/>
      <c r="H360" s="876"/>
      <c r="I360" s="876"/>
      <c r="J360" s="876"/>
      <c r="K360" s="876"/>
      <c r="L360" s="876"/>
      <c r="M360" s="876"/>
      <c r="N360" s="876"/>
      <c r="O360" s="876"/>
      <c r="P360" s="876"/>
      <c r="Q360" s="870"/>
      <c r="R360" s="870"/>
      <c r="S360" s="870"/>
      <c r="T360" s="870"/>
      <c r="U360" s="870"/>
      <c r="V360" s="870"/>
      <c r="W360" s="870"/>
      <c r="X360" s="870"/>
      <c r="Y360" s="870"/>
      <c r="Z360" s="870"/>
      <c r="AA360" s="870"/>
      <c r="AB360" s="870"/>
      <c r="AC360" s="870"/>
      <c r="AD360" s="870"/>
      <c r="AE360" s="870"/>
      <c r="AF360" s="870"/>
      <c r="AG360" s="870"/>
    </row>
    <row r="361" spans="1:33" s="995" customFormat="1">
      <c r="A361" s="974"/>
      <c r="D361" s="876"/>
      <c r="E361" s="974"/>
      <c r="F361" s="876"/>
      <c r="G361" s="876"/>
      <c r="H361" s="876"/>
      <c r="I361" s="876"/>
      <c r="J361" s="876"/>
      <c r="K361" s="876"/>
      <c r="L361" s="876"/>
      <c r="M361" s="876"/>
      <c r="N361" s="876"/>
      <c r="O361" s="876"/>
      <c r="P361" s="876"/>
      <c r="Q361" s="870"/>
      <c r="R361" s="870"/>
      <c r="S361" s="870"/>
      <c r="T361" s="870"/>
      <c r="U361" s="870"/>
      <c r="V361" s="870"/>
      <c r="W361" s="870"/>
      <c r="X361" s="870"/>
      <c r="Y361" s="870"/>
      <c r="Z361" s="870"/>
      <c r="AA361" s="870"/>
      <c r="AB361" s="870"/>
      <c r="AC361" s="870"/>
      <c r="AD361" s="870"/>
      <c r="AE361" s="870"/>
      <c r="AF361" s="870"/>
      <c r="AG361" s="870"/>
    </row>
    <row r="362" spans="1:33" s="995" customFormat="1">
      <c r="A362" s="974"/>
      <c r="D362" s="876"/>
      <c r="E362" s="974"/>
      <c r="F362" s="876"/>
      <c r="G362" s="876"/>
      <c r="H362" s="876"/>
      <c r="I362" s="876"/>
      <c r="J362" s="876"/>
      <c r="K362" s="876"/>
      <c r="L362" s="876"/>
      <c r="M362" s="876"/>
      <c r="N362" s="876"/>
      <c r="O362" s="876"/>
      <c r="P362" s="876"/>
      <c r="Q362" s="870"/>
      <c r="R362" s="870"/>
      <c r="S362" s="870"/>
      <c r="T362" s="870"/>
      <c r="U362" s="870"/>
      <c r="V362" s="870"/>
      <c r="W362" s="870"/>
      <c r="X362" s="870"/>
      <c r="Y362" s="870"/>
      <c r="Z362" s="870"/>
      <c r="AA362" s="870"/>
      <c r="AB362" s="870"/>
      <c r="AC362" s="870"/>
      <c r="AD362" s="870"/>
      <c r="AE362" s="870"/>
      <c r="AF362" s="870"/>
      <c r="AG362" s="870"/>
    </row>
    <row r="363" spans="1:33" s="995" customFormat="1">
      <c r="A363" s="974"/>
      <c r="D363" s="876"/>
      <c r="E363" s="974"/>
      <c r="F363" s="876"/>
      <c r="G363" s="876"/>
      <c r="H363" s="876"/>
      <c r="I363" s="876"/>
      <c r="J363" s="876"/>
      <c r="K363" s="876"/>
      <c r="L363" s="876"/>
      <c r="M363" s="876"/>
      <c r="N363" s="876"/>
      <c r="O363" s="876"/>
      <c r="P363" s="876"/>
      <c r="Q363" s="870"/>
      <c r="R363" s="870"/>
      <c r="S363" s="870"/>
      <c r="T363" s="870"/>
      <c r="U363" s="870"/>
      <c r="V363" s="870"/>
      <c r="W363" s="870"/>
      <c r="X363" s="870"/>
      <c r="Y363" s="870"/>
      <c r="Z363" s="870"/>
      <c r="AA363" s="870"/>
      <c r="AB363" s="870"/>
      <c r="AC363" s="870"/>
      <c r="AD363" s="870"/>
      <c r="AE363" s="870"/>
      <c r="AF363" s="870"/>
      <c r="AG363" s="870"/>
    </row>
    <row r="364" spans="1:33" s="995" customFormat="1">
      <c r="A364" s="974"/>
      <c r="D364" s="876"/>
      <c r="E364" s="974"/>
      <c r="F364" s="876"/>
      <c r="G364" s="876"/>
      <c r="H364" s="876"/>
      <c r="I364" s="876"/>
      <c r="J364" s="876"/>
      <c r="K364" s="876"/>
      <c r="L364" s="876"/>
      <c r="M364" s="876"/>
      <c r="N364" s="876"/>
      <c r="O364" s="876"/>
      <c r="P364" s="876"/>
      <c r="Q364" s="870"/>
      <c r="R364" s="870"/>
      <c r="S364" s="870"/>
      <c r="T364" s="870"/>
      <c r="U364" s="870"/>
      <c r="V364" s="870"/>
      <c r="W364" s="870"/>
      <c r="X364" s="870"/>
      <c r="Y364" s="870"/>
      <c r="Z364" s="870"/>
      <c r="AA364" s="870"/>
      <c r="AB364" s="870"/>
      <c r="AC364" s="870"/>
      <c r="AD364" s="870"/>
      <c r="AE364" s="870"/>
      <c r="AF364" s="870"/>
      <c r="AG364" s="870"/>
    </row>
    <row r="365" spans="1:33" s="995" customFormat="1">
      <c r="A365" s="974"/>
      <c r="D365" s="876"/>
      <c r="E365" s="974"/>
      <c r="F365" s="876"/>
      <c r="G365" s="876"/>
      <c r="H365" s="876"/>
      <c r="I365" s="876"/>
      <c r="J365" s="876"/>
      <c r="K365" s="876"/>
      <c r="L365" s="876"/>
      <c r="M365" s="876"/>
      <c r="N365" s="876"/>
      <c r="O365" s="876"/>
      <c r="P365" s="876"/>
      <c r="Q365" s="870"/>
      <c r="R365" s="870"/>
      <c r="S365" s="870"/>
      <c r="T365" s="870"/>
      <c r="U365" s="870"/>
      <c r="V365" s="870"/>
      <c r="W365" s="870"/>
      <c r="X365" s="870"/>
      <c r="Y365" s="870"/>
      <c r="Z365" s="870"/>
      <c r="AA365" s="870"/>
      <c r="AB365" s="870"/>
      <c r="AC365" s="870"/>
      <c r="AD365" s="870"/>
      <c r="AE365" s="870"/>
      <c r="AF365" s="870"/>
      <c r="AG365" s="870"/>
    </row>
    <row r="366" spans="1:33" s="995" customFormat="1">
      <c r="A366" s="974"/>
      <c r="D366" s="876"/>
      <c r="E366" s="974"/>
      <c r="F366" s="876"/>
      <c r="G366" s="876"/>
      <c r="H366" s="876"/>
      <c r="I366" s="876"/>
      <c r="J366" s="876"/>
      <c r="K366" s="876"/>
      <c r="L366" s="876"/>
      <c r="M366" s="876"/>
      <c r="N366" s="876"/>
      <c r="O366" s="876"/>
      <c r="P366" s="876"/>
      <c r="Q366" s="870"/>
      <c r="R366" s="870"/>
      <c r="S366" s="870"/>
      <c r="T366" s="870"/>
      <c r="U366" s="870"/>
      <c r="V366" s="870"/>
      <c r="W366" s="870"/>
      <c r="X366" s="870"/>
      <c r="Y366" s="870"/>
      <c r="Z366" s="870"/>
      <c r="AA366" s="870"/>
      <c r="AB366" s="870"/>
      <c r="AC366" s="870"/>
      <c r="AD366" s="870"/>
      <c r="AE366" s="870"/>
      <c r="AF366" s="870"/>
      <c r="AG366" s="870"/>
    </row>
    <row r="367" spans="1:33" s="995" customFormat="1">
      <c r="A367" s="974"/>
      <c r="D367" s="876"/>
      <c r="E367" s="974"/>
      <c r="F367" s="876"/>
      <c r="G367" s="876"/>
      <c r="H367" s="876"/>
      <c r="I367" s="876"/>
      <c r="J367" s="876"/>
      <c r="K367" s="876"/>
      <c r="L367" s="876"/>
      <c r="M367" s="876"/>
      <c r="N367" s="876"/>
      <c r="O367" s="876"/>
      <c r="P367" s="876"/>
      <c r="Q367" s="870"/>
      <c r="R367" s="870"/>
      <c r="S367" s="870"/>
      <c r="T367" s="870"/>
      <c r="U367" s="870"/>
      <c r="V367" s="870"/>
      <c r="W367" s="870"/>
      <c r="X367" s="870"/>
      <c r="Y367" s="870"/>
      <c r="Z367" s="870"/>
      <c r="AA367" s="870"/>
      <c r="AB367" s="870"/>
      <c r="AC367" s="870"/>
      <c r="AD367" s="870"/>
      <c r="AE367" s="870"/>
      <c r="AF367" s="870"/>
      <c r="AG367" s="870"/>
    </row>
    <row r="368" spans="1:33" s="995" customFormat="1">
      <c r="A368" s="974"/>
      <c r="D368" s="876"/>
      <c r="E368" s="974"/>
      <c r="F368" s="876"/>
      <c r="G368" s="876"/>
      <c r="H368" s="876"/>
      <c r="I368" s="876"/>
      <c r="J368" s="876"/>
      <c r="K368" s="876"/>
      <c r="L368" s="876"/>
      <c r="M368" s="876"/>
      <c r="N368" s="876"/>
      <c r="O368" s="876"/>
      <c r="P368" s="876"/>
      <c r="Q368" s="870"/>
      <c r="R368" s="870"/>
      <c r="S368" s="870"/>
      <c r="T368" s="870"/>
      <c r="U368" s="870"/>
      <c r="V368" s="870"/>
      <c r="W368" s="870"/>
      <c r="X368" s="870"/>
      <c r="Y368" s="870"/>
      <c r="Z368" s="870"/>
      <c r="AA368" s="870"/>
      <c r="AB368" s="870"/>
      <c r="AC368" s="870"/>
      <c r="AD368" s="870"/>
      <c r="AE368" s="870"/>
      <c r="AF368" s="870"/>
      <c r="AG368" s="870"/>
    </row>
    <row r="369" spans="1:33" s="995" customFormat="1">
      <c r="A369" s="974"/>
      <c r="D369" s="876"/>
      <c r="E369" s="974"/>
      <c r="F369" s="876"/>
      <c r="G369" s="876"/>
      <c r="H369" s="876"/>
      <c r="I369" s="876"/>
      <c r="J369" s="876"/>
      <c r="K369" s="876"/>
      <c r="L369" s="876"/>
      <c r="M369" s="876"/>
      <c r="N369" s="876"/>
      <c r="O369" s="876"/>
      <c r="P369" s="876"/>
      <c r="Q369" s="870"/>
      <c r="R369" s="870"/>
      <c r="S369" s="870"/>
      <c r="T369" s="870"/>
      <c r="U369" s="870"/>
      <c r="V369" s="870"/>
      <c r="W369" s="870"/>
      <c r="X369" s="870"/>
      <c r="Y369" s="870"/>
      <c r="Z369" s="870"/>
      <c r="AA369" s="870"/>
      <c r="AB369" s="870"/>
      <c r="AC369" s="870"/>
      <c r="AD369" s="870"/>
      <c r="AE369" s="870"/>
      <c r="AF369" s="870"/>
      <c r="AG369" s="870"/>
    </row>
    <row r="370" spans="1:33" s="995" customFormat="1">
      <c r="A370" s="974"/>
      <c r="D370" s="876"/>
      <c r="E370" s="974"/>
      <c r="F370" s="876"/>
      <c r="G370" s="876"/>
      <c r="H370" s="876"/>
      <c r="I370" s="876"/>
      <c r="J370" s="876"/>
      <c r="K370" s="876"/>
      <c r="L370" s="876"/>
      <c r="M370" s="876"/>
      <c r="N370" s="876"/>
      <c r="O370" s="876"/>
      <c r="P370" s="876"/>
      <c r="Q370" s="870"/>
      <c r="R370" s="870"/>
      <c r="S370" s="870"/>
      <c r="T370" s="870"/>
      <c r="U370" s="870"/>
      <c r="V370" s="870"/>
      <c r="W370" s="870"/>
      <c r="X370" s="870"/>
      <c r="Y370" s="870"/>
      <c r="Z370" s="870"/>
      <c r="AA370" s="870"/>
      <c r="AB370" s="870"/>
      <c r="AC370" s="870"/>
      <c r="AD370" s="870"/>
      <c r="AE370" s="870"/>
      <c r="AF370" s="870"/>
      <c r="AG370" s="870"/>
    </row>
    <row r="371" spans="1:33" s="995" customFormat="1">
      <c r="A371" s="974"/>
      <c r="D371" s="876"/>
      <c r="E371" s="974"/>
      <c r="F371" s="876"/>
      <c r="G371" s="876"/>
      <c r="H371" s="876"/>
      <c r="I371" s="876"/>
      <c r="J371" s="876"/>
      <c r="K371" s="876"/>
      <c r="L371" s="876"/>
      <c r="M371" s="876"/>
      <c r="N371" s="876"/>
      <c r="O371" s="876"/>
      <c r="P371" s="876"/>
      <c r="Q371" s="870"/>
      <c r="R371" s="870"/>
      <c r="S371" s="870"/>
      <c r="T371" s="870"/>
      <c r="U371" s="870"/>
      <c r="V371" s="870"/>
      <c r="W371" s="870"/>
      <c r="X371" s="870"/>
      <c r="Y371" s="870"/>
      <c r="Z371" s="870"/>
      <c r="AA371" s="870"/>
      <c r="AB371" s="870"/>
      <c r="AC371" s="870"/>
      <c r="AD371" s="870"/>
      <c r="AE371" s="870"/>
      <c r="AF371" s="870"/>
      <c r="AG371" s="870"/>
    </row>
    <row r="372" spans="1:33" s="995" customFormat="1">
      <c r="A372" s="974"/>
      <c r="D372" s="876"/>
      <c r="E372" s="974"/>
      <c r="F372" s="876"/>
      <c r="G372" s="876"/>
      <c r="H372" s="876"/>
      <c r="I372" s="876"/>
      <c r="J372" s="876"/>
      <c r="K372" s="876"/>
      <c r="L372" s="876"/>
      <c r="M372" s="876"/>
      <c r="N372" s="876"/>
      <c r="O372" s="876"/>
      <c r="P372" s="876"/>
      <c r="Q372" s="870"/>
      <c r="R372" s="870"/>
      <c r="S372" s="870"/>
      <c r="T372" s="870"/>
      <c r="U372" s="870"/>
      <c r="V372" s="870"/>
      <c r="W372" s="870"/>
      <c r="X372" s="870"/>
      <c r="Y372" s="870"/>
      <c r="Z372" s="870"/>
      <c r="AA372" s="870"/>
      <c r="AB372" s="870"/>
      <c r="AC372" s="870"/>
      <c r="AD372" s="870"/>
      <c r="AE372" s="870"/>
      <c r="AF372" s="870"/>
      <c r="AG372" s="870"/>
    </row>
    <row r="373" spans="1:33" s="995" customFormat="1">
      <c r="A373" s="974"/>
      <c r="D373" s="876"/>
      <c r="E373" s="974"/>
      <c r="F373" s="876"/>
      <c r="G373" s="876"/>
      <c r="H373" s="876"/>
      <c r="I373" s="876"/>
      <c r="J373" s="876"/>
      <c r="K373" s="876"/>
      <c r="L373" s="876"/>
      <c r="M373" s="876"/>
      <c r="N373" s="876"/>
      <c r="O373" s="876"/>
      <c r="P373" s="876"/>
      <c r="Q373" s="870"/>
      <c r="R373" s="870"/>
      <c r="S373" s="870"/>
      <c r="T373" s="870"/>
      <c r="U373" s="870"/>
      <c r="V373" s="870"/>
      <c r="W373" s="870"/>
      <c r="X373" s="870"/>
      <c r="Y373" s="870"/>
      <c r="Z373" s="870"/>
      <c r="AA373" s="870"/>
      <c r="AB373" s="870"/>
      <c r="AC373" s="870"/>
      <c r="AD373" s="870"/>
      <c r="AE373" s="870"/>
      <c r="AF373" s="870"/>
      <c r="AG373" s="870"/>
    </row>
    <row r="374" spans="1:33" s="995" customFormat="1">
      <c r="A374" s="974"/>
      <c r="D374" s="876"/>
      <c r="E374" s="974"/>
      <c r="F374" s="876"/>
      <c r="G374" s="876"/>
      <c r="H374" s="876"/>
      <c r="I374" s="876"/>
      <c r="J374" s="876"/>
      <c r="K374" s="876"/>
      <c r="L374" s="876"/>
      <c r="M374" s="876"/>
      <c r="N374" s="876"/>
      <c r="O374" s="876"/>
      <c r="P374" s="876"/>
      <c r="Q374" s="870"/>
      <c r="R374" s="870"/>
      <c r="S374" s="870"/>
      <c r="T374" s="870"/>
      <c r="U374" s="870"/>
      <c r="V374" s="870"/>
      <c r="W374" s="870"/>
      <c r="X374" s="870"/>
      <c r="Y374" s="870"/>
      <c r="Z374" s="870"/>
      <c r="AA374" s="870"/>
      <c r="AB374" s="870"/>
      <c r="AC374" s="870"/>
      <c r="AD374" s="870"/>
      <c r="AE374" s="870"/>
      <c r="AF374" s="870"/>
      <c r="AG374" s="870"/>
    </row>
    <row r="375" spans="1:33" s="995" customFormat="1">
      <c r="A375" s="974"/>
      <c r="D375" s="876"/>
      <c r="E375" s="974"/>
      <c r="F375" s="876"/>
      <c r="G375" s="876"/>
      <c r="H375" s="876"/>
      <c r="I375" s="876"/>
      <c r="J375" s="876"/>
      <c r="K375" s="876"/>
      <c r="L375" s="876"/>
      <c r="M375" s="876"/>
      <c r="N375" s="876"/>
      <c r="O375" s="876"/>
      <c r="P375" s="876"/>
      <c r="Q375" s="870"/>
      <c r="R375" s="870"/>
      <c r="S375" s="870"/>
      <c r="T375" s="870"/>
      <c r="U375" s="870"/>
      <c r="V375" s="870"/>
      <c r="W375" s="870"/>
      <c r="X375" s="870"/>
      <c r="Y375" s="870"/>
      <c r="Z375" s="870"/>
      <c r="AA375" s="870"/>
      <c r="AB375" s="870"/>
      <c r="AC375" s="870"/>
      <c r="AD375" s="870"/>
      <c r="AE375" s="870"/>
      <c r="AF375" s="870"/>
      <c r="AG375" s="870"/>
    </row>
    <row r="376" spans="1:33" s="995" customFormat="1">
      <c r="A376" s="974"/>
      <c r="D376" s="876"/>
      <c r="E376" s="974"/>
      <c r="F376" s="876"/>
      <c r="G376" s="876"/>
      <c r="H376" s="876"/>
      <c r="I376" s="876"/>
      <c r="J376" s="876"/>
      <c r="K376" s="876"/>
      <c r="L376" s="876"/>
      <c r="M376" s="876"/>
      <c r="N376" s="876"/>
      <c r="O376" s="876"/>
      <c r="P376" s="876"/>
      <c r="Q376" s="870"/>
      <c r="R376" s="870"/>
      <c r="S376" s="870"/>
      <c r="T376" s="870"/>
      <c r="U376" s="870"/>
      <c r="V376" s="870"/>
      <c r="W376" s="870"/>
      <c r="X376" s="870"/>
      <c r="Y376" s="870"/>
      <c r="Z376" s="870"/>
      <c r="AA376" s="870"/>
      <c r="AB376" s="870"/>
      <c r="AC376" s="870"/>
      <c r="AD376" s="870"/>
      <c r="AE376" s="870"/>
      <c r="AF376" s="870"/>
      <c r="AG376" s="870"/>
    </row>
    <row r="377" spans="1:33" s="995" customFormat="1">
      <c r="A377" s="974"/>
      <c r="D377" s="876"/>
      <c r="E377" s="974"/>
      <c r="F377" s="876"/>
      <c r="G377" s="876"/>
      <c r="H377" s="876"/>
      <c r="I377" s="876"/>
      <c r="J377" s="876"/>
      <c r="K377" s="876"/>
      <c r="L377" s="876"/>
      <c r="M377" s="876"/>
      <c r="N377" s="876"/>
      <c r="O377" s="876"/>
      <c r="P377" s="876"/>
      <c r="Q377" s="870"/>
      <c r="R377" s="870"/>
      <c r="S377" s="870"/>
      <c r="T377" s="870"/>
      <c r="U377" s="870"/>
      <c r="V377" s="870"/>
      <c r="W377" s="870"/>
      <c r="X377" s="870"/>
      <c r="Y377" s="870"/>
      <c r="Z377" s="870"/>
      <c r="AA377" s="870"/>
      <c r="AB377" s="870"/>
      <c r="AC377" s="870"/>
      <c r="AD377" s="870"/>
      <c r="AE377" s="870"/>
      <c r="AF377" s="870"/>
      <c r="AG377" s="870"/>
    </row>
    <row r="378" spans="1:33" s="995" customFormat="1">
      <c r="A378" s="974"/>
      <c r="D378" s="876"/>
      <c r="E378" s="974"/>
      <c r="F378" s="876"/>
      <c r="G378" s="876"/>
      <c r="H378" s="876"/>
      <c r="I378" s="876"/>
      <c r="J378" s="876"/>
      <c r="K378" s="876"/>
      <c r="L378" s="876"/>
      <c r="M378" s="876"/>
      <c r="N378" s="876"/>
      <c r="O378" s="876"/>
      <c r="P378" s="876"/>
      <c r="Q378" s="870"/>
      <c r="R378" s="870"/>
      <c r="S378" s="870"/>
      <c r="T378" s="870"/>
      <c r="U378" s="870"/>
      <c r="V378" s="870"/>
      <c r="W378" s="870"/>
      <c r="X378" s="870"/>
      <c r="Y378" s="870"/>
      <c r="Z378" s="870"/>
      <c r="AA378" s="870"/>
      <c r="AB378" s="870"/>
      <c r="AC378" s="870"/>
      <c r="AD378" s="870"/>
      <c r="AE378" s="870"/>
      <c r="AF378" s="870"/>
      <c r="AG378" s="870"/>
    </row>
    <row r="379" spans="1:33" s="995" customFormat="1">
      <c r="A379" s="974"/>
      <c r="D379" s="876"/>
      <c r="E379" s="974"/>
      <c r="F379" s="876"/>
      <c r="G379" s="876"/>
      <c r="H379" s="876"/>
      <c r="I379" s="876"/>
      <c r="J379" s="876"/>
      <c r="K379" s="876"/>
      <c r="L379" s="876"/>
      <c r="M379" s="876"/>
      <c r="N379" s="876"/>
      <c r="O379" s="876"/>
      <c r="P379" s="876"/>
      <c r="Q379" s="870"/>
      <c r="R379" s="870"/>
      <c r="S379" s="870"/>
      <c r="T379" s="870"/>
      <c r="U379" s="870"/>
      <c r="V379" s="870"/>
      <c r="W379" s="870"/>
      <c r="X379" s="870"/>
      <c r="Y379" s="870"/>
      <c r="Z379" s="870"/>
      <c r="AA379" s="870"/>
      <c r="AB379" s="870"/>
      <c r="AC379" s="870"/>
      <c r="AD379" s="870"/>
      <c r="AE379" s="870"/>
      <c r="AF379" s="870"/>
      <c r="AG379" s="870"/>
    </row>
    <row r="380" spans="1:33" s="995" customFormat="1">
      <c r="A380" s="974"/>
      <c r="D380" s="876"/>
      <c r="E380" s="974"/>
      <c r="F380" s="876"/>
      <c r="G380" s="876"/>
      <c r="H380" s="876"/>
      <c r="I380" s="876"/>
      <c r="J380" s="876"/>
      <c r="K380" s="876"/>
      <c r="L380" s="876"/>
      <c r="M380" s="876"/>
      <c r="N380" s="876"/>
      <c r="O380" s="876"/>
      <c r="P380" s="876"/>
      <c r="Q380" s="870"/>
      <c r="R380" s="870"/>
      <c r="S380" s="870"/>
      <c r="T380" s="870"/>
      <c r="U380" s="870"/>
      <c r="V380" s="870"/>
      <c r="W380" s="870"/>
      <c r="X380" s="870"/>
      <c r="Y380" s="870"/>
      <c r="Z380" s="870"/>
      <c r="AA380" s="870"/>
      <c r="AB380" s="870"/>
      <c r="AC380" s="870"/>
      <c r="AD380" s="870"/>
      <c r="AE380" s="870"/>
      <c r="AF380" s="870"/>
      <c r="AG380" s="870"/>
    </row>
    <row r="381" spans="1:33" s="995" customFormat="1">
      <c r="A381" s="974"/>
      <c r="D381" s="876"/>
      <c r="E381" s="974"/>
      <c r="F381" s="876"/>
      <c r="G381" s="876"/>
      <c r="H381" s="876"/>
      <c r="I381" s="876"/>
      <c r="J381" s="876"/>
      <c r="K381" s="876"/>
      <c r="L381" s="876"/>
      <c r="M381" s="876"/>
      <c r="N381" s="876"/>
      <c r="O381" s="876"/>
      <c r="P381" s="876"/>
      <c r="Q381" s="870"/>
      <c r="R381" s="870"/>
      <c r="S381" s="870"/>
      <c r="T381" s="870"/>
      <c r="U381" s="870"/>
      <c r="V381" s="870"/>
      <c r="W381" s="870"/>
      <c r="X381" s="870"/>
      <c r="Y381" s="870"/>
      <c r="Z381" s="870"/>
      <c r="AA381" s="870"/>
      <c r="AB381" s="870"/>
      <c r="AC381" s="870"/>
      <c r="AD381" s="870"/>
      <c r="AE381" s="870"/>
      <c r="AF381" s="870"/>
      <c r="AG381" s="870"/>
    </row>
    <row r="382" spans="1:33" s="995" customFormat="1">
      <c r="A382" s="974"/>
      <c r="D382" s="876"/>
      <c r="E382" s="974"/>
      <c r="F382" s="876"/>
      <c r="G382" s="876"/>
      <c r="H382" s="876"/>
      <c r="I382" s="876"/>
      <c r="J382" s="876"/>
      <c r="K382" s="876"/>
      <c r="L382" s="876"/>
      <c r="M382" s="876"/>
      <c r="N382" s="876"/>
      <c r="O382" s="876"/>
      <c r="P382" s="876"/>
      <c r="Q382" s="870"/>
      <c r="R382" s="870"/>
      <c r="S382" s="870"/>
      <c r="T382" s="870"/>
      <c r="U382" s="870"/>
      <c r="V382" s="870"/>
      <c r="W382" s="870"/>
      <c r="X382" s="870"/>
      <c r="Y382" s="870"/>
      <c r="Z382" s="870"/>
      <c r="AA382" s="870"/>
      <c r="AB382" s="870"/>
      <c r="AC382" s="870"/>
      <c r="AD382" s="870"/>
      <c r="AE382" s="870"/>
      <c r="AF382" s="870"/>
      <c r="AG382" s="870"/>
    </row>
    <row r="383" spans="1:33" s="995" customFormat="1">
      <c r="A383" s="974"/>
      <c r="D383" s="876"/>
      <c r="E383" s="974"/>
      <c r="F383" s="876"/>
      <c r="G383" s="876"/>
      <c r="H383" s="876"/>
      <c r="I383" s="876"/>
      <c r="J383" s="876"/>
      <c r="K383" s="876"/>
      <c r="L383" s="876"/>
      <c r="M383" s="876"/>
      <c r="N383" s="876"/>
      <c r="O383" s="876"/>
      <c r="P383" s="876"/>
      <c r="Q383" s="870"/>
      <c r="R383" s="870"/>
      <c r="S383" s="870"/>
      <c r="T383" s="870"/>
      <c r="U383" s="870"/>
      <c r="V383" s="870"/>
      <c r="W383" s="870"/>
      <c r="X383" s="870"/>
      <c r="Y383" s="870"/>
      <c r="Z383" s="870"/>
      <c r="AA383" s="870"/>
      <c r="AB383" s="870"/>
      <c r="AC383" s="870"/>
      <c r="AD383" s="870"/>
      <c r="AE383" s="870"/>
      <c r="AF383" s="870"/>
      <c r="AG383" s="870"/>
    </row>
    <row r="384" spans="1:33" s="995" customFormat="1">
      <c r="A384" s="974"/>
      <c r="D384" s="876"/>
      <c r="E384" s="974"/>
      <c r="F384" s="876"/>
      <c r="G384" s="876"/>
      <c r="H384" s="876"/>
      <c r="I384" s="876"/>
      <c r="J384" s="876"/>
      <c r="K384" s="876"/>
      <c r="L384" s="876"/>
      <c r="M384" s="876"/>
      <c r="N384" s="876"/>
      <c r="O384" s="876"/>
      <c r="P384" s="876"/>
      <c r="Q384" s="870"/>
      <c r="R384" s="870"/>
      <c r="S384" s="870"/>
      <c r="T384" s="870"/>
      <c r="U384" s="870"/>
      <c r="V384" s="870"/>
      <c r="W384" s="870"/>
      <c r="X384" s="870"/>
      <c r="Y384" s="870"/>
      <c r="Z384" s="870"/>
      <c r="AA384" s="870"/>
      <c r="AB384" s="870"/>
      <c r="AC384" s="870"/>
      <c r="AD384" s="870"/>
      <c r="AE384" s="870"/>
      <c r="AF384" s="870"/>
      <c r="AG384" s="870"/>
    </row>
    <row r="385" spans="1:33" s="995" customFormat="1">
      <c r="A385" s="974"/>
      <c r="D385" s="876"/>
      <c r="E385" s="974"/>
      <c r="F385" s="876"/>
      <c r="G385" s="876"/>
      <c r="H385" s="876"/>
      <c r="I385" s="876"/>
      <c r="J385" s="876"/>
      <c r="K385" s="876"/>
      <c r="L385" s="876"/>
      <c r="M385" s="876"/>
      <c r="N385" s="876"/>
      <c r="O385" s="876"/>
      <c r="P385" s="876"/>
      <c r="Q385" s="870"/>
      <c r="R385" s="870"/>
      <c r="S385" s="870"/>
      <c r="T385" s="870"/>
      <c r="U385" s="870"/>
      <c r="V385" s="870"/>
      <c r="W385" s="870"/>
      <c r="X385" s="870"/>
      <c r="Y385" s="870"/>
      <c r="Z385" s="870"/>
      <c r="AA385" s="870"/>
      <c r="AB385" s="870"/>
      <c r="AC385" s="870"/>
      <c r="AD385" s="870"/>
      <c r="AE385" s="870"/>
      <c r="AF385" s="870"/>
      <c r="AG385" s="870"/>
    </row>
    <row r="386" spans="1:33" s="995" customFormat="1">
      <c r="A386" s="974"/>
      <c r="D386" s="876"/>
      <c r="E386" s="974"/>
      <c r="F386" s="876"/>
      <c r="G386" s="876"/>
      <c r="H386" s="876"/>
      <c r="I386" s="876"/>
      <c r="J386" s="876"/>
      <c r="K386" s="876"/>
      <c r="L386" s="876"/>
      <c r="M386" s="876"/>
      <c r="N386" s="876"/>
      <c r="O386" s="876"/>
      <c r="P386" s="876"/>
      <c r="Q386" s="870"/>
      <c r="R386" s="870"/>
      <c r="S386" s="870"/>
      <c r="T386" s="870"/>
      <c r="U386" s="870"/>
      <c r="V386" s="870"/>
      <c r="W386" s="870"/>
      <c r="X386" s="870"/>
      <c r="Y386" s="870"/>
      <c r="Z386" s="870"/>
      <c r="AA386" s="870"/>
      <c r="AB386" s="870"/>
      <c r="AC386" s="870"/>
      <c r="AD386" s="870"/>
      <c r="AE386" s="870"/>
      <c r="AF386" s="870"/>
      <c r="AG386" s="870"/>
    </row>
    <row r="387" spans="1:33" s="995" customFormat="1">
      <c r="A387" s="974"/>
      <c r="D387" s="876"/>
      <c r="E387" s="974"/>
      <c r="F387" s="876"/>
      <c r="G387" s="876"/>
      <c r="H387" s="876"/>
      <c r="I387" s="876"/>
      <c r="J387" s="876"/>
      <c r="K387" s="876"/>
      <c r="L387" s="876"/>
      <c r="M387" s="876"/>
      <c r="N387" s="876"/>
      <c r="O387" s="876"/>
      <c r="P387" s="876"/>
      <c r="Q387" s="870"/>
      <c r="R387" s="870"/>
      <c r="S387" s="870"/>
      <c r="T387" s="870"/>
      <c r="U387" s="870"/>
      <c r="V387" s="870"/>
      <c r="W387" s="870"/>
      <c r="X387" s="870"/>
      <c r="Y387" s="870"/>
      <c r="Z387" s="870"/>
      <c r="AA387" s="870"/>
      <c r="AB387" s="870"/>
      <c r="AC387" s="870"/>
      <c r="AD387" s="870"/>
      <c r="AE387" s="870"/>
      <c r="AF387" s="870"/>
      <c r="AG387" s="870"/>
    </row>
    <row r="388" spans="1:33" s="995" customFormat="1">
      <c r="A388" s="974"/>
      <c r="D388" s="876"/>
      <c r="E388" s="974"/>
      <c r="F388" s="876"/>
      <c r="G388" s="876"/>
      <c r="H388" s="876"/>
      <c r="I388" s="876"/>
      <c r="J388" s="876"/>
      <c r="K388" s="876"/>
      <c r="L388" s="876"/>
      <c r="M388" s="876"/>
      <c r="N388" s="876"/>
      <c r="O388" s="876"/>
      <c r="P388" s="876"/>
      <c r="Q388" s="870"/>
      <c r="R388" s="870"/>
      <c r="S388" s="870"/>
      <c r="T388" s="870"/>
      <c r="U388" s="870"/>
      <c r="V388" s="870"/>
      <c r="W388" s="870"/>
      <c r="X388" s="870"/>
      <c r="Y388" s="870"/>
      <c r="Z388" s="870"/>
      <c r="AA388" s="870"/>
      <c r="AB388" s="870"/>
      <c r="AC388" s="870"/>
      <c r="AD388" s="870"/>
      <c r="AE388" s="870"/>
      <c r="AF388" s="870"/>
      <c r="AG388" s="870"/>
    </row>
    <row r="389" spans="1:33" s="995" customFormat="1">
      <c r="A389" s="974"/>
      <c r="D389" s="876"/>
      <c r="E389" s="974"/>
      <c r="F389" s="876"/>
      <c r="G389" s="876"/>
      <c r="H389" s="876"/>
      <c r="I389" s="876"/>
      <c r="J389" s="876"/>
      <c r="K389" s="876"/>
      <c r="L389" s="876"/>
      <c r="M389" s="876"/>
      <c r="N389" s="876"/>
      <c r="O389" s="876"/>
      <c r="P389" s="876"/>
      <c r="Q389" s="870"/>
      <c r="R389" s="870"/>
      <c r="S389" s="870"/>
      <c r="T389" s="870"/>
      <c r="U389" s="870"/>
      <c r="V389" s="870"/>
      <c r="W389" s="870"/>
      <c r="X389" s="870"/>
      <c r="Y389" s="870"/>
      <c r="Z389" s="870"/>
      <c r="AA389" s="870"/>
      <c r="AB389" s="870"/>
      <c r="AC389" s="870"/>
      <c r="AD389" s="870"/>
      <c r="AE389" s="870"/>
      <c r="AF389" s="870"/>
      <c r="AG389" s="870"/>
    </row>
    <row r="390" spans="1:33" s="995" customFormat="1">
      <c r="A390" s="974"/>
      <c r="D390" s="876"/>
      <c r="E390" s="974"/>
      <c r="F390" s="876"/>
      <c r="G390" s="876"/>
      <c r="H390" s="876"/>
      <c r="I390" s="876"/>
      <c r="J390" s="876"/>
      <c r="K390" s="876"/>
      <c r="L390" s="876"/>
      <c r="M390" s="876"/>
      <c r="N390" s="876"/>
      <c r="O390" s="876"/>
      <c r="P390" s="876"/>
      <c r="Q390" s="870"/>
      <c r="R390" s="870"/>
      <c r="S390" s="870"/>
      <c r="T390" s="870"/>
      <c r="U390" s="870"/>
      <c r="V390" s="870"/>
      <c r="W390" s="870"/>
      <c r="X390" s="870"/>
      <c r="Y390" s="870"/>
      <c r="Z390" s="870"/>
      <c r="AA390" s="870"/>
      <c r="AB390" s="870"/>
      <c r="AC390" s="870"/>
      <c r="AD390" s="870"/>
      <c r="AE390" s="870"/>
      <c r="AF390" s="870"/>
      <c r="AG390" s="870"/>
    </row>
    <row r="391" spans="1:33" s="995" customFormat="1">
      <c r="A391" s="974"/>
      <c r="D391" s="876"/>
      <c r="E391" s="974"/>
      <c r="F391" s="876"/>
      <c r="G391" s="876"/>
      <c r="H391" s="876"/>
      <c r="I391" s="876"/>
      <c r="J391" s="876"/>
      <c r="K391" s="876"/>
      <c r="L391" s="876"/>
      <c r="M391" s="876"/>
      <c r="N391" s="876"/>
      <c r="O391" s="876"/>
      <c r="P391" s="876"/>
      <c r="Q391" s="870"/>
      <c r="R391" s="870"/>
      <c r="S391" s="870"/>
      <c r="T391" s="870"/>
      <c r="U391" s="870"/>
      <c r="V391" s="870"/>
      <c r="W391" s="870"/>
      <c r="X391" s="870"/>
      <c r="Y391" s="870"/>
      <c r="Z391" s="870"/>
      <c r="AA391" s="870"/>
      <c r="AB391" s="870"/>
      <c r="AC391" s="870"/>
      <c r="AD391" s="870"/>
      <c r="AE391" s="870"/>
      <c r="AF391" s="870"/>
      <c r="AG391" s="870"/>
    </row>
    <row r="392" spans="1:33" s="995" customFormat="1">
      <c r="A392" s="974"/>
      <c r="D392" s="876"/>
      <c r="E392" s="974"/>
      <c r="F392" s="876"/>
      <c r="G392" s="876"/>
      <c r="H392" s="876"/>
      <c r="I392" s="876"/>
      <c r="J392" s="876"/>
      <c r="K392" s="876"/>
      <c r="L392" s="876"/>
      <c r="M392" s="876"/>
      <c r="N392" s="876"/>
      <c r="O392" s="876"/>
      <c r="P392" s="876"/>
      <c r="Q392" s="870"/>
      <c r="R392" s="870"/>
      <c r="S392" s="870"/>
      <c r="T392" s="870"/>
      <c r="U392" s="870"/>
      <c r="V392" s="870"/>
      <c r="W392" s="870"/>
      <c r="X392" s="870"/>
      <c r="Y392" s="870"/>
      <c r="Z392" s="870"/>
      <c r="AA392" s="870"/>
      <c r="AB392" s="870"/>
      <c r="AC392" s="870"/>
      <c r="AD392" s="870"/>
      <c r="AE392" s="870"/>
      <c r="AF392" s="870"/>
      <c r="AG392" s="870"/>
    </row>
    <row r="393" spans="1:33" s="995" customFormat="1">
      <c r="A393" s="974"/>
      <c r="D393" s="876"/>
      <c r="E393" s="974"/>
      <c r="F393" s="876"/>
      <c r="G393" s="876"/>
      <c r="H393" s="876"/>
      <c r="I393" s="876"/>
      <c r="J393" s="876"/>
      <c r="K393" s="876"/>
      <c r="L393" s="876"/>
      <c r="M393" s="876"/>
      <c r="N393" s="876"/>
      <c r="O393" s="876"/>
      <c r="P393" s="876"/>
      <c r="Q393" s="870"/>
      <c r="R393" s="870"/>
      <c r="S393" s="870"/>
      <c r="T393" s="870"/>
      <c r="U393" s="870"/>
      <c r="V393" s="870"/>
      <c r="W393" s="870"/>
      <c r="X393" s="870"/>
      <c r="Y393" s="870"/>
      <c r="Z393" s="870"/>
      <c r="AA393" s="870"/>
      <c r="AB393" s="870"/>
      <c r="AC393" s="870"/>
      <c r="AD393" s="870"/>
      <c r="AE393" s="870"/>
      <c r="AF393" s="870"/>
      <c r="AG393" s="870"/>
    </row>
    <row r="394" spans="1:33" s="995" customFormat="1">
      <c r="A394" s="974"/>
      <c r="D394" s="876"/>
      <c r="E394" s="974"/>
      <c r="F394" s="876"/>
      <c r="G394" s="876"/>
      <c r="H394" s="876"/>
      <c r="I394" s="876"/>
      <c r="J394" s="876"/>
      <c r="K394" s="876"/>
      <c r="L394" s="876"/>
      <c r="M394" s="876"/>
      <c r="N394" s="876"/>
      <c r="O394" s="876"/>
      <c r="P394" s="876"/>
      <c r="Q394" s="870"/>
      <c r="R394" s="870"/>
      <c r="S394" s="870"/>
      <c r="T394" s="870"/>
      <c r="U394" s="870"/>
      <c r="V394" s="870"/>
      <c r="W394" s="870"/>
      <c r="X394" s="870"/>
      <c r="Y394" s="870"/>
      <c r="Z394" s="870"/>
      <c r="AA394" s="870"/>
      <c r="AB394" s="870"/>
      <c r="AC394" s="870"/>
      <c r="AD394" s="870"/>
      <c r="AE394" s="870"/>
      <c r="AF394" s="870"/>
      <c r="AG394" s="870"/>
    </row>
    <row r="395" spans="1:33" s="995" customFormat="1">
      <c r="A395" s="974"/>
      <c r="D395" s="876"/>
      <c r="E395" s="974"/>
      <c r="F395" s="876"/>
      <c r="G395" s="876"/>
      <c r="H395" s="876"/>
      <c r="I395" s="876"/>
      <c r="J395" s="876"/>
      <c r="K395" s="876"/>
      <c r="L395" s="876"/>
      <c r="M395" s="876"/>
      <c r="N395" s="876"/>
      <c r="O395" s="876"/>
      <c r="P395" s="876"/>
      <c r="Q395" s="870"/>
      <c r="R395" s="870"/>
      <c r="S395" s="870"/>
      <c r="T395" s="870"/>
      <c r="U395" s="870"/>
      <c r="V395" s="870"/>
      <c r="W395" s="870"/>
      <c r="X395" s="870"/>
      <c r="Y395" s="870"/>
      <c r="Z395" s="870"/>
      <c r="AA395" s="870"/>
      <c r="AB395" s="870"/>
      <c r="AC395" s="870"/>
      <c r="AD395" s="870"/>
      <c r="AE395" s="870"/>
      <c r="AF395" s="870"/>
      <c r="AG395" s="870"/>
    </row>
    <row r="396" spans="1:33" s="995" customFormat="1">
      <c r="A396" s="974"/>
      <c r="D396" s="876"/>
      <c r="E396" s="974"/>
      <c r="F396" s="876"/>
      <c r="G396" s="876"/>
      <c r="H396" s="876"/>
      <c r="I396" s="876"/>
      <c r="J396" s="876"/>
      <c r="K396" s="876"/>
      <c r="L396" s="876"/>
      <c r="M396" s="876"/>
      <c r="N396" s="876"/>
      <c r="O396" s="876"/>
      <c r="P396" s="876"/>
      <c r="Q396" s="870"/>
      <c r="R396" s="870"/>
      <c r="S396" s="870"/>
      <c r="T396" s="870"/>
      <c r="U396" s="870"/>
      <c r="V396" s="870"/>
      <c r="W396" s="870"/>
      <c r="X396" s="870"/>
      <c r="Y396" s="870"/>
      <c r="Z396" s="870"/>
      <c r="AA396" s="870"/>
      <c r="AB396" s="870"/>
      <c r="AC396" s="870"/>
      <c r="AD396" s="870"/>
      <c r="AE396" s="870"/>
      <c r="AF396" s="870"/>
      <c r="AG396" s="870"/>
    </row>
    <row r="397" spans="1:33" s="995" customFormat="1">
      <c r="A397" s="974"/>
      <c r="D397" s="876"/>
      <c r="E397" s="974"/>
      <c r="F397" s="876"/>
      <c r="G397" s="876"/>
      <c r="H397" s="876"/>
      <c r="I397" s="876"/>
      <c r="J397" s="876"/>
      <c r="K397" s="876"/>
      <c r="L397" s="876"/>
      <c r="M397" s="876"/>
      <c r="N397" s="876"/>
      <c r="O397" s="876"/>
      <c r="P397" s="876"/>
      <c r="Q397" s="870"/>
      <c r="R397" s="870"/>
      <c r="S397" s="870"/>
      <c r="T397" s="870"/>
      <c r="U397" s="870"/>
      <c r="V397" s="870"/>
      <c r="W397" s="870"/>
      <c r="X397" s="870"/>
      <c r="Y397" s="870"/>
      <c r="Z397" s="870"/>
      <c r="AA397" s="870"/>
      <c r="AB397" s="870"/>
      <c r="AC397" s="870"/>
      <c r="AD397" s="870"/>
      <c r="AE397" s="870"/>
      <c r="AF397" s="870"/>
      <c r="AG397" s="870"/>
    </row>
    <row r="398" spans="1:33" s="995" customFormat="1">
      <c r="A398" s="974"/>
      <c r="D398" s="876"/>
      <c r="E398" s="974"/>
      <c r="F398" s="876"/>
      <c r="G398" s="876"/>
      <c r="H398" s="876"/>
      <c r="I398" s="876"/>
      <c r="J398" s="876"/>
      <c r="K398" s="876"/>
      <c r="L398" s="876"/>
      <c r="M398" s="876"/>
      <c r="N398" s="876"/>
      <c r="O398" s="876"/>
      <c r="P398" s="876"/>
      <c r="Q398" s="870"/>
      <c r="R398" s="870"/>
      <c r="S398" s="870"/>
      <c r="T398" s="870"/>
      <c r="U398" s="870"/>
      <c r="V398" s="870"/>
      <c r="W398" s="870"/>
      <c r="X398" s="870"/>
      <c r="Y398" s="870"/>
      <c r="Z398" s="870"/>
      <c r="AA398" s="870"/>
      <c r="AB398" s="870"/>
      <c r="AC398" s="870"/>
      <c r="AD398" s="870"/>
      <c r="AE398" s="870"/>
      <c r="AF398" s="870"/>
      <c r="AG398" s="870"/>
    </row>
    <row r="399" spans="1:33" s="995" customFormat="1">
      <c r="A399" s="974"/>
      <c r="D399" s="876"/>
      <c r="E399" s="974"/>
      <c r="F399" s="876"/>
      <c r="G399" s="876"/>
      <c r="H399" s="876"/>
      <c r="I399" s="876"/>
      <c r="J399" s="876"/>
      <c r="K399" s="876"/>
      <c r="L399" s="876"/>
      <c r="M399" s="876"/>
      <c r="N399" s="876"/>
      <c r="O399" s="876"/>
      <c r="P399" s="876"/>
      <c r="Q399" s="870"/>
      <c r="R399" s="870"/>
      <c r="S399" s="870"/>
      <c r="T399" s="870"/>
      <c r="U399" s="870"/>
      <c r="V399" s="870"/>
      <c r="W399" s="870"/>
      <c r="X399" s="870"/>
      <c r="Y399" s="870"/>
      <c r="Z399" s="870"/>
      <c r="AA399" s="870"/>
      <c r="AB399" s="870"/>
      <c r="AC399" s="870"/>
      <c r="AD399" s="870"/>
      <c r="AE399" s="870"/>
      <c r="AF399" s="870"/>
      <c r="AG399" s="870"/>
    </row>
    <row r="400" spans="1:33" s="995" customFormat="1">
      <c r="A400" s="974"/>
      <c r="D400" s="876"/>
      <c r="E400" s="974"/>
      <c r="F400" s="876"/>
      <c r="G400" s="876"/>
      <c r="H400" s="876"/>
      <c r="I400" s="876"/>
      <c r="J400" s="876"/>
      <c r="K400" s="876"/>
      <c r="L400" s="876"/>
      <c r="M400" s="876"/>
      <c r="N400" s="876"/>
      <c r="O400" s="876"/>
      <c r="P400" s="876"/>
      <c r="Q400" s="870"/>
      <c r="R400" s="870"/>
      <c r="S400" s="870"/>
      <c r="T400" s="870"/>
      <c r="U400" s="870"/>
      <c r="V400" s="870"/>
      <c r="W400" s="870"/>
      <c r="X400" s="870"/>
      <c r="Y400" s="870"/>
      <c r="Z400" s="870"/>
      <c r="AA400" s="870"/>
      <c r="AB400" s="870"/>
      <c r="AC400" s="870"/>
      <c r="AD400" s="870"/>
      <c r="AE400" s="870"/>
      <c r="AF400" s="870"/>
      <c r="AG400" s="870"/>
    </row>
    <row r="401" spans="1:33" s="995" customFormat="1">
      <c r="A401" s="974"/>
      <c r="D401" s="876"/>
      <c r="E401" s="974"/>
      <c r="F401" s="876"/>
      <c r="G401" s="876"/>
      <c r="H401" s="876"/>
      <c r="I401" s="876"/>
      <c r="J401" s="876"/>
      <c r="K401" s="876"/>
      <c r="L401" s="876"/>
      <c r="M401" s="876"/>
      <c r="N401" s="876"/>
      <c r="O401" s="876"/>
      <c r="P401" s="876"/>
      <c r="Q401" s="870"/>
      <c r="R401" s="870"/>
      <c r="S401" s="870"/>
      <c r="T401" s="870"/>
      <c r="U401" s="870"/>
      <c r="V401" s="870"/>
      <c r="W401" s="870"/>
      <c r="X401" s="870"/>
      <c r="Y401" s="870"/>
      <c r="Z401" s="870"/>
      <c r="AA401" s="870"/>
      <c r="AB401" s="870"/>
      <c r="AC401" s="870"/>
      <c r="AD401" s="870"/>
      <c r="AE401" s="870"/>
      <c r="AF401" s="870"/>
      <c r="AG401" s="870"/>
    </row>
    <row r="402" spans="1:33" s="995" customFormat="1">
      <c r="A402" s="974"/>
      <c r="D402" s="876"/>
      <c r="E402" s="974"/>
      <c r="F402" s="876"/>
      <c r="G402" s="876"/>
      <c r="H402" s="876"/>
      <c r="I402" s="876"/>
      <c r="J402" s="876"/>
      <c r="K402" s="876"/>
      <c r="L402" s="876"/>
      <c r="M402" s="876"/>
      <c r="N402" s="876"/>
      <c r="O402" s="876"/>
      <c r="P402" s="876"/>
      <c r="Q402" s="870"/>
      <c r="R402" s="870"/>
      <c r="S402" s="870"/>
      <c r="T402" s="870"/>
      <c r="U402" s="870"/>
      <c r="V402" s="870"/>
      <c r="W402" s="870"/>
      <c r="X402" s="870"/>
      <c r="Y402" s="870"/>
      <c r="Z402" s="870"/>
      <c r="AA402" s="870"/>
      <c r="AB402" s="870"/>
      <c r="AC402" s="870"/>
      <c r="AD402" s="870"/>
      <c r="AE402" s="870"/>
      <c r="AF402" s="870"/>
      <c r="AG402" s="870"/>
    </row>
    <row r="403" spans="1:33" s="995" customFormat="1">
      <c r="A403" s="974"/>
      <c r="D403" s="876"/>
      <c r="E403" s="974"/>
      <c r="F403" s="876"/>
      <c r="G403" s="876"/>
      <c r="H403" s="876"/>
      <c r="I403" s="876"/>
      <c r="J403" s="876"/>
      <c r="K403" s="876"/>
      <c r="L403" s="876"/>
      <c r="M403" s="876"/>
      <c r="N403" s="876"/>
      <c r="O403" s="876"/>
      <c r="P403" s="876"/>
      <c r="Q403" s="870"/>
      <c r="R403" s="870"/>
      <c r="S403" s="870"/>
      <c r="T403" s="870"/>
      <c r="U403" s="870"/>
      <c r="V403" s="870"/>
      <c r="W403" s="870"/>
      <c r="X403" s="870"/>
      <c r="Y403" s="870"/>
      <c r="Z403" s="870"/>
      <c r="AA403" s="870"/>
      <c r="AB403" s="870"/>
      <c r="AC403" s="870"/>
      <c r="AD403" s="870"/>
      <c r="AE403" s="870"/>
      <c r="AF403" s="870"/>
      <c r="AG403" s="870"/>
    </row>
    <row r="404" spans="1:33" s="995" customFormat="1">
      <c r="A404" s="974"/>
      <c r="D404" s="876"/>
      <c r="E404" s="974"/>
      <c r="F404" s="876"/>
      <c r="G404" s="876"/>
      <c r="H404" s="876"/>
      <c r="I404" s="876"/>
      <c r="J404" s="876"/>
      <c r="K404" s="876"/>
      <c r="L404" s="876"/>
      <c r="M404" s="876"/>
      <c r="N404" s="876"/>
      <c r="O404" s="876"/>
      <c r="P404" s="876"/>
      <c r="Q404" s="870"/>
      <c r="R404" s="870"/>
      <c r="S404" s="870"/>
      <c r="T404" s="870"/>
      <c r="U404" s="870"/>
      <c r="V404" s="870"/>
      <c r="W404" s="870"/>
      <c r="X404" s="870"/>
      <c r="Y404" s="870"/>
      <c r="Z404" s="870"/>
      <c r="AA404" s="870"/>
      <c r="AB404" s="870"/>
      <c r="AC404" s="870"/>
      <c r="AD404" s="870"/>
      <c r="AE404" s="870"/>
      <c r="AF404" s="870"/>
      <c r="AG404" s="870"/>
    </row>
    <row r="405" spans="1:33" s="995" customFormat="1">
      <c r="A405" s="974"/>
      <c r="D405" s="876"/>
      <c r="E405" s="974"/>
      <c r="F405" s="876"/>
      <c r="G405" s="876"/>
      <c r="H405" s="876"/>
      <c r="I405" s="876"/>
      <c r="J405" s="876"/>
      <c r="K405" s="876"/>
      <c r="L405" s="876"/>
      <c r="M405" s="876"/>
      <c r="N405" s="876"/>
      <c r="O405" s="876"/>
      <c r="P405" s="876"/>
      <c r="Q405" s="870"/>
      <c r="R405" s="870"/>
      <c r="S405" s="870"/>
      <c r="T405" s="870"/>
      <c r="U405" s="870"/>
      <c r="V405" s="870"/>
      <c r="W405" s="870"/>
      <c r="X405" s="870"/>
      <c r="Y405" s="870"/>
      <c r="Z405" s="870"/>
      <c r="AA405" s="870"/>
      <c r="AB405" s="870"/>
      <c r="AC405" s="870"/>
      <c r="AD405" s="870"/>
      <c r="AE405" s="870"/>
      <c r="AF405" s="870"/>
      <c r="AG405" s="870"/>
    </row>
    <row r="406" spans="1:33" s="995" customFormat="1">
      <c r="A406" s="974"/>
      <c r="D406" s="876"/>
      <c r="E406" s="974"/>
      <c r="F406" s="876"/>
      <c r="G406" s="876"/>
      <c r="H406" s="876"/>
      <c r="I406" s="876"/>
      <c r="J406" s="876"/>
      <c r="K406" s="876"/>
      <c r="L406" s="876"/>
      <c r="M406" s="876"/>
      <c r="N406" s="876"/>
      <c r="O406" s="876"/>
      <c r="P406" s="876"/>
      <c r="Q406" s="870"/>
      <c r="R406" s="870"/>
      <c r="S406" s="870"/>
      <c r="T406" s="870"/>
      <c r="U406" s="870"/>
      <c r="V406" s="870"/>
      <c r="W406" s="870"/>
      <c r="X406" s="870"/>
      <c r="Y406" s="870"/>
      <c r="Z406" s="870"/>
      <c r="AA406" s="870"/>
      <c r="AB406" s="870"/>
      <c r="AC406" s="870"/>
      <c r="AD406" s="870"/>
      <c r="AE406" s="870"/>
      <c r="AF406" s="870"/>
      <c r="AG406" s="870"/>
    </row>
    <row r="407" spans="1:33" s="995" customFormat="1">
      <c r="A407" s="974"/>
      <c r="D407" s="876"/>
      <c r="E407" s="974"/>
      <c r="F407" s="876"/>
      <c r="G407" s="876"/>
      <c r="H407" s="876"/>
      <c r="I407" s="876"/>
      <c r="J407" s="876"/>
      <c r="K407" s="876"/>
      <c r="L407" s="876"/>
      <c r="M407" s="876"/>
      <c r="N407" s="876"/>
      <c r="O407" s="876"/>
      <c r="P407" s="876"/>
      <c r="Q407" s="870"/>
      <c r="R407" s="870"/>
      <c r="S407" s="870"/>
      <c r="T407" s="870"/>
      <c r="U407" s="870"/>
      <c r="V407" s="870"/>
      <c r="W407" s="870"/>
      <c r="X407" s="870"/>
      <c r="Y407" s="870"/>
      <c r="Z407" s="870"/>
      <c r="AA407" s="870"/>
      <c r="AB407" s="870"/>
      <c r="AC407" s="870"/>
      <c r="AD407" s="870"/>
      <c r="AE407" s="870"/>
      <c r="AF407" s="870"/>
      <c r="AG407" s="870"/>
    </row>
    <row r="408" spans="1:33" s="995" customFormat="1">
      <c r="A408" s="974"/>
      <c r="D408" s="876"/>
      <c r="E408" s="974"/>
      <c r="F408" s="876"/>
      <c r="G408" s="876"/>
      <c r="H408" s="876"/>
      <c r="I408" s="876"/>
      <c r="J408" s="876"/>
      <c r="K408" s="876"/>
      <c r="L408" s="876"/>
      <c r="M408" s="876"/>
      <c r="N408" s="876"/>
      <c r="O408" s="876"/>
      <c r="P408" s="876"/>
      <c r="Q408" s="870"/>
      <c r="R408" s="870"/>
      <c r="S408" s="870"/>
      <c r="T408" s="870"/>
      <c r="U408" s="870"/>
      <c r="V408" s="870"/>
      <c r="W408" s="870"/>
      <c r="X408" s="870"/>
      <c r="Y408" s="870"/>
      <c r="Z408" s="870"/>
      <c r="AA408" s="870"/>
      <c r="AB408" s="870"/>
      <c r="AC408" s="870"/>
      <c r="AD408" s="870"/>
      <c r="AE408" s="870"/>
      <c r="AF408" s="870"/>
      <c r="AG408" s="870"/>
    </row>
    <row r="409" spans="1:33" s="995" customFormat="1">
      <c r="A409" s="974"/>
      <c r="D409" s="876"/>
      <c r="E409" s="974"/>
      <c r="F409" s="876"/>
      <c r="G409" s="876"/>
      <c r="H409" s="876"/>
      <c r="I409" s="876"/>
      <c r="J409" s="876"/>
      <c r="K409" s="876"/>
      <c r="L409" s="876"/>
      <c r="M409" s="876"/>
      <c r="N409" s="876"/>
      <c r="O409" s="876"/>
      <c r="P409" s="876"/>
      <c r="Q409" s="870"/>
      <c r="R409" s="870"/>
      <c r="S409" s="870"/>
      <c r="T409" s="870"/>
      <c r="U409" s="870"/>
      <c r="V409" s="870"/>
      <c r="W409" s="870"/>
      <c r="X409" s="870"/>
      <c r="Y409" s="870"/>
      <c r="Z409" s="870"/>
      <c r="AA409" s="870"/>
      <c r="AB409" s="870"/>
      <c r="AC409" s="870"/>
      <c r="AD409" s="870"/>
      <c r="AE409" s="870"/>
      <c r="AF409" s="870"/>
      <c r="AG409" s="870"/>
    </row>
    <row r="410" spans="1:33" s="995" customFormat="1">
      <c r="A410" s="974"/>
      <c r="D410" s="876"/>
      <c r="E410" s="974"/>
      <c r="F410" s="876"/>
      <c r="G410" s="876"/>
      <c r="H410" s="876"/>
      <c r="I410" s="876"/>
      <c r="J410" s="876"/>
      <c r="K410" s="876"/>
      <c r="L410" s="876"/>
      <c r="M410" s="876"/>
      <c r="N410" s="876"/>
      <c r="O410" s="876"/>
      <c r="P410" s="876"/>
      <c r="Q410" s="870"/>
      <c r="R410" s="870"/>
      <c r="S410" s="870"/>
      <c r="T410" s="870"/>
      <c r="U410" s="870"/>
      <c r="V410" s="870"/>
      <c r="W410" s="870"/>
      <c r="X410" s="870"/>
      <c r="Y410" s="870"/>
      <c r="Z410" s="870"/>
      <c r="AA410" s="870"/>
      <c r="AB410" s="870"/>
      <c r="AC410" s="870"/>
      <c r="AD410" s="870"/>
      <c r="AE410" s="870"/>
      <c r="AF410" s="870"/>
      <c r="AG410" s="870"/>
    </row>
    <row r="411" spans="1:33" s="995" customFormat="1">
      <c r="A411" s="974"/>
      <c r="D411" s="876"/>
      <c r="E411" s="974"/>
      <c r="F411" s="876"/>
      <c r="G411" s="876"/>
      <c r="H411" s="876"/>
      <c r="I411" s="876"/>
      <c r="J411" s="876"/>
      <c r="K411" s="876"/>
      <c r="L411" s="876"/>
      <c r="M411" s="876"/>
      <c r="N411" s="876"/>
      <c r="O411" s="876"/>
      <c r="P411" s="876"/>
      <c r="Q411" s="870"/>
      <c r="R411" s="870"/>
      <c r="S411" s="870"/>
      <c r="T411" s="870"/>
      <c r="U411" s="870"/>
      <c r="V411" s="870"/>
      <c r="W411" s="870"/>
      <c r="X411" s="870"/>
      <c r="Y411" s="870"/>
      <c r="Z411" s="870"/>
      <c r="AA411" s="870"/>
      <c r="AB411" s="870"/>
      <c r="AC411" s="870"/>
      <c r="AD411" s="870"/>
      <c r="AE411" s="870"/>
      <c r="AF411" s="870"/>
      <c r="AG411" s="870"/>
    </row>
    <row r="412" spans="1:33" s="995" customFormat="1">
      <c r="A412" s="974"/>
      <c r="D412" s="876"/>
      <c r="E412" s="974"/>
      <c r="F412" s="876"/>
      <c r="G412" s="876"/>
      <c r="H412" s="876"/>
      <c r="I412" s="876"/>
      <c r="J412" s="876"/>
      <c r="K412" s="876"/>
      <c r="L412" s="876"/>
      <c r="M412" s="876"/>
      <c r="N412" s="876"/>
      <c r="O412" s="876"/>
      <c r="P412" s="876"/>
      <c r="Q412" s="870"/>
      <c r="R412" s="870"/>
      <c r="S412" s="870"/>
      <c r="T412" s="870"/>
      <c r="U412" s="870"/>
      <c r="V412" s="870"/>
      <c r="W412" s="870"/>
      <c r="X412" s="870"/>
      <c r="Y412" s="870"/>
      <c r="Z412" s="870"/>
      <c r="AA412" s="870"/>
      <c r="AB412" s="870"/>
      <c r="AC412" s="870"/>
      <c r="AD412" s="870"/>
      <c r="AE412" s="870"/>
      <c r="AF412" s="870"/>
      <c r="AG412" s="870"/>
    </row>
    <row r="413" spans="1:33" s="995" customFormat="1">
      <c r="A413" s="974"/>
      <c r="D413" s="876"/>
      <c r="E413" s="974"/>
      <c r="F413" s="876"/>
      <c r="G413" s="876"/>
      <c r="H413" s="876"/>
      <c r="I413" s="876"/>
      <c r="J413" s="876"/>
      <c r="K413" s="876"/>
      <c r="L413" s="876"/>
      <c r="M413" s="876"/>
      <c r="N413" s="876"/>
      <c r="O413" s="876"/>
      <c r="P413" s="876"/>
      <c r="Q413" s="870"/>
      <c r="R413" s="870"/>
      <c r="S413" s="870"/>
      <c r="T413" s="870"/>
      <c r="U413" s="870"/>
      <c r="V413" s="870"/>
      <c r="W413" s="870"/>
      <c r="X413" s="870"/>
      <c r="Y413" s="870"/>
      <c r="Z413" s="870"/>
      <c r="AA413" s="870"/>
      <c r="AB413" s="870"/>
      <c r="AC413" s="870"/>
      <c r="AD413" s="870"/>
      <c r="AE413" s="870"/>
      <c r="AF413" s="870"/>
      <c r="AG413" s="870"/>
    </row>
    <row r="414" spans="1:33" s="995" customFormat="1">
      <c r="A414" s="974"/>
      <c r="D414" s="876"/>
      <c r="E414" s="974"/>
      <c r="F414" s="876"/>
      <c r="G414" s="876"/>
      <c r="H414" s="876"/>
      <c r="I414" s="876"/>
      <c r="J414" s="876"/>
      <c r="K414" s="876"/>
      <c r="L414" s="876"/>
      <c r="M414" s="876"/>
      <c r="N414" s="876"/>
      <c r="O414" s="876"/>
      <c r="P414" s="876"/>
      <c r="Q414" s="870"/>
      <c r="R414" s="870"/>
      <c r="S414" s="870"/>
      <c r="T414" s="870"/>
      <c r="U414" s="870"/>
      <c r="V414" s="870"/>
      <c r="W414" s="870"/>
      <c r="X414" s="870"/>
      <c r="Y414" s="870"/>
      <c r="Z414" s="870"/>
      <c r="AA414" s="870"/>
      <c r="AB414" s="870"/>
      <c r="AC414" s="870"/>
      <c r="AD414" s="870"/>
      <c r="AE414" s="870"/>
      <c r="AF414" s="870"/>
      <c r="AG414" s="870"/>
    </row>
    <row r="415" spans="1:33" s="995" customFormat="1">
      <c r="A415" s="974"/>
      <c r="D415" s="876"/>
      <c r="E415" s="974"/>
      <c r="F415" s="876"/>
      <c r="G415" s="876"/>
      <c r="H415" s="876"/>
      <c r="I415" s="876"/>
      <c r="J415" s="876"/>
      <c r="K415" s="876"/>
      <c r="L415" s="876"/>
      <c r="M415" s="876"/>
      <c r="N415" s="876"/>
      <c r="O415" s="876"/>
      <c r="P415" s="876"/>
      <c r="Q415" s="870"/>
      <c r="R415" s="870"/>
      <c r="S415" s="870"/>
      <c r="T415" s="870"/>
      <c r="U415" s="870"/>
      <c r="V415" s="870"/>
      <c r="W415" s="870"/>
      <c r="X415" s="870"/>
      <c r="Y415" s="870"/>
      <c r="Z415" s="870"/>
      <c r="AA415" s="870"/>
      <c r="AB415" s="870"/>
      <c r="AC415" s="870"/>
      <c r="AD415" s="870"/>
      <c r="AE415" s="870"/>
      <c r="AF415" s="870"/>
      <c r="AG415" s="870"/>
    </row>
    <row r="416" spans="1:33" s="995" customFormat="1">
      <c r="A416" s="974"/>
      <c r="D416" s="876"/>
      <c r="E416" s="974"/>
      <c r="F416" s="876"/>
      <c r="G416" s="876"/>
      <c r="H416" s="876"/>
      <c r="I416" s="876"/>
      <c r="J416" s="876"/>
      <c r="K416" s="876"/>
      <c r="L416" s="876"/>
      <c r="M416" s="876"/>
      <c r="N416" s="876"/>
      <c r="O416" s="876"/>
      <c r="P416" s="876"/>
      <c r="Q416" s="870"/>
      <c r="R416" s="870"/>
      <c r="S416" s="870"/>
      <c r="T416" s="870"/>
      <c r="U416" s="870"/>
      <c r="V416" s="870"/>
      <c r="W416" s="870"/>
      <c r="X416" s="870"/>
      <c r="Y416" s="870"/>
      <c r="Z416" s="870"/>
      <c r="AA416" s="870"/>
      <c r="AB416" s="870"/>
      <c r="AC416" s="870"/>
      <c r="AD416" s="870"/>
      <c r="AE416" s="870"/>
      <c r="AF416" s="870"/>
      <c r="AG416" s="870"/>
    </row>
    <row r="417" spans="1:33" s="995" customFormat="1">
      <c r="A417" s="974"/>
      <c r="D417" s="876"/>
      <c r="E417" s="974"/>
      <c r="F417" s="876"/>
      <c r="G417" s="876"/>
      <c r="H417" s="876"/>
      <c r="I417" s="876"/>
      <c r="J417" s="876"/>
      <c r="K417" s="876"/>
      <c r="L417" s="876"/>
      <c r="M417" s="876"/>
      <c r="N417" s="876"/>
      <c r="O417" s="876"/>
      <c r="P417" s="876"/>
      <c r="Q417" s="870"/>
      <c r="R417" s="870"/>
      <c r="S417" s="870"/>
      <c r="T417" s="870"/>
      <c r="U417" s="870"/>
      <c r="V417" s="870"/>
      <c r="W417" s="870"/>
      <c r="X417" s="870"/>
      <c r="Y417" s="870"/>
      <c r="Z417" s="870"/>
      <c r="AA417" s="870"/>
      <c r="AB417" s="870"/>
      <c r="AC417" s="870"/>
      <c r="AD417" s="870"/>
      <c r="AE417" s="870"/>
      <c r="AF417" s="870"/>
      <c r="AG417" s="870"/>
    </row>
    <row r="418" spans="1:33" s="995" customFormat="1">
      <c r="A418" s="974"/>
      <c r="D418" s="876"/>
      <c r="E418" s="974"/>
      <c r="F418" s="876"/>
      <c r="G418" s="876"/>
      <c r="H418" s="876"/>
      <c r="I418" s="876"/>
      <c r="J418" s="876"/>
      <c r="K418" s="876"/>
      <c r="L418" s="876"/>
      <c r="M418" s="876"/>
      <c r="N418" s="876"/>
      <c r="O418" s="876"/>
      <c r="P418" s="876"/>
      <c r="Q418" s="870"/>
      <c r="R418" s="870"/>
      <c r="S418" s="870"/>
      <c r="T418" s="870"/>
      <c r="U418" s="870"/>
      <c r="V418" s="870"/>
      <c r="W418" s="870"/>
      <c r="X418" s="870"/>
      <c r="Y418" s="870"/>
      <c r="Z418" s="870"/>
      <c r="AA418" s="870"/>
      <c r="AB418" s="870"/>
      <c r="AC418" s="870"/>
      <c r="AD418" s="870"/>
      <c r="AE418" s="870"/>
      <c r="AF418" s="870"/>
      <c r="AG418" s="870"/>
    </row>
    <row r="419" spans="1:33" s="995" customFormat="1">
      <c r="A419" s="974"/>
      <c r="D419" s="876"/>
      <c r="E419" s="974"/>
      <c r="F419" s="876"/>
      <c r="G419" s="876"/>
      <c r="H419" s="876"/>
      <c r="I419" s="876"/>
      <c r="J419" s="876"/>
      <c r="K419" s="876"/>
      <c r="L419" s="876"/>
      <c r="M419" s="876"/>
      <c r="N419" s="876"/>
      <c r="O419" s="876"/>
      <c r="P419" s="876"/>
      <c r="Q419" s="870"/>
      <c r="R419" s="870"/>
      <c r="S419" s="870"/>
      <c r="T419" s="870"/>
      <c r="U419" s="870"/>
      <c r="V419" s="870"/>
      <c r="W419" s="870"/>
      <c r="X419" s="870"/>
      <c r="Y419" s="870"/>
      <c r="Z419" s="870"/>
      <c r="AA419" s="870"/>
      <c r="AB419" s="870"/>
      <c r="AC419" s="870"/>
      <c r="AD419" s="870"/>
      <c r="AE419" s="870"/>
      <c r="AF419" s="870"/>
      <c r="AG419" s="870"/>
    </row>
    <row r="420" spans="1:33" s="995" customFormat="1">
      <c r="A420" s="974"/>
      <c r="D420" s="876"/>
      <c r="E420" s="974"/>
      <c r="F420" s="876"/>
      <c r="G420" s="876"/>
      <c r="H420" s="876"/>
      <c r="I420" s="876"/>
      <c r="J420" s="876"/>
      <c r="K420" s="876"/>
      <c r="L420" s="876"/>
      <c r="M420" s="876"/>
      <c r="N420" s="876"/>
      <c r="O420" s="876"/>
      <c r="P420" s="876"/>
      <c r="Q420" s="870"/>
      <c r="R420" s="870"/>
      <c r="S420" s="870"/>
      <c r="T420" s="870"/>
      <c r="U420" s="870"/>
      <c r="V420" s="870"/>
      <c r="W420" s="870"/>
      <c r="X420" s="870"/>
      <c r="Y420" s="870"/>
      <c r="Z420" s="870"/>
      <c r="AA420" s="870"/>
      <c r="AB420" s="870"/>
      <c r="AC420" s="870"/>
      <c r="AD420" s="870"/>
      <c r="AE420" s="870"/>
      <c r="AF420" s="870"/>
      <c r="AG420" s="870"/>
    </row>
    <row r="421" spans="1:33" s="995" customFormat="1">
      <c r="A421" s="974"/>
      <c r="D421" s="876"/>
      <c r="E421" s="974"/>
      <c r="F421" s="876"/>
      <c r="G421" s="876"/>
      <c r="H421" s="876"/>
      <c r="I421" s="876"/>
      <c r="J421" s="876"/>
      <c r="K421" s="876"/>
      <c r="L421" s="876"/>
      <c r="M421" s="876"/>
      <c r="N421" s="876"/>
      <c r="O421" s="876"/>
      <c r="P421" s="876"/>
      <c r="Q421" s="870"/>
      <c r="R421" s="870"/>
      <c r="S421" s="870"/>
      <c r="T421" s="870"/>
      <c r="U421" s="870"/>
      <c r="V421" s="870"/>
      <c r="W421" s="870"/>
      <c r="X421" s="870"/>
      <c r="Y421" s="870"/>
      <c r="Z421" s="870"/>
      <c r="AA421" s="870"/>
      <c r="AB421" s="870"/>
      <c r="AC421" s="870"/>
      <c r="AD421" s="870"/>
      <c r="AE421" s="870"/>
      <c r="AF421" s="870"/>
      <c r="AG421" s="870"/>
    </row>
    <row r="422" spans="1:33" s="995" customFormat="1">
      <c r="A422" s="974"/>
      <c r="D422" s="876"/>
      <c r="E422" s="974"/>
      <c r="F422" s="876"/>
      <c r="G422" s="876"/>
      <c r="H422" s="876"/>
      <c r="I422" s="876"/>
      <c r="J422" s="876"/>
      <c r="K422" s="876"/>
      <c r="L422" s="876"/>
      <c r="M422" s="876"/>
      <c r="N422" s="876"/>
      <c r="O422" s="876"/>
      <c r="P422" s="876"/>
      <c r="Q422" s="870"/>
      <c r="R422" s="870"/>
      <c r="S422" s="870"/>
      <c r="T422" s="870"/>
      <c r="U422" s="870"/>
      <c r="V422" s="870"/>
      <c r="W422" s="870"/>
      <c r="X422" s="870"/>
      <c r="Y422" s="870"/>
      <c r="Z422" s="870"/>
      <c r="AA422" s="870"/>
      <c r="AB422" s="870"/>
      <c r="AC422" s="870"/>
      <c r="AD422" s="870"/>
      <c r="AE422" s="870"/>
      <c r="AF422" s="870"/>
      <c r="AG422" s="870"/>
    </row>
    <row r="423" spans="1:33" s="995" customFormat="1">
      <c r="A423" s="974"/>
      <c r="D423" s="876"/>
      <c r="E423" s="974"/>
      <c r="F423" s="876"/>
      <c r="G423" s="876"/>
      <c r="H423" s="876"/>
      <c r="I423" s="876"/>
      <c r="J423" s="876"/>
      <c r="K423" s="876"/>
      <c r="L423" s="876"/>
      <c r="M423" s="876"/>
      <c r="N423" s="876"/>
      <c r="O423" s="876"/>
      <c r="P423" s="876"/>
      <c r="Q423" s="870"/>
      <c r="R423" s="870"/>
      <c r="S423" s="870"/>
      <c r="T423" s="870"/>
      <c r="U423" s="870"/>
      <c r="V423" s="870"/>
      <c r="W423" s="870"/>
      <c r="X423" s="870"/>
      <c r="Y423" s="870"/>
      <c r="Z423" s="870"/>
      <c r="AA423" s="870"/>
      <c r="AB423" s="870"/>
      <c r="AC423" s="870"/>
      <c r="AD423" s="870"/>
      <c r="AE423" s="870"/>
      <c r="AF423" s="870"/>
      <c r="AG423" s="870"/>
    </row>
    <row r="424" spans="1:33" s="995" customFormat="1">
      <c r="A424" s="974"/>
      <c r="D424" s="876"/>
      <c r="E424" s="974"/>
      <c r="F424" s="876"/>
      <c r="G424" s="876"/>
      <c r="H424" s="876"/>
      <c r="I424" s="876"/>
      <c r="J424" s="876"/>
      <c r="K424" s="876"/>
      <c r="L424" s="876"/>
      <c r="M424" s="876"/>
      <c r="N424" s="876"/>
      <c r="O424" s="876"/>
      <c r="P424" s="876"/>
      <c r="Q424" s="870"/>
      <c r="R424" s="870"/>
      <c r="S424" s="870"/>
      <c r="T424" s="870"/>
      <c r="U424" s="870"/>
      <c r="V424" s="870"/>
      <c r="W424" s="870"/>
      <c r="X424" s="870"/>
      <c r="Y424" s="870"/>
      <c r="Z424" s="870"/>
      <c r="AA424" s="870"/>
      <c r="AB424" s="870"/>
      <c r="AC424" s="870"/>
      <c r="AD424" s="870"/>
      <c r="AE424" s="870"/>
      <c r="AF424" s="870"/>
      <c r="AG424" s="870"/>
    </row>
    <row r="425" spans="1:33" s="995" customFormat="1">
      <c r="A425" s="974"/>
      <c r="D425" s="876"/>
      <c r="E425" s="974"/>
      <c r="F425" s="876"/>
      <c r="G425" s="876"/>
      <c r="H425" s="876"/>
      <c r="I425" s="876"/>
      <c r="J425" s="876"/>
      <c r="K425" s="876"/>
      <c r="L425" s="876"/>
      <c r="M425" s="876"/>
      <c r="N425" s="876"/>
      <c r="O425" s="876"/>
      <c r="P425" s="876"/>
      <c r="Q425" s="870"/>
      <c r="R425" s="870"/>
      <c r="S425" s="870"/>
      <c r="T425" s="870"/>
      <c r="U425" s="870"/>
      <c r="V425" s="870"/>
      <c r="W425" s="870"/>
      <c r="X425" s="870"/>
      <c r="Y425" s="870"/>
      <c r="Z425" s="870"/>
      <c r="AA425" s="870"/>
      <c r="AB425" s="870"/>
      <c r="AC425" s="870"/>
      <c r="AD425" s="870"/>
      <c r="AE425" s="870"/>
      <c r="AF425" s="870"/>
      <c r="AG425" s="870"/>
    </row>
    <row r="426" spans="1:33" s="995" customFormat="1">
      <c r="A426" s="974"/>
      <c r="D426" s="876"/>
      <c r="E426" s="974"/>
      <c r="F426" s="876"/>
      <c r="G426" s="876"/>
      <c r="H426" s="876"/>
      <c r="I426" s="876"/>
      <c r="J426" s="876"/>
      <c r="K426" s="876"/>
      <c r="L426" s="876"/>
      <c r="M426" s="876"/>
      <c r="N426" s="876"/>
      <c r="O426" s="876"/>
      <c r="P426" s="876"/>
      <c r="Q426" s="870"/>
      <c r="R426" s="870"/>
      <c r="S426" s="870"/>
      <c r="T426" s="870"/>
      <c r="U426" s="870"/>
      <c r="V426" s="870"/>
      <c r="W426" s="870"/>
      <c r="X426" s="870"/>
      <c r="Y426" s="870"/>
      <c r="Z426" s="870"/>
      <c r="AA426" s="870"/>
      <c r="AB426" s="870"/>
      <c r="AC426" s="870"/>
      <c r="AD426" s="870"/>
      <c r="AE426" s="870"/>
      <c r="AF426" s="870"/>
      <c r="AG426" s="870"/>
    </row>
    <row r="427" spans="1:33" s="995" customFormat="1">
      <c r="A427" s="974"/>
      <c r="D427" s="876"/>
      <c r="E427" s="974"/>
      <c r="F427" s="876"/>
      <c r="G427" s="876"/>
      <c r="H427" s="876"/>
      <c r="I427" s="876"/>
      <c r="J427" s="876"/>
      <c r="K427" s="876"/>
      <c r="L427" s="876"/>
      <c r="M427" s="876"/>
      <c r="N427" s="876"/>
      <c r="O427" s="876"/>
      <c r="P427" s="876"/>
      <c r="Q427" s="870"/>
      <c r="R427" s="870"/>
      <c r="S427" s="870"/>
      <c r="T427" s="870"/>
      <c r="U427" s="870"/>
      <c r="V427" s="870"/>
      <c r="W427" s="870"/>
      <c r="X427" s="870"/>
      <c r="Y427" s="870"/>
      <c r="Z427" s="870"/>
      <c r="AA427" s="870"/>
      <c r="AB427" s="870"/>
      <c r="AC427" s="870"/>
      <c r="AD427" s="870"/>
      <c r="AE427" s="870"/>
      <c r="AF427" s="870"/>
      <c r="AG427" s="870"/>
    </row>
    <row r="428" spans="1:33" s="995" customFormat="1">
      <c r="A428" s="974"/>
      <c r="D428" s="876"/>
      <c r="E428" s="974"/>
      <c r="F428" s="876"/>
      <c r="G428" s="876"/>
      <c r="H428" s="876"/>
      <c r="I428" s="876"/>
      <c r="J428" s="876"/>
      <c r="K428" s="876"/>
      <c r="L428" s="876"/>
      <c r="M428" s="876"/>
      <c r="N428" s="876"/>
      <c r="O428" s="876"/>
      <c r="P428" s="876"/>
      <c r="Q428" s="870"/>
      <c r="R428" s="870"/>
      <c r="S428" s="870"/>
      <c r="T428" s="870"/>
      <c r="U428" s="870"/>
      <c r="V428" s="870"/>
      <c r="W428" s="870"/>
      <c r="X428" s="870"/>
      <c r="Y428" s="870"/>
      <c r="Z428" s="870"/>
      <c r="AA428" s="870"/>
      <c r="AB428" s="870"/>
      <c r="AC428" s="870"/>
      <c r="AD428" s="870"/>
      <c r="AE428" s="870"/>
      <c r="AF428" s="870"/>
      <c r="AG428" s="870"/>
    </row>
    <row r="429" spans="1:33" s="995" customFormat="1">
      <c r="A429" s="974"/>
      <c r="D429" s="876"/>
      <c r="E429" s="974"/>
      <c r="F429" s="876"/>
      <c r="G429" s="876"/>
      <c r="H429" s="876"/>
      <c r="I429" s="876"/>
      <c r="J429" s="876"/>
      <c r="K429" s="876"/>
      <c r="L429" s="876"/>
      <c r="M429" s="876"/>
      <c r="N429" s="876"/>
      <c r="O429" s="876"/>
      <c r="P429" s="876"/>
      <c r="Q429" s="870"/>
      <c r="R429" s="870"/>
      <c r="S429" s="870"/>
      <c r="T429" s="870"/>
      <c r="U429" s="870"/>
      <c r="V429" s="870"/>
      <c r="W429" s="870"/>
      <c r="X429" s="870"/>
      <c r="Y429" s="870"/>
      <c r="Z429" s="870"/>
      <c r="AA429" s="870"/>
      <c r="AB429" s="870"/>
      <c r="AC429" s="870"/>
      <c r="AD429" s="870"/>
      <c r="AE429" s="870"/>
      <c r="AF429" s="870"/>
      <c r="AG429" s="870"/>
    </row>
    <row r="430" spans="1:33" s="995" customFormat="1">
      <c r="A430" s="974"/>
      <c r="D430" s="876"/>
      <c r="E430" s="974"/>
      <c r="F430" s="876"/>
      <c r="G430" s="876"/>
      <c r="H430" s="876"/>
      <c r="I430" s="876"/>
      <c r="J430" s="876"/>
      <c r="K430" s="876"/>
      <c r="L430" s="876"/>
      <c r="M430" s="876"/>
      <c r="N430" s="876"/>
      <c r="O430" s="876"/>
      <c r="P430" s="876"/>
      <c r="Q430" s="870"/>
      <c r="R430" s="870"/>
      <c r="S430" s="870"/>
      <c r="T430" s="870"/>
      <c r="U430" s="870"/>
      <c r="V430" s="870"/>
      <c r="W430" s="870"/>
      <c r="X430" s="870"/>
      <c r="Y430" s="870"/>
      <c r="Z430" s="870"/>
      <c r="AA430" s="870"/>
      <c r="AB430" s="870"/>
      <c r="AC430" s="870"/>
      <c r="AD430" s="870"/>
      <c r="AE430" s="870"/>
      <c r="AF430" s="870"/>
      <c r="AG430" s="870"/>
    </row>
    <row r="431" spans="1:33" s="995" customFormat="1">
      <c r="A431" s="974"/>
      <c r="D431" s="876"/>
      <c r="E431" s="974"/>
      <c r="F431" s="876"/>
      <c r="G431" s="876"/>
      <c r="H431" s="876"/>
      <c r="I431" s="876"/>
      <c r="J431" s="876"/>
      <c r="K431" s="876"/>
      <c r="L431" s="876"/>
      <c r="M431" s="876"/>
      <c r="N431" s="876"/>
      <c r="O431" s="876"/>
      <c r="P431" s="876"/>
      <c r="Q431" s="870"/>
      <c r="R431" s="870"/>
      <c r="S431" s="870"/>
      <c r="T431" s="870"/>
      <c r="U431" s="870"/>
      <c r="V431" s="870"/>
      <c r="W431" s="870"/>
      <c r="X431" s="870"/>
      <c r="Y431" s="870"/>
      <c r="Z431" s="870"/>
      <c r="AA431" s="870"/>
      <c r="AB431" s="870"/>
      <c r="AC431" s="870"/>
      <c r="AD431" s="870"/>
      <c r="AE431" s="870"/>
      <c r="AF431" s="870"/>
      <c r="AG431" s="870"/>
    </row>
    <row r="432" spans="1:33" s="995" customFormat="1">
      <c r="A432" s="974"/>
      <c r="D432" s="876"/>
      <c r="E432" s="974"/>
      <c r="F432" s="876"/>
      <c r="G432" s="876"/>
      <c r="H432" s="876"/>
      <c r="I432" s="876"/>
      <c r="J432" s="876"/>
      <c r="K432" s="876"/>
      <c r="L432" s="876"/>
      <c r="M432" s="876"/>
      <c r="N432" s="876"/>
      <c r="O432" s="876"/>
      <c r="P432" s="876"/>
      <c r="Q432" s="870"/>
      <c r="R432" s="870"/>
      <c r="S432" s="870"/>
      <c r="T432" s="870"/>
      <c r="U432" s="870"/>
      <c r="V432" s="870"/>
      <c r="W432" s="870"/>
      <c r="X432" s="870"/>
      <c r="Y432" s="870"/>
      <c r="Z432" s="870"/>
      <c r="AA432" s="870"/>
      <c r="AB432" s="870"/>
      <c r="AC432" s="870"/>
      <c r="AD432" s="870"/>
      <c r="AE432" s="870"/>
      <c r="AF432" s="870"/>
      <c r="AG432" s="870"/>
    </row>
    <row r="433" spans="1:33" s="995" customFormat="1">
      <c r="A433" s="974"/>
      <c r="D433" s="876"/>
      <c r="E433" s="974"/>
      <c r="F433" s="876"/>
      <c r="G433" s="876"/>
      <c r="H433" s="876"/>
      <c r="I433" s="876"/>
      <c r="J433" s="876"/>
      <c r="K433" s="876"/>
      <c r="L433" s="876"/>
      <c r="M433" s="876"/>
      <c r="N433" s="876"/>
      <c r="O433" s="876"/>
      <c r="P433" s="876"/>
      <c r="Q433" s="870"/>
      <c r="R433" s="870"/>
      <c r="S433" s="870"/>
      <c r="T433" s="870"/>
      <c r="U433" s="870"/>
      <c r="V433" s="870"/>
      <c r="W433" s="870"/>
      <c r="X433" s="870"/>
      <c r="Y433" s="870"/>
      <c r="Z433" s="870"/>
      <c r="AA433" s="870"/>
      <c r="AB433" s="870"/>
      <c r="AC433" s="870"/>
      <c r="AD433" s="870"/>
      <c r="AE433" s="870"/>
      <c r="AF433" s="870"/>
      <c r="AG433" s="870"/>
    </row>
    <row r="434" spans="1:33" s="995" customFormat="1">
      <c r="A434" s="974"/>
      <c r="D434" s="876"/>
      <c r="E434" s="974"/>
      <c r="F434" s="876"/>
      <c r="G434" s="876"/>
      <c r="H434" s="876"/>
      <c r="I434" s="876"/>
      <c r="J434" s="876"/>
      <c r="K434" s="876"/>
      <c r="L434" s="876"/>
      <c r="M434" s="876"/>
      <c r="N434" s="876"/>
      <c r="O434" s="876"/>
      <c r="P434" s="876"/>
      <c r="Q434" s="870"/>
      <c r="R434" s="870"/>
      <c r="S434" s="870"/>
      <c r="T434" s="870"/>
      <c r="U434" s="870"/>
      <c r="V434" s="870"/>
      <c r="W434" s="870"/>
      <c r="X434" s="870"/>
      <c r="Y434" s="870"/>
      <c r="Z434" s="870"/>
      <c r="AA434" s="870"/>
      <c r="AB434" s="870"/>
      <c r="AC434" s="870"/>
      <c r="AD434" s="870"/>
      <c r="AE434" s="870"/>
      <c r="AF434" s="870"/>
      <c r="AG434" s="870"/>
    </row>
    <row r="435" spans="1:33" s="995" customFormat="1">
      <c r="A435" s="974"/>
      <c r="D435" s="876"/>
      <c r="E435" s="974"/>
      <c r="F435" s="876"/>
      <c r="G435" s="876"/>
      <c r="H435" s="876"/>
      <c r="I435" s="876"/>
      <c r="J435" s="876"/>
      <c r="K435" s="876"/>
      <c r="L435" s="876"/>
      <c r="M435" s="876"/>
      <c r="N435" s="876"/>
      <c r="O435" s="876"/>
      <c r="P435" s="876"/>
      <c r="Q435" s="870"/>
      <c r="R435" s="870"/>
      <c r="S435" s="870"/>
      <c r="T435" s="870"/>
      <c r="U435" s="870"/>
      <c r="V435" s="870"/>
      <c r="W435" s="870"/>
      <c r="X435" s="870"/>
      <c r="Y435" s="870"/>
      <c r="Z435" s="870"/>
      <c r="AA435" s="870"/>
      <c r="AB435" s="870"/>
      <c r="AC435" s="870"/>
      <c r="AD435" s="870"/>
      <c r="AE435" s="870"/>
      <c r="AF435" s="870"/>
      <c r="AG435" s="870"/>
    </row>
    <row r="436" spans="1:33" s="995" customFormat="1">
      <c r="A436" s="974"/>
      <c r="D436" s="876"/>
      <c r="E436" s="974"/>
      <c r="F436" s="876"/>
      <c r="G436" s="876"/>
      <c r="H436" s="876"/>
      <c r="I436" s="876"/>
      <c r="J436" s="876"/>
      <c r="K436" s="876"/>
      <c r="L436" s="876"/>
      <c r="M436" s="876"/>
      <c r="N436" s="876"/>
      <c r="O436" s="876"/>
      <c r="P436" s="876"/>
      <c r="Q436" s="870"/>
      <c r="R436" s="870"/>
      <c r="S436" s="870"/>
      <c r="T436" s="870"/>
      <c r="U436" s="870"/>
      <c r="V436" s="870"/>
      <c r="W436" s="870"/>
      <c r="X436" s="870"/>
      <c r="Y436" s="870"/>
      <c r="Z436" s="870"/>
      <c r="AA436" s="870"/>
      <c r="AB436" s="870"/>
      <c r="AC436" s="870"/>
      <c r="AD436" s="870"/>
      <c r="AE436" s="870"/>
      <c r="AF436" s="870"/>
      <c r="AG436" s="870"/>
    </row>
    <row r="437" spans="1:33" s="995" customFormat="1">
      <c r="A437" s="974"/>
      <c r="D437" s="876"/>
      <c r="E437" s="974"/>
      <c r="F437" s="876"/>
      <c r="G437" s="876"/>
      <c r="H437" s="876"/>
      <c r="I437" s="876"/>
      <c r="J437" s="876"/>
      <c r="K437" s="876"/>
      <c r="L437" s="876"/>
      <c r="M437" s="876"/>
      <c r="N437" s="876"/>
      <c r="O437" s="876"/>
      <c r="P437" s="876"/>
      <c r="Q437" s="870"/>
      <c r="R437" s="870"/>
      <c r="S437" s="870"/>
      <c r="T437" s="870"/>
      <c r="U437" s="870"/>
      <c r="V437" s="870"/>
      <c r="W437" s="870"/>
      <c r="X437" s="870"/>
      <c r="Y437" s="870"/>
      <c r="Z437" s="870"/>
      <c r="AA437" s="870"/>
      <c r="AB437" s="870"/>
      <c r="AC437" s="870"/>
      <c r="AD437" s="870"/>
      <c r="AE437" s="870"/>
      <c r="AF437" s="870"/>
      <c r="AG437" s="870"/>
    </row>
    <row r="438" spans="1:33" s="995" customFormat="1">
      <c r="A438" s="974"/>
      <c r="D438" s="876"/>
      <c r="E438" s="974"/>
      <c r="F438" s="876"/>
      <c r="G438" s="876"/>
      <c r="H438" s="876"/>
      <c r="I438" s="876"/>
      <c r="J438" s="876"/>
      <c r="K438" s="876"/>
      <c r="L438" s="876"/>
      <c r="M438" s="876"/>
      <c r="N438" s="876"/>
      <c r="O438" s="876"/>
      <c r="P438" s="876"/>
      <c r="Q438" s="870"/>
      <c r="R438" s="870"/>
      <c r="S438" s="870"/>
      <c r="T438" s="870"/>
      <c r="U438" s="870"/>
      <c r="V438" s="870"/>
      <c r="W438" s="870"/>
      <c r="X438" s="870"/>
      <c r="Y438" s="870"/>
      <c r="Z438" s="870"/>
      <c r="AA438" s="870"/>
      <c r="AB438" s="870"/>
      <c r="AC438" s="870"/>
      <c r="AD438" s="870"/>
      <c r="AE438" s="870"/>
      <c r="AF438" s="870"/>
      <c r="AG438" s="870"/>
    </row>
    <row r="439" spans="1:33" s="995" customFormat="1">
      <c r="A439" s="974"/>
      <c r="D439" s="876"/>
      <c r="E439" s="974"/>
      <c r="F439" s="876"/>
      <c r="G439" s="876"/>
      <c r="H439" s="876"/>
      <c r="I439" s="876"/>
      <c r="J439" s="876"/>
      <c r="K439" s="876"/>
      <c r="L439" s="876"/>
      <c r="M439" s="876"/>
      <c r="N439" s="876"/>
      <c r="O439" s="876"/>
      <c r="P439" s="876"/>
      <c r="Q439" s="870"/>
      <c r="R439" s="870"/>
      <c r="S439" s="870"/>
      <c r="T439" s="870"/>
      <c r="U439" s="870"/>
      <c r="V439" s="870"/>
      <c r="W439" s="870"/>
      <c r="X439" s="870"/>
      <c r="Y439" s="870"/>
      <c r="Z439" s="870"/>
      <c r="AA439" s="870"/>
      <c r="AB439" s="870"/>
      <c r="AC439" s="870"/>
      <c r="AD439" s="870"/>
      <c r="AE439" s="870"/>
      <c r="AF439" s="870"/>
      <c r="AG439" s="870"/>
    </row>
    <row r="440" spans="1:33" s="995" customFormat="1">
      <c r="A440" s="974"/>
      <c r="D440" s="876"/>
      <c r="E440" s="974"/>
      <c r="F440" s="876"/>
      <c r="G440" s="876"/>
      <c r="H440" s="876"/>
      <c r="I440" s="876"/>
      <c r="J440" s="876"/>
      <c r="K440" s="876"/>
      <c r="L440" s="876"/>
      <c r="M440" s="876"/>
      <c r="N440" s="876"/>
      <c r="O440" s="876"/>
      <c r="P440" s="876"/>
      <c r="Q440" s="870"/>
      <c r="R440" s="870"/>
      <c r="S440" s="870"/>
      <c r="T440" s="870"/>
      <c r="U440" s="870"/>
      <c r="V440" s="870"/>
      <c r="W440" s="870"/>
      <c r="X440" s="870"/>
      <c r="Y440" s="870"/>
      <c r="Z440" s="870"/>
      <c r="AA440" s="870"/>
      <c r="AB440" s="870"/>
      <c r="AC440" s="870"/>
      <c r="AD440" s="870"/>
      <c r="AE440" s="870"/>
      <c r="AF440" s="870"/>
      <c r="AG440" s="870"/>
    </row>
    <row r="441" spans="1:33" s="995" customFormat="1">
      <c r="A441" s="974"/>
      <c r="D441" s="876"/>
      <c r="E441" s="974"/>
      <c r="F441" s="876"/>
      <c r="G441" s="876"/>
      <c r="H441" s="876"/>
      <c r="I441" s="876"/>
      <c r="J441" s="876"/>
      <c r="K441" s="876"/>
      <c r="L441" s="876"/>
      <c r="M441" s="876"/>
      <c r="N441" s="876"/>
      <c r="O441" s="876"/>
      <c r="P441" s="876"/>
      <c r="Q441" s="870"/>
      <c r="R441" s="870"/>
      <c r="S441" s="870"/>
      <c r="T441" s="870"/>
      <c r="U441" s="870"/>
      <c r="V441" s="870"/>
      <c r="W441" s="870"/>
      <c r="X441" s="870"/>
      <c r="Y441" s="870"/>
      <c r="Z441" s="870"/>
      <c r="AA441" s="870"/>
      <c r="AB441" s="870"/>
      <c r="AC441" s="870"/>
      <c r="AD441" s="870"/>
      <c r="AE441" s="870"/>
      <c r="AF441" s="870"/>
      <c r="AG441" s="870"/>
    </row>
    <row r="442" spans="1:33" s="995" customFormat="1">
      <c r="A442" s="974"/>
      <c r="D442" s="876"/>
      <c r="E442" s="974"/>
      <c r="F442" s="876"/>
      <c r="G442" s="876"/>
      <c r="H442" s="876"/>
      <c r="I442" s="876"/>
      <c r="J442" s="876"/>
      <c r="K442" s="876"/>
      <c r="L442" s="876"/>
      <c r="M442" s="876"/>
      <c r="N442" s="876"/>
      <c r="O442" s="876"/>
      <c r="P442" s="876"/>
      <c r="Q442" s="870"/>
      <c r="R442" s="870"/>
      <c r="S442" s="870"/>
      <c r="T442" s="870"/>
      <c r="U442" s="870"/>
      <c r="V442" s="870"/>
      <c r="W442" s="870"/>
      <c r="X442" s="870"/>
      <c r="Y442" s="870"/>
      <c r="Z442" s="870"/>
      <c r="AA442" s="870"/>
      <c r="AB442" s="870"/>
      <c r="AC442" s="870"/>
      <c r="AD442" s="870"/>
      <c r="AE442" s="870"/>
      <c r="AF442" s="870"/>
      <c r="AG442" s="870"/>
    </row>
    <row r="443" spans="1:33" s="995" customFormat="1">
      <c r="A443" s="974"/>
      <c r="D443" s="876"/>
      <c r="E443" s="974"/>
      <c r="F443" s="876"/>
      <c r="G443" s="876"/>
      <c r="H443" s="876"/>
      <c r="I443" s="876"/>
      <c r="J443" s="876"/>
      <c r="K443" s="876"/>
      <c r="L443" s="876"/>
      <c r="M443" s="876"/>
      <c r="N443" s="876"/>
      <c r="O443" s="876"/>
      <c r="P443" s="876"/>
      <c r="Q443" s="870"/>
      <c r="R443" s="870"/>
      <c r="S443" s="870"/>
      <c r="T443" s="870"/>
      <c r="U443" s="870"/>
      <c r="V443" s="870"/>
      <c r="W443" s="870"/>
      <c r="X443" s="870"/>
      <c r="Y443" s="870"/>
      <c r="Z443" s="870"/>
      <c r="AA443" s="870"/>
      <c r="AB443" s="870"/>
      <c r="AC443" s="870"/>
      <c r="AD443" s="870"/>
      <c r="AE443" s="870"/>
      <c r="AF443" s="870"/>
      <c r="AG443" s="870"/>
    </row>
    <row r="444" spans="1:33" s="995" customFormat="1">
      <c r="A444" s="974"/>
      <c r="D444" s="876"/>
      <c r="E444" s="974"/>
      <c r="F444" s="876"/>
      <c r="G444" s="876"/>
      <c r="H444" s="876"/>
      <c r="I444" s="876"/>
      <c r="J444" s="876"/>
      <c r="K444" s="876"/>
      <c r="L444" s="876"/>
      <c r="M444" s="876"/>
      <c r="N444" s="876"/>
      <c r="O444" s="876"/>
      <c r="P444" s="876"/>
      <c r="Q444" s="870"/>
      <c r="R444" s="870"/>
      <c r="S444" s="870"/>
      <c r="T444" s="870"/>
      <c r="U444" s="870"/>
      <c r="V444" s="870"/>
      <c r="W444" s="870"/>
      <c r="X444" s="870"/>
      <c r="Y444" s="870"/>
      <c r="Z444" s="870"/>
      <c r="AA444" s="870"/>
      <c r="AB444" s="870"/>
      <c r="AC444" s="870"/>
      <c r="AD444" s="870"/>
      <c r="AE444" s="870"/>
      <c r="AF444" s="870"/>
      <c r="AG444" s="870"/>
    </row>
    <row r="445" spans="1:33" s="995" customFormat="1">
      <c r="A445" s="974"/>
      <c r="D445" s="876"/>
      <c r="E445" s="974"/>
      <c r="F445" s="876"/>
      <c r="G445" s="876"/>
      <c r="H445" s="876"/>
      <c r="I445" s="876"/>
      <c r="J445" s="876"/>
      <c r="K445" s="876"/>
      <c r="L445" s="876"/>
      <c r="M445" s="876"/>
      <c r="N445" s="876"/>
      <c r="O445" s="876"/>
      <c r="P445" s="876"/>
      <c r="Q445" s="870"/>
      <c r="R445" s="870"/>
      <c r="S445" s="870"/>
      <c r="T445" s="870"/>
      <c r="U445" s="870"/>
      <c r="V445" s="870"/>
      <c r="W445" s="870"/>
      <c r="X445" s="870"/>
      <c r="Y445" s="870"/>
      <c r="Z445" s="870"/>
      <c r="AA445" s="870"/>
      <c r="AB445" s="870"/>
      <c r="AC445" s="870"/>
      <c r="AD445" s="870"/>
      <c r="AE445" s="870"/>
      <c r="AF445" s="870"/>
      <c r="AG445" s="870"/>
    </row>
    <row r="446" spans="1:33" s="995" customFormat="1">
      <c r="A446" s="974"/>
      <c r="D446" s="876"/>
      <c r="E446" s="974"/>
      <c r="F446" s="876"/>
      <c r="G446" s="876"/>
      <c r="H446" s="876"/>
      <c r="I446" s="876"/>
      <c r="J446" s="876"/>
      <c r="K446" s="876"/>
      <c r="L446" s="876"/>
      <c r="M446" s="876"/>
      <c r="N446" s="876"/>
      <c r="O446" s="876"/>
      <c r="P446" s="876"/>
      <c r="Q446" s="870"/>
      <c r="R446" s="870"/>
      <c r="S446" s="870"/>
      <c r="T446" s="870"/>
      <c r="U446" s="870"/>
      <c r="V446" s="870"/>
      <c r="W446" s="870"/>
      <c r="X446" s="870"/>
      <c r="Y446" s="870"/>
      <c r="Z446" s="870"/>
      <c r="AA446" s="870"/>
      <c r="AB446" s="870"/>
      <c r="AC446" s="870"/>
      <c r="AD446" s="870"/>
      <c r="AE446" s="870"/>
      <c r="AF446" s="870"/>
      <c r="AG446" s="870"/>
    </row>
    <row r="447" spans="1:33" s="995" customFormat="1">
      <c r="A447" s="974"/>
      <c r="D447" s="876"/>
      <c r="E447" s="974"/>
      <c r="F447" s="876"/>
      <c r="G447" s="876"/>
      <c r="H447" s="876"/>
      <c r="I447" s="876"/>
      <c r="J447" s="876"/>
      <c r="K447" s="876"/>
      <c r="L447" s="876"/>
      <c r="M447" s="876"/>
      <c r="N447" s="876"/>
      <c r="O447" s="876"/>
      <c r="P447" s="876"/>
      <c r="Q447" s="870"/>
      <c r="R447" s="870"/>
      <c r="S447" s="870"/>
      <c r="T447" s="870"/>
      <c r="U447" s="870"/>
      <c r="V447" s="870"/>
      <c r="W447" s="870"/>
      <c r="X447" s="870"/>
      <c r="Y447" s="870"/>
      <c r="Z447" s="870"/>
      <c r="AA447" s="870"/>
      <c r="AB447" s="870"/>
      <c r="AC447" s="870"/>
      <c r="AD447" s="870"/>
      <c r="AE447" s="870"/>
      <c r="AF447" s="870"/>
      <c r="AG447" s="870"/>
    </row>
    <row r="448" spans="1:33" s="995" customFormat="1">
      <c r="A448" s="974"/>
      <c r="D448" s="876"/>
      <c r="E448" s="974"/>
      <c r="F448" s="876"/>
      <c r="G448" s="876"/>
      <c r="H448" s="876"/>
      <c r="I448" s="876"/>
      <c r="J448" s="876"/>
      <c r="K448" s="876"/>
      <c r="L448" s="876"/>
      <c r="M448" s="876"/>
      <c r="N448" s="876"/>
      <c r="O448" s="876"/>
      <c r="P448" s="876"/>
      <c r="Q448" s="870"/>
      <c r="R448" s="870"/>
      <c r="S448" s="870"/>
      <c r="T448" s="870"/>
      <c r="U448" s="870"/>
      <c r="V448" s="870"/>
      <c r="W448" s="870"/>
      <c r="X448" s="870"/>
      <c r="Y448" s="870"/>
      <c r="Z448" s="870"/>
      <c r="AA448" s="870"/>
      <c r="AB448" s="870"/>
      <c r="AC448" s="870"/>
      <c r="AD448" s="870"/>
      <c r="AE448" s="870"/>
      <c r="AF448" s="870"/>
      <c r="AG448" s="870"/>
    </row>
    <row r="449" spans="1:33" s="995" customFormat="1">
      <c r="A449" s="974"/>
      <c r="D449" s="876"/>
      <c r="E449" s="974"/>
      <c r="F449" s="876"/>
      <c r="G449" s="876"/>
      <c r="H449" s="876"/>
      <c r="I449" s="876"/>
      <c r="J449" s="876"/>
      <c r="K449" s="876"/>
      <c r="L449" s="876"/>
      <c r="M449" s="876"/>
      <c r="N449" s="876"/>
      <c r="O449" s="876"/>
      <c r="P449" s="876"/>
      <c r="Q449" s="870"/>
      <c r="R449" s="870"/>
      <c r="S449" s="870"/>
      <c r="T449" s="870"/>
      <c r="U449" s="870"/>
      <c r="V449" s="870"/>
      <c r="W449" s="870"/>
      <c r="X449" s="870"/>
      <c r="Y449" s="870"/>
      <c r="Z449" s="870"/>
      <c r="AA449" s="870"/>
      <c r="AB449" s="870"/>
      <c r="AC449" s="870"/>
      <c r="AD449" s="870"/>
      <c r="AE449" s="870"/>
      <c r="AF449" s="870"/>
      <c r="AG449" s="870"/>
    </row>
    <row r="450" spans="1:33" s="995" customFormat="1">
      <c r="A450" s="974"/>
      <c r="D450" s="876"/>
      <c r="E450" s="974"/>
      <c r="F450" s="876"/>
      <c r="G450" s="876"/>
      <c r="H450" s="876"/>
      <c r="I450" s="876"/>
      <c r="J450" s="876"/>
      <c r="K450" s="876"/>
      <c r="L450" s="876"/>
      <c r="M450" s="876"/>
      <c r="N450" s="876"/>
      <c r="O450" s="876"/>
      <c r="P450" s="876"/>
      <c r="Q450" s="870"/>
      <c r="R450" s="870"/>
      <c r="S450" s="870"/>
      <c r="T450" s="870"/>
      <c r="U450" s="870"/>
      <c r="V450" s="870"/>
      <c r="W450" s="870"/>
      <c r="X450" s="870"/>
      <c r="Y450" s="870"/>
      <c r="Z450" s="870"/>
      <c r="AA450" s="870"/>
      <c r="AB450" s="870"/>
      <c r="AC450" s="870"/>
      <c r="AD450" s="870"/>
      <c r="AE450" s="870"/>
      <c r="AF450" s="870"/>
      <c r="AG450" s="870"/>
    </row>
    <row r="451" spans="1:33" s="995" customFormat="1">
      <c r="A451" s="974"/>
      <c r="D451" s="876"/>
      <c r="E451" s="974"/>
      <c r="F451" s="876"/>
      <c r="G451" s="876"/>
      <c r="H451" s="876"/>
      <c r="I451" s="876"/>
      <c r="J451" s="876"/>
      <c r="K451" s="876"/>
      <c r="L451" s="876"/>
      <c r="M451" s="876"/>
      <c r="N451" s="876"/>
      <c r="O451" s="876"/>
      <c r="P451" s="876"/>
      <c r="Q451" s="870"/>
      <c r="R451" s="870"/>
      <c r="S451" s="870"/>
      <c r="T451" s="870"/>
      <c r="U451" s="870"/>
      <c r="V451" s="870"/>
      <c r="W451" s="870"/>
      <c r="X451" s="870"/>
      <c r="Y451" s="870"/>
      <c r="Z451" s="870"/>
      <c r="AA451" s="870"/>
      <c r="AB451" s="870"/>
      <c r="AC451" s="870"/>
      <c r="AD451" s="870"/>
      <c r="AE451" s="870"/>
      <c r="AF451" s="870"/>
      <c r="AG451" s="870"/>
    </row>
    <row r="452" spans="1:33" s="995" customFormat="1">
      <c r="A452" s="974"/>
      <c r="D452" s="876"/>
      <c r="E452" s="974"/>
      <c r="F452" s="876"/>
      <c r="G452" s="876"/>
      <c r="H452" s="876"/>
      <c r="I452" s="876"/>
      <c r="J452" s="876"/>
      <c r="K452" s="876"/>
      <c r="L452" s="876"/>
      <c r="M452" s="876"/>
      <c r="N452" s="876"/>
      <c r="O452" s="876"/>
      <c r="P452" s="876"/>
      <c r="Q452" s="870"/>
      <c r="R452" s="870"/>
      <c r="S452" s="870"/>
      <c r="T452" s="870"/>
      <c r="U452" s="870"/>
      <c r="V452" s="870"/>
      <c r="W452" s="870"/>
      <c r="X452" s="870"/>
      <c r="Y452" s="870"/>
      <c r="Z452" s="870"/>
      <c r="AA452" s="870"/>
      <c r="AB452" s="870"/>
      <c r="AC452" s="870"/>
      <c r="AD452" s="870"/>
      <c r="AE452" s="870"/>
      <c r="AF452" s="870"/>
      <c r="AG452" s="870"/>
    </row>
    <row r="453" spans="1:33" s="995" customFormat="1">
      <c r="A453" s="974"/>
      <c r="D453" s="876"/>
      <c r="E453" s="974"/>
      <c r="F453" s="876"/>
      <c r="G453" s="876"/>
      <c r="H453" s="876"/>
      <c r="I453" s="876"/>
      <c r="J453" s="876"/>
      <c r="K453" s="876"/>
      <c r="L453" s="876"/>
      <c r="M453" s="876"/>
      <c r="N453" s="876"/>
      <c r="O453" s="876"/>
      <c r="P453" s="876"/>
      <c r="Q453" s="870"/>
      <c r="R453" s="870"/>
      <c r="S453" s="870"/>
      <c r="T453" s="870"/>
      <c r="U453" s="870"/>
      <c r="V453" s="870"/>
      <c r="W453" s="870"/>
      <c r="X453" s="870"/>
      <c r="Y453" s="870"/>
      <c r="Z453" s="870"/>
      <c r="AA453" s="870"/>
      <c r="AB453" s="870"/>
      <c r="AC453" s="870"/>
      <c r="AD453" s="870"/>
      <c r="AE453" s="870"/>
      <c r="AF453" s="870"/>
      <c r="AG453" s="870"/>
    </row>
    <row r="454" spans="1:33" s="995" customFormat="1">
      <c r="A454" s="974"/>
      <c r="D454" s="876"/>
      <c r="E454" s="974"/>
      <c r="F454" s="876"/>
      <c r="G454" s="876"/>
      <c r="H454" s="876"/>
      <c r="I454" s="876"/>
      <c r="J454" s="876"/>
      <c r="K454" s="876"/>
      <c r="L454" s="876"/>
      <c r="M454" s="876"/>
      <c r="N454" s="876"/>
      <c r="O454" s="876"/>
      <c r="P454" s="876"/>
      <c r="Q454" s="870"/>
      <c r="R454" s="870"/>
      <c r="S454" s="870"/>
      <c r="T454" s="870"/>
      <c r="U454" s="870"/>
      <c r="V454" s="870"/>
      <c r="W454" s="870"/>
      <c r="X454" s="870"/>
      <c r="Y454" s="870"/>
      <c r="Z454" s="870"/>
      <c r="AA454" s="870"/>
      <c r="AB454" s="870"/>
      <c r="AC454" s="870"/>
      <c r="AD454" s="870"/>
      <c r="AE454" s="870"/>
      <c r="AF454" s="870"/>
      <c r="AG454" s="870"/>
    </row>
    <row r="455" spans="1:33" s="995" customFormat="1">
      <c r="A455" s="974"/>
      <c r="D455" s="876"/>
      <c r="E455" s="974"/>
      <c r="F455" s="876"/>
      <c r="G455" s="876"/>
      <c r="H455" s="876"/>
      <c r="I455" s="876"/>
      <c r="J455" s="876"/>
      <c r="K455" s="876"/>
      <c r="L455" s="876"/>
      <c r="M455" s="876"/>
      <c r="N455" s="876"/>
      <c r="O455" s="876"/>
      <c r="P455" s="876"/>
      <c r="Q455" s="870"/>
      <c r="R455" s="870"/>
      <c r="S455" s="870"/>
      <c r="T455" s="870"/>
      <c r="U455" s="870"/>
      <c r="V455" s="870"/>
      <c r="W455" s="870"/>
      <c r="X455" s="870"/>
      <c r="Y455" s="870"/>
      <c r="Z455" s="870"/>
      <c r="AA455" s="870"/>
      <c r="AB455" s="870"/>
      <c r="AC455" s="870"/>
      <c r="AD455" s="870"/>
      <c r="AE455" s="870"/>
      <c r="AF455" s="870"/>
      <c r="AG455" s="870"/>
    </row>
    <row r="456" spans="1:33" s="995" customFormat="1">
      <c r="A456" s="974"/>
      <c r="D456" s="876"/>
      <c r="E456" s="974"/>
      <c r="F456" s="876"/>
      <c r="G456" s="876"/>
      <c r="H456" s="876"/>
      <c r="I456" s="876"/>
      <c r="J456" s="876"/>
      <c r="K456" s="876"/>
      <c r="L456" s="876"/>
      <c r="M456" s="876"/>
      <c r="N456" s="876"/>
      <c r="O456" s="876"/>
      <c r="P456" s="876"/>
      <c r="Q456" s="870"/>
      <c r="R456" s="870"/>
      <c r="S456" s="870"/>
      <c r="T456" s="870"/>
      <c r="U456" s="870"/>
      <c r="V456" s="870"/>
      <c r="W456" s="870"/>
      <c r="X456" s="870"/>
      <c r="Y456" s="870"/>
      <c r="Z456" s="870"/>
      <c r="AA456" s="870"/>
      <c r="AB456" s="870"/>
      <c r="AC456" s="870"/>
      <c r="AD456" s="870"/>
      <c r="AE456" s="870"/>
      <c r="AF456" s="870"/>
      <c r="AG456" s="870"/>
    </row>
    <row r="457" spans="1:33" s="995" customFormat="1">
      <c r="A457" s="974"/>
      <c r="D457" s="876"/>
      <c r="E457" s="974"/>
      <c r="F457" s="876"/>
      <c r="G457" s="876"/>
      <c r="H457" s="876"/>
      <c r="I457" s="876"/>
      <c r="J457" s="876"/>
      <c r="K457" s="876"/>
      <c r="L457" s="876"/>
      <c r="M457" s="876"/>
      <c r="N457" s="876"/>
      <c r="O457" s="876"/>
      <c r="P457" s="876"/>
      <c r="Q457" s="870"/>
      <c r="R457" s="870"/>
      <c r="S457" s="870"/>
      <c r="T457" s="870"/>
      <c r="U457" s="870"/>
      <c r="V457" s="870"/>
      <c r="W457" s="870"/>
      <c r="X457" s="870"/>
      <c r="Y457" s="870"/>
      <c r="Z457" s="870"/>
      <c r="AA457" s="870"/>
      <c r="AB457" s="870"/>
      <c r="AC457" s="870"/>
      <c r="AD457" s="870"/>
      <c r="AE457" s="870"/>
      <c r="AF457" s="870"/>
      <c r="AG457" s="870"/>
    </row>
    <row r="458" spans="1:33" s="995" customFormat="1">
      <c r="A458" s="974"/>
      <c r="D458" s="876"/>
      <c r="E458" s="974"/>
      <c r="F458" s="876"/>
      <c r="G458" s="876"/>
      <c r="H458" s="876"/>
      <c r="I458" s="876"/>
      <c r="J458" s="876"/>
      <c r="K458" s="876"/>
      <c r="L458" s="876"/>
      <c r="M458" s="876"/>
      <c r="N458" s="876"/>
      <c r="O458" s="876"/>
      <c r="P458" s="876"/>
      <c r="Q458" s="870"/>
      <c r="R458" s="870"/>
      <c r="S458" s="870"/>
      <c r="T458" s="870"/>
      <c r="U458" s="870"/>
      <c r="V458" s="870"/>
      <c r="W458" s="870"/>
      <c r="X458" s="870"/>
      <c r="Y458" s="870"/>
      <c r="Z458" s="870"/>
      <c r="AA458" s="870"/>
      <c r="AB458" s="870"/>
      <c r="AC458" s="870"/>
      <c r="AD458" s="870"/>
      <c r="AE458" s="870"/>
      <c r="AF458" s="870"/>
      <c r="AG458" s="870"/>
    </row>
    <row r="459" spans="1:33" s="995" customFormat="1">
      <c r="A459" s="974"/>
      <c r="D459" s="876"/>
      <c r="E459" s="974"/>
      <c r="F459" s="876"/>
      <c r="G459" s="876"/>
      <c r="H459" s="876"/>
      <c r="I459" s="876"/>
      <c r="J459" s="876"/>
      <c r="K459" s="876"/>
      <c r="L459" s="876"/>
      <c r="M459" s="876"/>
      <c r="N459" s="876"/>
      <c r="O459" s="876"/>
      <c r="P459" s="876"/>
      <c r="Q459" s="870"/>
      <c r="R459" s="870"/>
      <c r="S459" s="870"/>
      <c r="T459" s="870"/>
      <c r="U459" s="870"/>
      <c r="V459" s="870"/>
      <c r="W459" s="870"/>
      <c r="X459" s="870"/>
      <c r="Y459" s="870"/>
      <c r="Z459" s="870"/>
      <c r="AA459" s="870"/>
      <c r="AB459" s="870"/>
      <c r="AC459" s="870"/>
      <c r="AD459" s="870"/>
      <c r="AE459" s="870"/>
      <c r="AF459" s="870"/>
      <c r="AG459" s="870"/>
    </row>
    <row r="460" spans="1:33" s="995" customFormat="1">
      <c r="A460" s="974"/>
      <c r="D460" s="876"/>
      <c r="E460" s="974"/>
      <c r="F460" s="876"/>
      <c r="G460" s="876"/>
      <c r="H460" s="876"/>
      <c r="I460" s="876"/>
      <c r="J460" s="876"/>
      <c r="K460" s="876"/>
      <c r="L460" s="876"/>
      <c r="M460" s="876"/>
      <c r="N460" s="876"/>
      <c r="O460" s="876"/>
      <c r="P460" s="876"/>
      <c r="Q460" s="870"/>
      <c r="R460" s="870"/>
      <c r="S460" s="870"/>
      <c r="T460" s="870"/>
      <c r="U460" s="870"/>
      <c r="V460" s="870"/>
      <c r="W460" s="870"/>
      <c r="X460" s="870"/>
      <c r="Y460" s="870"/>
      <c r="Z460" s="870"/>
      <c r="AA460" s="870"/>
      <c r="AB460" s="870"/>
      <c r="AC460" s="870"/>
      <c r="AD460" s="870"/>
      <c r="AE460" s="870"/>
      <c r="AF460" s="870"/>
      <c r="AG460" s="870"/>
    </row>
    <row r="461" spans="1:33" s="995" customFormat="1">
      <c r="A461" s="974"/>
      <c r="D461" s="876"/>
      <c r="E461" s="974"/>
      <c r="F461" s="876"/>
      <c r="G461" s="876"/>
      <c r="H461" s="876"/>
      <c r="I461" s="876"/>
      <c r="J461" s="876"/>
      <c r="K461" s="876"/>
      <c r="L461" s="876"/>
      <c r="M461" s="876"/>
      <c r="N461" s="876"/>
      <c r="O461" s="876"/>
      <c r="P461" s="876"/>
      <c r="Q461" s="870"/>
      <c r="R461" s="870"/>
      <c r="S461" s="870"/>
      <c r="T461" s="870"/>
      <c r="U461" s="870"/>
      <c r="V461" s="870"/>
      <c r="W461" s="870"/>
      <c r="X461" s="870"/>
      <c r="Y461" s="870"/>
      <c r="Z461" s="870"/>
      <c r="AA461" s="870"/>
      <c r="AB461" s="870"/>
      <c r="AC461" s="870"/>
      <c r="AD461" s="870"/>
      <c r="AE461" s="870"/>
      <c r="AF461" s="870"/>
      <c r="AG461" s="870"/>
    </row>
    <row r="462" spans="1:33" s="995" customFormat="1">
      <c r="A462" s="974"/>
      <c r="D462" s="876"/>
      <c r="E462" s="974"/>
      <c r="F462" s="876"/>
      <c r="G462" s="876"/>
      <c r="H462" s="876"/>
      <c r="I462" s="876"/>
      <c r="J462" s="876"/>
      <c r="K462" s="876"/>
      <c r="L462" s="876"/>
      <c r="M462" s="876"/>
      <c r="N462" s="876"/>
      <c r="O462" s="876"/>
      <c r="P462" s="876"/>
      <c r="Q462" s="870"/>
      <c r="R462" s="870"/>
      <c r="S462" s="870"/>
      <c r="T462" s="870"/>
      <c r="U462" s="870"/>
      <c r="V462" s="870"/>
      <c r="W462" s="870"/>
      <c r="X462" s="870"/>
      <c r="Y462" s="870"/>
      <c r="Z462" s="870"/>
      <c r="AA462" s="870"/>
      <c r="AB462" s="870"/>
      <c r="AC462" s="870"/>
      <c r="AD462" s="870"/>
      <c r="AE462" s="870"/>
      <c r="AF462" s="870"/>
      <c r="AG462" s="870"/>
    </row>
    <row r="463" spans="1:33" s="995" customFormat="1">
      <c r="A463" s="974"/>
      <c r="D463" s="876"/>
      <c r="E463" s="974"/>
      <c r="F463" s="876"/>
      <c r="G463" s="876"/>
      <c r="H463" s="876"/>
      <c r="I463" s="876"/>
      <c r="J463" s="876"/>
      <c r="K463" s="876"/>
      <c r="L463" s="876"/>
      <c r="M463" s="876"/>
      <c r="N463" s="876"/>
      <c r="O463" s="876"/>
      <c r="P463" s="876"/>
      <c r="Q463" s="870"/>
      <c r="R463" s="870"/>
      <c r="S463" s="870"/>
      <c r="T463" s="870"/>
      <c r="U463" s="870"/>
      <c r="V463" s="870"/>
      <c r="W463" s="870"/>
      <c r="X463" s="870"/>
      <c r="Y463" s="870"/>
      <c r="Z463" s="870"/>
      <c r="AA463" s="870"/>
      <c r="AB463" s="870"/>
      <c r="AC463" s="870"/>
      <c r="AD463" s="870"/>
      <c r="AE463" s="870"/>
      <c r="AF463" s="870"/>
      <c r="AG463" s="870"/>
    </row>
    <row r="464" spans="1:33" s="995" customFormat="1">
      <c r="A464" s="974"/>
      <c r="D464" s="876"/>
      <c r="E464" s="974"/>
      <c r="F464" s="876"/>
      <c r="G464" s="876"/>
      <c r="H464" s="876"/>
      <c r="I464" s="876"/>
      <c r="J464" s="876"/>
      <c r="K464" s="876"/>
      <c r="L464" s="876"/>
      <c r="M464" s="876"/>
      <c r="N464" s="876"/>
      <c r="O464" s="876"/>
      <c r="P464" s="876"/>
      <c r="Q464" s="870"/>
      <c r="R464" s="870"/>
      <c r="S464" s="870"/>
      <c r="T464" s="870"/>
      <c r="U464" s="870"/>
      <c r="V464" s="870"/>
      <c r="W464" s="870"/>
      <c r="X464" s="870"/>
      <c r="Y464" s="870"/>
      <c r="Z464" s="870"/>
      <c r="AA464" s="870"/>
      <c r="AB464" s="870"/>
      <c r="AC464" s="870"/>
      <c r="AD464" s="870"/>
      <c r="AE464" s="870"/>
      <c r="AF464" s="870"/>
      <c r="AG464" s="870"/>
    </row>
    <row r="465" spans="1:33" s="995" customFormat="1">
      <c r="A465" s="974"/>
      <c r="D465" s="876"/>
      <c r="E465" s="974"/>
      <c r="F465" s="876"/>
      <c r="G465" s="876"/>
      <c r="H465" s="876"/>
      <c r="I465" s="876"/>
      <c r="J465" s="876"/>
      <c r="K465" s="876"/>
      <c r="L465" s="876"/>
      <c r="M465" s="876"/>
      <c r="N465" s="876"/>
      <c r="O465" s="876"/>
      <c r="P465" s="876"/>
      <c r="Q465" s="870"/>
      <c r="R465" s="870"/>
      <c r="S465" s="870"/>
      <c r="T465" s="870"/>
      <c r="U465" s="870"/>
      <c r="V465" s="870"/>
      <c r="W465" s="870"/>
      <c r="X465" s="870"/>
      <c r="Y465" s="870"/>
      <c r="Z465" s="870"/>
      <c r="AA465" s="870"/>
      <c r="AB465" s="870"/>
      <c r="AC465" s="870"/>
      <c r="AD465" s="870"/>
      <c r="AE465" s="870"/>
      <c r="AF465" s="870"/>
      <c r="AG465" s="870"/>
    </row>
    <row r="466" spans="1:33" s="995" customFormat="1">
      <c r="A466" s="974"/>
      <c r="D466" s="876"/>
      <c r="E466" s="974"/>
      <c r="F466" s="876"/>
      <c r="G466" s="876"/>
      <c r="H466" s="876"/>
      <c r="I466" s="876"/>
      <c r="J466" s="876"/>
      <c r="K466" s="876"/>
      <c r="L466" s="876"/>
      <c r="M466" s="876"/>
      <c r="N466" s="876"/>
      <c r="O466" s="876"/>
      <c r="P466" s="876"/>
      <c r="Q466" s="870"/>
      <c r="R466" s="870"/>
      <c r="S466" s="870"/>
      <c r="T466" s="870"/>
      <c r="U466" s="870"/>
      <c r="V466" s="870"/>
      <c r="W466" s="870"/>
      <c r="X466" s="870"/>
      <c r="Y466" s="870"/>
      <c r="Z466" s="870"/>
      <c r="AA466" s="870"/>
      <c r="AB466" s="870"/>
      <c r="AC466" s="870"/>
      <c r="AD466" s="870"/>
      <c r="AE466" s="870"/>
      <c r="AF466" s="870"/>
      <c r="AG466" s="870"/>
    </row>
    <row r="467" spans="1:33" s="995" customFormat="1">
      <c r="A467" s="974"/>
      <c r="D467" s="876"/>
      <c r="E467" s="974"/>
      <c r="F467" s="876"/>
      <c r="G467" s="876"/>
      <c r="H467" s="876"/>
      <c r="I467" s="876"/>
      <c r="J467" s="876"/>
      <c r="K467" s="876"/>
      <c r="L467" s="876"/>
      <c r="M467" s="876"/>
      <c r="N467" s="876"/>
      <c r="O467" s="876"/>
      <c r="P467" s="876"/>
      <c r="Q467" s="870"/>
      <c r="R467" s="870"/>
      <c r="S467" s="870"/>
      <c r="T467" s="870"/>
      <c r="U467" s="870"/>
      <c r="V467" s="870"/>
      <c r="W467" s="870"/>
      <c r="X467" s="870"/>
      <c r="Y467" s="870"/>
      <c r="Z467" s="870"/>
      <c r="AA467" s="870"/>
      <c r="AB467" s="870"/>
      <c r="AC467" s="870"/>
      <c r="AD467" s="870"/>
      <c r="AE467" s="870"/>
      <c r="AF467" s="870"/>
      <c r="AG467" s="870"/>
    </row>
    <row r="468" spans="1:33" s="995" customFormat="1">
      <c r="A468" s="974"/>
      <c r="D468" s="876"/>
      <c r="E468" s="974"/>
      <c r="F468" s="876"/>
      <c r="G468" s="876"/>
      <c r="H468" s="876"/>
      <c r="I468" s="876"/>
      <c r="J468" s="876"/>
      <c r="K468" s="876"/>
      <c r="L468" s="876"/>
      <c r="M468" s="876"/>
      <c r="N468" s="876"/>
      <c r="O468" s="876"/>
      <c r="P468" s="876"/>
      <c r="Q468" s="870"/>
      <c r="R468" s="870"/>
      <c r="S468" s="870"/>
      <c r="T468" s="870"/>
      <c r="U468" s="870"/>
      <c r="V468" s="870"/>
      <c r="W468" s="870"/>
      <c r="X468" s="870"/>
      <c r="Y468" s="870"/>
      <c r="Z468" s="870"/>
      <c r="AA468" s="870"/>
      <c r="AB468" s="870"/>
      <c r="AC468" s="870"/>
      <c r="AD468" s="870"/>
      <c r="AE468" s="870"/>
      <c r="AF468" s="870"/>
      <c r="AG468" s="870"/>
    </row>
    <row r="469" spans="1:33" s="995" customFormat="1">
      <c r="A469" s="974"/>
      <c r="D469" s="876"/>
      <c r="E469" s="974"/>
      <c r="F469" s="876"/>
      <c r="G469" s="876"/>
      <c r="H469" s="876"/>
      <c r="I469" s="876"/>
      <c r="J469" s="876"/>
      <c r="K469" s="876"/>
      <c r="L469" s="876"/>
      <c r="M469" s="876"/>
      <c r="N469" s="876"/>
      <c r="O469" s="876"/>
      <c r="P469" s="876"/>
      <c r="Q469" s="870"/>
      <c r="R469" s="870"/>
      <c r="S469" s="870"/>
      <c r="T469" s="870"/>
      <c r="U469" s="870"/>
      <c r="V469" s="870"/>
      <c r="W469" s="870"/>
      <c r="X469" s="870"/>
      <c r="Y469" s="870"/>
      <c r="Z469" s="870"/>
      <c r="AA469" s="870"/>
      <c r="AB469" s="870"/>
      <c r="AC469" s="870"/>
      <c r="AD469" s="870"/>
      <c r="AE469" s="870"/>
      <c r="AF469" s="870"/>
      <c r="AG469" s="870"/>
    </row>
    <row r="470" spans="1:33" s="995" customFormat="1">
      <c r="A470" s="974"/>
      <c r="D470" s="876"/>
      <c r="E470" s="974"/>
      <c r="F470" s="876"/>
      <c r="G470" s="876"/>
      <c r="H470" s="876"/>
      <c r="I470" s="876"/>
      <c r="J470" s="876"/>
      <c r="K470" s="876"/>
      <c r="L470" s="876"/>
      <c r="M470" s="876"/>
      <c r="N470" s="876"/>
      <c r="O470" s="876"/>
      <c r="P470" s="876"/>
      <c r="Q470" s="870"/>
      <c r="R470" s="870"/>
      <c r="S470" s="870"/>
      <c r="T470" s="870"/>
      <c r="U470" s="870"/>
      <c r="V470" s="870"/>
      <c r="W470" s="870"/>
      <c r="X470" s="870"/>
      <c r="Y470" s="870"/>
      <c r="Z470" s="870"/>
      <c r="AA470" s="870"/>
      <c r="AB470" s="870"/>
      <c r="AC470" s="870"/>
      <c r="AD470" s="870"/>
      <c r="AE470" s="870"/>
      <c r="AF470" s="870"/>
      <c r="AG470" s="870"/>
    </row>
    <row r="471" spans="1:33" s="995" customFormat="1">
      <c r="A471" s="974"/>
      <c r="D471" s="876"/>
      <c r="E471" s="974"/>
      <c r="F471" s="876"/>
      <c r="G471" s="876"/>
      <c r="H471" s="876"/>
      <c r="I471" s="876"/>
      <c r="J471" s="876"/>
      <c r="K471" s="876"/>
      <c r="L471" s="876"/>
      <c r="M471" s="876"/>
      <c r="N471" s="876"/>
      <c r="O471" s="876"/>
      <c r="P471" s="876"/>
      <c r="Q471" s="870"/>
      <c r="R471" s="870"/>
      <c r="S471" s="870"/>
      <c r="T471" s="870"/>
      <c r="U471" s="870"/>
      <c r="V471" s="870"/>
      <c r="W471" s="870"/>
      <c r="X471" s="870"/>
      <c r="Y471" s="870"/>
      <c r="Z471" s="870"/>
      <c r="AA471" s="870"/>
      <c r="AB471" s="870"/>
      <c r="AC471" s="870"/>
      <c r="AD471" s="870"/>
      <c r="AE471" s="870"/>
      <c r="AF471" s="870"/>
      <c r="AG471" s="870"/>
    </row>
    <row r="472" spans="1:33" s="995" customFormat="1">
      <c r="A472" s="974"/>
      <c r="D472" s="876"/>
      <c r="E472" s="974"/>
      <c r="F472" s="876"/>
      <c r="G472" s="876"/>
      <c r="H472" s="876"/>
      <c r="I472" s="876"/>
      <c r="J472" s="876"/>
      <c r="K472" s="876"/>
      <c r="L472" s="876"/>
      <c r="M472" s="876"/>
      <c r="N472" s="876"/>
      <c r="O472" s="876"/>
      <c r="P472" s="876"/>
      <c r="Q472" s="870"/>
      <c r="R472" s="870"/>
      <c r="S472" s="870"/>
      <c r="T472" s="870"/>
      <c r="U472" s="870"/>
      <c r="V472" s="870"/>
      <c r="W472" s="870"/>
      <c r="X472" s="870"/>
      <c r="Y472" s="870"/>
      <c r="Z472" s="870"/>
      <c r="AA472" s="870"/>
      <c r="AB472" s="870"/>
      <c r="AC472" s="870"/>
      <c r="AD472" s="870"/>
      <c r="AE472" s="870"/>
      <c r="AF472" s="870"/>
      <c r="AG472" s="870"/>
    </row>
    <row r="473" spans="1:33" s="995" customFormat="1">
      <c r="A473" s="974"/>
      <c r="D473" s="876"/>
      <c r="E473" s="974"/>
      <c r="F473" s="876"/>
      <c r="G473" s="876"/>
      <c r="H473" s="876"/>
      <c r="I473" s="876"/>
      <c r="J473" s="876"/>
      <c r="K473" s="876"/>
      <c r="L473" s="876"/>
      <c r="M473" s="876"/>
      <c r="N473" s="876"/>
      <c r="O473" s="876"/>
      <c r="P473" s="876"/>
      <c r="Q473" s="870"/>
      <c r="R473" s="870"/>
      <c r="S473" s="870"/>
      <c r="T473" s="870"/>
      <c r="U473" s="870"/>
      <c r="V473" s="870"/>
      <c r="W473" s="870"/>
      <c r="X473" s="870"/>
      <c r="Y473" s="870"/>
      <c r="Z473" s="870"/>
      <c r="AA473" s="870"/>
      <c r="AB473" s="870"/>
      <c r="AC473" s="870"/>
      <c r="AD473" s="870"/>
      <c r="AE473" s="870"/>
      <c r="AF473" s="870"/>
      <c r="AG473" s="870"/>
    </row>
    <row r="474" spans="1:33" s="995" customFormat="1">
      <c r="A474" s="974"/>
      <c r="D474" s="876"/>
      <c r="E474" s="974"/>
      <c r="F474" s="876"/>
      <c r="G474" s="876"/>
      <c r="H474" s="876"/>
      <c r="I474" s="876"/>
      <c r="J474" s="876"/>
      <c r="K474" s="876"/>
      <c r="L474" s="876"/>
      <c r="M474" s="876"/>
      <c r="N474" s="876"/>
      <c r="O474" s="876"/>
      <c r="P474" s="876"/>
      <c r="Q474" s="870"/>
      <c r="R474" s="870"/>
      <c r="S474" s="870"/>
      <c r="T474" s="870"/>
      <c r="U474" s="870"/>
      <c r="V474" s="870"/>
      <c r="W474" s="870"/>
      <c r="X474" s="870"/>
      <c r="Y474" s="870"/>
      <c r="Z474" s="870"/>
      <c r="AA474" s="870"/>
      <c r="AB474" s="870"/>
      <c r="AC474" s="870"/>
      <c r="AD474" s="870"/>
      <c r="AE474" s="870"/>
      <c r="AF474" s="870"/>
      <c r="AG474" s="870"/>
    </row>
    <row r="475" spans="1:33" s="995" customFormat="1">
      <c r="A475" s="974"/>
      <c r="D475" s="876"/>
      <c r="E475" s="974"/>
      <c r="F475" s="876"/>
      <c r="G475" s="876"/>
      <c r="H475" s="876"/>
      <c r="I475" s="876"/>
      <c r="J475" s="876"/>
      <c r="K475" s="876"/>
      <c r="L475" s="876"/>
      <c r="M475" s="876"/>
      <c r="N475" s="876"/>
      <c r="O475" s="876"/>
      <c r="P475" s="876"/>
      <c r="Q475" s="870"/>
      <c r="R475" s="870"/>
      <c r="S475" s="870"/>
      <c r="T475" s="870"/>
      <c r="U475" s="870"/>
      <c r="V475" s="870"/>
      <c r="W475" s="870"/>
      <c r="X475" s="870"/>
      <c r="Y475" s="870"/>
      <c r="Z475" s="870"/>
      <c r="AA475" s="870"/>
      <c r="AB475" s="870"/>
      <c r="AC475" s="870"/>
      <c r="AD475" s="870"/>
      <c r="AE475" s="870"/>
      <c r="AF475" s="870"/>
      <c r="AG475" s="870"/>
    </row>
    <row r="476" spans="1:33" s="995" customFormat="1">
      <c r="A476" s="974"/>
      <c r="D476" s="876"/>
      <c r="E476" s="974"/>
      <c r="F476" s="876"/>
      <c r="G476" s="876"/>
      <c r="H476" s="876"/>
      <c r="I476" s="876"/>
      <c r="J476" s="876"/>
      <c r="K476" s="876"/>
      <c r="L476" s="876"/>
      <c r="M476" s="876"/>
      <c r="N476" s="876"/>
      <c r="O476" s="876"/>
      <c r="P476" s="876"/>
      <c r="Q476" s="870"/>
      <c r="R476" s="870"/>
      <c r="S476" s="870"/>
      <c r="T476" s="870"/>
      <c r="U476" s="870"/>
      <c r="V476" s="870"/>
      <c r="W476" s="870"/>
      <c r="X476" s="870"/>
      <c r="Y476" s="870"/>
      <c r="Z476" s="870"/>
      <c r="AA476" s="870"/>
      <c r="AB476" s="870"/>
      <c r="AC476" s="870"/>
      <c r="AD476" s="870"/>
      <c r="AE476" s="870"/>
      <c r="AF476" s="870"/>
      <c r="AG476" s="870"/>
    </row>
    <row r="477" spans="1:33" s="995" customFormat="1">
      <c r="A477" s="974"/>
      <c r="D477" s="876"/>
      <c r="E477" s="974"/>
      <c r="F477" s="876"/>
      <c r="G477" s="876"/>
      <c r="H477" s="876"/>
      <c r="I477" s="876"/>
      <c r="J477" s="876"/>
      <c r="K477" s="876"/>
      <c r="L477" s="876"/>
      <c r="M477" s="876"/>
      <c r="N477" s="876"/>
      <c r="O477" s="876"/>
      <c r="P477" s="876"/>
      <c r="Q477" s="870"/>
      <c r="R477" s="870"/>
      <c r="S477" s="870"/>
      <c r="T477" s="870"/>
      <c r="U477" s="870"/>
      <c r="V477" s="870"/>
      <c r="W477" s="870"/>
      <c r="X477" s="870"/>
      <c r="Y477" s="870"/>
      <c r="Z477" s="870"/>
      <c r="AA477" s="870"/>
      <c r="AB477" s="870"/>
      <c r="AC477" s="870"/>
      <c r="AD477" s="870"/>
      <c r="AE477" s="870"/>
      <c r="AF477" s="870"/>
      <c r="AG477" s="870"/>
    </row>
    <row r="478" spans="1:33" s="995" customFormat="1">
      <c r="A478" s="974"/>
      <c r="D478" s="876"/>
      <c r="E478" s="974"/>
      <c r="F478" s="876"/>
      <c r="G478" s="876"/>
      <c r="H478" s="876"/>
      <c r="I478" s="876"/>
      <c r="J478" s="876"/>
      <c r="K478" s="876"/>
      <c r="L478" s="876"/>
      <c r="M478" s="876"/>
      <c r="N478" s="876"/>
      <c r="O478" s="876"/>
      <c r="P478" s="876"/>
      <c r="Q478" s="870"/>
      <c r="R478" s="870"/>
      <c r="S478" s="870"/>
      <c r="T478" s="870"/>
      <c r="U478" s="870"/>
      <c r="V478" s="870"/>
      <c r="W478" s="870"/>
      <c r="X478" s="870"/>
      <c r="Y478" s="870"/>
      <c r="Z478" s="870"/>
      <c r="AA478" s="870"/>
      <c r="AB478" s="870"/>
      <c r="AC478" s="870"/>
      <c r="AD478" s="870"/>
      <c r="AE478" s="870"/>
      <c r="AF478" s="870"/>
      <c r="AG478" s="870"/>
    </row>
    <row r="479" spans="1:33" s="995" customFormat="1">
      <c r="A479" s="974"/>
      <c r="D479" s="876"/>
      <c r="E479" s="974"/>
      <c r="F479" s="876"/>
      <c r="G479" s="876"/>
      <c r="H479" s="876"/>
      <c r="I479" s="876"/>
      <c r="J479" s="876"/>
      <c r="K479" s="876"/>
      <c r="L479" s="876"/>
      <c r="M479" s="876"/>
      <c r="N479" s="876"/>
      <c r="O479" s="876"/>
      <c r="P479" s="876"/>
      <c r="Q479" s="870"/>
      <c r="R479" s="870"/>
      <c r="S479" s="870"/>
      <c r="T479" s="870"/>
      <c r="U479" s="870"/>
      <c r="V479" s="870"/>
      <c r="W479" s="870"/>
      <c r="X479" s="870"/>
      <c r="Y479" s="870"/>
      <c r="Z479" s="870"/>
      <c r="AA479" s="870"/>
      <c r="AB479" s="870"/>
      <c r="AC479" s="870"/>
      <c r="AD479" s="870"/>
      <c r="AE479" s="870"/>
      <c r="AF479" s="870"/>
      <c r="AG479" s="870"/>
    </row>
    <row r="480" spans="1:33" s="995" customFormat="1">
      <c r="A480" s="974"/>
      <c r="D480" s="876"/>
      <c r="E480" s="974"/>
      <c r="F480" s="876"/>
      <c r="G480" s="876"/>
      <c r="H480" s="876"/>
      <c r="I480" s="876"/>
      <c r="J480" s="876"/>
      <c r="K480" s="876"/>
      <c r="L480" s="876"/>
      <c r="M480" s="876"/>
      <c r="N480" s="876"/>
      <c r="O480" s="876"/>
      <c r="P480" s="876"/>
      <c r="Q480" s="870"/>
      <c r="R480" s="870"/>
      <c r="S480" s="870"/>
      <c r="T480" s="870"/>
      <c r="U480" s="870"/>
      <c r="V480" s="870"/>
      <c r="W480" s="870"/>
      <c r="X480" s="870"/>
      <c r="Y480" s="870"/>
      <c r="Z480" s="870"/>
      <c r="AA480" s="870"/>
      <c r="AB480" s="870"/>
      <c r="AC480" s="870"/>
      <c r="AD480" s="870"/>
      <c r="AE480" s="870"/>
      <c r="AF480" s="870"/>
      <c r="AG480" s="870"/>
    </row>
    <row r="481" spans="1:33" s="995" customFormat="1">
      <c r="A481" s="974"/>
      <c r="D481" s="876"/>
      <c r="E481" s="974"/>
      <c r="F481" s="876"/>
      <c r="G481" s="876"/>
      <c r="H481" s="876"/>
      <c r="I481" s="876"/>
      <c r="J481" s="876"/>
      <c r="K481" s="876"/>
      <c r="L481" s="876"/>
      <c r="M481" s="876"/>
      <c r="N481" s="876"/>
      <c r="O481" s="876"/>
      <c r="P481" s="876"/>
      <c r="Q481" s="870"/>
      <c r="R481" s="870"/>
      <c r="S481" s="870"/>
      <c r="T481" s="870"/>
      <c r="U481" s="870"/>
      <c r="V481" s="870"/>
      <c r="W481" s="870"/>
      <c r="X481" s="870"/>
      <c r="Y481" s="870"/>
      <c r="Z481" s="870"/>
      <c r="AA481" s="870"/>
      <c r="AB481" s="870"/>
      <c r="AC481" s="870"/>
      <c r="AD481" s="870"/>
      <c r="AE481" s="870"/>
      <c r="AF481" s="870"/>
      <c r="AG481" s="870"/>
    </row>
    <row r="482" spans="1:33" s="995" customFormat="1">
      <c r="A482" s="974"/>
      <c r="D482" s="876"/>
      <c r="E482" s="974"/>
      <c r="F482" s="876"/>
      <c r="G482" s="876"/>
      <c r="H482" s="876"/>
      <c r="I482" s="876"/>
      <c r="J482" s="876"/>
      <c r="K482" s="876"/>
      <c r="L482" s="876"/>
      <c r="M482" s="876"/>
      <c r="N482" s="876"/>
      <c r="O482" s="876"/>
      <c r="P482" s="876"/>
      <c r="Q482" s="870"/>
      <c r="R482" s="870"/>
      <c r="S482" s="870"/>
      <c r="T482" s="870"/>
      <c r="U482" s="870"/>
      <c r="V482" s="870"/>
      <c r="W482" s="870"/>
      <c r="X482" s="870"/>
      <c r="Y482" s="870"/>
      <c r="Z482" s="870"/>
      <c r="AA482" s="870"/>
      <c r="AB482" s="870"/>
      <c r="AC482" s="870"/>
      <c r="AD482" s="870"/>
      <c r="AE482" s="870"/>
      <c r="AF482" s="870"/>
      <c r="AG482" s="870"/>
    </row>
    <row r="483" spans="1:33" s="995" customFormat="1">
      <c r="A483" s="974"/>
      <c r="D483" s="876"/>
      <c r="E483" s="974"/>
      <c r="F483" s="876"/>
      <c r="G483" s="876"/>
      <c r="H483" s="876"/>
      <c r="I483" s="876"/>
      <c r="J483" s="876"/>
      <c r="K483" s="876"/>
      <c r="L483" s="876"/>
      <c r="M483" s="876"/>
      <c r="N483" s="876"/>
      <c r="O483" s="876"/>
      <c r="P483" s="876"/>
      <c r="Q483" s="870"/>
      <c r="R483" s="870"/>
      <c r="S483" s="870"/>
      <c r="T483" s="870"/>
      <c r="U483" s="870"/>
      <c r="V483" s="870"/>
      <c r="W483" s="870"/>
      <c r="X483" s="870"/>
      <c r="Y483" s="870"/>
      <c r="Z483" s="870"/>
      <c r="AA483" s="870"/>
      <c r="AB483" s="870"/>
      <c r="AC483" s="870"/>
      <c r="AD483" s="870"/>
      <c r="AE483" s="870"/>
      <c r="AF483" s="870"/>
      <c r="AG483" s="870"/>
    </row>
    <row r="484" spans="1:33" s="995" customFormat="1">
      <c r="A484" s="974"/>
      <c r="D484" s="876"/>
      <c r="E484" s="974"/>
      <c r="F484" s="876"/>
      <c r="G484" s="876"/>
      <c r="H484" s="876"/>
      <c r="I484" s="876"/>
      <c r="J484" s="876"/>
      <c r="K484" s="876"/>
      <c r="L484" s="876"/>
      <c r="M484" s="876"/>
      <c r="N484" s="876"/>
      <c r="O484" s="876"/>
      <c r="P484" s="876"/>
      <c r="Q484" s="870"/>
      <c r="R484" s="870"/>
      <c r="S484" s="870"/>
      <c r="T484" s="870"/>
      <c r="U484" s="870"/>
      <c r="V484" s="870"/>
      <c r="W484" s="870"/>
      <c r="X484" s="870"/>
      <c r="Y484" s="870"/>
      <c r="Z484" s="870"/>
      <c r="AA484" s="870"/>
      <c r="AB484" s="870"/>
      <c r="AC484" s="870"/>
      <c r="AD484" s="870"/>
      <c r="AE484" s="870"/>
      <c r="AF484" s="870"/>
      <c r="AG484" s="870"/>
    </row>
    <row r="485" spans="1:33" s="995" customFormat="1">
      <c r="A485" s="974"/>
      <c r="D485" s="876"/>
      <c r="E485" s="974"/>
      <c r="F485" s="876"/>
      <c r="G485" s="876"/>
      <c r="H485" s="876"/>
      <c r="I485" s="876"/>
      <c r="J485" s="876"/>
      <c r="K485" s="876"/>
      <c r="L485" s="876"/>
      <c r="M485" s="876"/>
      <c r="N485" s="876"/>
      <c r="O485" s="876"/>
      <c r="P485" s="876"/>
      <c r="Q485" s="870"/>
      <c r="R485" s="870"/>
      <c r="S485" s="870"/>
      <c r="T485" s="870"/>
      <c r="U485" s="870"/>
      <c r="V485" s="870"/>
      <c r="W485" s="870"/>
      <c r="X485" s="870"/>
      <c r="Y485" s="870"/>
      <c r="Z485" s="870"/>
      <c r="AA485" s="870"/>
      <c r="AB485" s="870"/>
      <c r="AC485" s="870"/>
      <c r="AD485" s="870"/>
      <c r="AE485" s="870"/>
      <c r="AF485" s="870"/>
      <c r="AG485" s="870"/>
    </row>
    <row r="486" spans="1:33" s="995" customFormat="1">
      <c r="A486" s="974"/>
      <c r="D486" s="876"/>
      <c r="E486" s="974"/>
      <c r="F486" s="876"/>
      <c r="G486" s="876"/>
      <c r="H486" s="876"/>
      <c r="I486" s="876"/>
      <c r="J486" s="876"/>
      <c r="K486" s="876"/>
      <c r="L486" s="876"/>
      <c r="M486" s="876"/>
      <c r="N486" s="876"/>
      <c r="O486" s="876"/>
      <c r="P486" s="876"/>
      <c r="Q486" s="870"/>
      <c r="R486" s="870"/>
      <c r="S486" s="870"/>
      <c r="T486" s="870"/>
      <c r="U486" s="870"/>
      <c r="V486" s="870"/>
      <c r="W486" s="870"/>
      <c r="X486" s="870"/>
      <c r="Y486" s="870"/>
      <c r="Z486" s="870"/>
      <c r="AA486" s="870"/>
      <c r="AB486" s="870"/>
      <c r="AC486" s="870"/>
      <c r="AD486" s="870"/>
      <c r="AE486" s="870"/>
      <c r="AF486" s="870"/>
      <c r="AG486" s="870"/>
    </row>
    <row r="487" spans="1:33" s="995" customFormat="1">
      <c r="A487" s="974"/>
      <c r="D487" s="876"/>
      <c r="E487" s="974"/>
      <c r="F487" s="876"/>
      <c r="G487" s="876"/>
      <c r="H487" s="876"/>
      <c r="I487" s="876"/>
      <c r="J487" s="876"/>
      <c r="K487" s="876"/>
      <c r="L487" s="876"/>
      <c r="M487" s="876"/>
      <c r="N487" s="876"/>
      <c r="O487" s="876"/>
      <c r="P487" s="876"/>
      <c r="Q487" s="870"/>
      <c r="R487" s="870"/>
      <c r="S487" s="870"/>
      <c r="T487" s="870"/>
      <c r="U487" s="870"/>
      <c r="V487" s="870"/>
      <c r="W487" s="870"/>
      <c r="X487" s="870"/>
      <c r="Y487" s="870"/>
      <c r="Z487" s="870"/>
      <c r="AA487" s="870"/>
      <c r="AB487" s="870"/>
      <c r="AC487" s="870"/>
      <c r="AD487" s="870"/>
      <c r="AE487" s="870"/>
      <c r="AF487" s="870"/>
      <c r="AG487" s="870"/>
    </row>
    <row r="488" spans="1:33" s="995" customFormat="1">
      <c r="A488" s="974"/>
      <c r="D488" s="876"/>
      <c r="E488" s="974"/>
      <c r="F488" s="876"/>
      <c r="G488" s="876"/>
      <c r="H488" s="876"/>
      <c r="I488" s="876"/>
      <c r="J488" s="876"/>
      <c r="K488" s="876"/>
      <c r="L488" s="876"/>
      <c r="M488" s="876"/>
      <c r="N488" s="876"/>
      <c r="O488" s="876"/>
      <c r="P488" s="876"/>
      <c r="Q488" s="870"/>
      <c r="R488" s="870"/>
      <c r="S488" s="870"/>
      <c r="T488" s="870"/>
      <c r="U488" s="870"/>
      <c r="V488" s="870"/>
      <c r="W488" s="870"/>
      <c r="X488" s="870"/>
      <c r="Y488" s="870"/>
      <c r="Z488" s="870"/>
      <c r="AA488" s="870"/>
      <c r="AB488" s="870"/>
      <c r="AC488" s="870"/>
      <c r="AD488" s="870"/>
      <c r="AE488" s="870"/>
      <c r="AF488" s="870"/>
      <c r="AG488" s="870"/>
    </row>
    <row r="489" spans="1:33" s="995" customFormat="1">
      <c r="A489" s="974"/>
      <c r="D489" s="876"/>
      <c r="E489" s="974"/>
      <c r="F489" s="876"/>
      <c r="G489" s="876"/>
      <c r="H489" s="876"/>
      <c r="I489" s="876"/>
      <c r="J489" s="876"/>
      <c r="K489" s="876"/>
      <c r="L489" s="876"/>
      <c r="M489" s="876"/>
      <c r="N489" s="876"/>
      <c r="O489" s="876"/>
      <c r="P489" s="876"/>
      <c r="Q489" s="870"/>
      <c r="R489" s="870"/>
      <c r="S489" s="870"/>
      <c r="T489" s="870"/>
      <c r="U489" s="870"/>
      <c r="V489" s="870"/>
      <c r="W489" s="870"/>
      <c r="X489" s="870"/>
      <c r="Y489" s="870"/>
      <c r="Z489" s="870"/>
      <c r="AA489" s="870"/>
      <c r="AB489" s="870"/>
      <c r="AC489" s="870"/>
      <c r="AD489" s="870"/>
      <c r="AE489" s="870"/>
      <c r="AF489" s="870"/>
      <c r="AG489" s="870"/>
    </row>
    <row r="490" spans="1:33" s="995" customFormat="1">
      <c r="A490" s="974"/>
      <c r="D490" s="876"/>
      <c r="E490" s="974"/>
      <c r="F490" s="876"/>
      <c r="G490" s="876"/>
      <c r="H490" s="876"/>
      <c r="I490" s="876"/>
      <c r="J490" s="876"/>
      <c r="K490" s="876"/>
      <c r="L490" s="876"/>
      <c r="M490" s="876"/>
      <c r="N490" s="876"/>
      <c r="O490" s="876"/>
      <c r="P490" s="876"/>
      <c r="Q490" s="870"/>
      <c r="R490" s="870"/>
      <c r="S490" s="870"/>
      <c r="T490" s="870"/>
      <c r="U490" s="870"/>
      <c r="V490" s="870"/>
      <c r="W490" s="870"/>
      <c r="X490" s="870"/>
      <c r="Y490" s="870"/>
      <c r="Z490" s="870"/>
      <c r="AA490" s="870"/>
      <c r="AB490" s="870"/>
      <c r="AC490" s="870"/>
      <c r="AD490" s="870"/>
      <c r="AE490" s="870"/>
      <c r="AF490" s="870"/>
      <c r="AG490" s="870"/>
    </row>
    <row r="491" spans="1:33" s="995" customFormat="1">
      <c r="A491" s="974"/>
      <c r="D491" s="876"/>
      <c r="E491" s="974"/>
      <c r="F491" s="876"/>
      <c r="G491" s="876"/>
      <c r="H491" s="876"/>
      <c r="I491" s="876"/>
      <c r="J491" s="876"/>
      <c r="K491" s="876"/>
      <c r="L491" s="876"/>
      <c r="M491" s="876"/>
      <c r="N491" s="876"/>
      <c r="O491" s="876"/>
      <c r="P491" s="876"/>
      <c r="Q491" s="870"/>
      <c r="R491" s="870"/>
      <c r="S491" s="870"/>
      <c r="T491" s="870"/>
      <c r="U491" s="870"/>
      <c r="V491" s="870"/>
      <c r="W491" s="870"/>
      <c r="X491" s="870"/>
      <c r="Y491" s="870"/>
      <c r="Z491" s="870"/>
      <c r="AA491" s="870"/>
      <c r="AB491" s="870"/>
      <c r="AC491" s="870"/>
      <c r="AD491" s="870"/>
      <c r="AE491" s="870"/>
      <c r="AF491" s="870"/>
      <c r="AG491" s="870"/>
    </row>
    <row r="492" spans="1:33" s="995" customFormat="1">
      <c r="A492" s="974"/>
      <c r="D492" s="876"/>
      <c r="E492" s="974"/>
      <c r="F492" s="876"/>
      <c r="G492" s="876"/>
      <c r="H492" s="876"/>
      <c r="I492" s="876"/>
      <c r="J492" s="876"/>
      <c r="K492" s="876"/>
      <c r="L492" s="876"/>
      <c r="M492" s="876"/>
      <c r="N492" s="876"/>
      <c r="O492" s="876"/>
      <c r="P492" s="876"/>
      <c r="Q492" s="870"/>
      <c r="R492" s="870"/>
      <c r="S492" s="870"/>
      <c r="T492" s="870"/>
      <c r="U492" s="870"/>
      <c r="V492" s="870"/>
      <c r="W492" s="870"/>
      <c r="X492" s="870"/>
      <c r="Y492" s="870"/>
      <c r="Z492" s="870"/>
      <c r="AA492" s="870"/>
      <c r="AB492" s="870"/>
      <c r="AC492" s="870"/>
      <c r="AD492" s="870"/>
      <c r="AE492" s="870"/>
      <c r="AF492" s="870"/>
      <c r="AG492" s="870"/>
    </row>
    <row r="493" spans="1:33" s="995" customFormat="1">
      <c r="A493" s="974"/>
      <c r="D493" s="876"/>
      <c r="E493" s="974"/>
      <c r="F493" s="876"/>
      <c r="G493" s="876"/>
      <c r="H493" s="876"/>
      <c r="I493" s="876"/>
      <c r="J493" s="876"/>
      <c r="K493" s="876"/>
      <c r="L493" s="876"/>
      <c r="M493" s="876"/>
      <c r="N493" s="876"/>
      <c r="O493" s="876"/>
      <c r="P493" s="876"/>
      <c r="Q493" s="870"/>
      <c r="R493" s="870"/>
      <c r="S493" s="870"/>
      <c r="T493" s="870"/>
      <c r="U493" s="870"/>
      <c r="V493" s="870"/>
      <c r="W493" s="870"/>
      <c r="X493" s="870"/>
      <c r="Y493" s="870"/>
      <c r="Z493" s="870"/>
      <c r="AA493" s="870"/>
      <c r="AB493" s="870"/>
      <c r="AC493" s="870"/>
      <c r="AD493" s="870"/>
      <c r="AE493" s="870"/>
      <c r="AF493" s="870"/>
      <c r="AG493" s="870"/>
    </row>
    <row r="494" spans="1:33" s="995" customFormat="1">
      <c r="A494" s="974"/>
      <c r="D494" s="876"/>
      <c r="E494" s="974"/>
      <c r="F494" s="876"/>
      <c r="G494" s="876"/>
      <c r="H494" s="876"/>
      <c r="I494" s="876"/>
      <c r="J494" s="876"/>
      <c r="K494" s="876"/>
      <c r="L494" s="876"/>
      <c r="M494" s="876"/>
      <c r="N494" s="876"/>
      <c r="O494" s="876"/>
      <c r="P494" s="876"/>
      <c r="Q494" s="870"/>
      <c r="R494" s="870"/>
      <c r="S494" s="870"/>
      <c r="T494" s="870"/>
      <c r="U494" s="870"/>
      <c r="V494" s="870"/>
      <c r="W494" s="870"/>
      <c r="X494" s="870"/>
      <c r="Y494" s="870"/>
      <c r="Z494" s="870"/>
      <c r="AA494" s="870"/>
      <c r="AB494" s="870"/>
      <c r="AC494" s="870"/>
      <c r="AD494" s="870"/>
      <c r="AE494" s="870"/>
      <c r="AF494" s="870"/>
      <c r="AG494" s="870"/>
    </row>
    <row r="495" spans="1:33" s="995" customFormat="1">
      <c r="A495" s="974"/>
      <c r="D495" s="876"/>
      <c r="E495" s="974"/>
      <c r="F495" s="876"/>
      <c r="G495" s="876"/>
      <c r="H495" s="876"/>
      <c r="I495" s="876"/>
      <c r="J495" s="876"/>
      <c r="K495" s="876"/>
      <c r="L495" s="876"/>
      <c r="M495" s="876"/>
      <c r="N495" s="876"/>
      <c r="O495" s="876"/>
      <c r="P495" s="876"/>
      <c r="Q495" s="870"/>
      <c r="R495" s="870"/>
      <c r="S495" s="870"/>
      <c r="T495" s="870"/>
      <c r="U495" s="870"/>
      <c r="V495" s="870"/>
      <c r="W495" s="870"/>
      <c r="X495" s="870"/>
      <c r="Y495" s="870"/>
      <c r="Z495" s="870"/>
      <c r="AA495" s="870"/>
      <c r="AB495" s="870"/>
      <c r="AC495" s="870"/>
      <c r="AD495" s="870"/>
      <c r="AE495" s="870"/>
      <c r="AF495" s="870"/>
      <c r="AG495" s="870"/>
    </row>
    <row r="496" spans="1:33" s="995" customFormat="1">
      <c r="A496" s="974"/>
      <c r="D496" s="876"/>
      <c r="E496" s="974"/>
      <c r="F496" s="876"/>
      <c r="G496" s="876"/>
      <c r="H496" s="876"/>
      <c r="I496" s="876"/>
      <c r="J496" s="876"/>
      <c r="K496" s="876"/>
      <c r="L496" s="876"/>
      <c r="M496" s="876"/>
      <c r="N496" s="876"/>
      <c r="O496" s="876"/>
      <c r="P496" s="876"/>
      <c r="Q496" s="870"/>
      <c r="R496" s="870"/>
      <c r="S496" s="870"/>
      <c r="T496" s="870"/>
      <c r="U496" s="870"/>
      <c r="V496" s="870"/>
      <c r="W496" s="870"/>
      <c r="X496" s="870"/>
      <c r="Y496" s="870"/>
      <c r="Z496" s="870"/>
      <c r="AA496" s="870"/>
      <c r="AB496" s="870"/>
      <c r="AC496" s="870"/>
      <c r="AD496" s="870"/>
      <c r="AE496" s="870"/>
      <c r="AF496" s="870"/>
      <c r="AG496" s="870"/>
    </row>
    <row r="497" spans="1:33" s="995" customFormat="1">
      <c r="A497" s="974"/>
      <c r="D497" s="876"/>
      <c r="E497" s="974"/>
      <c r="F497" s="876"/>
      <c r="G497" s="876"/>
      <c r="H497" s="876"/>
      <c r="I497" s="876"/>
      <c r="J497" s="876"/>
      <c r="K497" s="876"/>
      <c r="L497" s="876"/>
      <c r="M497" s="876"/>
      <c r="N497" s="876"/>
      <c r="O497" s="876"/>
      <c r="P497" s="876"/>
      <c r="Q497" s="870"/>
      <c r="R497" s="870"/>
      <c r="S497" s="870"/>
      <c r="T497" s="870"/>
      <c r="U497" s="870"/>
      <c r="V497" s="870"/>
      <c r="W497" s="870"/>
      <c r="X497" s="870"/>
      <c r="Y497" s="870"/>
      <c r="Z497" s="870"/>
      <c r="AA497" s="870"/>
      <c r="AB497" s="870"/>
      <c r="AC497" s="870"/>
      <c r="AD497" s="870"/>
      <c r="AE497" s="870"/>
      <c r="AF497" s="870"/>
      <c r="AG497" s="870"/>
    </row>
    <row r="498" spans="1:33" s="995" customFormat="1">
      <c r="A498" s="974"/>
      <c r="D498" s="876"/>
      <c r="E498" s="974"/>
      <c r="F498" s="876"/>
      <c r="G498" s="876"/>
      <c r="H498" s="876"/>
      <c r="I498" s="876"/>
      <c r="J498" s="876"/>
      <c r="K498" s="876"/>
      <c r="L498" s="876"/>
      <c r="M498" s="876"/>
      <c r="N498" s="876"/>
      <c r="O498" s="876"/>
      <c r="P498" s="876"/>
      <c r="Q498" s="870"/>
      <c r="R498" s="870"/>
      <c r="S498" s="870"/>
      <c r="T498" s="870"/>
      <c r="U498" s="870"/>
      <c r="V498" s="870"/>
      <c r="W498" s="870"/>
      <c r="X498" s="870"/>
      <c r="Y498" s="870"/>
      <c r="Z498" s="870"/>
      <c r="AA498" s="870"/>
      <c r="AB498" s="870"/>
      <c r="AC498" s="870"/>
      <c r="AD498" s="870"/>
      <c r="AE498" s="870"/>
      <c r="AF498" s="870"/>
      <c r="AG498" s="870"/>
    </row>
    <row r="499" spans="1:33" s="995" customFormat="1">
      <c r="A499" s="974"/>
      <c r="D499" s="876"/>
      <c r="E499" s="974"/>
      <c r="F499" s="876"/>
      <c r="G499" s="876"/>
      <c r="H499" s="876"/>
      <c r="I499" s="876"/>
      <c r="J499" s="876"/>
      <c r="K499" s="876"/>
      <c r="L499" s="876"/>
      <c r="M499" s="876"/>
      <c r="N499" s="876"/>
      <c r="O499" s="876"/>
      <c r="P499" s="876"/>
      <c r="Q499" s="870"/>
      <c r="R499" s="870"/>
      <c r="S499" s="870"/>
      <c r="T499" s="870"/>
      <c r="U499" s="870"/>
      <c r="V499" s="870"/>
      <c r="W499" s="870"/>
      <c r="X499" s="870"/>
      <c r="Y499" s="870"/>
      <c r="Z499" s="870"/>
      <c r="AA499" s="870"/>
      <c r="AB499" s="870"/>
      <c r="AC499" s="870"/>
      <c r="AD499" s="870"/>
      <c r="AE499" s="870"/>
      <c r="AF499" s="870"/>
      <c r="AG499" s="870"/>
    </row>
    <row r="500" spans="1:33" s="995" customFormat="1">
      <c r="A500" s="974"/>
      <c r="D500" s="876"/>
      <c r="E500" s="974"/>
      <c r="F500" s="876"/>
      <c r="G500" s="876"/>
      <c r="H500" s="876"/>
      <c r="I500" s="876"/>
      <c r="J500" s="876"/>
      <c r="K500" s="876"/>
      <c r="L500" s="876"/>
      <c r="M500" s="876"/>
      <c r="N500" s="876"/>
      <c r="O500" s="876"/>
      <c r="P500" s="876"/>
      <c r="Q500" s="870"/>
      <c r="R500" s="870"/>
      <c r="S500" s="870"/>
      <c r="T500" s="870"/>
      <c r="U500" s="870"/>
      <c r="V500" s="870"/>
      <c r="W500" s="870"/>
      <c r="X500" s="870"/>
      <c r="Y500" s="870"/>
      <c r="Z500" s="870"/>
      <c r="AA500" s="870"/>
      <c r="AB500" s="870"/>
      <c r="AC500" s="870"/>
      <c r="AD500" s="870"/>
      <c r="AE500" s="870"/>
      <c r="AF500" s="870"/>
      <c r="AG500" s="870"/>
    </row>
    <row r="501" spans="1:33" s="995" customFormat="1">
      <c r="A501" s="974"/>
      <c r="D501" s="876"/>
      <c r="E501" s="974"/>
      <c r="F501" s="876"/>
      <c r="G501" s="876"/>
      <c r="H501" s="876"/>
      <c r="I501" s="876"/>
      <c r="J501" s="876"/>
      <c r="K501" s="876"/>
      <c r="L501" s="876"/>
      <c r="M501" s="876"/>
      <c r="N501" s="876"/>
      <c r="O501" s="876"/>
      <c r="P501" s="876"/>
      <c r="Q501" s="870"/>
      <c r="R501" s="870"/>
      <c r="S501" s="870"/>
      <c r="T501" s="870"/>
      <c r="U501" s="870"/>
      <c r="V501" s="870"/>
      <c r="W501" s="870"/>
      <c r="X501" s="870"/>
      <c r="Y501" s="870"/>
      <c r="Z501" s="870"/>
      <c r="AA501" s="870"/>
      <c r="AB501" s="870"/>
      <c r="AC501" s="870"/>
      <c r="AD501" s="870"/>
      <c r="AE501" s="870"/>
      <c r="AF501" s="870"/>
      <c r="AG501" s="870"/>
    </row>
    <row r="502" spans="1:33" s="995" customFormat="1">
      <c r="A502" s="974"/>
      <c r="D502" s="876"/>
      <c r="E502" s="974"/>
      <c r="F502" s="876"/>
      <c r="G502" s="876"/>
      <c r="H502" s="876"/>
      <c r="I502" s="876"/>
      <c r="J502" s="876"/>
      <c r="K502" s="876"/>
      <c r="L502" s="876"/>
      <c r="M502" s="876"/>
      <c r="N502" s="876"/>
      <c r="O502" s="876"/>
      <c r="P502" s="876"/>
      <c r="Q502" s="870"/>
      <c r="R502" s="870"/>
      <c r="S502" s="870"/>
      <c r="T502" s="870"/>
      <c r="U502" s="870"/>
      <c r="V502" s="870"/>
      <c r="W502" s="870"/>
      <c r="X502" s="870"/>
      <c r="Y502" s="870"/>
      <c r="Z502" s="870"/>
      <c r="AA502" s="870"/>
      <c r="AB502" s="870"/>
      <c r="AC502" s="870"/>
      <c r="AD502" s="870"/>
      <c r="AE502" s="870"/>
      <c r="AF502" s="870"/>
      <c r="AG502" s="870"/>
    </row>
    <row r="503" spans="1:33" s="995" customFormat="1">
      <c r="A503" s="974"/>
      <c r="D503" s="876"/>
      <c r="E503" s="974"/>
      <c r="F503" s="876"/>
      <c r="G503" s="876"/>
      <c r="H503" s="876"/>
      <c r="I503" s="876"/>
      <c r="J503" s="876"/>
      <c r="K503" s="876"/>
      <c r="L503" s="876"/>
      <c r="M503" s="876"/>
      <c r="N503" s="876"/>
      <c r="O503" s="876"/>
      <c r="P503" s="876"/>
      <c r="Q503" s="870"/>
      <c r="R503" s="870"/>
      <c r="S503" s="870"/>
      <c r="T503" s="870"/>
      <c r="U503" s="870"/>
      <c r="V503" s="870"/>
      <c r="W503" s="870"/>
      <c r="X503" s="870"/>
      <c r="Y503" s="870"/>
      <c r="Z503" s="870"/>
      <c r="AA503" s="870"/>
      <c r="AB503" s="870"/>
      <c r="AC503" s="870"/>
      <c r="AD503" s="870"/>
      <c r="AE503" s="870"/>
      <c r="AF503" s="870"/>
      <c r="AG503" s="870"/>
    </row>
    <row r="504" spans="1:33" s="995" customFormat="1">
      <c r="A504" s="974"/>
      <c r="D504" s="876"/>
      <c r="E504" s="974"/>
      <c r="F504" s="876"/>
      <c r="G504" s="876"/>
      <c r="H504" s="876"/>
      <c r="I504" s="876"/>
      <c r="J504" s="876"/>
      <c r="K504" s="876"/>
      <c r="L504" s="876"/>
      <c r="M504" s="876"/>
      <c r="N504" s="876"/>
      <c r="O504" s="876"/>
      <c r="P504" s="876"/>
      <c r="Q504" s="870"/>
      <c r="R504" s="870"/>
      <c r="S504" s="870"/>
      <c r="T504" s="870"/>
      <c r="U504" s="870"/>
      <c r="V504" s="870"/>
      <c r="W504" s="870"/>
      <c r="X504" s="870"/>
      <c r="Y504" s="870"/>
      <c r="Z504" s="870"/>
      <c r="AA504" s="870"/>
      <c r="AB504" s="870"/>
      <c r="AC504" s="870"/>
      <c r="AD504" s="870"/>
      <c r="AE504" s="870"/>
      <c r="AF504" s="870"/>
      <c r="AG504" s="870"/>
    </row>
    <row r="505" spans="1:33" s="995" customFormat="1">
      <c r="A505" s="974"/>
      <c r="D505" s="876"/>
      <c r="E505" s="974"/>
      <c r="F505" s="876"/>
      <c r="G505" s="876"/>
      <c r="H505" s="876"/>
      <c r="I505" s="876"/>
      <c r="J505" s="876"/>
      <c r="K505" s="876"/>
      <c r="L505" s="876"/>
      <c r="M505" s="876"/>
      <c r="N505" s="876"/>
      <c r="O505" s="876"/>
      <c r="P505" s="876"/>
      <c r="Q505" s="870"/>
      <c r="R505" s="870"/>
      <c r="S505" s="870"/>
      <c r="T505" s="870"/>
      <c r="U505" s="870"/>
      <c r="V505" s="870"/>
      <c r="W505" s="870"/>
      <c r="X505" s="870"/>
      <c r="Y505" s="870"/>
      <c r="Z505" s="870"/>
      <c r="AA505" s="870"/>
      <c r="AB505" s="870"/>
      <c r="AC505" s="870"/>
      <c r="AD505" s="870"/>
      <c r="AE505" s="870"/>
      <c r="AF505" s="870"/>
      <c r="AG505" s="870"/>
    </row>
    <row r="506" spans="1:33" s="995" customFormat="1">
      <c r="A506" s="974"/>
      <c r="D506" s="876"/>
      <c r="E506" s="974"/>
      <c r="F506" s="876"/>
      <c r="G506" s="876"/>
      <c r="H506" s="876"/>
      <c r="I506" s="876"/>
      <c r="J506" s="876"/>
      <c r="K506" s="876"/>
      <c r="L506" s="876"/>
      <c r="M506" s="876"/>
      <c r="N506" s="876"/>
      <c r="O506" s="876"/>
      <c r="P506" s="876"/>
      <c r="Q506" s="870"/>
      <c r="R506" s="870"/>
      <c r="S506" s="870"/>
      <c r="T506" s="870"/>
      <c r="U506" s="870"/>
      <c r="V506" s="870"/>
      <c r="W506" s="870"/>
      <c r="X506" s="870"/>
      <c r="Y506" s="870"/>
      <c r="Z506" s="870"/>
      <c r="AA506" s="870"/>
      <c r="AB506" s="870"/>
      <c r="AC506" s="870"/>
      <c r="AD506" s="870"/>
      <c r="AE506" s="870"/>
      <c r="AF506" s="870"/>
      <c r="AG506" s="870"/>
    </row>
    <row r="507" spans="1:33" s="995" customFormat="1">
      <c r="A507" s="974"/>
      <c r="D507" s="876"/>
      <c r="E507" s="974"/>
      <c r="F507" s="876"/>
      <c r="G507" s="876"/>
      <c r="H507" s="876"/>
      <c r="I507" s="876"/>
      <c r="J507" s="876"/>
      <c r="K507" s="876"/>
      <c r="L507" s="876"/>
      <c r="M507" s="876"/>
      <c r="N507" s="876"/>
      <c r="O507" s="876"/>
      <c r="P507" s="876"/>
      <c r="Q507" s="870"/>
      <c r="R507" s="870"/>
      <c r="S507" s="870"/>
      <c r="T507" s="870"/>
      <c r="U507" s="870"/>
      <c r="V507" s="870"/>
      <c r="W507" s="870"/>
      <c r="X507" s="870"/>
      <c r="Y507" s="870"/>
      <c r="Z507" s="870"/>
      <c r="AA507" s="870"/>
      <c r="AB507" s="870"/>
      <c r="AC507" s="870"/>
      <c r="AD507" s="870"/>
      <c r="AE507" s="870"/>
      <c r="AF507" s="870"/>
      <c r="AG507" s="870"/>
    </row>
    <row r="508" spans="1:33" s="995" customFormat="1">
      <c r="A508" s="974"/>
      <c r="D508" s="876"/>
      <c r="E508" s="974"/>
      <c r="F508" s="876"/>
      <c r="G508" s="876"/>
      <c r="H508" s="876"/>
      <c r="I508" s="876"/>
      <c r="J508" s="876"/>
      <c r="K508" s="876"/>
      <c r="L508" s="876"/>
      <c r="M508" s="876"/>
      <c r="N508" s="876"/>
      <c r="O508" s="876"/>
      <c r="P508" s="876"/>
      <c r="Q508" s="870"/>
      <c r="R508" s="870"/>
      <c r="S508" s="870"/>
      <c r="T508" s="870"/>
      <c r="U508" s="870"/>
      <c r="V508" s="870"/>
      <c r="W508" s="870"/>
      <c r="X508" s="870"/>
      <c r="Y508" s="870"/>
      <c r="Z508" s="870"/>
      <c r="AA508" s="870"/>
      <c r="AB508" s="870"/>
      <c r="AC508" s="870"/>
      <c r="AD508" s="870"/>
      <c r="AE508" s="870"/>
      <c r="AF508" s="870"/>
      <c r="AG508" s="870"/>
    </row>
    <row r="509" spans="1:33" s="995" customFormat="1">
      <c r="A509" s="974"/>
      <c r="D509" s="876"/>
      <c r="E509" s="974"/>
      <c r="F509" s="876"/>
      <c r="G509" s="876"/>
      <c r="H509" s="876"/>
      <c r="I509" s="876"/>
      <c r="J509" s="876"/>
      <c r="K509" s="876"/>
      <c r="L509" s="876"/>
      <c r="M509" s="876"/>
      <c r="N509" s="876"/>
      <c r="O509" s="876"/>
      <c r="P509" s="876"/>
      <c r="Q509" s="870"/>
      <c r="R509" s="870"/>
      <c r="S509" s="870"/>
      <c r="T509" s="870"/>
      <c r="U509" s="870"/>
      <c r="V509" s="870"/>
      <c r="W509" s="870"/>
      <c r="X509" s="870"/>
      <c r="Y509" s="870"/>
      <c r="Z509" s="870"/>
      <c r="AA509" s="870"/>
      <c r="AB509" s="870"/>
      <c r="AC509" s="870"/>
      <c r="AD509" s="870"/>
      <c r="AE509" s="870"/>
      <c r="AF509" s="870"/>
      <c r="AG509" s="870"/>
    </row>
    <row r="510" spans="1:33" s="995" customFormat="1">
      <c r="A510" s="974"/>
      <c r="D510" s="876"/>
      <c r="E510" s="974"/>
      <c r="F510" s="876"/>
      <c r="G510" s="876"/>
      <c r="H510" s="876"/>
      <c r="I510" s="876"/>
      <c r="J510" s="876"/>
      <c r="K510" s="876"/>
      <c r="L510" s="876"/>
      <c r="M510" s="876"/>
      <c r="N510" s="876"/>
      <c r="O510" s="876"/>
      <c r="P510" s="876"/>
      <c r="Q510" s="870"/>
      <c r="R510" s="870"/>
      <c r="S510" s="870"/>
      <c r="T510" s="870"/>
      <c r="U510" s="870"/>
      <c r="V510" s="870"/>
      <c r="W510" s="870"/>
      <c r="X510" s="870"/>
      <c r="Y510" s="870"/>
      <c r="Z510" s="870"/>
      <c r="AA510" s="870"/>
      <c r="AB510" s="870"/>
      <c r="AC510" s="870"/>
      <c r="AD510" s="870"/>
      <c r="AE510" s="870"/>
      <c r="AF510" s="870"/>
      <c r="AG510" s="870"/>
    </row>
    <row r="511" spans="1:33" s="995" customFormat="1">
      <c r="A511" s="974"/>
      <c r="D511" s="876"/>
      <c r="E511" s="974"/>
      <c r="F511" s="876"/>
      <c r="G511" s="876"/>
      <c r="H511" s="876"/>
      <c r="I511" s="876"/>
      <c r="J511" s="876"/>
      <c r="K511" s="876"/>
      <c r="L511" s="876"/>
      <c r="M511" s="876"/>
      <c r="N511" s="876"/>
      <c r="O511" s="876"/>
      <c r="P511" s="876"/>
      <c r="Q511" s="870"/>
      <c r="R511" s="870"/>
      <c r="S511" s="870"/>
      <c r="T511" s="870"/>
      <c r="U511" s="870"/>
      <c r="V511" s="870"/>
      <c r="W511" s="870"/>
      <c r="X511" s="870"/>
      <c r="Y511" s="870"/>
      <c r="Z511" s="870"/>
      <c r="AA511" s="870"/>
      <c r="AB511" s="870"/>
      <c r="AC511" s="870"/>
      <c r="AD511" s="870"/>
      <c r="AE511" s="870"/>
      <c r="AF511" s="870"/>
      <c r="AG511" s="870"/>
    </row>
    <row r="512" spans="1:33" s="995" customFormat="1">
      <c r="A512" s="974"/>
      <c r="D512" s="876"/>
      <c r="E512" s="974"/>
      <c r="F512" s="876"/>
      <c r="G512" s="876"/>
      <c r="H512" s="876"/>
      <c r="I512" s="876"/>
      <c r="J512" s="876"/>
      <c r="K512" s="876"/>
      <c r="L512" s="876"/>
      <c r="M512" s="876"/>
      <c r="N512" s="876"/>
      <c r="O512" s="876"/>
      <c r="P512" s="876"/>
      <c r="Q512" s="870"/>
      <c r="R512" s="870"/>
      <c r="S512" s="870"/>
      <c r="T512" s="870"/>
      <c r="U512" s="870"/>
      <c r="V512" s="870"/>
      <c r="W512" s="870"/>
      <c r="X512" s="870"/>
      <c r="Y512" s="870"/>
      <c r="Z512" s="870"/>
      <c r="AA512" s="870"/>
      <c r="AB512" s="870"/>
      <c r="AC512" s="870"/>
      <c r="AD512" s="870"/>
      <c r="AE512" s="870"/>
      <c r="AF512" s="870"/>
      <c r="AG512" s="870"/>
    </row>
    <row r="513" spans="1:33" s="995" customFormat="1">
      <c r="A513" s="974"/>
      <c r="D513" s="876"/>
      <c r="E513" s="974"/>
      <c r="F513" s="876"/>
      <c r="G513" s="876"/>
      <c r="H513" s="876"/>
      <c r="I513" s="876"/>
      <c r="J513" s="876"/>
      <c r="K513" s="876"/>
      <c r="L513" s="876"/>
      <c r="M513" s="876"/>
      <c r="N513" s="876"/>
      <c r="O513" s="876"/>
      <c r="P513" s="876"/>
      <c r="Q513" s="870"/>
      <c r="R513" s="870"/>
      <c r="S513" s="870"/>
      <c r="T513" s="870"/>
      <c r="U513" s="870"/>
      <c r="V513" s="870"/>
      <c r="W513" s="870"/>
      <c r="X513" s="870"/>
      <c r="Y513" s="870"/>
      <c r="Z513" s="870"/>
      <c r="AA513" s="870"/>
      <c r="AB513" s="870"/>
      <c r="AC513" s="870"/>
      <c r="AD513" s="870"/>
      <c r="AE513" s="870"/>
      <c r="AF513" s="870"/>
      <c r="AG513" s="870"/>
    </row>
    <row r="514" spans="1:33" s="995" customFormat="1">
      <c r="A514" s="974"/>
      <c r="D514" s="876"/>
      <c r="E514" s="974"/>
      <c r="F514" s="876"/>
      <c r="G514" s="876"/>
      <c r="H514" s="876"/>
      <c r="I514" s="876"/>
      <c r="J514" s="876"/>
      <c r="K514" s="876"/>
      <c r="L514" s="876"/>
      <c r="M514" s="876"/>
      <c r="N514" s="876"/>
      <c r="O514" s="876"/>
      <c r="P514" s="876"/>
      <c r="Q514" s="870"/>
      <c r="R514" s="870"/>
      <c r="S514" s="870"/>
      <c r="T514" s="870"/>
      <c r="U514" s="870"/>
      <c r="V514" s="870"/>
      <c r="W514" s="870"/>
      <c r="X514" s="870"/>
      <c r="Y514" s="870"/>
      <c r="Z514" s="870"/>
      <c r="AA514" s="870"/>
      <c r="AB514" s="870"/>
      <c r="AC514" s="870"/>
      <c r="AD514" s="870"/>
      <c r="AE514" s="870"/>
      <c r="AF514" s="870"/>
      <c r="AG514" s="870"/>
    </row>
    <row r="515" spans="1:33" s="995" customFormat="1">
      <c r="A515" s="974"/>
      <c r="D515" s="876"/>
      <c r="E515" s="974"/>
      <c r="F515" s="876"/>
      <c r="G515" s="876"/>
      <c r="H515" s="876"/>
      <c r="I515" s="876"/>
      <c r="J515" s="876"/>
      <c r="K515" s="876"/>
      <c r="L515" s="876"/>
      <c r="M515" s="876"/>
      <c r="N515" s="876"/>
      <c r="O515" s="876"/>
      <c r="P515" s="876"/>
      <c r="Q515" s="870"/>
      <c r="R515" s="870"/>
      <c r="S515" s="870"/>
      <c r="T515" s="870"/>
      <c r="U515" s="870"/>
      <c r="V515" s="870"/>
      <c r="W515" s="870"/>
      <c r="X515" s="870"/>
      <c r="Y515" s="870"/>
      <c r="Z515" s="870"/>
      <c r="AA515" s="870"/>
      <c r="AB515" s="870"/>
      <c r="AC515" s="870"/>
      <c r="AD515" s="870"/>
      <c r="AE515" s="870"/>
      <c r="AF515" s="870"/>
      <c r="AG515" s="870"/>
    </row>
    <row r="516" spans="1:33" s="995" customFormat="1">
      <c r="A516" s="974"/>
      <c r="D516" s="876"/>
      <c r="E516" s="974"/>
      <c r="F516" s="876"/>
      <c r="G516" s="876"/>
      <c r="H516" s="876"/>
      <c r="I516" s="876"/>
      <c r="J516" s="876"/>
      <c r="K516" s="876"/>
      <c r="L516" s="876"/>
      <c r="M516" s="876"/>
      <c r="N516" s="876"/>
      <c r="O516" s="876"/>
      <c r="P516" s="876"/>
      <c r="Q516" s="870"/>
      <c r="R516" s="870"/>
      <c r="S516" s="870"/>
      <c r="T516" s="870"/>
      <c r="U516" s="870"/>
      <c r="V516" s="870"/>
      <c r="W516" s="870"/>
      <c r="X516" s="870"/>
      <c r="Y516" s="870"/>
      <c r="Z516" s="870"/>
      <c r="AA516" s="870"/>
      <c r="AB516" s="870"/>
      <c r="AC516" s="870"/>
      <c r="AD516" s="870"/>
      <c r="AE516" s="870"/>
      <c r="AF516" s="870"/>
      <c r="AG516" s="870"/>
    </row>
    <row r="517" spans="1:33" s="995" customFormat="1">
      <c r="A517" s="974"/>
      <c r="D517" s="876"/>
      <c r="E517" s="974"/>
      <c r="F517" s="876"/>
      <c r="G517" s="876"/>
      <c r="H517" s="876"/>
      <c r="I517" s="876"/>
      <c r="J517" s="876"/>
      <c r="K517" s="876"/>
      <c r="L517" s="876"/>
      <c r="M517" s="876"/>
      <c r="N517" s="876"/>
      <c r="O517" s="876"/>
      <c r="P517" s="876"/>
      <c r="Q517" s="870"/>
      <c r="R517" s="870"/>
      <c r="S517" s="870"/>
      <c r="T517" s="870"/>
      <c r="U517" s="870"/>
      <c r="V517" s="870"/>
      <c r="W517" s="870"/>
      <c r="X517" s="870"/>
      <c r="Y517" s="870"/>
      <c r="Z517" s="870"/>
      <c r="AA517" s="870"/>
      <c r="AB517" s="870"/>
      <c r="AC517" s="870"/>
      <c r="AD517" s="870"/>
      <c r="AE517" s="870"/>
      <c r="AF517" s="870"/>
      <c r="AG517" s="870"/>
    </row>
    <row r="518" spans="1:33" s="995" customFormat="1">
      <c r="A518" s="974"/>
      <c r="D518" s="876"/>
      <c r="E518" s="974"/>
      <c r="F518" s="876"/>
      <c r="G518" s="876"/>
      <c r="H518" s="876"/>
      <c r="I518" s="876"/>
      <c r="J518" s="876"/>
      <c r="K518" s="876"/>
      <c r="L518" s="876"/>
      <c r="M518" s="876"/>
      <c r="N518" s="876"/>
      <c r="O518" s="876"/>
      <c r="P518" s="876"/>
      <c r="Q518" s="870"/>
      <c r="R518" s="870"/>
      <c r="S518" s="870"/>
      <c r="T518" s="870"/>
      <c r="U518" s="870"/>
      <c r="V518" s="870"/>
      <c r="W518" s="870"/>
      <c r="X518" s="870"/>
      <c r="Y518" s="870"/>
      <c r="Z518" s="870"/>
      <c r="AA518" s="870"/>
      <c r="AB518" s="870"/>
      <c r="AC518" s="870"/>
      <c r="AD518" s="870"/>
      <c r="AE518" s="870"/>
      <c r="AF518" s="870"/>
      <c r="AG518" s="870"/>
    </row>
    <row r="519" spans="1:33" s="995" customFormat="1">
      <c r="A519" s="974"/>
      <c r="D519" s="876"/>
      <c r="E519" s="974"/>
      <c r="F519" s="876"/>
      <c r="G519" s="876"/>
      <c r="H519" s="876"/>
      <c r="I519" s="876"/>
      <c r="J519" s="876"/>
      <c r="K519" s="876"/>
      <c r="L519" s="876"/>
      <c r="M519" s="876"/>
      <c r="N519" s="876"/>
      <c r="O519" s="876"/>
      <c r="P519" s="876"/>
      <c r="Q519" s="870"/>
      <c r="R519" s="870"/>
      <c r="S519" s="870"/>
      <c r="T519" s="870"/>
      <c r="U519" s="870"/>
      <c r="V519" s="870"/>
      <c r="W519" s="870"/>
      <c r="X519" s="870"/>
      <c r="Y519" s="870"/>
      <c r="Z519" s="870"/>
      <c r="AA519" s="870"/>
      <c r="AB519" s="870"/>
      <c r="AC519" s="870"/>
      <c r="AD519" s="870"/>
      <c r="AE519" s="870"/>
      <c r="AF519" s="870"/>
      <c r="AG519" s="870"/>
    </row>
    <row r="520" spans="1:33" s="995" customFormat="1">
      <c r="A520" s="974"/>
      <c r="D520" s="876"/>
      <c r="E520" s="974"/>
      <c r="F520" s="876"/>
      <c r="G520" s="876"/>
      <c r="H520" s="876"/>
      <c r="I520" s="876"/>
      <c r="J520" s="876"/>
      <c r="K520" s="876"/>
      <c r="L520" s="876"/>
      <c r="M520" s="876"/>
      <c r="N520" s="876"/>
      <c r="O520" s="876"/>
      <c r="P520" s="876"/>
      <c r="Q520" s="870"/>
      <c r="R520" s="870"/>
      <c r="S520" s="870"/>
      <c r="T520" s="870"/>
      <c r="U520" s="870"/>
      <c r="V520" s="870"/>
      <c r="W520" s="870"/>
      <c r="X520" s="870"/>
      <c r="Y520" s="870"/>
      <c r="Z520" s="870"/>
      <c r="AA520" s="870"/>
      <c r="AB520" s="870"/>
      <c r="AC520" s="870"/>
      <c r="AD520" s="870"/>
      <c r="AE520" s="870"/>
      <c r="AF520" s="870"/>
      <c r="AG520" s="870"/>
    </row>
    <row r="521" spans="1:33" s="995" customFormat="1">
      <c r="A521" s="974"/>
      <c r="D521" s="876"/>
      <c r="E521" s="974"/>
      <c r="F521" s="876"/>
      <c r="G521" s="876"/>
      <c r="H521" s="876"/>
      <c r="I521" s="876"/>
      <c r="J521" s="876"/>
      <c r="K521" s="876"/>
      <c r="L521" s="876"/>
      <c r="M521" s="876"/>
      <c r="N521" s="876"/>
      <c r="O521" s="876"/>
      <c r="P521" s="876"/>
      <c r="Q521" s="870"/>
      <c r="R521" s="870"/>
      <c r="S521" s="870"/>
      <c r="T521" s="870"/>
      <c r="U521" s="870"/>
      <c r="V521" s="870"/>
      <c r="W521" s="870"/>
      <c r="X521" s="870"/>
      <c r="Y521" s="870"/>
      <c r="Z521" s="870"/>
      <c r="AA521" s="870"/>
      <c r="AB521" s="870"/>
      <c r="AC521" s="870"/>
      <c r="AD521" s="870"/>
      <c r="AE521" s="870"/>
      <c r="AF521" s="870"/>
      <c r="AG521" s="870"/>
    </row>
    <row r="522" spans="1:33" s="995" customFormat="1">
      <c r="A522" s="974"/>
      <c r="D522" s="876"/>
      <c r="E522" s="974"/>
      <c r="F522" s="876"/>
      <c r="G522" s="876"/>
      <c r="H522" s="876"/>
      <c r="I522" s="876"/>
      <c r="J522" s="876"/>
      <c r="K522" s="876"/>
      <c r="L522" s="876"/>
      <c r="M522" s="876"/>
      <c r="N522" s="876"/>
      <c r="O522" s="876"/>
      <c r="P522" s="876"/>
      <c r="Q522" s="870"/>
      <c r="R522" s="870"/>
      <c r="S522" s="870"/>
      <c r="T522" s="870"/>
      <c r="U522" s="870"/>
      <c r="V522" s="870"/>
      <c r="W522" s="870"/>
      <c r="X522" s="870"/>
      <c r="Y522" s="870"/>
      <c r="Z522" s="870"/>
      <c r="AA522" s="870"/>
      <c r="AB522" s="870"/>
      <c r="AC522" s="870"/>
      <c r="AD522" s="870"/>
      <c r="AE522" s="870"/>
      <c r="AF522" s="870"/>
      <c r="AG522" s="870"/>
    </row>
    <row r="523" spans="1:33" s="995" customFormat="1">
      <c r="A523" s="974"/>
      <c r="D523" s="876"/>
      <c r="E523" s="974"/>
      <c r="F523" s="876"/>
      <c r="G523" s="876"/>
      <c r="H523" s="876"/>
      <c r="I523" s="876"/>
      <c r="J523" s="876"/>
      <c r="K523" s="876"/>
      <c r="L523" s="876"/>
      <c r="M523" s="876"/>
      <c r="N523" s="876"/>
      <c r="O523" s="876"/>
      <c r="P523" s="876"/>
      <c r="Q523" s="870"/>
      <c r="R523" s="870"/>
      <c r="S523" s="870"/>
      <c r="T523" s="870"/>
      <c r="U523" s="870"/>
      <c r="V523" s="870"/>
      <c r="W523" s="870"/>
      <c r="X523" s="870"/>
      <c r="Y523" s="870"/>
      <c r="Z523" s="870"/>
      <c r="AA523" s="870"/>
      <c r="AB523" s="870"/>
      <c r="AC523" s="870"/>
      <c r="AD523" s="870"/>
      <c r="AE523" s="870"/>
      <c r="AF523" s="870"/>
      <c r="AG523" s="870"/>
    </row>
    <row r="524" spans="1:33" s="995" customFormat="1">
      <c r="A524" s="974"/>
      <c r="D524" s="876"/>
      <c r="E524" s="974"/>
      <c r="F524" s="876"/>
      <c r="G524" s="876"/>
      <c r="H524" s="876"/>
      <c r="I524" s="876"/>
      <c r="J524" s="876"/>
      <c r="K524" s="876"/>
      <c r="L524" s="876"/>
      <c r="M524" s="876"/>
      <c r="N524" s="876"/>
      <c r="O524" s="876"/>
      <c r="P524" s="876"/>
      <c r="Q524" s="870"/>
      <c r="R524" s="870"/>
      <c r="S524" s="870"/>
      <c r="T524" s="870"/>
      <c r="U524" s="870"/>
      <c r="V524" s="870"/>
      <c r="W524" s="870"/>
      <c r="X524" s="870"/>
      <c r="Y524" s="870"/>
      <c r="Z524" s="870"/>
      <c r="AA524" s="870"/>
      <c r="AB524" s="870"/>
      <c r="AC524" s="870"/>
      <c r="AD524" s="870"/>
      <c r="AE524" s="870"/>
      <c r="AF524" s="870"/>
      <c r="AG524" s="870"/>
    </row>
    <row r="525" spans="1:33" s="995" customFormat="1">
      <c r="A525" s="974"/>
      <c r="D525" s="876"/>
      <c r="E525" s="974"/>
      <c r="F525" s="876"/>
      <c r="G525" s="876"/>
      <c r="H525" s="876"/>
      <c r="I525" s="876"/>
      <c r="J525" s="876"/>
      <c r="K525" s="876"/>
      <c r="L525" s="876"/>
      <c r="M525" s="876"/>
      <c r="N525" s="876"/>
      <c r="O525" s="876"/>
      <c r="P525" s="876"/>
      <c r="Q525" s="870"/>
      <c r="R525" s="870"/>
      <c r="S525" s="870"/>
      <c r="T525" s="870"/>
      <c r="U525" s="870"/>
      <c r="V525" s="870"/>
      <c r="W525" s="870"/>
      <c r="X525" s="870"/>
      <c r="Y525" s="870"/>
      <c r="Z525" s="870"/>
      <c r="AA525" s="870"/>
      <c r="AB525" s="870"/>
      <c r="AC525" s="870"/>
      <c r="AD525" s="870"/>
      <c r="AE525" s="870"/>
      <c r="AF525" s="870"/>
      <c r="AG525" s="870"/>
    </row>
    <row r="526" spans="1:33" s="995" customFormat="1">
      <c r="A526" s="974"/>
      <c r="D526" s="876"/>
      <c r="E526" s="974"/>
      <c r="F526" s="876"/>
      <c r="G526" s="876"/>
      <c r="H526" s="876"/>
      <c r="I526" s="876"/>
      <c r="J526" s="876"/>
      <c r="K526" s="876"/>
      <c r="L526" s="876"/>
      <c r="M526" s="876"/>
      <c r="N526" s="876"/>
      <c r="O526" s="876"/>
      <c r="P526" s="876"/>
      <c r="Q526" s="870"/>
      <c r="R526" s="870"/>
      <c r="S526" s="870"/>
      <c r="T526" s="870"/>
      <c r="U526" s="870"/>
      <c r="V526" s="870"/>
      <c r="W526" s="870"/>
      <c r="X526" s="870"/>
      <c r="Y526" s="870"/>
      <c r="Z526" s="870"/>
      <c r="AA526" s="870"/>
      <c r="AB526" s="870"/>
      <c r="AC526" s="870"/>
      <c r="AD526" s="870"/>
      <c r="AE526" s="870"/>
      <c r="AF526" s="870"/>
      <c r="AG526" s="870"/>
    </row>
    <row r="527" spans="1:33" s="995" customFormat="1">
      <c r="A527" s="974"/>
      <c r="D527" s="876"/>
      <c r="E527" s="974"/>
      <c r="F527" s="876"/>
      <c r="G527" s="876"/>
      <c r="H527" s="876"/>
      <c r="I527" s="876"/>
      <c r="J527" s="876"/>
      <c r="K527" s="876"/>
      <c r="L527" s="876"/>
      <c r="M527" s="876"/>
      <c r="N527" s="876"/>
      <c r="O527" s="876"/>
      <c r="P527" s="876"/>
      <c r="Q527" s="870"/>
      <c r="R527" s="870"/>
      <c r="S527" s="870"/>
      <c r="T527" s="870"/>
      <c r="U527" s="870"/>
      <c r="V527" s="870"/>
      <c r="W527" s="870"/>
      <c r="X527" s="870"/>
      <c r="Y527" s="870"/>
      <c r="Z527" s="870"/>
      <c r="AA527" s="870"/>
      <c r="AB527" s="870"/>
      <c r="AC527" s="870"/>
      <c r="AD527" s="870"/>
      <c r="AE527" s="870"/>
      <c r="AF527" s="870"/>
      <c r="AG527" s="870"/>
    </row>
    <row r="528" spans="1:33" s="995" customFormat="1">
      <c r="A528" s="974"/>
      <c r="D528" s="876"/>
      <c r="E528" s="974"/>
      <c r="F528" s="876"/>
      <c r="G528" s="876"/>
      <c r="H528" s="876"/>
      <c r="I528" s="876"/>
      <c r="J528" s="876"/>
      <c r="K528" s="876"/>
      <c r="L528" s="876"/>
      <c r="M528" s="876"/>
      <c r="N528" s="876"/>
      <c r="O528" s="876"/>
      <c r="P528" s="876"/>
      <c r="Q528" s="870"/>
      <c r="R528" s="870"/>
      <c r="S528" s="870"/>
      <c r="T528" s="870"/>
      <c r="U528" s="870"/>
      <c r="V528" s="870"/>
      <c r="W528" s="870"/>
      <c r="X528" s="870"/>
      <c r="Y528" s="870"/>
      <c r="Z528" s="870"/>
      <c r="AA528" s="870"/>
      <c r="AB528" s="870"/>
      <c r="AC528" s="870"/>
      <c r="AD528" s="870"/>
      <c r="AE528" s="870"/>
      <c r="AF528" s="870"/>
      <c r="AG528" s="870"/>
    </row>
    <row r="529" spans="1:33" s="995" customFormat="1">
      <c r="A529" s="974"/>
      <c r="D529" s="876"/>
      <c r="E529" s="974"/>
      <c r="F529" s="876"/>
      <c r="G529" s="876"/>
      <c r="H529" s="876"/>
      <c r="I529" s="876"/>
      <c r="J529" s="876"/>
      <c r="K529" s="876"/>
      <c r="L529" s="876"/>
      <c r="M529" s="876"/>
      <c r="N529" s="876"/>
      <c r="O529" s="876"/>
      <c r="P529" s="876"/>
      <c r="Q529" s="870"/>
      <c r="R529" s="870"/>
      <c r="S529" s="870"/>
      <c r="T529" s="870"/>
      <c r="U529" s="870"/>
      <c r="V529" s="870"/>
      <c r="W529" s="870"/>
      <c r="X529" s="870"/>
      <c r="Y529" s="870"/>
      <c r="Z529" s="870"/>
      <c r="AA529" s="870"/>
      <c r="AB529" s="870"/>
      <c r="AC529" s="870"/>
      <c r="AD529" s="870"/>
      <c r="AE529" s="870"/>
      <c r="AF529" s="870"/>
      <c r="AG529" s="870"/>
    </row>
    <row r="530" spans="1:33" s="995" customFormat="1">
      <c r="A530" s="974"/>
      <c r="D530" s="876"/>
      <c r="E530" s="974"/>
      <c r="F530" s="876"/>
      <c r="G530" s="876"/>
      <c r="H530" s="876"/>
      <c r="I530" s="876"/>
      <c r="J530" s="876"/>
      <c r="K530" s="876"/>
      <c r="L530" s="876"/>
      <c r="M530" s="876"/>
      <c r="N530" s="876"/>
      <c r="O530" s="876"/>
      <c r="P530" s="876"/>
      <c r="Q530" s="870"/>
      <c r="R530" s="870"/>
      <c r="S530" s="870"/>
      <c r="T530" s="870"/>
      <c r="U530" s="870"/>
      <c r="V530" s="870"/>
      <c r="W530" s="870"/>
      <c r="X530" s="870"/>
      <c r="Y530" s="870"/>
      <c r="Z530" s="870"/>
      <c r="AA530" s="870"/>
      <c r="AB530" s="870"/>
      <c r="AC530" s="870"/>
      <c r="AD530" s="870"/>
      <c r="AE530" s="870"/>
      <c r="AF530" s="870"/>
      <c r="AG530" s="870"/>
    </row>
    <row r="531" spans="1:33" s="995" customFormat="1">
      <c r="A531" s="974"/>
      <c r="D531" s="876"/>
      <c r="E531" s="974"/>
      <c r="F531" s="876"/>
      <c r="G531" s="876"/>
      <c r="H531" s="876"/>
      <c r="I531" s="876"/>
      <c r="J531" s="876"/>
      <c r="K531" s="876"/>
      <c r="L531" s="876"/>
      <c r="M531" s="876"/>
      <c r="N531" s="876"/>
      <c r="O531" s="876"/>
      <c r="P531" s="876"/>
      <c r="Q531" s="870"/>
      <c r="R531" s="870"/>
      <c r="S531" s="870"/>
      <c r="T531" s="870"/>
      <c r="U531" s="870"/>
      <c r="V531" s="870"/>
      <c r="W531" s="870"/>
      <c r="X531" s="870"/>
      <c r="Y531" s="870"/>
      <c r="Z531" s="870"/>
      <c r="AA531" s="870"/>
      <c r="AB531" s="870"/>
      <c r="AC531" s="870"/>
      <c r="AD531" s="870"/>
      <c r="AE531" s="870"/>
      <c r="AF531" s="870"/>
      <c r="AG531" s="870"/>
    </row>
    <row r="532" spans="1:33" s="995" customFormat="1">
      <c r="A532" s="974"/>
      <c r="D532" s="876"/>
      <c r="E532" s="974"/>
      <c r="F532" s="876"/>
      <c r="G532" s="876"/>
      <c r="H532" s="876"/>
      <c r="I532" s="876"/>
      <c r="J532" s="876"/>
      <c r="K532" s="876"/>
      <c r="L532" s="876"/>
      <c r="M532" s="876"/>
      <c r="N532" s="876"/>
      <c r="O532" s="876"/>
      <c r="P532" s="876"/>
      <c r="Q532" s="870"/>
      <c r="R532" s="870"/>
      <c r="S532" s="870"/>
      <c r="T532" s="870"/>
      <c r="U532" s="870"/>
      <c r="V532" s="870"/>
      <c r="W532" s="870"/>
      <c r="X532" s="870"/>
      <c r="Y532" s="870"/>
      <c r="Z532" s="870"/>
      <c r="AA532" s="870"/>
      <c r="AB532" s="870"/>
      <c r="AC532" s="870"/>
      <c r="AD532" s="870"/>
      <c r="AE532" s="870"/>
      <c r="AF532" s="870"/>
      <c r="AG532" s="870"/>
    </row>
    <row r="533" spans="1:33" s="995" customFormat="1">
      <c r="A533" s="974"/>
      <c r="D533" s="876"/>
      <c r="E533" s="974"/>
      <c r="F533" s="876"/>
      <c r="G533" s="876"/>
      <c r="H533" s="876"/>
      <c r="I533" s="876"/>
      <c r="J533" s="876"/>
      <c r="K533" s="876"/>
      <c r="L533" s="876"/>
      <c r="M533" s="876"/>
      <c r="N533" s="876"/>
      <c r="O533" s="876"/>
      <c r="P533" s="876"/>
      <c r="Q533" s="870"/>
      <c r="R533" s="870"/>
      <c r="S533" s="870"/>
      <c r="T533" s="870"/>
      <c r="U533" s="870"/>
      <c r="V533" s="870"/>
      <c r="W533" s="870"/>
      <c r="X533" s="870"/>
      <c r="Y533" s="870"/>
      <c r="Z533" s="870"/>
      <c r="AA533" s="870"/>
      <c r="AB533" s="870"/>
      <c r="AC533" s="870"/>
      <c r="AD533" s="870"/>
      <c r="AE533" s="870"/>
      <c r="AF533" s="870"/>
      <c r="AG533" s="870"/>
    </row>
    <row r="534" spans="1:33" s="995" customFormat="1">
      <c r="A534" s="974"/>
      <c r="D534" s="876"/>
      <c r="E534" s="974"/>
      <c r="F534" s="876"/>
      <c r="G534" s="876"/>
      <c r="H534" s="876"/>
      <c r="I534" s="876"/>
      <c r="J534" s="876"/>
      <c r="K534" s="876"/>
      <c r="L534" s="876"/>
      <c r="M534" s="876"/>
      <c r="N534" s="876"/>
      <c r="O534" s="876"/>
      <c r="P534" s="876"/>
      <c r="Q534" s="870"/>
      <c r="R534" s="870"/>
      <c r="S534" s="870"/>
      <c r="T534" s="870"/>
      <c r="U534" s="870"/>
      <c r="V534" s="870"/>
      <c r="W534" s="870"/>
      <c r="X534" s="870"/>
      <c r="Y534" s="870"/>
      <c r="Z534" s="870"/>
      <c r="AA534" s="870"/>
      <c r="AB534" s="870"/>
      <c r="AC534" s="870"/>
      <c r="AD534" s="870"/>
      <c r="AE534" s="870"/>
      <c r="AF534" s="870"/>
      <c r="AG534" s="870"/>
    </row>
    <row r="535" spans="1:33" s="995" customFormat="1">
      <c r="A535" s="974"/>
      <c r="D535" s="876"/>
      <c r="E535" s="974"/>
      <c r="F535" s="876"/>
      <c r="G535" s="876"/>
      <c r="H535" s="876"/>
      <c r="I535" s="876"/>
      <c r="J535" s="876"/>
      <c r="K535" s="876"/>
      <c r="L535" s="876"/>
      <c r="M535" s="876"/>
      <c r="N535" s="876"/>
      <c r="O535" s="876"/>
      <c r="P535" s="876"/>
      <c r="Q535" s="870"/>
      <c r="R535" s="870"/>
      <c r="S535" s="870"/>
      <c r="T535" s="870"/>
      <c r="U535" s="870"/>
      <c r="V535" s="870"/>
      <c r="W535" s="870"/>
      <c r="X535" s="870"/>
      <c r="Y535" s="870"/>
      <c r="Z535" s="870"/>
      <c r="AA535" s="870"/>
      <c r="AB535" s="870"/>
      <c r="AC535" s="870"/>
      <c r="AD535" s="870"/>
      <c r="AE535" s="870"/>
      <c r="AF535" s="870"/>
      <c r="AG535" s="870"/>
    </row>
    <row r="536" spans="1:33" s="995" customFormat="1">
      <c r="A536" s="974"/>
      <c r="D536" s="876"/>
      <c r="E536" s="974"/>
      <c r="F536" s="876"/>
      <c r="G536" s="876"/>
      <c r="H536" s="876"/>
      <c r="I536" s="876"/>
      <c r="J536" s="876"/>
      <c r="K536" s="876"/>
      <c r="L536" s="876"/>
      <c r="M536" s="876"/>
      <c r="N536" s="876"/>
      <c r="O536" s="876"/>
      <c r="P536" s="876"/>
      <c r="Q536" s="870"/>
      <c r="R536" s="870"/>
      <c r="S536" s="870"/>
      <c r="T536" s="870"/>
      <c r="U536" s="870"/>
      <c r="V536" s="870"/>
      <c r="W536" s="870"/>
      <c r="X536" s="870"/>
      <c r="Y536" s="870"/>
      <c r="Z536" s="870"/>
      <c r="AA536" s="870"/>
      <c r="AB536" s="870"/>
      <c r="AC536" s="870"/>
      <c r="AD536" s="870"/>
      <c r="AE536" s="870"/>
      <c r="AF536" s="870"/>
      <c r="AG536" s="870"/>
    </row>
    <row r="537" spans="1:33" s="995" customFormat="1">
      <c r="A537" s="974"/>
      <c r="D537" s="876"/>
      <c r="E537" s="974"/>
      <c r="F537" s="876"/>
      <c r="G537" s="876"/>
      <c r="H537" s="876"/>
      <c r="I537" s="876"/>
      <c r="J537" s="876"/>
      <c r="K537" s="876"/>
      <c r="L537" s="876"/>
      <c r="M537" s="876"/>
      <c r="N537" s="876"/>
      <c r="O537" s="876"/>
      <c r="P537" s="876"/>
      <c r="Q537" s="870"/>
      <c r="R537" s="870"/>
      <c r="S537" s="870"/>
      <c r="T537" s="870"/>
      <c r="U537" s="870"/>
      <c r="V537" s="870"/>
      <c r="W537" s="870"/>
      <c r="X537" s="870"/>
      <c r="Y537" s="870"/>
      <c r="Z537" s="870"/>
      <c r="AA537" s="870"/>
      <c r="AB537" s="870"/>
      <c r="AC537" s="870"/>
      <c r="AD537" s="870"/>
      <c r="AE537" s="870"/>
      <c r="AF537" s="870"/>
      <c r="AG537" s="870"/>
    </row>
    <row r="538" spans="1:33" s="995" customFormat="1">
      <c r="A538" s="974"/>
      <c r="D538" s="876"/>
      <c r="E538" s="974"/>
      <c r="F538" s="876"/>
      <c r="G538" s="876"/>
      <c r="H538" s="876"/>
      <c r="I538" s="876"/>
      <c r="J538" s="876"/>
      <c r="K538" s="876"/>
      <c r="L538" s="876"/>
      <c r="M538" s="876"/>
      <c r="N538" s="876"/>
      <c r="O538" s="876"/>
      <c r="P538" s="876"/>
      <c r="Q538" s="870"/>
      <c r="R538" s="870"/>
      <c r="S538" s="870"/>
      <c r="T538" s="870"/>
      <c r="U538" s="870"/>
      <c r="V538" s="870"/>
      <c r="W538" s="870"/>
      <c r="X538" s="870"/>
      <c r="Y538" s="870"/>
      <c r="Z538" s="870"/>
      <c r="AA538" s="870"/>
      <c r="AB538" s="870"/>
      <c r="AC538" s="870"/>
      <c r="AD538" s="870"/>
      <c r="AE538" s="870"/>
      <c r="AF538" s="870"/>
      <c r="AG538" s="870"/>
    </row>
    <row r="539" spans="1:33" s="995" customFormat="1">
      <c r="A539" s="974"/>
      <c r="D539" s="876"/>
      <c r="E539" s="974"/>
      <c r="F539" s="876"/>
      <c r="G539" s="876"/>
      <c r="H539" s="876"/>
      <c r="I539" s="876"/>
      <c r="J539" s="876"/>
      <c r="K539" s="876"/>
      <c r="L539" s="876"/>
      <c r="M539" s="876"/>
      <c r="N539" s="876"/>
      <c r="O539" s="876"/>
      <c r="P539" s="876"/>
      <c r="Q539" s="870"/>
      <c r="R539" s="870"/>
      <c r="S539" s="870"/>
      <c r="T539" s="870"/>
      <c r="U539" s="870"/>
      <c r="V539" s="870"/>
      <c r="W539" s="870"/>
      <c r="X539" s="870"/>
      <c r="Y539" s="870"/>
      <c r="Z539" s="870"/>
      <c r="AA539" s="870"/>
      <c r="AB539" s="870"/>
      <c r="AC539" s="870"/>
      <c r="AD539" s="870"/>
      <c r="AE539" s="870"/>
      <c r="AF539" s="870"/>
      <c r="AG539" s="870"/>
    </row>
    <row r="540" spans="1:33" s="995" customFormat="1">
      <c r="A540" s="974"/>
      <c r="D540" s="876"/>
      <c r="E540" s="974"/>
      <c r="F540" s="876"/>
      <c r="G540" s="876"/>
      <c r="H540" s="876"/>
      <c r="I540" s="876"/>
      <c r="J540" s="876"/>
      <c r="K540" s="876"/>
      <c r="L540" s="876"/>
      <c r="M540" s="876"/>
      <c r="N540" s="876"/>
      <c r="O540" s="876"/>
      <c r="P540" s="876"/>
      <c r="Q540" s="870"/>
      <c r="R540" s="870"/>
      <c r="S540" s="870"/>
      <c r="T540" s="870"/>
      <c r="U540" s="870"/>
      <c r="V540" s="870"/>
      <c r="W540" s="870"/>
      <c r="X540" s="870"/>
      <c r="Y540" s="870"/>
      <c r="Z540" s="870"/>
      <c r="AA540" s="870"/>
      <c r="AB540" s="870"/>
      <c r="AC540" s="870"/>
      <c r="AD540" s="870"/>
      <c r="AE540" s="870"/>
      <c r="AF540" s="870"/>
      <c r="AG540" s="870"/>
    </row>
    <row r="541" spans="1:33" s="995" customFormat="1">
      <c r="A541" s="974"/>
      <c r="D541" s="876"/>
      <c r="E541" s="974"/>
      <c r="F541" s="876"/>
      <c r="G541" s="876"/>
      <c r="H541" s="876"/>
      <c r="I541" s="876"/>
      <c r="J541" s="876"/>
      <c r="K541" s="876"/>
      <c r="L541" s="876"/>
      <c r="M541" s="876"/>
      <c r="N541" s="876"/>
      <c r="O541" s="876"/>
      <c r="P541" s="876"/>
      <c r="Q541" s="870"/>
      <c r="R541" s="870"/>
      <c r="S541" s="870"/>
      <c r="T541" s="870"/>
      <c r="U541" s="870"/>
      <c r="V541" s="870"/>
      <c r="W541" s="870"/>
      <c r="X541" s="870"/>
      <c r="Y541" s="870"/>
      <c r="Z541" s="870"/>
      <c r="AA541" s="870"/>
      <c r="AB541" s="870"/>
      <c r="AC541" s="870"/>
      <c r="AD541" s="870"/>
      <c r="AE541" s="870"/>
      <c r="AF541" s="870"/>
      <c r="AG541" s="870"/>
    </row>
    <row r="542" spans="1:33" s="995" customFormat="1">
      <c r="A542" s="974"/>
      <c r="D542" s="876"/>
      <c r="E542" s="974"/>
      <c r="F542" s="876"/>
      <c r="G542" s="876"/>
      <c r="H542" s="876"/>
      <c r="I542" s="876"/>
      <c r="J542" s="876"/>
      <c r="K542" s="876"/>
      <c r="L542" s="876"/>
      <c r="M542" s="876"/>
      <c r="N542" s="876"/>
      <c r="O542" s="876"/>
      <c r="P542" s="876"/>
      <c r="Q542" s="870"/>
      <c r="R542" s="870"/>
      <c r="S542" s="870"/>
      <c r="T542" s="870"/>
      <c r="U542" s="870"/>
      <c r="V542" s="870"/>
      <c r="W542" s="870"/>
      <c r="X542" s="870"/>
      <c r="Y542" s="870"/>
      <c r="Z542" s="870"/>
      <c r="AA542" s="870"/>
      <c r="AB542" s="870"/>
      <c r="AC542" s="870"/>
      <c r="AD542" s="870"/>
      <c r="AE542" s="870"/>
      <c r="AF542" s="870"/>
      <c r="AG542" s="870"/>
    </row>
    <row r="543" spans="1:33" s="995" customFormat="1">
      <c r="A543" s="974"/>
      <c r="D543" s="876"/>
      <c r="E543" s="974"/>
      <c r="F543" s="876"/>
      <c r="G543" s="876"/>
      <c r="H543" s="876"/>
      <c r="I543" s="876"/>
      <c r="J543" s="876"/>
      <c r="K543" s="876"/>
      <c r="L543" s="876"/>
      <c r="M543" s="876"/>
      <c r="N543" s="876"/>
      <c r="O543" s="876"/>
      <c r="P543" s="876"/>
      <c r="Q543" s="870"/>
      <c r="R543" s="870"/>
      <c r="S543" s="870"/>
      <c r="T543" s="870"/>
      <c r="U543" s="870"/>
      <c r="V543" s="870"/>
      <c r="W543" s="870"/>
      <c r="X543" s="870"/>
      <c r="Y543" s="870"/>
      <c r="Z543" s="870"/>
      <c r="AA543" s="870"/>
      <c r="AB543" s="870"/>
      <c r="AC543" s="870"/>
      <c r="AD543" s="870"/>
      <c r="AE543" s="870"/>
      <c r="AF543" s="870"/>
      <c r="AG543" s="870"/>
    </row>
    <row r="544" spans="1:33" s="995" customFormat="1">
      <c r="A544" s="974"/>
      <c r="D544" s="876"/>
      <c r="E544" s="974"/>
      <c r="F544" s="876"/>
      <c r="G544" s="876"/>
      <c r="H544" s="876"/>
      <c r="I544" s="876"/>
      <c r="J544" s="876"/>
      <c r="K544" s="876"/>
      <c r="L544" s="876"/>
      <c r="M544" s="876"/>
      <c r="N544" s="876"/>
      <c r="O544" s="876"/>
      <c r="P544" s="876"/>
      <c r="Q544" s="870"/>
      <c r="R544" s="870"/>
      <c r="S544" s="870"/>
      <c r="T544" s="870"/>
      <c r="U544" s="870"/>
      <c r="V544" s="870"/>
      <c r="W544" s="870"/>
      <c r="X544" s="870"/>
      <c r="Y544" s="870"/>
      <c r="Z544" s="870"/>
      <c r="AA544" s="870"/>
      <c r="AB544" s="870"/>
      <c r="AC544" s="870"/>
      <c r="AD544" s="870"/>
      <c r="AE544" s="870"/>
      <c r="AF544" s="870"/>
      <c r="AG544" s="870"/>
    </row>
    <row r="545" spans="1:33" s="995" customFormat="1">
      <c r="A545" s="974"/>
      <c r="D545" s="876"/>
      <c r="E545" s="974"/>
      <c r="F545" s="876"/>
      <c r="G545" s="876"/>
      <c r="H545" s="876"/>
      <c r="I545" s="876"/>
      <c r="J545" s="876"/>
      <c r="K545" s="876"/>
      <c r="L545" s="876"/>
      <c r="M545" s="876"/>
      <c r="N545" s="876"/>
      <c r="O545" s="876"/>
      <c r="P545" s="876"/>
      <c r="Q545" s="870"/>
      <c r="R545" s="870"/>
      <c r="S545" s="870"/>
      <c r="T545" s="870"/>
      <c r="U545" s="870"/>
      <c r="V545" s="870"/>
      <c r="W545" s="870"/>
      <c r="X545" s="870"/>
      <c r="Y545" s="870"/>
      <c r="Z545" s="870"/>
      <c r="AA545" s="870"/>
      <c r="AB545" s="870"/>
      <c r="AC545" s="870"/>
      <c r="AD545" s="870"/>
      <c r="AE545" s="870"/>
      <c r="AF545" s="870"/>
      <c r="AG545" s="870"/>
    </row>
    <row r="546" spans="1:33" s="995" customFormat="1">
      <c r="A546" s="974"/>
      <c r="D546" s="876"/>
      <c r="E546" s="974"/>
      <c r="F546" s="876"/>
      <c r="G546" s="876"/>
      <c r="H546" s="876"/>
      <c r="I546" s="876"/>
      <c r="J546" s="876"/>
      <c r="K546" s="876"/>
      <c r="L546" s="876"/>
      <c r="M546" s="876"/>
      <c r="N546" s="876"/>
      <c r="O546" s="876"/>
      <c r="P546" s="876"/>
      <c r="Q546" s="870"/>
      <c r="R546" s="870"/>
      <c r="S546" s="870"/>
      <c r="T546" s="870"/>
      <c r="U546" s="870"/>
      <c r="V546" s="870"/>
      <c r="W546" s="870"/>
      <c r="X546" s="870"/>
      <c r="Y546" s="870"/>
      <c r="Z546" s="870"/>
      <c r="AA546" s="870"/>
      <c r="AB546" s="870"/>
      <c r="AC546" s="870"/>
      <c r="AD546" s="870"/>
      <c r="AE546" s="870"/>
      <c r="AF546" s="870"/>
      <c r="AG546" s="870"/>
    </row>
    <row r="547" spans="1:33" s="995" customFormat="1">
      <c r="A547" s="974"/>
      <c r="D547" s="876"/>
      <c r="E547" s="974"/>
      <c r="F547" s="876"/>
      <c r="G547" s="876"/>
      <c r="H547" s="876"/>
      <c r="I547" s="876"/>
      <c r="J547" s="876"/>
      <c r="K547" s="876"/>
      <c r="L547" s="876"/>
      <c r="M547" s="876"/>
      <c r="N547" s="876"/>
      <c r="O547" s="876"/>
      <c r="P547" s="876"/>
      <c r="Q547" s="870"/>
      <c r="R547" s="870"/>
      <c r="S547" s="870"/>
      <c r="T547" s="870"/>
      <c r="U547" s="870"/>
      <c r="V547" s="870"/>
      <c r="W547" s="870"/>
      <c r="X547" s="870"/>
      <c r="Y547" s="870"/>
      <c r="Z547" s="870"/>
      <c r="AA547" s="870"/>
      <c r="AB547" s="870"/>
      <c r="AC547" s="870"/>
      <c r="AD547" s="870"/>
      <c r="AE547" s="870"/>
      <c r="AF547" s="870"/>
      <c r="AG547" s="870"/>
    </row>
    <row r="548" spans="1:33" s="995" customFormat="1">
      <c r="A548" s="974"/>
      <c r="D548" s="876"/>
      <c r="E548" s="974"/>
      <c r="F548" s="876"/>
      <c r="G548" s="876"/>
      <c r="H548" s="876"/>
      <c r="I548" s="876"/>
      <c r="J548" s="876"/>
      <c r="K548" s="876"/>
      <c r="L548" s="876"/>
      <c r="M548" s="876"/>
      <c r="N548" s="876"/>
      <c r="O548" s="876"/>
      <c r="P548" s="876"/>
      <c r="Q548" s="870"/>
      <c r="R548" s="870"/>
      <c r="S548" s="870"/>
      <c r="T548" s="870"/>
      <c r="U548" s="870"/>
      <c r="V548" s="870"/>
      <c r="W548" s="870"/>
      <c r="X548" s="870"/>
      <c r="Y548" s="870"/>
      <c r="Z548" s="870"/>
      <c r="AA548" s="870"/>
      <c r="AB548" s="870"/>
      <c r="AC548" s="870"/>
      <c r="AD548" s="870"/>
      <c r="AE548" s="870"/>
      <c r="AF548" s="870"/>
      <c r="AG548" s="870"/>
    </row>
    <row r="549" spans="1:33" s="995" customFormat="1">
      <c r="A549" s="974"/>
      <c r="D549" s="876"/>
      <c r="E549" s="974"/>
      <c r="F549" s="876"/>
      <c r="G549" s="876"/>
      <c r="H549" s="876"/>
      <c r="I549" s="876"/>
      <c r="J549" s="876"/>
      <c r="K549" s="876"/>
      <c r="L549" s="876"/>
      <c r="M549" s="876"/>
      <c r="N549" s="876"/>
      <c r="O549" s="876"/>
      <c r="P549" s="876"/>
      <c r="Q549" s="870"/>
      <c r="R549" s="870"/>
      <c r="S549" s="870"/>
      <c r="T549" s="870"/>
      <c r="U549" s="870"/>
      <c r="V549" s="870"/>
      <c r="W549" s="870"/>
      <c r="X549" s="870"/>
      <c r="Y549" s="870"/>
      <c r="Z549" s="870"/>
      <c r="AA549" s="870"/>
      <c r="AB549" s="870"/>
      <c r="AC549" s="870"/>
      <c r="AD549" s="870"/>
      <c r="AE549" s="870"/>
      <c r="AF549" s="870"/>
      <c r="AG549" s="870"/>
    </row>
    <row r="550" spans="1:33" s="995" customFormat="1">
      <c r="A550" s="974"/>
      <c r="D550" s="876"/>
      <c r="E550" s="974"/>
      <c r="F550" s="876"/>
      <c r="G550" s="876"/>
      <c r="H550" s="876"/>
      <c r="I550" s="876"/>
      <c r="J550" s="876"/>
      <c r="K550" s="876"/>
      <c r="L550" s="876"/>
      <c r="M550" s="876"/>
      <c r="N550" s="876"/>
      <c r="O550" s="876"/>
      <c r="P550" s="876"/>
      <c r="Q550" s="870"/>
      <c r="R550" s="870"/>
      <c r="S550" s="870"/>
      <c r="T550" s="870"/>
      <c r="U550" s="870"/>
      <c r="V550" s="870"/>
      <c r="W550" s="870"/>
      <c r="X550" s="870"/>
      <c r="Y550" s="870"/>
      <c r="Z550" s="870"/>
      <c r="AA550" s="870"/>
      <c r="AB550" s="870"/>
      <c r="AC550" s="870"/>
      <c r="AD550" s="870"/>
      <c r="AE550" s="870"/>
      <c r="AF550" s="870"/>
      <c r="AG550" s="870"/>
    </row>
    <row r="551" spans="1:33" s="995" customFormat="1">
      <c r="A551" s="974"/>
      <c r="D551" s="876"/>
      <c r="E551" s="974"/>
      <c r="F551" s="876"/>
      <c r="G551" s="876"/>
      <c r="H551" s="876"/>
      <c r="I551" s="876"/>
      <c r="J551" s="876"/>
      <c r="K551" s="876"/>
      <c r="L551" s="876"/>
      <c r="M551" s="876"/>
      <c r="N551" s="876"/>
      <c r="O551" s="876"/>
      <c r="P551" s="876"/>
      <c r="Q551" s="870"/>
      <c r="R551" s="870"/>
      <c r="S551" s="870"/>
      <c r="T551" s="870"/>
      <c r="U551" s="870"/>
      <c r="V551" s="870"/>
      <c r="W551" s="870"/>
      <c r="X551" s="870"/>
      <c r="Y551" s="870"/>
      <c r="Z551" s="870"/>
      <c r="AA551" s="870"/>
      <c r="AB551" s="870"/>
      <c r="AC551" s="870"/>
      <c r="AD551" s="870"/>
      <c r="AE551" s="870"/>
      <c r="AF551" s="870"/>
      <c r="AG551" s="870"/>
    </row>
    <row r="552" spans="1:33" s="995" customFormat="1">
      <c r="A552" s="974"/>
      <c r="D552" s="876"/>
      <c r="E552" s="974"/>
      <c r="F552" s="876"/>
      <c r="G552" s="876"/>
      <c r="H552" s="876"/>
      <c r="I552" s="876"/>
      <c r="J552" s="876"/>
      <c r="K552" s="876"/>
      <c r="L552" s="876"/>
      <c r="M552" s="876"/>
      <c r="N552" s="876"/>
      <c r="O552" s="876"/>
      <c r="P552" s="876"/>
      <c r="Q552" s="870"/>
      <c r="R552" s="870"/>
      <c r="S552" s="870"/>
      <c r="T552" s="870"/>
      <c r="U552" s="870"/>
      <c r="V552" s="870"/>
      <c r="W552" s="870"/>
      <c r="X552" s="870"/>
      <c r="Y552" s="870"/>
      <c r="Z552" s="870"/>
      <c r="AA552" s="870"/>
      <c r="AB552" s="870"/>
      <c r="AC552" s="870"/>
      <c r="AD552" s="870"/>
      <c r="AE552" s="870"/>
      <c r="AF552" s="870"/>
      <c r="AG552" s="870"/>
    </row>
    <row r="553" spans="1:33" s="995" customFormat="1">
      <c r="A553" s="974"/>
      <c r="D553" s="876"/>
      <c r="E553" s="974"/>
      <c r="F553" s="876"/>
      <c r="G553" s="876"/>
      <c r="H553" s="876"/>
      <c r="I553" s="876"/>
      <c r="J553" s="876"/>
      <c r="K553" s="876"/>
      <c r="L553" s="876"/>
      <c r="M553" s="876"/>
      <c r="N553" s="876"/>
      <c r="O553" s="876"/>
      <c r="P553" s="876"/>
      <c r="Q553" s="870"/>
      <c r="R553" s="870"/>
      <c r="S553" s="870"/>
      <c r="T553" s="870"/>
      <c r="U553" s="870"/>
      <c r="V553" s="870"/>
      <c r="W553" s="870"/>
      <c r="X553" s="870"/>
      <c r="Y553" s="870"/>
      <c r="Z553" s="870"/>
      <c r="AA553" s="870"/>
      <c r="AB553" s="870"/>
      <c r="AC553" s="870"/>
      <c r="AD553" s="870"/>
      <c r="AE553" s="870"/>
      <c r="AF553" s="870"/>
      <c r="AG553" s="870"/>
    </row>
    <row r="554" spans="1:33" s="995" customFormat="1">
      <c r="A554" s="974"/>
      <c r="D554" s="876"/>
      <c r="E554" s="974"/>
      <c r="F554" s="876"/>
      <c r="G554" s="876"/>
      <c r="H554" s="876"/>
      <c r="I554" s="876"/>
      <c r="J554" s="876"/>
      <c r="K554" s="876"/>
      <c r="L554" s="876"/>
      <c r="M554" s="876"/>
      <c r="N554" s="876"/>
      <c r="O554" s="876"/>
      <c r="P554" s="876"/>
      <c r="Q554" s="870"/>
      <c r="R554" s="870"/>
      <c r="S554" s="870"/>
      <c r="T554" s="870"/>
      <c r="U554" s="870"/>
      <c r="V554" s="870"/>
      <c r="W554" s="870"/>
      <c r="X554" s="870"/>
      <c r="Y554" s="870"/>
      <c r="Z554" s="870"/>
      <c r="AA554" s="870"/>
      <c r="AB554" s="870"/>
      <c r="AC554" s="870"/>
      <c r="AD554" s="870"/>
      <c r="AE554" s="870"/>
      <c r="AF554" s="870"/>
      <c r="AG554" s="870"/>
    </row>
    <row r="555" spans="1:33" s="995" customFormat="1">
      <c r="A555" s="974"/>
      <c r="D555" s="876"/>
      <c r="E555" s="974"/>
      <c r="F555" s="876"/>
      <c r="G555" s="876"/>
      <c r="H555" s="876"/>
      <c r="I555" s="876"/>
      <c r="J555" s="876"/>
      <c r="K555" s="876"/>
      <c r="L555" s="876"/>
      <c r="M555" s="876"/>
      <c r="N555" s="876"/>
      <c r="O555" s="876"/>
      <c r="P555" s="876"/>
      <c r="Q555" s="870"/>
      <c r="R555" s="870"/>
      <c r="S555" s="870"/>
      <c r="T555" s="870"/>
      <c r="U555" s="870"/>
      <c r="V555" s="870"/>
      <c r="W555" s="870"/>
      <c r="X555" s="870"/>
      <c r="Y555" s="870"/>
      <c r="Z555" s="870"/>
      <c r="AA555" s="870"/>
      <c r="AB555" s="870"/>
      <c r="AC555" s="870"/>
      <c r="AD555" s="870"/>
      <c r="AE555" s="870"/>
      <c r="AF555" s="870"/>
      <c r="AG555" s="870"/>
    </row>
    <row r="556" spans="1:33" s="995" customFormat="1">
      <c r="A556" s="974"/>
      <c r="D556" s="876"/>
      <c r="E556" s="974"/>
      <c r="F556" s="876"/>
      <c r="G556" s="876"/>
      <c r="H556" s="876"/>
      <c r="I556" s="876"/>
      <c r="J556" s="876"/>
      <c r="K556" s="876"/>
      <c r="L556" s="876"/>
      <c r="M556" s="876"/>
      <c r="N556" s="876"/>
      <c r="O556" s="876"/>
      <c r="P556" s="876"/>
      <c r="Q556" s="870"/>
      <c r="R556" s="870"/>
      <c r="S556" s="870"/>
      <c r="T556" s="870"/>
      <c r="U556" s="870"/>
      <c r="V556" s="870"/>
      <c r="W556" s="870"/>
      <c r="X556" s="870"/>
      <c r="Y556" s="870"/>
      <c r="Z556" s="870"/>
      <c r="AA556" s="870"/>
      <c r="AB556" s="870"/>
      <c r="AC556" s="870"/>
      <c r="AD556" s="870"/>
      <c r="AE556" s="870"/>
      <c r="AF556" s="870"/>
      <c r="AG556" s="870"/>
    </row>
    <row r="557" spans="1:33" s="995" customFormat="1">
      <c r="A557" s="974"/>
      <c r="D557" s="876"/>
      <c r="E557" s="974"/>
      <c r="F557" s="876"/>
      <c r="G557" s="876"/>
      <c r="H557" s="876"/>
      <c r="I557" s="876"/>
      <c r="J557" s="876"/>
      <c r="K557" s="876"/>
      <c r="L557" s="876"/>
      <c r="M557" s="876"/>
      <c r="N557" s="876"/>
      <c r="O557" s="876"/>
      <c r="P557" s="876"/>
      <c r="Q557" s="870"/>
      <c r="R557" s="870"/>
      <c r="S557" s="870"/>
      <c r="T557" s="870"/>
      <c r="U557" s="870"/>
      <c r="V557" s="870"/>
      <c r="W557" s="870"/>
      <c r="X557" s="870"/>
      <c r="Y557" s="870"/>
      <c r="Z557" s="870"/>
      <c r="AA557" s="870"/>
      <c r="AB557" s="870"/>
      <c r="AC557" s="870"/>
      <c r="AD557" s="870"/>
      <c r="AE557" s="870"/>
      <c r="AF557" s="870"/>
      <c r="AG557" s="870"/>
    </row>
    <row r="558" spans="1:33" s="995" customFormat="1">
      <c r="A558" s="974"/>
      <c r="D558" s="876"/>
      <c r="E558" s="974"/>
      <c r="F558" s="876"/>
      <c r="G558" s="876"/>
      <c r="H558" s="876"/>
      <c r="I558" s="876"/>
      <c r="J558" s="876"/>
      <c r="K558" s="876"/>
      <c r="L558" s="876"/>
      <c r="M558" s="876"/>
      <c r="N558" s="876"/>
      <c r="O558" s="876"/>
      <c r="P558" s="876"/>
      <c r="Q558" s="870"/>
      <c r="R558" s="870"/>
      <c r="S558" s="870"/>
      <c r="T558" s="870"/>
      <c r="U558" s="870"/>
      <c r="V558" s="870"/>
      <c r="W558" s="870"/>
      <c r="X558" s="870"/>
      <c r="Y558" s="870"/>
      <c r="Z558" s="870"/>
      <c r="AA558" s="870"/>
      <c r="AB558" s="870"/>
      <c r="AC558" s="870"/>
      <c r="AD558" s="870"/>
      <c r="AE558" s="870"/>
      <c r="AF558" s="870"/>
      <c r="AG558" s="870"/>
    </row>
    <row r="559" spans="1:33" s="995" customFormat="1">
      <c r="A559" s="974"/>
      <c r="D559" s="876"/>
      <c r="E559" s="974"/>
      <c r="F559" s="876"/>
      <c r="G559" s="876"/>
      <c r="H559" s="876"/>
      <c r="I559" s="876"/>
      <c r="J559" s="876"/>
      <c r="K559" s="876"/>
      <c r="L559" s="876"/>
      <c r="M559" s="876"/>
      <c r="N559" s="876"/>
      <c r="O559" s="876"/>
      <c r="P559" s="876"/>
      <c r="Q559" s="870"/>
      <c r="R559" s="870"/>
      <c r="S559" s="870"/>
      <c r="T559" s="870"/>
      <c r="U559" s="870"/>
      <c r="V559" s="870"/>
      <c r="W559" s="870"/>
      <c r="X559" s="870"/>
      <c r="Y559" s="870"/>
      <c r="Z559" s="870"/>
      <c r="AA559" s="870"/>
      <c r="AB559" s="870"/>
      <c r="AC559" s="870"/>
      <c r="AD559" s="870"/>
      <c r="AE559" s="870"/>
      <c r="AF559" s="870"/>
      <c r="AG559" s="870"/>
    </row>
    <row r="560" spans="1:33" s="995" customFormat="1">
      <c r="A560" s="974"/>
      <c r="D560" s="876"/>
      <c r="E560" s="974"/>
      <c r="F560" s="876"/>
      <c r="G560" s="876"/>
      <c r="H560" s="876"/>
      <c r="I560" s="876"/>
      <c r="J560" s="876"/>
      <c r="K560" s="876"/>
      <c r="L560" s="876"/>
      <c r="M560" s="876"/>
      <c r="N560" s="876"/>
      <c r="O560" s="876"/>
      <c r="P560" s="876"/>
      <c r="Q560" s="870"/>
      <c r="R560" s="870"/>
      <c r="S560" s="870"/>
      <c r="T560" s="870"/>
      <c r="U560" s="870"/>
      <c r="V560" s="870"/>
      <c r="W560" s="870"/>
      <c r="X560" s="870"/>
      <c r="Y560" s="870"/>
      <c r="Z560" s="870"/>
      <c r="AA560" s="870"/>
      <c r="AB560" s="870"/>
      <c r="AC560" s="870"/>
      <c r="AD560" s="870"/>
      <c r="AE560" s="870"/>
      <c r="AF560" s="870"/>
      <c r="AG560" s="870"/>
    </row>
    <row r="561" spans="1:33" s="995" customFormat="1">
      <c r="A561" s="974"/>
      <c r="D561" s="876"/>
      <c r="E561" s="974"/>
      <c r="F561" s="876"/>
      <c r="G561" s="876"/>
      <c r="H561" s="876"/>
      <c r="I561" s="876"/>
      <c r="J561" s="876"/>
      <c r="K561" s="876"/>
      <c r="L561" s="876"/>
      <c r="M561" s="876"/>
      <c r="N561" s="876"/>
      <c r="O561" s="876"/>
      <c r="P561" s="876"/>
      <c r="Q561" s="870"/>
      <c r="R561" s="870"/>
      <c r="S561" s="870"/>
      <c r="T561" s="870"/>
      <c r="U561" s="870"/>
      <c r="V561" s="870"/>
      <c r="W561" s="870"/>
      <c r="X561" s="870"/>
      <c r="Y561" s="870"/>
      <c r="Z561" s="870"/>
      <c r="AA561" s="870"/>
      <c r="AB561" s="870"/>
      <c r="AC561" s="870"/>
      <c r="AD561" s="870"/>
      <c r="AE561" s="870"/>
      <c r="AF561" s="870"/>
      <c r="AG561" s="870"/>
    </row>
    <row r="562" spans="1:33" s="995" customFormat="1">
      <c r="A562" s="974"/>
      <c r="D562" s="876"/>
      <c r="E562" s="974"/>
      <c r="F562" s="876"/>
      <c r="G562" s="876"/>
      <c r="H562" s="876"/>
      <c r="I562" s="876"/>
      <c r="J562" s="876"/>
      <c r="K562" s="876"/>
      <c r="L562" s="876"/>
      <c r="M562" s="876"/>
      <c r="N562" s="876"/>
      <c r="O562" s="876"/>
      <c r="P562" s="876"/>
      <c r="Q562" s="870"/>
      <c r="R562" s="870"/>
      <c r="S562" s="870"/>
      <c r="T562" s="870"/>
      <c r="U562" s="870"/>
      <c r="V562" s="870"/>
      <c r="W562" s="870"/>
      <c r="X562" s="870"/>
      <c r="Y562" s="870"/>
      <c r="Z562" s="870"/>
      <c r="AA562" s="870"/>
      <c r="AB562" s="870"/>
      <c r="AC562" s="870"/>
      <c r="AD562" s="870"/>
      <c r="AE562" s="870"/>
      <c r="AF562" s="870"/>
      <c r="AG562" s="870"/>
    </row>
    <row r="563" spans="1:33" s="995" customFormat="1">
      <c r="A563" s="974"/>
      <c r="D563" s="876"/>
      <c r="E563" s="974"/>
      <c r="F563" s="876"/>
      <c r="G563" s="876"/>
      <c r="H563" s="876"/>
      <c r="I563" s="876"/>
      <c r="J563" s="876"/>
      <c r="K563" s="876"/>
      <c r="L563" s="876"/>
      <c r="M563" s="876"/>
      <c r="N563" s="876"/>
      <c r="O563" s="876"/>
      <c r="P563" s="876"/>
      <c r="Q563" s="870"/>
      <c r="R563" s="870"/>
      <c r="S563" s="870"/>
      <c r="T563" s="870"/>
      <c r="U563" s="870"/>
      <c r="V563" s="870"/>
      <c r="W563" s="870"/>
      <c r="X563" s="870"/>
      <c r="Y563" s="870"/>
      <c r="Z563" s="870"/>
      <c r="AA563" s="870"/>
      <c r="AB563" s="870"/>
      <c r="AC563" s="870"/>
      <c r="AD563" s="870"/>
      <c r="AE563" s="870"/>
      <c r="AF563" s="870"/>
      <c r="AG563" s="870"/>
    </row>
    <row r="564" spans="1:33" s="995" customFormat="1">
      <c r="A564" s="974"/>
      <c r="D564" s="876"/>
      <c r="E564" s="974"/>
      <c r="F564" s="876"/>
      <c r="G564" s="876"/>
      <c r="H564" s="876"/>
      <c r="I564" s="876"/>
      <c r="J564" s="876"/>
      <c r="K564" s="876"/>
      <c r="L564" s="876"/>
      <c r="M564" s="876"/>
      <c r="N564" s="876"/>
      <c r="O564" s="876"/>
      <c r="P564" s="876"/>
      <c r="Q564" s="870"/>
      <c r="R564" s="870"/>
      <c r="S564" s="870"/>
      <c r="T564" s="870"/>
      <c r="U564" s="870"/>
      <c r="V564" s="870"/>
      <c r="W564" s="870"/>
      <c r="X564" s="870"/>
      <c r="Y564" s="870"/>
      <c r="Z564" s="870"/>
      <c r="AA564" s="870"/>
      <c r="AB564" s="870"/>
      <c r="AC564" s="870"/>
      <c r="AD564" s="870"/>
      <c r="AE564" s="870"/>
      <c r="AF564" s="870"/>
      <c r="AG564" s="870"/>
    </row>
    <row r="565" spans="1:33" s="995" customFormat="1">
      <c r="A565" s="974"/>
      <c r="D565" s="876"/>
      <c r="E565" s="974"/>
      <c r="F565" s="876"/>
      <c r="G565" s="876"/>
      <c r="H565" s="876"/>
      <c r="I565" s="876"/>
      <c r="J565" s="876"/>
      <c r="K565" s="876"/>
      <c r="L565" s="876"/>
      <c r="M565" s="876"/>
      <c r="N565" s="876"/>
      <c r="O565" s="876"/>
      <c r="P565" s="876"/>
      <c r="Q565" s="870"/>
      <c r="R565" s="870"/>
      <c r="S565" s="870"/>
      <c r="T565" s="870"/>
      <c r="U565" s="870"/>
      <c r="V565" s="870"/>
      <c r="W565" s="870"/>
      <c r="X565" s="870"/>
      <c r="Y565" s="870"/>
      <c r="Z565" s="870"/>
      <c r="AA565" s="870"/>
      <c r="AB565" s="870"/>
      <c r="AC565" s="870"/>
      <c r="AD565" s="870"/>
      <c r="AE565" s="870"/>
      <c r="AF565" s="870"/>
      <c r="AG565" s="870"/>
    </row>
    <row r="566" spans="1:33" s="995" customFormat="1">
      <c r="A566" s="974"/>
      <c r="D566" s="876"/>
      <c r="E566" s="974"/>
      <c r="F566" s="876"/>
      <c r="G566" s="876"/>
      <c r="H566" s="876"/>
      <c r="I566" s="876"/>
      <c r="J566" s="876"/>
      <c r="K566" s="876"/>
      <c r="L566" s="876"/>
      <c r="M566" s="876"/>
      <c r="N566" s="876"/>
      <c r="O566" s="876"/>
      <c r="P566" s="876"/>
      <c r="Q566" s="870"/>
      <c r="R566" s="870"/>
      <c r="S566" s="870"/>
      <c r="T566" s="870"/>
      <c r="U566" s="870"/>
      <c r="V566" s="870"/>
      <c r="W566" s="870"/>
      <c r="X566" s="870"/>
      <c r="Y566" s="870"/>
      <c r="Z566" s="870"/>
      <c r="AA566" s="870"/>
      <c r="AB566" s="870"/>
      <c r="AC566" s="870"/>
      <c r="AD566" s="870"/>
      <c r="AE566" s="870"/>
      <c r="AF566" s="870"/>
      <c r="AG566" s="870"/>
    </row>
    <row r="567" spans="1:33" s="995" customFormat="1">
      <c r="A567" s="974"/>
      <c r="D567" s="876"/>
      <c r="E567" s="974"/>
      <c r="F567" s="876"/>
      <c r="G567" s="876"/>
      <c r="H567" s="876"/>
      <c r="I567" s="876"/>
      <c r="J567" s="876"/>
      <c r="K567" s="876"/>
      <c r="L567" s="876"/>
      <c r="M567" s="876"/>
      <c r="N567" s="876"/>
      <c r="O567" s="876"/>
      <c r="P567" s="876"/>
      <c r="Q567" s="870"/>
      <c r="R567" s="870"/>
      <c r="S567" s="870"/>
      <c r="T567" s="870"/>
      <c r="U567" s="870"/>
      <c r="V567" s="870"/>
      <c r="W567" s="870"/>
      <c r="X567" s="870"/>
      <c r="Y567" s="870"/>
      <c r="Z567" s="870"/>
      <c r="AA567" s="870"/>
      <c r="AB567" s="870"/>
      <c r="AC567" s="870"/>
      <c r="AD567" s="870"/>
      <c r="AE567" s="870"/>
      <c r="AF567" s="870"/>
      <c r="AG567" s="870"/>
    </row>
    <row r="568" spans="1:33" s="995" customFormat="1">
      <c r="A568" s="974"/>
      <c r="D568" s="876"/>
      <c r="E568" s="974"/>
      <c r="F568" s="876"/>
      <c r="G568" s="876"/>
      <c r="H568" s="876"/>
      <c r="I568" s="876"/>
      <c r="J568" s="876"/>
      <c r="K568" s="876"/>
      <c r="L568" s="876"/>
      <c r="M568" s="876"/>
      <c r="N568" s="876"/>
      <c r="O568" s="876"/>
      <c r="P568" s="876"/>
      <c r="Q568" s="870"/>
      <c r="R568" s="870"/>
      <c r="S568" s="870"/>
      <c r="T568" s="870"/>
      <c r="U568" s="870"/>
      <c r="V568" s="870"/>
      <c r="W568" s="870"/>
      <c r="X568" s="870"/>
      <c r="Y568" s="870"/>
      <c r="Z568" s="870"/>
      <c r="AA568" s="870"/>
      <c r="AB568" s="870"/>
      <c r="AC568" s="870"/>
      <c r="AD568" s="870"/>
      <c r="AE568" s="870"/>
      <c r="AF568" s="870"/>
      <c r="AG568" s="870"/>
    </row>
    <row r="569" spans="1:33" s="995" customFormat="1">
      <c r="A569" s="974"/>
      <c r="D569" s="876"/>
      <c r="E569" s="974"/>
      <c r="F569" s="876"/>
      <c r="G569" s="876"/>
      <c r="H569" s="876"/>
      <c r="I569" s="876"/>
      <c r="J569" s="876"/>
      <c r="K569" s="876"/>
      <c r="L569" s="876"/>
      <c r="M569" s="876"/>
      <c r="N569" s="876"/>
      <c r="O569" s="876"/>
      <c r="P569" s="876"/>
      <c r="Q569" s="870"/>
      <c r="R569" s="870"/>
      <c r="S569" s="870"/>
      <c r="T569" s="870"/>
      <c r="U569" s="870"/>
      <c r="V569" s="870"/>
      <c r="W569" s="870"/>
      <c r="X569" s="870"/>
      <c r="Y569" s="870"/>
      <c r="Z569" s="870"/>
      <c r="AA569" s="870"/>
      <c r="AB569" s="870"/>
      <c r="AC569" s="870"/>
      <c r="AD569" s="870"/>
      <c r="AE569" s="870"/>
      <c r="AF569" s="870"/>
      <c r="AG569" s="870"/>
    </row>
    <row r="570" spans="1:33" s="995" customFormat="1">
      <c r="A570" s="974"/>
      <c r="D570" s="876"/>
      <c r="E570" s="974"/>
      <c r="F570" s="876"/>
      <c r="G570" s="876"/>
      <c r="H570" s="876"/>
      <c r="I570" s="876"/>
      <c r="J570" s="876"/>
      <c r="K570" s="876"/>
      <c r="L570" s="876"/>
      <c r="M570" s="876"/>
      <c r="N570" s="876"/>
      <c r="O570" s="876"/>
      <c r="P570" s="876"/>
      <c r="Q570" s="870"/>
      <c r="R570" s="870"/>
      <c r="S570" s="870"/>
      <c r="T570" s="870"/>
      <c r="U570" s="870"/>
      <c r="V570" s="870"/>
      <c r="W570" s="870"/>
      <c r="X570" s="870"/>
      <c r="Y570" s="870"/>
      <c r="Z570" s="870"/>
      <c r="AA570" s="870"/>
      <c r="AB570" s="870"/>
      <c r="AC570" s="870"/>
      <c r="AD570" s="870"/>
      <c r="AE570" s="870"/>
      <c r="AF570" s="870"/>
      <c r="AG570" s="870"/>
    </row>
    <row r="571" spans="1:33" s="995" customFormat="1">
      <c r="A571" s="974"/>
      <c r="D571" s="876"/>
      <c r="E571" s="974"/>
      <c r="F571" s="876"/>
      <c r="G571" s="876"/>
      <c r="H571" s="876"/>
      <c r="I571" s="876"/>
      <c r="J571" s="876"/>
      <c r="K571" s="876"/>
      <c r="L571" s="876"/>
      <c r="M571" s="876"/>
      <c r="N571" s="876"/>
      <c r="O571" s="876"/>
      <c r="P571" s="876"/>
      <c r="Q571" s="870"/>
      <c r="R571" s="870"/>
      <c r="S571" s="870"/>
      <c r="T571" s="870"/>
      <c r="U571" s="870"/>
      <c r="V571" s="870"/>
      <c r="W571" s="870"/>
      <c r="X571" s="870"/>
      <c r="Y571" s="870"/>
      <c r="Z571" s="870"/>
      <c r="AA571" s="870"/>
      <c r="AB571" s="870"/>
      <c r="AC571" s="870"/>
      <c r="AD571" s="870"/>
      <c r="AE571" s="870"/>
      <c r="AF571" s="870"/>
      <c r="AG571" s="870"/>
    </row>
    <row r="572" spans="1:33" s="995" customFormat="1">
      <c r="A572" s="974"/>
      <c r="D572" s="876"/>
      <c r="E572" s="974"/>
      <c r="F572" s="876"/>
      <c r="G572" s="876"/>
      <c r="H572" s="876"/>
      <c r="I572" s="876"/>
      <c r="J572" s="876"/>
      <c r="K572" s="876"/>
      <c r="L572" s="876"/>
      <c r="M572" s="876"/>
      <c r="N572" s="876"/>
      <c r="O572" s="876"/>
      <c r="P572" s="876"/>
      <c r="Q572" s="870"/>
      <c r="R572" s="870"/>
      <c r="S572" s="870"/>
      <c r="T572" s="870"/>
      <c r="U572" s="870"/>
      <c r="V572" s="870"/>
      <c r="W572" s="870"/>
      <c r="X572" s="870"/>
      <c r="Y572" s="870"/>
      <c r="Z572" s="870"/>
      <c r="AA572" s="870"/>
      <c r="AB572" s="870"/>
      <c r="AC572" s="870"/>
      <c r="AD572" s="870"/>
      <c r="AE572" s="870"/>
      <c r="AF572" s="870"/>
      <c r="AG572" s="870"/>
    </row>
    <row r="573" spans="1:33" s="995" customFormat="1">
      <c r="A573" s="974"/>
      <c r="D573" s="876"/>
      <c r="E573" s="974"/>
      <c r="F573" s="876"/>
      <c r="G573" s="876"/>
      <c r="H573" s="876"/>
      <c r="I573" s="876"/>
      <c r="J573" s="876"/>
      <c r="K573" s="876"/>
      <c r="L573" s="876"/>
      <c r="M573" s="876"/>
      <c r="N573" s="876"/>
      <c r="O573" s="876"/>
      <c r="P573" s="876"/>
      <c r="Q573" s="870"/>
      <c r="R573" s="870"/>
      <c r="S573" s="870"/>
      <c r="T573" s="870"/>
      <c r="U573" s="870"/>
      <c r="V573" s="870"/>
      <c r="W573" s="870"/>
      <c r="X573" s="870"/>
      <c r="Y573" s="870"/>
      <c r="Z573" s="870"/>
      <c r="AA573" s="870"/>
      <c r="AB573" s="870"/>
      <c r="AC573" s="870"/>
      <c r="AD573" s="870"/>
      <c r="AE573" s="870"/>
      <c r="AF573" s="870"/>
      <c r="AG573" s="870"/>
    </row>
    <row r="574" spans="1:33" s="995" customFormat="1">
      <c r="A574" s="974"/>
      <c r="D574" s="876"/>
      <c r="E574" s="974"/>
      <c r="F574" s="876"/>
      <c r="G574" s="876"/>
      <c r="H574" s="876"/>
      <c r="I574" s="876"/>
      <c r="J574" s="876"/>
      <c r="K574" s="876"/>
      <c r="L574" s="876"/>
      <c r="M574" s="876"/>
      <c r="N574" s="876"/>
      <c r="O574" s="876"/>
      <c r="P574" s="876"/>
      <c r="Q574" s="870"/>
      <c r="R574" s="870"/>
      <c r="S574" s="870"/>
      <c r="T574" s="870"/>
      <c r="U574" s="870"/>
      <c r="V574" s="870"/>
      <c r="W574" s="870"/>
      <c r="X574" s="870"/>
      <c r="Y574" s="870"/>
      <c r="Z574" s="870"/>
      <c r="AA574" s="870"/>
      <c r="AB574" s="870"/>
      <c r="AC574" s="870"/>
      <c r="AD574" s="870"/>
      <c r="AE574" s="870"/>
      <c r="AF574" s="870"/>
      <c r="AG574" s="870"/>
    </row>
    <row r="575" spans="1:33" s="995" customFormat="1">
      <c r="A575" s="974"/>
      <c r="D575" s="876"/>
      <c r="E575" s="974"/>
      <c r="F575" s="876"/>
      <c r="G575" s="876"/>
      <c r="H575" s="876"/>
      <c r="I575" s="876"/>
      <c r="J575" s="876"/>
      <c r="K575" s="876"/>
      <c r="L575" s="876"/>
      <c r="M575" s="876"/>
      <c r="N575" s="876"/>
      <c r="O575" s="876"/>
      <c r="P575" s="876"/>
      <c r="Q575" s="870"/>
      <c r="R575" s="870"/>
      <c r="S575" s="870"/>
      <c r="T575" s="870"/>
      <c r="U575" s="870"/>
      <c r="V575" s="870"/>
      <c r="W575" s="870"/>
      <c r="X575" s="870"/>
      <c r="Y575" s="870"/>
      <c r="Z575" s="870"/>
      <c r="AA575" s="870"/>
      <c r="AB575" s="870"/>
      <c r="AC575" s="870"/>
      <c r="AD575" s="870"/>
      <c r="AE575" s="870"/>
      <c r="AF575" s="870"/>
      <c r="AG575" s="870"/>
    </row>
    <row r="576" spans="1:33" s="995" customFormat="1">
      <c r="A576" s="974"/>
      <c r="D576" s="876"/>
      <c r="E576" s="974"/>
      <c r="F576" s="876"/>
      <c r="G576" s="876"/>
      <c r="H576" s="876"/>
      <c r="I576" s="876"/>
      <c r="J576" s="876"/>
      <c r="K576" s="876"/>
      <c r="L576" s="876"/>
      <c r="M576" s="876"/>
      <c r="N576" s="876"/>
      <c r="O576" s="876"/>
      <c r="P576" s="876"/>
      <c r="Q576" s="870"/>
      <c r="R576" s="870"/>
      <c r="S576" s="870"/>
      <c r="T576" s="870"/>
      <c r="U576" s="870"/>
      <c r="V576" s="870"/>
      <c r="W576" s="870"/>
      <c r="X576" s="870"/>
      <c r="Y576" s="870"/>
      <c r="Z576" s="870"/>
      <c r="AA576" s="870"/>
      <c r="AB576" s="870"/>
      <c r="AC576" s="870"/>
      <c r="AD576" s="870"/>
      <c r="AE576" s="870"/>
      <c r="AF576" s="870"/>
      <c r="AG576" s="870"/>
    </row>
    <row r="577" spans="1:33" s="995" customFormat="1">
      <c r="A577" s="974"/>
      <c r="D577" s="876"/>
      <c r="E577" s="974"/>
      <c r="F577" s="876"/>
      <c r="G577" s="876"/>
      <c r="H577" s="876"/>
      <c r="I577" s="876"/>
      <c r="J577" s="876"/>
      <c r="K577" s="876"/>
      <c r="L577" s="876"/>
      <c r="M577" s="876"/>
      <c r="N577" s="876"/>
      <c r="O577" s="876"/>
      <c r="P577" s="876"/>
      <c r="Q577" s="870"/>
      <c r="R577" s="870"/>
      <c r="S577" s="870"/>
      <c r="T577" s="870"/>
      <c r="U577" s="870"/>
      <c r="V577" s="870"/>
      <c r="W577" s="870"/>
      <c r="X577" s="870"/>
      <c r="Y577" s="870"/>
      <c r="Z577" s="870"/>
      <c r="AA577" s="870"/>
      <c r="AB577" s="870"/>
      <c r="AC577" s="870"/>
      <c r="AD577" s="870"/>
      <c r="AE577" s="870"/>
      <c r="AF577" s="870"/>
      <c r="AG577" s="870"/>
    </row>
    <row r="578" spans="1:33" s="995" customFormat="1">
      <c r="A578" s="974"/>
      <c r="D578" s="876"/>
      <c r="E578" s="974"/>
      <c r="F578" s="876"/>
      <c r="G578" s="876"/>
      <c r="H578" s="876"/>
      <c r="I578" s="876"/>
      <c r="J578" s="876"/>
      <c r="K578" s="876"/>
      <c r="L578" s="876"/>
      <c r="M578" s="876"/>
      <c r="N578" s="876"/>
      <c r="O578" s="876"/>
      <c r="P578" s="876"/>
      <c r="Q578" s="870"/>
      <c r="R578" s="870"/>
      <c r="S578" s="870"/>
      <c r="T578" s="870"/>
      <c r="U578" s="870"/>
      <c r="V578" s="870"/>
      <c r="W578" s="870"/>
      <c r="X578" s="870"/>
      <c r="Y578" s="870"/>
      <c r="Z578" s="870"/>
      <c r="AA578" s="870"/>
      <c r="AB578" s="870"/>
      <c r="AC578" s="870"/>
      <c r="AD578" s="870"/>
      <c r="AE578" s="870"/>
      <c r="AF578" s="870"/>
      <c r="AG578" s="870"/>
    </row>
    <row r="579" spans="1:33" s="995" customFormat="1">
      <c r="A579" s="974"/>
      <c r="D579" s="876"/>
      <c r="E579" s="974"/>
      <c r="F579" s="876"/>
      <c r="G579" s="876"/>
      <c r="H579" s="876"/>
      <c r="I579" s="876"/>
      <c r="J579" s="876"/>
      <c r="K579" s="876"/>
      <c r="L579" s="876"/>
      <c r="M579" s="876"/>
      <c r="N579" s="876"/>
      <c r="O579" s="876"/>
      <c r="P579" s="876"/>
      <c r="Q579" s="870"/>
      <c r="R579" s="870"/>
      <c r="S579" s="870"/>
      <c r="T579" s="870"/>
      <c r="U579" s="870"/>
      <c r="V579" s="870"/>
      <c r="W579" s="870"/>
      <c r="X579" s="870"/>
      <c r="Y579" s="870"/>
      <c r="Z579" s="870"/>
      <c r="AA579" s="870"/>
      <c r="AB579" s="870"/>
      <c r="AC579" s="870"/>
      <c r="AD579" s="870"/>
      <c r="AE579" s="870"/>
      <c r="AF579" s="870"/>
      <c r="AG579" s="870"/>
    </row>
    <row r="580" spans="1:33" s="995" customFormat="1">
      <c r="A580" s="974"/>
      <c r="D580" s="876"/>
      <c r="E580" s="974"/>
      <c r="F580" s="876"/>
      <c r="G580" s="876"/>
      <c r="H580" s="876"/>
      <c r="I580" s="876"/>
      <c r="J580" s="876"/>
      <c r="K580" s="876"/>
      <c r="L580" s="876"/>
      <c r="M580" s="876"/>
      <c r="N580" s="876"/>
      <c r="O580" s="876"/>
      <c r="P580" s="876"/>
      <c r="Q580" s="870"/>
      <c r="R580" s="870"/>
      <c r="S580" s="870"/>
      <c r="T580" s="870"/>
      <c r="U580" s="870"/>
      <c r="V580" s="870"/>
      <c r="W580" s="870"/>
      <c r="X580" s="870"/>
      <c r="Y580" s="870"/>
      <c r="Z580" s="870"/>
      <c r="AA580" s="870"/>
      <c r="AB580" s="870"/>
      <c r="AC580" s="870"/>
      <c r="AD580" s="870"/>
      <c r="AE580" s="870"/>
      <c r="AF580" s="870"/>
      <c r="AG580" s="870"/>
    </row>
    <row r="581" spans="1:33" s="995" customFormat="1">
      <c r="A581" s="974"/>
      <c r="D581" s="876"/>
      <c r="E581" s="974"/>
      <c r="F581" s="876"/>
      <c r="G581" s="876"/>
      <c r="H581" s="876"/>
      <c r="I581" s="876"/>
      <c r="J581" s="876"/>
      <c r="K581" s="876"/>
      <c r="L581" s="876"/>
      <c r="M581" s="876"/>
      <c r="N581" s="876"/>
      <c r="O581" s="876"/>
      <c r="P581" s="876"/>
      <c r="Q581" s="870"/>
      <c r="R581" s="870"/>
      <c r="S581" s="870"/>
      <c r="T581" s="870"/>
      <c r="U581" s="870"/>
      <c r="V581" s="870"/>
      <c r="W581" s="870"/>
      <c r="X581" s="870"/>
      <c r="Y581" s="870"/>
      <c r="Z581" s="870"/>
      <c r="AA581" s="870"/>
      <c r="AB581" s="870"/>
      <c r="AC581" s="870"/>
      <c r="AD581" s="870"/>
      <c r="AE581" s="870"/>
      <c r="AF581" s="870"/>
      <c r="AG581" s="870"/>
    </row>
    <row r="582" spans="1:33" s="995" customFormat="1">
      <c r="A582" s="974"/>
      <c r="D582" s="876"/>
      <c r="E582" s="974"/>
      <c r="F582" s="876"/>
      <c r="G582" s="876"/>
      <c r="H582" s="876"/>
      <c r="I582" s="876"/>
      <c r="J582" s="876"/>
      <c r="K582" s="876"/>
      <c r="L582" s="876"/>
      <c r="M582" s="876"/>
      <c r="N582" s="876"/>
      <c r="O582" s="876"/>
      <c r="P582" s="876"/>
      <c r="Q582" s="870"/>
      <c r="R582" s="870"/>
      <c r="S582" s="870"/>
      <c r="T582" s="870"/>
      <c r="U582" s="870"/>
      <c r="V582" s="870"/>
      <c r="W582" s="870"/>
      <c r="X582" s="870"/>
      <c r="Y582" s="870"/>
      <c r="Z582" s="870"/>
      <c r="AA582" s="870"/>
      <c r="AB582" s="870"/>
      <c r="AC582" s="870"/>
      <c r="AD582" s="870"/>
      <c r="AE582" s="870"/>
      <c r="AF582" s="870"/>
      <c r="AG582" s="870"/>
    </row>
    <row r="583" spans="1:33" s="995" customFormat="1">
      <c r="A583" s="974"/>
      <c r="D583" s="876"/>
      <c r="E583" s="974"/>
      <c r="F583" s="876"/>
      <c r="G583" s="876"/>
      <c r="H583" s="876"/>
      <c r="I583" s="876"/>
      <c r="J583" s="876"/>
      <c r="K583" s="876"/>
      <c r="L583" s="876"/>
      <c r="M583" s="876"/>
      <c r="N583" s="876"/>
      <c r="O583" s="876"/>
      <c r="P583" s="876"/>
      <c r="Q583" s="870"/>
      <c r="R583" s="870"/>
      <c r="S583" s="870"/>
      <c r="T583" s="870"/>
      <c r="U583" s="870"/>
      <c r="V583" s="870"/>
      <c r="W583" s="870"/>
      <c r="X583" s="870"/>
      <c r="Y583" s="870"/>
      <c r="Z583" s="870"/>
      <c r="AA583" s="870"/>
      <c r="AB583" s="870"/>
      <c r="AC583" s="870"/>
      <c r="AD583" s="870"/>
      <c r="AE583" s="870"/>
      <c r="AF583" s="870"/>
      <c r="AG583" s="870"/>
    </row>
    <row r="584" spans="1:33" s="995" customFormat="1">
      <c r="A584" s="974"/>
      <c r="D584" s="876"/>
      <c r="E584" s="974"/>
      <c r="F584" s="876"/>
      <c r="G584" s="876"/>
      <c r="H584" s="876"/>
      <c r="I584" s="876"/>
      <c r="J584" s="876"/>
      <c r="K584" s="876"/>
      <c r="L584" s="876"/>
      <c r="M584" s="876"/>
      <c r="N584" s="876"/>
      <c r="O584" s="876"/>
      <c r="P584" s="876"/>
      <c r="Q584" s="870"/>
      <c r="R584" s="870"/>
      <c r="S584" s="870"/>
      <c r="T584" s="870"/>
      <c r="U584" s="870"/>
      <c r="V584" s="870"/>
      <c r="W584" s="870"/>
      <c r="X584" s="870"/>
      <c r="Y584" s="870"/>
      <c r="Z584" s="870"/>
      <c r="AA584" s="870"/>
      <c r="AB584" s="870"/>
      <c r="AC584" s="870"/>
      <c r="AD584" s="870"/>
      <c r="AE584" s="870"/>
      <c r="AF584" s="870"/>
      <c r="AG584" s="870"/>
    </row>
    <row r="585" spans="1:33" s="995" customFormat="1">
      <c r="A585" s="974"/>
      <c r="D585" s="876"/>
      <c r="E585" s="974"/>
      <c r="F585" s="876"/>
      <c r="G585" s="876"/>
      <c r="H585" s="876"/>
      <c r="I585" s="876"/>
      <c r="J585" s="876"/>
      <c r="K585" s="876"/>
      <c r="L585" s="876"/>
      <c r="M585" s="876"/>
      <c r="N585" s="876"/>
      <c r="O585" s="876"/>
      <c r="P585" s="876"/>
      <c r="Q585" s="870"/>
      <c r="R585" s="870"/>
      <c r="S585" s="870"/>
      <c r="T585" s="870"/>
      <c r="U585" s="870"/>
      <c r="V585" s="870"/>
      <c r="W585" s="870"/>
      <c r="X585" s="870"/>
      <c r="Y585" s="870"/>
      <c r="Z585" s="870"/>
      <c r="AA585" s="870"/>
      <c r="AB585" s="870"/>
      <c r="AC585" s="870"/>
      <c r="AD585" s="870"/>
      <c r="AE585" s="870"/>
      <c r="AF585" s="870"/>
      <c r="AG585" s="870"/>
    </row>
    <row r="586" spans="1:33" s="995" customFormat="1">
      <c r="A586" s="974"/>
      <c r="D586" s="876"/>
      <c r="E586" s="974"/>
      <c r="F586" s="876"/>
      <c r="G586" s="876"/>
      <c r="H586" s="876"/>
      <c r="I586" s="876"/>
      <c r="J586" s="876"/>
      <c r="K586" s="876"/>
      <c r="L586" s="876"/>
      <c r="M586" s="876"/>
      <c r="N586" s="876"/>
      <c r="O586" s="876"/>
      <c r="P586" s="876"/>
      <c r="Q586" s="870"/>
      <c r="R586" s="870"/>
      <c r="S586" s="870"/>
      <c r="T586" s="870"/>
      <c r="U586" s="870"/>
      <c r="V586" s="870"/>
      <c r="W586" s="870"/>
      <c r="X586" s="870"/>
      <c r="Y586" s="870"/>
      <c r="Z586" s="870"/>
      <c r="AA586" s="870"/>
      <c r="AB586" s="870"/>
      <c r="AC586" s="870"/>
      <c r="AD586" s="870"/>
      <c r="AE586" s="870"/>
      <c r="AF586" s="870"/>
      <c r="AG586" s="870"/>
    </row>
    <row r="587" spans="1:33" s="995" customFormat="1">
      <c r="A587" s="974"/>
      <c r="D587" s="876"/>
      <c r="E587" s="974"/>
      <c r="F587" s="876"/>
      <c r="G587" s="876"/>
      <c r="H587" s="876"/>
      <c r="I587" s="876"/>
      <c r="J587" s="876"/>
      <c r="K587" s="876"/>
      <c r="L587" s="876"/>
      <c r="M587" s="876"/>
      <c r="N587" s="876"/>
      <c r="O587" s="876"/>
      <c r="P587" s="876"/>
      <c r="Q587" s="870"/>
      <c r="R587" s="870"/>
      <c r="S587" s="870"/>
      <c r="T587" s="870"/>
      <c r="U587" s="870"/>
      <c r="V587" s="870"/>
      <c r="W587" s="870"/>
      <c r="X587" s="870"/>
      <c r="Y587" s="870"/>
      <c r="Z587" s="870"/>
      <c r="AA587" s="870"/>
      <c r="AB587" s="870"/>
      <c r="AC587" s="870"/>
      <c r="AD587" s="870"/>
      <c r="AE587" s="870"/>
      <c r="AF587" s="870"/>
      <c r="AG587" s="870"/>
    </row>
    <row r="588" spans="1:33" s="995" customFormat="1">
      <c r="A588" s="974"/>
      <c r="D588" s="876"/>
      <c r="E588" s="974"/>
      <c r="F588" s="876"/>
      <c r="G588" s="876"/>
      <c r="H588" s="876"/>
      <c r="I588" s="876"/>
      <c r="J588" s="876"/>
      <c r="K588" s="876"/>
      <c r="L588" s="876"/>
      <c r="M588" s="876"/>
      <c r="N588" s="876"/>
      <c r="O588" s="876"/>
      <c r="P588" s="876"/>
      <c r="Q588" s="870"/>
      <c r="R588" s="870"/>
      <c r="S588" s="870"/>
      <c r="T588" s="870"/>
      <c r="U588" s="870"/>
      <c r="V588" s="870"/>
      <c r="W588" s="870"/>
      <c r="X588" s="870"/>
      <c r="Y588" s="870"/>
      <c r="Z588" s="870"/>
      <c r="AA588" s="870"/>
      <c r="AB588" s="870"/>
      <c r="AC588" s="870"/>
      <c r="AD588" s="870"/>
      <c r="AE588" s="870"/>
      <c r="AF588" s="870"/>
      <c r="AG588" s="870"/>
    </row>
    <row r="589" spans="1:33" s="995" customFormat="1">
      <c r="A589" s="974"/>
      <c r="D589" s="876"/>
      <c r="E589" s="974"/>
      <c r="F589" s="876"/>
      <c r="G589" s="876"/>
      <c r="H589" s="876"/>
      <c r="I589" s="876"/>
      <c r="J589" s="876"/>
      <c r="K589" s="876"/>
      <c r="L589" s="876"/>
      <c r="M589" s="876"/>
      <c r="N589" s="876"/>
      <c r="O589" s="876"/>
      <c r="P589" s="876"/>
      <c r="Q589" s="870"/>
      <c r="R589" s="870"/>
      <c r="S589" s="870"/>
      <c r="T589" s="870"/>
      <c r="U589" s="870"/>
      <c r="V589" s="870"/>
      <c r="W589" s="870"/>
      <c r="X589" s="870"/>
      <c r="Y589" s="870"/>
      <c r="Z589" s="870"/>
      <c r="AA589" s="870"/>
      <c r="AB589" s="870"/>
      <c r="AC589" s="870"/>
      <c r="AD589" s="870"/>
      <c r="AE589" s="870"/>
      <c r="AF589" s="870"/>
      <c r="AG589" s="870"/>
    </row>
    <row r="590" spans="1:33" s="995" customFormat="1">
      <c r="A590" s="974"/>
      <c r="D590" s="876"/>
      <c r="E590" s="974"/>
      <c r="F590" s="876"/>
      <c r="G590" s="876"/>
      <c r="H590" s="876"/>
      <c r="I590" s="876"/>
      <c r="J590" s="876"/>
      <c r="K590" s="876"/>
      <c r="L590" s="876"/>
      <c r="M590" s="876"/>
      <c r="N590" s="876"/>
      <c r="O590" s="876"/>
      <c r="P590" s="876"/>
      <c r="Q590" s="870"/>
      <c r="R590" s="870"/>
      <c r="S590" s="870"/>
      <c r="T590" s="870"/>
      <c r="U590" s="870"/>
      <c r="V590" s="870"/>
      <c r="W590" s="870"/>
      <c r="X590" s="870"/>
      <c r="Y590" s="870"/>
      <c r="Z590" s="870"/>
      <c r="AA590" s="870"/>
      <c r="AB590" s="870"/>
      <c r="AC590" s="870"/>
      <c r="AD590" s="870"/>
      <c r="AE590" s="870"/>
      <c r="AF590" s="870"/>
      <c r="AG590" s="870"/>
    </row>
    <row r="591" spans="1:33" s="995" customFormat="1">
      <c r="A591" s="974"/>
      <c r="D591" s="876"/>
      <c r="E591" s="974"/>
      <c r="F591" s="876"/>
      <c r="G591" s="876"/>
      <c r="H591" s="876"/>
      <c r="I591" s="876"/>
      <c r="J591" s="876"/>
      <c r="K591" s="876"/>
      <c r="L591" s="876"/>
      <c r="M591" s="876"/>
      <c r="N591" s="876"/>
      <c r="O591" s="876"/>
      <c r="P591" s="876"/>
      <c r="Q591" s="870"/>
      <c r="R591" s="870"/>
      <c r="S591" s="870"/>
      <c r="T591" s="870"/>
      <c r="U591" s="870"/>
      <c r="V591" s="870"/>
      <c r="W591" s="870"/>
      <c r="X591" s="870"/>
      <c r="Y591" s="870"/>
      <c r="Z591" s="870"/>
      <c r="AA591" s="870"/>
      <c r="AB591" s="870"/>
      <c r="AC591" s="870"/>
      <c r="AD591" s="870"/>
      <c r="AE591" s="870"/>
      <c r="AF591" s="870"/>
      <c r="AG591" s="870"/>
    </row>
    <row r="592" spans="1:33" s="995" customFormat="1">
      <c r="A592" s="974"/>
      <c r="D592" s="876"/>
      <c r="E592" s="974"/>
      <c r="F592" s="876"/>
      <c r="G592" s="876"/>
      <c r="H592" s="876"/>
      <c r="I592" s="876"/>
      <c r="J592" s="876"/>
      <c r="K592" s="876"/>
      <c r="L592" s="876"/>
      <c r="M592" s="876"/>
      <c r="N592" s="876"/>
      <c r="O592" s="876"/>
      <c r="P592" s="876"/>
      <c r="Q592" s="870"/>
      <c r="R592" s="870"/>
      <c r="S592" s="870"/>
      <c r="T592" s="870"/>
      <c r="U592" s="870"/>
      <c r="V592" s="870"/>
      <c r="W592" s="870"/>
      <c r="X592" s="870"/>
      <c r="Y592" s="870"/>
      <c r="Z592" s="870"/>
      <c r="AA592" s="870"/>
      <c r="AB592" s="870"/>
      <c r="AC592" s="870"/>
      <c r="AD592" s="870"/>
      <c r="AE592" s="870"/>
      <c r="AF592" s="870"/>
      <c r="AG592" s="870"/>
    </row>
    <row r="593" spans="1:33" s="995" customFormat="1">
      <c r="A593" s="974"/>
      <c r="D593" s="876"/>
      <c r="E593" s="974"/>
      <c r="F593" s="876"/>
      <c r="G593" s="876"/>
      <c r="H593" s="876"/>
      <c r="I593" s="876"/>
      <c r="J593" s="876"/>
      <c r="K593" s="876"/>
      <c r="L593" s="876"/>
      <c r="M593" s="876"/>
      <c r="N593" s="876"/>
      <c r="O593" s="876"/>
      <c r="P593" s="876"/>
      <c r="Q593" s="870"/>
      <c r="R593" s="870"/>
      <c r="S593" s="870"/>
      <c r="T593" s="870"/>
      <c r="U593" s="870"/>
      <c r="V593" s="870"/>
      <c r="W593" s="870"/>
      <c r="X593" s="870"/>
      <c r="Y593" s="870"/>
      <c r="Z593" s="870"/>
      <c r="AA593" s="870"/>
      <c r="AB593" s="870"/>
      <c r="AC593" s="870"/>
      <c r="AD593" s="870"/>
      <c r="AE593" s="870"/>
      <c r="AF593" s="870"/>
      <c r="AG593" s="870"/>
    </row>
    <row r="594" spans="1:33" s="995" customFormat="1">
      <c r="A594" s="974"/>
      <c r="D594" s="876"/>
      <c r="E594" s="974"/>
      <c r="F594" s="876"/>
      <c r="G594" s="876"/>
      <c r="H594" s="876"/>
      <c r="I594" s="876"/>
      <c r="J594" s="876"/>
      <c r="K594" s="876"/>
      <c r="L594" s="876"/>
      <c r="M594" s="876"/>
      <c r="N594" s="876"/>
      <c r="O594" s="876"/>
      <c r="P594" s="876"/>
      <c r="Q594" s="870"/>
      <c r="R594" s="870"/>
      <c r="S594" s="870"/>
      <c r="T594" s="870"/>
      <c r="U594" s="870"/>
      <c r="V594" s="870"/>
      <c r="W594" s="870"/>
      <c r="X594" s="870"/>
      <c r="Y594" s="870"/>
      <c r="Z594" s="870"/>
      <c r="AA594" s="870"/>
      <c r="AB594" s="870"/>
      <c r="AC594" s="870"/>
      <c r="AD594" s="870"/>
      <c r="AE594" s="870"/>
      <c r="AF594" s="870"/>
      <c r="AG594" s="870"/>
    </row>
    <row r="595" spans="1:33" s="995" customFormat="1">
      <c r="A595" s="974"/>
      <c r="D595" s="876"/>
      <c r="E595" s="974"/>
      <c r="F595" s="876"/>
      <c r="G595" s="876"/>
      <c r="H595" s="876"/>
      <c r="I595" s="876"/>
      <c r="J595" s="876"/>
      <c r="K595" s="876"/>
      <c r="L595" s="876"/>
      <c r="M595" s="876"/>
      <c r="N595" s="876"/>
      <c r="O595" s="876"/>
      <c r="P595" s="876"/>
      <c r="Q595" s="870"/>
      <c r="R595" s="870"/>
      <c r="S595" s="870"/>
      <c r="T595" s="870"/>
      <c r="U595" s="870"/>
      <c r="V595" s="870"/>
      <c r="W595" s="870"/>
      <c r="X595" s="870"/>
      <c r="Y595" s="870"/>
      <c r="Z595" s="870"/>
      <c r="AA595" s="870"/>
      <c r="AB595" s="870"/>
      <c r="AC595" s="870"/>
      <c r="AD595" s="870"/>
      <c r="AE595" s="870"/>
      <c r="AF595" s="870"/>
      <c r="AG595" s="870"/>
    </row>
    <row r="596" spans="1:33" s="995" customFormat="1">
      <c r="A596" s="974"/>
      <c r="D596" s="876"/>
      <c r="E596" s="974"/>
      <c r="F596" s="876"/>
      <c r="G596" s="876"/>
      <c r="H596" s="876"/>
      <c r="I596" s="876"/>
      <c r="J596" s="876"/>
      <c r="K596" s="876"/>
      <c r="L596" s="876"/>
      <c r="M596" s="876"/>
      <c r="N596" s="876"/>
      <c r="O596" s="876"/>
      <c r="P596" s="876"/>
      <c r="Q596" s="870"/>
      <c r="R596" s="870"/>
      <c r="S596" s="870"/>
      <c r="T596" s="870"/>
      <c r="U596" s="870"/>
      <c r="V596" s="870"/>
      <c r="W596" s="870"/>
      <c r="X596" s="870"/>
      <c r="Y596" s="870"/>
      <c r="Z596" s="870"/>
      <c r="AA596" s="870"/>
      <c r="AB596" s="870"/>
      <c r="AC596" s="870"/>
      <c r="AD596" s="870"/>
      <c r="AE596" s="870"/>
      <c r="AF596" s="870"/>
      <c r="AG596" s="870"/>
    </row>
    <row r="597" spans="1:33" s="995" customFormat="1">
      <c r="A597" s="974"/>
      <c r="D597" s="876"/>
      <c r="E597" s="974"/>
      <c r="F597" s="876"/>
      <c r="G597" s="876"/>
      <c r="H597" s="876"/>
      <c r="I597" s="876"/>
      <c r="J597" s="876"/>
      <c r="K597" s="876"/>
      <c r="L597" s="876"/>
      <c r="M597" s="876"/>
      <c r="N597" s="876"/>
      <c r="O597" s="876"/>
      <c r="P597" s="876"/>
      <c r="Q597" s="870"/>
      <c r="R597" s="870"/>
      <c r="S597" s="870"/>
      <c r="T597" s="870"/>
      <c r="U597" s="870"/>
      <c r="V597" s="870"/>
      <c r="W597" s="870"/>
      <c r="X597" s="870"/>
      <c r="Y597" s="870"/>
      <c r="Z597" s="870"/>
      <c r="AA597" s="870"/>
      <c r="AB597" s="870"/>
      <c r="AC597" s="870"/>
      <c r="AD597" s="870"/>
      <c r="AE597" s="870"/>
      <c r="AF597" s="870"/>
      <c r="AG597" s="870"/>
    </row>
    <row r="598" spans="1:33" s="995" customFormat="1">
      <c r="A598" s="974"/>
      <c r="D598" s="876"/>
      <c r="E598" s="974"/>
      <c r="F598" s="876"/>
      <c r="G598" s="876"/>
      <c r="H598" s="876"/>
      <c r="I598" s="876"/>
      <c r="J598" s="876"/>
      <c r="K598" s="876"/>
      <c r="L598" s="876"/>
      <c r="M598" s="876"/>
      <c r="N598" s="876"/>
      <c r="O598" s="876"/>
      <c r="P598" s="876"/>
      <c r="Q598" s="870"/>
      <c r="R598" s="870"/>
      <c r="S598" s="870"/>
      <c r="T598" s="870"/>
      <c r="U598" s="870"/>
      <c r="V598" s="870"/>
      <c r="W598" s="870"/>
      <c r="X598" s="870"/>
      <c r="Y598" s="870"/>
      <c r="Z598" s="870"/>
      <c r="AA598" s="870"/>
      <c r="AB598" s="870"/>
      <c r="AC598" s="870"/>
      <c r="AD598" s="870"/>
      <c r="AE598" s="870"/>
      <c r="AF598" s="870"/>
      <c r="AG598" s="870"/>
    </row>
    <row r="599" spans="1:33" s="995" customFormat="1">
      <c r="A599" s="974"/>
      <c r="D599" s="876"/>
      <c r="E599" s="974"/>
      <c r="F599" s="876"/>
      <c r="G599" s="876"/>
      <c r="H599" s="876"/>
      <c r="I599" s="876"/>
      <c r="J599" s="876"/>
      <c r="K599" s="876"/>
      <c r="L599" s="876"/>
      <c r="M599" s="876"/>
      <c r="N599" s="876"/>
      <c r="O599" s="876"/>
      <c r="P599" s="876"/>
      <c r="Q599" s="870"/>
      <c r="R599" s="870"/>
      <c r="S599" s="870"/>
      <c r="T599" s="870"/>
      <c r="U599" s="870"/>
      <c r="V599" s="870"/>
      <c r="W599" s="870"/>
      <c r="X599" s="870"/>
      <c r="Y599" s="870"/>
      <c r="Z599" s="870"/>
      <c r="AA599" s="870"/>
      <c r="AB599" s="870"/>
      <c r="AC599" s="870"/>
      <c r="AD599" s="870"/>
      <c r="AE599" s="870"/>
      <c r="AF599" s="870"/>
      <c r="AG599" s="870"/>
    </row>
    <row r="600" spans="1:33" s="995" customFormat="1">
      <c r="A600" s="974"/>
      <c r="D600" s="876"/>
      <c r="E600" s="974"/>
      <c r="F600" s="876"/>
      <c r="G600" s="876"/>
      <c r="H600" s="876"/>
      <c r="I600" s="876"/>
      <c r="J600" s="876"/>
      <c r="K600" s="876"/>
      <c r="L600" s="876"/>
      <c r="M600" s="876"/>
      <c r="N600" s="876"/>
      <c r="O600" s="876"/>
      <c r="P600" s="876"/>
      <c r="Q600" s="870"/>
      <c r="R600" s="870"/>
      <c r="S600" s="870"/>
      <c r="T600" s="870"/>
      <c r="U600" s="870"/>
      <c r="V600" s="870"/>
      <c r="W600" s="870"/>
      <c r="X600" s="870"/>
      <c r="Y600" s="870"/>
      <c r="Z600" s="870"/>
      <c r="AA600" s="870"/>
      <c r="AB600" s="870"/>
      <c r="AC600" s="870"/>
      <c r="AD600" s="870"/>
      <c r="AE600" s="870"/>
      <c r="AF600" s="870"/>
      <c r="AG600" s="870"/>
    </row>
    <row r="601" spans="1:33" s="995" customFormat="1">
      <c r="A601" s="974"/>
      <c r="D601" s="876"/>
      <c r="E601" s="974"/>
      <c r="F601" s="876"/>
      <c r="G601" s="876"/>
      <c r="H601" s="876"/>
      <c r="I601" s="876"/>
      <c r="J601" s="876"/>
      <c r="K601" s="876"/>
      <c r="L601" s="876"/>
      <c r="M601" s="876"/>
      <c r="N601" s="876"/>
      <c r="O601" s="876"/>
      <c r="P601" s="876"/>
      <c r="Q601" s="870"/>
      <c r="R601" s="870"/>
      <c r="S601" s="870"/>
      <c r="T601" s="870"/>
      <c r="U601" s="870"/>
      <c r="V601" s="870"/>
      <c r="W601" s="870"/>
      <c r="X601" s="870"/>
      <c r="Y601" s="870"/>
      <c r="Z601" s="870"/>
      <c r="AA601" s="870"/>
      <c r="AB601" s="870"/>
      <c r="AC601" s="870"/>
      <c r="AD601" s="870"/>
      <c r="AE601" s="870"/>
      <c r="AF601" s="870"/>
      <c r="AG601" s="870"/>
    </row>
    <row r="602" spans="1:33" s="995" customFormat="1">
      <c r="A602" s="974"/>
      <c r="D602" s="876"/>
      <c r="E602" s="974"/>
      <c r="F602" s="876"/>
      <c r="G602" s="876"/>
      <c r="H602" s="876"/>
      <c r="I602" s="876"/>
      <c r="J602" s="876"/>
      <c r="K602" s="876"/>
      <c r="L602" s="876"/>
      <c r="M602" s="876"/>
      <c r="N602" s="876"/>
      <c r="O602" s="876"/>
      <c r="P602" s="876"/>
      <c r="Q602" s="870"/>
      <c r="R602" s="870"/>
      <c r="S602" s="870"/>
      <c r="T602" s="870"/>
      <c r="U602" s="870"/>
      <c r="V602" s="870"/>
      <c r="W602" s="870"/>
      <c r="X602" s="870"/>
      <c r="Y602" s="870"/>
      <c r="Z602" s="870"/>
      <c r="AA602" s="870"/>
      <c r="AB602" s="870"/>
      <c r="AC602" s="870"/>
      <c r="AD602" s="870"/>
      <c r="AE602" s="870"/>
      <c r="AF602" s="870"/>
      <c r="AG602" s="870"/>
    </row>
    <row r="603" spans="1:33" s="995" customFormat="1">
      <c r="A603" s="974"/>
      <c r="D603" s="876"/>
      <c r="E603" s="974"/>
      <c r="F603" s="876"/>
      <c r="G603" s="876"/>
      <c r="H603" s="876"/>
      <c r="I603" s="876"/>
      <c r="J603" s="876"/>
      <c r="K603" s="876"/>
      <c r="L603" s="876"/>
      <c r="M603" s="876"/>
      <c r="N603" s="876"/>
      <c r="O603" s="876"/>
      <c r="P603" s="876"/>
      <c r="Q603" s="870"/>
      <c r="R603" s="870"/>
      <c r="S603" s="870"/>
      <c r="T603" s="870"/>
      <c r="U603" s="870"/>
      <c r="V603" s="870"/>
      <c r="W603" s="870"/>
      <c r="X603" s="870"/>
      <c r="Y603" s="870"/>
      <c r="Z603" s="870"/>
      <c r="AA603" s="870"/>
      <c r="AB603" s="870"/>
      <c r="AC603" s="870"/>
      <c r="AD603" s="870"/>
      <c r="AE603" s="870"/>
      <c r="AF603" s="870"/>
      <c r="AG603" s="870"/>
    </row>
    <row r="604" spans="1:33" s="995" customFormat="1">
      <c r="A604" s="974"/>
      <c r="D604" s="876"/>
      <c r="E604" s="974"/>
      <c r="F604" s="876"/>
      <c r="G604" s="876"/>
      <c r="H604" s="876"/>
      <c r="I604" s="876"/>
      <c r="J604" s="876"/>
      <c r="K604" s="876"/>
      <c r="L604" s="876"/>
      <c r="M604" s="876"/>
      <c r="N604" s="876"/>
      <c r="O604" s="876"/>
      <c r="P604" s="876"/>
      <c r="Q604" s="870"/>
      <c r="R604" s="870"/>
      <c r="S604" s="870"/>
      <c r="T604" s="870"/>
      <c r="U604" s="870"/>
      <c r="V604" s="870"/>
      <c r="W604" s="870"/>
      <c r="X604" s="870"/>
      <c r="Y604" s="870"/>
      <c r="Z604" s="870"/>
      <c r="AA604" s="870"/>
      <c r="AB604" s="870"/>
      <c r="AC604" s="870"/>
      <c r="AD604" s="870"/>
      <c r="AE604" s="870"/>
      <c r="AF604" s="870"/>
      <c r="AG604" s="870"/>
    </row>
    <row r="605" spans="1:33" s="995" customFormat="1">
      <c r="A605" s="974"/>
      <c r="D605" s="876"/>
      <c r="E605" s="974"/>
      <c r="F605" s="876"/>
      <c r="G605" s="876"/>
      <c r="H605" s="876"/>
      <c r="I605" s="876"/>
      <c r="J605" s="876"/>
      <c r="K605" s="876"/>
      <c r="L605" s="876"/>
      <c r="M605" s="876"/>
      <c r="N605" s="876"/>
      <c r="O605" s="876"/>
      <c r="P605" s="876"/>
      <c r="Q605" s="870"/>
      <c r="R605" s="870"/>
      <c r="S605" s="870"/>
      <c r="T605" s="870"/>
      <c r="U605" s="870"/>
      <c r="V605" s="870"/>
      <c r="W605" s="870"/>
      <c r="X605" s="870"/>
      <c r="Y605" s="870"/>
      <c r="Z605" s="870"/>
      <c r="AA605" s="870"/>
      <c r="AB605" s="870"/>
      <c r="AC605" s="870"/>
      <c r="AD605" s="870"/>
      <c r="AE605" s="870"/>
      <c r="AF605" s="870"/>
      <c r="AG605" s="870"/>
    </row>
    <row r="606" spans="1:33" s="995" customFormat="1">
      <c r="A606" s="974"/>
      <c r="D606" s="876"/>
      <c r="E606" s="974"/>
      <c r="F606" s="876"/>
      <c r="G606" s="876"/>
      <c r="H606" s="876"/>
      <c r="I606" s="876"/>
      <c r="J606" s="876"/>
      <c r="K606" s="876"/>
      <c r="L606" s="876"/>
      <c r="M606" s="876"/>
      <c r="N606" s="876"/>
      <c r="O606" s="876"/>
      <c r="P606" s="876"/>
      <c r="Q606" s="870"/>
      <c r="R606" s="870"/>
      <c r="S606" s="870"/>
      <c r="T606" s="870"/>
      <c r="U606" s="870"/>
      <c r="V606" s="870"/>
      <c r="W606" s="870"/>
      <c r="X606" s="870"/>
      <c r="Y606" s="870"/>
      <c r="Z606" s="870"/>
      <c r="AA606" s="870"/>
      <c r="AB606" s="870"/>
      <c r="AC606" s="870"/>
      <c r="AD606" s="870"/>
      <c r="AE606" s="870"/>
      <c r="AF606" s="870"/>
      <c r="AG606" s="870"/>
    </row>
    <row r="607" spans="1:33" s="995" customFormat="1">
      <c r="A607" s="974"/>
      <c r="D607" s="876"/>
      <c r="E607" s="974"/>
      <c r="F607" s="876"/>
      <c r="G607" s="876"/>
      <c r="H607" s="876"/>
      <c r="I607" s="876"/>
      <c r="J607" s="876"/>
      <c r="K607" s="876"/>
      <c r="L607" s="876"/>
      <c r="M607" s="876"/>
      <c r="N607" s="876"/>
      <c r="O607" s="876"/>
      <c r="P607" s="876"/>
      <c r="Q607" s="870"/>
      <c r="R607" s="870"/>
      <c r="S607" s="870"/>
      <c r="T607" s="870"/>
      <c r="U607" s="870"/>
      <c r="V607" s="870"/>
      <c r="W607" s="870"/>
      <c r="X607" s="870"/>
      <c r="Y607" s="870"/>
      <c r="Z607" s="870"/>
      <c r="AA607" s="870"/>
      <c r="AB607" s="870"/>
      <c r="AC607" s="870"/>
      <c r="AD607" s="870"/>
      <c r="AE607" s="870"/>
      <c r="AF607" s="870"/>
      <c r="AG607" s="870"/>
    </row>
    <row r="608" spans="1:33" s="995" customFormat="1">
      <c r="A608" s="974"/>
      <c r="D608" s="876"/>
      <c r="E608" s="974"/>
      <c r="F608" s="876"/>
      <c r="G608" s="876"/>
      <c r="H608" s="876"/>
      <c r="I608" s="876"/>
      <c r="J608" s="876"/>
      <c r="K608" s="876"/>
      <c r="L608" s="876"/>
      <c r="M608" s="876"/>
      <c r="N608" s="876"/>
      <c r="O608" s="876"/>
      <c r="P608" s="876"/>
      <c r="Q608" s="870"/>
      <c r="R608" s="870"/>
      <c r="S608" s="870"/>
      <c r="T608" s="870"/>
      <c r="U608" s="870"/>
      <c r="V608" s="870"/>
      <c r="W608" s="870"/>
      <c r="X608" s="870"/>
      <c r="Y608" s="870"/>
      <c r="Z608" s="870"/>
      <c r="AA608" s="870"/>
      <c r="AB608" s="870"/>
      <c r="AC608" s="870"/>
      <c r="AD608" s="870"/>
      <c r="AE608" s="870"/>
      <c r="AF608" s="870"/>
      <c r="AG608" s="870"/>
    </row>
    <row r="609" spans="1:33" s="995" customFormat="1">
      <c r="A609" s="974"/>
      <c r="D609" s="876"/>
      <c r="E609" s="974"/>
      <c r="F609" s="876"/>
      <c r="G609" s="876"/>
      <c r="H609" s="876"/>
      <c r="I609" s="876"/>
      <c r="J609" s="876"/>
      <c r="K609" s="876"/>
      <c r="L609" s="876"/>
      <c r="M609" s="876"/>
      <c r="N609" s="876"/>
      <c r="O609" s="876"/>
      <c r="P609" s="876"/>
      <c r="Q609" s="870"/>
      <c r="R609" s="870"/>
      <c r="S609" s="870"/>
      <c r="T609" s="870"/>
      <c r="U609" s="870"/>
      <c r="V609" s="870"/>
      <c r="W609" s="870"/>
      <c r="X609" s="870"/>
      <c r="Y609" s="870"/>
      <c r="Z609" s="870"/>
      <c r="AA609" s="870"/>
      <c r="AB609" s="870"/>
      <c r="AC609" s="870"/>
      <c r="AD609" s="870"/>
      <c r="AE609" s="870"/>
      <c r="AF609" s="870"/>
      <c r="AG609" s="870"/>
    </row>
    <row r="610" spans="1:33" s="995" customFormat="1">
      <c r="A610" s="974"/>
      <c r="D610" s="876"/>
      <c r="E610" s="974"/>
      <c r="F610" s="876"/>
      <c r="G610" s="876"/>
      <c r="H610" s="876"/>
      <c r="I610" s="876"/>
      <c r="J610" s="876"/>
      <c r="K610" s="876"/>
      <c r="L610" s="876"/>
      <c r="M610" s="876"/>
      <c r="N610" s="876"/>
      <c r="O610" s="876"/>
      <c r="P610" s="876"/>
      <c r="Q610" s="870"/>
      <c r="R610" s="870"/>
      <c r="S610" s="870"/>
      <c r="T610" s="870"/>
      <c r="U610" s="870"/>
      <c r="V610" s="870"/>
      <c r="W610" s="870"/>
      <c r="X610" s="870"/>
      <c r="Y610" s="870"/>
      <c r="Z610" s="870"/>
      <c r="AA610" s="870"/>
      <c r="AB610" s="870"/>
      <c r="AC610" s="870"/>
      <c r="AD610" s="870"/>
      <c r="AE610" s="870"/>
      <c r="AF610" s="870"/>
      <c r="AG610" s="870"/>
    </row>
    <row r="611" spans="1:33" s="995" customFormat="1">
      <c r="A611" s="974"/>
      <c r="D611" s="876"/>
      <c r="E611" s="974"/>
      <c r="F611" s="876"/>
      <c r="G611" s="876"/>
      <c r="H611" s="876"/>
      <c r="I611" s="876"/>
      <c r="J611" s="876"/>
      <c r="K611" s="876"/>
      <c r="L611" s="876"/>
      <c r="M611" s="876"/>
      <c r="N611" s="876"/>
      <c r="O611" s="876"/>
      <c r="P611" s="876"/>
      <c r="Q611" s="870"/>
      <c r="R611" s="870"/>
      <c r="S611" s="870"/>
      <c r="T611" s="870"/>
      <c r="U611" s="870"/>
      <c r="V611" s="870"/>
      <c r="W611" s="870"/>
      <c r="X611" s="870"/>
      <c r="Y611" s="870"/>
      <c r="Z611" s="870"/>
      <c r="AA611" s="870"/>
      <c r="AB611" s="870"/>
      <c r="AC611" s="870"/>
      <c r="AD611" s="870"/>
      <c r="AE611" s="870"/>
      <c r="AF611" s="870"/>
      <c r="AG611" s="870"/>
    </row>
    <row r="612" spans="1:33" s="995" customFormat="1">
      <c r="A612" s="974"/>
      <c r="D612" s="876"/>
      <c r="E612" s="974"/>
      <c r="F612" s="876"/>
      <c r="G612" s="876"/>
      <c r="H612" s="876"/>
      <c r="I612" s="876"/>
      <c r="J612" s="876"/>
      <c r="K612" s="876"/>
      <c r="L612" s="876"/>
      <c r="M612" s="876"/>
      <c r="N612" s="876"/>
      <c r="O612" s="876"/>
      <c r="P612" s="876"/>
      <c r="Q612" s="870"/>
      <c r="R612" s="870"/>
      <c r="S612" s="870"/>
      <c r="T612" s="870"/>
      <c r="U612" s="870"/>
      <c r="V612" s="870"/>
      <c r="W612" s="870"/>
      <c r="X612" s="870"/>
      <c r="Y612" s="870"/>
      <c r="Z612" s="870"/>
      <c r="AA612" s="870"/>
      <c r="AB612" s="870"/>
      <c r="AC612" s="870"/>
      <c r="AD612" s="870"/>
      <c r="AE612" s="870"/>
      <c r="AF612" s="870"/>
      <c r="AG612" s="870"/>
    </row>
    <row r="613" spans="1:33" s="995" customFormat="1">
      <c r="A613" s="974"/>
      <c r="D613" s="876"/>
      <c r="E613" s="974"/>
      <c r="F613" s="876"/>
      <c r="G613" s="876"/>
      <c r="H613" s="876"/>
      <c r="I613" s="876"/>
      <c r="J613" s="876"/>
      <c r="K613" s="876"/>
      <c r="L613" s="876"/>
      <c r="M613" s="876"/>
      <c r="N613" s="876"/>
      <c r="O613" s="876"/>
      <c r="P613" s="876"/>
      <c r="Q613" s="870"/>
      <c r="R613" s="870"/>
      <c r="S613" s="870"/>
      <c r="T613" s="870"/>
      <c r="U613" s="870"/>
      <c r="V613" s="870"/>
      <c r="W613" s="870"/>
      <c r="X613" s="870"/>
      <c r="Y613" s="870"/>
      <c r="Z613" s="870"/>
      <c r="AA613" s="870"/>
      <c r="AB613" s="870"/>
      <c r="AC613" s="870"/>
      <c r="AD613" s="870"/>
      <c r="AE613" s="870"/>
      <c r="AF613" s="870"/>
      <c r="AG613" s="870"/>
    </row>
    <row r="614" spans="1:33" s="995" customFormat="1">
      <c r="A614" s="974"/>
      <c r="D614" s="876"/>
      <c r="E614" s="974"/>
      <c r="F614" s="876"/>
      <c r="G614" s="876"/>
      <c r="H614" s="876"/>
      <c r="I614" s="876"/>
      <c r="J614" s="876"/>
      <c r="K614" s="876"/>
      <c r="L614" s="876"/>
      <c r="M614" s="876"/>
      <c r="N614" s="876"/>
      <c r="O614" s="876"/>
      <c r="P614" s="876"/>
      <c r="Q614" s="870"/>
      <c r="R614" s="870"/>
      <c r="S614" s="870"/>
      <c r="T614" s="870"/>
      <c r="U614" s="870"/>
      <c r="V614" s="870"/>
      <c r="W614" s="870"/>
      <c r="X614" s="870"/>
      <c r="Y614" s="870"/>
      <c r="Z614" s="870"/>
      <c r="AA614" s="870"/>
      <c r="AB614" s="870"/>
      <c r="AC614" s="870"/>
      <c r="AD614" s="870"/>
      <c r="AE614" s="870"/>
      <c r="AF614" s="870"/>
      <c r="AG614" s="870"/>
    </row>
    <row r="615" spans="1:33" s="995" customFormat="1">
      <c r="A615" s="974"/>
      <c r="D615" s="876"/>
      <c r="E615" s="974"/>
      <c r="F615" s="876"/>
      <c r="G615" s="876"/>
      <c r="H615" s="876"/>
      <c r="I615" s="876"/>
      <c r="J615" s="876"/>
      <c r="K615" s="876"/>
      <c r="L615" s="876"/>
      <c r="M615" s="876"/>
      <c r="N615" s="876"/>
      <c r="O615" s="876"/>
      <c r="P615" s="876"/>
      <c r="Q615" s="870"/>
      <c r="R615" s="870"/>
      <c r="S615" s="870"/>
      <c r="T615" s="870"/>
      <c r="U615" s="870"/>
      <c r="V615" s="870"/>
      <c r="W615" s="870"/>
      <c r="X615" s="870"/>
      <c r="Y615" s="870"/>
      <c r="Z615" s="870"/>
      <c r="AA615" s="870"/>
      <c r="AB615" s="870"/>
      <c r="AC615" s="870"/>
      <c r="AD615" s="870"/>
      <c r="AE615" s="870"/>
      <c r="AF615" s="870"/>
      <c r="AG615" s="870"/>
    </row>
    <row r="616" spans="1:33" s="995" customFormat="1">
      <c r="A616" s="974"/>
      <c r="D616" s="876"/>
      <c r="E616" s="974"/>
      <c r="F616" s="876"/>
      <c r="G616" s="876"/>
      <c r="H616" s="876"/>
      <c r="I616" s="876"/>
      <c r="J616" s="876"/>
      <c r="K616" s="876"/>
      <c r="L616" s="876"/>
      <c r="M616" s="876"/>
      <c r="N616" s="876"/>
      <c r="O616" s="876"/>
      <c r="P616" s="876"/>
      <c r="Q616" s="870"/>
      <c r="R616" s="870"/>
      <c r="S616" s="870"/>
      <c r="T616" s="870"/>
      <c r="U616" s="870"/>
      <c r="V616" s="870"/>
      <c r="W616" s="870"/>
      <c r="X616" s="870"/>
      <c r="Y616" s="870"/>
      <c r="Z616" s="870"/>
      <c r="AA616" s="870"/>
      <c r="AB616" s="870"/>
      <c r="AC616" s="870"/>
      <c r="AD616" s="870"/>
      <c r="AE616" s="870"/>
      <c r="AF616" s="870"/>
      <c r="AG616" s="870"/>
    </row>
    <row r="617" spans="1:33" s="995" customFormat="1">
      <c r="A617" s="974"/>
      <c r="D617" s="876"/>
      <c r="E617" s="974"/>
      <c r="F617" s="876"/>
      <c r="G617" s="876"/>
      <c r="H617" s="876"/>
      <c r="I617" s="876"/>
      <c r="J617" s="876"/>
      <c r="K617" s="876"/>
      <c r="L617" s="876"/>
      <c r="M617" s="876"/>
      <c r="N617" s="876"/>
      <c r="O617" s="876"/>
      <c r="P617" s="876"/>
      <c r="Q617" s="870"/>
      <c r="R617" s="870"/>
      <c r="S617" s="870"/>
      <c r="T617" s="870"/>
      <c r="U617" s="870"/>
      <c r="V617" s="870"/>
      <c r="W617" s="870"/>
      <c r="X617" s="870"/>
      <c r="Y617" s="870"/>
      <c r="Z617" s="870"/>
      <c r="AA617" s="870"/>
      <c r="AB617" s="870"/>
      <c r="AC617" s="870"/>
      <c r="AD617" s="870"/>
      <c r="AE617" s="870"/>
      <c r="AF617" s="870"/>
      <c r="AG617" s="870"/>
    </row>
    <row r="618" spans="1:33" s="995" customFormat="1">
      <c r="A618" s="974"/>
      <c r="D618" s="876"/>
      <c r="E618" s="974"/>
      <c r="F618" s="876"/>
      <c r="G618" s="876"/>
      <c r="H618" s="876"/>
      <c r="I618" s="876"/>
      <c r="J618" s="876"/>
      <c r="K618" s="876"/>
      <c r="L618" s="876"/>
      <c r="M618" s="876"/>
      <c r="N618" s="876"/>
      <c r="O618" s="876"/>
      <c r="P618" s="876"/>
      <c r="Q618" s="870"/>
      <c r="R618" s="870"/>
      <c r="S618" s="870"/>
      <c r="T618" s="870"/>
      <c r="U618" s="870"/>
      <c r="V618" s="870"/>
      <c r="W618" s="870"/>
      <c r="X618" s="870"/>
      <c r="Y618" s="870"/>
      <c r="Z618" s="870"/>
      <c r="AA618" s="870"/>
      <c r="AB618" s="870"/>
      <c r="AC618" s="870"/>
      <c r="AD618" s="870"/>
      <c r="AE618" s="870"/>
      <c r="AF618" s="870"/>
      <c r="AG618" s="870"/>
    </row>
    <row r="619" spans="1:33" s="995" customFormat="1">
      <c r="A619" s="974"/>
      <c r="D619" s="876"/>
      <c r="E619" s="974"/>
      <c r="F619" s="876"/>
      <c r="G619" s="876"/>
      <c r="H619" s="876"/>
      <c r="I619" s="876"/>
      <c r="J619" s="876"/>
      <c r="K619" s="876"/>
      <c r="L619" s="876"/>
      <c r="M619" s="876"/>
      <c r="N619" s="876"/>
      <c r="O619" s="876"/>
      <c r="P619" s="876"/>
      <c r="Q619" s="870"/>
      <c r="R619" s="870"/>
      <c r="S619" s="870"/>
      <c r="T619" s="870"/>
      <c r="U619" s="870"/>
      <c r="V619" s="870"/>
      <c r="W619" s="870"/>
      <c r="X619" s="870"/>
      <c r="Y619" s="870"/>
      <c r="Z619" s="870"/>
      <c r="AA619" s="870"/>
      <c r="AB619" s="870"/>
      <c r="AC619" s="870"/>
      <c r="AD619" s="870"/>
      <c r="AE619" s="870"/>
      <c r="AF619" s="870"/>
      <c r="AG619" s="870"/>
    </row>
    <row r="620" spans="1:33" s="995" customFormat="1">
      <c r="A620" s="974"/>
      <c r="D620" s="876"/>
      <c r="E620" s="974"/>
      <c r="F620" s="876"/>
      <c r="G620" s="876"/>
      <c r="H620" s="876"/>
      <c r="I620" s="876"/>
      <c r="J620" s="876"/>
      <c r="K620" s="876"/>
      <c r="L620" s="876"/>
      <c r="M620" s="876"/>
      <c r="N620" s="876"/>
      <c r="O620" s="876"/>
      <c r="P620" s="876"/>
      <c r="Q620" s="870"/>
      <c r="R620" s="870"/>
      <c r="S620" s="870"/>
      <c r="T620" s="870"/>
      <c r="U620" s="870"/>
      <c r="V620" s="870"/>
      <c r="W620" s="870"/>
      <c r="X620" s="870"/>
      <c r="Y620" s="870"/>
      <c r="Z620" s="870"/>
      <c r="AA620" s="870"/>
      <c r="AB620" s="870"/>
      <c r="AC620" s="870"/>
      <c r="AD620" s="870"/>
      <c r="AE620" s="870"/>
      <c r="AF620" s="870"/>
      <c r="AG620" s="870"/>
    </row>
    <row r="621" spans="1:33" s="995" customFormat="1">
      <c r="A621" s="974"/>
      <c r="D621" s="876"/>
      <c r="E621" s="974"/>
      <c r="F621" s="876"/>
      <c r="G621" s="876"/>
      <c r="H621" s="876"/>
      <c r="I621" s="876"/>
      <c r="J621" s="876"/>
      <c r="K621" s="876"/>
      <c r="L621" s="876"/>
      <c r="M621" s="876"/>
      <c r="N621" s="876"/>
      <c r="O621" s="876"/>
      <c r="P621" s="876"/>
      <c r="Q621" s="870"/>
      <c r="R621" s="870"/>
      <c r="S621" s="870"/>
      <c r="T621" s="870"/>
      <c r="U621" s="870"/>
      <c r="V621" s="870"/>
      <c r="W621" s="870"/>
      <c r="X621" s="870"/>
      <c r="Y621" s="870"/>
      <c r="Z621" s="870"/>
      <c r="AA621" s="870"/>
      <c r="AB621" s="870"/>
      <c r="AC621" s="870"/>
      <c r="AD621" s="870"/>
      <c r="AE621" s="870"/>
      <c r="AF621" s="870"/>
      <c r="AG621" s="870"/>
    </row>
    <row r="622" spans="1:33" s="995" customFormat="1">
      <c r="A622" s="974"/>
      <c r="D622" s="876"/>
      <c r="E622" s="974"/>
      <c r="F622" s="876"/>
      <c r="G622" s="876"/>
      <c r="H622" s="876"/>
      <c r="I622" s="876"/>
      <c r="J622" s="876"/>
      <c r="K622" s="876"/>
      <c r="L622" s="876"/>
      <c r="M622" s="876"/>
      <c r="N622" s="876"/>
      <c r="O622" s="876"/>
      <c r="P622" s="876"/>
      <c r="Q622" s="870"/>
      <c r="R622" s="870"/>
      <c r="S622" s="870"/>
      <c r="T622" s="870"/>
      <c r="U622" s="870"/>
      <c r="V622" s="870"/>
      <c r="W622" s="870"/>
      <c r="X622" s="870"/>
      <c r="Y622" s="870"/>
      <c r="Z622" s="870"/>
      <c r="AA622" s="870"/>
      <c r="AB622" s="870"/>
      <c r="AC622" s="870"/>
      <c r="AD622" s="870"/>
      <c r="AE622" s="870"/>
      <c r="AF622" s="870"/>
      <c r="AG622" s="870"/>
    </row>
    <row r="623" spans="1:33" s="995" customFormat="1">
      <c r="A623" s="974"/>
      <c r="D623" s="876"/>
      <c r="E623" s="974"/>
      <c r="F623" s="876"/>
      <c r="G623" s="876"/>
      <c r="H623" s="876"/>
      <c r="I623" s="876"/>
      <c r="J623" s="876"/>
      <c r="K623" s="876"/>
      <c r="L623" s="876"/>
      <c r="M623" s="876"/>
      <c r="N623" s="876"/>
      <c r="O623" s="876"/>
      <c r="P623" s="876"/>
      <c r="Q623" s="870"/>
      <c r="R623" s="870"/>
      <c r="S623" s="870"/>
      <c r="T623" s="870"/>
      <c r="U623" s="870"/>
      <c r="V623" s="870"/>
      <c r="W623" s="870"/>
      <c r="X623" s="870"/>
      <c r="Y623" s="870"/>
      <c r="Z623" s="870"/>
      <c r="AA623" s="870"/>
      <c r="AB623" s="870"/>
      <c r="AC623" s="870"/>
      <c r="AD623" s="870"/>
      <c r="AE623" s="870"/>
      <c r="AF623" s="870"/>
      <c r="AG623" s="870"/>
    </row>
    <row r="624" spans="1:33" s="995" customFormat="1">
      <c r="A624" s="974"/>
      <c r="D624" s="876"/>
      <c r="E624" s="974"/>
      <c r="F624" s="876"/>
      <c r="G624" s="876"/>
      <c r="H624" s="876"/>
      <c r="I624" s="876"/>
      <c r="J624" s="876"/>
      <c r="K624" s="876"/>
      <c r="L624" s="876"/>
      <c r="M624" s="876"/>
      <c r="N624" s="876"/>
      <c r="O624" s="876"/>
      <c r="P624" s="876"/>
      <c r="Q624" s="870"/>
      <c r="R624" s="870"/>
      <c r="S624" s="870"/>
      <c r="T624" s="870"/>
      <c r="U624" s="870"/>
      <c r="V624" s="870"/>
      <c r="W624" s="870"/>
      <c r="X624" s="870"/>
      <c r="Y624" s="870"/>
      <c r="Z624" s="870"/>
      <c r="AA624" s="870"/>
      <c r="AB624" s="870"/>
      <c r="AC624" s="870"/>
      <c r="AD624" s="870"/>
      <c r="AE624" s="870"/>
      <c r="AF624" s="870"/>
      <c r="AG624" s="870"/>
    </row>
    <row r="625" spans="1:33" s="995" customFormat="1">
      <c r="A625" s="974"/>
      <c r="D625" s="876"/>
      <c r="E625" s="974"/>
      <c r="F625" s="876"/>
      <c r="G625" s="876"/>
      <c r="H625" s="876"/>
      <c r="I625" s="876"/>
      <c r="J625" s="876"/>
      <c r="K625" s="876"/>
      <c r="L625" s="876"/>
      <c r="M625" s="876"/>
      <c r="N625" s="876"/>
      <c r="O625" s="876"/>
      <c r="P625" s="876"/>
      <c r="Q625" s="870"/>
      <c r="R625" s="870"/>
      <c r="S625" s="870"/>
      <c r="T625" s="870"/>
      <c r="U625" s="870"/>
      <c r="V625" s="870"/>
      <c r="W625" s="870"/>
      <c r="X625" s="870"/>
      <c r="Y625" s="870"/>
      <c r="Z625" s="870"/>
      <c r="AA625" s="870"/>
      <c r="AB625" s="870"/>
      <c r="AC625" s="870"/>
      <c r="AD625" s="870"/>
      <c r="AE625" s="870"/>
      <c r="AF625" s="870"/>
      <c r="AG625" s="870"/>
    </row>
    <row r="626" spans="1:33" s="995" customFormat="1">
      <c r="A626" s="974"/>
      <c r="D626" s="876"/>
      <c r="E626" s="974"/>
      <c r="F626" s="876"/>
      <c r="G626" s="876"/>
      <c r="H626" s="876"/>
      <c r="I626" s="876"/>
      <c r="J626" s="876"/>
      <c r="K626" s="876"/>
      <c r="L626" s="876"/>
      <c r="M626" s="876"/>
      <c r="N626" s="876"/>
      <c r="O626" s="876"/>
      <c r="P626" s="876"/>
      <c r="Q626" s="870"/>
      <c r="R626" s="870"/>
      <c r="S626" s="870"/>
      <c r="T626" s="870"/>
      <c r="U626" s="870"/>
      <c r="V626" s="870"/>
      <c r="W626" s="870"/>
      <c r="X626" s="870"/>
      <c r="Y626" s="870"/>
      <c r="Z626" s="870"/>
      <c r="AA626" s="870"/>
      <c r="AB626" s="870"/>
      <c r="AC626" s="870"/>
      <c r="AD626" s="870"/>
      <c r="AE626" s="870"/>
      <c r="AF626" s="870"/>
      <c r="AG626" s="870"/>
    </row>
    <row r="627" spans="1:33" s="995" customFormat="1">
      <c r="A627" s="974"/>
      <c r="D627" s="876"/>
      <c r="E627" s="974"/>
      <c r="F627" s="876"/>
      <c r="G627" s="876"/>
      <c r="H627" s="876"/>
      <c r="I627" s="876"/>
      <c r="J627" s="876"/>
      <c r="K627" s="876"/>
      <c r="L627" s="876"/>
      <c r="M627" s="876"/>
      <c r="N627" s="876"/>
      <c r="O627" s="876"/>
      <c r="P627" s="876"/>
      <c r="Q627" s="870"/>
      <c r="R627" s="870"/>
      <c r="S627" s="870"/>
      <c r="T627" s="870"/>
      <c r="U627" s="870"/>
      <c r="V627" s="870"/>
      <c r="W627" s="870"/>
      <c r="X627" s="870"/>
      <c r="Y627" s="870"/>
      <c r="Z627" s="870"/>
      <c r="AA627" s="870"/>
      <c r="AB627" s="870"/>
      <c r="AC627" s="870"/>
      <c r="AD627" s="870"/>
      <c r="AE627" s="870"/>
      <c r="AF627" s="870"/>
      <c r="AG627" s="870"/>
    </row>
    <row r="628" spans="1:33" s="995" customFormat="1">
      <c r="A628" s="974"/>
      <c r="D628" s="876"/>
      <c r="E628" s="974"/>
      <c r="F628" s="876"/>
      <c r="G628" s="876"/>
      <c r="H628" s="876"/>
      <c r="I628" s="876"/>
      <c r="J628" s="876"/>
      <c r="K628" s="876"/>
      <c r="L628" s="876"/>
      <c r="M628" s="876"/>
      <c r="N628" s="876"/>
      <c r="O628" s="876"/>
      <c r="P628" s="876"/>
      <c r="Q628" s="870"/>
      <c r="R628" s="870"/>
      <c r="S628" s="870"/>
      <c r="T628" s="870"/>
      <c r="U628" s="870"/>
      <c r="V628" s="870"/>
      <c r="W628" s="870"/>
      <c r="X628" s="870"/>
      <c r="Y628" s="870"/>
      <c r="Z628" s="870"/>
      <c r="AA628" s="870"/>
      <c r="AB628" s="870"/>
      <c r="AC628" s="870"/>
      <c r="AD628" s="870"/>
      <c r="AE628" s="870"/>
      <c r="AF628" s="870"/>
      <c r="AG628" s="870"/>
    </row>
    <row r="629" spans="1:33" s="995" customFormat="1">
      <c r="A629" s="974"/>
      <c r="D629" s="876"/>
      <c r="E629" s="974"/>
      <c r="F629" s="876"/>
      <c r="G629" s="876"/>
      <c r="H629" s="876"/>
      <c r="I629" s="876"/>
      <c r="J629" s="876"/>
      <c r="K629" s="876"/>
      <c r="L629" s="876"/>
      <c r="M629" s="876"/>
      <c r="N629" s="876"/>
      <c r="O629" s="876"/>
      <c r="P629" s="876"/>
      <c r="Q629" s="870"/>
      <c r="R629" s="870"/>
      <c r="S629" s="870"/>
      <c r="T629" s="870"/>
      <c r="U629" s="870"/>
      <c r="V629" s="870"/>
      <c r="W629" s="870"/>
      <c r="X629" s="870"/>
      <c r="Y629" s="870"/>
      <c r="Z629" s="870"/>
      <c r="AA629" s="870"/>
      <c r="AB629" s="870"/>
      <c r="AC629" s="870"/>
      <c r="AD629" s="870"/>
      <c r="AE629" s="870"/>
      <c r="AF629" s="870"/>
      <c r="AG629" s="870"/>
    </row>
    <row r="630" spans="1:33" s="995" customFormat="1">
      <c r="A630" s="974"/>
      <c r="D630" s="876"/>
      <c r="E630" s="974"/>
      <c r="F630" s="876"/>
      <c r="G630" s="876"/>
      <c r="H630" s="876"/>
      <c r="I630" s="876"/>
      <c r="J630" s="876"/>
      <c r="K630" s="876"/>
      <c r="L630" s="876"/>
      <c r="M630" s="876"/>
      <c r="N630" s="876"/>
      <c r="O630" s="876"/>
      <c r="P630" s="876"/>
      <c r="Q630" s="870"/>
      <c r="R630" s="870"/>
      <c r="S630" s="870"/>
      <c r="T630" s="870"/>
      <c r="U630" s="870"/>
      <c r="V630" s="870"/>
      <c r="W630" s="870"/>
      <c r="X630" s="870"/>
      <c r="Y630" s="870"/>
      <c r="Z630" s="870"/>
      <c r="AA630" s="870"/>
      <c r="AB630" s="870"/>
      <c r="AC630" s="870"/>
      <c r="AD630" s="870"/>
      <c r="AE630" s="870"/>
      <c r="AF630" s="870"/>
      <c r="AG630" s="870"/>
    </row>
    <row r="631" spans="1:33" s="995" customFormat="1">
      <c r="A631" s="974"/>
      <c r="D631" s="876"/>
      <c r="E631" s="974"/>
      <c r="F631" s="876"/>
      <c r="G631" s="876"/>
      <c r="H631" s="876"/>
      <c r="I631" s="876"/>
      <c r="J631" s="876"/>
      <c r="K631" s="876"/>
      <c r="L631" s="876"/>
      <c r="M631" s="876"/>
      <c r="N631" s="876"/>
      <c r="O631" s="876"/>
      <c r="P631" s="876"/>
      <c r="Q631" s="870"/>
      <c r="R631" s="870"/>
      <c r="S631" s="870"/>
      <c r="T631" s="870"/>
      <c r="U631" s="870"/>
      <c r="V631" s="870"/>
      <c r="W631" s="870"/>
      <c r="X631" s="870"/>
      <c r="Y631" s="870"/>
      <c r="Z631" s="870"/>
      <c r="AA631" s="870"/>
      <c r="AB631" s="870"/>
      <c r="AC631" s="870"/>
      <c r="AD631" s="870"/>
      <c r="AE631" s="870"/>
      <c r="AF631" s="870"/>
      <c r="AG631" s="870"/>
    </row>
    <row r="632" spans="1:33" s="995" customFormat="1">
      <c r="A632" s="974"/>
      <c r="D632" s="876"/>
      <c r="E632" s="974"/>
      <c r="F632" s="876"/>
      <c r="G632" s="876"/>
      <c r="H632" s="876"/>
      <c r="I632" s="876"/>
      <c r="J632" s="876"/>
      <c r="K632" s="876"/>
      <c r="L632" s="876"/>
      <c r="M632" s="876"/>
      <c r="N632" s="876"/>
      <c r="O632" s="876"/>
      <c r="P632" s="876"/>
      <c r="Q632" s="870"/>
      <c r="R632" s="870"/>
      <c r="S632" s="870"/>
      <c r="T632" s="870"/>
      <c r="U632" s="870"/>
      <c r="V632" s="870"/>
      <c r="W632" s="870"/>
      <c r="X632" s="870"/>
      <c r="Y632" s="870"/>
      <c r="Z632" s="870"/>
      <c r="AA632" s="870"/>
      <c r="AB632" s="870"/>
      <c r="AC632" s="870"/>
      <c r="AD632" s="870"/>
      <c r="AE632" s="870"/>
      <c r="AF632" s="870"/>
      <c r="AG632" s="870"/>
    </row>
    <row r="633" spans="1:33" s="995" customFormat="1">
      <c r="A633" s="974"/>
      <c r="D633" s="876"/>
      <c r="E633" s="974"/>
      <c r="F633" s="876"/>
      <c r="G633" s="876"/>
      <c r="H633" s="876"/>
      <c r="I633" s="876"/>
      <c r="J633" s="876"/>
      <c r="K633" s="876"/>
      <c r="L633" s="876"/>
      <c r="M633" s="876"/>
      <c r="N633" s="876"/>
      <c r="O633" s="876"/>
      <c r="P633" s="876"/>
      <c r="Q633" s="870"/>
      <c r="R633" s="870"/>
      <c r="S633" s="870"/>
      <c r="T633" s="870"/>
      <c r="U633" s="870"/>
      <c r="V633" s="870"/>
      <c r="W633" s="870"/>
      <c r="X633" s="870"/>
      <c r="Y633" s="870"/>
      <c r="Z633" s="870"/>
      <c r="AA633" s="870"/>
      <c r="AB633" s="870"/>
      <c r="AC633" s="870"/>
      <c r="AD633" s="870"/>
      <c r="AE633" s="870"/>
      <c r="AF633" s="870"/>
      <c r="AG633" s="870"/>
    </row>
    <row r="634" spans="1:33" s="995" customFormat="1">
      <c r="A634" s="974"/>
      <c r="D634" s="876"/>
      <c r="E634" s="974"/>
      <c r="F634" s="876"/>
      <c r="G634" s="876"/>
      <c r="H634" s="876"/>
      <c r="I634" s="876"/>
      <c r="J634" s="876"/>
      <c r="K634" s="876"/>
      <c r="L634" s="876"/>
      <c r="M634" s="876"/>
      <c r="N634" s="876"/>
      <c r="O634" s="876"/>
      <c r="P634" s="876"/>
      <c r="Q634" s="870"/>
      <c r="R634" s="870"/>
      <c r="S634" s="870"/>
      <c r="T634" s="870"/>
      <c r="U634" s="870"/>
      <c r="V634" s="870"/>
      <c r="W634" s="870"/>
      <c r="X634" s="870"/>
      <c r="Y634" s="870"/>
      <c r="Z634" s="870"/>
      <c r="AA634" s="870"/>
      <c r="AB634" s="870"/>
      <c r="AC634" s="870"/>
      <c r="AD634" s="870"/>
      <c r="AE634" s="870"/>
      <c r="AF634" s="870"/>
      <c r="AG634" s="870"/>
    </row>
    <row r="635" spans="1:33" s="995" customFormat="1">
      <c r="A635" s="974"/>
      <c r="D635" s="876"/>
      <c r="E635" s="974"/>
      <c r="F635" s="876"/>
      <c r="G635" s="876"/>
      <c r="H635" s="876"/>
      <c r="I635" s="876"/>
      <c r="J635" s="876"/>
      <c r="K635" s="876"/>
      <c r="L635" s="876"/>
      <c r="M635" s="876"/>
      <c r="N635" s="876"/>
      <c r="O635" s="876"/>
      <c r="P635" s="876"/>
      <c r="Q635" s="870"/>
      <c r="R635" s="870"/>
      <c r="S635" s="870"/>
      <c r="T635" s="870"/>
      <c r="U635" s="870"/>
      <c r="V635" s="870"/>
      <c r="W635" s="870"/>
      <c r="X635" s="870"/>
      <c r="Y635" s="870"/>
      <c r="Z635" s="870"/>
      <c r="AA635" s="870"/>
      <c r="AB635" s="870"/>
      <c r="AC635" s="870"/>
      <c r="AD635" s="870"/>
      <c r="AE635" s="870"/>
      <c r="AF635" s="870"/>
      <c r="AG635" s="870"/>
    </row>
    <row r="636" spans="1:33" s="995" customFormat="1">
      <c r="A636" s="974"/>
      <c r="D636" s="876"/>
      <c r="E636" s="974"/>
      <c r="F636" s="876"/>
      <c r="G636" s="876"/>
      <c r="H636" s="876"/>
      <c r="I636" s="876"/>
      <c r="J636" s="876"/>
      <c r="K636" s="876"/>
      <c r="L636" s="876"/>
      <c r="M636" s="876"/>
      <c r="N636" s="876"/>
      <c r="O636" s="876"/>
      <c r="P636" s="876"/>
      <c r="Q636" s="870"/>
      <c r="R636" s="870"/>
      <c r="S636" s="870"/>
      <c r="T636" s="870"/>
      <c r="U636" s="870"/>
      <c r="V636" s="870"/>
      <c r="W636" s="870"/>
      <c r="X636" s="870"/>
      <c r="Y636" s="870"/>
      <c r="Z636" s="870"/>
      <c r="AA636" s="870"/>
      <c r="AB636" s="870"/>
      <c r="AC636" s="870"/>
      <c r="AD636" s="870"/>
      <c r="AE636" s="870"/>
      <c r="AF636" s="870"/>
      <c r="AG636" s="870"/>
    </row>
    <row r="637" spans="1:33" s="995" customFormat="1">
      <c r="A637" s="974"/>
      <c r="D637" s="876"/>
      <c r="E637" s="974"/>
      <c r="F637" s="876"/>
      <c r="G637" s="876"/>
      <c r="H637" s="876"/>
      <c r="I637" s="876"/>
      <c r="J637" s="876"/>
      <c r="K637" s="876"/>
      <c r="L637" s="876"/>
      <c r="M637" s="876"/>
      <c r="N637" s="876"/>
      <c r="O637" s="876"/>
      <c r="P637" s="876"/>
      <c r="Q637" s="870"/>
      <c r="R637" s="870"/>
      <c r="S637" s="870"/>
      <c r="T637" s="870"/>
      <c r="U637" s="870"/>
      <c r="V637" s="870"/>
      <c r="W637" s="870"/>
      <c r="X637" s="870"/>
      <c r="Y637" s="870"/>
      <c r="Z637" s="870"/>
      <c r="AA637" s="870"/>
      <c r="AB637" s="870"/>
      <c r="AC637" s="870"/>
      <c r="AD637" s="870"/>
      <c r="AE637" s="870"/>
      <c r="AF637" s="870"/>
      <c r="AG637" s="870"/>
    </row>
    <row r="638" spans="1:33" s="995" customFormat="1">
      <c r="A638" s="974"/>
      <c r="D638" s="876"/>
      <c r="E638" s="974"/>
      <c r="F638" s="876"/>
      <c r="G638" s="876"/>
      <c r="H638" s="876"/>
      <c r="I638" s="876"/>
      <c r="J638" s="876"/>
      <c r="K638" s="876"/>
      <c r="L638" s="876"/>
      <c r="M638" s="876"/>
      <c r="N638" s="876"/>
      <c r="O638" s="876"/>
      <c r="P638" s="876"/>
      <c r="Q638" s="870"/>
      <c r="R638" s="870"/>
      <c r="S638" s="870"/>
      <c r="T638" s="870"/>
      <c r="U638" s="870"/>
      <c r="V638" s="870"/>
      <c r="W638" s="870"/>
      <c r="X638" s="870"/>
      <c r="Y638" s="870"/>
      <c r="Z638" s="870"/>
      <c r="AA638" s="870"/>
      <c r="AB638" s="870"/>
      <c r="AC638" s="870"/>
      <c r="AD638" s="870"/>
      <c r="AE638" s="870"/>
      <c r="AF638" s="870"/>
      <c r="AG638" s="870"/>
    </row>
    <row r="639" spans="1:33" s="995" customFormat="1">
      <c r="A639" s="974"/>
      <c r="D639" s="876"/>
      <c r="E639" s="974"/>
      <c r="F639" s="876"/>
      <c r="G639" s="876"/>
      <c r="H639" s="876"/>
      <c r="I639" s="876"/>
      <c r="J639" s="876"/>
      <c r="K639" s="876"/>
      <c r="L639" s="876"/>
      <c r="M639" s="876"/>
      <c r="N639" s="876"/>
      <c r="O639" s="876"/>
      <c r="P639" s="876"/>
      <c r="Q639" s="870"/>
      <c r="R639" s="870"/>
      <c r="S639" s="870"/>
      <c r="T639" s="870"/>
      <c r="U639" s="870"/>
      <c r="V639" s="870"/>
      <c r="W639" s="870"/>
      <c r="X639" s="870"/>
      <c r="Y639" s="870"/>
      <c r="Z639" s="870"/>
      <c r="AA639" s="870"/>
      <c r="AB639" s="870"/>
      <c r="AC639" s="870"/>
      <c r="AD639" s="870"/>
      <c r="AE639" s="870"/>
      <c r="AF639" s="870"/>
      <c r="AG639" s="870"/>
    </row>
    <row r="640" spans="1:33" s="995" customFormat="1">
      <c r="A640" s="974"/>
      <c r="D640" s="876"/>
      <c r="E640" s="974"/>
      <c r="F640" s="876"/>
      <c r="G640" s="876"/>
      <c r="H640" s="876"/>
      <c r="I640" s="876"/>
      <c r="J640" s="876"/>
      <c r="K640" s="876"/>
      <c r="L640" s="876"/>
      <c r="M640" s="876"/>
      <c r="N640" s="876"/>
      <c r="O640" s="876"/>
      <c r="P640" s="876"/>
      <c r="Q640" s="870"/>
      <c r="R640" s="870"/>
      <c r="S640" s="870"/>
      <c r="T640" s="870"/>
      <c r="U640" s="870"/>
      <c r="V640" s="870"/>
      <c r="W640" s="870"/>
      <c r="X640" s="870"/>
      <c r="Y640" s="870"/>
      <c r="Z640" s="870"/>
      <c r="AA640" s="870"/>
      <c r="AB640" s="870"/>
      <c r="AC640" s="870"/>
      <c r="AD640" s="870"/>
      <c r="AE640" s="870"/>
      <c r="AF640" s="870"/>
      <c r="AG640" s="870"/>
    </row>
    <row r="641" spans="1:33" s="995" customFormat="1">
      <c r="A641" s="974"/>
      <c r="D641" s="876"/>
      <c r="E641" s="974"/>
      <c r="F641" s="876"/>
      <c r="G641" s="876"/>
      <c r="H641" s="876"/>
      <c r="I641" s="876"/>
      <c r="J641" s="876"/>
      <c r="K641" s="876"/>
      <c r="L641" s="876"/>
      <c r="M641" s="876"/>
      <c r="N641" s="876"/>
      <c r="O641" s="876"/>
      <c r="P641" s="876"/>
      <c r="Q641" s="870"/>
      <c r="R641" s="870"/>
      <c r="S641" s="870"/>
      <c r="T641" s="870"/>
      <c r="U641" s="870"/>
      <c r="V641" s="870"/>
      <c r="W641" s="870"/>
      <c r="X641" s="870"/>
      <c r="Y641" s="870"/>
      <c r="Z641" s="870"/>
      <c r="AA641" s="870"/>
      <c r="AB641" s="870"/>
      <c r="AC641" s="870"/>
      <c r="AD641" s="870"/>
      <c r="AE641" s="870"/>
      <c r="AF641" s="870"/>
      <c r="AG641" s="870"/>
    </row>
    <row r="642" spans="1:33" s="995" customFormat="1">
      <c r="A642" s="974"/>
      <c r="D642" s="876"/>
      <c r="E642" s="974"/>
      <c r="F642" s="876"/>
      <c r="G642" s="876"/>
      <c r="H642" s="876"/>
      <c r="I642" s="876"/>
      <c r="J642" s="876"/>
      <c r="K642" s="876"/>
      <c r="L642" s="876"/>
      <c r="M642" s="876"/>
      <c r="N642" s="876"/>
      <c r="O642" s="876"/>
      <c r="P642" s="876"/>
      <c r="Q642" s="870"/>
      <c r="R642" s="870"/>
      <c r="S642" s="870"/>
      <c r="T642" s="870"/>
      <c r="U642" s="870"/>
      <c r="V642" s="870"/>
      <c r="W642" s="870"/>
      <c r="X642" s="870"/>
      <c r="Y642" s="870"/>
      <c r="Z642" s="870"/>
      <c r="AA642" s="870"/>
      <c r="AB642" s="870"/>
      <c r="AC642" s="870"/>
      <c r="AD642" s="870"/>
      <c r="AE642" s="870"/>
      <c r="AF642" s="870"/>
      <c r="AG642" s="870"/>
    </row>
    <row r="643" spans="1:33" s="995" customFormat="1">
      <c r="A643" s="974"/>
      <c r="D643" s="876"/>
      <c r="E643" s="974"/>
      <c r="F643" s="876"/>
      <c r="G643" s="876"/>
      <c r="H643" s="876"/>
      <c r="I643" s="876"/>
      <c r="J643" s="876"/>
      <c r="K643" s="876"/>
      <c r="L643" s="876"/>
      <c r="M643" s="876"/>
      <c r="N643" s="876"/>
      <c r="O643" s="876"/>
      <c r="P643" s="876"/>
      <c r="Q643" s="870"/>
      <c r="R643" s="870"/>
      <c r="S643" s="870"/>
      <c r="T643" s="870"/>
      <c r="U643" s="870"/>
      <c r="V643" s="870"/>
      <c r="W643" s="870"/>
      <c r="X643" s="870"/>
      <c r="Y643" s="870"/>
      <c r="Z643" s="870"/>
      <c r="AA643" s="870"/>
      <c r="AB643" s="870"/>
      <c r="AC643" s="870"/>
      <c r="AD643" s="870"/>
      <c r="AE643" s="870"/>
      <c r="AF643" s="870"/>
      <c r="AG643" s="870"/>
    </row>
    <row r="644" spans="1:33" s="995" customFormat="1">
      <c r="A644" s="974"/>
      <c r="D644" s="876"/>
      <c r="E644" s="974"/>
      <c r="F644" s="876"/>
      <c r="G644" s="876"/>
      <c r="H644" s="876"/>
      <c r="I644" s="876"/>
      <c r="J644" s="876"/>
      <c r="K644" s="876"/>
      <c r="L644" s="876"/>
      <c r="M644" s="876"/>
      <c r="N644" s="876"/>
      <c r="O644" s="876"/>
      <c r="P644" s="876"/>
      <c r="Q644" s="870"/>
      <c r="R644" s="870"/>
      <c r="S644" s="870"/>
      <c r="T644" s="870"/>
      <c r="U644" s="870"/>
      <c r="V644" s="870"/>
      <c r="W644" s="870"/>
      <c r="X644" s="870"/>
      <c r="Y644" s="870"/>
      <c r="Z644" s="870"/>
      <c r="AA644" s="870"/>
      <c r="AB644" s="870"/>
      <c r="AC644" s="870"/>
      <c r="AD644" s="870"/>
      <c r="AE644" s="870"/>
      <c r="AF644" s="870"/>
      <c r="AG644" s="870"/>
    </row>
    <row r="645" spans="1:33" s="995" customFormat="1">
      <c r="A645" s="974"/>
      <c r="D645" s="876"/>
      <c r="E645" s="974"/>
      <c r="F645" s="876"/>
      <c r="G645" s="876"/>
      <c r="H645" s="876"/>
      <c r="I645" s="876"/>
      <c r="J645" s="876"/>
      <c r="K645" s="876"/>
      <c r="L645" s="876"/>
      <c r="M645" s="876"/>
      <c r="N645" s="876"/>
      <c r="O645" s="876"/>
      <c r="P645" s="876"/>
      <c r="Q645" s="870"/>
      <c r="R645" s="870"/>
      <c r="S645" s="870"/>
      <c r="T645" s="870"/>
      <c r="U645" s="870"/>
      <c r="V645" s="870"/>
      <c r="W645" s="870"/>
      <c r="X645" s="870"/>
      <c r="Y645" s="870"/>
      <c r="Z645" s="870"/>
      <c r="AA645" s="870"/>
      <c r="AB645" s="870"/>
      <c r="AC645" s="870"/>
      <c r="AD645" s="870"/>
      <c r="AE645" s="870"/>
      <c r="AF645" s="870"/>
      <c r="AG645" s="870"/>
    </row>
    <row r="646" spans="1:33" s="995" customFormat="1">
      <c r="A646" s="974"/>
      <c r="D646" s="876"/>
      <c r="E646" s="974"/>
      <c r="F646" s="876"/>
      <c r="G646" s="876"/>
      <c r="H646" s="876"/>
      <c r="I646" s="876"/>
      <c r="J646" s="876"/>
      <c r="K646" s="876"/>
      <c r="L646" s="876"/>
      <c r="M646" s="876"/>
      <c r="N646" s="876"/>
      <c r="O646" s="876"/>
      <c r="P646" s="876"/>
      <c r="Q646" s="870"/>
      <c r="R646" s="870"/>
      <c r="S646" s="870"/>
      <c r="T646" s="870"/>
      <c r="U646" s="870"/>
      <c r="V646" s="870"/>
      <c r="W646" s="870"/>
      <c r="X646" s="870"/>
      <c r="Y646" s="870"/>
      <c r="Z646" s="870"/>
      <c r="AA646" s="870"/>
      <c r="AB646" s="870"/>
      <c r="AC646" s="870"/>
      <c r="AD646" s="870"/>
      <c r="AE646" s="870"/>
      <c r="AF646" s="870"/>
      <c r="AG646" s="870"/>
    </row>
    <row r="647" spans="1:33" s="995" customFormat="1">
      <c r="A647" s="974"/>
      <c r="D647" s="876"/>
      <c r="E647" s="974"/>
      <c r="F647" s="876"/>
      <c r="G647" s="876"/>
      <c r="H647" s="876"/>
      <c r="I647" s="876"/>
      <c r="J647" s="876"/>
      <c r="K647" s="876"/>
      <c r="L647" s="876"/>
      <c r="M647" s="876"/>
      <c r="N647" s="876"/>
      <c r="O647" s="876"/>
      <c r="P647" s="876"/>
      <c r="Q647" s="870"/>
      <c r="R647" s="870"/>
      <c r="S647" s="870"/>
      <c r="T647" s="870"/>
      <c r="U647" s="870"/>
      <c r="V647" s="870"/>
      <c r="W647" s="870"/>
      <c r="X647" s="870"/>
      <c r="Y647" s="870"/>
      <c r="Z647" s="870"/>
      <c r="AA647" s="870"/>
      <c r="AB647" s="870"/>
      <c r="AC647" s="870"/>
      <c r="AD647" s="870"/>
      <c r="AE647" s="870"/>
      <c r="AF647" s="870"/>
      <c r="AG647" s="870"/>
    </row>
    <row r="648" spans="1:33" s="995" customFormat="1">
      <c r="A648" s="974"/>
      <c r="D648" s="876"/>
      <c r="E648" s="974"/>
      <c r="F648" s="876"/>
      <c r="G648" s="876"/>
      <c r="H648" s="876"/>
      <c r="I648" s="876"/>
      <c r="J648" s="876"/>
      <c r="K648" s="876"/>
      <c r="L648" s="876"/>
      <c r="M648" s="876"/>
      <c r="N648" s="876"/>
      <c r="O648" s="876"/>
      <c r="P648" s="876"/>
      <c r="Q648" s="870"/>
      <c r="R648" s="870"/>
      <c r="S648" s="870"/>
      <c r="T648" s="870"/>
      <c r="U648" s="870"/>
      <c r="V648" s="870"/>
      <c r="W648" s="870"/>
      <c r="X648" s="870"/>
      <c r="Y648" s="870"/>
      <c r="Z648" s="870"/>
      <c r="AA648" s="870"/>
      <c r="AB648" s="870"/>
      <c r="AC648" s="870"/>
      <c r="AD648" s="870"/>
      <c r="AE648" s="870"/>
      <c r="AF648" s="870"/>
      <c r="AG648" s="870"/>
    </row>
    <row r="649" spans="1:33" s="995" customFormat="1">
      <c r="A649" s="974"/>
      <c r="D649" s="876"/>
      <c r="E649" s="974"/>
      <c r="F649" s="876"/>
      <c r="G649" s="876"/>
      <c r="H649" s="876"/>
      <c r="I649" s="876"/>
      <c r="J649" s="876"/>
      <c r="K649" s="876"/>
      <c r="L649" s="876"/>
      <c r="M649" s="876"/>
      <c r="N649" s="876"/>
      <c r="O649" s="876"/>
      <c r="P649" s="876"/>
      <c r="Q649" s="870"/>
      <c r="R649" s="870"/>
      <c r="S649" s="870"/>
      <c r="T649" s="870"/>
      <c r="U649" s="870"/>
      <c r="V649" s="870"/>
      <c r="W649" s="870"/>
      <c r="X649" s="870"/>
      <c r="Y649" s="870"/>
      <c r="Z649" s="870"/>
      <c r="AA649" s="870"/>
      <c r="AB649" s="870"/>
      <c r="AC649" s="870"/>
      <c r="AD649" s="870"/>
      <c r="AE649" s="870"/>
      <c r="AF649" s="870"/>
      <c r="AG649" s="870"/>
    </row>
    <row r="650" spans="1:33" s="995" customFormat="1">
      <c r="A650" s="974"/>
      <c r="D650" s="876"/>
      <c r="E650" s="974"/>
      <c r="F650" s="876"/>
      <c r="G650" s="876"/>
      <c r="H650" s="876"/>
      <c r="I650" s="876"/>
      <c r="J650" s="876"/>
      <c r="K650" s="876"/>
      <c r="L650" s="876"/>
      <c r="M650" s="876"/>
      <c r="N650" s="876"/>
      <c r="O650" s="876"/>
      <c r="P650" s="876"/>
      <c r="Q650" s="870"/>
      <c r="R650" s="870"/>
      <c r="S650" s="870"/>
      <c r="T650" s="870"/>
      <c r="U650" s="870"/>
      <c r="V650" s="870"/>
      <c r="W650" s="870"/>
      <c r="X650" s="870"/>
      <c r="Y650" s="870"/>
      <c r="Z650" s="870"/>
      <c r="AA650" s="870"/>
      <c r="AB650" s="870"/>
      <c r="AC650" s="870"/>
      <c r="AD650" s="870"/>
      <c r="AE650" s="870"/>
      <c r="AF650" s="870"/>
      <c r="AG650" s="870"/>
    </row>
    <row r="651" spans="1:33" s="995" customFormat="1">
      <c r="A651" s="974"/>
      <c r="D651" s="876"/>
      <c r="E651" s="974"/>
      <c r="F651" s="876"/>
      <c r="G651" s="876"/>
      <c r="H651" s="876"/>
      <c r="I651" s="876"/>
      <c r="J651" s="876"/>
      <c r="K651" s="876"/>
      <c r="L651" s="876"/>
      <c r="M651" s="876"/>
      <c r="N651" s="876"/>
      <c r="O651" s="876"/>
      <c r="P651" s="876"/>
      <c r="Q651" s="870"/>
      <c r="R651" s="870"/>
      <c r="S651" s="870"/>
      <c r="T651" s="870"/>
      <c r="U651" s="870"/>
      <c r="V651" s="870"/>
      <c r="W651" s="870"/>
      <c r="X651" s="870"/>
      <c r="Y651" s="870"/>
      <c r="Z651" s="870"/>
      <c r="AA651" s="870"/>
      <c r="AB651" s="870"/>
      <c r="AC651" s="870"/>
      <c r="AD651" s="870"/>
      <c r="AE651" s="870"/>
      <c r="AF651" s="870"/>
      <c r="AG651" s="870"/>
    </row>
    <row r="652" spans="1:33" s="995" customFormat="1">
      <c r="A652" s="974"/>
      <c r="D652" s="876"/>
      <c r="E652" s="974"/>
      <c r="F652" s="876"/>
      <c r="G652" s="876"/>
      <c r="H652" s="876"/>
      <c r="I652" s="876"/>
      <c r="J652" s="876"/>
      <c r="K652" s="876"/>
      <c r="L652" s="876"/>
      <c r="M652" s="876"/>
      <c r="N652" s="876"/>
      <c r="O652" s="876"/>
      <c r="P652" s="876"/>
      <c r="Q652" s="870"/>
      <c r="R652" s="870"/>
      <c r="S652" s="870"/>
      <c r="T652" s="870"/>
      <c r="U652" s="870"/>
      <c r="V652" s="870"/>
      <c r="W652" s="870"/>
      <c r="X652" s="870"/>
      <c r="Y652" s="870"/>
      <c r="Z652" s="870"/>
      <c r="AA652" s="870"/>
      <c r="AB652" s="870"/>
      <c r="AC652" s="870"/>
      <c r="AD652" s="870"/>
      <c r="AE652" s="870"/>
      <c r="AF652" s="870"/>
      <c r="AG652" s="870"/>
    </row>
    <row r="653" spans="1:33" s="995" customFormat="1">
      <c r="A653" s="974"/>
      <c r="D653" s="876"/>
      <c r="E653" s="974"/>
      <c r="F653" s="876"/>
      <c r="G653" s="876"/>
      <c r="H653" s="876"/>
      <c r="I653" s="876"/>
      <c r="J653" s="876"/>
      <c r="K653" s="876"/>
      <c r="L653" s="876"/>
      <c r="M653" s="876"/>
      <c r="N653" s="876"/>
      <c r="O653" s="876"/>
      <c r="P653" s="876"/>
      <c r="Q653" s="870"/>
      <c r="R653" s="870"/>
      <c r="S653" s="870"/>
      <c r="T653" s="870"/>
      <c r="U653" s="870"/>
      <c r="V653" s="870"/>
      <c r="W653" s="870"/>
      <c r="X653" s="870"/>
      <c r="Y653" s="870"/>
      <c r="Z653" s="870"/>
      <c r="AA653" s="870"/>
      <c r="AB653" s="870"/>
      <c r="AC653" s="870"/>
      <c r="AD653" s="870"/>
      <c r="AE653" s="870"/>
      <c r="AF653" s="870"/>
      <c r="AG653" s="870"/>
    </row>
    <row r="654" spans="1:33" s="995" customFormat="1">
      <c r="A654" s="974"/>
      <c r="D654" s="876"/>
      <c r="E654" s="974"/>
      <c r="F654" s="876"/>
      <c r="G654" s="876"/>
      <c r="H654" s="876"/>
      <c r="I654" s="876"/>
      <c r="J654" s="876"/>
      <c r="K654" s="876"/>
      <c r="L654" s="876"/>
      <c r="M654" s="876"/>
      <c r="N654" s="876"/>
      <c r="O654" s="876"/>
      <c r="P654" s="876"/>
      <c r="Q654" s="870"/>
      <c r="R654" s="870"/>
      <c r="S654" s="870"/>
      <c r="T654" s="870"/>
      <c r="U654" s="870"/>
      <c r="V654" s="870"/>
      <c r="W654" s="870"/>
      <c r="X654" s="870"/>
      <c r="Y654" s="870"/>
      <c r="Z654" s="870"/>
      <c r="AA654" s="870"/>
      <c r="AB654" s="870"/>
      <c r="AC654" s="870"/>
      <c r="AD654" s="870"/>
      <c r="AE654" s="870"/>
      <c r="AF654" s="870"/>
      <c r="AG654" s="870"/>
    </row>
    <row r="655" spans="1:33" s="995" customFormat="1">
      <c r="A655" s="974"/>
      <c r="D655" s="876"/>
      <c r="E655" s="974"/>
      <c r="F655" s="876"/>
      <c r="G655" s="876"/>
      <c r="H655" s="876"/>
      <c r="I655" s="876"/>
      <c r="J655" s="876"/>
      <c r="K655" s="876"/>
      <c r="L655" s="876"/>
      <c r="M655" s="876"/>
      <c r="N655" s="876"/>
      <c r="O655" s="876"/>
      <c r="P655" s="876"/>
      <c r="Q655" s="870"/>
      <c r="R655" s="870"/>
      <c r="S655" s="870"/>
      <c r="T655" s="870"/>
      <c r="U655" s="870"/>
      <c r="V655" s="870"/>
      <c r="W655" s="870"/>
      <c r="X655" s="870"/>
      <c r="Y655" s="870"/>
      <c r="Z655" s="870"/>
      <c r="AA655" s="870"/>
      <c r="AB655" s="870"/>
      <c r="AC655" s="870"/>
      <c r="AD655" s="870"/>
      <c r="AE655" s="870"/>
      <c r="AF655" s="870"/>
      <c r="AG655" s="870"/>
    </row>
    <row r="656" spans="1:33" s="995" customFormat="1">
      <c r="A656" s="974"/>
      <c r="D656" s="876"/>
      <c r="E656" s="974"/>
      <c r="F656" s="876"/>
      <c r="G656" s="876"/>
      <c r="H656" s="876"/>
      <c r="I656" s="876"/>
      <c r="J656" s="876"/>
      <c r="K656" s="876"/>
      <c r="L656" s="876"/>
      <c r="M656" s="876"/>
      <c r="N656" s="876"/>
      <c r="O656" s="876"/>
      <c r="P656" s="876"/>
      <c r="Q656" s="870"/>
      <c r="R656" s="870"/>
      <c r="S656" s="870"/>
      <c r="T656" s="870"/>
      <c r="U656" s="870"/>
      <c r="V656" s="870"/>
      <c r="W656" s="870"/>
      <c r="X656" s="870"/>
      <c r="Y656" s="870"/>
      <c r="Z656" s="870"/>
      <c r="AA656" s="870"/>
      <c r="AB656" s="870"/>
      <c r="AC656" s="870"/>
      <c r="AD656" s="870"/>
      <c r="AE656" s="870"/>
      <c r="AF656" s="870"/>
      <c r="AG656" s="870"/>
    </row>
    <row r="657" spans="1:33" s="995" customFormat="1">
      <c r="A657" s="974"/>
      <c r="D657" s="876"/>
      <c r="E657" s="974"/>
      <c r="F657" s="876"/>
      <c r="G657" s="876"/>
      <c r="H657" s="876"/>
      <c r="I657" s="876"/>
      <c r="J657" s="876"/>
      <c r="K657" s="876"/>
      <c r="L657" s="876"/>
      <c r="M657" s="876"/>
      <c r="N657" s="876"/>
      <c r="O657" s="876"/>
      <c r="P657" s="876"/>
      <c r="Q657" s="870"/>
      <c r="R657" s="870"/>
      <c r="S657" s="870"/>
      <c r="T657" s="870"/>
      <c r="U657" s="870"/>
      <c r="V657" s="870"/>
      <c r="W657" s="870"/>
      <c r="X657" s="870"/>
      <c r="Y657" s="870"/>
      <c r="Z657" s="870"/>
      <c r="AA657" s="870"/>
      <c r="AB657" s="870"/>
      <c r="AC657" s="870"/>
      <c r="AD657" s="870"/>
      <c r="AE657" s="870"/>
      <c r="AF657" s="870"/>
      <c r="AG657" s="870"/>
    </row>
    <row r="658" spans="1:33" s="995" customFormat="1">
      <c r="A658" s="974"/>
      <c r="D658" s="876"/>
      <c r="E658" s="974"/>
      <c r="F658" s="876"/>
      <c r="G658" s="876"/>
      <c r="H658" s="876"/>
      <c r="I658" s="876"/>
      <c r="J658" s="876"/>
      <c r="K658" s="876"/>
      <c r="L658" s="876"/>
      <c r="M658" s="876"/>
      <c r="N658" s="876"/>
      <c r="O658" s="876"/>
      <c r="P658" s="876"/>
      <c r="Q658" s="870"/>
      <c r="R658" s="870"/>
      <c r="S658" s="870"/>
      <c r="T658" s="870"/>
      <c r="U658" s="870"/>
      <c r="V658" s="870"/>
      <c r="W658" s="870"/>
      <c r="X658" s="870"/>
      <c r="Y658" s="870"/>
      <c r="Z658" s="870"/>
      <c r="AA658" s="870"/>
      <c r="AB658" s="870"/>
      <c r="AC658" s="870"/>
      <c r="AD658" s="870"/>
      <c r="AE658" s="870"/>
      <c r="AF658" s="870"/>
      <c r="AG658" s="870"/>
    </row>
    <row r="659" spans="1:33" s="995" customFormat="1">
      <c r="A659" s="974"/>
      <c r="D659" s="876"/>
      <c r="E659" s="974"/>
      <c r="F659" s="876"/>
      <c r="G659" s="876"/>
      <c r="H659" s="876"/>
      <c r="I659" s="876"/>
      <c r="J659" s="876"/>
      <c r="K659" s="876"/>
      <c r="L659" s="876"/>
      <c r="M659" s="876"/>
      <c r="N659" s="876"/>
      <c r="O659" s="876"/>
      <c r="P659" s="876"/>
      <c r="Q659" s="870"/>
      <c r="R659" s="870"/>
      <c r="S659" s="870"/>
      <c r="T659" s="870"/>
      <c r="U659" s="870"/>
      <c r="V659" s="870"/>
      <c r="W659" s="870"/>
      <c r="X659" s="870"/>
      <c r="Y659" s="870"/>
      <c r="Z659" s="870"/>
      <c r="AA659" s="870"/>
      <c r="AB659" s="870"/>
      <c r="AC659" s="870"/>
      <c r="AD659" s="870"/>
      <c r="AE659" s="870"/>
      <c r="AF659" s="870"/>
      <c r="AG659" s="870"/>
    </row>
    <row r="660" spans="1:33" s="995" customFormat="1">
      <c r="A660" s="974"/>
      <c r="D660" s="876"/>
      <c r="E660" s="974"/>
      <c r="F660" s="876"/>
      <c r="G660" s="876"/>
      <c r="H660" s="876"/>
      <c r="I660" s="876"/>
      <c r="J660" s="876"/>
      <c r="K660" s="876"/>
      <c r="L660" s="876"/>
      <c r="M660" s="876"/>
      <c r="N660" s="876"/>
      <c r="O660" s="876"/>
      <c r="P660" s="876"/>
      <c r="Q660" s="870"/>
      <c r="R660" s="870"/>
      <c r="S660" s="870"/>
      <c r="T660" s="870"/>
      <c r="U660" s="870"/>
      <c r="V660" s="870"/>
      <c r="W660" s="870"/>
      <c r="X660" s="870"/>
      <c r="Y660" s="870"/>
      <c r="Z660" s="870"/>
      <c r="AA660" s="870"/>
      <c r="AB660" s="870"/>
      <c r="AC660" s="870"/>
      <c r="AD660" s="870"/>
      <c r="AE660" s="870"/>
      <c r="AF660" s="870"/>
      <c r="AG660" s="870"/>
    </row>
    <row r="661" spans="1:33" s="995" customFormat="1">
      <c r="A661" s="974"/>
      <c r="D661" s="876"/>
      <c r="E661" s="974"/>
      <c r="F661" s="876"/>
      <c r="G661" s="876"/>
      <c r="H661" s="876"/>
      <c r="I661" s="876"/>
      <c r="J661" s="876"/>
      <c r="K661" s="876"/>
      <c r="L661" s="876"/>
      <c r="M661" s="876"/>
      <c r="N661" s="876"/>
      <c r="O661" s="876"/>
      <c r="P661" s="876"/>
      <c r="Q661" s="870"/>
      <c r="R661" s="870"/>
      <c r="S661" s="870"/>
      <c r="T661" s="870"/>
      <c r="U661" s="870"/>
      <c r="V661" s="870"/>
      <c r="W661" s="870"/>
      <c r="X661" s="870"/>
      <c r="Y661" s="870"/>
      <c r="Z661" s="870"/>
      <c r="AA661" s="870"/>
      <c r="AB661" s="870"/>
      <c r="AC661" s="870"/>
      <c r="AD661" s="870"/>
      <c r="AE661" s="870"/>
      <c r="AF661" s="870"/>
      <c r="AG661" s="870"/>
    </row>
    <row r="662" spans="1:33" s="995" customFormat="1">
      <c r="A662" s="974"/>
      <c r="D662" s="876"/>
      <c r="E662" s="974"/>
      <c r="F662" s="876"/>
      <c r="G662" s="876"/>
      <c r="H662" s="876"/>
      <c r="I662" s="876"/>
      <c r="J662" s="876"/>
      <c r="K662" s="876"/>
      <c r="L662" s="876"/>
      <c r="M662" s="876"/>
      <c r="N662" s="876"/>
      <c r="O662" s="876"/>
      <c r="P662" s="876"/>
      <c r="Q662" s="870"/>
      <c r="R662" s="870"/>
      <c r="S662" s="870"/>
      <c r="T662" s="870"/>
      <c r="U662" s="870"/>
      <c r="V662" s="870"/>
      <c r="W662" s="870"/>
      <c r="X662" s="870"/>
      <c r="Y662" s="870"/>
      <c r="Z662" s="870"/>
      <c r="AA662" s="870"/>
      <c r="AB662" s="870"/>
      <c r="AC662" s="870"/>
      <c r="AD662" s="870"/>
      <c r="AE662" s="870"/>
      <c r="AF662" s="870"/>
      <c r="AG662" s="870"/>
    </row>
    <row r="663" spans="1:33" s="995" customFormat="1">
      <c r="A663" s="974"/>
      <c r="D663" s="876"/>
      <c r="E663" s="974"/>
      <c r="F663" s="876"/>
      <c r="G663" s="876"/>
      <c r="H663" s="876"/>
      <c r="I663" s="876"/>
      <c r="J663" s="876"/>
      <c r="K663" s="876"/>
      <c r="L663" s="876"/>
      <c r="M663" s="876"/>
      <c r="N663" s="876"/>
      <c r="O663" s="876"/>
      <c r="P663" s="876"/>
      <c r="Q663" s="870"/>
      <c r="R663" s="870"/>
      <c r="S663" s="870"/>
      <c r="T663" s="870"/>
      <c r="U663" s="870"/>
      <c r="V663" s="870"/>
      <c r="W663" s="870"/>
      <c r="X663" s="870"/>
      <c r="Y663" s="870"/>
      <c r="Z663" s="870"/>
      <c r="AA663" s="870"/>
      <c r="AB663" s="870"/>
      <c r="AC663" s="870"/>
      <c r="AD663" s="870"/>
      <c r="AE663" s="870"/>
      <c r="AF663" s="870"/>
      <c r="AG663" s="870"/>
    </row>
    <row r="664" spans="1:33" s="995" customFormat="1">
      <c r="A664" s="974"/>
      <c r="D664" s="876"/>
      <c r="E664" s="974"/>
      <c r="F664" s="876"/>
      <c r="G664" s="876"/>
      <c r="H664" s="876"/>
      <c r="I664" s="876"/>
      <c r="J664" s="876"/>
      <c r="K664" s="876"/>
      <c r="L664" s="876"/>
      <c r="M664" s="876"/>
      <c r="N664" s="876"/>
      <c r="O664" s="876"/>
      <c r="P664" s="876"/>
      <c r="Q664" s="870"/>
      <c r="R664" s="870"/>
      <c r="S664" s="870"/>
      <c r="T664" s="870"/>
      <c r="U664" s="870"/>
      <c r="V664" s="870"/>
      <c r="W664" s="870"/>
      <c r="X664" s="870"/>
      <c r="Y664" s="870"/>
      <c r="Z664" s="870"/>
      <c r="AA664" s="870"/>
      <c r="AB664" s="870"/>
      <c r="AC664" s="870"/>
      <c r="AD664" s="870"/>
      <c r="AE664" s="870"/>
      <c r="AF664" s="870"/>
      <c r="AG664" s="870"/>
    </row>
    <row r="665" spans="1:33" s="995" customFormat="1">
      <c r="A665" s="974"/>
      <c r="D665" s="876"/>
      <c r="E665" s="974"/>
      <c r="F665" s="876"/>
      <c r="G665" s="876"/>
      <c r="H665" s="876"/>
      <c r="I665" s="876"/>
      <c r="J665" s="876"/>
      <c r="K665" s="876"/>
      <c r="L665" s="876"/>
      <c r="M665" s="876"/>
      <c r="N665" s="876"/>
      <c r="O665" s="876"/>
      <c r="P665" s="876"/>
      <c r="Q665" s="870"/>
      <c r="R665" s="870"/>
      <c r="S665" s="870"/>
      <c r="T665" s="870"/>
      <c r="U665" s="870"/>
      <c r="V665" s="870"/>
      <c r="W665" s="870"/>
      <c r="X665" s="870"/>
      <c r="Y665" s="870"/>
      <c r="Z665" s="870"/>
      <c r="AA665" s="870"/>
      <c r="AB665" s="870"/>
      <c r="AC665" s="870"/>
      <c r="AD665" s="870"/>
      <c r="AE665" s="870"/>
      <c r="AF665" s="870"/>
      <c r="AG665" s="870"/>
    </row>
    <row r="666" spans="1:33" s="995" customFormat="1">
      <c r="A666" s="974"/>
      <c r="D666" s="876"/>
      <c r="E666" s="974"/>
      <c r="F666" s="876"/>
      <c r="G666" s="876"/>
      <c r="H666" s="876"/>
      <c r="I666" s="876"/>
      <c r="J666" s="876"/>
      <c r="K666" s="876"/>
      <c r="L666" s="876"/>
      <c r="M666" s="876"/>
      <c r="N666" s="876"/>
      <c r="O666" s="876"/>
      <c r="P666" s="876"/>
      <c r="Q666" s="870"/>
      <c r="R666" s="870"/>
      <c r="S666" s="870"/>
      <c r="T666" s="870"/>
      <c r="U666" s="870"/>
      <c r="V666" s="870"/>
      <c r="W666" s="870"/>
      <c r="X666" s="870"/>
      <c r="Y666" s="870"/>
      <c r="Z666" s="870"/>
      <c r="AA666" s="870"/>
      <c r="AB666" s="870"/>
      <c r="AC666" s="870"/>
      <c r="AD666" s="870"/>
      <c r="AE666" s="870"/>
      <c r="AF666" s="870"/>
      <c r="AG666" s="870"/>
    </row>
    <row r="667" spans="1:33" s="995" customFormat="1">
      <c r="A667" s="974"/>
      <c r="D667" s="876"/>
      <c r="E667" s="974"/>
      <c r="F667" s="876"/>
      <c r="G667" s="876"/>
      <c r="H667" s="876"/>
      <c r="I667" s="876"/>
      <c r="J667" s="876"/>
      <c r="K667" s="876"/>
      <c r="L667" s="876"/>
      <c r="M667" s="876"/>
      <c r="N667" s="876"/>
      <c r="O667" s="876"/>
      <c r="P667" s="876"/>
      <c r="Q667" s="870"/>
      <c r="R667" s="870"/>
      <c r="S667" s="870"/>
      <c r="T667" s="870"/>
      <c r="U667" s="870"/>
      <c r="V667" s="870"/>
      <c r="W667" s="870"/>
      <c r="X667" s="870"/>
      <c r="Y667" s="870"/>
      <c r="Z667" s="870"/>
      <c r="AA667" s="870"/>
      <c r="AB667" s="870"/>
      <c r="AC667" s="870"/>
      <c r="AD667" s="870"/>
      <c r="AE667" s="870"/>
      <c r="AF667" s="870"/>
      <c r="AG667" s="870"/>
    </row>
    <row r="668" spans="1:33" s="995" customFormat="1">
      <c r="A668" s="974"/>
      <c r="D668" s="876"/>
      <c r="E668" s="974"/>
      <c r="F668" s="876"/>
      <c r="G668" s="876"/>
      <c r="H668" s="876"/>
      <c r="I668" s="876"/>
      <c r="J668" s="876"/>
      <c r="K668" s="876"/>
      <c r="L668" s="876"/>
      <c r="M668" s="876"/>
      <c r="N668" s="876"/>
      <c r="O668" s="876"/>
      <c r="P668" s="876"/>
      <c r="Q668" s="870"/>
      <c r="R668" s="870"/>
      <c r="S668" s="870"/>
      <c r="T668" s="870"/>
      <c r="U668" s="870"/>
      <c r="V668" s="870"/>
      <c r="W668" s="870"/>
      <c r="X668" s="870"/>
      <c r="Y668" s="870"/>
      <c r="Z668" s="870"/>
      <c r="AA668" s="870"/>
      <c r="AB668" s="870"/>
      <c r="AC668" s="870"/>
      <c r="AD668" s="870"/>
      <c r="AE668" s="870"/>
      <c r="AF668" s="870"/>
      <c r="AG668" s="870"/>
    </row>
    <row r="669" spans="1:33" s="995" customFormat="1">
      <c r="A669" s="974"/>
      <c r="D669" s="876"/>
      <c r="E669" s="974"/>
      <c r="F669" s="876"/>
      <c r="G669" s="876"/>
      <c r="H669" s="876"/>
      <c r="I669" s="876"/>
      <c r="J669" s="876"/>
      <c r="K669" s="876"/>
      <c r="L669" s="876"/>
      <c r="M669" s="876"/>
      <c r="N669" s="876"/>
      <c r="O669" s="876"/>
      <c r="P669" s="876"/>
      <c r="Q669" s="870"/>
      <c r="R669" s="870"/>
      <c r="S669" s="870"/>
      <c r="T669" s="870"/>
      <c r="U669" s="870"/>
      <c r="V669" s="870"/>
      <c r="W669" s="870"/>
      <c r="X669" s="870"/>
      <c r="Y669" s="870"/>
      <c r="Z669" s="870"/>
      <c r="AA669" s="870"/>
      <c r="AB669" s="870"/>
      <c r="AC669" s="870"/>
      <c r="AD669" s="870"/>
      <c r="AE669" s="870"/>
      <c r="AF669" s="870"/>
      <c r="AG669" s="870"/>
    </row>
    <row r="670" spans="1:33" s="995" customFormat="1">
      <c r="A670" s="974"/>
      <c r="D670" s="876"/>
      <c r="E670" s="974"/>
      <c r="F670" s="876"/>
      <c r="G670" s="876"/>
      <c r="H670" s="876"/>
      <c r="I670" s="876"/>
      <c r="J670" s="876"/>
      <c r="K670" s="876"/>
      <c r="L670" s="876"/>
      <c r="M670" s="876"/>
      <c r="N670" s="876"/>
      <c r="O670" s="876"/>
      <c r="P670" s="876"/>
      <c r="Q670" s="870"/>
      <c r="R670" s="870"/>
      <c r="S670" s="870"/>
      <c r="T670" s="870"/>
      <c r="U670" s="870"/>
      <c r="V670" s="870"/>
      <c r="W670" s="870"/>
      <c r="X670" s="870"/>
      <c r="Y670" s="870"/>
      <c r="Z670" s="870"/>
      <c r="AA670" s="870"/>
      <c r="AB670" s="870"/>
      <c r="AC670" s="870"/>
      <c r="AD670" s="870"/>
      <c r="AE670" s="870"/>
      <c r="AF670" s="870"/>
      <c r="AG670" s="870"/>
    </row>
    <row r="671" spans="1:33" s="995" customFormat="1">
      <c r="A671" s="974"/>
      <c r="D671" s="876"/>
      <c r="E671" s="974"/>
      <c r="F671" s="876"/>
      <c r="G671" s="876"/>
      <c r="H671" s="876"/>
      <c r="I671" s="876"/>
      <c r="J671" s="876"/>
      <c r="K671" s="876"/>
      <c r="L671" s="876"/>
      <c r="M671" s="876"/>
      <c r="N671" s="876"/>
      <c r="O671" s="876"/>
      <c r="P671" s="876"/>
      <c r="Q671" s="870"/>
      <c r="R671" s="870"/>
      <c r="S671" s="870"/>
      <c r="T671" s="870"/>
      <c r="U671" s="870"/>
      <c r="V671" s="870"/>
      <c r="W671" s="870"/>
      <c r="X671" s="870"/>
      <c r="Y671" s="870"/>
      <c r="Z671" s="870"/>
      <c r="AA671" s="870"/>
      <c r="AB671" s="870"/>
      <c r="AC671" s="870"/>
      <c r="AD671" s="870"/>
      <c r="AE671" s="870"/>
      <c r="AF671" s="870"/>
      <c r="AG671" s="870"/>
    </row>
    <row r="672" spans="1:33" s="995" customFormat="1">
      <c r="A672" s="974"/>
      <c r="D672" s="876"/>
      <c r="E672" s="974"/>
      <c r="F672" s="876"/>
      <c r="G672" s="876"/>
      <c r="H672" s="876"/>
      <c r="I672" s="876"/>
      <c r="J672" s="876"/>
      <c r="K672" s="876"/>
      <c r="L672" s="876"/>
      <c r="M672" s="876"/>
      <c r="N672" s="876"/>
      <c r="O672" s="876"/>
      <c r="P672" s="876"/>
      <c r="Q672" s="870"/>
      <c r="R672" s="870"/>
      <c r="S672" s="870"/>
      <c r="T672" s="870"/>
      <c r="U672" s="870"/>
      <c r="V672" s="870"/>
      <c r="W672" s="870"/>
      <c r="X672" s="870"/>
      <c r="Y672" s="870"/>
      <c r="Z672" s="870"/>
      <c r="AA672" s="870"/>
      <c r="AB672" s="870"/>
      <c r="AC672" s="870"/>
      <c r="AD672" s="870"/>
      <c r="AE672" s="870"/>
      <c r="AF672" s="870"/>
      <c r="AG672" s="870"/>
    </row>
    <row r="673" spans="1:33" s="995" customFormat="1">
      <c r="A673" s="974"/>
      <c r="D673" s="876"/>
      <c r="E673" s="974"/>
      <c r="F673" s="876"/>
      <c r="G673" s="876"/>
      <c r="H673" s="876"/>
      <c r="I673" s="876"/>
      <c r="J673" s="876"/>
      <c r="K673" s="876"/>
      <c r="L673" s="876"/>
      <c r="M673" s="876"/>
      <c r="N673" s="876"/>
      <c r="O673" s="876"/>
      <c r="P673" s="876"/>
      <c r="Q673" s="870"/>
      <c r="R673" s="870"/>
      <c r="S673" s="870"/>
      <c r="T673" s="870"/>
      <c r="U673" s="870"/>
      <c r="V673" s="870"/>
      <c r="W673" s="870"/>
      <c r="X673" s="870"/>
      <c r="Y673" s="870"/>
      <c r="Z673" s="870"/>
      <c r="AA673" s="870"/>
      <c r="AB673" s="870"/>
      <c r="AC673" s="870"/>
      <c r="AD673" s="870"/>
      <c r="AE673" s="870"/>
      <c r="AF673" s="870"/>
      <c r="AG673" s="870"/>
    </row>
    <row r="674" spans="1:33" s="995" customFormat="1">
      <c r="A674" s="974"/>
      <c r="D674" s="876"/>
      <c r="E674" s="974"/>
      <c r="F674" s="876"/>
      <c r="G674" s="876"/>
      <c r="H674" s="876"/>
      <c r="I674" s="876"/>
      <c r="J674" s="876"/>
      <c r="K674" s="876"/>
      <c r="L674" s="876"/>
      <c r="M674" s="876"/>
      <c r="N674" s="876"/>
      <c r="O674" s="876"/>
      <c r="P674" s="876"/>
      <c r="Q674" s="870"/>
      <c r="R674" s="870"/>
      <c r="S674" s="870"/>
      <c r="T674" s="870"/>
      <c r="U674" s="870"/>
      <c r="V674" s="870"/>
      <c r="W674" s="870"/>
      <c r="X674" s="870"/>
      <c r="Y674" s="870"/>
      <c r="Z674" s="870"/>
      <c r="AA674" s="870"/>
      <c r="AB674" s="870"/>
      <c r="AC674" s="870"/>
      <c r="AD674" s="870"/>
      <c r="AE674" s="870"/>
      <c r="AF674" s="870"/>
      <c r="AG674" s="870"/>
    </row>
    <row r="675" spans="1:33" s="995" customFormat="1">
      <c r="A675" s="974"/>
      <c r="D675" s="876"/>
      <c r="E675" s="974"/>
      <c r="F675" s="876"/>
      <c r="G675" s="876"/>
      <c r="H675" s="876"/>
      <c r="I675" s="876"/>
      <c r="J675" s="876"/>
      <c r="K675" s="876"/>
      <c r="L675" s="876"/>
      <c r="M675" s="876"/>
      <c r="N675" s="876"/>
      <c r="O675" s="876"/>
      <c r="P675" s="876"/>
      <c r="Q675" s="870"/>
      <c r="R675" s="870"/>
      <c r="S675" s="870"/>
      <c r="T675" s="870"/>
      <c r="U675" s="870"/>
      <c r="V675" s="870"/>
      <c r="W675" s="870"/>
      <c r="X675" s="870"/>
      <c r="Y675" s="870"/>
      <c r="Z675" s="870"/>
      <c r="AA675" s="870"/>
      <c r="AB675" s="870"/>
      <c r="AC675" s="870"/>
      <c r="AD675" s="870"/>
      <c r="AE675" s="870"/>
      <c r="AF675" s="870"/>
      <c r="AG675" s="870"/>
    </row>
    <row r="676" spans="1:33" s="995" customFormat="1">
      <c r="A676" s="974"/>
      <c r="D676" s="876"/>
      <c r="E676" s="974"/>
      <c r="F676" s="876"/>
      <c r="G676" s="876"/>
      <c r="H676" s="876"/>
      <c r="I676" s="876"/>
      <c r="J676" s="876"/>
      <c r="K676" s="876"/>
      <c r="L676" s="876"/>
      <c r="M676" s="876"/>
      <c r="N676" s="876"/>
      <c r="O676" s="876"/>
      <c r="P676" s="876"/>
      <c r="Q676" s="870"/>
      <c r="R676" s="870"/>
      <c r="S676" s="870"/>
      <c r="T676" s="870"/>
      <c r="U676" s="870"/>
      <c r="V676" s="870"/>
      <c r="W676" s="870"/>
      <c r="X676" s="870"/>
      <c r="Y676" s="870"/>
      <c r="Z676" s="870"/>
      <c r="AA676" s="870"/>
      <c r="AB676" s="870"/>
      <c r="AC676" s="870"/>
      <c r="AD676" s="870"/>
      <c r="AE676" s="870"/>
      <c r="AF676" s="870"/>
      <c r="AG676" s="870"/>
    </row>
    <row r="677" spans="1:33" s="995" customFormat="1">
      <c r="A677" s="974"/>
      <c r="D677" s="876"/>
      <c r="E677" s="974"/>
      <c r="F677" s="876"/>
      <c r="G677" s="876"/>
      <c r="H677" s="876"/>
      <c r="I677" s="876"/>
      <c r="J677" s="876"/>
      <c r="K677" s="876"/>
      <c r="L677" s="876"/>
      <c r="M677" s="876"/>
      <c r="N677" s="876"/>
      <c r="O677" s="876"/>
      <c r="P677" s="876"/>
      <c r="Q677" s="870"/>
      <c r="R677" s="870"/>
      <c r="S677" s="870"/>
      <c r="T677" s="870"/>
      <c r="U677" s="870"/>
      <c r="V677" s="870"/>
      <c r="W677" s="870"/>
      <c r="X677" s="870"/>
      <c r="Y677" s="870"/>
      <c r="Z677" s="870"/>
      <c r="AA677" s="870"/>
      <c r="AB677" s="870"/>
      <c r="AC677" s="870"/>
      <c r="AD677" s="870"/>
      <c r="AE677" s="870"/>
      <c r="AF677" s="870"/>
      <c r="AG677" s="870"/>
    </row>
    <row r="678" spans="1:33" s="995" customFormat="1">
      <c r="A678" s="974"/>
      <c r="D678" s="876"/>
      <c r="E678" s="974"/>
      <c r="F678" s="876"/>
      <c r="G678" s="876"/>
      <c r="H678" s="876"/>
      <c r="I678" s="876"/>
      <c r="J678" s="876"/>
      <c r="K678" s="876"/>
      <c r="L678" s="876"/>
      <c r="M678" s="876"/>
      <c r="N678" s="876"/>
      <c r="O678" s="876"/>
      <c r="P678" s="876"/>
      <c r="Q678" s="870"/>
      <c r="R678" s="870"/>
      <c r="S678" s="870"/>
      <c r="T678" s="870"/>
      <c r="U678" s="870"/>
      <c r="V678" s="870"/>
      <c r="W678" s="870"/>
      <c r="X678" s="870"/>
      <c r="Y678" s="870"/>
      <c r="Z678" s="870"/>
      <c r="AA678" s="870"/>
      <c r="AB678" s="870"/>
      <c r="AC678" s="870"/>
      <c r="AD678" s="870"/>
      <c r="AE678" s="870"/>
      <c r="AF678" s="870"/>
      <c r="AG678" s="870"/>
    </row>
    <row r="679" spans="1:33" s="995" customFormat="1">
      <c r="A679" s="974"/>
      <c r="D679" s="876"/>
      <c r="E679" s="974"/>
      <c r="F679" s="876"/>
      <c r="G679" s="876"/>
      <c r="H679" s="876"/>
      <c r="I679" s="876"/>
      <c r="J679" s="876"/>
      <c r="K679" s="876"/>
      <c r="L679" s="876"/>
      <c r="M679" s="876"/>
      <c r="N679" s="876"/>
      <c r="O679" s="876"/>
      <c r="P679" s="876"/>
      <c r="Q679" s="870"/>
      <c r="R679" s="870"/>
      <c r="S679" s="870"/>
      <c r="T679" s="870"/>
      <c r="U679" s="870"/>
      <c r="V679" s="870"/>
      <c r="W679" s="870"/>
      <c r="X679" s="870"/>
      <c r="Y679" s="870"/>
      <c r="Z679" s="870"/>
      <c r="AA679" s="870"/>
      <c r="AB679" s="870"/>
      <c r="AC679" s="870"/>
      <c r="AD679" s="870"/>
      <c r="AE679" s="870"/>
      <c r="AF679" s="870"/>
      <c r="AG679" s="870"/>
    </row>
    <row r="680" spans="1:33" s="995" customFormat="1">
      <c r="A680" s="974"/>
      <c r="D680" s="876"/>
      <c r="E680" s="974"/>
      <c r="F680" s="876"/>
      <c r="G680" s="876"/>
      <c r="H680" s="876"/>
      <c r="I680" s="876"/>
      <c r="J680" s="876"/>
      <c r="K680" s="876"/>
      <c r="L680" s="876"/>
      <c r="M680" s="876"/>
      <c r="N680" s="876"/>
      <c r="O680" s="876"/>
      <c r="P680" s="876"/>
      <c r="Q680" s="870"/>
      <c r="R680" s="870"/>
      <c r="S680" s="870"/>
      <c r="T680" s="870"/>
      <c r="U680" s="870"/>
      <c r="V680" s="870"/>
      <c r="W680" s="870"/>
      <c r="X680" s="870"/>
      <c r="Y680" s="870"/>
      <c r="Z680" s="870"/>
      <c r="AA680" s="870"/>
      <c r="AB680" s="870"/>
      <c r="AC680" s="870"/>
      <c r="AD680" s="870"/>
      <c r="AE680" s="870"/>
      <c r="AF680" s="870"/>
      <c r="AG680" s="870"/>
    </row>
    <row r="681" spans="1:33" s="995" customFormat="1">
      <c r="A681" s="974"/>
      <c r="D681" s="876"/>
      <c r="E681" s="974"/>
      <c r="F681" s="876"/>
      <c r="G681" s="876"/>
      <c r="H681" s="876"/>
      <c r="I681" s="876"/>
      <c r="J681" s="876"/>
      <c r="K681" s="876"/>
      <c r="L681" s="876"/>
      <c r="M681" s="876"/>
      <c r="N681" s="876"/>
      <c r="O681" s="876"/>
      <c r="P681" s="876"/>
      <c r="Q681" s="870"/>
      <c r="R681" s="870"/>
      <c r="S681" s="870"/>
      <c r="T681" s="870"/>
      <c r="U681" s="870"/>
      <c r="V681" s="870"/>
      <c r="W681" s="870"/>
      <c r="X681" s="870"/>
      <c r="Y681" s="870"/>
      <c r="Z681" s="870"/>
      <c r="AA681" s="870"/>
      <c r="AB681" s="870"/>
      <c r="AC681" s="870"/>
      <c r="AD681" s="870"/>
      <c r="AE681" s="870"/>
      <c r="AF681" s="870"/>
      <c r="AG681" s="870"/>
    </row>
    <row r="682" spans="1:33" s="995" customFormat="1">
      <c r="A682" s="974"/>
      <c r="D682" s="876"/>
      <c r="E682" s="974"/>
      <c r="F682" s="876"/>
      <c r="G682" s="876"/>
      <c r="H682" s="876"/>
      <c r="I682" s="876"/>
      <c r="J682" s="876"/>
      <c r="K682" s="876"/>
      <c r="L682" s="876"/>
      <c r="M682" s="876"/>
      <c r="N682" s="876"/>
      <c r="O682" s="876"/>
      <c r="P682" s="876"/>
      <c r="Q682" s="870"/>
      <c r="R682" s="870"/>
      <c r="S682" s="870"/>
      <c r="T682" s="870"/>
      <c r="U682" s="870"/>
      <c r="V682" s="870"/>
      <c r="W682" s="870"/>
      <c r="X682" s="870"/>
      <c r="Y682" s="870"/>
      <c r="Z682" s="870"/>
      <c r="AA682" s="870"/>
      <c r="AB682" s="870"/>
      <c r="AC682" s="870"/>
      <c r="AD682" s="870"/>
      <c r="AE682" s="870"/>
      <c r="AF682" s="870"/>
      <c r="AG682" s="870"/>
    </row>
    <row r="683" spans="1:33" s="995" customFormat="1">
      <c r="A683" s="974"/>
      <c r="D683" s="876"/>
      <c r="E683" s="974"/>
      <c r="F683" s="876"/>
      <c r="G683" s="876"/>
      <c r="H683" s="876"/>
      <c r="I683" s="876"/>
      <c r="J683" s="876"/>
      <c r="K683" s="876"/>
      <c r="L683" s="876"/>
      <c r="M683" s="876"/>
      <c r="N683" s="876"/>
      <c r="O683" s="876"/>
      <c r="P683" s="876"/>
      <c r="Q683" s="870"/>
      <c r="R683" s="870"/>
      <c r="S683" s="870"/>
      <c r="T683" s="870"/>
      <c r="U683" s="870"/>
      <c r="V683" s="870"/>
      <c r="W683" s="870"/>
      <c r="X683" s="870"/>
      <c r="Y683" s="870"/>
      <c r="Z683" s="870"/>
      <c r="AA683" s="870"/>
      <c r="AB683" s="870"/>
      <c r="AC683" s="870"/>
      <c r="AD683" s="870"/>
      <c r="AE683" s="870"/>
      <c r="AF683" s="870"/>
      <c r="AG683" s="870"/>
    </row>
    <row r="684" spans="1:33" s="995" customFormat="1">
      <c r="A684" s="974"/>
      <c r="D684" s="876"/>
      <c r="E684" s="974"/>
      <c r="F684" s="876"/>
      <c r="G684" s="876"/>
      <c r="H684" s="876"/>
      <c r="I684" s="876"/>
      <c r="J684" s="876"/>
      <c r="K684" s="876"/>
      <c r="L684" s="876"/>
      <c r="M684" s="876"/>
      <c r="N684" s="876"/>
      <c r="O684" s="876"/>
      <c r="P684" s="876"/>
      <c r="Q684" s="870"/>
      <c r="R684" s="870"/>
      <c r="S684" s="870"/>
      <c r="T684" s="870"/>
      <c r="U684" s="870"/>
      <c r="V684" s="870"/>
      <c r="W684" s="870"/>
      <c r="X684" s="870"/>
      <c r="Y684" s="870"/>
      <c r="Z684" s="870"/>
      <c r="AA684" s="870"/>
      <c r="AB684" s="870"/>
      <c r="AC684" s="870"/>
      <c r="AD684" s="870"/>
      <c r="AE684" s="870"/>
      <c r="AF684" s="870"/>
      <c r="AG684" s="870"/>
    </row>
    <row r="685" spans="1:33" s="995" customFormat="1">
      <c r="A685" s="974"/>
      <c r="D685" s="876"/>
      <c r="E685" s="974"/>
      <c r="F685" s="876"/>
      <c r="G685" s="876"/>
      <c r="H685" s="876"/>
      <c r="I685" s="876"/>
      <c r="J685" s="876"/>
      <c r="K685" s="876"/>
      <c r="L685" s="876"/>
      <c r="M685" s="876"/>
      <c r="N685" s="876"/>
      <c r="O685" s="876"/>
      <c r="P685" s="876"/>
      <c r="Q685" s="870"/>
      <c r="R685" s="870"/>
      <c r="S685" s="870"/>
      <c r="T685" s="870"/>
      <c r="U685" s="870"/>
      <c r="V685" s="870"/>
      <c r="W685" s="870"/>
      <c r="X685" s="870"/>
      <c r="Y685" s="870"/>
      <c r="Z685" s="870"/>
      <c r="AA685" s="870"/>
      <c r="AB685" s="870"/>
      <c r="AC685" s="870"/>
      <c r="AD685" s="870"/>
      <c r="AE685" s="870"/>
      <c r="AF685" s="870"/>
      <c r="AG685" s="870"/>
    </row>
    <row r="686" spans="1:33" s="995" customFormat="1">
      <c r="A686" s="974"/>
      <c r="D686" s="876"/>
      <c r="E686" s="974"/>
      <c r="F686" s="876"/>
      <c r="G686" s="876"/>
      <c r="H686" s="876"/>
      <c r="I686" s="876"/>
      <c r="J686" s="876"/>
      <c r="K686" s="876"/>
      <c r="L686" s="876"/>
      <c r="M686" s="876"/>
      <c r="N686" s="876"/>
      <c r="O686" s="876"/>
      <c r="P686" s="876"/>
      <c r="Q686" s="870"/>
      <c r="R686" s="870"/>
      <c r="S686" s="870"/>
      <c r="T686" s="870"/>
      <c r="U686" s="870"/>
      <c r="V686" s="870"/>
      <c r="W686" s="870"/>
      <c r="X686" s="870"/>
      <c r="Y686" s="870"/>
      <c r="Z686" s="870"/>
      <c r="AA686" s="870"/>
      <c r="AB686" s="870"/>
      <c r="AC686" s="870"/>
      <c r="AD686" s="870"/>
      <c r="AE686" s="870"/>
      <c r="AF686" s="870"/>
      <c r="AG686" s="870"/>
    </row>
    <row r="687" spans="1:33" s="995" customFormat="1">
      <c r="A687" s="974"/>
      <c r="D687" s="876"/>
      <c r="E687" s="974"/>
      <c r="F687" s="876"/>
      <c r="G687" s="876"/>
      <c r="H687" s="876"/>
      <c r="I687" s="876"/>
      <c r="J687" s="876"/>
      <c r="K687" s="876"/>
      <c r="L687" s="876"/>
      <c r="M687" s="876"/>
      <c r="N687" s="876"/>
      <c r="O687" s="876"/>
      <c r="P687" s="876"/>
      <c r="Q687" s="870"/>
      <c r="R687" s="870"/>
      <c r="S687" s="870"/>
      <c r="T687" s="870"/>
      <c r="U687" s="870"/>
      <c r="V687" s="870"/>
      <c r="W687" s="870"/>
      <c r="X687" s="870"/>
      <c r="Y687" s="870"/>
      <c r="Z687" s="870"/>
      <c r="AA687" s="870"/>
      <c r="AB687" s="870"/>
      <c r="AC687" s="870"/>
      <c r="AD687" s="870"/>
      <c r="AE687" s="870"/>
      <c r="AF687" s="870"/>
      <c r="AG687" s="870"/>
    </row>
    <row r="688" spans="1:33" s="995" customFormat="1">
      <c r="A688" s="974"/>
      <c r="D688" s="876"/>
      <c r="E688" s="974"/>
      <c r="F688" s="876"/>
      <c r="G688" s="876"/>
      <c r="H688" s="876"/>
      <c r="I688" s="876"/>
      <c r="J688" s="876"/>
      <c r="K688" s="876"/>
      <c r="L688" s="876"/>
      <c r="M688" s="876"/>
      <c r="N688" s="876"/>
      <c r="O688" s="876"/>
      <c r="P688" s="876"/>
      <c r="Q688" s="870"/>
      <c r="R688" s="870"/>
      <c r="S688" s="870"/>
      <c r="T688" s="870"/>
      <c r="U688" s="870"/>
      <c r="V688" s="870"/>
      <c r="W688" s="870"/>
      <c r="X688" s="870"/>
      <c r="Y688" s="870"/>
      <c r="Z688" s="870"/>
      <c r="AA688" s="870"/>
      <c r="AB688" s="870"/>
      <c r="AC688" s="870"/>
      <c r="AD688" s="870"/>
      <c r="AE688" s="870"/>
      <c r="AF688" s="870"/>
      <c r="AG688" s="870"/>
    </row>
    <row r="689" spans="1:33" s="995" customFormat="1">
      <c r="A689" s="974"/>
      <c r="D689" s="876"/>
      <c r="E689" s="974"/>
      <c r="F689" s="876"/>
      <c r="G689" s="876"/>
      <c r="H689" s="876"/>
      <c r="I689" s="876"/>
      <c r="J689" s="876"/>
      <c r="K689" s="876"/>
      <c r="L689" s="876"/>
      <c r="M689" s="876"/>
      <c r="N689" s="876"/>
      <c r="O689" s="876"/>
      <c r="P689" s="876"/>
      <c r="Q689" s="870"/>
      <c r="R689" s="870"/>
      <c r="S689" s="870"/>
      <c r="T689" s="870"/>
      <c r="U689" s="870"/>
      <c r="V689" s="870"/>
      <c r="W689" s="870"/>
      <c r="X689" s="870"/>
      <c r="Y689" s="870"/>
      <c r="Z689" s="870"/>
      <c r="AA689" s="870"/>
      <c r="AB689" s="870"/>
      <c r="AC689" s="870"/>
      <c r="AD689" s="870"/>
      <c r="AE689" s="870"/>
      <c r="AF689" s="870"/>
      <c r="AG689" s="870"/>
    </row>
    <row r="690" spans="1:33" s="995" customFormat="1">
      <c r="A690" s="974"/>
      <c r="D690" s="876"/>
      <c r="E690" s="974"/>
      <c r="F690" s="876"/>
      <c r="G690" s="876"/>
      <c r="H690" s="876"/>
      <c r="I690" s="876"/>
      <c r="J690" s="876"/>
      <c r="K690" s="876"/>
      <c r="L690" s="876"/>
      <c r="M690" s="876"/>
      <c r="N690" s="876"/>
      <c r="O690" s="876"/>
      <c r="P690" s="876"/>
      <c r="Q690" s="870"/>
      <c r="R690" s="870"/>
      <c r="S690" s="870"/>
      <c r="T690" s="870"/>
      <c r="U690" s="870"/>
      <c r="V690" s="870"/>
      <c r="W690" s="870"/>
      <c r="X690" s="870"/>
      <c r="Y690" s="870"/>
      <c r="Z690" s="870"/>
      <c r="AA690" s="870"/>
      <c r="AB690" s="870"/>
      <c r="AC690" s="870"/>
      <c r="AD690" s="870"/>
      <c r="AE690" s="870"/>
      <c r="AF690" s="870"/>
      <c r="AG690" s="870"/>
    </row>
    <row r="691" spans="1:33" s="995" customFormat="1">
      <c r="A691" s="974"/>
      <c r="D691" s="876"/>
      <c r="E691" s="974"/>
      <c r="F691" s="876"/>
      <c r="G691" s="876"/>
      <c r="H691" s="876"/>
      <c r="I691" s="876"/>
      <c r="J691" s="876"/>
      <c r="K691" s="876"/>
      <c r="L691" s="876"/>
      <c r="M691" s="876"/>
      <c r="N691" s="876"/>
      <c r="O691" s="876"/>
      <c r="P691" s="876"/>
      <c r="Q691" s="870"/>
      <c r="R691" s="870"/>
      <c r="S691" s="870"/>
      <c r="T691" s="870"/>
      <c r="U691" s="870"/>
      <c r="V691" s="870"/>
      <c r="W691" s="870"/>
      <c r="X691" s="870"/>
      <c r="Y691" s="870"/>
      <c r="Z691" s="870"/>
      <c r="AA691" s="870"/>
      <c r="AB691" s="870"/>
      <c r="AC691" s="870"/>
      <c r="AD691" s="870"/>
      <c r="AE691" s="870"/>
      <c r="AF691" s="870"/>
      <c r="AG691" s="870"/>
    </row>
    <row r="692" spans="1:33" s="995" customFormat="1">
      <c r="A692" s="974"/>
      <c r="D692" s="876"/>
      <c r="E692" s="974"/>
      <c r="F692" s="876"/>
      <c r="G692" s="876"/>
      <c r="H692" s="876"/>
      <c r="I692" s="876"/>
      <c r="J692" s="876"/>
      <c r="K692" s="876"/>
      <c r="L692" s="876"/>
      <c r="M692" s="876"/>
      <c r="N692" s="876"/>
      <c r="O692" s="876"/>
      <c r="P692" s="876"/>
      <c r="Q692" s="870"/>
      <c r="R692" s="870"/>
      <c r="S692" s="870"/>
      <c r="T692" s="870"/>
      <c r="U692" s="870"/>
      <c r="V692" s="870"/>
      <c r="W692" s="870"/>
      <c r="X692" s="870"/>
      <c r="Y692" s="870"/>
      <c r="Z692" s="870"/>
      <c r="AA692" s="870"/>
      <c r="AB692" s="870"/>
      <c r="AC692" s="870"/>
      <c r="AD692" s="870"/>
      <c r="AE692" s="870"/>
      <c r="AF692" s="870"/>
      <c r="AG692" s="870"/>
    </row>
    <row r="693" spans="1:33" s="995" customFormat="1">
      <c r="A693" s="974"/>
      <c r="D693" s="876"/>
      <c r="E693" s="974"/>
      <c r="F693" s="876"/>
      <c r="G693" s="876"/>
      <c r="H693" s="876"/>
      <c r="I693" s="876"/>
      <c r="J693" s="876"/>
      <c r="K693" s="876"/>
      <c r="L693" s="876"/>
      <c r="M693" s="876"/>
      <c r="N693" s="876"/>
      <c r="O693" s="876"/>
      <c r="P693" s="876"/>
      <c r="Q693" s="870"/>
      <c r="R693" s="870"/>
      <c r="S693" s="870"/>
      <c r="T693" s="870"/>
      <c r="U693" s="870"/>
      <c r="V693" s="870"/>
      <c r="W693" s="870"/>
      <c r="X693" s="870"/>
      <c r="Y693" s="870"/>
      <c r="Z693" s="870"/>
      <c r="AA693" s="870"/>
      <c r="AB693" s="870"/>
      <c r="AC693" s="870"/>
      <c r="AD693" s="870"/>
      <c r="AE693" s="870"/>
      <c r="AF693" s="870"/>
      <c r="AG693" s="870"/>
    </row>
    <row r="694" spans="1:33" s="995" customFormat="1">
      <c r="A694" s="974"/>
      <c r="D694" s="876"/>
      <c r="E694" s="974"/>
      <c r="F694" s="876"/>
      <c r="G694" s="876"/>
      <c r="H694" s="876"/>
      <c r="I694" s="876"/>
      <c r="J694" s="876"/>
      <c r="K694" s="876"/>
      <c r="L694" s="876"/>
      <c r="M694" s="876"/>
      <c r="N694" s="876"/>
      <c r="O694" s="876"/>
      <c r="P694" s="876"/>
      <c r="Q694" s="870"/>
      <c r="R694" s="870"/>
      <c r="S694" s="870"/>
      <c r="T694" s="870"/>
      <c r="U694" s="870"/>
      <c r="V694" s="870"/>
      <c r="W694" s="870"/>
      <c r="X694" s="870"/>
      <c r="Y694" s="870"/>
      <c r="Z694" s="870"/>
      <c r="AA694" s="870"/>
      <c r="AB694" s="870"/>
      <c r="AC694" s="870"/>
      <c r="AD694" s="870"/>
      <c r="AE694" s="870"/>
      <c r="AF694" s="870"/>
      <c r="AG694" s="870"/>
    </row>
    <row r="695" spans="1:33" s="995" customFormat="1">
      <c r="A695" s="974"/>
      <c r="D695" s="876"/>
      <c r="E695" s="974"/>
      <c r="F695" s="876"/>
      <c r="G695" s="876"/>
      <c r="H695" s="876"/>
      <c r="I695" s="876"/>
      <c r="J695" s="876"/>
      <c r="K695" s="876"/>
      <c r="L695" s="876"/>
      <c r="M695" s="876"/>
      <c r="N695" s="876"/>
      <c r="O695" s="876"/>
      <c r="P695" s="876"/>
      <c r="Q695" s="870"/>
      <c r="R695" s="870"/>
      <c r="S695" s="870"/>
      <c r="T695" s="870"/>
      <c r="U695" s="870"/>
      <c r="V695" s="870"/>
      <c r="W695" s="870"/>
      <c r="X695" s="870"/>
      <c r="Y695" s="870"/>
      <c r="Z695" s="870"/>
      <c r="AA695" s="870"/>
      <c r="AB695" s="870"/>
      <c r="AC695" s="870"/>
      <c r="AD695" s="870"/>
      <c r="AE695" s="870"/>
      <c r="AF695" s="870"/>
      <c r="AG695" s="870"/>
    </row>
    <row r="696" spans="1:33" s="995" customFormat="1">
      <c r="A696" s="974"/>
      <c r="D696" s="876"/>
      <c r="E696" s="974"/>
      <c r="F696" s="876"/>
      <c r="G696" s="876"/>
      <c r="H696" s="876"/>
      <c r="I696" s="876"/>
      <c r="J696" s="876"/>
      <c r="K696" s="876"/>
      <c r="L696" s="876"/>
      <c r="M696" s="876"/>
      <c r="N696" s="876"/>
      <c r="O696" s="876"/>
      <c r="P696" s="876"/>
      <c r="Q696" s="870"/>
      <c r="R696" s="870"/>
      <c r="S696" s="870"/>
      <c r="T696" s="870"/>
      <c r="U696" s="870"/>
      <c r="V696" s="870"/>
      <c r="W696" s="870"/>
      <c r="X696" s="870"/>
      <c r="Y696" s="870"/>
      <c r="Z696" s="870"/>
      <c r="AA696" s="870"/>
      <c r="AB696" s="870"/>
      <c r="AC696" s="870"/>
      <c r="AD696" s="870"/>
      <c r="AE696" s="870"/>
      <c r="AF696" s="870"/>
      <c r="AG696" s="870"/>
    </row>
    <row r="697" spans="1:33" s="995" customFormat="1">
      <c r="A697" s="974"/>
      <c r="D697" s="876"/>
      <c r="E697" s="974"/>
      <c r="F697" s="876"/>
      <c r="G697" s="876"/>
      <c r="H697" s="876"/>
      <c r="I697" s="876"/>
      <c r="J697" s="876"/>
      <c r="K697" s="876"/>
      <c r="L697" s="876"/>
      <c r="M697" s="876"/>
      <c r="N697" s="876"/>
      <c r="O697" s="876"/>
      <c r="P697" s="876"/>
      <c r="Q697" s="870"/>
      <c r="R697" s="870"/>
      <c r="S697" s="870"/>
      <c r="T697" s="870"/>
      <c r="U697" s="870"/>
      <c r="V697" s="870"/>
      <c r="W697" s="870"/>
      <c r="X697" s="870"/>
      <c r="Y697" s="870"/>
      <c r="Z697" s="870"/>
      <c r="AA697" s="870"/>
      <c r="AB697" s="870"/>
      <c r="AC697" s="870"/>
      <c r="AD697" s="870"/>
      <c r="AE697" s="870"/>
      <c r="AF697" s="870"/>
      <c r="AG697" s="870"/>
    </row>
    <row r="698" spans="1:33" s="995" customFormat="1">
      <c r="A698" s="974"/>
      <c r="D698" s="876"/>
      <c r="E698" s="974"/>
      <c r="F698" s="876"/>
      <c r="G698" s="876"/>
      <c r="H698" s="876"/>
      <c r="I698" s="876"/>
      <c r="J698" s="876"/>
      <c r="K698" s="876"/>
      <c r="L698" s="876"/>
      <c r="M698" s="876"/>
      <c r="N698" s="876"/>
      <c r="O698" s="876"/>
      <c r="P698" s="876"/>
      <c r="Q698" s="870"/>
      <c r="R698" s="870"/>
      <c r="S698" s="870"/>
      <c r="T698" s="870"/>
      <c r="U698" s="870"/>
      <c r="V698" s="870"/>
      <c r="W698" s="870"/>
      <c r="X698" s="870"/>
      <c r="Y698" s="870"/>
      <c r="Z698" s="870"/>
      <c r="AA698" s="870"/>
      <c r="AB698" s="870"/>
      <c r="AC698" s="870"/>
      <c r="AD698" s="870"/>
      <c r="AE698" s="870"/>
      <c r="AF698" s="870"/>
      <c r="AG698" s="870"/>
    </row>
    <row r="699" spans="1:33" s="995" customFormat="1">
      <c r="A699" s="974"/>
      <c r="D699" s="876"/>
      <c r="E699" s="974"/>
      <c r="F699" s="876"/>
      <c r="G699" s="876"/>
      <c r="H699" s="876"/>
      <c r="I699" s="876"/>
      <c r="J699" s="876"/>
      <c r="K699" s="876"/>
      <c r="L699" s="876"/>
      <c r="M699" s="876"/>
      <c r="N699" s="876"/>
      <c r="O699" s="876"/>
      <c r="P699" s="876"/>
      <c r="Q699" s="870"/>
      <c r="R699" s="870"/>
      <c r="S699" s="870"/>
      <c r="T699" s="870"/>
      <c r="U699" s="870"/>
      <c r="V699" s="870"/>
      <c r="W699" s="870"/>
      <c r="X699" s="870"/>
      <c r="Y699" s="870"/>
      <c r="Z699" s="870"/>
      <c r="AA699" s="870"/>
      <c r="AB699" s="870"/>
      <c r="AC699" s="870"/>
      <c r="AD699" s="870"/>
      <c r="AE699" s="870"/>
      <c r="AF699" s="870"/>
      <c r="AG699" s="870"/>
    </row>
    <row r="700" spans="1:33" s="995" customFormat="1">
      <c r="A700" s="974"/>
      <c r="D700" s="876"/>
      <c r="E700" s="974"/>
      <c r="F700" s="876"/>
      <c r="G700" s="876"/>
      <c r="H700" s="876"/>
      <c r="I700" s="876"/>
      <c r="J700" s="876"/>
      <c r="K700" s="876"/>
      <c r="L700" s="876"/>
      <c r="M700" s="876"/>
      <c r="N700" s="876"/>
      <c r="O700" s="876"/>
      <c r="P700" s="876"/>
      <c r="Q700" s="870"/>
      <c r="R700" s="870"/>
      <c r="S700" s="870"/>
      <c r="T700" s="870"/>
      <c r="U700" s="870"/>
      <c r="V700" s="870"/>
      <c r="W700" s="870"/>
      <c r="X700" s="870"/>
      <c r="Y700" s="870"/>
      <c r="Z700" s="870"/>
      <c r="AA700" s="870"/>
      <c r="AB700" s="870"/>
      <c r="AC700" s="870"/>
      <c r="AD700" s="870"/>
      <c r="AE700" s="870"/>
      <c r="AF700" s="870"/>
      <c r="AG700" s="870"/>
    </row>
    <row r="701" spans="1:33" s="995" customFormat="1">
      <c r="A701" s="974"/>
      <c r="D701" s="876"/>
      <c r="E701" s="974"/>
      <c r="F701" s="876"/>
      <c r="G701" s="876"/>
      <c r="H701" s="876"/>
      <c r="I701" s="876"/>
      <c r="J701" s="876"/>
      <c r="K701" s="876"/>
      <c r="L701" s="876"/>
      <c r="M701" s="876"/>
      <c r="N701" s="876"/>
      <c r="O701" s="876"/>
      <c r="P701" s="876"/>
      <c r="Q701" s="870"/>
      <c r="R701" s="870"/>
      <c r="S701" s="870"/>
      <c r="T701" s="870"/>
      <c r="U701" s="870"/>
      <c r="V701" s="870"/>
      <c r="W701" s="870"/>
      <c r="X701" s="870"/>
      <c r="Y701" s="870"/>
      <c r="Z701" s="870"/>
      <c r="AA701" s="870"/>
      <c r="AB701" s="870"/>
      <c r="AC701" s="870"/>
      <c r="AD701" s="870"/>
      <c r="AE701" s="870"/>
      <c r="AF701" s="870"/>
      <c r="AG701" s="870"/>
    </row>
    <row r="702" spans="1:33" s="995" customFormat="1">
      <c r="A702" s="974"/>
      <c r="D702" s="876"/>
      <c r="E702" s="974"/>
      <c r="F702" s="876"/>
      <c r="G702" s="876"/>
      <c r="H702" s="876"/>
      <c r="I702" s="876"/>
      <c r="J702" s="876"/>
      <c r="K702" s="876"/>
      <c r="L702" s="876"/>
      <c r="M702" s="876"/>
      <c r="N702" s="876"/>
      <c r="O702" s="876"/>
      <c r="P702" s="876"/>
      <c r="Q702" s="870"/>
      <c r="R702" s="870"/>
      <c r="S702" s="870"/>
      <c r="T702" s="870"/>
      <c r="U702" s="870"/>
      <c r="V702" s="870"/>
      <c r="W702" s="870"/>
      <c r="X702" s="870"/>
      <c r="Y702" s="870"/>
      <c r="Z702" s="870"/>
      <c r="AA702" s="870"/>
      <c r="AB702" s="870"/>
      <c r="AC702" s="870"/>
      <c r="AD702" s="870"/>
      <c r="AE702" s="870"/>
      <c r="AF702" s="870"/>
      <c r="AG702" s="870"/>
    </row>
    <row r="703" spans="1:33" s="995" customFormat="1">
      <c r="A703" s="974"/>
      <c r="D703" s="876"/>
      <c r="E703" s="974"/>
      <c r="F703" s="876"/>
      <c r="G703" s="876"/>
      <c r="H703" s="876"/>
      <c r="I703" s="876"/>
      <c r="J703" s="876"/>
      <c r="K703" s="876"/>
      <c r="L703" s="876"/>
      <c r="M703" s="876"/>
      <c r="N703" s="876"/>
      <c r="O703" s="876"/>
      <c r="P703" s="876"/>
      <c r="Q703" s="870"/>
      <c r="R703" s="870"/>
      <c r="S703" s="870"/>
      <c r="T703" s="870"/>
      <c r="U703" s="870"/>
      <c r="V703" s="870"/>
      <c r="W703" s="870"/>
      <c r="X703" s="870"/>
      <c r="Y703" s="870"/>
      <c r="Z703" s="870"/>
      <c r="AA703" s="870"/>
      <c r="AB703" s="870"/>
      <c r="AC703" s="870"/>
      <c r="AD703" s="870"/>
      <c r="AE703" s="870"/>
      <c r="AF703" s="870"/>
      <c r="AG703" s="870"/>
    </row>
    <row r="704" spans="1:33" s="995" customFormat="1">
      <c r="A704" s="974"/>
      <c r="D704" s="876"/>
      <c r="E704" s="974"/>
      <c r="F704" s="876"/>
      <c r="G704" s="876"/>
      <c r="H704" s="876"/>
      <c r="I704" s="876"/>
      <c r="J704" s="876"/>
      <c r="K704" s="876"/>
      <c r="L704" s="876"/>
      <c r="M704" s="876"/>
      <c r="N704" s="876"/>
      <c r="O704" s="876"/>
      <c r="P704" s="876"/>
      <c r="Q704" s="870"/>
      <c r="R704" s="870"/>
      <c r="S704" s="870"/>
      <c r="T704" s="870"/>
      <c r="U704" s="870"/>
      <c r="V704" s="870"/>
      <c r="W704" s="870"/>
      <c r="X704" s="870"/>
      <c r="Y704" s="870"/>
      <c r="Z704" s="870"/>
      <c r="AA704" s="870"/>
      <c r="AB704" s="870"/>
      <c r="AC704" s="870"/>
      <c r="AD704" s="870"/>
      <c r="AE704" s="870"/>
      <c r="AF704" s="870"/>
      <c r="AG704" s="870"/>
    </row>
    <row r="705" spans="1:33" s="995" customFormat="1">
      <c r="A705" s="974"/>
      <c r="D705" s="876"/>
      <c r="E705" s="974"/>
      <c r="F705" s="876"/>
      <c r="G705" s="876"/>
      <c r="H705" s="876"/>
      <c r="I705" s="876"/>
      <c r="J705" s="876"/>
      <c r="K705" s="876"/>
      <c r="L705" s="876"/>
      <c r="M705" s="876"/>
      <c r="N705" s="876"/>
      <c r="O705" s="876"/>
      <c r="P705" s="876"/>
      <c r="Q705" s="870"/>
      <c r="R705" s="870"/>
      <c r="S705" s="870"/>
      <c r="T705" s="870"/>
      <c r="U705" s="870"/>
      <c r="V705" s="870"/>
      <c r="W705" s="870"/>
      <c r="X705" s="870"/>
      <c r="Y705" s="870"/>
      <c r="Z705" s="870"/>
      <c r="AA705" s="870"/>
      <c r="AB705" s="870"/>
      <c r="AC705" s="870"/>
      <c r="AD705" s="870"/>
      <c r="AE705" s="870"/>
      <c r="AF705" s="870"/>
      <c r="AG705" s="870"/>
    </row>
    <row r="706" spans="1:33" s="995" customFormat="1">
      <c r="A706" s="974"/>
      <c r="D706" s="876"/>
      <c r="E706" s="974"/>
      <c r="F706" s="876"/>
      <c r="G706" s="876"/>
      <c r="H706" s="876"/>
      <c r="I706" s="876"/>
      <c r="J706" s="876"/>
      <c r="K706" s="876"/>
      <c r="L706" s="876"/>
      <c r="M706" s="876"/>
      <c r="N706" s="876"/>
      <c r="O706" s="876"/>
      <c r="P706" s="876"/>
      <c r="Q706" s="870"/>
      <c r="R706" s="870"/>
      <c r="S706" s="870"/>
      <c r="T706" s="870"/>
      <c r="U706" s="870"/>
      <c r="V706" s="870"/>
      <c r="W706" s="870"/>
      <c r="X706" s="870"/>
      <c r="Y706" s="870"/>
      <c r="Z706" s="870"/>
      <c r="AA706" s="870"/>
      <c r="AB706" s="870"/>
      <c r="AC706" s="870"/>
      <c r="AD706" s="870"/>
      <c r="AE706" s="870"/>
      <c r="AF706" s="870"/>
      <c r="AG706" s="870"/>
    </row>
    <row r="707" spans="1:33" s="995" customFormat="1">
      <c r="A707" s="974"/>
      <c r="D707" s="876"/>
      <c r="E707" s="974"/>
      <c r="F707" s="876"/>
      <c r="G707" s="876"/>
      <c r="H707" s="876"/>
      <c r="I707" s="876"/>
      <c r="J707" s="876"/>
      <c r="K707" s="876"/>
      <c r="L707" s="876"/>
      <c r="M707" s="876"/>
      <c r="N707" s="876"/>
      <c r="O707" s="876"/>
      <c r="P707" s="876"/>
      <c r="Q707" s="870"/>
      <c r="R707" s="870"/>
      <c r="S707" s="870"/>
      <c r="T707" s="870"/>
      <c r="U707" s="870"/>
      <c r="V707" s="870"/>
      <c r="W707" s="870"/>
      <c r="X707" s="870"/>
      <c r="Y707" s="870"/>
      <c r="Z707" s="870"/>
      <c r="AA707" s="870"/>
      <c r="AB707" s="870"/>
      <c r="AC707" s="870"/>
      <c r="AD707" s="870"/>
      <c r="AE707" s="870"/>
      <c r="AF707" s="870"/>
      <c r="AG707" s="870"/>
    </row>
    <row r="708" spans="1:33" s="995" customFormat="1">
      <c r="A708" s="974"/>
      <c r="D708" s="876"/>
      <c r="E708" s="974"/>
      <c r="F708" s="876"/>
      <c r="G708" s="876"/>
      <c r="H708" s="876"/>
      <c r="I708" s="876"/>
      <c r="J708" s="876"/>
      <c r="K708" s="876"/>
      <c r="L708" s="876"/>
      <c r="M708" s="876"/>
      <c r="N708" s="876"/>
      <c r="O708" s="876"/>
      <c r="P708" s="876"/>
      <c r="Q708" s="870"/>
      <c r="R708" s="870"/>
      <c r="S708" s="870"/>
      <c r="T708" s="870"/>
      <c r="U708" s="870"/>
      <c r="V708" s="870"/>
      <c r="W708" s="870"/>
      <c r="X708" s="870"/>
      <c r="Y708" s="870"/>
      <c r="Z708" s="870"/>
      <c r="AA708" s="870"/>
      <c r="AB708" s="870"/>
      <c r="AC708" s="870"/>
      <c r="AD708" s="870"/>
      <c r="AE708" s="870"/>
      <c r="AF708" s="870"/>
      <c r="AG708" s="870"/>
    </row>
    <row r="709" spans="1:33" s="995" customFormat="1">
      <c r="A709" s="974"/>
      <c r="D709" s="876"/>
      <c r="E709" s="974"/>
      <c r="F709" s="876"/>
      <c r="G709" s="876"/>
      <c r="H709" s="876"/>
      <c r="I709" s="876"/>
      <c r="J709" s="876"/>
      <c r="K709" s="876"/>
      <c r="L709" s="876"/>
      <c r="M709" s="876"/>
      <c r="N709" s="876"/>
      <c r="O709" s="876"/>
      <c r="P709" s="876"/>
      <c r="Q709" s="870"/>
      <c r="R709" s="870"/>
      <c r="S709" s="870"/>
      <c r="T709" s="870"/>
      <c r="U709" s="870"/>
      <c r="V709" s="870"/>
      <c r="W709" s="870"/>
      <c r="X709" s="870"/>
      <c r="Y709" s="870"/>
      <c r="Z709" s="870"/>
      <c r="AA709" s="870"/>
      <c r="AB709" s="870"/>
      <c r="AC709" s="870"/>
      <c r="AD709" s="870"/>
      <c r="AE709" s="870"/>
      <c r="AF709" s="870"/>
      <c r="AG709" s="870"/>
    </row>
    <row r="710" spans="1:33" s="995" customFormat="1">
      <c r="A710" s="974"/>
      <c r="D710" s="876"/>
      <c r="E710" s="974"/>
      <c r="F710" s="876"/>
      <c r="G710" s="876"/>
      <c r="H710" s="876"/>
      <c r="I710" s="876"/>
      <c r="J710" s="876"/>
      <c r="K710" s="876"/>
      <c r="L710" s="876"/>
      <c r="M710" s="876"/>
      <c r="N710" s="876"/>
      <c r="O710" s="876"/>
      <c r="P710" s="876"/>
      <c r="Q710" s="870"/>
      <c r="R710" s="870"/>
      <c r="S710" s="870"/>
      <c r="T710" s="870"/>
      <c r="U710" s="870"/>
      <c r="V710" s="870"/>
      <c r="W710" s="870"/>
      <c r="X710" s="870"/>
      <c r="Y710" s="870"/>
      <c r="Z710" s="870"/>
      <c r="AA710" s="870"/>
      <c r="AB710" s="870"/>
      <c r="AC710" s="870"/>
      <c r="AD710" s="870"/>
      <c r="AE710" s="870"/>
      <c r="AF710" s="870"/>
      <c r="AG710" s="870"/>
    </row>
    <row r="711" spans="1:33" s="995" customFormat="1">
      <c r="A711" s="974"/>
      <c r="D711" s="876"/>
      <c r="E711" s="974"/>
      <c r="F711" s="876"/>
      <c r="G711" s="876"/>
      <c r="H711" s="876"/>
      <c r="I711" s="876"/>
      <c r="J711" s="876"/>
      <c r="K711" s="876"/>
      <c r="L711" s="876"/>
      <c r="M711" s="876"/>
      <c r="N711" s="876"/>
      <c r="O711" s="876"/>
      <c r="P711" s="876"/>
      <c r="Q711" s="870"/>
      <c r="R711" s="870"/>
      <c r="S711" s="870"/>
      <c r="T711" s="870"/>
      <c r="U711" s="870"/>
      <c r="V711" s="870"/>
      <c r="W711" s="870"/>
      <c r="X711" s="870"/>
      <c r="Y711" s="870"/>
      <c r="Z711" s="870"/>
      <c r="AA711" s="870"/>
      <c r="AB711" s="870"/>
      <c r="AC711" s="870"/>
      <c r="AD711" s="870"/>
      <c r="AE711" s="870"/>
      <c r="AF711" s="870"/>
      <c r="AG711" s="870"/>
    </row>
    <row r="712" spans="1:33" s="995" customFormat="1">
      <c r="A712" s="974"/>
      <c r="D712" s="876"/>
      <c r="E712" s="974"/>
      <c r="F712" s="876"/>
      <c r="G712" s="876"/>
      <c r="H712" s="876"/>
      <c r="I712" s="876"/>
      <c r="J712" s="876"/>
      <c r="K712" s="876"/>
      <c r="L712" s="876"/>
      <c r="M712" s="876"/>
      <c r="N712" s="876"/>
      <c r="O712" s="876"/>
      <c r="P712" s="876"/>
      <c r="Q712" s="870"/>
      <c r="R712" s="870"/>
      <c r="S712" s="870"/>
      <c r="T712" s="870"/>
      <c r="U712" s="870"/>
      <c r="V712" s="870"/>
      <c r="W712" s="870"/>
      <c r="X712" s="870"/>
      <c r="Y712" s="870"/>
      <c r="Z712" s="870"/>
      <c r="AA712" s="870"/>
      <c r="AB712" s="870"/>
      <c r="AC712" s="870"/>
      <c r="AD712" s="870"/>
      <c r="AE712" s="870"/>
      <c r="AF712" s="870"/>
      <c r="AG712" s="870"/>
    </row>
    <row r="713" spans="1:33" s="995" customFormat="1">
      <c r="A713" s="974"/>
      <c r="D713" s="876"/>
      <c r="E713" s="974"/>
      <c r="F713" s="876"/>
      <c r="G713" s="876"/>
      <c r="H713" s="876"/>
      <c r="I713" s="876"/>
      <c r="J713" s="876"/>
      <c r="K713" s="876"/>
      <c r="L713" s="876"/>
      <c r="M713" s="876"/>
      <c r="N713" s="876"/>
      <c r="O713" s="876"/>
      <c r="P713" s="876"/>
      <c r="Q713" s="870"/>
      <c r="R713" s="870"/>
      <c r="S713" s="870"/>
      <c r="T713" s="870"/>
      <c r="U713" s="870"/>
      <c r="V713" s="870"/>
      <c r="W713" s="870"/>
      <c r="X713" s="870"/>
      <c r="Y713" s="870"/>
      <c r="Z713" s="870"/>
      <c r="AA713" s="870"/>
      <c r="AB713" s="870"/>
      <c r="AC713" s="870"/>
      <c r="AD713" s="870"/>
      <c r="AE713" s="870"/>
      <c r="AF713" s="870"/>
      <c r="AG713" s="870"/>
    </row>
    <row r="714" spans="1:33" s="995" customFormat="1">
      <c r="A714" s="974"/>
      <c r="D714" s="876"/>
      <c r="E714" s="974"/>
      <c r="F714" s="876"/>
      <c r="G714" s="876"/>
      <c r="H714" s="876"/>
      <c r="I714" s="876"/>
      <c r="J714" s="876"/>
      <c r="K714" s="876"/>
      <c r="L714" s="876"/>
      <c r="M714" s="876"/>
      <c r="N714" s="876"/>
      <c r="O714" s="876"/>
      <c r="P714" s="876"/>
      <c r="Q714" s="870"/>
      <c r="R714" s="870"/>
      <c r="S714" s="870"/>
      <c r="T714" s="870"/>
      <c r="U714" s="870"/>
      <c r="V714" s="870"/>
      <c r="W714" s="870"/>
      <c r="X714" s="870"/>
      <c r="Y714" s="870"/>
      <c r="Z714" s="870"/>
      <c r="AA714" s="870"/>
      <c r="AB714" s="870"/>
      <c r="AC714" s="870"/>
      <c r="AD714" s="870"/>
      <c r="AE714" s="870"/>
      <c r="AF714" s="870"/>
      <c r="AG714" s="870"/>
    </row>
    <row r="715" spans="1:33" s="995" customFormat="1">
      <c r="A715" s="974"/>
      <c r="D715" s="876"/>
      <c r="E715" s="974"/>
      <c r="F715" s="876"/>
      <c r="G715" s="876"/>
      <c r="H715" s="876"/>
      <c r="I715" s="876"/>
      <c r="J715" s="876"/>
      <c r="K715" s="876"/>
      <c r="L715" s="876"/>
      <c r="M715" s="876"/>
      <c r="N715" s="876"/>
      <c r="O715" s="876"/>
      <c r="P715" s="876"/>
      <c r="Q715" s="870"/>
      <c r="R715" s="870"/>
      <c r="S715" s="870"/>
      <c r="T715" s="870"/>
      <c r="U715" s="870"/>
      <c r="V715" s="870"/>
      <c r="W715" s="870"/>
      <c r="X715" s="870"/>
      <c r="Y715" s="870"/>
      <c r="Z715" s="870"/>
      <c r="AA715" s="870"/>
      <c r="AB715" s="870"/>
      <c r="AC715" s="870"/>
      <c r="AD715" s="870"/>
      <c r="AE715" s="870"/>
      <c r="AF715" s="870"/>
      <c r="AG715" s="870"/>
    </row>
    <row r="716" spans="1:33" s="995" customFormat="1">
      <c r="A716" s="974"/>
      <c r="D716" s="876"/>
      <c r="E716" s="974"/>
      <c r="F716" s="876"/>
      <c r="G716" s="876"/>
      <c r="H716" s="876"/>
      <c r="I716" s="876"/>
      <c r="J716" s="876"/>
      <c r="K716" s="876"/>
      <c r="L716" s="876"/>
      <c r="M716" s="876"/>
      <c r="N716" s="876"/>
      <c r="O716" s="876"/>
      <c r="P716" s="876"/>
      <c r="Q716" s="870"/>
      <c r="R716" s="870"/>
      <c r="S716" s="870"/>
      <c r="T716" s="870"/>
      <c r="U716" s="870"/>
      <c r="V716" s="870"/>
      <c r="W716" s="870"/>
      <c r="X716" s="870"/>
      <c r="Y716" s="870"/>
      <c r="Z716" s="870"/>
      <c r="AA716" s="870"/>
      <c r="AB716" s="870"/>
      <c r="AC716" s="870"/>
      <c r="AD716" s="870"/>
      <c r="AE716" s="870"/>
      <c r="AF716" s="870"/>
      <c r="AG716" s="870"/>
    </row>
    <row r="717" spans="1:33" s="995" customFormat="1">
      <c r="A717" s="974"/>
      <c r="D717" s="876"/>
      <c r="E717" s="974"/>
      <c r="F717" s="876"/>
      <c r="G717" s="876"/>
      <c r="H717" s="876"/>
      <c r="I717" s="876"/>
      <c r="J717" s="876"/>
      <c r="K717" s="876"/>
      <c r="L717" s="876"/>
      <c r="M717" s="876"/>
      <c r="N717" s="876"/>
      <c r="O717" s="876"/>
      <c r="P717" s="876"/>
      <c r="Q717" s="870"/>
      <c r="R717" s="870"/>
      <c r="S717" s="870"/>
      <c r="T717" s="870"/>
      <c r="U717" s="870"/>
      <c r="V717" s="870"/>
      <c r="W717" s="870"/>
      <c r="X717" s="870"/>
      <c r="Y717" s="870"/>
      <c r="Z717" s="870"/>
      <c r="AA717" s="870"/>
      <c r="AB717" s="870"/>
      <c r="AC717" s="870"/>
      <c r="AD717" s="870"/>
      <c r="AE717" s="870"/>
      <c r="AF717" s="870"/>
      <c r="AG717" s="870"/>
    </row>
    <row r="718" spans="1:33" s="995" customFormat="1">
      <c r="A718" s="974"/>
      <c r="D718" s="876"/>
      <c r="E718" s="974"/>
      <c r="F718" s="876"/>
      <c r="G718" s="876"/>
      <c r="H718" s="876"/>
      <c r="I718" s="876"/>
      <c r="J718" s="876"/>
      <c r="K718" s="876"/>
      <c r="L718" s="876"/>
      <c r="M718" s="876"/>
      <c r="N718" s="876"/>
      <c r="O718" s="876"/>
      <c r="P718" s="876"/>
      <c r="Q718" s="870"/>
      <c r="R718" s="870"/>
      <c r="S718" s="870"/>
      <c r="T718" s="870"/>
      <c r="U718" s="870"/>
      <c r="V718" s="870"/>
      <c r="W718" s="870"/>
      <c r="X718" s="870"/>
      <c r="Y718" s="870"/>
      <c r="Z718" s="870"/>
      <c r="AA718" s="870"/>
      <c r="AB718" s="870"/>
      <c r="AC718" s="870"/>
      <c r="AD718" s="870"/>
      <c r="AE718" s="870"/>
      <c r="AF718" s="870"/>
      <c r="AG718" s="870"/>
    </row>
    <row r="719" spans="1:33" s="995" customFormat="1">
      <c r="A719" s="974"/>
      <c r="D719" s="876"/>
      <c r="E719" s="974"/>
      <c r="F719" s="876"/>
      <c r="G719" s="876"/>
      <c r="H719" s="876"/>
      <c r="I719" s="876"/>
      <c r="J719" s="876"/>
      <c r="K719" s="876"/>
      <c r="L719" s="876"/>
      <c r="M719" s="876"/>
      <c r="N719" s="876"/>
      <c r="O719" s="876"/>
      <c r="P719" s="876"/>
      <c r="Q719" s="870"/>
      <c r="R719" s="870"/>
      <c r="S719" s="870"/>
      <c r="T719" s="870"/>
      <c r="U719" s="870"/>
      <c r="V719" s="870"/>
      <c r="W719" s="870"/>
      <c r="X719" s="870"/>
      <c r="Y719" s="870"/>
      <c r="Z719" s="870"/>
      <c r="AA719" s="870"/>
      <c r="AB719" s="870"/>
      <c r="AC719" s="870"/>
      <c r="AD719" s="870"/>
      <c r="AE719" s="870"/>
      <c r="AF719" s="870"/>
      <c r="AG719" s="870"/>
    </row>
    <row r="720" spans="1:33" s="995" customFormat="1">
      <c r="A720" s="974"/>
      <c r="D720" s="876"/>
      <c r="E720" s="974"/>
      <c r="F720" s="876"/>
      <c r="G720" s="876"/>
      <c r="H720" s="876"/>
      <c r="I720" s="876"/>
      <c r="J720" s="876"/>
      <c r="K720" s="876"/>
      <c r="L720" s="876"/>
      <c r="M720" s="876"/>
      <c r="N720" s="876"/>
      <c r="O720" s="876"/>
      <c r="P720" s="876"/>
      <c r="Q720" s="870"/>
      <c r="R720" s="870"/>
      <c r="S720" s="870"/>
      <c r="T720" s="870"/>
      <c r="U720" s="870"/>
      <c r="V720" s="870"/>
      <c r="W720" s="870"/>
      <c r="X720" s="870"/>
      <c r="Y720" s="870"/>
      <c r="Z720" s="870"/>
      <c r="AA720" s="870"/>
      <c r="AB720" s="870"/>
      <c r="AC720" s="870"/>
      <c r="AD720" s="870"/>
      <c r="AE720" s="870"/>
      <c r="AF720" s="870"/>
      <c r="AG720" s="870"/>
    </row>
    <row r="721" spans="1:33" s="995" customFormat="1">
      <c r="A721" s="974"/>
      <c r="D721" s="876"/>
      <c r="E721" s="974"/>
      <c r="F721" s="876"/>
      <c r="G721" s="876"/>
      <c r="H721" s="876"/>
      <c r="I721" s="876"/>
      <c r="J721" s="876"/>
      <c r="K721" s="876"/>
      <c r="L721" s="876"/>
      <c r="M721" s="876"/>
      <c r="N721" s="876"/>
      <c r="O721" s="876"/>
      <c r="P721" s="876"/>
      <c r="Q721" s="870"/>
      <c r="R721" s="870"/>
      <c r="S721" s="870"/>
      <c r="T721" s="870"/>
      <c r="U721" s="870"/>
      <c r="V721" s="870"/>
      <c r="W721" s="870"/>
      <c r="X721" s="870"/>
      <c r="Y721" s="870"/>
      <c r="Z721" s="870"/>
      <c r="AA721" s="870"/>
      <c r="AB721" s="870"/>
      <c r="AC721" s="870"/>
      <c r="AD721" s="870"/>
      <c r="AE721" s="870"/>
      <c r="AF721" s="870"/>
      <c r="AG721" s="870"/>
    </row>
    <row r="722" spans="1:33" s="995" customFormat="1">
      <c r="A722" s="974"/>
      <c r="D722" s="876"/>
      <c r="E722" s="974"/>
      <c r="F722" s="876"/>
      <c r="G722" s="876"/>
      <c r="H722" s="876"/>
      <c r="I722" s="876"/>
      <c r="J722" s="876"/>
      <c r="K722" s="876"/>
      <c r="L722" s="876"/>
      <c r="M722" s="876"/>
      <c r="N722" s="876"/>
      <c r="O722" s="876"/>
      <c r="P722" s="876"/>
      <c r="Q722" s="870"/>
      <c r="R722" s="870"/>
      <c r="S722" s="870"/>
      <c r="T722" s="870"/>
      <c r="U722" s="870"/>
      <c r="V722" s="870"/>
      <c r="W722" s="870"/>
      <c r="X722" s="870"/>
      <c r="Y722" s="870"/>
      <c r="Z722" s="870"/>
      <c r="AA722" s="870"/>
      <c r="AB722" s="870"/>
      <c r="AC722" s="870"/>
      <c r="AD722" s="870"/>
      <c r="AE722" s="870"/>
      <c r="AF722" s="870"/>
      <c r="AG722" s="870"/>
    </row>
    <row r="723" spans="1:33" s="995" customFormat="1">
      <c r="A723" s="974"/>
      <c r="D723" s="876"/>
      <c r="E723" s="974"/>
      <c r="F723" s="876"/>
      <c r="G723" s="876"/>
      <c r="H723" s="876"/>
      <c r="I723" s="876"/>
      <c r="J723" s="876"/>
      <c r="K723" s="876"/>
      <c r="L723" s="876"/>
      <c r="M723" s="876"/>
      <c r="N723" s="876"/>
      <c r="O723" s="876"/>
      <c r="P723" s="876"/>
      <c r="Q723" s="870"/>
      <c r="R723" s="870"/>
      <c r="S723" s="870"/>
      <c r="T723" s="870"/>
      <c r="U723" s="870"/>
      <c r="V723" s="870"/>
      <c r="W723" s="870"/>
      <c r="X723" s="870"/>
      <c r="Y723" s="870"/>
      <c r="Z723" s="870"/>
      <c r="AA723" s="870"/>
      <c r="AB723" s="870"/>
      <c r="AC723" s="870"/>
      <c r="AD723" s="870"/>
      <c r="AE723" s="870"/>
      <c r="AF723" s="870"/>
      <c r="AG723" s="870"/>
    </row>
    <row r="724" spans="1:33" s="995" customFormat="1">
      <c r="A724" s="974"/>
      <c r="D724" s="876"/>
      <c r="E724" s="974"/>
      <c r="F724" s="876"/>
      <c r="G724" s="876"/>
      <c r="H724" s="876"/>
      <c r="I724" s="876"/>
      <c r="J724" s="876"/>
      <c r="K724" s="876"/>
      <c r="L724" s="876"/>
      <c r="M724" s="876"/>
      <c r="N724" s="876"/>
      <c r="O724" s="876"/>
      <c r="P724" s="876"/>
      <c r="Q724" s="870"/>
      <c r="R724" s="870"/>
      <c r="S724" s="870"/>
      <c r="T724" s="870"/>
      <c r="U724" s="870"/>
      <c r="V724" s="870"/>
      <c r="W724" s="870"/>
      <c r="X724" s="870"/>
      <c r="Y724" s="870"/>
      <c r="Z724" s="870"/>
      <c r="AA724" s="870"/>
      <c r="AB724" s="870"/>
      <c r="AC724" s="870"/>
      <c r="AD724" s="870"/>
      <c r="AE724" s="870"/>
      <c r="AF724" s="870"/>
      <c r="AG724" s="870"/>
    </row>
    <row r="725" spans="1:33" s="995" customFormat="1">
      <c r="A725" s="974"/>
      <c r="D725" s="876"/>
      <c r="E725" s="974"/>
      <c r="F725" s="876"/>
      <c r="G725" s="876"/>
      <c r="H725" s="876"/>
      <c r="I725" s="876"/>
      <c r="J725" s="876"/>
      <c r="K725" s="876"/>
      <c r="L725" s="876"/>
      <c r="M725" s="876"/>
      <c r="N725" s="876"/>
      <c r="O725" s="876"/>
      <c r="P725" s="876"/>
      <c r="Q725" s="870"/>
      <c r="R725" s="870"/>
      <c r="S725" s="870"/>
      <c r="T725" s="870"/>
      <c r="U725" s="870"/>
      <c r="V725" s="870"/>
      <c r="W725" s="870"/>
      <c r="X725" s="870"/>
      <c r="Y725" s="870"/>
      <c r="Z725" s="870"/>
      <c r="AA725" s="870"/>
      <c r="AB725" s="870"/>
      <c r="AC725" s="870"/>
      <c r="AD725" s="870"/>
      <c r="AE725" s="870"/>
      <c r="AF725" s="870"/>
      <c r="AG725" s="870"/>
    </row>
    <row r="726" spans="1:33" s="995" customFormat="1">
      <c r="A726" s="974"/>
      <c r="D726" s="876"/>
      <c r="E726" s="974"/>
      <c r="F726" s="876"/>
      <c r="G726" s="876"/>
      <c r="H726" s="876"/>
      <c r="I726" s="876"/>
      <c r="J726" s="876"/>
      <c r="K726" s="876"/>
      <c r="L726" s="876"/>
      <c r="M726" s="876"/>
      <c r="N726" s="876"/>
      <c r="O726" s="876"/>
      <c r="P726" s="876"/>
      <c r="Q726" s="870"/>
      <c r="R726" s="870"/>
      <c r="S726" s="870"/>
      <c r="T726" s="870"/>
      <c r="U726" s="870"/>
      <c r="V726" s="870"/>
      <c r="W726" s="870"/>
      <c r="X726" s="870"/>
      <c r="Y726" s="870"/>
      <c r="Z726" s="870"/>
      <c r="AA726" s="870"/>
      <c r="AB726" s="870"/>
      <c r="AC726" s="870"/>
      <c r="AD726" s="870"/>
      <c r="AE726" s="870"/>
      <c r="AF726" s="870"/>
      <c r="AG726" s="870"/>
    </row>
    <row r="727" spans="1:33" s="995" customFormat="1">
      <c r="A727" s="974"/>
      <c r="D727" s="876"/>
      <c r="E727" s="974"/>
      <c r="F727" s="876"/>
      <c r="G727" s="876"/>
      <c r="H727" s="876"/>
      <c r="I727" s="876"/>
      <c r="J727" s="876"/>
      <c r="K727" s="876"/>
      <c r="L727" s="876"/>
      <c r="M727" s="876"/>
      <c r="N727" s="876"/>
      <c r="O727" s="876"/>
      <c r="P727" s="876"/>
      <c r="Q727" s="870"/>
      <c r="R727" s="870"/>
      <c r="S727" s="870"/>
      <c r="T727" s="870"/>
      <c r="U727" s="870"/>
      <c r="V727" s="870"/>
      <c r="W727" s="870"/>
      <c r="X727" s="870"/>
      <c r="Y727" s="870"/>
      <c r="Z727" s="870"/>
      <c r="AA727" s="870"/>
      <c r="AB727" s="870"/>
      <c r="AC727" s="870"/>
      <c r="AD727" s="870"/>
      <c r="AE727" s="870"/>
      <c r="AF727" s="870"/>
      <c r="AG727" s="870"/>
    </row>
    <row r="728" spans="1:33" s="995" customFormat="1">
      <c r="A728" s="974"/>
      <c r="D728" s="876"/>
      <c r="E728" s="974"/>
      <c r="F728" s="876"/>
      <c r="G728" s="876"/>
      <c r="H728" s="876"/>
      <c r="I728" s="876"/>
      <c r="J728" s="876"/>
      <c r="K728" s="876"/>
      <c r="L728" s="876"/>
      <c r="M728" s="876"/>
      <c r="N728" s="876"/>
      <c r="O728" s="876"/>
      <c r="P728" s="876"/>
      <c r="Q728" s="870"/>
      <c r="R728" s="870"/>
      <c r="S728" s="870"/>
      <c r="T728" s="870"/>
      <c r="U728" s="870"/>
      <c r="V728" s="870"/>
      <c r="W728" s="870"/>
      <c r="X728" s="870"/>
      <c r="Y728" s="870"/>
      <c r="Z728" s="870"/>
      <c r="AA728" s="870"/>
      <c r="AB728" s="870"/>
      <c r="AC728" s="870"/>
      <c r="AD728" s="870"/>
      <c r="AE728" s="870"/>
      <c r="AF728" s="870"/>
      <c r="AG728" s="870"/>
    </row>
    <row r="729" spans="1:33" s="995" customFormat="1">
      <c r="A729" s="974"/>
      <c r="D729" s="876"/>
      <c r="E729" s="974"/>
      <c r="F729" s="876"/>
      <c r="G729" s="876"/>
      <c r="H729" s="876"/>
      <c r="I729" s="876"/>
      <c r="J729" s="876"/>
      <c r="K729" s="876"/>
      <c r="L729" s="876"/>
      <c r="M729" s="876"/>
      <c r="N729" s="876"/>
      <c r="O729" s="876"/>
      <c r="P729" s="876"/>
      <c r="Q729" s="870"/>
      <c r="R729" s="870"/>
      <c r="S729" s="870"/>
      <c r="T729" s="870"/>
      <c r="U729" s="870"/>
      <c r="V729" s="870"/>
      <c r="W729" s="870"/>
      <c r="X729" s="870"/>
      <c r="Y729" s="870"/>
      <c r="Z729" s="870"/>
      <c r="AA729" s="870"/>
      <c r="AB729" s="870"/>
      <c r="AC729" s="870"/>
      <c r="AD729" s="870"/>
      <c r="AE729" s="870"/>
      <c r="AF729" s="870"/>
      <c r="AG729" s="870"/>
    </row>
    <row r="730" spans="1:33" s="995" customFormat="1">
      <c r="A730" s="974"/>
      <c r="D730" s="876"/>
      <c r="E730" s="974"/>
      <c r="F730" s="876"/>
      <c r="G730" s="876"/>
      <c r="H730" s="876"/>
      <c r="I730" s="876"/>
      <c r="J730" s="876"/>
      <c r="K730" s="876"/>
      <c r="L730" s="876"/>
      <c r="M730" s="876"/>
      <c r="N730" s="876"/>
      <c r="O730" s="876"/>
      <c r="P730" s="876"/>
      <c r="Q730" s="870"/>
      <c r="R730" s="870"/>
      <c r="S730" s="870"/>
      <c r="T730" s="870"/>
      <c r="U730" s="870"/>
      <c r="V730" s="870"/>
      <c r="W730" s="870"/>
      <c r="X730" s="870"/>
      <c r="Y730" s="870"/>
      <c r="Z730" s="870"/>
      <c r="AA730" s="870"/>
      <c r="AB730" s="870"/>
      <c r="AC730" s="870"/>
      <c r="AD730" s="870"/>
      <c r="AE730" s="870"/>
      <c r="AF730" s="870"/>
      <c r="AG730" s="870"/>
    </row>
    <row r="731" spans="1:33" s="995" customFormat="1">
      <c r="A731" s="974"/>
      <c r="D731" s="876"/>
      <c r="E731" s="974"/>
      <c r="F731" s="876"/>
      <c r="G731" s="876"/>
      <c r="H731" s="876"/>
      <c r="I731" s="876"/>
      <c r="J731" s="876"/>
      <c r="K731" s="876"/>
      <c r="L731" s="876"/>
      <c r="M731" s="876"/>
      <c r="N731" s="876"/>
      <c r="O731" s="876"/>
      <c r="P731" s="876"/>
      <c r="Q731" s="870"/>
      <c r="R731" s="870"/>
      <c r="S731" s="870"/>
      <c r="T731" s="870"/>
      <c r="U731" s="870"/>
      <c r="V731" s="870"/>
      <c r="W731" s="870"/>
      <c r="X731" s="870"/>
      <c r="Y731" s="870"/>
      <c r="Z731" s="870"/>
      <c r="AA731" s="870"/>
      <c r="AB731" s="870"/>
      <c r="AC731" s="870"/>
      <c r="AD731" s="870"/>
      <c r="AE731" s="870"/>
      <c r="AF731" s="870"/>
      <c r="AG731" s="870"/>
    </row>
    <row r="732" spans="1:33" s="995" customFormat="1">
      <c r="A732" s="974"/>
      <c r="D732" s="876"/>
      <c r="E732" s="974"/>
      <c r="F732" s="876"/>
      <c r="G732" s="876"/>
      <c r="H732" s="876"/>
      <c r="I732" s="876"/>
      <c r="J732" s="876"/>
      <c r="K732" s="876"/>
      <c r="L732" s="876"/>
      <c r="M732" s="876"/>
      <c r="N732" s="876"/>
      <c r="O732" s="876"/>
      <c r="P732" s="876"/>
      <c r="Q732" s="870"/>
      <c r="R732" s="870"/>
      <c r="S732" s="870"/>
      <c r="T732" s="870"/>
      <c r="U732" s="870"/>
      <c r="V732" s="870"/>
      <c r="W732" s="870"/>
      <c r="X732" s="870"/>
      <c r="Y732" s="870"/>
      <c r="Z732" s="870"/>
      <c r="AA732" s="870"/>
      <c r="AB732" s="870"/>
      <c r="AC732" s="870"/>
      <c r="AD732" s="870"/>
      <c r="AE732" s="870"/>
      <c r="AF732" s="870"/>
      <c r="AG732" s="870"/>
    </row>
    <row r="733" spans="1:33" s="995" customFormat="1">
      <c r="A733" s="974"/>
      <c r="D733" s="876"/>
      <c r="E733" s="974"/>
      <c r="F733" s="876"/>
      <c r="G733" s="876"/>
      <c r="H733" s="876"/>
      <c r="I733" s="876"/>
      <c r="J733" s="876"/>
      <c r="K733" s="876"/>
      <c r="L733" s="876"/>
      <c r="M733" s="876"/>
      <c r="N733" s="876"/>
      <c r="O733" s="876"/>
      <c r="P733" s="876"/>
      <c r="Q733" s="870"/>
      <c r="R733" s="870"/>
      <c r="S733" s="870"/>
      <c r="T733" s="870"/>
      <c r="U733" s="870"/>
      <c r="V733" s="870"/>
      <c r="W733" s="870"/>
      <c r="X733" s="870"/>
      <c r="Y733" s="870"/>
      <c r="Z733" s="870"/>
      <c r="AA733" s="870"/>
      <c r="AB733" s="870"/>
      <c r="AC733" s="870"/>
      <c r="AD733" s="870"/>
      <c r="AE733" s="870"/>
      <c r="AF733" s="870"/>
      <c r="AG733" s="870"/>
    </row>
    <row r="734" spans="1:33" s="995" customFormat="1">
      <c r="A734" s="974"/>
      <c r="D734" s="876"/>
      <c r="E734" s="974"/>
      <c r="F734" s="876"/>
      <c r="G734" s="876"/>
      <c r="H734" s="876"/>
      <c r="I734" s="876"/>
      <c r="J734" s="876"/>
      <c r="K734" s="876"/>
      <c r="L734" s="876"/>
      <c r="M734" s="876"/>
      <c r="N734" s="876"/>
      <c r="O734" s="876"/>
      <c r="P734" s="876"/>
      <c r="Q734" s="870"/>
      <c r="R734" s="870"/>
      <c r="S734" s="870"/>
      <c r="T734" s="870"/>
      <c r="U734" s="870"/>
      <c r="V734" s="870"/>
      <c r="W734" s="870"/>
      <c r="X734" s="870"/>
      <c r="Y734" s="870"/>
      <c r="Z734" s="870"/>
      <c r="AA734" s="870"/>
      <c r="AB734" s="870"/>
      <c r="AC734" s="870"/>
      <c r="AD734" s="870"/>
      <c r="AE734" s="870"/>
      <c r="AF734" s="870"/>
      <c r="AG734" s="870"/>
    </row>
    <row r="735" spans="1:33" s="995" customFormat="1">
      <c r="A735" s="974"/>
      <c r="D735" s="876"/>
      <c r="E735" s="974"/>
      <c r="F735" s="876"/>
      <c r="G735" s="876"/>
      <c r="H735" s="876"/>
      <c r="I735" s="876"/>
      <c r="J735" s="876"/>
      <c r="K735" s="876"/>
      <c r="L735" s="876"/>
      <c r="M735" s="876"/>
      <c r="N735" s="876"/>
      <c r="O735" s="876"/>
      <c r="P735" s="876"/>
      <c r="Q735" s="870"/>
      <c r="R735" s="870"/>
      <c r="S735" s="870"/>
      <c r="T735" s="870"/>
      <c r="U735" s="870"/>
      <c r="V735" s="870"/>
      <c r="W735" s="870"/>
      <c r="X735" s="870"/>
      <c r="Y735" s="870"/>
      <c r="Z735" s="870"/>
      <c r="AA735" s="870"/>
      <c r="AB735" s="870"/>
      <c r="AC735" s="870"/>
      <c r="AD735" s="870"/>
      <c r="AE735" s="870"/>
      <c r="AF735" s="870"/>
      <c r="AG735" s="870"/>
    </row>
    <row r="736" spans="1:33" s="995" customFormat="1">
      <c r="A736" s="974"/>
      <c r="D736" s="876"/>
      <c r="E736" s="974"/>
      <c r="F736" s="876"/>
      <c r="G736" s="876"/>
      <c r="H736" s="876"/>
      <c r="I736" s="876"/>
      <c r="J736" s="876"/>
      <c r="K736" s="876"/>
      <c r="L736" s="876"/>
      <c r="M736" s="876"/>
      <c r="N736" s="876"/>
      <c r="O736" s="876"/>
      <c r="P736" s="876"/>
      <c r="Q736" s="870"/>
      <c r="R736" s="870"/>
      <c r="S736" s="870"/>
      <c r="T736" s="870"/>
      <c r="U736" s="870"/>
      <c r="V736" s="870"/>
      <c r="W736" s="870"/>
      <c r="X736" s="870"/>
      <c r="Y736" s="870"/>
      <c r="Z736" s="870"/>
      <c r="AA736" s="870"/>
      <c r="AB736" s="870"/>
      <c r="AC736" s="870"/>
      <c r="AD736" s="870"/>
      <c r="AE736" s="870"/>
      <c r="AF736" s="870"/>
      <c r="AG736" s="870"/>
    </row>
    <row r="737" spans="1:33" s="995" customFormat="1">
      <c r="A737" s="974"/>
      <c r="D737" s="876"/>
      <c r="E737" s="974"/>
      <c r="F737" s="876"/>
      <c r="G737" s="876"/>
      <c r="H737" s="876"/>
      <c r="I737" s="876"/>
      <c r="J737" s="876"/>
      <c r="K737" s="876"/>
      <c r="L737" s="876"/>
      <c r="M737" s="876"/>
      <c r="N737" s="876"/>
      <c r="O737" s="876"/>
      <c r="P737" s="876"/>
      <c r="Q737" s="870"/>
      <c r="R737" s="870"/>
      <c r="S737" s="870"/>
      <c r="T737" s="870"/>
      <c r="U737" s="870"/>
      <c r="V737" s="870"/>
      <c r="W737" s="870"/>
      <c r="X737" s="870"/>
      <c r="Y737" s="870"/>
      <c r="Z737" s="870"/>
      <c r="AA737" s="870"/>
      <c r="AB737" s="870"/>
      <c r="AC737" s="870"/>
      <c r="AD737" s="870"/>
      <c r="AE737" s="870"/>
      <c r="AF737" s="870"/>
      <c r="AG737" s="870"/>
    </row>
    <row r="738" spans="1:33" s="995" customFormat="1">
      <c r="A738" s="974"/>
      <c r="D738" s="876"/>
      <c r="E738" s="974"/>
      <c r="F738" s="876"/>
      <c r="G738" s="876"/>
      <c r="H738" s="876"/>
      <c r="I738" s="876"/>
      <c r="J738" s="876"/>
      <c r="K738" s="876"/>
      <c r="L738" s="876"/>
      <c r="M738" s="876"/>
      <c r="N738" s="876"/>
      <c r="O738" s="876"/>
      <c r="P738" s="876"/>
      <c r="Q738" s="870"/>
      <c r="R738" s="870"/>
      <c r="S738" s="870"/>
      <c r="T738" s="870"/>
      <c r="U738" s="870"/>
      <c r="V738" s="870"/>
      <c r="W738" s="870"/>
      <c r="X738" s="870"/>
      <c r="Y738" s="870"/>
      <c r="Z738" s="870"/>
      <c r="AA738" s="870"/>
      <c r="AB738" s="870"/>
      <c r="AC738" s="870"/>
      <c r="AD738" s="870"/>
      <c r="AE738" s="870"/>
      <c r="AF738" s="870"/>
      <c r="AG738" s="870"/>
    </row>
    <row r="739" spans="1:33" s="995" customFormat="1">
      <c r="A739" s="974"/>
      <c r="D739" s="876"/>
      <c r="E739" s="974"/>
      <c r="F739" s="876"/>
      <c r="G739" s="876"/>
      <c r="H739" s="876"/>
      <c r="I739" s="876"/>
      <c r="J739" s="876"/>
      <c r="K739" s="876"/>
      <c r="L739" s="876"/>
      <c r="M739" s="876"/>
      <c r="N739" s="876"/>
      <c r="O739" s="876"/>
      <c r="P739" s="876"/>
      <c r="Q739" s="870"/>
      <c r="R739" s="870"/>
      <c r="S739" s="870"/>
      <c r="T739" s="870"/>
      <c r="U739" s="870"/>
      <c r="V739" s="870"/>
      <c r="W739" s="870"/>
      <c r="X739" s="870"/>
      <c r="Y739" s="870"/>
      <c r="Z739" s="870"/>
      <c r="AA739" s="870"/>
      <c r="AB739" s="870"/>
      <c r="AC739" s="870"/>
      <c r="AD739" s="870"/>
      <c r="AE739" s="870"/>
      <c r="AF739" s="870"/>
      <c r="AG739" s="870"/>
    </row>
    <row r="740" spans="1:33" s="995" customFormat="1">
      <c r="A740" s="974"/>
      <c r="D740" s="876"/>
      <c r="E740" s="974"/>
      <c r="F740" s="876"/>
      <c r="G740" s="876"/>
      <c r="H740" s="876"/>
      <c r="I740" s="876"/>
      <c r="J740" s="876"/>
      <c r="K740" s="876"/>
      <c r="L740" s="876"/>
      <c r="M740" s="876"/>
      <c r="N740" s="876"/>
      <c r="O740" s="876"/>
      <c r="P740" s="876"/>
      <c r="Q740" s="870"/>
      <c r="R740" s="870"/>
      <c r="S740" s="870"/>
      <c r="T740" s="870"/>
      <c r="U740" s="870"/>
      <c r="V740" s="870"/>
      <c r="W740" s="870"/>
      <c r="X740" s="870"/>
      <c r="Y740" s="870"/>
      <c r="Z740" s="870"/>
      <c r="AA740" s="870"/>
      <c r="AB740" s="870"/>
      <c r="AC740" s="870"/>
      <c r="AD740" s="870"/>
      <c r="AE740" s="870"/>
      <c r="AF740" s="870"/>
      <c r="AG740" s="870"/>
    </row>
    <row r="741" spans="1:33" s="995" customFormat="1">
      <c r="A741" s="974"/>
      <c r="D741" s="876"/>
      <c r="E741" s="974"/>
      <c r="F741" s="876"/>
      <c r="G741" s="876"/>
      <c r="H741" s="876"/>
      <c r="I741" s="876"/>
      <c r="J741" s="876"/>
      <c r="K741" s="876"/>
      <c r="L741" s="876"/>
      <c r="M741" s="876"/>
      <c r="N741" s="876"/>
      <c r="O741" s="876"/>
      <c r="P741" s="876"/>
      <c r="Q741" s="870"/>
      <c r="R741" s="870"/>
      <c r="S741" s="870"/>
      <c r="T741" s="870"/>
      <c r="U741" s="870"/>
      <c r="V741" s="870"/>
      <c r="W741" s="870"/>
      <c r="X741" s="870"/>
      <c r="Y741" s="870"/>
      <c r="Z741" s="870"/>
      <c r="AA741" s="870"/>
      <c r="AB741" s="870"/>
      <c r="AC741" s="870"/>
      <c r="AD741" s="870"/>
      <c r="AE741" s="870"/>
      <c r="AF741" s="870"/>
      <c r="AG741" s="870"/>
    </row>
    <row r="742" spans="1:33" s="995" customFormat="1">
      <c r="A742" s="974"/>
      <c r="D742" s="876"/>
      <c r="E742" s="974"/>
      <c r="F742" s="876"/>
      <c r="G742" s="876"/>
      <c r="H742" s="876"/>
      <c r="I742" s="876"/>
      <c r="J742" s="876"/>
      <c r="K742" s="876"/>
      <c r="L742" s="876"/>
      <c r="M742" s="876"/>
      <c r="N742" s="876"/>
      <c r="O742" s="876"/>
      <c r="P742" s="876"/>
      <c r="Q742" s="870"/>
      <c r="R742" s="870"/>
      <c r="S742" s="870"/>
      <c r="T742" s="870"/>
      <c r="U742" s="870"/>
      <c r="V742" s="870"/>
      <c r="W742" s="870"/>
      <c r="X742" s="870"/>
      <c r="Y742" s="870"/>
      <c r="Z742" s="870"/>
      <c r="AA742" s="870"/>
      <c r="AB742" s="870"/>
      <c r="AC742" s="870"/>
      <c r="AD742" s="870"/>
      <c r="AE742" s="870"/>
      <c r="AF742" s="870"/>
      <c r="AG742" s="870"/>
    </row>
    <row r="743" spans="1:33" s="995" customFormat="1">
      <c r="A743" s="974"/>
      <c r="D743" s="876"/>
      <c r="E743" s="974"/>
      <c r="F743" s="876"/>
      <c r="G743" s="876"/>
      <c r="H743" s="876"/>
      <c r="I743" s="876"/>
      <c r="J743" s="876"/>
      <c r="K743" s="876"/>
      <c r="L743" s="876"/>
      <c r="M743" s="876"/>
      <c r="N743" s="876"/>
      <c r="O743" s="876"/>
      <c r="P743" s="876"/>
      <c r="Q743" s="870"/>
      <c r="R743" s="870"/>
      <c r="S743" s="870"/>
      <c r="T743" s="870"/>
      <c r="U743" s="870"/>
      <c r="V743" s="870"/>
      <c r="W743" s="870"/>
      <c r="X743" s="870"/>
      <c r="Y743" s="870"/>
      <c r="Z743" s="870"/>
      <c r="AA743" s="870"/>
      <c r="AB743" s="870"/>
      <c r="AC743" s="870"/>
      <c r="AD743" s="870"/>
      <c r="AE743" s="870"/>
      <c r="AF743" s="870"/>
      <c r="AG743" s="870"/>
    </row>
    <row r="744" spans="1:33" s="995" customFormat="1">
      <c r="A744" s="974"/>
      <c r="D744" s="876"/>
      <c r="E744" s="974"/>
      <c r="F744" s="876"/>
      <c r="G744" s="876"/>
      <c r="H744" s="876"/>
      <c r="I744" s="876"/>
      <c r="J744" s="876"/>
      <c r="K744" s="876"/>
      <c r="L744" s="876"/>
      <c r="M744" s="876"/>
      <c r="N744" s="876"/>
      <c r="O744" s="876"/>
      <c r="P744" s="876"/>
      <c r="Q744" s="870"/>
      <c r="R744" s="870"/>
      <c r="S744" s="870"/>
      <c r="T744" s="870"/>
      <c r="U744" s="870"/>
      <c r="V744" s="870"/>
      <c r="W744" s="870"/>
      <c r="X744" s="870"/>
      <c r="Y744" s="870"/>
      <c r="Z744" s="870"/>
      <c r="AA744" s="870"/>
      <c r="AB744" s="870"/>
      <c r="AC744" s="870"/>
      <c r="AD744" s="870"/>
      <c r="AE744" s="870"/>
      <c r="AF744" s="870"/>
      <c r="AG744" s="870"/>
    </row>
    <row r="745" spans="1:33" s="995" customFormat="1">
      <c r="A745" s="974"/>
      <c r="D745" s="876"/>
      <c r="E745" s="974"/>
      <c r="F745" s="876"/>
      <c r="G745" s="876"/>
      <c r="H745" s="876"/>
      <c r="I745" s="876"/>
      <c r="J745" s="876"/>
      <c r="K745" s="876"/>
      <c r="L745" s="876"/>
      <c r="M745" s="876"/>
      <c r="N745" s="876"/>
      <c r="O745" s="876"/>
      <c r="P745" s="876"/>
      <c r="Q745" s="870"/>
      <c r="R745" s="870"/>
      <c r="S745" s="870"/>
      <c r="T745" s="870"/>
      <c r="U745" s="870"/>
      <c r="V745" s="870"/>
      <c r="W745" s="870"/>
      <c r="X745" s="870"/>
      <c r="Y745" s="870"/>
      <c r="Z745" s="870"/>
      <c r="AA745" s="870"/>
      <c r="AB745" s="870"/>
      <c r="AC745" s="870"/>
      <c r="AD745" s="870"/>
      <c r="AE745" s="870"/>
      <c r="AF745" s="870"/>
      <c r="AG745" s="870"/>
    </row>
    <row r="746" spans="1:33" s="995" customFormat="1">
      <c r="A746" s="974"/>
      <c r="D746" s="876"/>
      <c r="E746" s="974"/>
      <c r="F746" s="876"/>
      <c r="G746" s="876"/>
      <c r="H746" s="876"/>
      <c r="I746" s="876"/>
      <c r="J746" s="876"/>
      <c r="K746" s="876"/>
      <c r="L746" s="876"/>
      <c r="M746" s="876"/>
      <c r="N746" s="876"/>
      <c r="O746" s="876"/>
      <c r="P746" s="876"/>
      <c r="Q746" s="870"/>
      <c r="R746" s="870"/>
      <c r="S746" s="870"/>
      <c r="T746" s="870"/>
      <c r="U746" s="870"/>
      <c r="V746" s="870"/>
      <c r="W746" s="870"/>
      <c r="X746" s="870"/>
      <c r="Y746" s="870"/>
      <c r="Z746" s="870"/>
      <c r="AA746" s="870"/>
      <c r="AB746" s="870"/>
      <c r="AC746" s="870"/>
      <c r="AD746" s="870"/>
      <c r="AE746" s="870"/>
      <c r="AF746" s="870"/>
      <c r="AG746" s="870"/>
    </row>
    <row r="747" spans="1:33" s="995" customFormat="1">
      <c r="A747" s="974"/>
      <c r="D747" s="876"/>
      <c r="E747" s="974"/>
      <c r="F747" s="876"/>
      <c r="G747" s="876"/>
      <c r="H747" s="876"/>
      <c r="I747" s="876"/>
      <c r="J747" s="876"/>
      <c r="K747" s="876"/>
      <c r="L747" s="876"/>
      <c r="M747" s="876"/>
      <c r="N747" s="876"/>
      <c r="O747" s="876"/>
      <c r="P747" s="876"/>
      <c r="Q747" s="870"/>
      <c r="R747" s="870"/>
      <c r="S747" s="870"/>
      <c r="T747" s="870"/>
      <c r="U747" s="870"/>
      <c r="V747" s="870"/>
      <c r="W747" s="870"/>
      <c r="X747" s="870"/>
      <c r="Y747" s="870"/>
      <c r="Z747" s="870"/>
      <c r="AA747" s="870"/>
      <c r="AB747" s="870"/>
      <c r="AC747" s="870"/>
      <c r="AD747" s="870"/>
      <c r="AE747" s="870"/>
      <c r="AF747" s="870"/>
      <c r="AG747" s="870"/>
    </row>
    <row r="748" spans="1:33" s="995" customFormat="1">
      <c r="A748" s="974"/>
      <c r="D748" s="876"/>
      <c r="E748" s="974"/>
      <c r="F748" s="876"/>
      <c r="G748" s="876"/>
      <c r="H748" s="876"/>
      <c r="I748" s="876"/>
      <c r="J748" s="876"/>
      <c r="K748" s="876"/>
      <c r="L748" s="876"/>
      <c r="M748" s="876"/>
      <c r="N748" s="876"/>
      <c r="O748" s="876"/>
      <c r="P748" s="876"/>
      <c r="Q748" s="870"/>
      <c r="R748" s="870"/>
      <c r="S748" s="870"/>
      <c r="T748" s="870"/>
      <c r="U748" s="870"/>
      <c r="V748" s="870"/>
      <c r="W748" s="870"/>
      <c r="X748" s="870"/>
      <c r="Y748" s="870"/>
      <c r="Z748" s="870"/>
      <c r="AA748" s="870"/>
      <c r="AB748" s="870"/>
      <c r="AC748" s="870"/>
      <c r="AD748" s="870"/>
      <c r="AE748" s="870"/>
      <c r="AF748" s="870"/>
      <c r="AG748" s="870"/>
    </row>
    <row r="749" spans="1:33" s="995" customFormat="1">
      <c r="A749" s="974"/>
      <c r="D749" s="876"/>
      <c r="E749" s="974"/>
      <c r="F749" s="876"/>
      <c r="G749" s="876"/>
      <c r="H749" s="876"/>
      <c r="I749" s="876"/>
      <c r="J749" s="876"/>
      <c r="K749" s="876"/>
      <c r="L749" s="876"/>
      <c r="M749" s="876"/>
      <c r="N749" s="876"/>
      <c r="O749" s="876"/>
      <c r="P749" s="876"/>
      <c r="Q749" s="870"/>
      <c r="R749" s="870"/>
      <c r="S749" s="870"/>
      <c r="T749" s="870"/>
      <c r="U749" s="870"/>
      <c r="V749" s="870"/>
      <c r="W749" s="870"/>
      <c r="X749" s="870"/>
      <c r="Y749" s="870"/>
      <c r="Z749" s="870"/>
      <c r="AA749" s="870"/>
      <c r="AB749" s="870"/>
      <c r="AC749" s="870"/>
      <c r="AD749" s="870"/>
      <c r="AE749" s="870"/>
      <c r="AF749" s="870"/>
      <c r="AG749" s="870"/>
    </row>
    <row r="750" spans="1:33" s="995" customFormat="1">
      <c r="A750" s="974"/>
      <c r="D750" s="876"/>
      <c r="E750" s="974"/>
      <c r="F750" s="876"/>
      <c r="G750" s="876"/>
      <c r="H750" s="876"/>
      <c r="I750" s="876"/>
      <c r="J750" s="876"/>
      <c r="K750" s="876"/>
      <c r="L750" s="876"/>
      <c r="M750" s="876"/>
      <c r="N750" s="876"/>
      <c r="O750" s="876"/>
      <c r="P750" s="876"/>
      <c r="Q750" s="870"/>
      <c r="R750" s="870"/>
      <c r="S750" s="870"/>
      <c r="T750" s="870"/>
      <c r="U750" s="870"/>
      <c r="V750" s="870"/>
      <c r="W750" s="870"/>
      <c r="X750" s="870"/>
      <c r="Y750" s="870"/>
      <c r="Z750" s="870"/>
      <c r="AA750" s="870"/>
      <c r="AB750" s="870"/>
      <c r="AC750" s="870"/>
      <c r="AD750" s="870"/>
      <c r="AE750" s="870"/>
      <c r="AF750" s="870"/>
      <c r="AG750" s="870"/>
    </row>
    <row r="751" spans="1:33" s="995" customFormat="1">
      <c r="A751" s="974"/>
      <c r="D751" s="876"/>
      <c r="E751" s="974"/>
      <c r="F751" s="876"/>
      <c r="G751" s="876"/>
      <c r="H751" s="876"/>
      <c r="I751" s="876"/>
      <c r="J751" s="876"/>
      <c r="K751" s="876"/>
      <c r="L751" s="876"/>
      <c r="M751" s="876"/>
      <c r="N751" s="876"/>
      <c r="O751" s="876"/>
      <c r="P751" s="876"/>
      <c r="Q751" s="870"/>
      <c r="R751" s="870"/>
      <c r="S751" s="870"/>
      <c r="T751" s="870"/>
      <c r="U751" s="870"/>
      <c r="V751" s="870"/>
      <c r="W751" s="870"/>
      <c r="X751" s="870"/>
      <c r="Y751" s="870"/>
      <c r="Z751" s="870"/>
      <c r="AA751" s="870"/>
      <c r="AB751" s="870"/>
      <c r="AC751" s="870"/>
      <c r="AD751" s="870"/>
      <c r="AE751" s="870"/>
      <c r="AF751" s="870"/>
      <c r="AG751" s="870"/>
    </row>
    <row r="752" spans="1:33" s="995" customFormat="1">
      <c r="A752" s="974"/>
      <c r="D752" s="876"/>
      <c r="E752" s="974"/>
      <c r="F752" s="876"/>
      <c r="G752" s="876"/>
      <c r="H752" s="876"/>
      <c r="I752" s="876"/>
      <c r="J752" s="876"/>
      <c r="K752" s="876"/>
      <c r="L752" s="876"/>
      <c r="M752" s="876"/>
      <c r="N752" s="876"/>
      <c r="O752" s="876"/>
      <c r="P752" s="876"/>
      <c r="Q752" s="870"/>
      <c r="R752" s="870"/>
      <c r="S752" s="870"/>
      <c r="T752" s="870"/>
      <c r="U752" s="870"/>
      <c r="V752" s="870"/>
      <c r="W752" s="870"/>
      <c r="X752" s="870"/>
      <c r="Y752" s="870"/>
      <c r="Z752" s="870"/>
      <c r="AA752" s="870"/>
      <c r="AB752" s="870"/>
      <c r="AC752" s="870"/>
      <c r="AD752" s="870"/>
      <c r="AE752" s="870"/>
      <c r="AF752" s="870"/>
      <c r="AG752" s="870"/>
    </row>
    <row r="753" spans="1:33" s="995" customFormat="1">
      <c r="A753" s="974"/>
      <c r="D753" s="876"/>
      <c r="E753" s="974"/>
      <c r="F753" s="876"/>
      <c r="G753" s="876"/>
      <c r="H753" s="876"/>
      <c r="I753" s="876"/>
      <c r="J753" s="876"/>
      <c r="K753" s="876"/>
      <c r="L753" s="876"/>
      <c r="M753" s="876"/>
      <c r="N753" s="876"/>
      <c r="O753" s="876"/>
      <c r="P753" s="876"/>
      <c r="Q753" s="870"/>
      <c r="R753" s="870"/>
      <c r="S753" s="870"/>
      <c r="T753" s="870"/>
      <c r="U753" s="870"/>
      <c r="V753" s="870"/>
      <c r="W753" s="870"/>
      <c r="X753" s="870"/>
      <c r="Y753" s="870"/>
      <c r="Z753" s="870"/>
      <c r="AA753" s="870"/>
      <c r="AB753" s="870"/>
      <c r="AC753" s="870"/>
      <c r="AD753" s="870"/>
      <c r="AE753" s="870"/>
      <c r="AF753" s="870"/>
      <c r="AG753" s="870"/>
    </row>
    <row r="754" spans="1:33" s="995" customFormat="1">
      <c r="A754" s="974"/>
      <c r="D754" s="876"/>
      <c r="E754" s="974"/>
      <c r="F754" s="876"/>
      <c r="G754" s="876"/>
      <c r="H754" s="876"/>
      <c r="I754" s="876"/>
      <c r="J754" s="876"/>
      <c r="K754" s="876"/>
      <c r="L754" s="876"/>
      <c r="M754" s="876"/>
      <c r="N754" s="876"/>
      <c r="O754" s="876"/>
      <c r="P754" s="876"/>
      <c r="Q754" s="870"/>
      <c r="R754" s="870"/>
      <c r="S754" s="870"/>
      <c r="T754" s="870"/>
      <c r="U754" s="870"/>
      <c r="V754" s="870"/>
      <c r="W754" s="870"/>
      <c r="X754" s="870"/>
      <c r="Y754" s="870"/>
      <c r="Z754" s="870"/>
      <c r="AA754" s="870"/>
      <c r="AB754" s="870"/>
      <c r="AC754" s="870"/>
      <c r="AD754" s="870"/>
      <c r="AE754" s="870"/>
      <c r="AF754" s="870"/>
      <c r="AG754" s="870"/>
    </row>
    <row r="755" spans="1:33" s="995" customFormat="1">
      <c r="A755" s="974"/>
      <c r="D755" s="876"/>
      <c r="E755" s="974"/>
      <c r="F755" s="876"/>
      <c r="G755" s="876"/>
      <c r="H755" s="876"/>
      <c r="I755" s="876"/>
      <c r="J755" s="876"/>
      <c r="K755" s="876"/>
      <c r="L755" s="876"/>
      <c r="M755" s="876"/>
      <c r="N755" s="876"/>
      <c r="O755" s="876"/>
      <c r="P755" s="876"/>
      <c r="Q755" s="870"/>
      <c r="R755" s="870"/>
      <c r="S755" s="870"/>
      <c r="T755" s="870"/>
      <c r="U755" s="870"/>
      <c r="V755" s="870"/>
      <c r="W755" s="870"/>
      <c r="X755" s="870"/>
      <c r="Y755" s="870"/>
      <c r="Z755" s="870"/>
      <c r="AA755" s="870"/>
      <c r="AB755" s="870"/>
      <c r="AC755" s="870"/>
      <c r="AD755" s="870"/>
      <c r="AE755" s="870"/>
      <c r="AF755" s="870"/>
      <c r="AG755" s="870"/>
    </row>
    <row r="756" spans="1:33" s="995" customFormat="1">
      <c r="A756" s="974"/>
      <c r="D756" s="876"/>
      <c r="E756" s="974"/>
      <c r="F756" s="876"/>
      <c r="G756" s="876"/>
      <c r="H756" s="876"/>
      <c r="I756" s="876"/>
      <c r="J756" s="876"/>
      <c r="K756" s="876"/>
      <c r="L756" s="876"/>
      <c r="M756" s="876"/>
      <c r="N756" s="876"/>
      <c r="O756" s="876"/>
      <c r="P756" s="876"/>
      <c r="Q756" s="870"/>
      <c r="R756" s="870"/>
      <c r="S756" s="870"/>
      <c r="T756" s="870"/>
      <c r="U756" s="870"/>
      <c r="V756" s="870"/>
      <c r="W756" s="870"/>
      <c r="X756" s="870"/>
      <c r="Y756" s="870"/>
      <c r="Z756" s="870"/>
      <c r="AA756" s="870"/>
      <c r="AB756" s="870"/>
      <c r="AC756" s="870"/>
      <c r="AD756" s="870"/>
      <c r="AE756" s="870"/>
      <c r="AF756" s="870"/>
      <c r="AG756" s="870"/>
    </row>
    <row r="757" spans="1:33" s="995" customFormat="1">
      <c r="A757" s="974"/>
      <c r="D757" s="876"/>
      <c r="E757" s="974"/>
      <c r="F757" s="876"/>
      <c r="G757" s="876"/>
      <c r="H757" s="876"/>
      <c r="I757" s="876"/>
      <c r="J757" s="876"/>
      <c r="K757" s="876"/>
      <c r="L757" s="876"/>
      <c r="M757" s="876"/>
      <c r="N757" s="876"/>
      <c r="O757" s="876"/>
      <c r="P757" s="876"/>
      <c r="Q757" s="870"/>
      <c r="R757" s="870"/>
      <c r="S757" s="870"/>
      <c r="T757" s="870"/>
      <c r="U757" s="870"/>
      <c r="V757" s="870"/>
      <c r="W757" s="870"/>
      <c r="X757" s="870"/>
      <c r="Y757" s="870"/>
      <c r="Z757" s="870"/>
      <c r="AA757" s="870"/>
      <c r="AB757" s="870"/>
      <c r="AC757" s="870"/>
      <c r="AD757" s="870"/>
      <c r="AE757" s="870"/>
      <c r="AF757" s="870"/>
      <c r="AG757" s="870"/>
    </row>
    <row r="758" spans="1:33" s="995" customFormat="1">
      <c r="A758" s="974"/>
      <c r="D758" s="876"/>
      <c r="E758" s="974"/>
      <c r="F758" s="876"/>
      <c r="G758" s="876"/>
      <c r="H758" s="876"/>
      <c r="I758" s="876"/>
      <c r="J758" s="876"/>
      <c r="K758" s="876"/>
      <c r="L758" s="876"/>
      <c r="M758" s="876"/>
      <c r="N758" s="876"/>
      <c r="O758" s="876"/>
      <c r="P758" s="876"/>
      <c r="Q758" s="870"/>
      <c r="R758" s="870"/>
      <c r="S758" s="870"/>
      <c r="T758" s="870"/>
      <c r="U758" s="870"/>
      <c r="V758" s="870"/>
      <c r="W758" s="870"/>
      <c r="X758" s="870"/>
      <c r="Y758" s="870"/>
      <c r="Z758" s="870"/>
      <c r="AA758" s="870"/>
      <c r="AB758" s="870"/>
      <c r="AC758" s="870"/>
      <c r="AD758" s="870"/>
      <c r="AE758" s="870"/>
      <c r="AF758" s="870"/>
      <c r="AG758" s="870"/>
    </row>
    <row r="759" spans="1:33" s="995" customFormat="1">
      <c r="A759" s="974"/>
      <c r="D759" s="876"/>
      <c r="E759" s="974"/>
      <c r="F759" s="876"/>
      <c r="G759" s="876"/>
      <c r="H759" s="876"/>
      <c r="I759" s="876"/>
      <c r="J759" s="876"/>
      <c r="K759" s="876"/>
      <c r="L759" s="876"/>
      <c r="M759" s="876"/>
      <c r="N759" s="876"/>
      <c r="O759" s="876"/>
      <c r="P759" s="876"/>
      <c r="Q759" s="870"/>
      <c r="R759" s="870"/>
      <c r="S759" s="870"/>
      <c r="T759" s="870"/>
      <c r="U759" s="870"/>
      <c r="V759" s="870"/>
      <c r="W759" s="870"/>
      <c r="X759" s="870"/>
      <c r="Y759" s="870"/>
      <c r="Z759" s="870"/>
      <c r="AA759" s="870"/>
      <c r="AB759" s="870"/>
      <c r="AC759" s="870"/>
      <c r="AD759" s="870"/>
      <c r="AE759" s="870"/>
      <c r="AF759" s="870"/>
      <c r="AG759" s="870"/>
    </row>
    <row r="760" spans="1:33" s="995" customFormat="1">
      <c r="A760" s="974"/>
      <c r="D760" s="876"/>
      <c r="E760" s="974"/>
      <c r="F760" s="876"/>
      <c r="G760" s="876"/>
      <c r="H760" s="876"/>
      <c r="I760" s="876"/>
      <c r="J760" s="876"/>
      <c r="K760" s="876"/>
      <c r="L760" s="876"/>
      <c r="M760" s="876"/>
      <c r="N760" s="876"/>
      <c r="O760" s="876"/>
      <c r="P760" s="876"/>
      <c r="Q760" s="870"/>
      <c r="R760" s="870"/>
      <c r="S760" s="870"/>
      <c r="T760" s="870"/>
      <c r="U760" s="870"/>
      <c r="V760" s="870"/>
      <c r="W760" s="870"/>
      <c r="X760" s="870"/>
      <c r="Y760" s="870"/>
      <c r="Z760" s="870"/>
      <c r="AA760" s="870"/>
      <c r="AB760" s="870"/>
      <c r="AC760" s="870"/>
      <c r="AD760" s="870"/>
      <c r="AE760" s="870"/>
      <c r="AF760" s="870"/>
      <c r="AG760" s="870"/>
    </row>
    <row r="761" spans="1:33" s="995" customFormat="1">
      <c r="A761" s="974"/>
      <c r="D761" s="876"/>
      <c r="E761" s="974"/>
      <c r="F761" s="876"/>
      <c r="G761" s="876"/>
      <c r="H761" s="876"/>
      <c r="I761" s="876"/>
      <c r="J761" s="876"/>
      <c r="K761" s="876"/>
      <c r="L761" s="876"/>
      <c r="M761" s="876"/>
      <c r="N761" s="876"/>
      <c r="O761" s="876"/>
      <c r="P761" s="876"/>
      <c r="Q761" s="870"/>
      <c r="R761" s="870"/>
      <c r="S761" s="870"/>
      <c r="T761" s="870"/>
      <c r="U761" s="870"/>
      <c r="V761" s="870"/>
      <c r="W761" s="870"/>
      <c r="X761" s="870"/>
      <c r="Y761" s="870"/>
      <c r="Z761" s="870"/>
      <c r="AA761" s="870"/>
      <c r="AB761" s="870"/>
      <c r="AC761" s="870"/>
      <c r="AD761" s="870"/>
      <c r="AE761" s="870"/>
      <c r="AF761" s="870"/>
      <c r="AG761" s="870"/>
    </row>
    <row r="762" spans="1:33" s="995" customFormat="1">
      <c r="A762" s="974"/>
      <c r="D762" s="876"/>
      <c r="E762" s="974"/>
      <c r="F762" s="876"/>
      <c r="G762" s="876"/>
      <c r="H762" s="876"/>
      <c r="I762" s="876"/>
      <c r="J762" s="876"/>
      <c r="K762" s="876"/>
      <c r="L762" s="876"/>
      <c r="M762" s="876"/>
      <c r="N762" s="876"/>
      <c r="O762" s="876"/>
      <c r="P762" s="876"/>
      <c r="Q762" s="870"/>
      <c r="R762" s="870"/>
      <c r="S762" s="870"/>
      <c r="T762" s="870"/>
      <c r="U762" s="870"/>
      <c r="V762" s="870"/>
      <c r="W762" s="870"/>
      <c r="X762" s="870"/>
      <c r="Y762" s="870"/>
      <c r="Z762" s="870"/>
      <c r="AA762" s="870"/>
      <c r="AB762" s="870"/>
      <c r="AC762" s="870"/>
      <c r="AD762" s="870"/>
      <c r="AE762" s="870"/>
      <c r="AF762" s="870"/>
      <c r="AG762" s="870"/>
    </row>
    <row r="763" spans="1:33" s="995" customFormat="1">
      <c r="A763" s="974"/>
      <c r="D763" s="876"/>
      <c r="E763" s="974"/>
      <c r="F763" s="876"/>
      <c r="G763" s="876"/>
      <c r="H763" s="876"/>
      <c r="I763" s="876"/>
      <c r="J763" s="876"/>
      <c r="K763" s="876"/>
      <c r="L763" s="876"/>
      <c r="M763" s="876"/>
      <c r="N763" s="876"/>
      <c r="O763" s="876"/>
      <c r="P763" s="876"/>
      <c r="Q763" s="870"/>
      <c r="R763" s="870"/>
      <c r="S763" s="870"/>
      <c r="T763" s="870"/>
      <c r="U763" s="870"/>
      <c r="V763" s="870"/>
      <c r="W763" s="870"/>
      <c r="X763" s="870"/>
      <c r="Y763" s="870"/>
      <c r="Z763" s="870"/>
      <c r="AA763" s="870"/>
      <c r="AB763" s="870"/>
      <c r="AC763" s="870"/>
      <c r="AD763" s="870"/>
      <c r="AE763" s="870"/>
      <c r="AF763" s="870"/>
      <c r="AG763" s="870"/>
    </row>
    <row r="764" spans="1:33" s="995" customFormat="1">
      <c r="A764" s="974"/>
      <c r="D764" s="876"/>
      <c r="E764" s="974"/>
      <c r="F764" s="876"/>
      <c r="G764" s="876"/>
      <c r="H764" s="876"/>
      <c r="I764" s="876"/>
      <c r="J764" s="876"/>
      <c r="K764" s="876"/>
      <c r="L764" s="876"/>
      <c r="M764" s="876"/>
      <c r="N764" s="876"/>
      <c r="O764" s="876"/>
      <c r="P764" s="876"/>
      <c r="Q764" s="870"/>
      <c r="R764" s="870"/>
      <c r="S764" s="870"/>
      <c r="T764" s="870"/>
      <c r="U764" s="870"/>
      <c r="V764" s="870"/>
      <c r="W764" s="870"/>
      <c r="X764" s="870"/>
      <c r="Y764" s="870"/>
      <c r="Z764" s="870"/>
      <c r="AA764" s="870"/>
      <c r="AB764" s="870"/>
      <c r="AC764" s="870"/>
      <c r="AD764" s="870"/>
      <c r="AE764" s="870"/>
      <c r="AF764" s="870"/>
      <c r="AG764" s="870"/>
    </row>
    <row r="765" spans="1:33" s="995" customFormat="1">
      <c r="A765" s="974"/>
      <c r="D765" s="876"/>
      <c r="E765" s="974"/>
      <c r="F765" s="876"/>
      <c r="G765" s="876"/>
      <c r="H765" s="876"/>
      <c r="I765" s="876"/>
      <c r="J765" s="876"/>
      <c r="K765" s="876"/>
      <c r="L765" s="876"/>
      <c r="M765" s="876"/>
      <c r="N765" s="876"/>
      <c r="O765" s="876"/>
      <c r="P765" s="876"/>
      <c r="Q765" s="870"/>
      <c r="R765" s="870"/>
      <c r="S765" s="870"/>
      <c r="T765" s="870"/>
      <c r="U765" s="870"/>
      <c r="V765" s="870"/>
      <c r="W765" s="870"/>
      <c r="X765" s="870"/>
      <c r="Y765" s="870"/>
      <c r="Z765" s="870"/>
      <c r="AA765" s="870"/>
      <c r="AB765" s="870"/>
      <c r="AC765" s="870"/>
      <c r="AD765" s="870"/>
      <c r="AE765" s="870"/>
      <c r="AF765" s="870"/>
      <c r="AG765" s="870"/>
    </row>
    <row r="766" spans="1:33" s="995" customFormat="1">
      <c r="A766" s="974"/>
      <c r="D766" s="876"/>
      <c r="E766" s="974"/>
      <c r="F766" s="876"/>
      <c r="G766" s="876"/>
      <c r="H766" s="876"/>
      <c r="I766" s="876"/>
      <c r="J766" s="876"/>
      <c r="K766" s="876"/>
      <c r="L766" s="876"/>
      <c r="M766" s="876"/>
      <c r="N766" s="876"/>
      <c r="O766" s="876"/>
      <c r="P766" s="876"/>
      <c r="Q766" s="870"/>
      <c r="R766" s="870"/>
      <c r="S766" s="870"/>
      <c r="T766" s="870"/>
      <c r="U766" s="870"/>
      <c r="V766" s="870"/>
      <c r="W766" s="870"/>
      <c r="X766" s="870"/>
      <c r="Y766" s="870"/>
      <c r="Z766" s="870"/>
      <c r="AA766" s="870"/>
      <c r="AB766" s="870"/>
      <c r="AC766" s="870"/>
      <c r="AD766" s="870"/>
      <c r="AE766" s="870"/>
      <c r="AF766" s="870"/>
      <c r="AG766" s="870"/>
    </row>
    <row r="767" spans="1:33" s="995" customFormat="1">
      <c r="A767" s="974"/>
      <c r="D767" s="876"/>
      <c r="E767" s="974"/>
      <c r="F767" s="876"/>
      <c r="G767" s="876"/>
      <c r="H767" s="876"/>
      <c r="I767" s="876"/>
      <c r="J767" s="876"/>
      <c r="K767" s="876"/>
      <c r="L767" s="876"/>
      <c r="M767" s="876"/>
      <c r="N767" s="876"/>
      <c r="O767" s="876"/>
      <c r="P767" s="876"/>
      <c r="Q767" s="870"/>
      <c r="R767" s="870"/>
      <c r="S767" s="870"/>
      <c r="T767" s="870"/>
      <c r="U767" s="870"/>
      <c r="V767" s="870"/>
      <c r="W767" s="870"/>
      <c r="X767" s="870"/>
      <c r="Y767" s="870"/>
      <c r="Z767" s="870"/>
      <c r="AA767" s="870"/>
      <c r="AB767" s="870"/>
      <c r="AC767" s="870"/>
      <c r="AD767" s="870"/>
      <c r="AE767" s="870"/>
      <c r="AF767" s="870"/>
      <c r="AG767" s="870"/>
    </row>
    <row r="768" spans="1:33" s="995" customFormat="1">
      <c r="A768" s="974"/>
      <c r="D768" s="876"/>
      <c r="E768" s="974"/>
      <c r="F768" s="876"/>
      <c r="G768" s="876"/>
      <c r="H768" s="876"/>
      <c r="I768" s="876"/>
      <c r="J768" s="876"/>
      <c r="K768" s="876"/>
      <c r="L768" s="876"/>
      <c r="M768" s="876"/>
      <c r="N768" s="876"/>
      <c r="O768" s="876"/>
      <c r="P768" s="876"/>
      <c r="Q768" s="870"/>
      <c r="R768" s="870"/>
      <c r="S768" s="870"/>
      <c r="T768" s="870"/>
      <c r="U768" s="870"/>
      <c r="V768" s="870"/>
      <c r="W768" s="870"/>
      <c r="X768" s="870"/>
      <c r="Y768" s="870"/>
      <c r="Z768" s="870"/>
      <c r="AA768" s="870"/>
      <c r="AB768" s="870"/>
      <c r="AC768" s="870"/>
      <c r="AD768" s="870"/>
      <c r="AE768" s="870"/>
      <c r="AF768" s="870"/>
      <c r="AG768" s="870"/>
    </row>
    <row r="769" spans="1:33" s="995" customFormat="1">
      <c r="A769" s="974"/>
      <c r="D769" s="876"/>
      <c r="E769" s="974"/>
      <c r="F769" s="876"/>
      <c r="G769" s="876"/>
      <c r="H769" s="876"/>
      <c r="I769" s="876"/>
      <c r="J769" s="876"/>
      <c r="K769" s="876"/>
      <c r="L769" s="876"/>
      <c r="M769" s="876"/>
      <c r="N769" s="876"/>
      <c r="O769" s="876"/>
      <c r="P769" s="876"/>
      <c r="Q769" s="870"/>
      <c r="R769" s="870"/>
      <c r="S769" s="870"/>
      <c r="T769" s="870"/>
      <c r="U769" s="870"/>
      <c r="V769" s="870"/>
      <c r="W769" s="870"/>
      <c r="X769" s="870"/>
      <c r="Y769" s="870"/>
      <c r="Z769" s="870"/>
      <c r="AA769" s="870"/>
      <c r="AB769" s="870"/>
      <c r="AC769" s="870"/>
      <c r="AD769" s="870"/>
      <c r="AE769" s="870"/>
      <c r="AF769" s="870"/>
      <c r="AG769" s="870"/>
    </row>
    <row r="770" spans="1:33" s="995" customFormat="1">
      <c r="A770" s="974"/>
      <c r="D770" s="876"/>
      <c r="E770" s="974"/>
      <c r="F770" s="876"/>
      <c r="G770" s="876"/>
      <c r="H770" s="876"/>
      <c r="I770" s="876"/>
      <c r="J770" s="876"/>
      <c r="K770" s="876"/>
      <c r="L770" s="876"/>
      <c r="M770" s="876"/>
      <c r="N770" s="876"/>
      <c r="O770" s="876"/>
      <c r="P770" s="876"/>
      <c r="Q770" s="870"/>
      <c r="R770" s="870"/>
      <c r="S770" s="870"/>
      <c r="T770" s="870"/>
      <c r="U770" s="870"/>
      <c r="V770" s="870"/>
      <c r="W770" s="870"/>
      <c r="X770" s="870"/>
      <c r="Y770" s="870"/>
      <c r="Z770" s="870"/>
      <c r="AA770" s="870"/>
      <c r="AB770" s="870"/>
      <c r="AC770" s="870"/>
      <c r="AD770" s="870"/>
      <c r="AE770" s="870"/>
      <c r="AF770" s="870"/>
      <c r="AG770" s="870"/>
    </row>
    <row r="771" spans="1:33" s="995" customFormat="1">
      <c r="A771" s="974"/>
      <c r="D771" s="876"/>
      <c r="E771" s="974"/>
      <c r="F771" s="876"/>
      <c r="G771" s="876"/>
      <c r="H771" s="876"/>
      <c r="I771" s="876"/>
      <c r="J771" s="876"/>
      <c r="K771" s="876"/>
      <c r="L771" s="876"/>
      <c r="M771" s="876"/>
      <c r="N771" s="876"/>
      <c r="O771" s="876"/>
      <c r="P771" s="876"/>
      <c r="Q771" s="870"/>
      <c r="R771" s="870"/>
      <c r="S771" s="870"/>
      <c r="T771" s="870"/>
      <c r="U771" s="870"/>
      <c r="V771" s="870"/>
      <c r="W771" s="870"/>
      <c r="X771" s="870"/>
      <c r="Y771" s="870"/>
      <c r="Z771" s="870"/>
      <c r="AA771" s="870"/>
      <c r="AB771" s="870"/>
      <c r="AC771" s="870"/>
      <c r="AD771" s="870"/>
      <c r="AE771" s="870"/>
      <c r="AF771" s="870"/>
      <c r="AG771" s="870"/>
    </row>
    <row r="772" spans="1:33" s="995" customFormat="1">
      <c r="A772" s="974"/>
      <c r="D772" s="876"/>
      <c r="E772" s="974"/>
      <c r="F772" s="876"/>
      <c r="G772" s="876"/>
      <c r="H772" s="876"/>
      <c r="I772" s="876"/>
      <c r="J772" s="876"/>
      <c r="K772" s="876"/>
      <c r="L772" s="876"/>
      <c r="M772" s="876"/>
      <c r="N772" s="876"/>
      <c r="O772" s="876"/>
      <c r="P772" s="876"/>
      <c r="Q772" s="870"/>
      <c r="R772" s="870"/>
      <c r="S772" s="870"/>
      <c r="T772" s="870"/>
      <c r="U772" s="870"/>
      <c r="V772" s="870"/>
      <c r="W772" s="870"/>
      <c r="X772" s="870"/>
      <c r="Y772" s="870"/>
      <c r="Z772" s="870"/>
      <c r="AA772" s="870"/>
      <c r="AB772" s="870"/>
      <c r="AC772" s="870"/>
      <c r="AD772" s="870"/>
      <c r="AE772" s="870"/>
      <c r="AF772" s="870"/>
      <c r="AG772" s="870"/>
    </row>
    <row r="773" spans="1:33" s="995" customFormat="1">
      <c r="A773" s="974"/>
      <c r="D773" s="876"/>
      <c r="E773" s="974"/>
      <c r="F773" s="876"/>
      <c r="G773" s="876"/>
      <c r="H773" s="876"/>
      <c r="I773" s="876"/>
      <c r="J773" s="876"/>
      <c r="K773" s="876"/>
      <c r="L773" s="876"/>
      <c r="M773" s="876"/>
      <c r="N773" s="876"/>
      <c r="O773" s="876"/>
      <c r="P773" s="876"/>
      <c r="Q773" s="870"/>
      <c r="R773" s="870"/>
      <c r="S773" s="870"/>
      <c r="T773" s="870"/>
      <c r="U773" s="870"/>
      <c r="V773" s="870"/>
      <c r="W773" s="870"/>
      <c r="X773" s="870"/>
      <c r="Y773" s="870"/>
      <c r="Z773" s="870"/>
      <c r="AA773" s="870"/>
      <c r="AB773" s="870"/>
      <c r="AC773" s="870"/>
      <c r="AD773" s="870"/>
      <c r="AE773" s="870"/>
      <c r="AF773" s="870"/>
      <c r="AG773" s="870"/>
    </row>
    <row r="774" spans="1:33" s="995" customFormat="1">
      <c r="A774" s="974"/>
      <c r="D774" s="876"/>
      <c r="E774" s="974"/>
      <c r="F774" s="876"/>
      <c r="G774" s="876"/>
      <c r="H774" s="876"/>
      <c r="I774" s="876"/>
      <c r="J774" s="876"/>
      <c r="K774" s="876"/>
      <c r="L774" s="876"/>
      <c r="M774" s="876"/>
      <c r="N774" s="876"/>
      <c r="O774" s="876"/>
      <c r="P774" s="876"/>
      <c r="Q774" s="870"/>
      <c r="R774" s="870"/>
      <c r="S774" s="870"/>
      <c r="T774" s="870"/>
      <c r="U774" s="870"/>
      <c r="V774" s="870"/>
      <c r="W774" s="870"/>
      <c r="X774" s="870"/>
      <c r="Y774" s="870"/>
      <c r="Z774" s="870"/>
      <c r="AA774" s="870"/>
      <c r="AB774" s="870"/>
      <c r="AC774" s="870"/>
      <c r="AD774" s="870"/>
      <c r="AE774" s="870"/>
      <c r="AF774" s="870"/>
      <c r="AG774" s="870"/>
    </row>
    <row r="775" spans="1:33" s="995" customFormat="1">
      <c r="A775" s="974"/>
      <c r="D775" s="876"/>
      <c r="E775" s="974"/>
      <c r="F775" s="876"/>
      <c r="G775" s="876"/>
      <c r="H775" s="876"/>
      <c r="I775" s="876"/>
      <c r="J775" s="876"/>
      <c r="K775" s="876"/>
      <c r="L775" s="876"/>
      <c r="M775" s="876"/>
      <c r="N775" s="876"/>
      <c r="O775" s="876"/>
      <c r="P775" s="876"/>
      <c r="Q775" s="870"/>
      <c r="R775" s="870"/>
      <c r="S775" s="870"/>
      <c r="T775" s="870"/>
      <c r="U775" s="870"/>
      <c r="V775" s="870"/>
      <c r="W775" s="870"/>
      <c r="X775" s="870"/>
      <c r="Y775" s="870"/>
      <c r="Z775" s="870"/>
      <c r="AA775" s="870"/>
      <c r="AB775" s="870"/>
      <c r="AC775" s="870"/>
      <c r="AD775" s="870"/>
      <c r="AE775" s="870"/>
      <c r="AF775" s="870"/>
      <c r="AG775" s="870"/>
    </row>
    <row r="776" spans="1:33" s="995" customFormat="1">
      <c r="A776" s="974"/>
      <c r="D776" s="876"/>
      <c r="E776" s="974"/>
      <c r="F776" s="876"/>
      <c r="G776" s="876"/>
      <c r="H776" s="876"/>
      <c r="I776" s="876"/>
      <c r="J776" s="876"/>
      <c r="K776" s="876"/>
      <c r="L776" s="876"/>
      <c r="M776" s="876"/>
      <c r="N776" s="876"/>
      <c r="O776" s="876"/>
      <c r="P776" s="876"/>
      <c r="Q776" s="870"/>
      <c r="R776" s="870"/>
      <c r="S776" s="870"/>
      <c r="T776" s="870"/>
      <c r="U776" s="870"/>
      <c r="V776" s="870"/>
      <c r="W776" s="870"/>
      <c r="X776" s="870"/>
      <c r="Y776" s="870"/>
      <c r="Z776" s="870"/>
      <c r="AA776" s="870"/>
      <c r="AB776" s="870"/>
      <c r="AC776" s="870"/>
      <c r="AD776" s="870"/>
      <c r="AE776" s="870"/>
      <c r="AF776" s="870"/>
      <c r="AG776" s="870"/>
    </row>
    <row r="777" spans="1:33" s="995" customFormat="1">
      <c r="A777" s="974"/>
      <c r="D777" s="876"/>
      <c r="E777" s="974"/>
      <c r="F777" s="876"/>
      <c r="G777" s="876"/>
      <c r="H777" s="876"/>
      <c r="I777" s="876"/>
      <c r="J777" s="876"/>
      <c r="K777" s="876"/>
      <c r="L777" s="876"/>
      <c r="M777" s="876"/>
      <c r="N777" s="876"/>
      <c r="O777" s="876"/>
      <c r="P777" s="876"/>
      <c r="Q777" s="870"/>
      <c r="R777" s="870"/>
      <c r="S777" s="870"/>
      <c r="T777" s="870"/>
      <c r="U777" s="870"/>
      <c r="V777" s="870"/>
      <c r="W777" s="870"/>
      <c r="X777" s="870"/>
      <c r="Y777" s="870"/>
      <c r="Z777" s="870"/>
      <c r="AA777" s="870"/>
      <c r="AB777" s="870"/>
      <c r="AC777" s="870"/>
      <c r="AD777" s="870"/>
      <c r="AE777" s="870"/>
      <c r="AF777" s="870"/>
      <c r="AG777" s="870"/>
    </row>
    <row r="778" spans="1:33" s="995" customFormat="1">
      <c r="A778" s="974"/>
      <c r="D778" s="876"/>
      <c r="E778" s="974"/>
      <c r="F778" s="876"/>
      <c r="G778" s="876"/>
      <c r="H778" s="876"/>
      <c r="I778" s="876"/>
      <c r="J778" s="876"/>
      <c r="K778" s="876"/>
      <c r="L778" s="876"/>
      <c r="M778" s="876"/>
      <c r="N778" s="876"/>
      <c r="O778" s="876"/>
      <c r="P778" s="876"/>
      <c r="Q778" s="870"/>
      <c r="R778" s="870"/>
      <c r="S778" s="870"/>
      <c r="T778" s="870"/>
      <c r="U778" s="870"/>
      <c r="V778" s="870"/>
      <c r="W778" s="870"/>
      <c r="X778" s="870"/>
      <c r="Y778" s="870"/>
      <c r="Z778" s="870"/>
      <c r="AA778" s="870"/>
      <c r="AB778" s="870"/>
      <c r="AC778" s="870"/>
      <c r="AD778" s="870"/>
      <c r="AE778" s="870"/>
      <c r="AF778" s="870"/>
      <c r="AG778" s="870"/>
    </row>
    <row r="779" spans="1:33" s="995" customFormat="1">
      <c r="A779" s="974"/>
      <c r="D779" s="876"/>
      <c r="E779" s="974"/>
      <c r="F779" s="876"/>
      <c r="G779" s="876"/>
      <c r="H779" s="876"/>
      <c r="I779" s="876"/>
      <c r="J779" s="876"/>
      <c r="K779" s="876"/>
      <c r="L779" s="876"/>
      <c r="M779" s="876"/>
      <c r="N779" s="876"/>
      <c r="O779" s="876"/>
      <c r="P779" s="876"/>
      <c r="Q779" s="870"/>
      <c r="R779" s="870"/>
      <c r="S779" s="870"/>
      <c r="T779" s="870"/>
      <c r="U779" s="870"/>
      <c r="V779" s="870"/>
      <c r="W779" s="870"/>
      <c r="X779" s="870"/>
      <c r="Y779" s="870"/>
      <c r="Z779" s="870"/>
      <c r="AA779" s="870"/>
      <c r="AB779" s="870"/>
      <c r="AC779" s="870"/>
      <c r="AD779" s="870"/>
      <c r="AE779" s="870"/>
      <c r="AF779" s="870"/>
      <c r="AG779" s="870"/>
    </row>
    <row r="780" spans="1:33" s="995" customFormat="1">
      <c r="A780" s="974"/>
      <c r="D780" s="876"/>
      <c r="E780" s="974"/>
      <c r="F780" s="876"/>
      <c r="G780" s="876"/>
      <c r="H780" s="876"/>
      <c r="I780" s="876"/>
      <c r="J780" s="876"/>
      <c r="K780" s="876"/>
      <c r="L780" s="876"/>
      <c r="M780" s="876"/>
      <c r="N780" s="876"/>
      <c r="O780" s="876"/>
      <c r="P780" s="876"/>
      <c r="Q780" s="870"/>
      <c r="R780" s="870"/>
      <c r="S780" s="870"/>
      <c r="T780" s="870"/>
      <c r="U780" s="870"/>
      <c r="V780" s="870"/>
      <c r="W780" s="870"/>
      <c r="X780" s="870"/>
      <c r="Y780" s="870"/>
      <c r="Z780" s="870"/>
      <c r="AA780" s="870"/>
      <c r="AB780" s="870"/>
      <c r="AC780" s="870"/>
      <c r="AD780" s="870"/>
      <c r="AE780" s="870"/>
      <c r="AF780" s="870"/>
      <c r="AG780" s="870"/>
    </row>
    <row r="781" spans="1:33" s="995" customFormat="1">
      <c r="A781" s="974"/>
      <c r="D781" s="876"/>
      <c r="E781" s="974"/>
      <c r="F781" s="876"/>
      <c r="G781" s="876"/>
      <c r="H781" s="876"/>
      <c r="I781" s="876"/>
      <c r="J781" s="876"/>
      <c r="K781" s="876"/>
      <c r="L781" s="876"/>
      <c r="M781" s="876"/>
      <c r="N781" s="876"/>
      <c r="O781" s="876"/>
      <c r="P781" s="876"/>
      <c r="Q781" s="870"/>
      <c r="R781" s="870"/>
      <c r="S781" s="870"/>
      <c r="T781" s="870"/>
      <c r="U781" s="870"/>
      <c r="V781" s="870"/>
      <c r="W781" s="870"/>
      <c r="X781" s="870"/>
      <c r="Y781" s="870"/>
      <c r="Z781" s="870"/>
      <c r="AA781" s="870"/>
      <c r="AB781" s="870"/>
      <c r="AC781" s="870"/>
      <c r="AD781" s="870"/>
      <c r="AE781" s="870"/>
      <c r="AF781" s="870"/>
      <c r="AG781" s="870"/>
    </row>
    <row r="782" spans="1:33" s="995" customFormat="1">
      <c r="A782" s="974"/>
      <c r="D782" s="876"/>
      <c r="E782" s="974"/>
      <c r="F782" s="876"/>
      <c r="G782" s="876"/>
      <c r="H782" s="876"/>
      <c r="I782" s="876"/>
      <c r="J782" s="876"/>
      <c r="K782" s="876"/>
      <c r="L782" s="876"/>
      <c r="M782" s="876"/>
      <c r="N782" s="876"/>
      <c r="O782" s="876"/>
      <c r="P782" s="876"/>
      <c r="Q782" s="870"/>
      <c r="R782" s="870"/>
      <c r="S782" s="870"/>
      <c r="T782" s="870"/>
      <c r="U782" s="870"/>
      <c r="V782" s="870"/>
      <c r="W782" s="870"/>
      <c r="X782" s="870"/>
      <c r="Y782" s="870"/>
      <c r="Z782" s="870"/>
      <c r="AA782" s="870"/>
      <c r="AB782" s="870"/>
      <c r="AC782" s="870"/>
      <c r="AD782" s="870"/>
      <c r="AE782" s="870"/>
      <c r="AF782" s="870"/>
      <c r="AG782" s="870"/>
    </row>
    <row r="783" spans="1:33" s="995" customFormat="1">
      <c r="A783" s="974"/>
      <c r="D783" s="876"/>
      <c r="E783" s="974"/>
      <c r="F783" s="876"/>
      <c r="G783" s="876"/>
      <c r="H783" s="876"/>
      <c r="I783" s="876"/>
      <c r="J783" s="876"/>
      <c r="K783" s="876"/>
      <c r="L783" s="876"/>
      <c r="M783" s="876"/>
      <c r="N783" s="876"/>
      <c r="O783" s="876"/>
      <c r="P783" s="876"/>
      <c r="Q783" s="870"/>
      <c r="R783" s="870"/>
      <c r="S783" s="870"/>
      <c r="T783" s="870"/>
      <c r="U783" s="870"/>
      <c r="V783" s="870"/>
      <c r="W783" s="870"/>
      <c r="X783" s="870"/>
      <c r="Y783" s="870"/>
      <c r="Z783" s="870"/>
      <c r="AA783" s="870"/>
      <c r="AB783" s="870"/>
      <c r="AC783" s="870"/>
      <c r="AD783" s="870"/>
      <c r="AE783" s="870"/>
      <c r="AF783" s="870"/>
      <c r="AG783" s="870"/>
    </row>
    <row r="784" spans="1:33" s="995" customFormat="1">
      <c r="A784" s="974"/>
      <c r="D784" s="876"/>
      <c r="E784" s="974"/>
      <c r="F784" s="876"/>
      <c r="G784" s="876"/>
      <c r="H784" s="876"/>
      <c r="I784" s="876"/>
      <c r="J784" s="876"/>
      <c r="K784" s="876"/>
      <c r="L784" s="876"/>
      <c r="M784" s="876"/>
      <c r="N784" s="876"/>
      <c r="O784" s="876"/>
      <c r="P784" s="876"/>
      <c r="Q784" s="870"/>
      <c r="R784" s="870"/>
      <c r="S784" s="870"/>
      <c r="T784" s="870"/>
      <c r="U784" s="870"/>
      <c r="V784" s="870"/>
      <c r="W784" s="870"/>
      <c r="X784" s="870"/>
      <c r="Y784" s="870"/>
      <c r="Z784" s="870"/>
      <c r="AA784" s="870"/>
      <c r="AB784" s="870"/>
      <c r="AC784" s="870"/>
      <c r="AD784" s="870"/>
      <c r="AE784" s="870"/>
      <c r="AF784" s="870"/>
      <c r="AG784" s="870"/>
    </row>
    <row r="785" spans="1:33" s="995" customFormat="1">
      <c r="A785" s="974"/>
      <c r="D785" s="876"/>
      <c r="E785" s="974"/>
      <c r="F785" s="876"/>
      <c r="G785" s="876"/>
      <c r="H785" s="876"/>
      <c r="I785" s="876"/>
      <c r="J785" s="876"/>
      <c r="K785" s="876"/>
      <c r="L785" s="876"/>
      <c r="M785" s="876"/>
      <c r="N785" s="876"/>
      <c r="O785" s="876"/>
      <c r="P785" s="876"/>
      <c r="Q785" s="870"/>
      <c r="R785" s="870"/>
      <c r="S785" s="870"/>
      <c r="T785" s="870"/>
      <c r="U785" s="870"/>
      <c r="V785" s="870"/>
      <c r="W785" s="870"/>
      <c r="X785" s="870"/>
      <c r="Y785" s="870"/>
      <c r="Z785" s="870"/>
      <c r="AA785" s="870"/>
      <c r="AB785" s="870"/>
      <c r="AC785" s="870"/>
      <c r="AD785" s="870"/>
      <c r="AE785" s="870"/>
      <c r="AF785" s="870"/>
      <c r="AG785" s="870"/>
    </row>
    <row r="786" spans="1:33" s="995" customFormat="1">
      <c r="A786" s="974"/>
      <c r="D786" s="876"/>
      <c r="E786" s="974"/>
      <c r="F786" s="876"/>
      <c r="G786" s="876"/>
      <c r="H786" s="876"/>
      <c r="I786" s="876"/>
      <c r="J786" s="876"/>
      <c r="K786" s="876"/>
      <c r="L786" s="876"/>
      <c r="M786" s="876"/>
      <c r="N786" s="876"/>
      <c r="O786" s="876"/>
      <c r="P786" s="876"/>
      <c r="Q786" s="870"/>
      <c r="R786" s="870"/>
      <c r="S786" s="870"/>
      <c r="T786" s="870"/>
      <c r="U786" s="870"/>
      <c r="V786" s="870"/>
      <c r="W786" s="870"/>
      <c r="X786" s="870"/>
      <c r="Y786" s="870"/>
      <c r="Z786" s="870"/>
      <c r="AA786" s="870"/>
      <c r="AB786" s="870"/>
      <c r="AC786" s="870"/>
      <c r="AD786" s="870"/>
      <c r="AE786" s="870"/>
      <c r="AF786" s="870"/>
      <c r="AG786" s="870"/>
    </row>
    <row r="787" spans="1:33" s="995" customFormat="1">
      <c r="A787" s="974"/>
      <c r="D787" s="876"/>
      <c r="E787" s="974"/>
      <c r="F787" s="876"/>
      <c r="G787" s="876"/>
      <c r="H787" s="876"/>
      <c r="I787" s="876"/>
      <c r="J787" s="876"/>
      <c r="K787" s="876"/>
      <c r="L787" s="876"/>
      <c r="M787" s="876"/>
      <c r="N787" s="876"/>
      <c r="O787" s="876"/>
      <c r="P787" s="876"/>
      <c r="Q787" s="870"/>
      <c r="R787" s="870"/>
      <c r="S787" s="870"/>
      <c r="T787" s="870"/>
      <c r="U787" s="870"/>
      <c r="V787" s="870"/>
      <c r="W787" s="870"/>
      <c r="X787" s="870"/>
      <c r="Y787" s="870"/>
      <c r="Z787" s="870"/>
      <c r="AA787" s="870"/>
      <c r="AB787" s="870"/>
      <c r="AC787" s="870"/>
      <c r="AD787" s="870"/>
      <c r="AE787" s="870"/>
      <c r="AF787" s="870"/>
      <c r="AG787" s="870"/>
    </row>
    <row r="788" spans="1:33" s="995" customFormat="1">
      <c r="A788" s="974"/>
      <c r="D788" s="876"/>
      <c r="E788" s="974"/>
      <c r="F788" s="876"/>
      <c r="G788" s="876"/>
      <c r="H788" s="876"/>
      <c r="I788" s="876"/>
      <c r="J788" s="876"/>
      <c r="K788" s="876"/>
      <c r="L788" s="876"/>
      <c r="M788" s="876"/>
      <c r="N788" s="876"/>
      <c r="O788" s="876"/>
      <c r="P788" s="876"/>
      <c r="Q788" s="870"/>
      <c r="R788" s="870"/>
      <c r="S788" s="870"/>
      <c r="T788" s="870"/>
      <c r="U788" s="870"/>
      <c r="V788" s="870"/>
      <c r="W788" s="870"/>
      <c r="X788" s="870"/>
      <c r="Y788" s="870"/>
      <c r="Z788" s="870"/>
      <c r="AA788" s="870"/>
      <c r="AB788" s="870"/>
      <c r="AC788" s="870"/>
      <c r="AD788" s="870"/>
      <c r="AE788" s="870"/>
      <c r="AF788" s="870"/>
      <c r="AG788" s="870"/>
    </row>
    <row r="789" spans="1:33" s="995" customFormat="1">
      <c r="A789" s="974"/>
      <c r="D789" s="876"/>
      <c r="E789" s="974"/>
      <c r="F789" s="876"/>
      <c r="G789" s="876"/>
      <c r="H789" s="876"/>
      <c r="I789" s="876"/>
      <c r="J789" s="876"/>
      <c r="K789" s="876"/>
      <c r="L789" s="876"/>
      <c r="M789" s="876"/>
      <c r="N789" s="876"/>
      <c r="O789" s="876"/>
      <c r="P789" s="876"/>
      <c r="Q789" s="870"/>
      <c r="R789" s="870"/>
      <c r="S789" s="870"/>
      <c r="T789" s="870"/>
      <c r="U789" s="870"/>
      <c r="V789" s="870"/>
      <c r="W789" s="870"/>
      <c r="X789" s="870"/>
      <c r="Y789" s="870"/>
      <c r="Z789" s="870"/>
      <c r="AA789" s="870"/>
      <c r="AB789" s="870"/>
      <c r="AC789" s="870"/>
      <c r="AD789" s="870"/>
      <c r="AE789" s="870"/>
      <c r="AF789" s="870"/>
      <c r="AG789" s="870"/>
    </row>
    <row r="790" spans="1:33" s="995" customFormat="1">
      <c r="A790" s="974"/>
      <c r="D790" s="876"/>
      <c r="E790" s="974"/>
      <c r="F790" s="876"/>
      <c r="G790" s="876"/>
      <c r="H790" s="876"/>
      <c r="I790" s="876"/>
      <c r="J790" s="876"/>
      <c r="K790" s="876"/>
      <c r="L790" s="876"/>
      <c r="M790" s="876"/>
      <c r="N790" s="876"/>
      <c r="O790" s="876"/>
      <c r="P790" s="876"/>
      <c r="Q790" s="870"/>
      <c r="R790" s="870"/>
      <c r="S790" s="870"/>
      <c r="T790" s="870"/>
      <c r="U790" s="870"/>
      <c r="V790" s="870"/>
      <c r="W790" s="870"/>
      <c r="X790" s="870"/>
      <c r="Y790" s="870"/>
      <c r="Z790" s="870"/>
      <c r="AA790" s="870"/>
      <c r="AB790" s="870"/>
      <c r="AC790" s="870"/>
      <c r="AD790" s="870"/>
      <c r="AE790" s="870"/>
      <c r="AF790" s="870"/>
      <c r="AG790" s="870"/>
    </row>
    <row r="791" spans="1:33" s="995" customFormat="1">
      <c r="A791" s="974"/>
      <c r="D791" s="876"/>
      <c r="E791" s="974"/>
      <c r="F791" s="876"/>
      <c r="G791" s="876"/>
      <c r="H791" s="876"/>
      <c r="I791" s="876"/>
      <c r="J791" s="876"/>
      <c r="K791" s="876"/>
      <c r="L791" s="876"/>
      <c r="M791" s="876"/>
      <c r="N791" s="876"/>
      <c r="O791" s="876"/>
      <c r="P791" s="876"/>
      <c r="Q791" s="870"/>
      <c r="R791" s="870"/>
      <c r="S791" s="870"/>
      <c r="T791" s="870"/>
      <c r="U791" s="870"/>
      <c r="V791" s="870"/>
      <c r="W791" s="870"/>
      <c r="X791" s="870"/>
      <c r="Y791" s="870"/>
      <c r="Z791" s="870"/>
      <c r="AA791" s="870"/>
      <c r="AB791" s="870"/>
      <c r="AC791" s="870"/>
      <c r="AD791" s="870"/>
      <c r="AE791" s="870"/>
      <c r="AF791" s="870"/>
      <c r="AG791" s="870"/>
    </row>
    <row r="792" spans="1:33" s="995" customFormat="1">
      <c r="A792" s="974"/>
      <c r="D792" s="876"/>
      <c r="E792" s="974"/>
      <c r="F792" s="876"/>
      <c r="G792" s="876"/>
      <c r="H792" s="876"/>
      <c r="I792" s="876"/>
      <c r="J792" s="876"/>
      <c r="K792" s="876"/>
      <c r="L792" s="876"/>
      <c r="M792" s="876"/>
      <c r="N792" s="876"/>
      <c r="O792" s="876"/>
      <c r="P792" s="876"/>
      <c r="Q792" s="870"/>
      <c r="R792" s="870"/>
      <c r="S792" s="870"/>
      <c r="T792" s="870"/>
      <c r="U792" s="870"/>
      <c r="V792" s="870"/>
      <c r="W792" s="870"/>
      <c r="X792" s="870"/>
      <c r="Y792" s="870"/>
      <c r="Z792" s="870"/>
      <c r="AA792" s="870"/>
      <c r="AB792" s="870"/>
      <c r="AC792" s="870"/>
      <c r="AD792" s="870"/>
      <c r="AE792" s="870"/>
      <c r="AF792" s="870"/>
      <c r="AG792" s="870"/>
    </row>
    <row r="793" spans="1:33" s="995" customFormat="1">
      <c r="A793" s="974"/>
      <c r="D793" s="876"/>
      <c r="E793" s="974"/>
      <c r="F793" s="876"/>
      <c r="G793" s="876"/>
      <c r="H793" s="876"/>
      <c r="I793" s="876"/>
      <c r="J793" s="876"/>
      <c r="K793" s="876"/>
      <c r="L793" s="876"/>
      <c r="M793" s="876"/>
      <c r="N793" s="876"/>
      <c r="O793" s="876"/>
      <c r="P793" s="876"/>
      <c r="Q793" s="870"/>
      <c r="R793" s="870"/>
      <c r="S793" s="870"/>
      <c r="T793" s="870"/>
      <c r="U793" s="870"/>
      <c r="V793" s="870"/>
      <c r="W793" s="870"/>
      <c r="X793" s="870"/>
      <c r="Y793" s="870"/>
      <c r="Z793" s="870"/>
      <c r="AA793" s="870"/>
      <c r="AB793" s="870"/>
      <c r="AC793" s="870"/>
      <c r="AD793" s="870"/>
      <c r="AE793" s="870"/>
      <c r="AF793" s="870"/>
      <c r="AG793" s="870"/>
    </row>
    <row r="794" spans="1:33" s="995" customFormat="1">
      <c r="A794" s="974"/>
      <c r="D794" s="876"/>
      <c r="E794" s="974"/>
      <c r="F794" s="876"/>
      <c r="G794" s="876"/>
      <c r="H794" s="876"/>
      <c r="I794" s="876"/>
      <c r="J794" s="876"/>
      <c r="K794" s="876"/>
      <c r="L794" s="876"/>
      <c r="M794" s="876"/>
      <c r="N794" s="876"/>
      <c r="O794" s="876"/>
      <c r="P794" s="876"/>
      <c r="Q794" s="870"/>
      <c r="R794" s="870"/>
      <c r="S794" s="870"/>
      <c r="T794" s="870"/>
      <c r="U794" s="870"/>
      <c r="V794" s="870"/>
      <c r="W794" s="870"/>
      <c r="X794" s="870"/>
      <c r="Y794" s="870"/>
      <c r="Z794" s="870"/>
      <c r="AA794" s="870"/>
      <c r="AB794" s="870"/>
      <c r="AC794" s="870"/>
      <c r="AD794" s="870"/>
      <c r="AE794" s="870"/>
      <c r="AF794" s="870"/>
      <c r="AG794" s="870"/>
    </row>
    <row r="795" spans="1:33" s="995" customFormat="1">
      <c r="A795" s="974"/>
      <c r="D795" s="876"/>
      <c r="E795" s="974"/>
      <c r="F795" s="876"/>
      <c r="G795" s="876"/>
      <c r="H795" s="876"/>
      <c r="I795" s="876"/>
      <c r="J795" s="876"/>
      <c r="K795" s="876"/>
      <c r="L795" s="876"/>
      <c r="M795" s="876"/>
      <c r="N795" s="876"/>
      <c r="O795" s="876"/>
      <c r="P795" s="876"/>
      <c r="Q795" s="870"/>
      <c r="R795" s="870"/>
      <c r="S795" s="870"/>
      <c r="T795" s="870"/>
      <c r="U795" s="870"/>
      <c r="V795" s="870"/>
      <c r="W795" s="870"/>
      <c r="X795" s="870"/>
      <c r="Y795" s="870"/>
      <c r="Z795" s="870"/>
      <c r="AA795" s="870"/>
      <c r="AB795" s="870"/>
      <c r="AC795" s="870"/>
      <c r="AD795" s="870"/>
      <c r="AE795" s="870"/>
      <c r="AF795" s="870"/>
      <c r="AG795" s="870"/>
    </row>
    <row r="796" spans="1:33" s="995" customFormat="1">
      <c r="A796" s="974"/>
      <c r="D796" s="876"/>
      <c r="E796" s="974"/>
      <c r="F796" s="876"/>
      <c r="G796" s="876"/>
      <c r="H796" s="876"/>
      <c r="I796" s="876"/>
      <c r="J796" s="876"/>
      <c r="K796" s="876"/>
      <c r="L796" s="876"/>
      <c r="M796" s="876"/>
      <c r="N796" s="876"/>
      <c r="O796" s="876"/>
      <c r="P796" s="876"/>
      <c r="Q796" s="870"/>
      <c r="R796" s="870"/>
      <c r="S796" s="870"/>
      <c r="T796" s="870"/>
      <c r="U796" s="870"/>
      <c r="V796" s="870"/>
      <c r="W796" s="870"/>
      <c r="X796" s="870"/>
      <c r="Y796" s="870"/>
      <c r="Z796" s="870"/>
      <c r="AA796" s="870"/>
      <c r="AB796" s="870"/>
      <c r="AC796" s="870"/>
      <c r="AD796" s="870"/>
      <c r="AE796" s="870"/>
      <c r="AF796" s="870"/>
      <c r="AG796" s="870"/>
    </row>
    <row r="797" spans="1:33" s="995" customFormat="1">
      <c r="A797" s="974"/>
      <c r="D797" s="876"/>
      <c r="E797" s="974"/>
      <c r="F797" s="876"/>
      <c r="G797" s="876"/>
      <c r="H797" s="876"/>
      <c r="I797" s="876"/>
      <c r="J797" s="876"/>
      <c r="K797" s="876"/>
      <c r="L797" s="876"/>
      <c r="M797" s="876"/>
      <c r="N797" s="876"/>
      <c r="O797" s="876"/>
      <c r="P797" s="876"/>
      <c r="Q797" s="870"/>
      <c r="R797" s="870"/>
      <c r="S797" s="870"/>
      <c r="T797" s="870"/>
      <c r="U797" s="870"/>
      <c r="V797" s="870"/>
      <c r="W797" s="870"/>
      <c r="X797" s="870"/>
      <c r="Y797" s="870"/>
      <c r="Z797" s="870"/>
      <c r="AA797" s="870"/>
      <c r="AB797" s="870"/>
      <c r="AC797" s="870"/>
      <c r="AD797" s="870"/>
      <c r="AE797" s="870"/>
      <c r="AF797" s="870"/>
      <c r="AG797" s="870"/>
    </row>
    <row r="798" spans="1:33" s="995" customFormat="1">
      <c r="A798" s="974"/>
      <c r="D798" s="876"/>
      <c r="E798" s="974"/>
      <c r="F798" s="876"/>
      <c r="G798" s="876"/>
      <c r="H798" s="876"/>
      <c r="I798" s="876"/>
      <c r="J798" s="876"/>
      <c r="K798" s="876"/>
      <c r="L798" s="876"/>
      <c r="M798" s="876"/>
      <c r="N798" s="876"/>
      <c r="O798" s="876"/>
      <c r="P798" s="876"/>
      <c r="Q798" s="870"/>
      <c r="R798" s="870"/>
      <c r="S798" s="870"/>
      <c r="T798" s="870"/>
      <c r="U798" s="870"/>
      <c r="V798" s="870"/>
      <c r="W798" s="870"/>
      <c r="X798" s="870"/>
      <c r="Y798" s="870"/>
      <c r="Z798" s="870"/>
      <c r="AA798" s="870"/>
      <c r="AB798" s="870"/>
      <c r="AC798" s="870"/>
      <c r="AD798" s="870"/>
      <c r="AE798" s="870"/>
      <c r="AF798" s="870"/>
      <c r="AG798" s="870"/>
    </row>
    <row r="799" spans="1:33" s="995" customFormat="1">
      <c r="A799" s="974"/>
      <c r="D799" s="876"/>
      <c r="E799" s="974"/>
      <c r="F799" s="876"/>
      <c r="G799" s="876"/>
      <c r="H799" s="876"/>
      <c r="I799" s="876"/>
      <c r="J799" s="876"/>
      <c r="K799" s="876"/>
      <c r="L799" s="876"/>
      <c r="M799" s="876"/>
      <c r="N799" s="876"/>
      <c r="O799" s="876"/>
      <c r="P799" s="876"/>
      <c r="Q799" s="870"/>
      <c r="R799" s="870"/>
      <c r="S799" s="870"/>
      <c r="T799" s="870"/>
      <c r="U799" s="870"/>
      <c r="V799" s="870"/>
      <c r="W799" s="870"/>
      <c r="X799" s="870"/>
      <c r="Y799" s="870"/>
      <c r="Z799" s="870"/>
      <c r="AA799" s="870"/>
      <c r="AB799" s="870"/>
      <c r="AC799" s="870"/>
      <c r="AD799" s="870"/>
      <c r="AE799" s="870"/>
      <c r="AF799" s="870"/>
      <c r="AG799" s="870"/>
    </row>
    <row r="800" spans="1:33" s="995" customFormat="1">
      <c r="A800" s="974"/>
      <c r="D800" s="876"/>
      <c r="E800" s="974"/>
      <c r="F800" s="876"/>
      <c r="G800" s="876"/>
      <c r="H800" s="876"/>
      <c r="I800" s="876"/>
      <c r="J800" s="876"/>
      <c r="K800" s="876"/>
      <c r="L800" s="876"/>
      <c r="M800" s="876"/>
      <c r="N800" s="876"/>
      <c r="O800" s="876"/>
      <c r="P800" s="876"/>
      <c r="Q800" s="870"/>
      <c r="R800" s="870"/>
      <c r="S800" s="870"/>
      <c r="T800" s="870"/>
      <c r="U800" s="870"/>
      <c r="V800" s="870"/>
      <c r="W800" s="870"/>
      <c r="X800" s="870"/>
      <c r="Y800" s="870"/>
      <c r="Z800" s="870"/>
      <c r="AA800" s="870"/>
      <c r="AB800" s="870"/>
      <c r="AC800" s="870"/>
      <c r="AD800" s="870"/>
      <c r="AE800" s="870"/>
      <c r="AF800" s="870"/>
      <c r="AG800" s="870"/>
    </row>
    <row r="801" spans="1:33" s="995" customFormat="1">
      <c r="A801" s="974"/>
      <c r="D801" s="876"/>
      <c r="E801" s="974"/>
      <c r="F801" s="876"/>
      <c r="G801" s="876"/>
      <c r="H801" s="876"/>
      <c r="I801" s="876"/>
      <c r="J801" s="876"/>
      <c r="K801" s="876"/>
      <c r="L801" s="876"/>
      <c r="M801" s="876"/>
      <c r="N801" s="876"/>
      <c r="O801" s="876"/>
      <c r="P801" s="876"/>
      <c r="Q801" s="870"/>
      <c r="R801" s="870"/>
      <c r="S801" s="870"/>
      <c r="T801" s="870"/>
      <c r="U801" s="870"/>
      <c r="V801" s="870"/>
      <c r="W801" s="870"/>
      <c r="X801" s="870"/>
      <c r="Y801" s="870"/>
      <c r="Z801" s="870"/>
      <c r="AA801" s="870"/>
      <c r="AB801" s="870"/>
      <c r="AC801" s="870"/>
      <c r="AD801" s="870"/>
      <c r="AE801" s="870"/>
      <c r="AF801" s="870"/>
      <c r="AG801" s="870"/>
    </row>
    <row r="802" spans="1:33" s="995" customFormat="1">
      <c r="A802" s="974"/>
      <c r="D802" s="876"/>
      <c r="E802" s="974"/>
      <c r="F802" s="876"/>
      <c r="G802" s="876"/>
      <c r="H802" s="876"/>
      <c r="I802" s="876"/>
      <c r="J802" s="876"/>
      <c r="K802" s="876"/>
      <c r="L802" s="876"/>
      <c r="M802" s="876"/>
      <c r="N802" s="876"/>
      <c r="O802" s="876"/>
      <c r="P802" s="876"/>
      <c r="Q802" s="870"/>
      <c r="R802" s="870"/>
      <c r="S802" s="870"/>
      <c r="T802" s="870"/>
      <c r="U802" s="870"/>
      <c r="V802" s="870"/>
      <c r="W802" s="870"/>
      <c r="X802" s="870"/>
      <c r="Y802" s="870"/>
      <c r="Z802" s="870"/>
      <c r="AA802" s="870"/>
      <c r="AB802" s="870"/>
      <c r="AC802" s="870"/>
      <c r="AD802" s="870"/>
      <c r="AE802" s="870"/>
      <c r="AF802" s="870"/>
      <c r="AG802" s="870"/>
    </row>
    <row r="803" spans="1:33" s="995" customFormat="1">
      <c r="A803" s="974"/>
      <c r="D803" s="876"/>
      <c r="E803" s="974"/>
      <c r="F803" s="876"/>
      <c r="G803" s="876"/>
      <c r="H803" s="876"/>
      <c r="I803" s="876"/>
      <c r="J803" s="876"/>
      <c r="K803" s="876"/>
      <c r="L803" s="876"/>
      <c r="M803" s="876"/>
      <c r="N803" s="876"/>
      <c r="O803" s="876"/>
      <c r="P803" s="876"/>
      <c r="Q803" s="870"/>
      <c r="R803" s="870"/>
      <c r="S803" s="870"/>
      <c r="T803" s="870"/>
      <c r="U803" s="870"/>
      <c r="V803" s="870"/>
      <c r="W803" s="870"/>
      <c r="X803" s="870"/>
      <c r="Y803" s="870"/>
      <c r="Z803" s="870"/>
      <c r="AA803" s="870"/>
      <c r="AB803" s="870"/>
      <c r="AC803" s="870"/>
      <c r="AD803" s="870"/>
      <c r="AE803" s="870"/>
      <c r="AF803" s="870"/>
      <c r="AG803" s="870"/>
    </row>
    <row r="804" spans="1:33" s="995" customFormat="1">
      <c r="A804" s="974"/>
      <c r="D804" s="876"/>
      <c r="E804" s="974"/>
      <c r="F804" s="876"/>
      <c r="G804" s="876"/>
      <c r="H804" s="876"/>
      <c r="I804" s="876"/>
      <c r="J804" s="876"/>
      <c r="K804" s="876"/>
      <c r="L804" s="876"/>
      <c r="M804" s="876"/>
      <c r="N804" s="876"/>
      <c r="O804" s="876"/>
      <c r="P804" s="876"/>
      <c r="Q804" s="870"/>
      <c r="R804" s="870"/>
      <c r="S804" s="870"/>
      <c r="T804" s="870"/>
      <c r="U804" s="870"/>
      <c r="V804" s="870"/>
      <c r="W804" s="870"/>
      <c r="X804" s="870"/>
      <c r="Y804" s="870"/>
      <c r="Z804" s="870"/>
      <c r="AA804" s="870"/>
      <c r="AB804" s="870"/>
      <c r="AC804" s="870"/>
      <c r="AD804" s="870"/>
      <c r="AE804" s="870"/>
      <c r="AF804" s="870"/>
      <c r="AG804" s="870"/>
    </row>
    <row r="805" spans="1:33" s="995" customFormat="1">
      <c r="A805" s="974"/>
      <c r="D805" s="876"/>
      <c r="E805" s="974"/>
      <c r="F805" s="876"/>
      <c r="G805" s="876"/>
      <c r="H805" s="876"/>
      <c r="I805" s="876"/>
      <c r="J805" s="876"/>
      <c r="K805" s="876"/>
      <c r="L805" s="876"/>
      <c r="M805" s="876"/>
      <c r="N805" s="876"/>
      <c r="O805" s="876"/>
      <c r="P805" s="876"/>
      <c r="Q805" s="870"/>
      <c r="R805" s="870"/>
      <c r="S805" s="870"/>
      <c r="T805" s="870"/>
      <c r="U805" s="870"/>
      <c r="V805" s="870"/>
      <c r="W805" s="870"/>
      <c r="X805" s="870"/>
      <c r="Y805" s="870"/>
      <c r="Z805" s="870"/>
      <c r="AA805" s="870"/>
      <c r="AB805" s="870"/>
      <c r="AC805" s="870"/>
      <c r="AD805" s="870"/>
      <c r="AE805" s="870"/>
      <c r="AF805" s="870"/>
      <c r="AG805" s="870"/>
    </row>
    <row r="806" spans="1:33" s="995" customFormat="1">
      <c r="A806" s="974"/>
      <c r="D806" s="876"/>
      <c r="E806" s="974"/>
      <c r="F806" s="876"/>
      <c r="G806" s="876"/>
      <c r="H806" s="876"/>
      <c r="I806" s="876"/>
      <c r="J806" s="876"/>
      <c r="K806" s="876"/>
      <c r="L806" s="876"/>
      <c r="M806" s="876"/>
      <c r="N806" s="876"/>
      <c r="O806" s="876"/>
      <c r="P806" s="876"/>
      <c r="Q806" s="870"/>
      <c r="R806" s="870"/>
      <c r="S806" s="870"/>
      <c r="T806" s="870"/>
      <c r="U806" s="870"/>
      <c r="V806" s="870"/>
      <c r="W806" s="870"/>
      <c r="X806" s="870"/>
      <c r="Y806" s="870"/>
      <c r="Z806" s="870"/>
      <c r="AA806" s="870"/>
      <c r="AB806" s="870"/>
      <c r="AC806" s="870"/>
      <c r="AD806" s="870"/>
      <c r="AE806" s="870"/>
      <c r="AF806" s="870"/>
      <c r="AG806" s="870"/>
    </row>
    <row r="807" spans="1:33" s="995" customFormat="1">
      <c r="A807" s="974"/>
      <c r="D807" s="876"/>
      <c r="E807" s="974"/>
      <c r="F807" s="876"/>
      <c r="G807" s="876"/>
      <c r="H807" s="876"/>
      <c r="I807" s="876"/>
      <c r="J807" s="876"/>
      <c r="K807" s="876"/>
      <c r="L807" s="876"/>
      <c r="M807" s="876"/>
      <c r="N807" s="876"/>
      <c r="O807" s="876"/>
      <c r="P807" s="876"/>
      <c r="Q807" s="870"/>
      <c r="R807" s="870"/>
      <c r="S807" s="870"/>
      <c r="T807" s="870"/>
      <c r="U807" s="870"/>
      <c r="V807" s="870"/>
      <c r="W807" s="870"/>
      <c r="X807" s="870"/>
      <c r="Y807" s="870"/>
      <c r="Z807" s="870"/>
      <c r="AA807" s="870"/>
      <c r="AB807" s="870"/>
      <c r="AC807" s="870"/>
      <c r="AD807" s="870"/>
      <c r="AE807" s="870"/>
      <c r="AF807" s="870"/>
      <c r="AG807" s="870"/>
    </row>
    <row r="808" spans="1:33" s="995" customFormat="1">
      <c r="A808" s="974"/>
      <c r="D808" s="876"/>
      <c r="E808" s="974"/>
      <c r="F808" s="876"/>
      <c r="G808" s="876"/>
      <c r="H808" s="876"/>
      <c r="I808" s="876"/>
      <c r="J808" s="876"/>
      <c r="K808" s="876"/>
      <c r="L808" s="876"/>
      <c r="M808" s="876"/>
      <c r="N808" s="876"/>
      <c r="O808" s="876"/>
      <c r="P808" s="876"/>
      <c r="Q808" s="870"/>
      <c r="R808" s="870"/>
      <c r="S808" s="870"/>
      <c r="T808" s="870"/>
      <c r="U808" s="870"/>
      <c r="V808" s="870"/>
      <c r="W808" s="870"/>
      <c r="X808" s="870"/>
      <c r="Y808" s="870"/>
      <c r="Z808" s="870"/>
      <c r="AA808" s="870"/>
      <c r="AB808" s="870"/>
      <c r="AC808" s="870"/>
      <c r="AD808" s="870"/>
      <c r="AE808" s="870"/>
      <c r="AF808" s="870"/>
      <c r="AG808" s="870"/>
    </row>
    <row r="809" spans="1:33" s="995" customFormat="1">
      <c r="A809" s="974"/>
      <c r="D809" s="876"/>
      <c r="E809" s="974"/>
      <c r="F809" s="876"/>
      <c r="G809" s="876"/>
      <c r="H809" s="876"/>
      <c r="I809" s="876"/>
      <c r="J809" s="876"/>
      <c r="K809" s="876"/>
      <c r="L809" s="876"/>
      <c r="M809" s="876"/>
      <c r="N809" s="876"/>
      <c r="O809" s="876"/>
      <c r="P809" s="876"/>
      <c r="Q809" s="870"/>
      <c r="R809" s="870"/>
      <c r="S809" s="870"/>
      <c r="T809" s="870"/>
      <c r="U809" s="870"/>
      <c r="V809" s="870"/>
      <c r="W809" s="870"/>
      <c r="X809" s="870"/>
      <c r="Y809" s="870"/>
      <c r="Z809" s="870"/>
      <c r="AA809" s="870"/>
      <c r="AB809" s="870"/>
      <c r="AC809" s="870"/>
      <c r="AD809" s="870"/>
      <c r="AE809" s="870"/>
      <c r="AF809" s="870"/>
      <c r="AG809" s="870"/>
    </row>
    <row r="810" spans="1:33" s="995" customFormat="1">
      <c r="A810" s="974"/>
      <c r="D810" s="876"/>
      <c r="E810" s="974"/>
      <c r="F810" s="876"/>
      <c r="G810" s="876"/>
      <c r="H810" s="876"/>
      <c r="I810" s="876"/>
      <c r="J810" s="876"/>
      <c r="K810" s="876"/>
      <c r="L810" s="876"/>
      <c r="M810" s="876"/>
      <c r="N810" s="876"/>
      <c r="O810" s="876"/>
      <c r="P810" s="876"/>
      <c r="Q810" s="870"/>
      <c r="R810" s="870"/>
      <c r="S810" s="870"/>
      <c r="T810" s="870"/>
      <c r="U810" s="870"/>
      <c r="V810" s="870"/>
      <c r="W810" s="870"/>
      <c r="X810" s="870"/>
      <c r="Y810" s="870"/>
      <c r="Z810" s="870"/>
      <c r="AA810" s="870"/>
      <c r="AB810" s="870"/>
      <c r="AC810" s="870"/>
      <c r="AD810" s="870"/>
      <c r="AE810" s="870"/>
      <c r="AF810" s="870"/>
      <c r="AG810" s="870"/>
    </row>
    <row r="811" spans="1:33" s="995" customFormat="1">
      <c r="A811" s="974"/>
      <c r="D811" s="876"/>
      <c r="E811" s="974"/>
      <c r="F811" s="876"/>
      <c r="G811" s="876"/>
      <c r="H811" s="876"/>
      <c r="I811" s="876"/>
      <c r="J811" s="876"/>
      <c r="K811" s="876"/>
      <c r="L811" s="876"/>
      <c r="M811" s="876"/>
      <c r="N811" s="876"/>
      <c r="O811" s="876"/>
      <c r="P811" s="876"/>
      <c r="Q811" s="870"/>
      <c r="R811" s="870"/>
      <c r="S811" s="870"/>
      <c r="T811" s="870"/>
      <c r="U811" s="870"/>
      <c r="V811" s="870"/>
      <c r="W811" s="870"/>
      <c r="X811" s="870"/>
      <c r="Y811" s="870"/>
      <c r="Z811" s="870"/>
      <c r="AA811" s="870"/>
      <c r="AB811" s="870"/>
      <c r="AC811" s="870"/>
      <c r="AD811" s="870"/>
      <c r="AE811" s="870"/>
      <c r="AF811" s="870"/>
      <c r="AG811" s="870"/>
    </row>
    <row r="812" spans="1:33" s="995" customFormat="1">
      <c r="A812" s="974"/>
      <c r="D812" s="876"/>
      <c r="E812" s="974"/>
      <c r="F812" s="876"/>
      <c r="G812" s="876"/>
      <c r="H812" s="876"/>
      <c r="I812" s="876"/>
      <c r="J812" s="876"/>
      <c r="K812" s="876"/>
      <c r="L812" s="876"/>
      <c r="M812" s="876"/>
      <c r="N812" s="876"/>
      <c r="O812" s="876"/>
      <c r="P812" s="876"/>
      <c r="Q812" s="870"/>
      <c r="R812" s="870"/>
      <c r="S812" s="870"/>
      <c r="T812" s="870"/>
      <c r="U812" s="870"/>
      <c r="V812" s="870"/>
      <c r="W812" s="870"/>
      <c r="X812" s="870"/>
      <c r="Y812" s="870"/>
      <c r="Z812" s="870"/>
      <c r="AA812" s="870"/>
      <c r="AB812" s="870"/>
      <c r="AC812" s="870"/>
      <c r="AD812" s="870"/>
      <c r="AE812" s="870"/>
      <c r="AF812" s="870"/>
      <c r="AG812" s="870"/>
    </row>
    <row r="813" spans="1:33" s="995" customFormat="1">
      <c r="A813" s="974"/>
      <c r="D813" s="876"/>
      <c r="E813" s="974"/>
      <c r="F813" s="876"/>
      <c r="G813" s="876"/>
      <c r="H813" s="876"/>
      <c r="I813" s="876"/>
      <c r="J813" s="876"/>
      <c r="K813" s="876"/>
      <c r="L813" s="876"/>
      <c r="M813" s="876"/>
      <c r="N813" s="876"/>
      <c r="O813" s="876"/>
      <c r="P813" s="876"/>
      <c r="Q813" s="870"/>
      <c r="R813" s="870"/>
      <c r="S813" s="870"/>
      <c r="T813" s="870"/>
      <c r="U813" s="870"/>
      <c r="V813" s="870"/>
      <c r="W813" s="870"/>
      <c r="X813" s="870"/>
      <c r="Y813" s="870"/>
      <c r="Z813" s="870"/>
      <c r="AA813" s="870"/>
      <c r="AB813" s="870"/>
      <c r="AC813" s="870"/>
      <c r="AD813" s="870"/>
      <c r="AE813" s="870"/>
      <c r="AF813" s="870"/>
      <c r="AG813" s="870"/>
    </row>
    <row r="814" spans="1:33" s="995" customFormat="1">
      <c r="A814" s="974"/>
      <c r="D814" s="876"/>
      <c r="E814" s="974"/>
      <c r="F814" s="876"/>
      <c r="G814" s="876"/>
      <c r="H814" s="876"/>
      <c r="I814" s="876"/>
      <c r="J814" s="876"/>
      <c r="K814" s="876"/>
      <c r="L814" s="876"/>
      <c r="M814" s="876"/>
      <c r="N814" s="876"/>
      <c r="O814" s="876"/>
      <c r="P814" s="876"/>
      <c r="Q814" s="870"/>
      <c r="R814" s="870"/>
      <c r="S814" s="870"/>
      <c r="T814" s="870"/>
      <c r="U814" s="870"/>
      <c r="V814" s="870"/>
      <c r="W814" s="870"/>
      <c r="X814" s="870"/>
      <c r="Y814" s="870"/>
      <c r="Z814" s="870"/>
      <c r="AA814" s="870"/>
      <c r="AB814" s="870"/>
      <c r="AC814" s="870"/>
      <c r="AD814" s="870"/>
      <c r="AE814" s="870"/>
      <c r="AF814" s="870"/>
      <c r="AG814" s="870"/>
    </row>
    <row r="815" spans="1:33" s="995" customFormat="1">
      <c r="A815" s="974"/>
      <c r="D815" s="876"/>
      <c r="E815" s="974"/>
      <c r="F815" s="876"/>
      <c r="G815" s="876"/>
      <c r="H815" s="876"/>
      <c r="I815" s="876"/>
      <c r="J815" s="876"/>
      <c r="K815" s="876"/>
      <c r="L815" s="876"/>
      <c r="M815" s="876"/>
      <c r="N815" s="876"/>
      <c r="O815" s="876"/>
      <c r="P815" s="876"/>
      <c r="Q815" s="870"/>
      <c r="R815" s="870"/>
      <c r="S815" s="870"/>
      <c r="T815" s="870"/>
      <c r="U815" s="870"/>
      <c r="V815" s="870"/>
      <c r="W815" s="870"/>
      <c r="X815" s="870"/>
      <c r="Y815" s="870"/>
      <c r="Z815" s="870"/>
      <c r="AA815" s="870"/>
      <c r="AB815" s="870"/>
      <c r="AC815" s="870"/>
      <c r="AD815" s="870"/>
      <c r="AE815" s="870"/>
      <c r="AF815" s="870"/>
      <c r="AG815" s="870"/>
    </row>
    <row r="816" spans="1:33" s="995" customFormat="1">
      <c r="A816" s="974"/>
      <c r="D816" s="876"/>
      <c r="E816" s="974"/>
      <c r="F816" s="876"/>
      <c r="G816" s="876"/>
      <c r="H816" s="876"/>
      <c r="I816" s="876"/>
      <c r="J816" s="876"/>
      <c r="K816" s="876"/>
      <c r="L816" s="876"/>
      <c r="M816" s="876"/>
      <c r="N816" s="876"/>
      <c r="O816" s="876"/>
      <c r="P816" s="876"/>
      <c r="Q816" s="870"/>
      <c r="R816" s="870"/>
      <c r="S816" s="870"/>
      <c r="T816" s="870"/>
      <c r="U816" s="870"/>
      <c r="V816" s="870"/>
      <c r="W816" s="870"/>
      <c r="X816" s="870"/>
      <c r="Y816" s="870"/>
      <c r="Z816" s="870"/>
      <c r="AA816" s="870"/>
      <c r="AB816" s="870"/>
      <c r="AC816" s="870"/>
      <c r="AD816" s="870"/>
      <c r="AE816" s="870"/>
      <c r="AF816" s="870"/>
      <c r="AG816" s="870"/>
    </row>
    <row r="817" spans="1:33" s="995" customFormat="1">
      <c r="A817" s="974"/>
      <c r="D817" s="876"/>
      <c r="E817" s="974"/>
      <c r="F817" s="876"/>
      <c r="G817" s="876"/>
      <c r="H817" s="876"/>
      <c r="I817" s="876"/>
      <c r="J817" s="876"/>
      <c r="K817" s="876"/>
      <c r="L817" s="876"/>
      <c r="M817" s="876"/>
      <c r="N817" s="876"/>
      <c r="O817" s="876"/>
      <c r="P817" s="876"/>
      <c r="Q817" s="870"/>
      <c r="R817" s="870"/>
      <c r="S817" s="870"/>
      <c r="T817" s="870"/>
      <c r="U817" s="870"/>
      <c r="V817" s="870"/>
      <c r="W817" s="870"/>
      <c r="X817" s="870"/>
      <c r="Y817" s="870"/>
      <c r="Z817" s="870"/>
      <c r="AA817" s="870"/>
      <c r="AB817" s="870"/>
      <c r="AC817" s="870"/>
      <c r="AD817" s="870"/>
      <c r="AE817" s="870"/>
      <c r="AF817" s="870"/>
      <c r="AG817" s="870"/>
    </row>
    <row r="818" spans="1:33" s="995" customFormat="1">
      <c r="A818" s="974"/>
      <c r="D818" s="876"/>
      <c r="E818" s="974"/>
      <c r="F818" s="876"/>
      <c r="G818" s="876"/>
      <c r="H818" s="876"/>
      <c r="I818" s="876"/>
      <c r="J818" s="876"/>
      <c r="K818" s="876"/>
      <c r="L818" s="876"/>
      <c r="M818" s="876"/>
      <c r="N818" s="876"/>
      <c r="O818" s="876"/>
      <c r="P818" s="876"/>
      <c r="Q818" s="870"/>
      <c r="R818" s="870"/>
      <c r="S818" s="870"/>
      <c r="T818" s="870"/>
      <c r="U818" s="870"/>
      <c r="V818" s="870"/>
      <c r="W818" s="870"/>
      <c r="X818" s="870"/>
      <c r="Y818" s="870"/>
      <c r="Z818" s="870"/>
      <c r="AA818" s="870"/>
      <c r="AB818" s="870"/>
      <c r="AC818" s="870"/>
      <c r="AD818" s="870"/>
      <c r="AE818" s="870"/>
      <c r="AF818" s="870"/>
      <c r="AG818" s="870"/>
    </row>
    <row r="819" spans="1:33" s="995" customFormat="1">
      <c r="A819" s="974"/>
      <c r="D819" s="876"/>
      <c r="E819" s="974"/>
      <c r="F819" s="876"/>
      <c r="G819" s="876"/>
      <c r="H819" s="876"/>
      <c r="I819" s="876"/>
      <c r="J819" s="876"/>
      <c r="K819" s="876"/>
      <c r="L819" s="876"/>
      <c r="M819" s="876"/>
      <c r="N819" s="876"/>
      <c r="O819" s="876"/>
      <c r="P819" s="876"/>
      <c r="Q819" s="870"/>
      <c r="R819" s="870"/>
      <c r="S819" s="870"/>
      <c r="T819" s="870"/>
      <c r="U819" s="870"/>
      <c r="V819" s="870"/>
      <c r="W819" s="870"/>
      <c r="X819" s="870"/>
      <c r="Y819" s="870"/>
      <c r="Z819" s="870"/>
      <c r="AA819" s="870"/>
      <c r="AB819" s="870"/>
      <c r="AC819" s="870"/>
      <c r="AD819" s="870"/>
      <c r="AE819" s="870"/>
      <c r="AF819" s="870"/>
      <c r="AG819" s="870"/>
    </row>
    <row r="820" spans="1:33" s="995" customFormat="1">
      <c r="A820" s="974"/>
      <c r="D820" s="876"/>
      <c r="E820" s="974"/>
      <c r="F820" s="876"/>
      <c r="G820" s="876"/>
      <c r="H820" s="876"/>
      <c r="I820" s="876"/>
      <c r="J820" s="876"/>
      <c r="K820" s="876"/>
      <c r="L820" s="876"/>
      <c r="M820" s="876"/>
      <c r="N820" s="876"/>
      <c r="O820" s="876"/>
      <c r="P820" s="876"/>
      <c r="Q820" s="870"/>
      <c r="R820" s="870"/>
      <c r="S820" s="870"/>
      <c r="T820" s="870"/>
      <c r="U820" s="870"/>
      <c r="V820" s="870"/>
      <c r="W820" s="870"/>
      <c r="X820" s="870"/>
      <c r="Y820" s="870"/>
      <c r="Z820" s="870"/>
      <c r="AA820" s="870"/>
      <c r="AB820" s="870"/>
      <c r="AC820" s="870"/>
      <c r="AD820" s="870"/>
      <c r="AE820" s="870"/>
      <c r="AF820" s="870"/>
      <c r="AG820" s="870"/>
    </row>
    <row r="821" spans="1:33" s="995" customFormat="1">
      <c r="A821" s="974"/>
      <c r="D821" s="876"/>
      <c r="E821" s="974"/>
      <c r="F821" s="876"/>
      <c r="G821" s="876"/>
      <c r="H821" s="876"/>
      <c r="I821" s="876"/>
      <c r="J821" s="876"/>
      <c r="K821" s="876"/>
      <c r="L821" s="876"/>
      <c r="M821" s="876"/>
      <c r="N821" s="876"/>
      <c r="O821" s="876"/>
      <c r="P821" s="876"/>
      <c r="Q821" s="870"/>
      <c r="R821" s="870"/>
      <c r="S821" s="870"/>
      <c r="T821" s="870"/>
      <c r="U821" s="870"/>
      <c r="V821" s="870"/>
      <c r="W821" s="870"/>
      <c r="X821" s="870"/>
      <c r="Y821" s="870"/>
      <c r="Z821" s="870"/>
      <c r="AA821" s="870"/>
      <c r="AB821" s="870"/>
      <c r="AC821" s="870"/>
      <c r="AD821" s="870"/>
      <c r="AE821" s="870"/>
      <c r="AF821" s="870"/>
      <c r="AG821" s="870"/>
    </row>
    <row r="822" spans="1:33" s="995" customFormat="1">
      <c r="A822" s="974"/>
      <c r="D822" s="876"/>
      <c r="E822" s="974"/>
      <c r="F822" s="876"/>
      <c r="G822" s="876"/>
      <c r="H822" s="876"/>
      <c r="I822" s="876"/>
      <c r="J822" s="876"/>
      <c r="K822" s="876"/>
      <c r="L822" s="876"/>
      <c r="M822" s="876"/>
      <c r="N822" s="876"/>
      <c r="O822" s="876"/>
      <c r="P822" s="876"/>
      <c r="Q822" s="870"/>
      <c r="R822" s="870"/>
      <c r="S822" s="870"/>
      <c r="T822" s="870"/>
      <c r="U822" s="870"/>
      <c r="V822" s="870"/>
      <c r="W822" s="870"/>
      <c r="X822" s="870"/>
      <c r="Y822" s="870"/>
      <c r="Z822" s="870"/>
      <c r="AA822" s="870"/>
      <c r="AB822" s="870"/>
      <c r="AC822" s="870"/>
      <c r="AD822" s="870"/>
      <c r="AE822" s="870"/>
      <c r="AF822" s="870"/>
      <c r="AG822" s="870"/>
    </row>
    <row r="823" spans="1:33" s="995" customFormat="1">
      <c r="A823" s="974"/>
      <c r="D823" s="876"/>
      <c r="E823" s="974"/>
      <c r="F823" s="876"/>
      <c r="G823" s="876"/>
      <c r="H823" s="876"/>
      <c r="I823" s="876"/>
      <c r="J823" s="876"/>
      <c r="K823" s="876"/>
      <c r="L823" s="876"/>
      <c r="M823" s="876"/>
      <c r="N823" s="876"/>
      <c r="O823" s="876"/>
      <c r="P823" s="876"/>
      <c r="Q823" s="870"/>
      <c r="R823" s="870"/>
      <c r="S823" s="870"/>
      <c r="T823" s="870"/>
      <c r="U823" s="870"/>
      <c r="V823" s="870"/>
      <c r="W823" s="870"/>
      <c r="X823" s="870"/>
      <c r="Y823" s="870"/>
      <c r="Z823" s="870"/>
      <c r="AA823" s="870"/>
      <c r="AB823" s="870"/>
      <c r="AC823" s="870"/>
      <c r="AD823" s="870"/>
      <c r="AE823" s="870"/>
      <c r="AF823" s="870"/>
      <c r="AG823" s="870"/>
    </row>
    <row r="824" spans="1:33" s="995" customFormat="1">
      <c r="A824" s="974"/>
      <c r="D824" s="876"/>
      <c r="E824" s="974"/>
      <c r="F824" s="876"/>
      <c r="G824" s="876"/>
      <c r="H824" s="876"/>
      <c r="I824" s="876"/>
      <c r="J824" s="876"/>
      <c r="K824" s="876"/>
      <c r="L824" s="876"/>
      <c r="M824" s="876"/>
      <c r="N824" s="876"/>
      <c r="O824" s="876"/>
      <c r="P824" s="876"/>
      <c r="Q824" s="870"/>
      <c r="R824" s="870"/>
      <c r="S824" s="870"/>
      <c r="T824" s="870"/>
      <c r="U824" s="870"/>
      <c r="V824" s="870"/>
      <c r="W824" s="870"/>
      <c r="X824" s="870"/>
      <c r="Y824" s="870"/>
      <c r="Z824" s="870"/>
      <c r="AA824" s="870"/>
      <c r="AB824" s="870"/>
      <c r="AC824" s="870"/>
      <c r="AD824" s="870"/>
      <c r="AE824" s="870"/>
      <c r="AF824" s="870"/>
      <c r="AG824" s="870"/>
    </row>
    <row r="825" spans="1:33" s="995" customFormat="1">
      <c r="A825" s="974"/>
      <c r="D825" s="876"/>
      <c r="E825" s="974"/>
      <c r="F825" s="876"/>
      <c r="G825" s="876"/>
      <c r="H825" s="876"/>
      <c r="I825" s="876"/>
      <c r="J825" s="876"/>
      <c r="K825" s="876"/>
      <c r="L825" s="876"/>
      <c r="M825" s="876"/>
      <c r="N825" s="876"/>
      <c r="O825" s="876"/>
      <c r="P825" s="876"/>
      <c r="Q825" s="870"/>
      <c r="R825" s="870"/>
      <c r="S825" s="870"/>
      <c r="T825" s="870"/>
      <c r="U825" s="870"/>
      <c r="V825" s="870"/>
      <c r="W825" s="870"/>
      <c r="X825" s="870"/>
      <c r="Y825" s="870"/>
      <c r="Z825" s="870"/>
      <c r="AA825" s="870"/>
      <c r="AB825" s="870"/>
      <c r="AC825" s="870"/>
      <c r="AD825" s="870"/>
      <c r="AE825" s="870"/>
      <c r="AF825" s="870"/>
      <c r="AG825" s="870"/>
    </row>
    <row r="826" spans="1:33" s="995" customFormat="1">
      <c r="A826" s="974"/>
      <c r="D826" s="876"/>
      <c r="E826" s="974"/>
      <c r="F826" s="876"/>
      <c r="G826" s="876"/>
      <c r="H826" s="876"/>
      <c r="I826" s="876"/>
      <c r="J826" s="876"/>
      <c r="K826" s="876"/>
      <c r="L826" s="876"/>
      <c r="M826" s="876"/>
      <c r="N826" s="876"/>
      <c r="O826" s="876"/>
      <c r="P826" s="876"/>
      <c r="Q826" s="870"/>
      <c r="R826" s="870"/>
      <c r="S826" s="870"/>
      <c r="T826" s="870"/>
      <c r="U826" s="870"/>
      <c r="V826" s="870"/>
      <c r="W826" s="870"/>
      <c r="X826" s="870"/>
      <c r="Y826" s="870"/>
      <c r="Z826" s="870"/>
      <c r="AA826" s="870"/>
      <c r="AB826" s="870"/>
      <c r="AC826" s="870"/>
      <c r="AD826" s="870"/>
      <c r="AE826" s="870"/>
      <c r="AF826" s="870"/>
      <c r="AG826" s="870"/>
    </row>
    <row r="827" spans="1:33" s="995" customFormat="1">
      <c r="A827" s="974"/>
      <c r="D827" s="876"/>
      <c r="E827" s="974"/>
      <c r="F827" s="876"/>
      <c r="G827" s="876"/>
      <c r="H827" s="876"/>
      <c r="I827" s="876"/>
      <c r="J827" s="876"/>
      <c r="K827" s="876"/>
      <c r="L827" s="876"/>
      <c r="M827" s="876"/>
      <c r="N827" s="876"/>
      <c r="O827" s="876"/>
      <c r="P827" s="876"/>
      <c r="Q827" s="870"/>
      <c r="R827" s="870"/>
      <c r="S827" s="870"/>
      <c r="T827" s="870"/>
      <c r="U827" s="870"/>
      <c r="V827" s="870"/>
      <c r="W827" s="870"/>
      <c r="X827" s="870"/>
      <c r="Y827" s="870"/>
      <c r="Z827" s="870"/>
      <c r="AA827" s="870"/>
      <c r="AB827" s="870"/>
      <c r="AC827" s="870"/>
      <c r="AD827" s="870"/>
      <c r="AE827" s="870"/>
      <c r="AF827" s="870"/>
      <c r="AG827" s="870"/>
    </row>
    <row r="828" spans="1:33" s="995" customFormat="1">
      <c r="A828" s="974"/>
      <c r="D828" s="876"/>
      <c r="E828" s="974"/>
      <c r="F828" s="876"/>
      <c r="G828" s="876"/>
      <c r="H828" s="876"/>
      <c r="I828" s="876"/>
      <c r="J828" s="876"/>
      <c r="K828" s="876"/>
      <c r="L828" s="876"/>
      <c r="M828" s="876"/>
      <c r="N828" s="876"/>
      <c r="O828" s="876"/>
      <c r="P828" s="876"/>
      <c r="Q828" s="870"/>
      <c r="R828" s="870"/>
      <c r="S828" s="870"/>
      <c r="T828" s="870"/>
      <c r="U828" s="870"/>
      <c r="V828" s="870"/>
      <c r="W828" s="870"/>
      <c r="X828" s="870"/>
      <c r="Y828" s="870"/>
      <c r="Z828" s="870"/>
      <c r="AA828" s="870"/>
      <c r="AB828" s="870"/>
      <c r="AC828" s="870"/>
      <c r="AD828" s="870"/>
      <c r="AE828" s="870"/>
      <c r="AF828" s="870"/>
      <c r="AG828" s="870"/>
    </row>
    <row r="829" spans="1:33" s="995" customFormat="1">
      <c r="A829" s="974"/>
      <c r="D829" s="876"/>
      <c r="E829" s="974"/>
      <c r="F829" s="876"/>
      <c r="G829" s="876"/>
      <c r="H829" s="876"/>
      <c r="I829" s="876"/>
      <c r="J829" s="876"/>
      <c r="K829" s="876"/>
      <c r="L829" s="876"/>
      <c r="M829" s="876"/>
      <c r="N829" s="876"/>
      <c r="O829" s="876"/>
      <c r="P829" s="876"/>
      <c r="Q829" s="870"/>
      <c r="R829" s="870"/>
      <c r="S829" s="870"/>
      <c r="T829" s="870"/>
      <c r="U829" s="870"/>
      <c r="V829" s="870"/>
      <c r="W829" s="870"/>
      <c r="X829" s="870"/>
      <c r="Y829" s="870"/>
      <c r="Z829" s="870"/>
      <c r="AA829" s="870"/>
      <c r="AB829" s="870"/>
      <c r="AC829" s="870"/>
      <c r="AD829" s="870"/>
      <c r="AE829" s="870"/>
      <c r="AF829" s="870"/>
      <c r="AG829" s="870"/>
    </row>
    <row r="830" spans="1:33" s="995" customFormat="1">
      <c r="A830" s="974"/>
      <c r="D830" s="876"/>
      <c r="E830" s="974"/>
      <c r="F830" s="876"/>
      <c r="G830" s="876"/>
      <c r="H830" s="876"/>
      <c r="I830" s="876"/>
      <c r="J830" s="876"/>
      <c r="K830" s="876"/>
      <c r="L830" s="876"/>
      <c r="M830" s="876"/>
      <c r="N830" s="876"/>
      <c r="O830" s="876"/>
      <c r="P830" s="876"/>
      <c r="Q830" s="870"/>
      <c r="R830" s="870"/>
      <c r="S830" s="870"/>
      <c r="T830" s="870"/>
      <c r="U830" s="870"/>
      <c r="V830" s="870"/>
      <c r="W830" s="870"/>
      <c r="X830" s="870"/>
      <c r="Y830" s="870"/>
      <c r="Z830" s="870"/>
      <c r="AA830" s="870"/>
      <c r="AB830" s="870"/>
      <c r="AC830" s="870"/>
      <c r="AD830" s="870"/>
      <c r="AE830" s="870"/>
      <c r="AF830" s="870"/>
      <c r="AG830" s="870"/>
    </row>
    <row r="831" spans="1:33" s="995" customFormat="1">
      <c r="A831" s="974"/>
      <c r="D831" s="876"/>
      <c r="E831" s="974"/>
      <c r="F831" s="876"/>
      <c r="G831" s="876"/>
      <c r="H831" s="876"/>
      <c r="I831" s="876"/>
      <c r="J831" s="876"/>
      <c r="K831" s="876"/>
      <c r="L831" s="876"/>
      <c r="M831" s="876"/>
      <c r="N831" s="876"/>
      <c r="O831" s="876"/>
      <c r="P831" s="876"/>
      <c r="Q831" s="870"/>
      <c r="R831" s="870"/>
      <c r="S831" s="870"/>
      <c r="T831" s="870"/>
      <c r="U831" s="870"/>
      <c r="V831" s="870"/>
      <c r="W831" s="870"/>
      <c r="X831" s="870"/>
      <c r="Y831" s="870"/>
      <c r="Z831" s="870"/>
      <c r="AA831" s="870"/>
      <c r="AB831" s="870"/>
      <c r="AC831" s="870"/>
      <c r="AD831" s="870"/>
      <c r="AE831" s="870"/>
      <c r="AF831" s="870"/>
      <c r="AG831" s="870"/>
    </row>
    <row r="832" spans="1:33" s="995" customFormat="1">
      <c r="A832" s="974"/>
      <c r="D832" s="876"/>
      <c r="E832" s="974"/>
      <c r="F832" s="876"/>
      <c r="G832" s="876"/>
      <c r="H832" s="876"/>
      <c r="I832" s="876"/>
      <c r="J832" s="876"/>
      <c r="K832" s="876"/>
      <c r="L832" s="876"/>
      <c r="M832" s="876"/>
      <c r="N832" s="876"/>
      <c r="O832" s="876"/>
      <c r="P832" s="876"/>
      <c r="Q832" s="870"/>
      <c r="R832" s="870"/>
      <c r="S832" s="870"/>
      <c r="T832" s="870"/>
      <c r="U832" s="870"/>
      <c r="V832" s="870"/>
      <c r="W832" s="870"/>
      <c r="X832" s="870"/>
      <c r="Y832" s="870"/>
      <c r="Z832" s="870"/>
      <c r="AA832" s="870"/>
      <c r="AB832" s="870"/>
      <c r="AC832" s="870"/>
      <c r="AD832" s="870"/>
      <c r="AE832" s="870"/>
      <c r="AF832" s="870"/>
      <c r="AG832" s="870"/>
    </row>
    <row r="833" spans="1:33" s="995" customFormat="1">
      <c r="A833" s="974"/>
      <c r="D833" s="876"/>
      <c r="E833" s="974"/>
      <c r="F833" s="876"/>
      <c r="G833" s="876"/>
      <c r="H833" s="876"/>
      <c r="I833" s="876"/>
      <c r="J833" s="876"/>
      <c r="K833" s="876"/>
      <c r="L833" s="876"/>
      <c r="M833" s="876"/>
      <c r="N833" s="876"/>
      <c r="O833" s="876"/>
      <c r="P833" s="876"/>
      <c r="Q833" s="870"/>
      <c r="R833" s="870"/>
      <c r="S833" s="870"/>
      <c r="T833" s="870"/>
      <c r="U833" s="870"/>
      <c r="V833" s="870"/>
      <c r="W833" s="870"/>
      <c r="X833" s="870"/>
      <c r="Y833" s="870"/>
      <c r="Z833" s="870"/>
      <c r="AA833" s="870"/>
      <c r="AB833" s="870"/>
      <c r="AC833" s="870"/>
      <c r="AD833" s="870"/>
      <c r="AE833" s="870"/>
      <c r="AF833" s="870"/>
      <c r="AG833" s="870"/>
    </row>
    <row r="834" spans="1:33" s="995" customFormat="1">
      <c r="A834" s="974"/>
      <c r="D834" s="876"/>
      <c r="E834" s="974"/>
      <c r="F834" s="876"/>
      <c r="G834" s="876"/>
      <c r="H834" s="876"/>
      <c r="I834" s="876"/>
      <c r="J834" s="876"/>
      <c r="K834" s="876"/>
      <c r="L834" s="876"/>
      <c r="M834" s="876"/>
      <c r="N834" s="876"/>
      <c r="O834" s="876"/>
      <c r="P834" s="876"/>
      <c r="Q834" s="870"/>
      <c r="R834" s="870"/>
      <c r="S834" s="870"/>
      <c r="T834" s="870"/>
      <c r="U834" s="870"/>
      <c r="V834" s="870"/>
      <c r="W834" s="870"/>
      <c r="X834" s="870"/>
      <c r="Y834" s="870"/>
      <c r="Z834" s="870"/>
      <c r="AA834" s="870"/>
      <c r="AB834" s="870"/>
      <c r="AC834" s="870"/>
      <c r="AD834" s="870"/>
      <c r="AE834" s="870"/>
      <c r="AF834" s="870"/>
      <c r="AG834" s="870"/>
    </row>
    <row r="835" spans="1:33" s="995" customFormat="1">
      <c r="A835" s="974"/>
      <c r="D835" s="876"/>
      <c r="E835" s="974"/>
      <c r="F835" s="876"/>
      <c r="G835" s="876"/>
      <c r="H835" s="876"/>
      <c r="I835" s="876"/>
      <c r="J835" s="876"/>
      <c r="K835" s="876"/>
      <c r="L835" s="876"/>
      <c r="M835" s="876"/>
      <c r="N835" s="876"/>
      <c r="O835" s="876"/>
      <c r="P835" s="876"/>
      <c r="Q835" s="870"/>
      <c r="R835" s="870"/>
      <c r="S835" s="870"/>
      <c r="T835" s="870"/>
      <c r="U835" s="870"/>
      <c r="V835" s="870"/>
      <c r="W835" s="870"/>
      <c r="X835" s="870"/>
      <c r="Y835" s="870"/>
      <c r="Z835" s="870"/>
      <c r="AA835" s="870"/>
      <c r="AB835" s="870"/>
      <c r="AC835" s="870"/>
      <c r="AD835" s="870"/>
      <c r="AE835" s="870"/>
      <c r="AF835" s="870"/>
      <c r="AG835" s="870"/>
    </row>
    <row r="836" spans="1:33" s="995" customFormat="1">
      <c r="A836" s="974"/>
      <c r="D836" s="876"/>
      <c r="E836" s="974"/>
      <c r="F836" s="876"/>
      <c r="G836" s="876"/>
      <c r="H836" s="876"/>
      <c r="I836" s="876"/>
      <c r="J836" s="876"/>
      <c r="K836" s="876"/>
      <c r="L836" s="876"/>
      <c r="M836" s="876"/>
      <c r="N836" s="876"/>
      <c r="O836" s="876"/>
      <c r="P836" s="876"/>
      <c r="Q836" s="870"/>
      <c r="R836" s="870"/>
      <c r="S836" s="870"/>
      <c r="T836" s="870"/>
      <c r="U836" s="870"/>
      <c r="V836" s="870"/>
      <c r="W836" s="870"/>
      <c r="X836" s="870"/>
      <c r="Y836" s="870"/>
      <c r="Z836" s="870"/>
      <c r="AA836" s="870"/>
      <c r="AB836" s="870"/>
      <c r="AC836" s="870"/>
      <c r="AD836" s="870"/>
      <c r="AE836" s="870"/>
      <c r="AF836" s="870"/>
      <c r="AG836" s="870"/>
    </row>
    <row r="837" spans="1:33" s="995" customFormat="1">
      <c r="A837" s="974"/>
      <c r="D837" s="876"/>
      <c r="E837" s="974"/>
      <c r="F837" s="876"/>
      <c r="G837" s="876"/>
      <c r="H837" s="876"/>
      <c r="I837" s="876"/>
      <c r="J837" s="876"/>
      <c r="K837" s="876"/>
      <c r="L837" s="876"/>
      <c r="M837" s="876"/>
      <c r="N837" s="876"/>
      <c r="O837" s="876"/>
      <c r="P837" s="876"/>
      <c r="Q837" s="870"/>
      <c r="R837" s="870"/>
      <c r="S837" s="870"/>
      <c r="T837" s="870"/>
      <c r="U837" s="870"/>
      <c r="V837" s="870"/>
      <c r="W837" s="870"/>
      <c r="X837" s="870"/>
      <c r="Y837" s="870"/>
      <c r="Z837" s="870"/>
      <c r="AA837" s="870"/>
      <c r="AB837" s="870"/>
      <c r="AC837" s="870"/>
      <c r="AD837" s="870"/>
      <c r="AE837" s="870"/>
      <c r="AF837" s="870"/>
      <c r="AG837" s="870"/>
    </row>
    <row r="838" spans="1:33" s="995" customFormat="1">
      <c r="A838" s="974"/>
      <c r="D838" s="876"/>
      <c r="E838" s="974"/>
      <c r="F838" s="876"/>
      <c r="G838" s="876"/>
      <c r="H838" s="876"/>
      <c r="I838" s="876"/>
      <c r="J838" s="876"/>
      <c r="K838" s="876"/>
      <c r="L838" s="876"/>
      <c r="M838" s="876"/>
      <c r="N838" s="876"/>
      <c r="O838" s="876"/>
      <c r="P838" s="876"/>
      <c r="Q838" s="870"/>
      <c r="R838" s="870"/>
      <c r="S838" s="870"/>
      <c r="T838" s="870"/>
      <c r="U838" s="870"/>
      <c r="V838" s="870"/>
      <c r="W838" s="870"/>
      <c r="X838" s="870"/>
      <c r="Y838" s="870"/>
      <c r="Z838" s="870"/>
      <c r="AA838" s="870"/>
      <c r="AB838" s="870"/>
      <c r="AC838" s="870"/>
      <c r="AD838" s="870"/>
      <c r="AE838" s="870"/>
      <c r="AF838" s="870"/>
      <c r="AG838" s="870"/>
    </row>
    <row r="839" spans="1:33" s="995" customFormat="1">
      <c r="A839" s="974"/>
      <c r="D839" s="876"/>
      <c r="E839" s="974"/>
      <c r="F839" s="876"/>
      <c r="G839" s="876"/>
      <c r="H839" s="876"/>
      <c r="I839" s="876"/>
      <c r="J839" s="876"/>
      <c r="K839" s="876"/>
      <c r="L839" s="876"/>
      <c r="M839" s="876"/>
      <c r="N839" s="876"/>
      <c r="O839" s="876"/>
      <c r="P839" s="876"/>
      <c r="Q839" s="870"/>
      <c r="R839" s="870"/>
      <c r="S839" s="870"/>
      <c r="T839" s="870"/>
      <c r="U839" s="870"/>
      <c r="V839" s="870"/>
      <c r="W839" s="870"/>
      <c r="X839" s="870"/>
      <c r="Y839" s="870"/>
      <c r="Z839" s="870"/>
      <c r="AA839" s="870"/>
      <c r="AB839" s="870"/>
      <c r="AC839" s="870"/>
      <c r="AD839" s="870"/>
      <c r="AE839" s="870"/>
      <c r="AF839" s="870"/>
      <c r="AG839" s="870"/>
    </row>
    <row r="840" spans="1:33" s="995" customFormat="1">
      <c r="A840" s="974"/>
      <c r="D840" s="876"/>
      <c r="E840" s="974"/>
      <c r="F840" s="876"/>
      <c r="G840" s="876"/>
      <c r="H840" s="876"/>
      <c r="I840" s="876"/>
      <c r="J840" s="876"/>
      <c r="K840" s="876"/>
      <c r="L840" s="876"/>
      <c r="M840" s="876"/>
      <c r="N840" s="876"/>
      <c r="O840" s="876"/>
      <c r="P840" s="876"/>
      <c r="Q840" s="870"/>
      <c r="R840" s="870"/>
      <c r="S840" s="870"/>
      <c r="T840" s="870"/>
      <c r="U840" s="870"/>
      <c r="V840" s="870"/>
      <c r="W840" s="870"/>
      <c r="X840" s="870"/>
      <c r="Y840" s="870"/>
      <c r="Z840" s="870"/>
      <c r="AA840" s="870"/>
      <c r="AB840" s="870"/>
      <c r="AC840" s="870"/>
      <c r="AD840" s="870"/>
      <c r="AE840" s="870"/>
      <c r="AF840" s="870"/>
      <c r="AG840" s="870"/>
    </row>
    <row r="841" spans="1:33" s="995" customFormat="1">
      <c r="A841" s="974"/>
      <c r="D841" s="876"/>
      <c r="E841" s="974"/>
      <c r="F841" s="876"/>
      <c r="G841" s="876"/>
      <c r="H841" s="876"/>
      <c r="I841" s="876"/>
      <c r="J841" s="876"/>
      <c r="K841" s="876"/>
      <c r="L841" s="876"/>
      <c r="M841" s="876"/>
      <c r="N841" s="876"/>
      <c r="O841" s="876"/>
      <c r="P841" s="876"/>
      <c r="Q841" s="870"/>
      <c r="R841" s="870"/>
      <c r="S841" s="870"/>
      <c r="T841" s="870"/>
      <c r="U841" s="870"/>
      <c r="V841" s="870"/>
      <c r="W841" s="870"/>
      <c r="X841" s="870"/>
      <c r="Y841" s="870"/>
      <c r="Z841" s="870"/>
      <c r="AA841" s="870"/>
      <c r="AB841" s="870"/>
      <c r="AC841" s="870"/>
      <c r="AD841" s="870"/>
      <c r="AE841" s="870"/>
      <c r="AF841" s="870"/>
      <c r="AG841" s="870"/>
    </row>
    <row r="842" spans="1:33" s="995" customFormat="1">
      <c r="A842" s="974"/>
      <c r="D842" s="876"/>
      <c r="E842" s="974"/>
      <c r="F842" s="876"/>
      <c r="G842" s="876"/>
      <c r="H842" s="876"/>
      <c r="I842" s="876"/>
      <c r="J842" s="876"/>
      <c r="K842" s="876"/>
      <c r="L842" s="876"/>
      <c r="M842" s="876"/>
      <c r="N842" s="876"/>
      <c r="O842" s="876"/>
      <c r="P842" s="876"/>
      <c r="Q842" s="870"/>
      <c r="R842" s="870"/>
      <c r="S842" s="870"/>
      <c r="T842" s="870"/>
      <c r="U842" s="870"/>
      <c r="V842" s="870"/>
      <c r="W842" s="870"/>
      <c r="X842" s="870"/>
      <c r="Y842" s="870"/>
      <c r="Z842" s="870"/>
      <c r="AA842" s="870"/>
      <c r="AB842" s="870"/>
      <c r="AC842" s="870"/>
      <c r="AD842" s="870"/>
      <c r="AE842" s="870"/>
      <c r="AF842" s="870"/>
      <c r="AG842" s="870"/>
    </row>
    <row r="843" spans="1:33" s="995" customFormat="1">
      <c r="A843" s="974"/>
      <c r="D843" s="876"/>
      <c r="E843" s="974"/>
      <c r="F843" s="876"/>
      <c r="G843" s="876"/>
      <c r="H843" s="876"/>
      <c r="I843" s="876"/>
      <c r="J843" s="876"/>
      <c r="K843" s="876"/>
      <c r="L843" s="876"/>
      <c r="M843" s="876"/>
      <c r="N843" s="876"/>
      <c r="O843" s="876"/>
      <c r="P843" s="876"/>
      <c r="Q843" s="870"/>
      <c r="R843" s="870"/>
      <c r="S843" s="870"/>
      <c r="T843" s="870"/>
      <c r="U843" s="870"/>
      <c r="V843" s="870"/>
      <c r="W843" s="870"/>
      <c r="X843" s="870"/>
      <c r="Y843" s="870"/>
      <c r="Z843" s="870"/>
      <c r="AA843" s="870"/>
      <c r="AB843" s="870"/>
      <c r="AC843" s="870"/>
      <c r="AD843" s="870"/>
      <c r="AE843" s="870"/>
      <c r="AF843" s="870"/>
      <c r="AG843" s="870"/>
    </row>
    <row r="844" spans="1:33" s="995" customFormat="1">
      <c r="A844" s="974"/>
      <c r="D844" s="876"/>
      <c r="E844" s="974"/>
      <c r="F844" s="876"/>
      <c r="G844" s="876"/>
      <c r="H844" s="876"/>
      <c r="I844" s="876"/>
      <c r="J844" s="876"/>
      <c r="K844" s="876"/>
      <c r="L844" s="876"/>
      <c r="M844" s="876"/>
      <c r="N844" s="876"/>
      <c r="O844" s="876"/>
      <c r="P844" s="876"/>
      <c r="Q844" s="870"/>
      <c r="R844" s="870"/>
      <c r="S844" s="870"/>
      <c r="T844" s="870"/>
      <c r="U844" s="870"/>
      <c r="V844" s="870"/>
      <c r="W844" s="870"/>
      <c r="X844" s="870"/>
      <c r="Y844" s="870"/>
      <c r="Z844" s="870"/>
      <c r="AA844" s="870"/>
      <c r="AB844" s="870"/>
      <c r="AC844" s="870"/>
      <c r="AD844" s="870"/>
      <c r="AE844" s="870"/>
      <c r="AF844" s="870"/>
      <c r="AG844" s="870"/>
    </row>
    <row r="845" spans="1:33" s="995" customFormat="1">
      <c r="A845" s="974"/>
      <c r="D845" s="876"/>
      <c r="E845" s="974"/>
      <c r="F845" s="876"/>
      <c r="G845" s="876"/>
      <c r="H845" s="876"/>
      <c r="I845" s="876"/>
      <c r="J845" s="876"/>
      <c r="K845" s="876"/>
      <c r="L845" s="876"/>
      <c r="M845" s="876"/>
      <c r="N845" s="876"/>
      <c r="O845" s="876"/>
      <c r="P845" s="876"/>
      <c r="Q845" s="870"/>
      <c r="R845" s="870"/>
      <c r="S845" s="870"/>
      <c r="T845" s="870"/>
      <c r="U845" s="870"/>
      <c r="V845" s="870"/>
      <c r="W845" s="870"/>
      <c r="X845" s="870"/>
      <c r="Y845" s="870"/>
      <c r="Z845" s="870"/>
      <c r="AA845" s="870"/>
      <c r="AB845" s="870"/>
      <c r="AC845" s="870"/>
      <c r="AD845" s="870"/>
      <c r="AE845" s="870"/>
      <c r="AF845" s="870"/>
      <c r="AG845" s="870"/>
    </row>
    <row r="846" spans="1:33" s="995" customFormat="1">
      <c r="A846" s="974"/>
      <c r="D846" s="876"/>
      <c r="E846" s="974"/>
      <c r="F846" s="876"/>
      <c r="G846" s="876"/>
      <c r="H846" s="876"/>
      <c r="I846" s="876"/>
      <c r="J846" s="876"/>
      <c r="K846" s="876"/>
      <c r="L846" s="876"/>
      <c r="M846" s="876"/>
      <c r="N846" s="876"/>
      <c r="O846" s="876"/>
      <c r="P846" s="876"/>
      <c r="Q846" s="870"/>
      <c r="R846" s="870"/>
      <c r="S846" s="870"/>
      <c r="T846" s="870"/>
      <c r="U846" s="870"/>
      <c r="V846" s="870"/>
      <c r="W846" s="870"/>
      <c r="X846" s="870"/>
      <c r="Y846" s="870"/>
      <c r="Z846" s="870"/>
      <c r="AA846" s="870"/>
      <c r="AB846" s="870"/>
      <c r="AC846" s="870"/>
      <c r="AD846" s="870"/>
      <c r="AE846" s="870"/>
      <c r="AF846" s="870"/>
      <c r="AG846" s="870"/>
    </row>
    <row r="847" spans="1:33" s="995" customFormat="1">
      <c r="A847" s="974"/>
      <c r="D847" s="876"/>
      <c r="E847" s="974"/>
      <c r="F847" s="876"/>
      <c r="G847" s="876"/>
      <c r="H847" s="876"/>
      <c r="I847" s="876"/>
      <c r="J847" s="876"/>
      <c r="K847" s="876"/>
      <c r="L847" s="876"/>
      <c r="M847" s="876"/>
      <c r="N847" s="876"/>
      <c r="O847" s="876"/>
      <c r="P847" s="876"/>
      <c r="Q847" s="870"/>
      <c r="R847" s="870"/>
      <c r="S847" s="870"/>
      <c r="T847" s="870"/>
      <c r="U847" s="870"/>
      <c r="V847" s="870"/>
      <c r="W847" s="870"/>
      <c r="X847" s="870"/>
      <c r="Y847" s="870"/>
      <c r="Z847" s="870"/>
      <c r="AA847" s="870"/>
      <c r="AB847" s="870"/>
      <c r="AC847" s="870"/>
      <c r="AD847" s="870"/>
      <c r="AE847" s="870"/>
      <c r="AF847" s="870"/>
      <c r="AG847" s="870"/>
    </row>
    <row r="848" spans="1:33" s="995" customFormat="1">
      <c r="A848" s="974"/>
      <c r="D848" s="876"/>
      <c r="E848" s="974"/>
      <c r="F848" s="876"/>
      <c r="G848" s="876"/>
      <c r="H848" s="876"/>
      <c r="I848" s="876"/>
      <c r="J848" s="876"/>
      <c r="K848" s="876"/>
      <c r="L848" s="876"/>
      <c r="M848" s="876"/>
      <c r="N848" s="876"/>
      <c r="O848" s="876"/>
      <c r="P848" s="876"/>
      <c r="Q848" s="870"/>
      <c r="R848" s="870"/>
      <c r="S848" s="870"/>
      <c r="T848" s="870"/>
      <c r="U848" s="870"/>
      <c r="V848" s="870"/>
      <c r="W848" s="870"/>
      <c r="X848" s="870"/>
      <c r="Y848" s="870"/>
      <c r="Z848" s="870"/>
      <c r="AA848" s="870"/>
      <c r="AB848" s="870"/>
      <c r="AC848" s="870"/>
      <c r="AD848" s="870"/>
      <c r="AE848" s="870"/>
      <c r="AF848" s="870"/>
      <c r="AG848" s="870"/>
    </row>
    <row r="849" spans="1:33" s="995" customFormat="1">
      <c r="A849" s="974"/>
      <c r="D849" s="876"/>
      <c r="E849" s="974"/>
      <c r="F849" s="876"/>
      <c r="G849" s="876"/>
      <c r="H849" s="876"/>
      <c r="I849" s="876"/>
      <c r="J849" s="876"/>
      <c r="K849" s="876"/>
      <c r="L849" s="876"/>
      <c r="M849" s="876"/>
      <c r="N849" s="876"/>
      <c r="O849" s="876"/>
      <c r="P849" s="876"/>
      <c r="Q849" s="870"/>
      <c r="R849" s="870"/>
      <c r="S849" s="870"/>
      <c r="T849" s="870"/>
      <c r="U849" s="870"/>
      <c r="V849" s="870"/>
      <c r="W849" s="870"/>
      <c r="X849" s="870"/>
      <c r="Y849" s="870"/>
      <c r="Z849" s="870"/>
      <c r="AA849" s="870"/>
      <c r="AB849" s="870"/>
      <c r="AC849" s="870"/>
      <c r="AD849" s="870"/>
      <c r="AE849" s="870"/>
      <c r="AF849" s="870"/>
      <c r="AG849" s="870"/>
    </row>
    <row r="850" spans="1:33" s="995" customFormat="1">
      <c r="A850" s="974"/>
      <c r="D850" s="876"/>
      <c r="E850" s="974"/>
      <c r="F850" s="876"/>
      <c r="G850" s="876"/>
      <c r="H850" s="876"/>
      <c r="I850" s="876"/>
      <c r="J850" s="876"/>
      <c r="K850" s="876"/>
      <c r="L850" s="876"/>
      <c r="M850" s="876"/>
      <c r="N850" s="876"/>
      <c r="O850" s="876"/>
      <c r="P850" s="876"/>
      <c r="Q850" s="870"/>
      <c r="R850" s="870"/>
      <c r="S850" s="870"/>
      <c r="T850" s="870"/>
      <c r="U850" s="870"/>
      <c r="V850" s="870"/>
      <c r="W850" s="870"/>
      <c r="X850" s="870"/>
      <c r="Y850" s="870"/>
      <c r="Z850" s="870"/>
      <c r="AA850" s="870"/>
      <c r="AB850" s="870"/>
      <c r="AC850" s="870"/>
      <c r="AD850" s="870"/>
      <c r="AE850" s="870"/>
      <c r="AF850" s="870"/>
      <c r="AG850" s="870"/>
    </row>
    <row r="851" spans="1:33" s="995" customFormat="1">
      <c r="A851" s="974"/>
      <c r="D851" s="876"/>
      <c r="E851" s="974"/>
      <c r="F851" s="876"/>
      <c r="G851" s="876"/>
      <c r="H851" s="876"/>
      <c r="I851" s="876"/>
      <c r="J851" s="876"/>
      <c r="K851" s="876"/>
      <c r="L851" s="876"/>
      <c r="M851" s="876"/>
      <c r="N851" s="876"/>
      <c r="O851" s="876"/>
      <c r="P851" s="876"/>
      <c r="Q851" s="870"/>
      <c r="R851" s="870"/>
      <c r="S851" s="870"/>
      <c r="T851" s="870"/>
      <c r="U851" s="870"/>
      <c r="V851" s="870"/>
      <c r="W851" s="870"/>
      <c r="X851" s="870"/>
      <c r="Y851" s="870"/>
      <c r="Z851" s="870"/>
      <c r="AA851" s="870"/>
      <c r="AB851" s="870"/>
      <c r="AC851" s="870"/>
      <c r="AD851" s="870"/>
      <c r="AE851" s="870"/>
      <c r="AF851" s="870"/>
      <c r="AG851" s="870"/>
    </row>
    <row r="852" spans="1:33" s="995" customFormat="1">
      <c r="A852" s="974"/>
      <c r="D852" s="876"/>
      <c r="E852" s="974"/>
      <c r="F852" s="876"/>
      <c r="G852" s="876"/>
      <c r="H852" s="876"/>
      <c r="I852" s="876"/>
      <c r="J852" s="876"/>
      <c r="K852" s="876"/>
      <c r="L852" s="876"/>
      <c r="M852" s="876"/>
      <c r="N852" s="876"/>
      <c r="O852" s="876"/>
      <c r="P852" s="876"/>
      <c r="Q852" s="870"/>
      <c r="R852" s="870"/>
      <c r="S852" s="870"/>
      <c r="T852" s="870"/>
      <c r="U852" s="870"/>
      <c r="V852" s="870"/>
      <c r="W852" s="870"/>
      <c r="X852" s="870"/>
      <c r="Y852" s="870"/>
      <c r="Z852" s="870"/>
      <c r="AA852" s="870"/>
      <c r="AB852" s="870"/>
      <c r="AC852" s="870"/>
      <c r="AD852" s="870"/>
      <c r="AE852" s="870"/>
      <c r="AF852" s="870"/>
      <c r="AG852" s="870"/>
    </row>
    <row r="853" spans="1:33" s="995" customFormat="1">
      <c r="A853" s="974"/>
      <c r="D853" s="876"/>
      <c r="E853" s="974"/>
      <c r="F853" s="876"/>
      <c r="G853" s="876"/>
      <c r="H853" s="876"/>
      <c r="I853" s="876"/>
      <c r="J853" s="876"/>
      <c r="K853" s="876"/>
      <c r="L853" s="876"/>
      <c r="M853" s="876"/>
      <c r="N853" s="876"/>
      <c r="O853" s="876"/>
      <c r="P853" s="876"/>
      <c r="Q853" s="870"/>
      <c r="R853" s="870"/>
      <c r="S853" s="870"/>
      <c r="T853" s="870"/>
      <c r="U853" s="870"/>
      <c r="V853" s="870"/>
      <c r="W853" s="870"/>
      <c r="X853" s="870"/>
      <c r="Y853" s="870"/>
      <c r="Z853" s="870"/>
      <c r="AA853" s="870"/>
      <c r="AB853" s="870"/>
      <c r="AC853" s="870"/>
      <c r="AD853" s="870"/>
      <c r="AE853" s="870"/>
      <c r="AF853" s="870"/>
      <c r="AG853" s="870"/>
    </row>
    <row r="854" spans="1:33" s="995" customFormat="1">
      <c r="A854" s="974"/>
      <c r="D854" s="876"/>
      <c r="E854" s="974"/>
      <c r="F854" s="876"/>
      <c r="G854" s="876"/>
      <c r="H854" s="876"/>
      <c r="I854" s="876"/>
      <c r="J854" s="876"/>
      <c r="K854" s="876"/>
      <c r="L854" s="876"/>
      <c r="M854" s="876"/>
      <c r="N854" s="876"/>
      <c r="O854" s="876"/>
      <c r="P854" s="876"/>
      <c r="Q854" s="870"/>
      <c r="R854" s="870"/>
      <c r="S854" s="870"/>
      <c r="T854" s="870"/>
      <c r="U854" s="870"/>
      <c r="V854" s="870"/>
      <c r="W854" s="870"/>
      <c r="X854" s="870"/>
      <c r="Y854" s="870"/>
      <c r="Z854" s="870"/>
      <c r="AA854" s="870"/>
      <c r="AB854" s="870"/>
      <c r="AC854" s="870"/>
      <c r="AD854" s="870"/>
      <c r="AE854" s="870"/>
      <c r="AF854" s="870"/>
      <c r="AG854" s="870"/>
    </row>
    <row r="855" spans="1:33" s="995" customFormat="1">
      <c r="A855" s="974"/>
      <c r="D855" s="876"/>
      <c r="E855" s="974"/>
      <c r="F855" s="876"/>
      <c r="G855" s="876"/>
      <c r="H855" s="876"/>
      <c r="I855" s="876"/>
      <c r="J855" s="876"/>
      <c r="K855" s="876"/>
      <c r="L855" s="876"/>
      <c r="M855" s="876"/>
      <c r="N855" s="876"/>
      <c r="O855" s="876"/>
      <c r="P855" s="876"/>
      <c r="Q855" s="870"/>
      <c r="R855" s="870"/>
      <c r="S855" s="870"/>
      <c r="T855" s="870"/>
      <c r="U855" s="870"/>
      <c r="V855" s="870"/>
      <c r="W855" s="870"/>
      <c r="X855" s="870"/>
      <c r="Y855" s="870"/>
      <c r="Z855" s="870"/>
      <c r="AA855" s="870"/>
      <c r="AB855" s="870"/>
      <c r="AC855" s="870"/>
      <c r="AD855" s="870"/>
      <c r="AE855" s="870"/>
      <c r="AF855" s="870"/>
      <c r="AG855" s="870"/>
    </row>
    <row r="856" spans="1:33" s="995" customFormat="1">
      <c r="A856" s="974"/>
      <c r="D856" s="876"/>
      <c r="E856" s="974"/>
      <c r="F856" s="876"/>
      <c r="G856" s="876"/>
      <c r="H856" s="876"/>
      <c r="I856" s="876"/>
      <c r="J856" s="876"/>
      <c r="K856" s="876"/>
      <c r="L856" s="876"/>
      <c r="M856" s="876"/>
      <c r="N856" s="876"/>
      <c r="O856" s="876"/>
      <c r="P856" s="876"/>
      <c r="Q856" s="870"/>
      <c r="R856" s="870"/>
      <c r="S856" s="870"/>
      <c r="T856" s="870"/>
      <c r="U856" s="870"/>
      <c r="V856" s="870"/>
      <c r="W856" s="870"/>
      <c r="X856" s="870"/>
      <c r="Y856" s="870"/>
      <c r="Z856" s="870"/>
      <c r="AA856" s="870"/>
      <c r="AB856" s="870"/>
      <c r="AC856" s="870"/>
      <c r="AD856" s="870"/>
      <c r="AE856" s="870"/>
      <c r="AF856" s="870"/>
      <c r="AG856" s="870"/>
    </row>
    <row r="857" spans="1:33" s="995" customFormat="1">
      <c r="A857" s="974"/>
      <c r="D857" s="876"/>
      <c r="E857" s="974"/>
      <c r="F857" s="876"/>
      <c r="G857" s="876"/>
      <c r="H857" s="876"/>
      <c r="I857" s="876"/>
      <c r="J857" s="876"/>
      <c r="K857" s="876"/>
      <c r="L857" s="876"/>
      <c r="M857" s="876"/>
      <c r="N857" s="876"/>
      <c r="O857" s="876"/>
      <c r="P857" s="876"/>
      <c r="Q857" s="870"/>
      <c r="R857" s="870"/>
      <c r="S857" s="870"/>
      <c r="T857" s="870"/>
      <c r="U857" s="870"/>
      <c r="V857" s="870"/>
      <c r="W857" s="870"/>
      <c r="X857" s="870"/>
      <c r="Y857" s="870"/>
      <c r="Z857" s="870"/>
      <c r="AA857" s="870"/>
      <c r="AB857" s="870"/>
      <c r="AC857" s="870"/>
      <c r="AD857" s="870"/>
      <c r="AE857" s="870"/>
      <c r="AF857" s="870"/>
      <c r="AG857" s="870"/>
    </row>
    <row r="858" spans="1:33" s="995" customFormat="1">
      <c r="A858" s="974"/>
      <c r="D858" s="876"/>
      <c r="E858" s="974"/>
      <c r="F858" s="876"/>
      <c r="G858" s="876"/>
      <c r="H858" s="876"/>
      <c r="I858" s="876"/>
      <c r="J858" s="876"/>
      <c r="K858" s="876"/>
      <c r="L858" s="876"/>
      <c r="M858" s="876"/>
      <c r="N858" s="876"/>
      <c r="O858" s="876"/>
      <c r="P858" s="876"/>
      <c r="Q858" s="870"/>
      <c r="R858" s="870"/>
      <c r="S858" s="870"/>
      <c r="T858" s="870"/>
      <c r="U858" s="870"/>
      <c r="V858" s="870"/>
      <c r="W858" s="870"/>
      <c r="X858" s="870"/>
      <c r="Y858" s="870"/>
      <c r="Z858" s="870"/>
      <c r="AA858" s="870"/>
      <c r="AB858" s="870"/>
      <c r="AC858" s="870"/>
      <c r="AD858" s="870"/>
      <c r="AE858" s="870"/>
      <c r="AF858" s="870"/>
      <c r="AG858" s="870"/>
    </row>
    <row r="859" spans="1:33" s="995" customFormat="1">
      <c r="A859" s="974"/>
      <c r="D859" s="876"/>
      <c r="E859" s="974"/>
      <c r="F859" s="876"/>
      <c r="G859" s="876"/>
      <c r="H859" s="876"/>
      <c r="I859" s="876"/>
      <c r="J859" s="876"/>
      <c r="K859" s="876"/>
      <c r="L859" s="876"/>
      <c r="M859" s="876"/>
      <c r="N859" s="876"/>
      <c r="O859" s="876"/>
      <c r="P859" s="876"/>
      <c r="Q859" s="870"/>
      <c r="R859" s="870"/>
      <c r="S859" s="870"/>
      <c r="T859" s="870"/>
      <c r="U859" s="870"/>
      <c r="V859" s="870"/>
      <c r="W859" s="870"/>
      <c r="X859" s="870"/>
      <c r="Y859" s="870"/>
      <c r="Z859" s="870"/>
      <c r="AA859" s="870"/>
      <c r="AB859" s="870"/>
      <c r="AC859" s="870"/>
      <c r="AD859" s="870"/>
      <c r="AE859" s="870"/>
      <c r="AF859" s="870"/>
      <c r="AG859" s="870"/>
    </row>
    <row r="860" spans="1:33" s="995" customFormat="1">
      <c r="A860" s="974"/>
      <c r="D860" s="876"/>
      <c r="E860" s="974"/>
      <c r="F860" s="876"/>
      <c r="G860" s="876"/>
      <c r="H860" s="876"/>
      <c r="I860" s="876"/>
      <c r="J860" s="876"/>
      <c r="K860" s="876"/>
      <c r="L860" s="876"/>
      <c r="M860" s="876"/>
      <c r="N860" s="876"/>
      <c r="O860" s="876"/>
      <c r="P860" s="876"/>
      <c r="Q860" s="870"/>
      <c r="R860" s="870"/>
      <c r="S860" s="870"/>
      <c r="T860" s="870"/>
      <c r="U860" s="870"/>
      <c r="V860" s="870"/>
      <c r="W860" s="870"/>
      <c r="X860" s="870"/>
      <c r="Y860" s="870"/>
      <c r="Z860" s="870"/>
      <c r="AA860" s="870"/>
      <c r="AB860" s="870"/>
      <c r="AC860" s="870"/>
      <c r="AD860" s="870"/>
      <c r="AE860" s="870"/>
      <c r="AF860" s="870"/>
      <c r="AG860" s="870"/>
    </row>
    <row r="861" spans="1:33" s="995" customFormat="1">
      <c r="A861" s="974"/>
      <c r="D861" s="876"/>
      <c r="E861" s="974"/>
      <c r="F861" s="876"/>
      <c r="G861" s="876"/>
      <c r="H861" s="876"/>
      <c r="I861" s="876"/>
      <c r="J861" s="876"/>
      <c r="K861" s="876"/>
      <c r="L861" s="876"/>
      <c r="M861" s="876"/>
      <c r="N861" s="876"/>
      <c r="O861" s="876"/>
      <c r="P861" s="876"/>
      <c r="Q861" s="870"/>
      <c r="R861" s="870"/>
      <c r="S861" s="870"/>
      <c r="T861" s="870"/>
      <c r="U861" s="870"/>
      <c r="V861" s="870"/>
      <c r="W861" s="870"/>
      <c r="X861" s="870"/>
      <c r="Y861" s="870"/>
      <c r="Z861" s="870"/>
      <c r="AA861" s="870"/>
      <c r="AB861" s="870"/>
      <c r="AC861" s="870"/>
      <c r="AD861" s="870"/>
      <c r="AE861" s="870"/>
      <c r="AF861" s="870"/>
      <c r="AG861" s="870"/>
    </row>
    <row r="862" spans="1:33" s="995" customFormat="1">
      <c r="A862" s="974"/>
      <c r="D862" s="876"/>
      <c r="E862" s="974"/>
      <c r="F862" s="876"/>
      <c r="G862" s="876"/>
      <c r="H862" s="876"/>
      <c r="I862" s="876"/>
      <c r="J862" s="876"/>
      <c r="K862" s="876"/>
      <c r="L862" s="876"/>
      <c r="M862" s="876"/>
      <c r="N862" s="876"/>
      <c r="O862" s="876"/>
      <c r="P862" s="876"/>
      <c r="Q862" s="870"/>
      <c r="R862" s="870"/>
      <c r="S862" s="870"/>
      <c r="T862" s="870"/>
      <c r="U862" s="870"/>
      <c r="V862" s="870"/>
      <c r="W862" s="870"/>
      <c r="X862" s="870"/>
      <c r="Y862" s="870"/>
      <c r="Z862" s="870"/>
      <c r="AA862" s="870"/>
      <c r="AB862" s="870"/>
      <c r="AC862" s="870"/>
      <c r="AD862" s="870"/>
      <c r="AE862" s="870"/>
      <c r="AF862" s="870"/>
      <c r="AG862" s="870"/>
    </row>
    <row r="863" spans="1:33" s="995" customFormat="1">
      <c r="A863" s="974"/>
      <c r="D863" s="876"/>
      <c r="E863" s="974"/>
      <c r="F863" s="876"/>
      <c r="G863" s="876"/>
      <c r="H863" s="876"/>
      <c r="I863" s="876"/>
      <c r="J863" s="876"/>
      <c r="K863" s="876"/>
      <c r="L863" s="876"/>
      <c r="M863" s="876"/>
      <c r="N863" s="876"/>
      <c r="O863" s="876"/>
      <c r="P863" s="876"/>
      <c r="Q863" s="870"/>
      <c r="R863" s="870"/>
      <c r="S863" s="870"/>
      <c r="T863" s="870"/>
      <c r="U863" s="870"/>
      <c r="V863" s="870"/>
      <c r="W863" s="870"/>
      <c r="X863" s="870"/>
      <c r="Y863" s="870"/>
      <c r="Z863" s="870"/>
      <c r="AA863" s="870"/>
      <c r="AB863" s="870"/>
      <c r="AC863" s="870"/>
      <c r="AD863" s="870"/>
      <c r="AE863" s="870"/>
      <c r="AF863" s="870"/>
      <c r="AG863" s="870"/>
    </row>
    <row r="864" spans="1:33" s="995" customFormat="1">
      <c r="A864" s="974"/>
      <c r="D864" s="876"/>
      <c r="E864" s="974"/>
      <c r="F864" s="876"/>
      <c r="G864" s="876"/>
      <c r="H864" s="876"/>
      <c r="I864" s="876"/>
      <c r="J864" s="876"/>
      <c r="K864" s="876"/>
      <c r="L864" s="876"/>
      <c r="M864" s="876"/>
      <c r="N864" s="876"/>
      <c r="O864" s="876"/>
      <c r="P864" s="876"/>
      <c r="Q864" s="870"/>
      <c r="R864" s="870"/>
      <c r="S864" s="870"/>
      <c r="T864" s="870"/>
      <c r="U864" s="870"/>
      <c r="V864" s="870"/>
      <c r="W864" s="870"/>
      <c r="X864" s="870"/>
      <c r="Y864" s="870"/>
      <c r="Z864" s="870"/>
      <c r="AA864" s="870"/>
      <c r="AB864" s="870"/>
      <c r="AC864" s="870"/>
      <c r="AD864" s="870"/>
      <c r="AE864" s="870"/>
      <c r="AF864" s="870"/>
      <c r="AG864" s="870"/>
    </row>
    <row r="865" spans="1:33" s="995" customFormat="1">
      <c r="A865" s="974"/>
      <c r="D865" s="876"/>
      <c r="E865" s="974"/>
      <c r="F865" s="876"/>
      <c r="G865" s="876"/>
      <c r="H865" s="876"/>
      <c r="I865" s="876"/>
      <c r="J865" s="876"/>
      <c r="K865" s="876"/>
      <c r="L865" s="876"/>
      <c r="M865" s="876"/>
      <c r="N865" s="876"/>
      <c r="O865" s="876"/>
      <c r="P865" s="876"/>
      <c r="Q865" s="870"/>
      <c r="R865" s="870"/>
      <c r="S865" s="870"/>
      <c r="T865" s="870"/>
      <c r="U865" s="870"/>
      <c r="V865" s="870"/>
      <c r="W865" s="870"/>
      <c r="X865" s="870"/>
      <c r="Y865" s="870"/>
      <c r="Z865" s="870"/>
      <c r="AA865" s="870"/>
      <c r="AB865" s="870"/>
      <c r="AC865" s="870"/>
      <c r="AD865" s="870"/>
      <c r="AE865" s="870"/>
      <c r="AF865" s="870"/>
      <c r="AG865" s="870"/>
    </row>
    <row r="866" spans="1:33" s="995" customFormat="1">
      <c r="A866" s="974"/>
      <c r="D866" s="876"/>
      <c r="E866" s="974"/>
      <c r="F866" s="876"/>
      <c r="G866" s="876"/>
      <c r="H866" s="876"/>
      <c r="I866" s="876"/>
      <c r="J866" s="876"/>
      <c r="K866" s="876"/>
      <c r="L866" s="876"/>
      <c r="M866" s="876"/>
      <c r="N866" s="876"/>
      <c r="O866" s="876"/>
      <c r="P866" s="876"/>
      <c r="Q866" s="870"/>
      <c r="R866" s="870"/>
      <c r="S866" s="870"/>
      <c r="T866" s="870"/>
      <c r="U866" s="870"/>
      <c r="V866" s="870"/>
      <c r="W866" s="870"/>
      <c r="X866" s="870"/>
      <c r="Y866" s="870"/>
      <c r="Z866" s="870"/>
      <c r="AA866" s="870"/>
      <c r="AB866" s="870"/>
      <c r="AC866" s="870"/>
      <c r="AD866" s="870"/>
      <c r="AE866" s="870"/>
      <c r="AF866" s="870"/>
      <c r="AG866" s="870"/>
    </row>
    <row r="867" spans="1:33" s="995" customFormat="1">
      <c r="A867" s="974"/>
      <c r="D867" s="876"/>
      <c r="E867" s="974"/>
      <c r="F867" s="876"/>
      <c r="G867" s="876"/>
      <c r="H867" s="876"/>
      <c r="I867" s="876"/>
      <c r="J867" s="876"/>
      <c r="K867" s="876"/>
      <c r="L867" s="876"/>
      <c r="M867" s="876"/>
      <c r="N867" s="876"/>
      <c r="O867" s="876"/>
      <c r="P867" s="876"/>
      <c r="Q867" s="870"/>
      <c r="R867" s="870"/>
      <c r="S867" s="870"/>
      <c r="T867" s="870"/>
      <c r="U867" s="870"/>
      <c r="V867" s="870"/>
      <c r="W867" s="870"/>
      <c r="X867" s="870"/>
      <c r="Y867" s="870"/>
      <c r="Z867" s="870"/>
      <c r="AA867" s="870"/>
      <c r="AB867" s="870"/>
      <c r="AC867" s="870"/>
      <c r="AD867" s="870"/>
      <c r="AE867" s="870"/>
      <c r="AF867" s="870"/>
      <c r="AG867" s="870"/>
    </row>
    <row r="868" spans="1:33" s="995" customFormat="1">
      <c r="A868" s="974"/>
      <c r="D868" s="876"/>
      <c r="E868" s="974"/>
      <c r="F868" s="876"/>
      <c r="G868" s="876"/>
      <c r="H868" s="876"/>
      <c r="I868" s="876"/>
      <c r="J868" s="876"/>
      <c r="K868" s="876"/>
      <c r="L868" s="876"/>
      <c r="M868" s="876"/>
      <c r="N868" s="876"/>
      <c r="O868" s="876"/>
      <c r="P868" s="876"/>
      <c r="Q868" s="870"/>
      <c r="R868" s="870"/>
      <c r="S868" s="870"/>
      <c r="T868" s="870"/>
      <c r="U868" s="870"/>
      <c r="V868" s="870"/>
      <c r="W868" s="870"/>
      <c r="X868" s="870"/>
      <c r="Y868" s="870"/>
      <c r="Z868" s="870"/>
      <c r="AA868" s="870"/>
      <c r="AB868" s="870"/>
      <c r="AC868" s="870"/>
      <c r="AD868" s="870"/>
      <c r="AE868" s="870"/>
      <c r="AF868" s="870"/>
      <c r="AG868" s="870"/>
    </row>
    <row r="869" spans="1:33" s="995" customFormat="1">
      <c r="A869" s="974"/>
      <c r="D869" s="876"/>
      <c r="E869" s="974"/>
      <c r="F869" s="876"/>
      <c r="G869" s="876"/>
      <c r="H869" s="876"/>
      <c r="I869" s="876"/>
      <c r="J869" s="876"/>
      <c r="K869" s="876"/>
      <c r="L869" s="876"/>
      <c r="M869" s="876"/>
      <c r="N869" s="876"/>
      <c r="O869" s="876"/>
      <c r="P869" s="876"/>
      <c r="Q869" s="870"/>
      <c r="R869" s="870"/>
      <c r="S869" s="870"/>
      <c r="T869" s="870"/>
      <c r="U869" s="870"/>
      <c r="V869" s="870"/>
      <c r="W869" s="870"/>
      <c r="X869" s="870"/>
      <c r="Y869" s="870"/>
      <c r="Z869" s="870"/>
      <c r="AA869" s="870"/>
      <c r="AB869" s="870"/>
      <c r="AC869" s="870"/>
      <c r="AD869" s="870"/>
      <c r="AE869" s="870"/>
      <c r="AF869" s="870"/>
      <c r="AG869" s="870"/>
    </row>
    <row r="870" spans="1:33" s="995" customFormat="1">
      <c r="A870" s="974"/>
      <c r="D870" s="876"/>
      <c r="E870" s="974"/>
      <c r="F870" s="876"/>
      <c r="G870" s="876"/>
      <c r="H870" s="876"/>
      <c r="I870" s="876"/>
      <c r="J870" s="876"/>
      <c r="K870" s="876"/>
      <c r="L870" s="876"/>
      <c r="M870" s="876"/>
      <c r="N870" s="876"/>
      <c r="O870" s="876"/>
      <c r="P870" s="876"/>
      <c r="Q870" s="870"/>
      <c r="R870" s="870"/>
      <c r="S870" s="870"/>
      <c r="T870" s="870"/>
      <c r="U870" s="870"/>
      <c r="V870" s="870"/>
      <c r="W870" s="870"/>
      <c r="X870" s="870"/>
      <c r="Y870" s="870"/>
      <c r="Z870" s="870"/>
      <c r="AA870" s="870"/>
      <c r="AB870" s="870"/>
      <c r="AC870" s="870"/>
      <c r="AD870" s="870"/>
      <c r="AE870" s="870"/>
      <c r="AF870" s="870"/>
      <c r="AG870" s="870"/>
    </row>
    <row r="871" spans="1:33" s="995" customFormat="1">
      <c r="A871" s="974"/>
      <c r="D871" s="876"/>
      <c r="E871" s="974"/>
      <c r="F871" s="876"/>
      <c r="G871" s="876"/>
      <c r="H871" s="876"/>
      <c r="I871" s="876"/>
      <c r="J871" s="876"/>
      <c r="K871" s="876"/>
      <c r="L871" s="876"/>
      <c r="M871" s="876"/>
      <c r="N871" s="876"/>
      <c r="O871" s="876"/>
      <c r="P871" s="876"/>
      <c r="Q871" s="870"/>
      <c r="R871" s="870"/>
      <c r="S871" s="870"/>
      <c r="T871" s="870"/>
      <c r="U871" s="870"/>
      <c r="V871" s="870"/>
      <c r="W871" s="870"/>
      <c r="X871" s="870"/>
      <c r="Y871" s="870"/>
      <c r="Z871" s="870"/>
      <c r="AA871" s="870"/>
      <c r="AB871" s="870"/>
      <c r="AC871" s="870"/>
      <c r="AD871" s="870"/>
      <c r="AE871" s="870"/>
      <c r="AF871" s="870"/>
      <c r="AG871" s="870"/>
    </row>
    <row r="872" spans="1:33" s="995" customFormat="1">
      <c r="A872" s="974"/>
      <c r="D872" s="876"/>
      <c r="E872" s="974"/>
      <c r="F872" s="876"/>
      <c r="G872" s="876"/>
      <c r="H872" s="876"/>
      <c r="I872" s="876"/>
      <c r="J872" s="876"/>
      <c r="K872" s="876"/>
      <c r="L872" s="876"/>
      <c r="M872" s="876"/>
      <c r="N872" s="876"/>
      <c r="O872" s="876"/>
      <c r="P872" s="876"/>
      <c r="Q872" s="870"/>
      <c r="R872" s="870"/>
      <c r="S872" s="870"/>
      <c r="T872" s="870"/>
      <c r="U872" s="870"/>
      <c r="V872" s="870"/>
      <c r="W872" s="870"/>
      <c r="X872" s="870"/>
      <c r="Y872" s="870"/>
      <c r="Z872" s="870"/>
      <c r="AA872" s="870"/>
      <c r="AB872" s="870"/>
      <c r="AC872" s="870"/>
      <c r="AD872" s="870"/>
      <c r="AE872" s="870"/>
      <c r="AF872" s="870"/>
      <c r="AG872" s="870"/>
    </row>
    <row r="873" spans="1:33" s="995" customFormat="1">
      <c r="A873" s="974"/>
      <c r="D873" s="876"/>
      <c r="E873" s="974"/>
      <c r="F873" s="876"/>
      <c r="G873" s="876"/>
      <c r="H873" s="876"/>
      <c r="I873" s="876"/>
      <c r="J873" s="876"/>
      <c r="K873" s="876"/>
      <c r="L873" s="876"/>
      <c r="M873" s="876"/>
      <c r="N873" s="876"/>
      <c r="O873" s="876"/>
      <c r="P873" s="876"/>
      <c r="Q873" s="870"/>
      <c r="R873" s="870"/>
      <c r="S873" s="870"/>
      <c r="T873" s="870"/>
      <c r="U873" s="870"/>
      <c r="V873" s="870"/>
      <c r="W873" s="870"/>
      <c r="X873" s="870"/>
      <c r="Y873" s="870"/>
      <c r="Z873" s="870"/>
      <c r="AA873" s="870"/>
      <c r="AB873" s="870"/>
      <c r="AC873" s="870"/>
      <c r="AD873" s="870"/>
      <c r="AE873" s="870"/>
      <c r="AF873" s="870"/>
      <c r="AG873" s="870"/>
    </row>
    <row r="874" spans="1:33" s="995" customFormat="1">
      <c r="A874" s="974"/>
      <c r="D874" s="876"/>
      <c r="E874" s="974"/>
      <c r="F874" s="876"/>
      <c r="G874" s="876"/>
      <c r="H874" s="876"/>
      <c r="I874" s="876"/>
      <c r="J874" s="876"/>
      <c r="K874" s="876"/>
      <c r="L874" s="876"/>
      <c r="M874" s="876"/>
      <c r="N874" s="876"/>
      <c r="O874" s="876"/>
      <c r="P874" s="876"/>
      <c r="Q874" s="870"/>
      <c r="R874" s="870"/>
      <c r="S874" s="870"/>
      <c r="T874" s="870"/>
      <c r="U874" s="870"/>
      <c r="V874" s="870"/>
      <c r="W874" s="870"/>
      <c r="X874" s="870"/>
      <c r="Y874" s="870"/>
      <c r="Z874" s="870"/>
      <c r="AA874" s="870"/>
      <c r="AB874" s="870"/>
      <c r="AC874" s="870"/>
      <c r="AD874" s="870"/>
      <c r="AE874" s="870"/>
      <c r="AF874" s="870"/>
      <c r="AG874" s="870"/>
    </row>
    <row r="875" spans="1:33" s="995" customFormat="1">
      <c r="A875" s="974"/>
      <c r="D875" s="876"/>
      <c r="E875" s="974"/>
      <c r="F875" s="876"/>
      <c r="G875" s="876"/>
      <c r="H875" s="876"/>
      <c r="I875" s="876"/>
      <c r="J875" s="876"/>
      <c r="K875" s="876"/>
      <c r="L875" s="876"/>
      <c r="M875" s="876"/>
      <c r="N875" s="876"/>
      <c r="O875" s="876"/>
      <c r="P875" s="876"/>
      <c r="Q875" s="870"/>
      <c r="R875" s="870"/>
      <c r="S875" s="870"/>
      <c r="T875" s="870"/>
      <c r="U875" s="870"/>
      <c r="V875" s="870"/>
      <c r="W875" s="870"/>
      <c r="X875" s="870"/>
      <c r="Y875" s="870"/>
      <c r="Z875" s="870"/>
      <c r="AA875" s="870"/>
      <c r="AB875" s="870"/>
      <c r="AC875" s="870"/>
      <c r="AD875" s="870"/>
      <c r="AE875" s="870"/>
      <c r="AF875" s="870"/>
      <c r="AG875" s="870"/>
    </row>
    <row r="876" spans="1:33" s="995" customFormat="1">
      <c r="A876" s="974"/>
      <c r="D876" s="876"/>
      <c r="E876" s="974"/>
      <c r="F876" s="876"/>
      <c r="G876" s="876"/>
      <c r="H876" s="876"/>
      <c r="I876" s="876"/>
      <c r="J876" s="876"/>
      <c r="K876" s="876"/>
      <c r="L876" s="876"/>
      <c r="M876" s="876"/>
      <c r="N876" s="876"/>
      <c r="O876" s="876"/>
      <c r="P876" s="876"/>
      <c r="Q876" s="870"/>
      <c r="R876" s="870"/>
      <c r="S876" s="870"/>
      <c r="T876" s="870"/>
      <c r="U876" s="870"/>
      <c r="V876" s="870"/>
      <c r="W876" s="870"/>
      <c r="X876" s="870"/>
      <c r="Y876" s="870"/>
      <c r="Z876" s="870"/>
      <c r="AA876" s="870"/>
      <c r="AB876" s="870"/>
      <c r="AC876" s="870"/>
      <c r="AD876" s="870"/>
      <c r="AE876" s="870"/>
      <c r="AF876" s="870"/>
      <c r="AG876" s="870"/>
    </row>
    <row r="877" spans="1:33" s="995" customFormat="1">
      <c r="A877" s="974"/>
      <c r="D877" s="876"/>
      <c r="E877" s="974"/>
      <c r="F877" s="876"/>
      <c r="G877" s="876"/>
      <c r="H877" s="876"/>
      <c r="I877" s="876"/>
      <c r="J877" s="876"/>
      <c r="K877" s="876"/>
      <c r="L877" s="876"/>
      <c r="M877" s="876"/>
      <c r="N877" s="876"/>
      <c r="O877" s="876"/>
      <c r="P877" s="876"/>
      <c r="Q877" s="870"/>
      <c r="R877" s="870"/>
      <c r="S877" s="870"/>
      <c r="T877" s="870"/>
      <c r="U877" s="870"/>
      <c r="V877" s="870"/>
      <c r="W877" s="870"/>
      <c r="X877" s="870"/>
      <c r="Y877" s="870"/>
      <c r="Z877" s="870"/>
      <c r="AA877" s="870"/>
      <c r="AB877" s="870"/>
      <c r="AC877" s="870"/>
      <c r="AD877" s="870"/>
      <c r="AE877" s="870"/>
      <c r="AF877" s="870"/>
      <c r="AG877" s="870"/>
    </row>
    <row r="878" spans="1:33" s="995" customFormat="1">
      <c r="A878" s="974"/>
      <c r="D878" s="876"/>
      <c r="E878" s="974"/>
      <c r="F878" s="876"/>
      <c r="G878" s="876"/>
      <c r="H878" s="876"/>
      <c r="I878" s="876"/>
      <c r="J878" s="876"/>
      <c r="K878" s="876"/>
      <c r="L878" s="876"/>
      <c r="M878" s="876"/>
      <c r="N878" s="876"/>
      <c r="O878" s="876"/>
      <c r="P878" s="876"/>
      <c r="Q878" s="870"/>
      <c r="R878" s="870"/>
      <c r="S878" s="870"/>
      <c r="T878" s="870"/>
      <c r="U878" s="870"/>
      <c r="V878" s="870"/>
      <c r="W878" s="870"/>
      <c r="X878" s="870"/>
      <c r="Y878" s="870"/>
      <c r="Z878" s="870"/>
      <c r="AA878" s="870"/>
      <c r="AB878" s="870"/>
      <c r="AC878" s="870"/>
      <c r="AD878" s="870"/>
      <c r="AE878" s="870"/>
      <c r="AF878" s="870"/>
      <c r="AG878" s="870"/>
    </row>
    <row r="879" spans="1:33" s="995" customFormat="1">
      <c r="A879" s="974"/>
      <c r="D879" s="876"/>
      <c r="E879" s="974"/>
      <c r="F879" s="876"/>
      <c r="G879" s="876"/>
      <c r="H879" s="876"/>
      <c r="I879" s="876"/>
      <c r="J879" s="876"/>
      <c r="K879" s="876"/>
      <c r="L879" s="876"/>
      <c r="M879" s="876"/>
      <c r="N879" s="876"/>
      <c r="O879" s="876"/>
      <c r="P879" s="876"/>
      <c r="Q879" s="870"/>
      <c r="R879" s="870"/>
      <c r="S879" s="870"/>
      <c r="T879" s="870"/>
      <c r="U879" s="870"/>
      <c r="V879" s="870"/>
      <c r="W879" s="870"/>
      <c r="X879" s="870"/>
      <c r="Y879" s="870"/>
      <c r="Z879" s="870"/>
      <c r="AA879" s="870"/>
      <c r="AB879" s="870"/>
      <c r="AC879" s="870"/>
      <c r="AD879" s="870"/>
      <c r="AE879" s="870"/>
      <c r="AF879" s="870"/>
      <c r="AG879" s="870"/>
    </row>
    <row r="880" spans="1:33" s="995" customFormat="1">
      <c r="A880" s="974"/>
      <c r="D880" s="876"/>
      <c r="E880" s="974"/>
      <c r="F880" s="876"/>
      <c r="G880" s="876"/>
      <c r="H880" s="876"/>
      <c r="I880" s="876"/>
      <c r="J880" s="876"/>
      <c r="K880" s="876"/>
      <c r="L880" s="876"/>
      <c r="M880" s="876"/>
      <c r="N880" s="876"/>
      <c r="O880" s="876"/>
      <c r="P880" s="876"/>
      <c r="Q880" s="870"/>
      <c r="R880" s="870"/>
      <c r="S880" s="870"/>
      <c r="T880" s="870"/>
      <c r="U880" s="870"/>
      <c r="V880" s="870"/>
      <c r="W880" s="870"/>
      <c r="X880" s="870"/>
      <c r="Y880" s="870"/>
      <c r="Z880" s="870"/>
      <c r="AA880" s="870"/>
      <c r="AB880" s="870"/>
      <c r="AC880" s="870"/>
      <c r="AD880" s="870"/>
      <c r="AE880" s="870"/>
      <c r="AF880" s="870"/>
      <c r="AG880" s="870"/>
    </row>
    <row r="881" spans="1:33" s="995" customFormat="1">
      <c r="A881" s="974"/>
      <c r="D881" s="876"/>
      <c r="E881" s="974"/>
      <c r="F881" s="876"/>
      <c r="G881" s="876"/>
      <c r="H881" s="876"/>
      <c r="I881" s="876"/>
      <c r="J881" s="876"/>
      <c r="K881" s="876"/>
      <c r="L881" s="876"/>
      <c r="M881" s="876"/>
      <c r="N881" s="876"/>
      <c r="O881" s="876"/>
      <c r="P881" s="876"/>
      <c r="Q881" s="870"/>
      <c r="R881" s="870"/>
      <c r="S881" s="870"/>
      <c r="T881" s="870"/>
      <c r="U881" s="870"/>
      <c r="V881" s="870"/>
      <c r="W881" s="870"/>
      <c r="X881" s="870"/>
      <c r="Y881" s="870"/>
      <c r="Z881" s="870"/>
      <c r="AA881" s="870"/>
      <c r="AB881" s="870"/>
      <c r="AC881" s="870"/>
      <c r="AD881" s="870"/>
      <c r="AE881" s="870"/>
      <c r="AF881" s="870"/>
      <c r="AG881" s="870"/>
    </row>
    <row r="882" spans="1:33" s="995" customFormat="1">
      <c r="A882" s="974"/>
      <c r="D882" s="876"/>
      <c r="E882" s="974"/>
      <c r="F882" s="876"/>
      <c r="G882" s="876"/>
      <c r="H882" s="876"/>
      <c r="I882" s="876"/>
      <c r="J882" s="876"/>
      <c r="K882" s="876"/>
      <c r="L882" s="876"/>
      <c r="M882" s="876"/>
      <c r="N882" s="876"/>
      <c r="O882" s="876"/>
      <c r="P882" s="876"/>
      <c r="Q882" s="870"/>
      <c r="R882" s="870"/>
      <c r="S882" s="870"/>
      <c r="T882" s="870"/>
      <c r="U882" s="870"/>
      <c r="V882" s="870"/>
      <c r="W882" s="870"/>
      <c r="X882" s="870"/>
      <c r="Y882" s="870"/>
      <c r="Z882" s="870"/>
      <c r="AA882" s="870"/>
      <c r="AB882" s="870"/>
      <c r="AC882" s="870"/>
      <c r="AD882" s="870"/>
      <c r="AE882" s="870"/>
      <c r="AF882" s="870"/>
      <c r="AG882" s="870"/>
    </row>
    <row r="883" spans="1:33" s="995" customFormat="1">
      <c r="A883" s="974"/>
      <c r="D883" s="876"/>
      <c r="E883" s="974"/>
      <c r="F883" s="876"/>
      <c r="G883" s="876"/>
      <c r="H883" s="876"/>
      <c r="I883" s="876"/>
      <c r="J883" s="876"/>
      <c r="K883" s="876"/>
      <c r="L883" s="876"/>
      <c r="M883" s="876"/>
      <c r="N883" s="876"/>
      <c r="O883" s="876"/>
      <c r="P883" s="876"/>
      <c r="Q883" s="870"/>
      <c r="R883" s="870"/>
      <c r="S883" s="870"/>
      <c r="T883" s="870"/>
      <c r="U883" s="870"/>
      <c r="V883" s="870"/>
      <c r="W883" s="870"/>
      <c r="X883" s="870"/>
      <c r="Y883" s="870"/>
      <c r="Z883" s="870"/>
      <c r="AA883" s="870"/>
      <c r="AB883" s="870"/>
      <c r="AC883" s="870"/>
      <c r="AD883" s="870"/>
      <c r="AE883" s="870"/>
      <c r="AF883" s="870"/>
      <c r="AG883" s="870"/>
    </row>
    <row r="884" spans="1:33" s="995" customFormat="1">
      <c r="A884" s="974"/>
      <c r="D884" s="876"/>
      <c r="E884" s="974"/>
      <c r="F884" s="876"/>
      <c r="G884" s="876"/>
      <c r="H884" s="876"/>
      <c r="I884" s="876"/>
      <c r="J884" s="876"/>
      <c r="K884" s="876"/>
      <c r="L884" s="876"/>
      <c r="M884" s="876"/>
      <c r="N884" s="876"/>
      <c r="O884" s="876"/>
      <c r="P884" s="876"/>
      <c r="Q884" s="870"/>
      <c r="R884" s="870"/>
      <c r="S884" s="870"/>
      <c r="T884" s="870"/>
      <c r="U884" s="870"/>
      <c r="V884" s="870"/>
      <c r="W884" s="870"/>
      <c r="X884" s="870"/>
      <c r="Y884" s="870"/>
      <c r="Z884" s="870"/>
      <c r="AA884" s="870"/>
      <c r="AB884" s="870"/>
      <c r="AC884" s="870"/>
      <c r="AD884" s="870"/>
      <c r="AE884" s="870"/>
      <c r="AF884" s="870"/>
      <c r="AG884" s="870"/>
    </row>
    <row r="885" spans="1:33" s="995" customFormat="1">
      <c r="A885" s="974"/>
      <c r="D885" s="876"/>
      <c r="E885" s="974"/>
      <c r="F885" s="876"/>
      <c r="G885" s="876"/>
      <c r="H885" s="876"/>
      <c r="I885" s="876"/>
      <c r="J885" s="876"/>
      <c r="K885" s="876"/>
      <c r="L885" s="876"/>
      <c r="M885" s="876"/>
      <c r="N885" s="876"/>
      <c r="O885" s="876"/>
      <c r="P885" s="876"/>
      <c r="Q885" s="870"/>
      <c r="R885" s="870"/>
      <c r="S885" s="870"/>
      <c r="T885" s="870"/>
      <c r="U885" s="870"/>
      <c r="V885" s="870"/>
      <c r="W885" s="870"/>
      <c r="X885" s="870"/>
      <c r="Y885" s="870"/>
      <c r="Z885" s="870"/>
      <c r="AA885" s="870"/>
      <c r="AB885" s="870"/>
      <c r="AC885" s="870"/>
      <c r="AD885" s="870"/>
      <c r="AE885" s="870"/>
      <c r="AF885" s="870"/>
      <c r="AG885" s="870"/>
    </row>
    <row r="886" spans="1:33" s="995" customFormat="1">
      <c r="A886" s="974"/>
      <c r="D886" s="876"/>
      <c r="E886" s="974"/>
      <c r="F886" s="876"/>
      <c r="G886" s="876"/>
      <c r="H886" s="876"/>
      <c r="I886" s="876"/>
      <c r="J886" s="876"/>
      <c r="K886" s="876"/>
      <c r="L886" s="876"/>
      <c r="M886" s="876"/>
      <c r="N886" s="876"/>
      <c r="O886" s="876"/>
      <c r="P886" s="876"/>
      <c r="Q886" s="870"/>
      <c r="R886" s="870"/>
      <c r="S886" s="870"/>
      <c r="T886" s="870"/>
      <c r="U886" s="870"/>
      <c r="V886" s="870"/>
      <c r="W886" s="870"/>
      <c r="X886" s="870"/>
      <c r="Y886" s="870"/>
      <c r="Z886" s="870"/>
      <c r="AA886" s="870"/>
      <c r="AB886" s="870"/>
      <c r="AC886" s="870"/>
      <c r="AD886" s="870"/>
      <c r="AE886" s="870"/>
      <c r="AF886" s="870"/>
      <c r="AG886" s="870"/>
    </row>
    <row r="887" spans="1:33" s="995" customFormat="1">
      <c r="A887" s="974"/>
      <c r="D887" s="876"/>
      <c r="E887" s="974"/>
      <c r="F887" s="876"/>
      <c r="G887" s="876"/>
      <c r="H887" s="876"/>
      <c r="I887" s="876"/>
      <c r="J887" s="876"/>
      <c r="K887" s="876"/>
      <c r="L887" s="876"/>
      <c r="M887" s="876"/>
      <c r="N887" s="876"/>
      <c r="O887" s="876"/>
      <c r="P887" s="876"/>
      <c r="Q887" s="870"/>
      <c r="R887" s="870"/>
      <c r="S887" s="870"/>
      <c r="T887" s="870"/>
      <c r="U887" s="870"/>
      <c r="V887" s="870"/>
      <c r="W887" s="870"/>
      <c r="X887" s="870"/>
      <c r="Y887" s="870"/>
      <c r="Z887" s="870"/>
      <c r="AA887" s="870"/>
      <c r="AB887" s="870"/>
      <c r="AC887" s="870"/>
      <c r="AD887" s="870"/>
      <c r="AE887" s="870"/>
      <c r="AF887" s="870"/>
      <c r="AG887" s="870"/>
    </row>
    <row r="888" spans="1:33" s="995" customFormat="1">
      <c r="A888" s="974"/>
      <c r="D888" s="876"/>
      <c r="E888" s="974"/>
      <c r="F888" s="876"/>
      <c r="G888" s="876"/>
      <c r="H888" s="876"/>
      <c r="I888" s="876"/>
      <c r="J888" s="876"/>
      <c r="K888" s="876"/>
      <c r="L888" s="876"/>
      <c r="M888" s="876"/>
      <c r="N888" s="876"/>
      <c r="O888" s="876"/>
      <c r="P888" s="876"/>
      <c r="Q888" s="870"/>
      <c r="R888" s="870"/>
      <c r="S888" s="870"/>
      <c r="T888" s="870"/>
      <c r="U888" s="870"/>
      <c r="V888" s="870"/>
      <c r="W888" s="870"/>
      <c r="X888" s="870"/>
      <c r="Y888" s="870"/>
      <c r="Z888" s="870"/>
      <c r="AA888" s="870"/>
      <c r="AB888" s="870"/>
      <c r="AC888" s="870"/>
      <c r="AD888" s="870"/>
      <c r="AE888" s="870"/>
      <c r="AF888" s="870"/>
      <c r="AG888" s="870"/>
    </row>
    <row r="889" spans="1:33" s="995" customFormat="1">
      <c r="A889" s="974"/>
      <c r="D889" s="876"/>
      <c r="E889" s="974"/>
      <c r="F889" s="876"/>
      <c r="G889" s="876"/>
      <c r="H889" s="876"/>
      <c r="I889" s="876"/>
      <c r="J889" s="876"/>
      <c r="K889" s="876"/>
      <c r="L889" s="876"/>
      <c r="M889" s="876"/>
      <c r="N889" s="876"/>
      <c r="O889" s="876"/>
      <c r="P889" s="876"/>
      <c r="Q889" s="870"/>
      <c r="R889" s="870"/>
      <c r="S889" s="870"/>
      <c r="T889" s="870"/>
      <c r="U889" s="870"/>
      <c r="V889" s="870"/>
      <c r="W889" s="870"/>
      <c r="X889" s="870"/>
      <c r="Y889" s="870"/>
      <c r="Z889" s="870"/>
      <c r="AA889" s="870"/>
      <c r="AB889" s="870"/>
      <c r="AC889" s="870"/>
      <c r="AD889" s="870"/>
      <c r="AE889" s="870"/>
      <c r="AF889" s="870"/>
      <c r="AG889" s="870"/>
    </row>
    <row r="890" spans="1:33" s="995" customFormat="1">
      <c r="A890" s="974"/>
      <c r="D890" s="876"/>
      <c r="E890" s="974"/>
      <c r="F890" s="876"/>
      <c r="G890" s="876"/>
      <c r="H890" s="876"/>
      <c r="I890" s="876"/>
      <c r="J890" s="876"/>
      <c r="K890" s="876"/>
      <c r="L890" s="876"/>
      <c r="M890" s="876"/>
      <c r="N890" s="876"/>
      <c r="O890" s="876"/>
      <c r="P890" s="876"/>
      <c r="Q890" s="870"/>
      <c r="R890" s="870"/>
      <c r="S890" s="870"/>
      <c r="T890" s="870"/>
      <c r="U890" s="870"/>
      <c r="V890" s="870"/>
      <c r="W890" s="870"/>
      <c r="X890" s="870"/>
      <c r="Y890" s="870"/>
      <c r="Z890" s="870"/>
      <c r="AA890" s="870"/>
      <c r="AB890" s="870"/>
      <c r="AC890" s="870"/>
      <c r="AD890" s="870"/>
      <c r="AE890" s="870"/>
      <c r="AF890" s="870"/>
      <c r="AG890" s="870"/>
    </row>
    <row r="891" spans="1:33" s="995" customFormat="1">
      <c r="A891" s="974"/>
      <c r="D891" s="876"/>
      <c r="E891" s="974"/>
      <c r="F891" s="876"/>
      <c r="G891" s="876"/>
      <c r="H891" s="876"/>
      <c r="I891" s="876"/>
      <c r="J891" s="876"/>
      <c r="K891" s="876"/>
      <c r="L891" s="876"/>
      <c r="M891" s="876"/>
      <c r="N891" s="876"/>
      <c r="O891" s="876"/>
      <c r="P891" s="876"/>
      <c r="Q891" s="870"/>
      <c r="R891" s="870"/>
      <c r="S891" s="870"/>
      <c r="T891" s="870"/>
      <c r="U891" s="870"/>
      <c r="V891" s="870"/>
      <c r="W891" s="870"/>
      <c r="X891" s="870"/>
      <c r="Y891" s="870"/>
      <c r="Z891" s="870"/>
      <c r="AA891" s="870"/>
      <c r="AB891" s="870"/>
      <c r="AC891" s="870"/>
      <c r="AD891" s="870"/>
      <c r="AE891" s="870"/>
      <c r="AF891" s="870"/>
      <c r="AG891" s="870"/>
    </row>
    <row r="892" spans="1:33" s="995" customFormat="1">
      <c r="A892" s="974"/>
      <c r="D892" s="876"/>
      <c r="E892" s="974"/>
      <c r="F892" s="876"/>
      <c r="G892" s="876"/>
      <c r="H892" s="876"/>
      <c r="I892" s="876"/>
      <c r="J892" s="876"/>
      <c r="K892" s="876"/>
      <c r="L892" s="876"/>
      <c r="M892" s="876"/>
      <c r="N892" s="876"/>
      <c r="O892" s="876"/>
      <c r="P892" s="876"/>
      <c r="Q892" s="870"/>
      <c r="R892" s="870"/>
      <c r="S892" s="870"/>
      <c r="T892" s="870"/>
      <c r="U892" s="870"/>
      <c r="V892" s="870"/>
      <c r="W892" s="870"/>
      <c r="X892" s="870"/>
      <c r="Y892" s="870"/>
      <c r="Z892" s="870"/>
      <c r="AA892" s="870"/>
      <c r="AB892" s="870"/>
      <c r="AC892" s="870"/>
      <c r="AD892" s="870"/>
      <c r="AE892" s="870"/>
      <c r="AF892" s="870"/>
      <c r="AG892" s="870"/>
    </row>
    <row r="893" spans="1:33" s="995" customFormat="1">
      <c r="A893" s="974"/>
      <c r="D893" s="876"/>
      <c r="E893" s="974"/>
      <c r="F893" s="876"/>
      <c r="G893" s="876"/>
      <c r="H893" s="876"/>
      <c r="I893" s="876"/>
      <c r="J893" s="876"/>
      <c r="K893" s="876"/>
      <c r="L893" s="876"/>
      <c r="M893" s="876"/>
      <c r="N893" s="876"/>
      <c r="O893" s="876"/>
      <c r="P893" s="876"/>
      <c r="Q893" s="870"/>
      <c r="R893" s="870"/>
      <c r="S893" s="870"/>
      <c r="T893" s="870"/>
      <c r="U893" s="870"/>
      <c r="V893" s="870"/>
      <c r="W893" s="870"/>
      <c r="X893" s="870"/>
      <c r="Y893" s="870"/>
      <c r="Z893" s="870"/>
      <c r="AA893" s="870"/>
      <c r="AB893" s="870"/>
      <c r="AC893" s="870"/>
      <c r="AD893" s="870"/>
      <c r="AE893" s="870"/>
      <c r="AF893" s="870"/>
      <c r="AG893" s="870"/>
    </row>
    <row r="894" spans="1:33" s="995" customFormat="1">
      <c r="A894" s="974"/>
      <c r="D894" s="876"/>
      <c r="E894" s="974"/>
      <c r="F894" s="876"/>
      <c r="G894" s="876"/>
      <c r="H894" s="876"/>
      <c r="I894" s="876"/>
      <c r="J894" s="876"/>
      <c r="K894" s="876"/>
      <c r="L894" s="876"/>
      <c r="M894" s="876"/>
      <c r="N894" s="876"/>
      <c r="O894" s="876"/>
      <c r="P894" s="876"/>
      <c r="Q894" s="870"/>
      <c r="R894" s="870"/>
      <c r="S894" s="870"/>
      <c r="T894" s="870"/>
      <c r="U894" s="870"/>
      <c r="V894" s="870"/>
      <c r="W894" s="870"/>
      <c r="X894" s="870"/>
      <c r="Y894" s="870"/>
      <c r="Z894" s="870"/>
      <c r="AA894" s="870"/>
      <c r="AB894" s="870"/>
      <c r="AC894" s="870"/>
      <c r="AD894" s="870"/>
      <c r="AE894" s="870"/>
      <c r="AF894" s="870"/>
      <c r="AG894" s="870"/>
    </row>
    <row r="895" spans="1:33" s="995" customFormat="1">
      <c r="A895" s="974"/>
      <c r="D895" s="876"/>
      <c r="E895" s="974"/>
      <c r="F895" s="876"/>
      <c r="G895" s="876"/>
      <c r="H895" s="876"/>
      <c r="I895" s="876"/>
      <c r="J895" s="876"/>
      <c r="K895" s="876"/>
      <c r="L895" s="876"/>
      <c r="M895" s="876"/>
      <c r="N895" s="876"/>
      <c r="O895" s="876"/>
      <c r="P895" s="876"/>
      <c r="Q895" s="870"/>
      <c r="R895" s="870"/>
      <c r="S895" s="870"/>
      <c r="T895" s="870"/>
      <c r="U895" s="870"/>
      <c r="V895" s="870"/>
      <c r="W895" s="870"/>
      <c r="X895" s="870"/>
      <c r="Y895" s="870"/>
      <c r="Z895" s="870"/>
      <c r="AA895" s="870"/>
      <c r="AB895" s="870"/>
      <c r="AC895" s="870"/>
      <c r="AD895" s="870"/>
      <c r="AE895" s="870"/>
      <c r="AF895" s="870"/>
      <c r="AG895" s="870"/>
    </row>
    <row r="896" spans="1:33" s="995" customFormat="1">
      <c r="A896" s="974"/>
      <c r="D896" s="876"/>
      <c r="E896" s="974"/>
      <c r="F896" s="876"/>
      <c r="G896" s="876"/>
      <c r="H896" s="876"/>
      <c r="I896" s="876"/>
      <c r="J896" s="876"/>
      <c r="K896" s="876"/>
      <c r="L896" s="876"/>
      <c r="M896" s="876"/>
      <c r="N896" s="876"/>
      <c r="O896" s="876"/>
      <c r="P896" s="876"/>
      <c r="Q896" s="870"/>
      <c r="R896" s="870"/>
      <c r="S896" s="870"/>
      <c r="T896" s="870"/>
      <c r="U896" s="870"/>
      <c r="V896" s="870"/>
      <c r="W896" s="870"/>
      <c r="X896" s="870"/>
      <c r="Y896" s="870"/>
      <c r="Z896" s="870"/>
      <c r="AA896" s="870"/>
      <c r="AB896" s="870"/>
      <c r="AC896" s="870"/>
      <c r="AD896" s="870"/>
      <c r="AE896" s="870"/>
      <c r="AF896" s="870"/>
      <c r="AG896" s="870"/>
    </row>
    <row r="897" spans="1:33" s="995" customFormat="1">
      <c r="A897" s="974"/>
      <c r="D897" s="876"/>
      <c r="E897" s="974"/>
      <c r="F897" s="876"/>
      <c r="G897" s="876"/>
      <c r="H897" s="876"/>
      <c r="I897" s="876"/>
      <c r="J897" s="876"/>
      <c r="K897" s="876"/>
      <c r="L897" s="876"/>
      <c r="M897" s="876"/>
      <c r="N897" s="876"/>
      <c r="O897" s="876"/>
      <c r="P897" s="876"/>
      <c r="Q897" s="870"/>
      <c r="R897" s="870"/>
      <c r="S897" s="870"/>
      <c r="T897" s="870"/>
      <c r="U897" s="870"/>
      <c r="V897" s="870"/>
      <c r="W897" s="870"/>
      <c r="X897" s="870"/>
      <c r="Y897" s="870"/>
      <c r="Z897" s="870"/>
      <c r="AA897" s="870"/>
      <c r="AB897" s="870"/>
      <c r="AC897" s="870"/>
      <c r="AD897" s="870"/>
      <c r="AE897" s="870"/>
      <c r="AF897" s="870"/>
      <c r="AG897" s="870"/>
    </row>
    <row r="898" spans="1:33" s="995" customFormat="1">
      <c r="A898" s="974"/>
      <c r="D898" s="876"/>
      <c r="E898" s="974"/>
      <c r="F898" s="876"/>
      <c r="G898" s="876"/>
      <c r="H898" s="876"/>
      <c r="I898" s="876"/>
      <c r="J898" s="876"/>
      <c r="K898" s="876"/>
      <c r="L898" s="876"/>
      <c r="M898" s="876"/>
      <c r="N898" s="876"/>
      <c r="O898" s="876"/>
      <c r="P898" s="876"/>
      <c r="Q898" s="870"/>
      <c r="R898" s="870"/>
      <c r="S898" s="870"/>
      <c r="T898" s="870"/>
      <c r="U898" s="870"/>
      <c r="V898" s="870"/>
      <c r="W898" s="870"/>
      <c r="X898" s="870"/>
      <c r="Y898" s="870"/>
      <c r="Z898" s="870"/>
      <c r="AA898" s="870"/>
      <c r="AB898" s="870"/>
      <c r="AC898" s="870"/>
      <c r="AD898" s="870"/>
      <c r="AE898" s="870"/>
      <c r="AF898" s="870"/>
      <c r="AG898" s="870"/>
    </row>
    <row r="899" spans="1:33" s="995" customFormat="1">
      <c r="A899" s="974"/>
      <c r="D899" s="876"/>
      <c r="E899" s="974"/>
      <c r="F899" s="876"/>
      <c r="G899" s="876"/>
      <c r="H899" s="876"/>
      <c r="I899" s="876"/>
      <c r="J899" s="876"/>
      <c r="K899" s="876"/>
      <c r="L899" s="876"/>
      <c r="M899" s="876"/>
      <c r="N899" s="876"/>
      <c r="O899" s="876"/>
      <c r="P899" s="876"/>
      <c r="Q899" s="870"/>
      <c r="R899" s="870"/>
      <c r="S899" s="870"/>
      <c r="T899" s="870"/>
      <c r="U899" s="870"/>
      <c r="V899" s="870"/>
      <c r="W899" s="870"/>
      <c r="X899" s="870"/>
      <c r="Y899" s="870"/>
      <c r="Z899" s="870"/>
      <c r="AA899" s="870"/>
      <c r="AB899" s="870"/>
      <c r="AC899" s="870"/>
      <c r="AD899" s="870"/>
      <c r="AE899" s="870"/>
      <c r="AF899" s="870"/>
      <c r="AG899" s="870"/>
    </row>
    <row r="900" spans="1:33" s="995" customFormat="1">
      <c r="A900" s="974"/>
      <c r="D900" s="876"/>
      <c r="E900" s="974"/>
      <c r="F900" s="876"/>
      <c r="G900" s="876"/>
      <c r="H900" s="876"/>
      <c r="I900" s="876"/>
      <c r="J900" s="876"/>
      <c r="K900" s="876"/>
      <c r="L900" s="876"/>
      <c r="M900" s="876"/>
      <c r="N900" s="876"/>
      <c r="O900" s="876"/>
      <c r="P900" s="876"/>
      <c r="Q900" s="870"/>
      <c r="R900" s="870"/>
      <c r="S900" s="870"/>
      <c r="T900" s="870"/>
      <c r="U900" s="870"/>
      <c r="V900" s="870"/>
      <c r="W900" s="870"/>
      <c r="X900" s="870"/>
      <c r="Y900" s="870"/>
      <c r="Z900" s="870"/>
      <c r="AA900" s="870"/>
      <c r="AB900" s="870"/>
      <c r="AC900" s="870"/>
      <c r="AD900" s="870"/>
      <c r="AE900" s="870"/>
      <c r="AF900" s="870"/>
      <c r="AG900" s="870"/>
    </row>
    <row r="901" spans="1:33" s="995" customFormat="1">
      <c r="A901" s="974"/>
      <c r="D901" s="876"/>
      <c r="E901" s="974"/>
      <c r="F901" s="876"/>
      <c r="G901" s="876"/>
      <c r="H901" s="876"/>
      <c r="I901" s="876"/>
      <c r="J901" s="876"/>
      <c r="K901" s="876"/>
      <c r="L901" s="876"/>
      <c r="M901" s="876"/>
      <c r="N901" s="876"/>
      <c r="O901" s="876"/>
      <c r="P901" s="876"/>
      <c r="Q901" s="870"/>
      <c r="R901" s="870"/>
      <c r="S901" s="870"/>
      <c r="T901" s="870"/>
      <c r="U901" s="870"/>
      <c r="V901" s="870"/>
      <c r="W901" s="870"/>
      <c r="X901" s="870"/>
      <c r="Y901" s="870"/>
      <c r="Z901" s="870"/>
      <c r="AA901" s="870"/>
      <c r="AB901" s="870"/>
      <c r="AC901" s="870"/>
      <c r="AD901" s="870"/>
      <c r="AE901" s="870"/>
      <c r="AF901" s="870"/>
      <c r="AG901" s="870"/>
    </row>
    <row r="902" spans="1:33" s="995" customFormat="1">
      <c r="A902" s="974"/>
      <c r="D902" s="876"/>
      <c r="E902" s="974"/>
      <c r="F902" s="876"/>
      <c r="G902" s="876"/>
      <c r="H902" s="876"/>
      <c r="I902" s="876"/>
      <c r="J902" s="876"/>
      <c r="K902" s="876"/>
      <c r="L902" s="876"/>
      <c r="M902" s="876"/>
      <c r="N902" s="876"/>
      <c r="O902" s="876"/>
      <c r="P902" s="876"/>
      <c r="Q902" s="870"/>
      <c r="R902" s="870"/>
      <c r="S902" s="870"/>
      <c r="T902" s="870"/>
      <c r="U902" s="870"/>
      <c r="V902" s="870"/>
      <c r="W902" s="870"/>
      <c r="X902" s="870"/>
      <c r="Y902" s="870"/>
      <c r="Z902" s="870"/>
      <c r="AA902" s="870"/>
      <c r="AB902" s="870"/>
      <c r="AC902" s="870"/>
      <c r="AD902" s="870"/>
      <c r="AE902" s="870"/>
      <c r="AF902" s="870"/>
      <c r="AG902" s="870"/>
    </row>
    <row r="903" spans="1:33" s="995" customFormat="1">
      <c r="A903" s="974"/>
      <c r="D903" s="876"/>
      <c r="E903" s="974"/>
      <c r="F903" s="876"/>
      <c r="G903" s="876"/>
      <c r="H903" s="876"/>
      <c r="I903" s="876"/>
      <c r="J903" s="876"/>
      <c r="K903" s="876"/>
      <c r="L903" s="876"/>
      <c r="M903" s="876"/>
      <c r="N903" s="876"/>
      <c r="O903" s="876"/>
      <c r="P903" s="876"/>
      <c r="Q903" s="870"/>
      <c r="R903" s="870"/>
      <c r="S903" s="870"/>
      <c r="T903" s="870"/>
      <c r="U903" s="870"/>
      <c r="V903" s="870"/>
      <c r="W903" s="870"/>
      <c r="X903" s="870"/>
      <c r="Y903" s="870"/>
      <c r="Z903" s="870"/>
      <c r="AA903" s="870"/>
      <c r="AB903" s="870"/>
      <c r="AC903" s="870"/>
      <c r="AD903" s="870"/>
      <c r="AE903" s="870"/>
      <c r="AF903" s="870"/>
      <c r="AG903" s="870"/>
    </row>
    <row r="904" spans="1:33" s="995" customFormat="1">
      <c r="A904" s="974"/>
      <c r="D904" s="876"/>
      <c r="E904" s="974"/>
      <c r="F904" s="876"/>
      <c r="G904" s="876"/>
      <c r="H904" s="876"/>
      <c r="I904" s="876"/>
      <c r="J904" s="876"/>
      <c r="K904" s="876"/>
      <c r="L904" s="876"/>
      <c r="M904" s="876"/>
      <c r="N904" s="876"/>
      <c r="O904" s="876"/>
      <c r="P904" s="876"/>
      <c r="Q904" s="870"/>
      <c r="R904" s="870"/>
      <c r="S904" s="870"/>
      <c r="T904" s="870"/>
      <c r="U904" s="870"/>
      <c r="V904" s="870"/>
      <c r="W904" s="870"/>
      <c r="X904" s="870"/>
      <c r="Y904" s="870"/>
      <c r="Z904" s="870"/>
      <c r="AA904" s="870"/>
      <c r="AB904" s="870"/>
      <c r="AC904" s="870"/>
      <c r="AD904" s="870"/>
      <c r="AE904" s="870"/>
      <c r="AF904" s="870"/>
      <c r="AG904" s="870"/>
    </row>
    <row r="905" spans="1:33" s="995" customFormat="1">
      <c r="A905" s="974"/>
      <c r="D905" s="876"/>
      <c r="E905" s="974"/>
      <c r="F905" s="876"/>
      <c r="G905" s="876"/>
      <c r="H905" s="876"/>
      <c r="I905" s="876"/>
      <c r="J905" s="876"/>
      <c r="K905" s="876"/>
      <c r="L905" s="876"/>
      <c r="M905" s="876"/>
      <c r="N905" s="876"/>
      <c r="O905" s="876"/>
      <c r="P905" s="876"/>
      <c r="Q905" s="870"/>
      <c r="R905" s="870"/>
      <c r="S905" s="870"/>
      <c r="T905" s="870"/>
      <c r="U905" s="870"/>
      <c r="V905" s="870"/>
      <c r="W905" s="870"/>
      <c r="X905" s="870"/>
      <c r="Y905" s="870"/>
      <c r="Z905" s="870"/>
      <c r="AA905" s="870"/>
      <c r="AB905" s="870"/>
      <c r="AC905" s="870"/>
      <c r="AD905" s="870"/>
      <c r="AE905" s="870"/>
      <c r="AF905" s="870"/>
      <c r="AG905" s="870"/>
    </row>
    <row r="906" spans="1:33" s="995" customFormat="1">
      <c r="A906" s="974"/>
      <c r="D906" s="876"/>
      <c r="E906" s="974"/>
      <c r="F906" s="876"/>
      <c r="G906" s="876"/>
      <c r="H906" s="876"/>
      <c r="I906" s="876"/>
      <c r="J906" s="876"/>
      <c r="K906" s="876"/>
      <c r="L906" s="876"/>
      <c r="M906" s="876"/>
      <c r="N906" s="876"/>
      <c r="O906" s="876"/>
      <c r="P906" s="876"/>
      <c r="Q906" s="870"/>
      <c r="R906" s="870"/>
      <c r="S906" s="870"/>
      <c r="T906" s="870"/>
      <c r="U906" s="870"/>
      <c r="V906" s="870"/>
      <c r="W906" s="870"/>
      <c r="X906" s="870"/>
      <c r="Y906" s="870"/>
      <c r="Z906" s="870"/>
      <c r="AA906" s="870"/>
      <c r="AB906" s="870"/>
      <c r="AC906" s="870"/>
      <c r="AD906" s="870"/>
      <c r="AE906" s="870"/>
      <c r="AF906" s="870"/>
      <c r="AG906" s="870"/>
    </row>
    <row r="907" spans="1:33" s="995" customFormat="1">
      <c r="A907" s="974"/>
      <c r="D907" s="876"/>
      <c r="E907" s="974"/>
      <c r="F907" s="876"/>
      <c r="G907" s="876"/>
      <c r="H907" s="876"/>
      <c r="I907" s="876"/>
      <c r="J907" s="876"/>
      <c r="K907" s="876"/>
      <c r="L907" s="876"/>
      <c r="M907" s="876"/>
      <c r="N907" s="876"/>
      <c r="O907" s="876"/>
      <c r="P907" s="876"/>
      <c r="Q907" s="870"/>
      <c r="R907" s="870"/>
      <c r="S907" s="870"/>
      <c r="T907" s="870"/>
      <c r="U907" s="870"/>
      <c r="V907" s="870"/>
      <c r="W907" s="870"/>
      <c r="X907" s="870"/>
      <c r="Y907" s="870"/>
      <c r="Z907" s="870"/>
      <c r="AA907" s="870"/>
      <c r="AB907" s="870"/>
      <c r="AC907" s="870"/>
      <c r="AD907" s="870"/>
      <c r="AE907" s="870"/>
      <c r="AF907" s="870"/>
      <c r="AG907" s="870"/>
    </row>
    <row r="908" spans="1:33" s="995" customFormat="1">
      <c r="A908" s="974"/>
      <c r="D908" s="876"/>
      <c r="E908" s="974"/>
      <c r="F908" s="876"/>
      <c r="G908" s="876"/>
      <c r="H908" s="876"/>
      <c r="I908" s="876"/>
      <c r="J908" s="876"/>
      <c r="K908" s="876"/>
      <c r="L908" s="876"/>
      <c r="M908" s="876"/>
      <c r="N908" s="876"/>
      <c r="O908" s="876"/>
      <c r="P908" s="876"/>
      <c r="Q908" s="870"/>
      <c r="R908" s="870"/>
      <c r="S908" s="870"/>
      <c r="T908" s="870"/>
      <c r="U908" s="870"/>
      <c r="V908" s="870"/>
      <c r="W908" s="870"/>
      <c r="X908" s="870"/>
      <c r="Y908" s="870"/>
      <c r="Z908" s="870"/>
      <c r="AA908" s="870"/>
      <c r="AB908" s="870"/>
      <c r="AC908" s="870"/>
      <c r="AD908" s="870"/>
      <c r="AE908" s="870"/>
      <c r="AF908" s="870"/>
      <c r="AG908" s="870"/>
    </row>
    <row r="909" spans="1:33" s="995" customFormat="1">
      <c r="A909" s="974"/>
      <c r="D909" s="876"/>
      <c r="E909" s="974"/>
      <c r="F909" s="876"/>
      <c r="G909" s="876"/>
      <c r="H909" s="876"/>
      <c r="I909" s="876"/>
      <c r="J909" s="876"/>
      <c r="K909" s="876"/>
      <c r="L909" s="876"/>
      <c r="M909" s="876"/>
      <c r="N909" s="876"/>
      <c r="O909" s="876"/>
      <c r="P909" s="876"/>
      <c r="Q909" s="870"/>
      <c r="R909" s="870"/>
      <c r="S909" s="870"/>
      <c r="T909" s="870"/>
      <c r="U909" s="870"/>
      <c r="V909" s="870"/>
      <c r="W909" s="870"/>
      <c r="X909" s="870"/>
      <c r="Y909" s="870"/>
      <c r="Z909" s="870"/>
      <c r="AA909" s="870"/>
      <c r="AB909" s="870"/>
      <c r="AC909" s="870"/>
      <c r="AD909" s="870"/>
      <c r="AE909" s="870"/>
      <c r="AF909" s="870"/>
      <c r="AG909" s="870"/>
    </row>
    <row r="910" spans="1:33" s="995" customFormat="1">
      <c r="A910" s="974"/>
      <c r="D910" s="876"/>
      <c r="E910" s="974"/>
      <c r="F910" s="876"/>
      <c r="G910" s="876"/>
      <c r="H910" s="876"/>
      <c r="I910" s="876"/>
      <c r="J910" s="876"/>
      <c r="K910" s="876"/>
      <c r="L910" s="876"/>
      <c r="M910" s="876"/>
      <c r="N910" s="876"/>
      <c r="O910" s="876"/>
      <c r="P910" s="876"/>
      <c r="Q910" s="870"/>
      <c r="R910" s="870"/>
      <c r="S910" s="870"/>
      <c r="T910" s="870"/>
      <c r="U910" s="870"/>
      <c r="V910" s="870"/>
      <c r="W910" s="870"/>
      <c r="X910" s="870"/>
      <c r="Y910" s="870"/>
      <c r="Z910" s="870"/>
      <c r="AA910" s="870"/>
      <c r="AB910" s="870"/>
      <c r="AC910" s="870"/>
      <c r="AD910" s="870"/>
      <c r="AE910" s="870"/>
      <c r="AF910" s="870"/>
      <c r="AG910" s="870"/>
    </row>
    <row r="911" spans="1:33" s="995" customFormat="1">
      <c r="A911" s="974"/>
      <c r="D911" s="876"/>
      <c r="E911" s="974"/>
      <c r="F911" s="876"/>
      <c r="G911" s="876"/>
      <c r="H911" s="876"/>
      <c r="I911" s="876"/>
      <c r="J911" s="876"/>
      <c r="K911" s="876"/>
      <c r="L911" s="876"/>
      <c r="M911" s="876"/>
      <c r="N911" s="876"/>
      <c r="O911" s="876"/>
      <c r="P911" s="876"/>
      <c r="Q911" s="870"/>
      <c r="R911" s="870"/>
      <c r="S911" s="870"/>
      <c r="T911" s="870"/>
      <c r="U911" s="870"/>
      <c r="V911" s="870"/>
      <c r="W911" s="870"/>
      <c r="X911" s="870"/>
      <c r="Y911" s="870"/>
      <c r="Z911" s="870"/>
      <c r="AA911" s="870"/>
      <c r="AB911" s="870"/>
      <c r="AC911" s="870"/>
      <c r="AD911" s="870"/>
      <c r="AE911" s="870"/>
      <c r="AF911" s="870"/>
      <c r="AG911" s="870"/>
    </row>
    <row r="912" spans="1:33" s="995" customFormat="1">
      <c r="A912" s="974"/>
      <c r="D912" s="876"/>
      <c r="E912" s="974"/>
      <c r="F912" s="876"/>
      <c r="G912" s="876"/>
      <c r="H912" s="876"/>
      <c r="I912" s="876"/>
      <c r="J912" s="876"/>
      <c r="K912" s="876"/>
      <c r="L912" s="876"/>
      <c r="M912" s="876"/>
      <c r="N912" s="876"/>
      <c r="O912" s="876"/>
      <c r="P912" s="876"/>
      <c r="Q912" s="870"/>
      <c r="R912" s="870"/>
      <c r="S912" s="870"/>
      <c r="T912" s="870"/>
      <c r="U912" s="870"/>
      <c r="V912" s="870"/>
      <c r="W912" s="870"/>
      <c r="X912" s="870"/>
      <c r="Y912" s="870"/>
      <c r="Z912" s="870"/>
      <c r="AA912" s="870"/>
      <c r="AB912" s="870"/>
      <c r="AC912" s="870"/>
      <c r="AD912" s="870"/>
      <c r="AE912" s="870"/>
      <c r="AF912" s="870"/>
      <c r="AG912" s="870"/>
    </row>
    <row r="913" spans="1:33" s="995" customFormat="1">
      <c r="A913" s="974"/>
      <c r="D913" s="876"/>
      <c r="E913" s="974"/>
      <c r="F913" s="876"/>
      <c r="G913" s="876"/>
      <c r="H913" s="876"/>
      <c r="I913" s="876"/>
      <c r="J913" s="876"/>
      <c r="K913" s="876"/>
      <c r="L913" s="876"/>
      <c r="M913" s="876"/>
      <c r="N913" s="876"/>
      <c r="O913" s="876"/>
      <c r="P913" s="876"/>
      <c r="Q913" s="870"/>
      <c r="R913" s="870"/>
      <c r="S913" s="870"/>
      <c r="T913" s="870"/>
      <c r="U913" s="870"/>
      <c r="V913" s="870"/>
      <c r="W913" s="870"/>
      <c r="X913" s="870"/>
      <c r="Y913" s="870"/>
      <c r="Z913" s="870"/>
      <c r="AA913" s="870"/>
      <c r="AB913" s="870"/>
      <c r="AC913" s="870"/>
      <c r="AD913" s="870"/>
      <c r="AE913" s="870"/>
      <c r="AF913" s="870"/>
      <c r="AG913" s="870"/>
    </row>
    <row r="914" spans="1:33" s="995" customFormat="1">
      <c r="A914" s="974"/>
      <c r="D914" s="876"/>
      <c r="E914" s="974"/>
      <c r="F914" s="876"/>
      <c r="G914" s="876"/>
      <c r="H914" s="876"/>
      <c r="I914" s="876"/>
      <c r="J914" s="876"/>
      <c r="K914" s="876"/>
      <c r="L914" s="876"/>
      <c r="M914" s="876"/>
      <c r="N914" s="876"/>
      <c r="O914" s="876"/>
      <c r="P914" s="876"/>
      <c r="Q914" s="870"/>
      <c r="R914" s="870"/>
      <c r="S914" s="870"/>
      <c r="T914" s="870"/>
      <c r="U914" s="870"/>
      <c r="V914" s="870"/>
      <c r="W914" s="870"/>
      <c r="X914" s="870"/>
      <c r="Y914" s="870"/>
      <c r="Z914" s="870"/>
      <c r="AA914" s="870"/>
      <c r="AB914" s="870"/>
      <c r="AC914" s="870"/>
      <c r="AD914" s="870"/>
      <c r="AE914" s="870"/>
      <c r="AF914" s="870"/>
      <c r="AG914" s="870"/>
    </row>
    <row r="915" spans="1:33" s="995" customFormat="1">
      <c r="A915" s="974"/>
      <c r="D915" s="876"/>
      <c r="E915" s="974"/>
      <c r="F915" s="876"/>
      <c r="G915" s="876"/>
      <c r="H915" s="876"/>
      <c r="I915" s="876"/>
      <c r="J915" s="876"/>
      <c r="K915" s="876"/>
      <c r="L915" s="876"/>
      <c r="M915" s="876"/>
      <c r="N915" s="876"/>
      <c r="O915" s="876"/>
      <c r="P915" s="876"/>
      <c r="Q915" s="870"/>
      <c r="R915" s="870"/>
      <c r="S915" s="870"/>
      <c r="T915" s="870"/>
      <c r="U915" s="870"/>
      <c r="V915" s="870"/>
      <c r="W915" s="870"/>
      <c r="X915" s="870"/>
      <c r="Y915" s="870"/>
      <c r="Z915" s="870"/>
      <c r="AA915" s="870"/>
      <c r="AB915" s="870"/>
      <c r="AC915" s="870"/>
      <c r="AD915" s="870"/>
      <c r="AE915" s="870"/>
      <c r="AF915" s="870"/>
      <c r="AG915" s="870"/>
    </row>
    <row r="916" spans="1:33" s="995" customFormat="1">
      <c r="A916" s="974"/>
      <c r="D916" s="876"/>
      <c r="E916" s="974"/>
      <c r="F916" s="876"/>
      <c r="G916" s="876"/>
      <c r="H916" s="876"/>
      <c r="I916" s="876"/>
      <c r="J916" s="876"/>
      <c r="K916" s="876"/>
      <c r="L916" s="876"/>
      <c r="M916" s="876"/>
      <c r="N916" s="876"/>
      <c r="O916" s="876"/>
      <c r="P916" s="876"/>
      <c r="Q916" s="870"/>
      <c r="R916" s="870"/>
      <c r="S916" s="870"/>
      <c r="T916" s="870"/>
      <c r="U916" s="870"/>
      <c r="V916" s="870"/>
      <c r="W916" s="870"/>
      <c r="X916" s="870"/>
      <c r="Y916" s="870"/>
      <c r="Z916" s="870"/>
      <c r="AA916" s="870"/>
      <c r="AB916" s="870"/>
      <c r="AC916" s="870"/>
      <c r="AD916" s="870"/>
      <c r="AE916" s="870"/>
      <c r="AF916" s="870"/>
      <c r="AG916" s="870"/>
    </row>
    <row r="917" spans="1:33" s="995" customFormat="1">
      <c r="A917" s="974"/>
      <c r="D917" s="876"/>
      <c r="E917" s="974"/>
      <c r="F917" s="876"/>
      <c r="G917" s="876"/>
      <c r="H917" s="876"/>
      <c r="I917" s="876"/>
      <c r="J917" s="876"/>
      <c r="K917" s="876"/>
      <c r="L917" s="876"/>
      <c r="M917" s="876"/>
      <c r="N917" s="876"/>
      <c r="O917" s="876"/>
      <c r="P917" s="876"/>
      <c r="Q917" s="870"/>
      <c r="R917" s="870"/>
      <c r="S917" s="870"/>
      <c r="T917" s="870"/>
      <c r="U917" s="870"/>
      <c r="V917" s="870"/>
      <c r="W917" s="870"/>
      <c r="X917" s="870"/>
      <c r="Y917" s="870"/>
      <c r="Z917" s="870"/>
      <c r="AA917" s="870"/>
      <c r="AB917" s="870"/>
      <c r="AC917" s="870"/>
      <c r="AD917" s="870"/>
      <c r="AE917" s="870"/>
      <c r="AF917" s="870"/>
      <c r="AG917" s="870"/>
    </row>
    <row r="918" spans="1:33" s="995" customFormat="1">
      <c r="A918" s="974"/>
      <c r="D918" s="876"/>
      <c r="E918" s="974"/>
      <c r="F918" s="876"/>
      <c r="G918" s="876"/>
      <c r="H918" s="876"/>
      <c r="I918" s="876"/>
      <c r="J918" s="876"/>
      <c r="K918" s="876"/>
      <c r="L918" s="876"/>
      <c r="M918" s="876"/>
      <c r="N918" s="876"/>
      <c r="O918" s="876"/>
      <c r="P918" s="876"/>
      <c r="Q918" s="870"/>
      <c r="R918" s="870"/>
      <c r="S918" s="870"/>
      <c r="T918" s="870"/>
      <c r="U918" s="870"/>
      <c r="V918" s="870"/>
      <c r="W918" s="870"/>
      <c r="X918" s="870"/>
      <c r="Y918" s="870"/>
      <c r="Z918" s="870"/>
      <c r="AA918" s="870"/>
      <c r="AB918" s="870"/>
      <c r="AC918" s="870"/>
      <c r="AD918" s="870"/>
      <c r="AE918" s="870"/>
      <c r="AF918" s="870"/>
      <c r="AG918" s="870"/>
    </row>
    <row r="919" spans="1:33" s="995" customFormat="1">
      <c r="A919" s="974"/>
      <c r="D919" s="876"/>
      <c r="E919" s="974"/>
      <c r="F919" s="876"/>
      <c r="G919" s="876"/>
      <c r="H919" s="876"/>
      <c r="I919" s="876"/>
      <c r="J919" s="876"/>
      <c r="K919" s="876"/>
      <c r="L919" s="876"/>
      <c r="M919" s="876"/>
      <c r="N919" s="876"/>
      <c r="O919" s="876"/>
      <c r="P919" s="876"/>
      <c r="Q919" s="870"/>
      <c r="R919" s="870"/>
      <c r="S919" s="870"/>
      <c r="T919" s="870"/>
      <c r="U919" s="870"/>
      <c r="V919" s="870"/>
      <c r="W919" s="870"/>
      <c r="X919" s="870"/>
      <c r="Y919" s="870"/>
      <c r="Z919" s="870"/>
      <c r="AA919" s="870"/>
      <c r="AB919" s="870"/>
      <c r="AC919" s="870"/>
      <c r="AD919" s="870"/>
      <c r="AE919" s="870"/>
      <c r="AF919" s="870"/>
      <c r="AG919" s="870"/>
    </row>
    <row r="920" spans="1:33" s="995" customFormat="1">
      <c r="A920" s="974"/>
      <c r="D920" s="876"/>
      <c r="E920" s="974"/>
      <c r="F920" s="876"/>
      <c r="G920" s="876"/>
      <c r="H920" s="876"/>
      <c r="I920" s="876"/>
      <c r="J920" s="876"/>
      <c r="K920" s="876"/>
      <c r="L920" s="876"/>
      <c r="M920" s="876"/>
      <c r="N920" s="876"/>
      <c r="O920" s="876"/>
      <c r="P920" s="876"/>
      <c r="Q920" s="870"/>
      <c r="R920" s="870"/>
      <c r="S920" s="870"/>
      <c r="T920" s="870"/>
      <c r="U920" s="870"/>
      <c r="V920" s="870"/>
      <c r="W920" s="870"/>
      <c r="X920" s="870"/>
      <c r="Y920" s="870"/>
      <c r="Z920" s="870"/>
      <c r="AA920" s="870"/>
      <c r="AB920" s="870"/>
      <c r="AC920" s="870"/>
      <c r="AD920" s="870"/>
      <c r="AE920" s="870"/>
      <c r="AF920" s="870"/>
      <c r="AG920" s="870"/>
    </row>
    <row r="921" spans="1:33" s="995" customFormat="1">
      <c r="A921" s="974"/>
      <c r="D921" s="876"/>
      <c r="E921" s="974"/>
      <c r="F921" s="876"/>
      <c r="G921" s="876"/>
      <c r="H921" s="876"/>
      <c r="I921" s="876"/>
      <c r="J921" s="876"/>
      <c r="K921" s="876"/>
      <c r="L921" s="876"/>
      <c r="M921" s="876"/>
      <c r="N921" s="876"/>
      <c r="O921" s="876"/>
      <c r="P921" s="876"/>
      <c r="Q921" s="870"/>
      <c r="R921" s="870"/>
      <c r="S921" s="870"/>
      <c r="T921" s="870"/>
      <c r="U921" s="870"/>
      <c r="V921" s="870"/>
      <c r="W921" s="870"/>
      <c r="X921" s="870"/>
      <c r="Y921" s="870"/>
      <c r="Z921" s="870"/>
      <c r="AA921" s="870"/>
      <c r="AB921" s="870"/>
      <c r="AC921" s="870"/>
      <c r="AD921" s="870"/>
      <c r="AE921" s="870"/>
      <c r="AF921" s="870"/>
      <c r="AG921" s="870"/>
    </row>
    <row r="922" spans="1:33" s="995" customFormat="1">
      <c r="A922" s="974"/>
      <c r="D922" s="876"/>
      <c r="E922" s="974"/>
      <c r="F922" s="876"/>
      <c r="G922" s="876"/>
      <c r="H922" s="876"/>
      <c r="I922" s="876"/>
      <c r="J922" s="876"/>
      <c r="K922" s="876"/>
      <c r="L922" s="876"/>
      <c r="M922" s="876"/>
      <c r="N922" s="876"/>
      <c r="O922" s="876"/>
      <c r="P922" s="876"/>
      <c r="Q922" s="870"/>
      <c r="R922" s="870"/>
      <c r="S922" s="870"/>
      <c r="T922" s="870"/>
      <c r="U922" s="870"/>
      <c r="V922" s="870"/>
      <c r="W922" s="870"/>
      <c r="X922" s="870"/>
      <c r="Y922" s="870"/>
      <c r="Z922" s="870"/>
      <c r="AA922" s="870"/>
      <c r="AB922" s="870"/>
      <c r="AC922" s="870"/>
      <c r="AD922" s="870"/>
      <c r="AE922" s="870"/>
      <c r="AF922" s="870"/>
      <c r="AG922" s="870"/>
    </row>
    <row r="923" spans="1:33" s="995" customFormat="1">
      <c r="A923" s="974"/>
      <c r="D923" s="876"/>
      <c r="E923" s="974"/>
      <c r="F923" s="876"/>
      <c r="G923" s="876"/>
      <c r="H923" s="876"/>
      <c r="I923" s="876"/>
      <c r="J923" s="876"/>
      <c r="K923" s="876"/>
      <c r="L923" s="876"/>
      <c r="M923" s="876"/>
      <c r="N923" s="876"/>
      <c r="O923" s="876"/>
      <c r="P923" s="876"/>
      <c r="Q923" s="870"/>
      <c r="R923" s="870"/>
      <c r="S923" s="870"/>
      <c r="T923" s="870"/>
      <c r="U923" s="870"/>
      <c r="V923" s="870"/>
      <c r="W923" s="870"/>
      <c r="X923" s="870"/>
      <c r="Y923" s="870"/>
      <c r="Z923" s="870"/>
      <c r="AA923" s="870"/>
      <c r="AB923" s="870"/>
      <c r="AC923" s="870"/>
      <c r="AD923" s="870"/>
      <c r="AE923" s="870"/>
      <c r="AF923" s="870"/>
      <c r="AG923" s="870"/>
    </row>
    <row r="924" spans="1:33" s="995" customFormat="1">
      <c r="A924" s="974"/>
      <c r="D924" s="876"/>
      <c r="E924" s="974"/>
      <c r="F924" s="876"/>
      <c r="G924" s="876"/>
      <c r="H924" s="876"/>
      <c r="I924" s="876"/>
      <c r="J924" s="876"/>
      <c r="K924" s="876"/>
      <c r="L924" s="876"/>
      <c r="M924" s="876"/>
      <c r="N924" s="876"/>
      <c r="O924" s="876"/>
      <c r="P924" s="876"/>
      <c r="Q924" s="870"/>
      <c r="R924" s="870"/>
      <c r="S924" s="870"/>
      <c r="T924" s="870"/>
      <c r="U924" s="870"/>
      <c r="V924" s="870"/>
      <c r="W924" s="870"/>
      <c r="X924" s="870"/>
      <c r="Y924" s="870"/>
      <c r="Z924" s="870"/>
      <c r="AA924" s="870"/>
      <c r="AB924" s="870"/>
      <c r="AC924" s="870"/>
      <c r="AD924" s="870"/>
      <c r="AE924" s="870"/>
      <c r="AF924" s="870"/>
      <c r="AG924" s="870"/>
    </row>
    <row r="925" spans="1:33" s="995" customFormat="1">
      <c r="A925" s="974"/>
      <c r="D925" s="876"/>
      <c r="E925" s="974"/>
      <c r="F925" s="876"/>
      <c r="G925" s="876"/>
      <c r="H925" s="876"/>
      <c r="I925" s="876"/>
      <c r="J925" s="876"/>
      <c r="K925" s="876"/>
      <c r="L925" s="876"/>
      <c r="M925" s="876"/>
      <c r="N925" s="876"/>
      <c r="O925" s="876"/>
      <c r="P925" s="876"/>
      <c r="Q925" s="870"/>
      <c r="R925" s="870"/>
      <c r="S925" s="870"/>
      <c r="T925" s="870"/>
      <c r="U925" s="870"/>
      <c r="V925" s="870"/>
      <c r="W925" s="870"/>
      <c r="X925" s="870"/>
      <c r="Y925" s="870"/>
      <c r="Z925" s="870"/>
      <c r="AA925" s="870"/>
      <c r="AB925" s="870"/>
      <c r="AC925" s="870"/>
      <c r="AD925" s="870"/>
      <c r="AE925" s="870"/>
      <c r="AF925" s="870"/>
      <c r="AG925" s="870"/>
    </row>
    <row r="926" spans="1:33" s="995" customFormat="1">
      <c r="A926" s="974"/>
      <c r="D926" s="876"/>
      <c r="E926" s="974"/>
      <c r="F926" s="876"/>
      <c r="G926" s="876"/>
      <c r="H926" s="876"/>
      <c r="I926" s="876"/>
      <c r="J926" s="876"/>
      <c r="K926" s="876"/>
      <c r="L926" s="876"/>
      <c r="M926" s="876"/>
      <c r="N926" s="876"/>
      <c r="O926" s="876"/>
      <c r="P926" s="876"/>
      <c r="Q926" s="870"/>
      <c r="R926" s="870"/>
      <c r="S926" s="870"/>
      <c r="T926" s="870"/>
      <c r="U926" s="870"/>
      <c r="V926" s="870"/>
      <c r="W926" s="870"/>
      <c r="X926" s="870"/>
      <c r="Y926" s="870"/>
      <c r="Z926" s="870"/>
      <c r="AA926" s="870"/>
      <c r="AB926" s="870"/>
      <c r="AC926" s="870"/>
      <c r="AD926" s="870"/>
      <c r="AE926" s="870"/>
      <c r="AF926" s="870"/>
      <c r="AG926" s="870"/>
    </row>
    <row r="927" spans="1:33" s="995" customFormat="1">
      <c r="A927" s="974"/>
      <c r="D927" s="876"/>
      <c r="E927" s="974"/>
      <c r="F927" s="876"/>
      <c r="G927" s="876"/>
      <c r="H927" s="876"/>
      <c r="I927" s="876"/>
      <c r="J927" s="876"/>
      <c r="K927" s="876"/>
      <c r="L927" s="876"/>
      <c r="M927" s="876"/>
      <c r="N927" s="876"/>
      <c r="O927" s="876"/>
      <c r="P927" s="876"/>
      <c r="Q927" s="870"/>
      <c r="R927" s="870"/>
      <c r="S927" s="870"/>
      <c r="T927" s="870"/>
      <c r="U927" s="870"/>
      <c r="V927" s="870"/>
      <c r="W927" s="870"/>
      <c r="X927" s="870"/>
      <c r="Y927" s="870"/>
      <c r="Z927" s="870"/>
      <c r="AA927" s="870"/>
      <c r="AB927" s="870"/>
      <c r="AC927" s="870"/>
      <c r="AD927" s="870"/>
      <c r="AE927" s="870"/>
      <c r="AF927" s="870"/>
      <c r="AG927" s="870"/>
    </row>
    <row r="928" spans="1:33" s="995" customFormat="1">
      <c r="A928" s="974"/>
      <c r="D928" s="876"/>
      <c r="E928" s="974"/>
      <c r="F928" s="876"/>
      <c r="G928" s="876"/>
      <c r="H928" s="876"/>
      <c r="I928" s="876"/>
      <c r="J928" s="876"/>
      <c r="K928" s="876"/>
      <c r="L928" s="876"/>
      <c r="M928" s="876"/>
      <c r="N928" s="876"/>
      <c r="O928" s="876"/>
      <c r="P928" s="876"/>
      <c r="Q928" s="870"/>
      <c r="R928" s="870"/>
      <c r="S928" s="870"/>
      <c r="T928" s="870"/>
      <c r="U928" s="870"/>
      <c r="V928" s="870"/>
      <c r="W928" s="870"/>
      <c r="X928" s="870"/>
      <c r="Y928" s="870"/>
      <c r="Z928" s="870"/>
      <c r="AA928" s="870"/>
      <c r="AB928" s="870"/>
      <c r="AC928" s="870"/>
      <c r="AD928" s="870"/>
      <c r="AE928" s="870"/>
      <c r="AF928" s="870"/>
      <c r="AG928" s="870"/>
    </row>
    <row r="929" spans="1:33" s="995" customFormat="1">
      <c r="A929" s="974"/>
      <c r="D929" s="876"/>
      <c r="E929" s="974"/>
      <c r="F929" s="876"/>
      <c r="G929" s="876"/>
      <c r="H929" s="876"/>
      <c r="I929" s="876"/>
      <c r="J929" s="876"/>
      <c r="K929" s="876"/>
      <c r="L929" s="876"/>
      <c r="M929" s="876"/>
      <c r="N929" s="876"/>
      <c r="O929" s="876"/>
      <c r="P929" s="876"/>
      <c r="Q929" s="870"/>
      <c r="R929" s="870"/>
      <c r="S929" s="870"/>
      <c r="T929" s="870"/>
      <c r="U929" s="870"/>
      <c r="V929" s="870"/>
      <c r="W929" s="870"/>
      <c r="X929" s="870"/>
      <c r="Y929" s="870"/>
      <c r="Z929" s="870"/>
      <c r="AA929" s="870"/>
      <c r="AB929" s="870"/>
      <c r="AC929" s="870"/>
      <c r="AD929" s="870"/>
      <c r="AE929" s="870"/>
      <c r="AF929" s="870"/>
      <c r="AG929" s="870"/>
    </row>
    <row r="930" spans="1:33" s="995" customFormat="1">
      <c r="A930" s="974"/>
      <c r="D930" s="876"/>
      <c r="E930" s="974"/>
      <c r="F930" s="876"/>
      <c r="G930" s="876"/>
      <c r="H930" s="876"/>
      <c r="I930" s="876"/>
      <c r="J930" s="876"/>
      <c r="K930" s="876"/>
      <c r="L930" s="876"/>
      <c r="M930" s="876"/>
      <c r="N930" s="876"/>
      <c r="O930" s="876"/>
      <c r="P930" s="876"/>
      <c r="Q930" s="870"/>
      <c r="R930" s="870"/>
      <c r="S930" s="870"/>
      <c r="T930" s="870"/>
      <c r="U930" s="870"/>
      <c r="V930" s="870"/>
      <c r="W930" s="870"/>
      <c r="X930" s="870"/>
      <c r="Y930" s="870"/>
      <c r="Z930" s="870"/>
      <c r="AA930" s="870"/>
      <c r="AB930" s="870"/>
      <c r="AC930" s="870"/>
      <c r="AD930" s="870"/>
      <c r="AE930" s="870"/>
      <c r="AF930" s="870"/>
      <c r="AG930" s="870"/>
    </row>
    <row r="931" spans="1:33" s="995" customFormat="1">
      <c r="A931" s="974"/>
      <c r="D931" s="876"/>
      <c r="E931" s="974"/>
      <c r="F931" s="876"/>
      <c r="G931" s="876"/>
      <c r="H931" s="876"/>
      <c r="I931" s="876"/>
      <c r="J931" s="876"/>
      <c r="K931" s="876"/>
      <c r="L931" s="876"/>
      <c r="M931" s="876"/>
      <c r="N931" s="876"/>
      <c r="O931" s="876"/>
      <c r="P931" s="876"/>
      <c r="Q931" s="870"/>
      <c r="R931" s="870"/>
      <c r="S931" s="870"/>
      <c r="T931" s="870"/>
      <c r="U931" s="870"/>
      <c r="V931" s="870"/>
      <c r="W931" s="870"/>
      <c r="X931" s="870"/>
      <c r="Y931" s="870"/>
      <c r="Z931" s="870"/>
      <c r="AA931" s="870"/>
      <c r="AB931" s="870"/>
      <c r="AC931" s="870"/>
      <c r="AD931" s="870"/>
      <c r="AE931" s="870"/>
      <c r="AF931" s="870"/>
      <c r="AG931" s="870"/>
    </row>
    <row r="932" spans="1:33" s="995" customFormat="1">
      <c r="A932" s="974"/>
      <c r="D932" s="876"/>
      <c r="E932" s="974"/>
      <c r="F932" s="876"/>
      <c r="G932" s="876"/>
      <c r="H932" s="876"/>
      <c r="I932" s="876"/>
      <c r="J932" s="876"/>
      <c r="K932" s="876"/>
      <c r="L932" s="876"/>
      <c r="M932" s="876"/>
      <c r="N932" s="876"/>
      <c r="O932" s="876"/>
      <c r="P932" s="876"/>
      <c r="Q932" s="870"/>
      <c r="R932" s="870"/>
      <c r="S932" s="870"/>
      <c r="T932" s="870"/>
      <c r="U932" s="870"/>
      <c r="V932" s="870"/>
      <c r="W932" s="870"/>
      <c r="X932" s="870"/>
      <c r="Y932" s="870"/>
      <c r="Z932" s="870"/>
      <c r="AA932" s="870"/>
      <c r="AB932" s="870"/>
      <c r="AC932" s="870"/>
      <c r="AD932" s="870"/>
      <c r="AE932" s="870"/>
      <c r="AF932" s="870"/>
      <c r="AG932" s="870"/>
    </row>
    <row r="933" spans="1:33" s="995" customFormat="1">
      <c r="A933" s="974"/>
      <c r="D933" s="876"/>
      <c r="E933" s="974"/>
      <c r="F933" s="876"/>
      <c r="G933" s="876"/>
      <c r="H933" s="876"/>
      <c r="I933" s="876"/>
      <c r="J933" s="876"/>
      <c r="K933" s="876"/>
      <c r="L933" s="876"/>
      <c r="M933" s="876"/>
      <c r="N933" s="876"/>
      <c r="O933" s="876"/>
      <c r="P933" s="876"/>
      <c r="Q933" s="870"/>
      <c r="R933" s="870"/>
      <c r="S933" s="870"/>
      <c r="T933" s="870"/>
      <c r="U933" s="870"/>
      <c r="V933" s="870"/>
      <c r="W933" s="870"/>
      <c r="X933" s="870"/>
      <c r="Y933" s="870"/>
      <c r="Z933" s="870"/>
      <c r="AA933" s="870"/>
      <c r="AB933" s="870"/>
      <c r="AC933" s="870"/>
      <c r="AD933" s="870"/>
      <c r="AE933" s="870"/>
      <c r="AF933" s="870"/>
      <c r="AG933" s="870"/>
    </row>
    <row r="934" spans="1:33" s="995" customFormat="1">
      <c r="A934" s="974"/>
      <c r="D934" s="876"/>
      <c r="E934" s="974"/>
      <c r="F934" s="876"/>
      <c r="G934" s="876"/>
      <c r="H934" s="876"/>
      <c r="I934" s="876"/>
      <c r="J934" s="876"/>
      <c r="K934" s="876"/>
      <c r="L934" s="876"/>
      <c r="M934" s="876"/>
      <c r="N934" s="876"/>
      <c r="O934" s="876"/>
      <c r="P934" s="876"/>
      <c r="Q934" s="870"/>
      <c r="R934" s="870"/>
      <c r="S934" s="870"/>
      <c r="T934" s="870"/>
      <c r="U934" s="870"/>
      <c r="V934" s="870"/>
      <c r="W934" s="870"/>
      <c r="X934" s="870"/>
      <c r="Y934" s="870"/>
      <c r="Z934" s="870"/>
      <c r="AA934" s="870"/>
      <c r="AB934" s="870"/>
      <c r="AC934" s="870"/>
      <c r="AD934" s="870"/>
      <c r="AE934" s="870"/>
      <c r="AF934" s="870"/>
      <c r="AG934" s="870"/>
    </row>
    <row r="935" spans="1:33" s="995" customFormat="1">
      <c r="A935" s="974"/>
      <c r="D935" s="876"/>
      <c r="E935" s="974"/>
      <c r="F935" s="876"/>
      <c r="G935" s="876"/>
      <c r="H935" s="876"/>
      <c r="I935" s="876"/>
      <c r="J935" s="876"/>
      <c r="K935" s="876"/>
      <c r="L935" s="876"/>
      <c r="M935" s="876"/>
      <c r="N935" s="876"/>
      <c r="O935" s="876"/>
      <c r="P935" s="876"/>
      <c r="Q935" s="870"/>
      <c r="R935" s="870"/>
      <c r="S935" s="870"/>
      <c r="T935" s="870"/>
      <c r="U935" s="870"/>
      <c r="V935" s="870"/>
      <c r="W935" s="870"/>
      <c r="X935" s="870"/>
      <c r="Y935" s="870"/>
      <c r="Z935" s="870"/>
      <c r="AA935" s="870"/>
      <c r="AB935" s="870"/>
      <c r="AC935" s="870"/>
      <c r="AD935" s="870"/>
      <c r="AE935" s="870"/>
      <c r="AF935" s="870"/>
      <c r="AG935" s="870"/>
    </row>
    <row r="936" spans="1:33" s="995" customFormat="1">
      <c r="A936" s="974"/>
      <c r="D936" s="876"/>
      <c r="E936" s="974"/>
      <c r="F936" s="876"/>
      <c r="G936" s="876"/>
      <c r="H936" s="876"/>
      <c r="I936" s="876"/>
      <c r="J936" s="876"/>
      <c r="K936" s="876"/>
      <c r="L936" s="876"/>
      <c r="M936" s="876"/>
      <c r="N936" s="876"/>
      <c r="O936" s="876"/>
      <c r="P936" s="876"/>
      <c r="Q936" s="870"/>
      <c r="R936" s="870"/>
      <c r="S936" s="870"/>
      <c r="T936" s="870"/>
      <c r="U936" s="870"/>
      <c r="V936" s="870"/>
      <c r="W936" s="870"/>
      <c r="X936" s="870"/>
      <c r="Y936" s="870"/>
      <c r="Z936" s="870"/>
      <c r="AA936" s="870"/>
      <c r="AB936" s="870"/>
      <c r="AC936" s="870"/>
      <c r="AD936" s="870"/>
      <c r="AE936" s="870"/>
      <c r="AF936" s="870"/>
      <c r="AG936" s="870"/>
    </row>
    <row r="937" spans="1:33" s="995" customFormat="1">
      <c r="A937" s="974"/>
      <c r="D937" s="876"/>
      <c r="E937" s="974"/>
      <c r="F937" s="876"/>
      <c r="G937" s="876"/>
      <c r="H937" s="876"/>
      <c r="I937" s="876"/>
      <c r="J937" s="876"/>
      <c r="K937" s="876"/>
      <c r="L937" s="876"/>
      <c r="M937" s="876"/>
      <c r="N937" s="876"/>
      <c r="O937" s="876"/>
      <c r="P937" s="876"/>
      <c r="Q937" s="870"/>
      <c r="R937" s="870"/>
      <c r="S937" s="870"/>
      <c r="T937" s="870"/>
      <c r="U937" s="870"/>
      <c r="V937" s="870"/>
      <c r="W937" s="870"/>
      <c r="X937" s="870"/>
      <c r="Y937" s="870"/>
      <c r="Z937" s="870"/>
      <c r="AA937" s="870"/>
      <c r="AB937" s="870"/>
      <c r="AC937" s="870"/>
      <c r="AD937" s="870"/>
      <c r="AE937" s="870"/>
      <c r="AF937" s="870"/>
      <c r="AG937" s="870"/>
    </row>
    <row r="938" spans="1:33" s="995" customFormat="1">
      <c r="A938" s="974"/>
      <c r="D938" s="876"/>
      <c r="E938" s="974"/>
      <c r="F938" s="876"/>
      <c r="G938" s="876"/>
      <c r="H938" s="876"/>
      <c r="I938" s="876"/>
      <c r="J938" s="876"/>
      <c r="K938" s="876"/>
      <c r="L938" s="876"/>
      <c r="M938" s="876"/>
      <c r="N938" s="876"/>
      <c r="O938" s="876"/>
      <c r="P938" s="876"/>
      <c r="Q938" s="870"/>
      <c r="R938" s="870"/>
      <c r="S938" s="870"/>
      <c r="T938" s="870"/>
      <c r="U938" s="870"/>
      <c r="V938" s="870"/>
      <c r="W938" s="870"/>
      <c r="X938" s="870"/>
      <c r="Y938" s="870"/>
      <c r="Z938" s="870"/>
      <c r="AA938" s="870"/>
      <c r="AB938" s="870"/>
      <c r="AC938" s="870"/>
      <c r="AD938" s="870"/>
      <c r="AE938" s="870"/>
      <c r="AF938" s="870"/>
      <c r="AG938" s="870"/>
    </row>
    <row r="939" spans="1:33" s="995" customFormat="1">
      <c r="A939" s="974"/>
      <c r="D939" s="876"/>
      <c r="E939" s="974"/>
      <c r="F939" s="876"/>
      <c r="G939" s="876"/>
      <c r="H939" s="876"/>
      <c r="I939" s="876"/>
      <c r="J939" s="876"/>
      <c r="K939" s="876"/>
      <c r="L939" s="876"/>
      <c r="M939" s="876"/>
      <c r="N939" s="876"/>
      <c r="O939" s="876"/>
      <c r="P939" s="876"/>
      <c r="Q939" s="870"/>
      <c r="R939" s="870"/>
      <c r="S939" s="870"/>
      <c r="T939" s="870"/>
      <c r="U939" s="870"/>
      <c r="V939" s="870"/>
      <c r="W939" s="870"/>
      <c r="X939" s="870"/>
      <c r="Y939" s="870"/>
      <c r="Z939" s="870"/>
      <c r="AA939" s="870"/>
      <c r="AB939" s="870"/>
      <c r="AC939" s="870"/>
      <c r="AD939" s="870"/>
      <c r="AE939" s="870"/>
      <c r="AF939" s="870"/>
      <c r="AG939" s="870"/>
    </row>
    <row r="940" spans="1:33" s="995" customFormat="1">
      <c r="A940" s="974"/>
      <c r="D940" s="876"/>
      <c r="E940" s="974"/>
      <c r="F940" s="876"/>
      <c r="G940" s="876"/>
      <c r="H940" s="876"/>
      <c r="I940" s="876"/>
      <c r="J940" s="876"/>
      <c r="K940" s="876"/>
      <c r="L940" s="876"/>
      <c r="M940" s="876"/>
      <c r="N940" s="876"/>
      <c r="O940" s="876"/>
      <c r="P940" s="876"/>
      <c r="Q940" s="870"/>
      <c r="R940" s="870"/>
      <c r="S940" s="870"/>
      <c r="T940" s="870"/>
      <c r="U940" s="870"/>
      <c r="V940" s="870"/>
      <c r="W940" s="870"/>
      <c r="X940" s="870"/>
      <c r="Y940" s="870"/>
      <c r="Z940" s="870"/>
      <c r="AA940" s="870"/>
      <c r="AB940" s="870"/>
      <c r="AC940" s="870"/>
      <c r="AD940" s="870"/>
      <c r="AE940" s="870"/>
      <c r="AF940" s="870"/>
      <c r="AG940" s="870"/>
    </row>
    <row r="941" spans="1:33" s="995" customFormat="1">
      <c r="A941" s="974"/>
      <c r="D941" s="876"/>
      <c r="E941" s="974"/>
      <c r="F941" s="876"/>
      <c r="G941" s="876"/>
      <c r="H941" s="876"/>
      <c r="I941" s="876"/>
      <c r="J941" s="876"/>
      <c r="K941" s="876"/>
      <c r="L941" s="876"/>
      <c r="M941" s="876"/>
      <c r="N941" s="876"/>
      <c r="O941" s="876"/>
      <c r="P941" s="876"/>
      <c r="Q941" s="870"/>
      <c r="R941" s="870"/>
      <c r="S941" s="870"/>
      <c r="T941" s="870"/>
      <c r="U941" s="870"/>
      <c r="V941" s="870"/>
      <c r="W941" s="870"/>
      <c r="X941" s="870"/>
      <c r="Y941" s="870"/>
      <c r="Z941" s="870"/>
      <c r="AA941" s="870"/>
      <c r="AB941" s="870"/>
      <c r="AC941" s="870"/>
      <c r="AD941" s="870"/>
      <c r="AE941" s="870"/>
      <c r="AF941" s="870"/>
      <c r="AG941" s="870"/>
    </row>
    <row r="942" spans="1:33" s="995" customFormat="1">
      <c r="A942" s="974"/>
      <c r="D942" s="876"/>
      <c r="E942" s="974"/>
      <c r="F942" s="876"/>
      <c r="G942" s="876"/>
      <c r="H942" s="876"/>
      <c r="I942" s="876"/>
      <c r="J942" s="876"/>
      <c r="K942" s="876"/>
      <c r="L942" s="876"/>
      <c r="M942" s="876"/>
      <c r="N942" s="876"/>
      <c r="O942" s="876"/>
      <c r="P942" s="876"/>
      <c r="Q942" s="870"/>
      <c r="R942" s="870"/>
      <c r="S942" s="870"/>
      <c r="T942" s="870"/>
      <c r="U942" s="870"/>
      <c r="V942" s="870"/>
      <c r="W942" s="870"/>
      <c r="X942" s="870"/>
      <c r="Y942" s="870"/>
      <c r="Z942" s="870"/>
      <c r="AA942" s="870"/>
      <c r="AB942" s="870"/>
      <c r="AC942" s="870"/>
      <c r="AD942" s="870"/>
      <c r="AE942" s="870"/>
      <c r="AF942" s="870"/>
      <c r="AG942" s="870"/>
    </row>
    <row r="943" spans="1:33" s="995" customFormat="1">
      <c r="A943" s="974"/>
      <c r="D943" s="876"/>
      <c r="E943" s="974"/>
      <c r="F943" s="876"/>
      <c r="G943" s="876"/>
      <c r="H943" s="876"/>
      <c r="I943" s="876"/>
      <c r="J943" s="876"/>
      <c r="K943" s="876"/>
      <c r="L943" s="876"/>
      <c r="M943" s="876"/>
      <c r="N943" s="876"/>
      <c r="O943" s="876"/>
      <c r="P943" s="876"/>
      <c r="Q943" s="870"/>
      <c r="R943" s="870"/>
      <c r="S943" s="870"/>
      <c r="T943" s="870"/>
      <c r="U943" s="870"/>
      <c r="V943" s="870"/>
      <c r="W943" s="870"/>
      <c r="X943" s="870"/>
      <c r="Y943" s="870"/>
      <c r="Z943" s="870"/>
      <c r="AA943" s="870"/>
      <c r="AB943" s="870"/>
      <c r="AC943" s="870"/>
      <c r="AD943" s="870"/>
      <c r="AE943" s="870"/>
      <c r="AF943" s="870"/>
      <c r="AG943" s="870"/>
    </row>
    <row r="944" spans="1:33" s="995" customFormat="1">
      <c r="A944" s="974"/>
      <c r="D944" s="876"/>
      <c r="E944" s="974"/>
      <c r="F944" s="876"/>
      <c r="G944" s="876"/>
      <c r="H944" s="876"/>
      <c r="I944" s="876"/>
      <c r="J944" s="876"/>
      <c r="K944" s="876"/>
      <c r="L944" s="876"/>
      <c r="M944" s="876"/>
      <c r="N944" s="876"/>
      <c r="O944" s="876"/>
      <c r="P944" s="876"/>
      <c r="Q944" s="870"/>
      <c r="R944" s="870"/>
      <c r="S944" s="870"/>
      <c r="T944" s="870"/>
      <c r="U944" s="870"/>
      <c r="V944" s="870"/>
      <c r="W944" s="870"/>
      <c r="X944" s="870"/>
      <c r="Y944" s="870"/>
      <c r="Z944" s="870"/>
      <c r="AA944" s="870"/>
      <c r="AB944" s="870"/>
      <c r="AC944" s="870"/>
      <c r="AD944" s="870"/>
      <c r="AE944" s="870"/>
      <c r="AF944" s="870"/>
      <c r="AG944" s="870"/>
    </row>
    <row r="945" spans="1:33" s="995" customFormat="1">
      <c r="A945" s="974"/>
      <c r="D945" s="876"/>
      <c r="E945" s="974"/>
      <c r="F945" s="876"/>
      <c r="G945" s="876"/>
      <c r="H945" s="876"/>
      <c r="I945" s="876"/>
      <c r="J945" s="876"/>
      <c r="K945" s="876"/>
      <c r="L945" s="876"/>
      <c r="M945" s="876"/>
      <c r="N945" s="876"/>
      <c r="O945" s="876"/>
      <c r="P945" s="876"/>
      <c r="Q945" s="870"/>
      <c r="R945" s="870"/>
      <c r="S945" s="870"/>
      <c r="T945" s="870"/>
      <c r="U945" s="870"/>
      <c r="V945" s="870"/>
      <c r="W945" s="870"/>
      <c r="X945" s="870"/>
      <c r="Y945" s="870"/>
      <c r="Z945" s="870"/>
      <c r="AA945" s="870"/>
      <c r="AB945" s="870"/>
      <c r="AC945" s="870"/>
      <c r="AD945" s="870"/>
      <c r="AE945" s="870"/>
      <c r="AF945" s="870"/>
      <c r="AG945" s="870"/>
    </row>
    <row r="946" spans="1:33" s="995" customFormat="1">
      <c r="A946" s="974"/>
      <c r="D946" s="876"/>
      <c r="E946" s="974"/>
      <c r="F946" s="876"/>
      <c r="G946" s="876"/>
      <c r="H946" s="876"/>
      <c r="I946" s="876"/>
      <c r="J946" s="876"/>
      <c r="K946" s="876"/>
      <c r="L946" s="876"/>
      <c r="M946" s="876"/>
      <c r="N946" s="876"/>
      <c r="O946" s="876"/>
      <c r="P946" s="876"/>
      <c r="Q946" s="870"/>
      <c r="R946" s="870"/>
      <c r="S946" s="870"/>
      <c r="T946" s="870"/>
      <c r="U946" s="870"/>
      <c r="V946" s="870"/>
      <c r="W946" s="870"/>
      <c r="X946" s="870"/>
      <c r="Y946" s="870"/>
      <c r="Z946" s="870"/>
      <c r="AA946" s="870"/>
      <c r="AB946" s="870"/>
      <c r="AC946" s="870"/>
      <c r="AD946" s="870"/>
      <c r="AE946" s="870"/>
      <c r="AF946" s="870"/>
      <c r="AG946" s="870"/>
    </row>
    <row r="947" spans="1:33" s="995" customFormat="1">
      <c r="A947" s="974"/>
      <c r="D947" s="876"/>
      <c r="E947" s="974"/>
      <c r="F947" s="876"/>
      <c r="G947" s="876"/>
      <c r="H947" s="876"/>
      <c r="I947" s="876"/>
      <c r="J947" s="876"/>
      <c r="K947" s="876"/>
      <c r="L947" s="876"/>
      <c r="M947" s="876"/>
      <c r="N947" s="876"/>
      <c r="O947" s="876"/>
      <c r="P947" s="876"/>
      <c r="Q947" s="870"/>
      <c r="R947" s="870"/>
      <c r="S947" s="870"/>
      <c r="T947" s="870"/>
      <c r="U947" s="870"/>
      <c r="V947" s="870"/>
      <c r="W947" s="870"/>
      <c r="X947" s="870"/>
      <c r="Y947" s="870"/>
      <c r="Z947" s="870"/>
      <c r="AA947" s="870"/>
      <c r="AB947" s="870"/>
      <c r="AC947" s="870"/>
      <c r="AD947" s="870"/>
      <c r="AE947" s="870"/>
      <c r="AF947" s="870"/>
      <c r="AG947" s="870"/>
    </row>
    <row r="948" spans="1:33" s="995" customFormat="1">
      <c r="A948" s="974"/>
      <c r="D948" s="876"/>
      <c r="E948" s="974"/>
      <c r="F948" s="876"/>
      <c r="G948" s="876"/>
      <c r="H948" s="876"/>
      <c r="I948" s="876"/>
      <c r="J948" s="876"/>
      <c r="K948" s="876"/>
      <c r="L948" s="876"/>
      <c r="M948" s="876"/>
      <c r="N948" s="876"/>
      <c r="O948" s="876"/>
      <c r="P948" s="876"/>
      <c r="Q948" s="870"/>
      <c r="R948" s="870"/>
      <c r="S948" s="870"/>
      <c r="T948" s="870"/>
      <c r="U948" s="870"/>
      <c r="V948" s="870"/>
      <c r="W948" s="870"/>
      <c r="X948" s="870"/>
      <c r="Y948" s="870"/>
      <c r="Z948" s="870"/>
      <c r="AA948" s="870"/>
      <c r="AB948" s="870"/>
      <c r="AC948" s="870"/>
      <c r="AD948" s="870"/>
      <c r="AE948" s="870"/>
      <c r="AF948" s="870"/>
      <c r="AG948" s="870"/>
    </row>
    <row r="949" spans="1:33" s="995" customFormat="1">
      <c r="A949" s="974"/>
      <c r="D949" s="876"/>
      <c r="E949" s="974"/>
      <c r="F949" s="876"/>
      <c r="G949" s="876"/>
      <c r="H949" s="876"/>
      <c r="I949" s="876"/>
      <c r="J949" s="876"/>
      <c r="K949" s="876"/>
      <c r="L949" s="876"/>
      <c r="M949" s="876"/>
      <c r="N949" s="876"/>
      <c r="O949" s="876"/>
      <c r="P949" s="876"/>
      <c r="Q949" s="870"/>
      <c r="R949" s="870"/>
      <c r="S949" s="870"/>
      <c r="T949" s="870"/>
      <c r="U949" s="870"/>
      <c r="V949" s="870"/>
      <c r="W949" s="870"/>
      <c r="X949" s="870"/>
      <c r="Y949" s="870"/>
      <c r="Z949" s="870"/>
      <c r="AA949" s="870"/>
      <c r="AB949" s="870"/>
      <c r="AC949" s="870"/>
      <c r="AD949" s="870"/>
      <c r="AE949" s="870"/>
      <c r="AF949" s="870"/>
      <c r="AG949" s="870"/>
    </row>
    <row r="950" spans="1:33" s="995" customFormat="1">
      <c r="A950" s="974"/>
      <c r="D950" s="876"/>
      <c r="E950" s="974"/>
      <c r="F950" s="876"/>
      <c r="G950" s="876"/>
      <c r="H950" s="876"/>
      <c r="I950" s="876"/>
      <c r="J950" s="876"/>
      <c r="K950" s="876"/>
      <c r="L950" s="876"/>
      <c r="M950" s="876"/>
      <c r="N950" s="876"/>
      <c r="O950" s="876"/>
      <c r="P950" s="876"/>
      <c r="Q950" s="870"/>
      <c r="R950" s="870"/>
      <c r="S950" s="870"/>
      <c r="T950" s="870"/>
      <c r="U950" s="870"/>
      <c r="V950" s="870"/>
      <c r="W950" s="870"/>
      <c r="X950" s="870"/>
      <c r="Y950" s="870"/>
      <c r="Z950" s="870"/>
      <c r="AA950" s="870"/>
      <c r="AB950" s="870"/>
      <c r="AC950" s="870"/>
      <c r="AD950" s="870"/>
      <c r="AE950" s="870"/>
      <c r="AF950" s="870"/>
      <c r="AG950" s="870"/>
    </row>
    <row r="951" spans="1:33" s="995" customFormat="1">
      <c r="A951" s="974"/>
      <c r="D951" s="876"/>
      <c r="E951" s="974"/>
      <c r="F951" s="876"/>
      <c r="G951" s="876"/>
      <c r="H951" s="876"/>
      <c r="I951" s="876"/>
      <c r="J951" s="876"/>
      <c r="K951" s="876"/>
      <c r="L951" s="876"/>
      <c r="M951" s="876"/>
      <c r="N951" s="876"/>
      <c r="O951" s="876"/>
      <c r="P951" s="876"/>
      <c r="Q951" s="870"/>
      <c r="R951" s="870"/>
      <c r="S951" s="870"/>
      <c r="T951" s="870"/>
      <c r="U951" s="870"/>
      <c r="V951" s="870"/>
      <c r="W951" s="870"/>
      <c r="X951" s="870"/>
      <c r="Y951" s="870"/>
      <c r="Z951" s="870"/>
      <c r="AA951" s="870"/>
      <c r="AB951" s="870"/>
      <c r="AC951" s="870"/>
      <c r="AD951" s="870"/>
      <c r="AE951" s="870"/>
      <c r="AF951" s="870"/>
      <c r="AG951" s="870"/>
    </row>
    <row r="952" spans="1:33" s="995" customFormat="1">
      <c r="A952" s="974"/>
      <c r="D952" s="876"/>
      <c r="E952" s="974"/>
      <c r="F952" s="876"/>
      <c r="G952" s="876"/>
      <c r="H952" s="876"/>
      <c r="I952" s="876"/>
      <c r="J952" s="876"/>
      <c r="K952" s="876"/>
      <c r="L952" s="876"/>
      <c r="M952" s="876"/>
      <c r="N952" s="876"/>
      <c r="O952" s="876"/>
      <c r="P952" s="876"/>
      <c r="Q952" s="870"/>
      <c r="R952" s="870"/>
      <c r="S952" s="870"/>
      <c r="T952" s="870"/>
      <c r="U952" s="870"/>
      <c r="V952" s="870"/>
      <c r="W952" s="870"/>
      <c r="X952" s="870"/>
      <c r="Y952" s="870"/>
      <c r="Z952" s="870"/>
      <c r="AA952" s="870"/>
      <c r="AB952" s="870"/>
      <c r="AC952" s="870"/>
      <c r="AD952" s="870"/>
      <c r="AE952" s="870"/>
      <c r="AF952" s="870"/>
      <c r="AG952" s="870"/>
    </row>
    <row r="953" spans="1:33" s="995" customFormat="1">
      <c r="A953" s="974"/>
      <c r="D953" s="876"/>
      <c r="E953" s="974"/>
      <c r="F953" s="876"/>
      <c r="G953" s="876"/>
      <c r="H953" s="876"/>
      <c r="I953" s="876"/>
      <c r="J953" s="876"/>
      <c r="K953" s="876"/>
      <c r="L953" s="876"/>
      <c r="M953" s="876"/>
      <c r="N953" s="876"/>
      <c r="O953" s="876"/>
      <c r="P953" s="876"/>
      <c r="Q953" s="870"/>
      <c r="R953" s="870"/>
      <c r="S953" s="870"/>
      <c r="T953" s="870"/>
      <c r="U953" s="870"/>
      <c r="V953" s="870"/>
      <c r="W953" s="870"/>
      <c r="X953" s="870"/>
      <c r="Y953" s="870"/>
      <c r="Z953" s="870"/>
      <c r="AA953" s="870"/>
      <c r="AB953" s="870"/>
      <c r="AC953" s="870"/>
      <c r="AD953" s="870"/>
      <c r="AE953" s="870"/>
      <c r="AF953" s="870"/>
      <c r="AG953" s="870"/>
    </row>
    <row r="954" spans="1:33" s="995" customFormat="1">
      <c r="A954" s="974"/>
      <c r="D954" s="876"/>
      <c r="E954" s="974"/>
      <c r="F954" s="876"/>
      <c r="G954" s="876"/>
      <c r="H954" s="876"/>
      <c r="I954" s="876"/>
      <c r="J954" s="876"/>
      <c r="K954" s="876"/>
      <c r="L954" s="876"/>
      <c r="M954" s="876"/>
      <c r="N954" s="876"/>
      <c r="O954" s="876"/>
      <c r="P954" s="876"/>
      <c r="Q954" s="870"/>
      <c r="R954" s="870"/>
      <c r="S954" s="870"/>
      <c r="T954" s="870"/>
      <c r="U954" s="870"/>
      <c r="V954" s="870"/>
      <c r="W954" s="870"/>
      <c r="X954" s="870"/>
      <c r="Y954" s="870"/>
      <c r="Z954" s="870"/>
      <c r="AA954" s="870"/>
      <c r="AB954" s="870"/>
      <c r="AC954" s="870"/>
      <c r="AD954" s="870"/>
      <c r="AE954" s="870"/>
      <c r="AF954" s="870"/>
      <c r="AG954" s="870"/>
    </row>
    <row r="955" spans="1:33" s="995" customFormat="1">
      <c r="A955" s="974"/>
      <c r="D955" s="876"/>
      <c r="E955" s="974"/>
      <c r="F955" s="876"/>
      <c r="G955" s="876"/>
      <c r="H955" s="876"/>
      <c r="I955" s="876"/>
      <c r="J955" s="876"/>
      <c r="K955" s="876"/>
      <c r="L955" s="876"/>
      <c r="M955" s="876"/>
      <c r="N955" s="876"/>
      <c r="O955" s="876"/>
      <c r="P955" s="876"/>
      <c r="Q955" s="870"/>
      <c r="R955" s="870"/>
      <c r="S955" s="870"/>
      <c r="T955" s="870"/>
      <c r="U955" s="870"/>
      <c r="V955" s="870"/>
      <c r="W955" s="870"/>
      <c r="X955" s="870"/>
      <c r="Y955" s="870"/>
      <c r="Z955" s="870"/>
      <c r="AA955" s="870"/>
      <c r="AB955" s="870"/>
      <c r="AC955" s="870"/>
      <c r="AD955" s="870"/>
      <c r="AE955" s="870"/>
      <c r="AF955" s="870"/>
      <c r="AG955" s="870"/>
    </row>
    <row r="956" spans="1:33" s="995" customFormat="1">
      <c r="A956" s="974"/>
      <c r="D956" s="876"/>
      <c r="E956" s="974"/>
      <c r="F956" s="876"/>
      <c r="G956" s="876"/>
      <c r="H956" s="876"/>
      <c r="I956" s="876"/>
      <c r="J956" s="876"/>
      <c r="K956" s="876"/>
      <c r="L956" s="876"/>
      <c r="M956" s="876"/>
      <c r="N956" s="876"/>
      <c r="O956" s="876"/>
      <c r="P956" s="876"/>
      <c r="Q956" s="870"/>
      <c r="R956" s="870"/>
      <c r="S956" s="870"/>
      <c r="T956" s="870"/>
      <c r="U956" s="870"/>
      <c r="V956" s="870"/>
      <c r="W956" s="870"/>
      <c r="X956" s="870"/>
      <c r="Y956" s="870"/>
      <c r="Z956" s="870"/>
      <c r="AA956" s="870"/>
      <c r="AB956" s="870"/>
      <c r="AC956" s="870"/>
      <c r="AD956" s="870"/>
      <c r="AE956" s="870"/>
      <c r="AF956" s="870"/>
      <c r="AG956" s="870"/>
    </row>
    <row r="957" spans="1:33" s="995" customFormat="1">
      <c r="A957" s="974"/>
      <c r="D957" s="876"/>
      <c r="E957" s="974"/>
      <c r="F957" s="876"/>
      <c r="G957" s="876"/>
      <c r="H957" s="876"/>
      <c r="I957" s="876"/>
      <c r="J957" s="876"/>
      <c r="K957" s="876"/>
      <c r="L957" s="876"/>
      <c r="M957" s="876"/>
      <c r="N957" s="876"/>
      <c r="O957" s="876"/>
      <c r="P957" s="876"/>
      <c r="Q957" s="870"/>
      <c r="R957" s="870"/>
      <c r="S957" s="870"/>
      <c r="T957" s="870"/>
      <c r="U957" s="870"/>
      <c r="V957" s="870"/>
      <c r="W957" s="870"/>
      <c r="X957" s="870"/>
      <c r="Y957" s="870"/>
      <c r="Z957" s="870"/>
      <c r="AA957" s="870"/>
      <c r="AB957" s="870"/>
      <c r="AC957" s="870"/>
      <c r="AD957" s="870"/>
      <c r="AE957" s="870"/>
      <c r="AF957" s="870"/>
      <c r="AG957" s="870"/>
    </row>
    <row r="958" spans="1:33" s="995" customFormat="1">
      <c r="A958" s="974"/>
      <c r="D958" s="876"/>
      <c r="E958" s="974"/>
      <c r="F958" s="876"/>
      <c r="G958" s="876"/>
      <c r="H958" s="876"/>
      <c r="I958" s="876"/>
      <c r="J958" s="876"/>
      <c r="K958" s="876"/>
      <c r="L958" s="876"/>
      <c r="M958" s="876"/>
      <c r="N958" s="876"/>
      <c r="O958" s="876"/>
      <c r="P958" s="876"/>
      <c r="Q958" s="870"/>
      <c r="R958" s="870"/>
      <c r="S958" s="870"/>
      <c r="T958" s="870"/>
      <c r="U958" s="870"/>
      <c r="V958" s="870"/>
      <c r="W958" s="870"/>
      <c r="X958" s="870"/>
      <c r="Y958" s="870"/>
      <c r="Z958" s="870"/>
      <c r="AA958" s="870"/>
      <c r="AB958" s="870"/>
      <c r="AC958" s="870"/>
      <c r="AD958" s="870"/>
      <c r="AE958" s="870"/>
      <c r="AF958" s="870"/>
      <c r="AG958" s="870"/>
    </row>
    <row r="959" spans="1:33" s="995" customFormat="1">
      <c r="A959" s="974"/>
      <c r="D959" s="876"/>
      <c r="E959" s="974"/>
      <c r="F959" s="876"/>
      <c r="G959" s="876"/>
      <c r="H959" s="876"/>
      <c r="I959" s="876"/>
      <c r="J959" s="876"/>
      <c r="K959" s="876"/>
      <c r="L959" s="876"/>
      <c r="M959" s="876"/>
      <c r="N959" s="876"/>
      <c r="O959" s="876"/>
      <c r="P959" s="876"/>
      <c r="Q959" s="870"/>
      <c r="R959" s="870"/>
      <c r="S959" s="870"/>
      <c r="T959" s="870"/>
      <c r="U959" s="870"/>
      <c r="V959" s="870"/>
      <c r="W959" s="870"/>
      <c r="X959" s="870"/>
      <c r="Y959" s="870"/>
      <c r="Z959" s="870"/>
      <c r="AA959" s="870"/>
      <c r="AB959" s="870"/>
      <c r="AC959" s="870"/>
      <c r="AD959" s="870"/>
      <c r="AE959" s="870"/>
      <c r="AF959" s="870"/>
      <c r="AG959" s="870"/>
    </row>
    <row r="960" spans="1:33" s="995" customFormat="1">
      <c r="A960" s="974"/>
      <c r="D960" s="876"/>
      <c r="E960" s="974"/>
      <c r="F960" s="876"/>
      <c r="G960" s="876"/>
      <c r="H960" s="876"/>
      <c r="I960" s="876"/>
      <c r="J960" s="876"/>
      <c r="K960" s="876"/>
      <c r="L960" s="876"/>
      <c r="M960" s="876"/>
      <c r="N960" s="876"/>
      <c r="O960" s="876"/>
      <c r="P960" s="876"/>
      <c r="Q960" s="870"/>
      <c r="R960" s="870"/>
      <c r="S960" s="870"/>
      <c r="T960" s="870"/>
      <c r="U960" s="870"/>
      <c r="V960" s="870"/>
      <c r="W960" s="870"/>
      <c r="X960" s="870"/>
      <c r="Y960" s="870"/>
      <c r="Z960" s="870"/>
      <c r="AA960" s="870"/>
      <c r="AB960" s="870"/>
      <c r="AC960" s="870"/>
      <c r="AD960" s="870"/>
      <c r="AE960" s="870"/>
      <c r="AF960" s="870"/>
      <c r="AG960" s="870"/>
    </row>
    <row r="961" spans="1:33" s="995" customFormat="1">
      <c r="A961" s="974"/>
      <c r="D961" s="876"/>
      <c r="E961" s="974"/>
      <c r="F961" s="876"/>
      <c r="G961" s="876"/>
      <c r="H961" s="876"/>
      <c r="I961" s="876"/>
      <c r="J961" s="876"/>
      <c r="K961" s="876"/>
      <c r="L961" s="876"/>
      <c r="M961" s="876"/>
      <c r="N961" s="876"/>
      <c r="O961" s="876"/>
      <c r="P961" s="876"/>
      <c r="Q961" s="870"/>
      <c r="R961" s="870"/>
      <c r="S961" s="870"/>
      <c r="T961" s="870"/>
      <c r="U961" s="870"/>
      <c r="V961" s="870"/>
      <c r="W961" s="870"/>
      <c r="X961" s="870"/>
      <c r="Y961" s="870"/>
      <c r="Z961" s="870"/>
      <c r="AA961" s="870"/>
      <c r="AB961" s="870"/>
      <c r="AC961" s="870"/>
      <c r="AD961" s="870"/>
      <c r="AE961" s="870"/>
      <c r="AF961" s="870"/>
      <c r="AG961" s="870"/>
    </row>
    <row r="962" spans="1:33" s="995" customFormat="1">
      <c r="A962" s="974"/>
      <c r="D962" s="876"/>
      <c r="E962" s="974"/>
      <c r="F962" s="876"/>
      <c r="G962" s="876"/>
      <c r="H962" s="876"/>
      <c r="I962" s="876"/>
      <c r="J962" s="876"/>
      <c r="K962" s="876"/>
      <c r="L962" s="876"/>
      <c r="M962" s="876"/>
      <c r="N962" s="876"/>
      <c r="O962" s="876"/>
      <c r="P962" s="876"/>
      <c r="Q962" s="870"/>
      <c r="R962" s="870"/>
      <c r="S962" s="870"/>
      <c r="T962" s="870"/>
      <c r="U962" s="870"/>
      <c r="V962" s="870"/>
      <c r="W962" s="870"/>
      <c r="X962" s="870"/>
      <c r="Y962" s="870"/>
      <c r="Z962" s="870"/>
      <c r="AA962" s="870"/>
      <c r="AB962" s="870"/>
      <c r="AC962" s="870"/>
      <c r="AD962" s="870"/>
      <c r="AE962" s="870"/>
      <c r="AF962" s="870"/>
      <c r="AG962" s="870"/>
    </row>
    <row r="963" spans="1:33" s="995" customFormat="1">
      <c r="A963" s="974"/>
      <c r="D963" s="876"/>
      <c r="E963" s="974"/>
      <c r="F963" s="876"/>
      <c r="G963" s="876"/>
      <c r="H963" s="876"/>
      <c r="I963" s="876"/>
      <c r="J963" s="876"/>
      <c r="K963" s="876"/>
      <c r="L963" s="876"/>
      <c r="M963" s="876"/>
      <c r="N963" s="876"/>
      <c r="O963" s="876"/>
      <c r="P963" s="876"/>
      <c r="Q963" s="870"/>
      <c r="R963" s="870"/>
      <c r="S963" s="870"/>
      <c r="T963" s="870"/>
      <c r="U963" s="870"/>
      <c r="V963" s="870"/>
      <c r="W963" s="870"/>
      <c r="X963" s="870"/>
      <c r="Y963" s="870"/>
      <c r="Z963" s="870"/>
      <c r="AA963" s="870"/>
      <c r="AB963" s="870"/>
      <c r="AC963" s="870"/>
      <c r="AD963" s="870"/>
      <c r="AE963" s="870"/>
      <c r="AF963" s="870"/>
      <c r="AG963" s="870"/>
    </row>
    <row r="964" spans="1:33" s="995" customFormat="1">
      <c r="A964" s="974"/>
      <c r="D964" s="876"/>
      <c r="E964" s="974"/>
      <c r="F964" s="876"/>
      <c r="G964" s="876"/>
      <c r="H964" s="876"/>
      <c r="I964" s="876"/>
      <c r="J964" s="876"/>
      <c r="K964" s="876"/>
      <c r="L964" s="876"/>
      <c r="M964" s="876"/>
      <c r="N964" s="876"/>
      <c r="O964" s="876"/>
      <c r="P964" s="876"/>
      <c r="Q964" s="870"/>
      <c r="R964" s="870"/>
      <c r="S964" s="870"/>
      <c r="T964" s="870"/>
      <c r="U964" s="870"/>
      <c r="V964" s="870"/>
      <c r="W964" s="870"/>
      <c r="X964" s="870"/>
      <c r="Y964" s="870"/>
      <c r="Z964" s="870"/>
      <c r="AA964" s="870"/>
      <c r="AB964" s="870"/>
      <c r="AC964" s="870"/>
      <c r="AD964" s="870"/>
      <c r="AE964" s="870"/>
      <c r="AF964" s="870"/>
      <c r="AG964" s="870"/>
    </row>
    <row r="965" spans="1:33" s="995" customFormat="1">
      <c r="A965" s="974"/>
      <c r="D965" s="876"/>
      <c r="E965" s="974"/>
      <c r="F965" s="876"/>
      <c r="G965" s="876"/>
      <c r="H965" s="876"/>
      <c r="I965" s="876"/>
      <c r="J965" s="876"/>
      <c r="K965" s="876"/>
      <c r="L965" s="876"/>
      <c r="M965" s="876"/>
      <c r="N965" s="876"/>
      <c r="O965" s="876"/>
      <c r="P965" s="876"/>
      <c r="Q965" s="870"/>
      <c r="R965" s="870"/>
      <c r="S965" s="870"/>
      <c r="T965" s="870"/>
      <c r="U965" s="870"/>
      <c r="V965" s="870"/>
      <c r="W965" s="870"/>
      <c r="X965" s="870"/>
      <c r="Y965" s="870"/>
      <c r="Z965" s="870"/>
      <c r="AA965" s="870"/>
      <c r="AB965" s="870"/>
      <c r="AC965" s="870"/>
      <c r="AD965" s="870"/>
      <c r="AE965" s="870"/>
      <c r="AF965" s="870"/>
      <c r="AG965" s="870"/>
    </row>
    <row r="966" spans="1:33" s="995" customFormat="1">
      <c r="A966" s="974"/>
      <c r="D966" s="876"/>
      <c r="E966" s="974"/>
      <c r="F966" s="876"/>
      <c r="G966" s="876"/>
      <c r="H966" s="876"/>
      <c r="I966" s="876"/>
      <c r="J966" s="876"/>
      <c r="K966" s="876"/>
      <c r="L966" s="876"/>
      <c r="M966" s="876"/>
      <c r="N966" s="876"/>
      <c r="O966" s="876"/>
      <c r="P966" s="876"/>
      <c r="Q966" s="870"/>
      <c r="R966" s="870"/>
      <c r="S966" s="870"/>
      <c r="T966" s="870"/>
      <c r="U966" s="870"/>
      <c r="V966" s="870"/>
      <c r="W966" s="870"/>
      <c r="X966" s="870"/>
      <c r="Y966" s="870"/>
      <c r="Z966" s="870"/>
      <c r="AA966" s="870"/>
      <c r="AB966" s="870"/>
      <c r="AC966" s="870"/>
      <c r="AD966" s="870"/>
      <c r="AE966" s="870"/>
      <c r="AF966" s="870"/>
      <c r="AG966" s="870"/>
    </row>
    <row r="967" spans="1:33" s="995" customFormat="1">
      <c r="A967" s="974"/>
      <c r="D967" s="876"/>
      <c r="E967" s="974"/>
      <c r="F967" s="876"/>
      <c r="G967" s="876"/>
      <c r="H967" s="876"/>
      <c r="I967" s="876"/>
      <c r="J967" s="876"/>
      <c r="K967" s="876"/>
      <c r="L967" s="876"/>
      <c r="M967" s="876"/>
      <c r="N967" s="876"/>
      <c r="O967" s="876"/>
      <c r="P967" s="876"/>
      <c r="Q967" s="870"/>
      <c r="R967" s="870"/>
      <c r="S967" s="870"/>
      <c r="T967" s="870"/>
      <c r="U967" s="870"/>
      <c r="V967" s="870"/>
      <c r="W967" s="870"/>
      <c r="X967" s="870"/>
      <c r="Y967" s="870"/>
      <c r="Z967" s="870"/>
      <c r="AA967" s="870"/>
      <c r="AB967" s="870"/>
      <c r="AC967" s="870"/>
      <c r="AD967" s="870"/>
      <c r="AE967" s="870"/>
      <c r="AF967" s="870"/>
      <c r="AG967" s="870"/>
    </row>
    <row r="968" spans="1:33" s="995" customFormat="1">
      <c r="A968" s="974"/>
      <c r="D968" s="876"/>
      <c r="E968" s="974"/>
      <c r="F968" s="876"/>
      <c r="G968" s="876"/>
      <c r="H968" s="876"/>
      <c r="I968" s="876"/>
      <c r="J968" s="876"/>
      <c r="K968" s="876"/>
      <c r="L968" s="876"/>
      <c r="M968" s="876"/>
      <c r="N968" s="876"/>
      <c r="O968" s="876"/>
      <c r="P968" s="876"/>
      <c r="Q968" s="870"/>
      <c r="R968" s="870"/>
      <c r="S968" s="870"/>
      <c r="T968" s="870"/>
      <c r="U968" s="870"/>
      <c r="V968" s="870"/>
      <c r="W968" s="870"/>
      <c r="X968" s="870"/>
      <c r="Y968" s="870"/>
      <c r="Z968" s="870"/>
      <c r="AA968" s="870"/>
      <c r="AB968" s="870"/>
      <c r="AC968" s="870"/>
      <c r="AD968" s="870"/>
      <c r="AE968" s="870"/>
      <c r="AF968" s="870"/>
      <c r="AG968" s="870"/>
    </row>
    <row r="969" spans="1:33" s="995" customFormat="1">
      <c r="A969" s="974"/>
      <c r="D969" s="876"/>
      <c r="E969" s="974"/>
      <c r="F969" s="876"/>
      <c r="G969" s="876"/>
      <c r="H969" s="876"/>
      <c r="I969" s="876"/>
      <c r="J969" s="876"/>
      <c r="K969" s="876"/>
      <c r="L969" s="876"/>
      <c r="M969" s="876"/>
      <c r="N969" s="876"/>
      <c r="O969" s="876"/>
      <c r="P969" s="876"/>
      <c r="Q969" s="870"/>
      <c r="R969" s="870"/>
      <c r="S969" s="870"/>
      <c r="T969" s="870"/>
      <c r="U969" s="870"/>
      <c r="V969" s="870"/>
      <c r="W969" s="870"/>
      <c r="X969" s="870"/>
      <c r="Y969" s="870"/>
      <c r="Z969" s="870"/>
      <c r="AA969" s="870"/>
      <c r="AB969" s="870"/>
      <c r="AC969" s="870"/>
      <c r="AD969" s="870"/>
      <c r="AE969" s="870"/>
      <c r="AF969" s="870"/>
      <c r="AG969" s="870"/>
    </row>
    <row r="970" spans="1:33" s="995" customFormat="1">
      <c r="A970" s="974"/>
      <c r="D970" s="876"/>
      <c r="E970" s="974"/>
      <c r="F970" s="876"/>
      <c r="G970" s="876"/>
      <c r="H970" s="876"/>
      <c r="I970" s="876"/>
      <c r="J970" s="876"/>
      <c r="K970" s="876"/>
      <c r="L970" s="876"/>
      <c r="M970" s="876"/>
      <c r="N970" s="876"/>
      <c r="O970" s="876"/>
      <c r="P970" s="876"/>
      <c r="Q970" s="870"/>
      <c r="R970" s="870"/>
      <c r="S970" s="870"/>
      <c r="T970" s="870"/>
      <c r="U970" s="870"/>
      <c r="V970" s="870"/>
      <c r="W970" s="870"/>
      <c r="X970" s="870"/>
      <c r="Y970" s="870"/>
      <c r="Z970" s="870"/>
      <c r="AA970" s="870"/>
      <c r="AB970" s="870"/>
      <c r="AC970" s="870"/>
      <c r="AD970" s="870"/>
      <c r="AE970" s="870"/>
      <c r="AF970" s="870"/>
      <c r="AG970" s="870"/>
    </row>
    <row r="971" spans="1:33" s="995" customFormat="1">
      <c r="A971" s="974"/>
      <c r="D971" s="876"/>
      <c r="E971" s="974"/>
      <c r="F971" s="876"/>
      <c r="G971" s="876"/>
      <c r="H971" s="876"/>
      <c r="I971" s="876"/>
      <c r="J971" s="876"/>
      <c r="K971" s="876"/>
      <c r="L971" s="876"/>
      <c r="M971" s="876"/>
      <c r="N971" s="876"/>
      <c r="O971" s="876"/>
      <c r="P971" s="876"/>
      <c r="Q971" s="870"/>
      <c r="R971" s="870"/>
      <c r="S971" s="870"/>
      <c r="T971" s="870"/>
      <c r="U971" s="870"/>
      <c r="V971" s="870"/>
      <c r="W971" s="870"/>
      <c r="X971" s="870"/>
      <c r="Y971" s="870"/>
      <c r="Z971" s="870"/>
      <c r="AA971" s="870"/>
      <c r="AB971" s="870"/>
      <c r="AC971" s="870"/>
      <c r="AD971" s="870"/>
      <c r="AE971" s="870"/>
      <c r="AF971" s="870"/>
      <c r="AG971" s="870"/>
    </row>
    <row r="972" spans="1:33" s="995" customFormat="1">
      <c r="A972" s="974"/>
      <c r="D972" s="876"/>
      <c r="E972" s="974"/>
      <c r="F972" s="876"/>
      <c r="G972" s="876"/>
      <c r="H972" s="876"/>
      <c r="I972" s="876"/>
      <c r="J972" s="876"/>
      <c r="K972" s="876"/>
      <c r="L972" s="876"/>
      <c r="M972" s="876"/>
      <c r="N972" s="876"/>
      <c r="O972" s="876"/>
      <c r="P972" s="876"/>
      <c r="Q972" s="870"/>
      <c r="R972" s="870"/>
      <c r="S972" s="870"/>
      <c r="T972" s="870"/>
      <c r="U972" s="870"/>
      <c r="V972" s="870"/>
      <c r="W972" s="870"/>
      <c r="X972" s="870"/>
      <c r="Y972" s="870"/>
      <c r="Z972" s="870"/>
      <c r="AA972" s="870"/>
      <c r="AB972" s="870"/>
      <c r="AC972" s="870"/>
      <c r="AD972" s="870"/>
      <c r="AE972" s="870"/>
      <c r="AF972" s="870"/>
      <c r="AG972" s="870"/>
    </row>
    <row r="973" spans="1:33" s="995" customFormat="1">
      <c r="A973" s="974"/>
      <c r="D973" s="876"/>
      <c r="E973" s="974"/>
      <c r="F973" s="876"/>
      <c r="G973" s="876"/>
      <c r="H973" s="876"/>
      <c r="I973" s="876"/>
      <c r="J973" s="876"/>
      <c r="K973" s="876"/>
      <c r="L973" s="876"/>
      <c r="M973" s="876"/>
      <c r="N973" s="876"/>
      <c r="O973" s="876"/>
      <c r="P973" s="876"/>
      <c r="Q973" s="870"/>
      <c r="R973" s="870"/>
      <c r="S973" s="870"/>
      <c r="T973" s="870"/>
      <c r="U973" s="870"/>
      <c r="V973" s="870"/>
      <c r="W973" s="870"/>
      <c r="X973" s="870"/>
      <c r="Y973" s="870"/>
      <c r="Z973" s="870"/>
      <c r="AA973" s="870"/>
      <c r="AB973" s="870"/>
      <c r="AC973" s="870"/>
      <c r="AD973" s="870"/>
      <c r="AE973" s="870"/>
      <c r="AF973" s="870"/>
      <c r="AG973" s="870"/>
    </row>
    <row r="974" spans="1:33" s="995" customFormat="1">
      <c r="A974" s="974"/>
      <c r="D974" s="876"/>
      <c r="E974" s="974"/>
      <c r="F974" s="876"/>
      <c r="G974" s="876"/>
      <c r="H974" s="876"/>
      <c r="I974" s="876"/>
      <c r="J974" s="876"/>
      <c r="K974" s="876"/>
      <c r="L974" s="876"/>
      <c r="M974" s="876"/>
      <c r="N974" s="876"/>
      <c r="O974" s="876"/>
      <c r="P974" s="876"/>
      <c r="Q974" s="870"/>
      <c r="R974" s="870"/>
      <c r="S974" s="870"/>
      <c r="T974" s="870"/>
      <c r="U974" s="870"/>
      <c r="V974" s="870"/>
      <c r="W974" s="870"/>
      <c r="X974" s="870"/>
      <c r="Y974" s="870"/>
      <c r="Z974" s="870"/>
      <c r="AA974" s="870"/>
      <c r="AB974" s="870"/>
      <c r="AC974" s="870"/>
      <c r="AD974" s="870"/>
      <c r="AE974" s="870"/>
      <c r="AF974" s="870"/>
      <c r="AG974" s="870"/>
    </row>
    <row r="975" spans="1:33" s="995" customFormat="1">
      <c r="A975" s="974"/>
      <c r="D975" s="876"/>
      <c r="E975" s="974"/>
      <c r="F975" s="876"/>
      <c r="G975" s="876"/>
      <c r="H975" s="876"/>
      <c r="I975" s="876"/>
      <c r="J975" s="876"/>
      <c r="K975" s="876"/>
      <c r="L975" s="876"/>
      <c r="M975" s="876"/>
      <c r="N975" s="876"/>
      <c r="O975" s="876"/>
      <c r="P975" s="876"/>
      <c r="Q975" s="870"/>
      <c r="R975" s="870"/>
      <c r="S975" s="870"/>
      <c r="T975" s="870"/>
      <c r="U975" s="870"/>
      <c r="V975" s="870"/>
      <c r="W975" s="870"/>
      <c r="X975" s="870"/>
      <c r="Y975" s="870"/>
      <c r="Z975" s="870"/>
      <c r="AA975" s="870"/>
      <c r="AB975" s="870"/>
      <c r="AC975" s="870"/>
      <c r="AD975" s="870"/>
      <c r="AE975" s="870"/>
      <c r="AF975" s="870"/>
      <c r="AG975" s="870"/>
    </row>
    <row r="976" spans="1:33" s="995" customFormat="1">
      <c r="A976" s="974"/>
      <c r="D976" s="876"/>
      <c r="E976" s="974"/>
      <c r="F976" s="876"/>
      <c r="G976" s="876"/>
      <c r="H976" s="876"/>
      <c r="I976" s="876"/>
      <c r="J976" s="876"/>
      <c r="K976" s="876"/>
      <c r="L976" s="876"/>
      <c r="M976" s="876"/>
      <c r="N976" s="876"/>
      <c r="O976" s="876"/>
      <c r="P976" s="876"/>
      <c r="Q976" s="870"/>
      <c r="R976" s="870"/>
      <c r="S976" s="870"/>
      <c r="T976" s="870"/>
      <c r="U976" s="870"/>
      <c r="V976" s="870"/>
      <c r="W976" s="870"/>
      <c r="X976" s="870"/>
      <c r="Y976" s="870"/>
      <c r="Z976" s="870"/>
      <c r="AA976" s="870"/>
      <c r="AB976" s="870"/>
      <c r="AC976" s="870"/>
      <c r="AD976" s="870"/>
      <c r="AE976" s="870"/>
      <c r="AF976" s="870"/>
      <c r="AG976" s="870"/>
    </row>
    <row r="977" spans="1:33" s="995" customFormat="1">
      <c r="A977" s="974"/>
      <c r="D977" s="876"/>
      <c r="E977" s="974"/>
      <c r="F977" s="876"/>
      <c r="G977" s="876"/>
      <c r="H977" s="876"/>
      <c r="I977" s="876"/>
      <c r="J977" s="876"/>
      <c r="K977" s="876"/>
      <c r="L977" s="876"/>
      <c r="M977" s="876"/>
      <c r="N977" s="876"/>
      <c r="O977" s="876"/>
      <c r="P977" s="876"/>
      <c r="Q977" s="870"/>
      <c r="R977" s="870"/>
      <c r="S977" s="870"/>
      <c r="T977" s="870"/>
      <c r="U977" s="870"/>
      <c r="V977" s="870"/>
      <c r="W977" s="870"/>
      <c r="X977" s="870"/>
      <c r="Y977" s="870"/>
      <c r="Z977" s="870"/>
      <c r="AA977" s="870"/>
      <c r="AB977" s="870"/>
      <c r="AC977" s="870"/>
      <c r="AD977" s="870"/>
      <c r="AE977" s="870"/>
      <c r="AF977" s="870"/>
      <c r="AG977" s="870"/>
    </row>
    <row r="978" spans="1:33" s="995" customFormat="1">
      <c r="A978" s="974"/>
      <c r="D978" s="876"/>
      <c r="E978" s="974"/>
      <c r="F978" s="876"/>
      <c r="G978" s="876"/>
      <c r="H978" s="876"/>
      <c r="I978" s="876"/>
      <c r="J978" s="876"/>
      <c r="K978" s="876"/>
      <c r="L978" s="876"/>
      <c r="M978" s="876"/>
      <c r="N978" s="876"/>
      <c r="O978" s="876"/>
      <c r="P978" s="876"/>
      <c r="Q978" s="870"/>
      <c r="R978" s="870"/>
      <c r="S978" s="870"/>
      <c r="T978" s="870"/>
      <c r="U978" s="870"/>
      <c r="V978" s="870"/>
      <c r="W978" s="870"/>
      <c r="X978" s="870"/>
      <c r="Y978" s="870"/>
      <c r="Z978" s="870"/>
      <c r="AA978" s="870"/>
      <c r="AB978" s="870"/>
      <c r="AC978" s="870"/>
      <c r="AD978" s="870"/>
      <c r="AE978" s="870"/>
      <c r="AF978" s="870"/>
      <c r="AG978" s="870"/>
    </row>
    <row r="979" spans="1:33" s="995" customFormat="1">
      <c r="A979" s="974"/>
      <c r="D979" s="876"/>
      <c r="E979" s="974"/>
      <c r="F979" s="876"/>
      <c r="G979" s="876"/>
      <c r="H979" s="876"/>
      <c r="I979" s="876"/>
      <c r="J979" s="876"/>
      <c r="K979" s="876"/>
      <c r="L979" s="876"/>
      <c r="M979" s="876"/>
      <c r="N979" s="876"/>
      <c r="O979" s="876"/>
      <c r="P979" s="876"/>
      <c r="Q979" s="870"/>
      <c r="R979" s="870"/>
      <c r="S979" s="870"/>
      <c r="T979" s="870"/>
      <c r="U979" s="870"/>
      <c r="V979" s="870"/>
      <c r="W979" s="870"/>
      <c r="X979" s="870"/>
      <c r="Y979" s="870"/>
      <c r="Z979" s="870"/>
      <c r="AA979" s="870"/>
      <c r="AB979" s="870"/>
      <c r="AC979" s="870"/>
      <c r="AD979" s="870"/>
      <c r="AE979" s="870"/>
      <c r="AF979" s="870"/>
      <c r="AG979" s="870"/>
    </row>
    <row r="980" spans="1:33" s="995" customFormat="1">
      <c r="A980" s="974"/>
      <c r="D980" s="876"/>
      <c r="E980" s="974"/>
      <c r="F980" s="876"/>
      <c r="G980" s="876"/>
      <c r="H980" s="876"/>
      <c r="I980" s="876"/>
      <c r="J980" s="876"/>
      <c r="K980" s="876"/>
      <c r="L980" s="876"/>
      <c r="M980" s="876"/>
      <c r="N980" s="876"/>
      <c r="O980" s="876"/>
      <c r="P980" s="876"/>
      <c r="Q980" s="870"/>
      <c r="R980" s="870"/>
      <c r="S980" s="870"/>
      <c r="T980" s="870"/>
      <c r="U980" s="870"/>
      <c r="V980" s="870"/>
      <c r="W980" s="870"/>
      <c r="X980" s="870"/>
      <c r="Y980" s="870"/>
      <c r="Z980" s="870"/>
      <c r="AA980" s="870"/>
      <c r="AB980" s="870"/>
      <c r="AC980" s="870"/>
      <c r="AD980" s="870"/>
      <c r="AE980" s="870"/>
      <c r="AF980" s="870"/>
      <c r="AG980" s="870"/>
    </row>
    <row r="981" spans="1:33" s="995" customFormat="1">
      <c r="A981" s="974"/>
      <c r="D981" s="876"/>
      <c r="E981" s="974"/>
      <c r="F981" s="876"/>
      <c r="G981" s="876"/>
      <c r="H981" s="876"/>
      <c r="I981" s="876"/>
      <c r="J981" s="876"/>
      <c r="K981" s="876"/>
      <c r="L981" s="876"/>
      <c r="M981" s="876"/>
      <c r="N981" s="876"/>
      <c r="O981" s="876"/>
      <c r="P981" s="876"/>
      <c r="Q981" s="870"/>
      <c r="R981" s="870"/>
      <c r="S981" s="870"/>
      <c r="T981" s="870"/>
      <c r="U981" s="870"/>
      <c r="V981" s="870"/>
      <c r="W981" s="870"/>
      <c r="X981" s="870"/>
      <c r="Y981" s="870"/>
      <c r="Z981" s="870"/>
      <c r="AA981" s="870"/>
      <c r="AB981" s="870"/>
      <c r="AC981" s="870"/>
      <c r="AD981" s="870"/>
      <c r="AE981" s="870"/>
      <c r="AF981" s="870"/>
      <c r="AG981" s="870"/>
    </row>
    <row r="982" spans="1:33" s="995" customFormat="1">
      <c r="A982" s="974"/>
      <c r="D982" s="876"/>
      <c r="E982" s="974"/>
      <c r="F982" s="876"/>
      <c r="G982" s="876"/>
      <c r="H982" s="876"/>
      <c r="I982" s="876"/>
      <c r="J982" s="876"/>
      <c r="K982" s="876"/>
      <c r="L982" s="876"/>
      <c r="M982" s="876"/>
      <c r="N982" s="876"/>
      <c r="O982" s="876"/>
      <c r="P982" s="876"/>
      <c r="Q982" s="870"/>
      <c r="R982" s="870"/>
      <c r="S982" s="870"/>
      <c r="T982" s="870"/>
      <c r="U982" s="870"/>
      <c r="V982" s="870"/>
      <c r="W982" s="870"/>
      <c r="X982" s="870"/>
      <c r="Y982" s="870"/>
      <c r="Z982" s="870"/>
      <c r="AA982" s="870"/>
      <c r="AB982" s="870"/>
      <c r="AC982" s="870"/>
      <c r="AD982" s="870"/>
      <c r="AE982" s="870"/>
      <c r="AF982" s="870"/>
      <c r="AG982" s="870"/>
    </row>
    <row r="983" spans="1:33" s="995" customFormat="1">
      <c r="A983" s="974"/>
      <c r="D983" s="876"/>
      <c r="E983" s="974"/>
      <c r="F983" s="876"/>
      <c r="G983" s="876"/>
      <c r="H983" s="876"/>
      <c r="I983" s="876"/>
      <c r="J983" s="876"/>
      <c r="K983" s="876"/>
      <c r="L983" s="876"/>
      <c r="M983" s="876"/>
      <c r="N983" s="876"/>
      <c r="O983" s="876"/>
      <c r="P983" s="876"/>
      <c r="Q983" s="870"/>
      <c r="R983" s="870"/>
      <c r="S983" s="870"/>
      <c r="T983" s="870"/>
      <c r="U983" s="870"/>
      <c r="V983" s="870"/>
      <c r="W983" s="870"/>
      <c r="X983" s="870"/>
      <c r="Y983" s="870"/>
      <c r="Z983" s="870"/>
      <c r="AA983" s="870"/>
      <c r="AB983" s="870"/>
      <c r="AC983" s="870"/>
      <c r="AD983" s="870"/>
      <c r="AE983" s="870"/>
      <c r="AF983" s="870"/>
      <c r="AG983" s="870"/>
    </row>
    <row r="984" spans="1:33" s="995" customFormat="1">
      <c r="A984" s="974"/>
      <c r="D984" s="876"/>
      <c r="E984" s="974"/>
      <c r="F984" s="876"/>
      <c r="G984" s="876"/>
      <c r="H984" s="876"/>
      <c r="I984" s="876"/>
      <c r="J984" s="876"/>
      <c r="K984" s="876"/>
      <c r="L984" s="876"/>
      <c r="M984" s="876"/>
      <c r="N984" s="876"/>
      <c r="O984" s="876"/>
      <c r="P984" s="876"/>
      <c r="Q984" s="870"/>
      <c r="R984" s="870"/>
      <c r="S984" s="870"/>
      <c r="T984" s="870"/>
      <c r="U984" s="870"/>
      <c r="V984" s="870"/>
      <c r="W984" s="870"/>
      <c r="X984" s="870"/>
      <c r="Y984" s="870"/>
      <c r="Z984" s="870"/>
      <c r="AA984" s="870"/>
      <c r="AB984" s="870"/>
      <c r="AC984" s="870"/>
      <c r="AD984" s="870"/>
      <c r="AE984" s="870"/>
      <c r="AF984" s="870"/>
      <c r="AG984" s="870"/>
    </row>
    <row r="985" spans="1:33" s="995" customFormat="1">
      <c r="A985" s="974"/>
      <c r="D985" s="876"/>
      <c r="E985" s="974"/>
      <c r="F985" s="876"/>
      <c r="G985" s="876"/>
      <c r="H985" s="876"/>
      <c r="I985" s="876"/>
      <c r="J985" s="876"/>
      <c r="K985" s="876"/>
      <c r="L985" s="876"/>
      <c r="M985" s="876"/>
      <c r="N985" s="876"/>
      <c r="O985" s="876"/>
      <c r="P985" s="876"/>
      <c r="Q985" s="870"/>
      <c r="R985" s="870"/>
      <c r="S985" s="870"/>
      <c r="T985" s="870"/>
      <c r="U985" s="870"/>
      <c r="V985" s="870"/>
      <c r="W985" s="870"/>
      <c r="X985" s="870"/>
      <c r="Y985" s="870"/>
      <c r="Z985" s="870"/>
      <c r="AA985" s="870"/>
      <c r="AB985" s="870"/>
      <c r="AC985" s="870"/>
      <c r="AD985" s="870"/>
      <c r="AE985" s="870"/>
      <c r="AF985" s="870"/>
      <c r="AG985" s="870"/>
    </row>
    <row r="986" spans="1:33" s="995" customFormat="1">
      <c r="A986" s="974"/>
      <c r="D986" s="876"/>
      <c r="E986" s="974"/>
      <c r="F986" s="876"/>
      <c r="G986" s="876"/>
      <c r="H986" s="876"/>
      <c r="I986" s="876"/>
      <c r="J986" s="876"/>
      <c r="K986" s="876"/>
      <c r="L986" s="876"/>
      <c r="M986" s="876"/>
      <c r="N986" s="876"/>
      <c r="O986" s="876"/>
      <c r="P986" s="876"/>
      <c r="Q986" s="870"/>
      <c r="R986" s="870"/>
      <c r="S986" s="870"/>
      <c r="T986" s="870"/>
      <c r="U986" s="870"/>
      <c r="V986" s="870"/>
      <c r="W986" s="870"/>
      <c r="X986" s="870"/>
      <c r="Y986" s="870"/>
      <c r="Z986" s="870"/>
      <c r="AA986" s="870"/>
      <c r="AB986" s="870"/>
      <c r="AC986" s="870"/>
      <c r="AD986" s="870"/>
      <c r="AE986" s="870"/>
      <c r="AF986" s="870"/>
      <c r="AG986" s="870"/>
    </row>
    <row r="987" spans="1:33" s="995" customFormat="1">
      <c r="A987" s="974"/>
      <c r="D987" s="876"/>
      <c r="E987" s="974"/>
      <c r="F987" s="876"/>
      <c r="G987" s="876"/>
      <c r="H987" s="876"/>
      <c r="I987" s="876"/>
      <c r="J987" s="876"/>
      <c r="K987" s="876"/>
      <c r="L987" s="876"/>
      <c r="M987" s="876"/>
      <c r="N987" s="876"/>
      <c r="O987" s="876"/>
      <c r="P987" s="876"/>
      <c r="Q987" s="870"/>
      <c r="R987" s="870"/>
      <c r="S987" s="870"/>
      <c r="T987" s="870"/>
      <c r="U987" s="870"/>
      <c r="V987" s="870"/>
      <c r="W987" s="870"/>
      <c r="X987" s="870"/>
      <c r="Y987" s="870"/>
      <c r="Z987" s="870"/>
      <c r="AA987" s="870"/>
      <c r="AB987" s="870"/>
      <c r="AC987" s="870"/>
      <c r="AD987" s="870"/>
      <c r="AE987" s="870"/>
      <c r="AF987" s="870"/>
      <c r="AG987" s="870"/>
    </row>
    <row r="988" spans="1:33" s="995" customFormat="1">
      <c r="A988" s="974"/>
      <c r="D988" s="876"/>
      <c r="E988" s="974"/>
      <c r="F988" s="876"/>
      <c r="G988" s="876"/>
      <c r="H988" s="876"/>
      <c r="I988" s="876"/>
      <c r="J988" s="876"/>
      <c r="K988" s="876"/>
      <c r="L988" s="876"/>
      <c r="M988" s="876"/>
      <c r="N988" s="876"/>
      <c r="O988" s="876"/>
      <c r="P988" s="876"/>
      <c r="Q988" s="870"/>
      <c r="R988" s="870"/>
      <c r="S988" s="870"/>
      <c r="T988" s="870"/>
      <c r="U988" s="870"/>
      <c r="V988" s="870"/>
      <c r="W988" s="870"/>
      <c r="X988" s="870"/>
      <c r="Y988" s="870"/>
      <c r="Z988" s="870"/>
      <c r="AA988" s="870"/>
      <c r="AB988" s="870"/>
      <c r="AC988" s="870"/>
      <c r="AD988" s="870"/>
      <c r="AE988" s="870"/>
      <c r="AF988" s="870"/>
      <c r="AG988" s="870"/>
    </row>
    <row r="989" spans="1:33" s="995" customFormat="1">
      <c r="A989" s="974"/>
      <c r="D989" s="876"/>
      <c r="E989" s="974"/>
      <c r="F989" s="876"/>
      <c r="G989" s="876"/>
      <c r="H989" s="876"/>
      <c r="I989" s="876"/>
      <c r="J989" s="876"/>
      <c r="K989" s="876"/>
      <c r="L989" s="876"/>
      <c r="M989" s="876"/>
      <c r="N989" s="876"/>
      <c r="O989" s="876"/>
      <c r="P989" s="876"/>
      <c r="Q989" s="870"/>
      <c r="R989" s="870"/>
      <c r="S989" s="870"/>
      <c r="T989" s="870"/>
      <c r="U989" s="870"/>
      <c r="V989" s="870"/>
      <c r="W989" s="870"/>
      <c r="X989" s="870"/>
      <c r="Y989" s="870"/>
      <c r="Z989" s="870"/>
      <c r="AA989" s="870"/>
      <c r="AB989" s="870"/>
      <c r="AC989" s="870"/>
      <c r="AD989" s="870"/>
      <c r="AE989" s="870"/>
      <c r="AF989" s="870"/>
      <c r="AG989" s="870"/>
    </row>
    <row r="990" spans="1:33" s="995" customFormat="1">
      <c r="A990" s="974"/>
      <c r="D990" s="876"/>
      <c r="E990" s="974"/>
      <c r="F990" s="876"/>
      <c r="G990" s="876"/>
      <c r="H990" s="876"/>
      <c r="I990" s="876"/>
      <c r="J990" s="876"/>
      <c r="K990" s="876"/>
      <c r="L990" s="876"/>
      <c r="M990" s="876"/>
      <c r="N990" s="876"/>
      <c r="O990" s="876"/>
      <c r="P990" s="876"/>
      <c r="Q990" s="870"/>
      <c r="R990" s="870"/>
      <c r="S990" s="870"/>
      <c r="T990" s="870"/>
      <c r="U990" s="870"/>
      <c r="V990" s="870"/>
      <c r="W990" s="870"/>
      <c r="X990" s="870"/>
      <c r="Y990" s="870"/>
      <c r="Z990" s="870"/>
      <c r="AA990" s="870"/>
      <c r="AB990" s="870"/>
      <c r="AC990" s="870"/>
      <c r="AD990" s="870"/>
      <c r="AE990" s="870"/>
      <c r="AF990" s="870"/>
      <c r="AG990" s="870"/>
    </row>
    <row r="991" spans="1:33" s="995" customFormat="1">
      <c r="A991" s="974"/>
      <c r="D991" s="876"/>
      <c r="E991" s="974"/>
      <c r="F991" s="876"/>
      <c r="G991" s="876"/>
      <c r="H991" s="876"/>
      <c r="I991" s="876"/>
      <c r="J991" s="876"/>
      <c r="K991" s="876"/>
      <c r="L991" s="876"/>
      <c r="M991" s="876"/>
      <c r="N991" s="876"/>
      <c r="O991" s="876"/>
      <c r="P991" s="876"/>
      <c r="Q991" s="870"/>
      <c r="R991" s="870"/>
      <c r="S991" s="870"/>
      <c r="T991" s="870"/>
      <c r="U991" s="870"/>
      <c r="V991" s="870"/>
      <c r="W991" s="870"/>
      <c r="X991" s="870"/>
      <c r="Y991" s="870"/>
      <c r="Z991" s="870"/>
      <c r="AA991" s="870"/>
      <c r="AB991" s="870"/>
      <c r="AC991" s="870"/>
      <c r="AD991" s="870"/>
      <c r="AE991" s="870"/>
      <c r="AF991" s="870"/>
      <c r="AG991" s="870"/>
    </row>
    <row r="992" spans="1:33" s="995" customFormat="1">
      <c r="A992" s="974"/>
      <c r="D992" s="876"/>
      <c r="E992" s="974"/>
      <c r="F992" s="876"/>
      <c r="G992" s="876"/>
      <c r="H992" s="876"/>
      <c r="I992" s="876"/>
      <c r="J992" s="876"/>
      <c r="K992" s="876"/>
      <c r="L992" s="876"/>
      <c r="M992" s="876"/>
      <c r="N992" s="876"/>
      <c r="O992" s="876"/>
      <c r="P992" s="876"/>
      <c r="Q992" s="870"/>
      <c r="R992" s="870"/>
      <c r="S992" s="870"/>
      <c r="T992" s="870"/>
      <c r="U992" s="870"/>
      <c r="V992" s="870"/>
      <c r="W992" s="870"/>
      <c r="X992" s="870"/>
      <c r="Y992" s="870"/>
      <c r="Z992" s="870"/>
      <c r="AA992" s="870"/>
      <c r="AB992" s="870"/>
      <c r="AC992" s="870"/>
      <c r="AD992" s="870"/>
      <c r="AE992" s="870"/>
      <c r="AF992" s="870"/>
      <c r="AG992" s="870"/>
    </row>
    <row r="993" spans="1:33" s="995" customFormat="1">
      <c r="A993" s="974"/>
      <c r="D993" s="876"/>
      <c r="E993" s="974"/>
      <c r="F993" s="876"/>
      <c r="G993" s="876"/>
      <c r="H993" s="876"/>
      <c r="I993" s="876"/>
      <c r="J993" s="876"/>
      <c r="K993" s="876"/>
      <c r="L993" s="876"/>
      <c r="M993" s="876"/>
      <c r="N993" s="876"/>
      <c r="O993" s="876"/>
      <c r="P993" s="876"/>
      <c r="Q993" s="870"/>
      <c r="R993" s="870"/>
      <c r="S993" s="870"/>
      <c r="T993" s="870"/>
      <c r="U993" s="870"/>
      <c r="V993" s="870"/>
      <c r="W993" s="870"/>
      <c r="X993" s="870"/>
      <c r="Y993" s="870"/>
      <c r="Z993" s="870"/>
      <c r="AA993" s="870"/>
      <c r="AB993" s="870"/>
      <c r="AC993" s="870"/>
      <c r="AD993" s="870"/>
      <c r="AE993" s="870"/>
      <c r="AF993" s="870"/>
      <c r="AG993" s="870"/>
    </row>
    <row r="994" spans="1:33" s="995" customFormat="1">
      <c r="A994" s="974"/>
      <c r="D994" s="876"/>
      <c r="E994" s="974"/>
      <c r="F994" s="876"/>
      <c r="G994" s="876"/>
      <c r="H994" s="876"/>
      <c r="I994" s="876"/>
      <c r="J994" s="876"/>
      <c r="K994" s="876"/>
      <c r="L994" s="876"/>
      <c r="M994" s="876"/>
      <c r="N994" s="876"/>
      <c r="O994" s="876"/>
      <c r="P994" s="876"/>
      <c r="Q994" s="870"/>
      <c r="R994" s="870"/>
      <c r="S994" s="870"/>
      <c r="T994" s="870"/>
      <c r="U994" s="870"/>
      <c r="V994" s="870"/>
      <c r="W994" s="870"/>
      <c r="X994" s="870"/>
      <c r="Y994" s="870"/>
      <c r="Z994" s="870"/>
      <c r="AA994" s="870"/>
      <c r="AB994" s="870"/>
      <c r="AC994" s="870"/>
      <c r="AD994" s="870"/>
      <c r="AE994" s="870"/>
      <c r="AF994" s="870"/>
      <c r="AG994" s="870"/>
    </row>
    <row r="995" spans="1:33" s="995" customFormat="1">
      <c r="A995" s="974"/>
      <c r="D995" s="876"/>
      <c r="E995" s="974"/>
      <c r="F995" s="876"/>
      <c r="G995" s="876"/>
      <c r="H995" s="876"/>
      <c r="I995" s="876"/>
      <c r="J995" s="876"/>
      <c r="K995" s="876"/>
      <c r="L995" s="876"/>
      <c r="M995" s="876"/>
      <c r="N995" s="876"/>
      <c r="O995" s="876"/>
      <c r="P995" s="876"/>
      <c r="Q995" s="870"/>
      <c r="R995" s="870"/>
      <c r="S995" s="870"/>
      <c r="T995" s="870"/>
      <c r="U995" s="870"/>
      <c r="V995" s="870"/>
      <c r="W995" s="870"/>
      <c r="X995" s="870"/>
      <c r="Y995" s="870"/>
      <c r="Z995" s="870"/>
      <c r="AA995" s="870"/>
      <c r="AB995" s="870"/>
      <c r="AC995" s="870"/>
      <c r="AD995" s="870"/>
      <c r="AE995" s="870"/>
      <c r="AF995" s="870"/>
      <c r="AG995" s="870"/>
    </row>
    <row r="996" spans="1:33" s="995" customFormat="1">
      <c r="A996" s="974"/>
      <c r="D996" s="876"/>
      <c r="E996" s="974"/>
      <c r="F996" s="876"/>
      <c r="G996" s="876"/>
      <c r="H996" s="876"/>
      <c r="I996" s="876"/>
      <c r="J996" s="876"/>
      <c r="K996" s="876"/>
      <c r="L996" s="876"/>
      <c r="M996" s="876"/>
      <c r="N996" s="876"/>
      <c r="O996" s="876"/>
      <c r="P996" s="876"/>
      <c r="Q996" s="870"/>
      <c r="R996" s="870"/>
      <c r="S996" s="870"/>
      <c r="T996" s="870"/>
      <c r="U996" s="870"/>
      <c r="V996" s="870"/>
      <c r="W996" s="870"/>
      <c r="X996" s="870"/>
      <c r="Y996" s="870"/>
      <c r="Z996" s="870"/>
      <c r="AA996" s="870"/>
      <c r="AB996" s="870"/>
      <c r="AC996" s="870"/>
      <c r="AD996" s="870"/>
      <c r="AE996" s="870"/>
      <c r="AF996" s="870"/>
      <c r="AG996" s="870"/>
    </row>
    <row r="997" spans="1:33" s="995" customFormat="1">
      <c r="A997" s="974"/>
      <c r="D997" s="876"/>
      <c r="E997" s="974"/>
      <c r="F997" s="876"/>
      <c r="G997" s="876"/>
      <c r="H997" s="876"/>
      <c r="I997" s="876"/>
      <c r="J997" s="876"/>
      <c r="K997" s="876"/>
      <c r="L997" s="876"/>
      <c r="M997" s="876"/>
      <c r="N997" s="876"/>
      <c r="O997" s="876"/>
      <c r="P997" s="876"/>
      <c r="Q997" s="870"/>
      <c r="R997" s="870"/>
      <c r="S997" s="870"/>
      <c r="T997" s="870"/>
      <c r="U997" s="870"/>
      <c r="V997" s="870"/>
      <c r="W997" s="870"/>
      <c r="X997" s="870"/>
      <c r="Y997" s="870"/>
      <c r="Z997" s="870"/>
      <c r="AA997" s="870"/>
      <c r="AB997" s="870"/>
      <c r="AC997" s="870"/>
      <c r="AD997" s="870"/>
      <c r="AE997" s="870"/>
      <c r="AF997" s="870"/>
      <c r="AG997" s="870"/>
    </row>
    <row r="998" spans="1:33" s="995" customFormat="1">
      <c r="A998" s="974"/>
      <c r="D998" s="876"/>
      <c r="E998" s="974"/>
      <c r="F998" s="876"/>
      <c r="G998" s="876"/>
      <c r="H998" s="876"/>
      <c r="I998" s="876"/>
      <c r="J998" s="876"/>
      <c r="K998" s="876"/>
      <c r="L998" s="876"/>
      <c r="M998" s="876"/>
      <c r="N998" s="876"/>
      <c r="O998" s="876"/>
      <c r="P998" s="876"/>
      <c r="Q998" s="870"/>
      <c r="R998" s="870"/>
      <c r="S998" s="870"/>
      <c r="T998" s="870"/>
      <c r="U998" s="870"/>
      <c r="V998" s="870"/>
      <c r="W998" s="870"/>
      <c r="X998" s="870"/>
      <c r="Y998" s="870"/>
      <c r="Z998" s="870"/>
      <c r="AA998" s="870"/>
      <c r="AB998" s="870"/>
      <c r="AC998" s="870"/>
      <c r="AD998" s="870"/>
      <c r="AE998" s="870"/>
      <c r="AF998" s="870"/>
      <c r="AG998" s="870"/>
    </row>
    <row r="999" spans="1:33" s="995" customFormat="1">
      <c r="A999" s="974"/>
      <c r="D999" s="876"/>
      <c r="E999" s="974"/>
      <c r="F999" s="876"/>
      <c r="G999" s="876"/>
      <c r="H999" s="876"/>
      <c r="I999" s="876"/>
      <c r="J999" s="876"/>
      <c r="K999" s="876"/>
      <c r="L999" s="876"/>
      <c r="M999" s="876"/>
      <c r="N999" s="876"/>
      <c r="O999" s="876"/>
      <c r="P999" s="876"/>
      <c r="Q999" s="870"/>
      <c r="R999" s="870"/>
      <c r="S999" s="870"/>
      <c r="T999" s="870"/>
      <c r="U999" s="870"/>
      <c r="V999" s="870"/>
      <c r="W999" s="870"/>
      <c r="X999" s="870"/>
      <c r="Y999" s="870"/>
      <c r="Z999" s="870"/>
      <c r="AA999" s="870"/>
      <c r="AB999" s="870"/>
      <c r="AC999" s="870"/>
      <c r="AD999" s="870"/>
      <c r="AE999" s="870"/>
      <c r="AF999" s="870"/>
      <c r="AG999" s="870"/>
    </row>
    <row r="1000" spans="1:33" s="995" customFormat="1">
      <c r="A1000" s="974"/>
      <c r="D1000" s="876"/>
      <c r="E1000" s="974"/>
      <c r="F1000" s="876"/>
      <c r="G1000" s="876"/>
      <c r="H1000" s="876"/>
      <c r="I1000" s="876"/>
      <c r="J1000" s="876"/>
      <c r="K1000" s="876"/>
      <c r="L1000" s="876"/>
      <c r="M1000" s="876"/>
      <c r="N1000" s="876"/>
      <c r="O1000" s="876"/>
      <c r="P1000" s="876"/>
      <c r="Q1000" s="870"/>
      <c r="R1000" s="870"/>
      <c r="S1000" s="870"/>
      <c r="T1000" s="870"/>
      <c r="U1000" s="870"/>
      <c r="V1000" s="870"/>
      <c r="W1000" s="870"/>
      <c r="X1000" s="870"/>
      <c r="Y1000" s="870"/>
      <c r="Z1000" s="870"/>
      <c r="AA1000" s="870"/>
      <c r="AB1000" s="870"/>
      <c r="AC1000" s="870"/>
      <c r="AD1000" s="870"/>
      <c r="AE1000" s="870"/>
      <c r="AF1000" s="870"/>
      <c r="AG1000" s="870"/>
    </row>
    <row r="1001" spans="1:33" s="995" customFormat="1">
      <c r="A1001" s="974"/>
      <c r="D1001" s="876"/>
      <c r="E1001" s="974"/>
      <c r="F1001" s="876"/>
      <c r="G1001" s="876"/>
      <c r="H1001" s="876"/>
      <c r="I1001" s="876"/>
      <c r="J1001" s="876"/>
      <c r="K1001" s="876"/>
      <c r="L1001" s="876"/>
      <c r="M1001" s="876"/>
      <c r="N1001" s="876"/>
      <c r="O1001" s="876"/>
      <c r="P1001" s="876"/>
      <c r="Q1001" s="870"/>
      <c r="R1001" s="870"/>
      <c r="S1001" s="870"/>
      <c r="T1001" s="870"/>
      <c r="U1001" s="870"/>
      <c r="V1001" s="870"/>
      <c r="W1001" s="870"/>
      <c r="X1001" s="870"/>
      <c r="Y1001" s="870"/>
      <c r="Z1001" s="870"/>
      <c r="AA1001" s="870"/>
      <c r="AB1001" s="870"/>
      <c r="AC1001" s="870"/>
      <c r="AD1001" s="870"/>
      <c r="AE1001" s="870"/>
      <c r="AF1001" s="870"/>
      <c r="AG1001" s="870"/>
    </row>
    <row r="1002" spans="1:33" s="995" customFormat="1">
      <c r="A1002" s="974"/>
      <c r="D1002" s="876"/>
      <c r="E1002" s="974"/>
      <c r="F1002" s="876"/>
      <c r="G1002" s="876"/>
      <c r="H1002" s="876"/>
      <c r="I1002" s="876"/>
      <c r="J1002" s="876"/>
      <c r="K1002" s="876"/>
      <c r="L1002" s="876"/>
      <c r="M1002" s="876"/>
      <c r="N1002" s="876"/>
      <c r="O1002" s="876"/>
      <c r="P1002" s="876"/>
      <c r="Q1002" s="870"/>
      <c r="R1002" s="870"/>
      <c r="S1002" s="870"/>
      <c r="T1002" s="870"/>
      <c r="U1002" s="870"/>
      <c r="V1002" s="870"/>
      <c r="W1002" s="870"/>
      <c r="X1002" s="870"/>
      <c r="Y1002" s="870"/>
      <c r="Z1002" s="870"/>
      <c r="AA1002" s="870"/>
      <c r="AB1002" s="870"/>
      <c r="AC1002" s="870"/>
      <c r="AD1002" s="870"/>
      <c r="AE1002" s="870"/>
      <c r="AF1002" s="870"/>
      <c r="AG1002" s="870"/>
    </row>
    <row r="1003" spans="1:33" s="995" customFormat="1">
      <c r="A1003" s="974"/>
      <c r="D1003" s="876"/>
      <c r="E1003" s="974"/>
      <c r="F1003" s="876"/>
      <c r="G1003" s="876"/>
      <c r="H1003" s="876"/>
      <c r="I1003" s="876"/>
      <c r="J1003" s="876"/>
      <c r="K1003" s="876"/>
      <c r="L1003" s="876"/>
      <c r="M1003" s="876"/>
      <c r="N1003" s="876"/>
      <c r="O1003" s="876"/>
      <c r="P1003" s="876"/>
      <c r="Q1003" s="870"/>
      <c r="R1003" s="870"/>
      <c r="S1003" s="870"/>
      <c r="T1003" s="870"/>
      <c r="U1003" s="870"/>
      <c r="V1003" s="870"/>
      <c r="W1003" s="870"/>
      <c r="X1003" s="870"/>
      <c r="Y1003" s="870"/>
      <c r="Z1003" s="870"/>
      <c r="AA1003" s="870"/>
      <c r="AB1003" s="870"/>
      <c r="AC1003" s="870"/>
      <c r="AD1003" s="870"/>
      <c r="AE1003" s="870"/>
      <c r="AF1003" s="870"/>
      <c r="AG1003" s="870"/>
    </row>
    <row r="1004" spans="1:33" s="995" customFormat="1">
      <c r="A1004" s="974"/>
      <c r="D1004" s="876"/>
      <c r="E1004" s="974"/>
      <c r="F1004" s="876"/>
      <c r="G1004" s="876"/>
      <c r="H1004" s="876"/>
      <c r="I1004" s="876"/>
      <c r="J1004" s="876"/>
      <c r="K1004" s="876"/>
      <c r="L1004" s="876"/>
      <c r="M1004" s="876"/>
      <c r="N1004" s="876"/>
      <c r="O1004" s="876"/>
      <c r="P1004" s="876"/>
      <c r="Q1004" s="870"/>
      <c r="R1004" s="870"/>
      <c r="S1004" s="870"/>
      <c r="T1004" s="870"/>
      <c r="U1004" s="870"/>
      <c r="V1004" s="870"/>
      <c r="W1004" s="870"/>
      <c r="X1004" s="870"/>
      <c r="Y1004" s="870"/>
      <c r="Z1004" s="870"/>
      <c r="AA1004" s="870"/>
      <c r="AB1004" s="870"/>
      <c r="AC1004" s="870"/>
      <c r="AD1004" s="870"/>
      <c r="AE1004" s="870"/>
      <c r="AF1004" s="870"/>
      <c r="AG1004" s="870"/>
    </row>
    <row r="1005" spans="1:33" s="995" customFormat="1">
      <c r="A1005" s="974"/>
      <c r="D1005" s="876"/>
      <c r="E1005" s="974"/>
      <c r="F1005" s="876"/>
      <c r="G1005" s="876"/>
      <c r="H1005" s="876"/>
      <c r="I1005" s="876"/>
      <c r="J1005" s="876"/>
      <c r="K1005" s="876"/>
      <c r="L1005" s="876"/>
      <c r="M1005" s="876"/>
      <c r="N1005" s="876"/>
      <c r="O1005" s="876"/>
      <c r="P1005" s="876"/>
      <c r="Q1005" s="870"/>
      <c r="R1005" s="870"/>
      <c r="S1005" s="870"/>
      <c r="T1005" s="870"/>
      <c r="U1005" s="870"/>
      <c r="V1005" s="870"/>
      <c r="W1005" s="870"/>
      <c r="X1005" s="870"/>
      <c r="Y1005" s="870"/>
      <c r="Z1005" s="870"/>
      <c r="AA1005" s="870"/>
      <c r="AB1005" s="870"/>
      <c r="AC1005" s="870"/>
      <c r="AD1005" s="870"/>
      <c r="AE1005" s="870"/>
      <c r="AF1005" s="870"/>
      <c r="AG1005" s="870"/>
    </row>
    <row r="1006" spans="1:33" s="995" customFormat="1">
      <c r="A1006" s="974"/>
      <c r="D1006" s="876"/>
      <c r="E1006" s="974"/>
      <c r="F1006" s="876"/>
      <c r="G1006" s="876"/>
      <c r="H1006" s="876"/>
      <c r="I1006" s="876"/>
      <c r="J1006" s="876"/>
      <c r="K1006" s="876"/>
      <c r="L1006" s="876"/>
      <c r="M1006" s="876"/>
      <c r="N1006" s="876"/>
      <c r="O1006" s="876"/>
      <c r="P1006" s="876"/>
      <c r="Q1006" s="870"/>
      <c r="R1006" s="870"/>
      <c r="S1006" s="870"/>
      <c r="T1006" s="870"/>
      <c r="U1006" s="870"/>
      <c r="V1006" s="870"/>
      <c r="W1006" s="870"/>
      <c r="X1006" s="870"/>
      <c r="Y1006" s="870"/>
      <c r="Z1006" s="870"/>
      <c r="AA1006" s="870"/>
      <c r="AB1006" s="870"/>
      <c r="AC1006" s="870"/>
      <c r="AD1006" s="870"/>
      <c r="AE1006" s="870"/>
      <c r="AF1006" s="870"/>
      <c r="AG1006" s="870"/>
    </row>
    <row r="1007" spans="1:33" s="995" customFormat="1">
      <c r="A1007" s="974"/>
      <c r="D1007" s="876"/>
      <c r="E1007" s="974"/>
      <c r="F1007" s="876"/>
      <c r="G1007" s="876"/>
      <c r="H1007" s="876"/>
      <c r="I1007" s="876"/>
      <c r="J1007" s="876"/>
      <c r="K1007" s="876"/>
      <c r="L1007" s="876"/>
      <c r="M1007" s="876"/>
      <c r="N1007" s="876"/>
      <c r="O1007" s="876"/>
      <c r="P1007" s="876"/>
      <c r="Q1007" s="870"/>
      <c r="R1007" s="870"/>
      <c r="S1007" s="870"/>
      <c r="T1007" s="870"/>
      <c r="U1007" s="870"/>
      <c r="V1007" s="870"/>
      <c r="W1007" s="870"/>
      <c r="X1007" s="870"/>
      <c r="Y1007" s="870"/>
      <c r="Z1007" s="870"/>
      <c r="AA1007" s="870"/>
      <c r="AB1007" s="870"/>
      <c r="AC1007" s="870"/>
      <c r="AD1007" s="870"/>
      <c r="AE1007" s="870"/>
      <c r="AF1007" s="870"/>
      <c r="AG1007" s="870"/>
    </row>
    <row r="1008" spans="1:33" s="995" customFormat="1">
      <c r="A1008" s="974"/>
      <c r="D1008" s="876"/>
      <c r="E1008" s="974"/>
      <c r="F1008" s="876"/>
      <c r="G1008" s="876"/>
      <c r="H1008" s="876"/>
      <c r="I1008" s="876"/>
      <c r="J1008" s="876"/>
      <c r="K1008" s="876"/>
      <c r="L1008" s="876"/>
      <c r="M1008" s="876"/>
      <c r="N1008" s="876"/>
      <c r="O1008" s="876"/>
      <c r="P1008" s="876"/>
      <c r="Q1008" s="870"/>
      <c r="R1008" s="870"/>
      <c r="S1008" s="870"/>
      <c r="T1008" s="870"/>
      <c r="U1008" s="870"/>
      <c r="V1008" s="870"/>
      <c r="W1008" s="870"/>
      <c r="X1008" s="870"/>
      <c r="Y1008" s="870"/>
      <c r="Z1008" s="870"/>
      <c r="AA1008" s="870"/>
      <c r="AB1008" s="870"/>
      <c r="AC1008" s="870"/>
      <c r="AD1008" s="870"/>
      <c r="AE1008" s="870"/>
      <c r="AF1008" s="870"/>
      <c r="AG1008" s="870"/>
    </row>
    <row r="1009" spans="1:33" s="995" customFormat="1">
      <c r="A1009" s="974"/>
      <c r="D1009" s="876"/>
      <c r="E1009" s="974"/>
      <c r="F1009" s="876"/>
      <c r="G1009" s="876"/>
      <c r="H1009" s="876"/>
      <c r="I1009" s="876"/>
      <c r="J1009" s="876"/>
      <c r="K1009" s="876"/>
      <c r="L1009" s="876"/>
      <c r="M1009" s="876"/>
      <c r="N1009" s="876"/>
      <c r="O1009" s="876"/>
      <c r="P1009" s="876"/>
      <c r="Q1009" s="870"/>
      <c r="R1009" s="870"/>
      <c r="S1009" s="870"/>
      <c r="T1009" s="870"/>
      <c r="U1009" s="870"/>
      <c r="V1009" s="870"/>
      <c r="W1009" s="870"/>
      <c r="X1009" s="870"/>
      <c r="Y1009" s="870"/>
      <c r="Z1009" s="870"/>
      <c r="AA1009" s="870"/>
      <c r="AB1009" s="870"/>
      <c r="AC1009" s="870"/>
      <c r="AD1009" s="870"/>
      <c r="AE1009" s="870"/>
      <c r="AF1009" s="870"/>
      <c r="AG1009" s="870"/>
    </row>
    <row r="1010" spans="1:33" s="995" customFormat="1">
      <c r="A1010" s="974"/>
      <c r="D1010" s="876"/>
      <c r="E1010" s="974"/>
      <c r="F1010" s="876"/>
      <c r="G1010" s="876"/>
      <c r="H1010" s="876"/>
      <c r="I1010" s="876"/>
      <c r="J1010" s="876"/>
      <c r="K1010" s="876"/>
      <c r="L1010" s="876"/>
      <c r="M1010" s="876"/>
      <c r="N1010" s="876"/>
      <c r="O1010" s="876"/>
      <c r="P1010" s="876"/>
      <c r="Q1010" s="870"/>
      <c r="R1010" s="870"/>
      <c r="S1010" s="870"/>
      <c r="T1010" s="870"/>
      <c r="U1010" s="870"/>
      <c r="V1010" s="870"/>
      <c r="W1010" s="870"/>
      <c r="X1010" s="870"/>
      <c r="Y1010" s="870"/>
      <c r="Z1010" s="870"/>
      <c r="AA1010" s="870"/>
      <c r="AB1010" s="870"/>
      <c r="AC1010" s="870"/>
      <c r="AD1010" s="870"/>
      <c r="AE1010" s="870"/>
      <c r="AF1010" s="870"/>
      <c r="AG1010" s="870"/>
    </row>
    <row r="1011" spans="1:33" s="995" customFormat="1">
      <c r="A1011" s="974"/>
      <c r="D1011" s="876"/>
      <c r="E1011" s="974"/>
      <c r="F1011" s="876"/>
      <c r="G1011" s="876"/>
      <c r="H1011" s="876"/>
      <c r="I1011" s="876"/>
      <c r="J1011" s="876"/>
      <c r="K1011" s="876"/>
      <c r="L1011" s="876"/>
      <c r="M1011" s="876"/>
      <c r="N1011" s="876"/>
      <c r="O1011" s="876"/>
      <c r="P1011" s="876"/>
      <c r="Q1011" s="870"/>
      <c r="R1011" s="870"/>
      <c r="S1011" s="870"/>
      <c r="T1011" s="870"/>
      <c r="U1011" s="870"/>
      <c r="V1011" s="870"/>
      <c r="W1011" s="870"/>
      <c r="X1011" s="870"/>
      <c r="Y1011" s="870"/>
      <c r="Z1011" s="870"/>
      <c r="AA1011" s="870"/>
      <c r="AB1011" s="870"/>
      <c r="AC1011" s="870"/>
      <c r="AD1011" s="870"/>
      <c r="AE1011" s="870"/>
      <c r="AF1011" s="870"/>
      <c r="AG1011" s="870"/>
    </row>
    <row r="1012" spans="1:33" s="995" customFormat="1">
      <c r="A1012" s="974"/>
      <c r="D1012" s="876"/>
      <c r="E1012" s="974"/>
      <c r="F1012" s="876"/>
      <c r="G1012" s="876"/>
      <c r="H1012" s="876"/>
      <c r="I1012" s="876"/>
      <c r="J1012" s="876"/>
      <c r="K1012" s="876"/>
      <c r="L1012" s="876"/>
      <c r="M1012" s="876"/>
      <c r="N1012" s="876"/>
      <c r="O1012" s="876"/>
      <c r="P1012" s="876"/>
      <c r="Q1012" s="870"/>
      <c r="R1012" s="870"/>
      <c r="S1012" s="870"/>
      <c r="T1012" s="870"/>
      <c r="U1012" s="870"/>
      <c r="V1012" s="870"/>
      <c r="W1012" s="870"/>
      <c r="X1012" s="870"/>
      <c r="Y1012" s="870"/>
      <c r="Z1012" s="870"/>
      <c r="AA1012" s="870"/>
      <c r="AB1012" s="870"/>
      <c r="AC1012" s="870"/>
      <c r="AD1012" s="870"/>
      <c r="AE1012" s="870"/>
      <c r="AF1012" s="870"/>
      <c r="AG1012" s="870"/>
    </row>
    <row r="1013" spans="1:33" s="995" customFormat="1">
      <c r="A1013" s="974"/>
      <c r="D1013" s="876"/>
      <c r="E1013" s="974"/>
      <c r="F1013" s="876"/>
      <c r="G1013" s="876"/>
      <c r="H1013" s="876"/>
      <c r="I1013" s="876"/>
      <c r="J1013" s="876"/>
      <c r="K1013" s="876"/>
      <c r="L1013" s="876"/>
      <c r="M1013" s="876"/>
      <c r="N1013" s="876"/>
      <c r="O1013" s="876"/>
      <c r="P1013" s="876"/>
      <c r="Q1013" s="870"/>
      <c r="R1013" s="870"/>
      <c r="S1013" s="870"/>
      <c r="T1013" s="870"/>
      <c r="U1013" s="870"/>
      <c r="V1013" s="870"/>
      <c r="W1013" s="870"/>
      <c r="X1013" s="870"/>
      <c r="Y1013" s="870"/>
      <c r="Z1013" s="870"/>
      <c r="AA1013" s="870"/>
      <c r="AB1013" s="870"/>
      <c r="AC1013" s="870"/>
      <c r="AD1013" s="870"/>
      <c r="AE1013" s="870"/>
      <c r="AF1013" s="870"/>
      <c r="AG1013" s="870"/>
    </row>
    <row r="1014" spans="1:33" s="995" customFormat="1">
      <c r="A1014" s="974"/>
      <c r="D1014" s="876"/>
      <c r="E1014" s="974"/>
      <c r="F1014" s="876"/>
      <c r="G1014" s="876"/>
      <c r="H1014" s="876"/>
      <c r="I1014" s="876"/>
      <c r="J1014" s="876"/>
      <c r="K1014" s="876"/>
      <c r="L1014" s="876"/>
      <c r="M1014" s="876"/>
      <c r="N1014" s="876"/>
      <c r="O1014" s="876"/>
      <c r="P1014" s="876"/>
      <c r="Q1014" s="870"/>
      <c r="R1014" s="870"/>
      <c r="S1014" s="870"/>
      <c r="T1014" s="870"/>
      <c r="U1014" s="870"/>
      <c r="V1014" s="870"/>
      <c r="W1014" s="870"/>
      <c r="X1014" s="870"/>
      <c r="Y1014" s="870"/>
      <c r="Z1014" s="870"/>
      <c r="AA1014" s="870"/>
      <c r="AB1014" s="870"/>
      <c r="AC1014" s="870"/>
      <c r="AD1014" s="870"/>
      <c r="AE1014" s="870"/>
      <c r="AF1014" s="870"/>
      <c r="AG1014" s="870"/>
    </row>
    <row r="1015" spans="1:33" s="995" customFormat="1">
      <c r="A1015" s="974"/>
      <c r="D1015" s="876"/>
      <c r="E1015" s="974"/>
      <c r="F1015" s="876"/>
      <c r="G1015" s="876"/>
      <c r="H1015" s="876"/>
      <c r="I1015" s="876"/>
      <c r="J1015" s="876"/>
      <c r="K1015" s="876"/>
      <c r="L1015" s="876"/>
      <c r="M1015" s="876"/>
      <c r="N1015" s="876"/>
      <c r="O1015" s="876"/>
      <c r="P1015" s="876"/>
      <c r="Q1015" s="870"/>
      <c r="R1015" s="870"/>
      <c r="S1015" s="870"/>
      <c r="T1015" s="870"/>
      <c r="U1015" s="870"/>
      <c r="V1015" s="870"/>
      <c r="W1015" s="870"/>
      <c r="X1015" s="870"/>
      <c r="Y1015" s="870"/>
      <c r="Z1015" s="870"/>
      <c r="AA1015" s="870"/>
      <c r="AB1015" s="870"/>
      <c r="AC1015" s="870"/>
      <c r="AD1015" s="870"/>
      <c r="AE1015" s="870"/>
      <c r="AF1015" s="870"/>
      <c r="AG1015" s="870"/>
    </row>
    <row r="1016" spans="1:33" s="995" customFormat="1">
      <c r="A1016" s="974"/>
      <c r="D1016" s="876"/>
      <c r="E1016" s="974"/>
      <c r="F1016" s="876"/>
      <c r="G1016" s="876"/>
      <c r="H1016" s="876"/>
      <c r="I1016" s="876"/>
      <c r="J1016" s="876"/>
      <c r="K1016" s="876"/>
      <c r="L1016" s="876"/>
      <c r="M1016" s="876"/>
      <c r="N1016" s="876"/>
      <c r="O1016" s="876"/>
      <c r="P1016" s="876"/>
      <c r="Q1016" s="870"/>
      <c r="R1016" s="870"/>
      <c r="S1016" s="870"/>
      <c r="T1016" s="870"/>
      <c r="U1016" s="870"/>
      <c r="V1016" s="870"/>
      <c r="W1016" s="870"/>
      <c r="X1016" s="870"/>
      <c r="Y1016" s="870"/>
      <c r="Z1016" s="870"/>
      <c r="AA1016" s="870"/>
      <c r="AB1016" s="870"/>
      <c r="AC1016" s="870"/>
      <c r="AD1016" s="870"/>
      <c r="AE1016" s="870"/>
      <c r="AF1016" s="870"/>
      <c r="AG1016" s="870"/>
    </row>
    <row r="1017" spans="1:33" s="995" customFormat="1">
      <c r="A1017" s="974"/>
      <c r="D1017" s="876"/>
      <c r="E1017" s="974"/>
      <c r="F1017" s="876"/>
      <c r="G1017" s="876"/>
      <c r="H1017" s="876"/>
      <c r="I1017" s="876"/>
      <c r="J1017" s="876"/>
      <c r="K1017" s="876"/>
      <c r="L1017" s="876"/>
      <c r="M1017" s="876"/>
      <c r="N1017" s="876"/>
      <c r="O1017" s="876"/>
      <c r="P1017" s="876"/>
      <c r="Q1017" s="870"/>
      <c r="R1017" s="870"/>
      <c r="S1017" s="870"/>
      <c r="T1017" s="870"/>
      <c r="U1017" s="870"/>
      <c r="V1017" s="870"/>
      <c r="W1017" s="870"/>
      <c r="X1017" s="870"/>
      <c r="Y1017" s="870"/>
      <c r="Z1017" s="870"/>
      <c r="AA1017" s="870"/>
      <c r="AB1017" s="870"/>
      <c r="AC1017" s="870"/>
      <c r="AD1017" s="870"/>
      <c r="AE1017" s="870"/>
      <c r="AF1017" s="870"/>
      <c r="AG1017" s="870"/>
    </row>
    <row r="1018" spans="1:33" s="995" customFormat="1">
      <c r="A1018" s="974"/>
      <c r="D1018" s="876"/>
      <c r="E1018" s="974"/>
      <c r="F1018" s="876"/>
      <c r="G1018" s="876"/>
      <c r="H1018" s="876"/>
      <c r="I1018" s="876"/>
      <c r="J1018" s="876"/>
      <c r="K1018" s="876"/>
      <c r="L1018" s="876"/>
      <c r="M1018" s="876"/>
      <c r="N1018" s="876"/>
      <c r="O1018" s="876"/>
      <c r="P1018" s="876"/>
      <c r="Q1018" s="870"/>
      <c r="R1018" s="870"/>
      <c r="S1018" s="870"/>
      <c r="T1018" s="870"/>
      <c r="U1018" s="870"/>
      <c r="V1018" s="870"/>
      <c r="W1018" s="870"/>
      <c r="X1018" s="870"/>
      <c r="Y1018" s="870"/>
      <c r="Z1018" s="870"/>
      <c r="AA1018" s="870"/>
      <c r="AB1018" s="870"/>
      <c r="AC1018" s="870"/>
      <c r="AD1018" s="870"/>
      <c r="AE1018" s="870"/>
      <c r="AF1018" s="870"/>
      <c r="AG1018" s="870"/>
    </row>
    <row r="1019" spans="1:33" s="995" customFormat="1">
      <c r="A1019" s="974"/>
      <c r="D1019" s="876"/>
      <c r="E1019" s="974"/>
      <c r="F1019" s="876"/>
      <c r="G1019" s="876"/>
      <c r="H1019" s="876"/>
      <c r="I1019" s="876"/>
      <c r="J1019" s="876"/>
      <c r="K1019" s="876"/>
      <c r="L1019" s="876"/>
      <c r="M1019" s="876"/>
      <c r="N1019" s="876"/>
      <c r="O1019" s="876"/>
      <c r="P1019" s="876"/>
      <c r="Q1019" s="870"/>
      <c r="R1019" s="870"/>
      <c r="S1019" s="870"/>
      <c r="T1019" s="870"/>
      <c r="U1019" s="870"/>
      <c r="V1019" s="870"/>
      <c r="W1019" s="870"/>
      <c r="X1019" s="870"/>
      <c r="Y1019" s="870"/>
      <c r="Z1019" s="870"/>
      <c r="AA1019" s="870"/>
      <c r="AB1019" s="870"/>
      <c r="AC1019" s="870"/>
      <c r="AD1019" s="870"/>
      <c r="AE1019" s="870"/>
      <c r="AF1019" s="870"/>
      <c r="AG1019" s="870"/>
    </row>
    <row r="1020" spans="1:33" s="995" customFormat="1">
      <c r="A1020" s="974"/>
      <c r="D1020" s="876"/>
      <c r="E1020" s="974"/>
      <c r="F1020" s="876"/>
      <c r="G1020" s="876"/>
      <c r="H1020" s="876"/>
      <c r="I1020" s="876"/>
      <c r="J1020" s="876"/>
      <c r="K1020" s="876"/>
      <c r="L1020" s="876"/>
      <c r="M1020" s="876"/>
      <c r="N1020" s="876"/>
      <c r="O1020" s="876"/>
      <c r="P1020" s="876"/>
      <c r="Q1020" s="870"/>
      <c r="R1020" s="870"/>
      <c r="S1020" s="870"/>
      <c r="T1020" s="870"/>
      <c r="U1020" s="870"/>
      <c r="V1020" s="870"/>
      <c r="W1020" s="870"/>
      <c r="X1020" s="870"/>
      <c r="Y1020" s="870"/>
      <c r="Z1020" s="870"/>
      <c r="AA1020" s="870"/>
      <c r="AB1020" s="870"/>
      <c r="AC1020" s="870"/>
      <c r="AD1020" s="870"/>
      <c r="AE1020" s="870"/>
      <c r="AF1020" s="870"/>
      <c r="AG1020" s="870"/>
    </row>
    <row r="1021" spans="1:33" s="995" customFormat="1">
      <c r="A1021" s="974"/>
      <c r="D1021" s="876"/>
      <c r="E1021" s="974"/>
      <c r="F1021" s="876"/>
      <c r="G1021" s="876"/>
      <c r="H1021" s="876"/>
      <c r="I1021" s="876"/>
      <c r="J1021" s="876"/>
      <c r="K1021" s="876"/>
      <c r="L1021" s="876"/>
      <c r="M1021" s="876"/>
      <c r="N1021" s="876"/>
      <c r="O1021" s="876"/>
      <c r="P1021" s="876"/>
      <c r="Q1021" s="870"/>
      <c r="R1021" s="870"/>
      <c r="S1021" s="870"/>
      <c r="T1021" s="870"/>
      <c r="U1021" s="870"/>
      <c r="V1021" s="870"/>
      <c r="W1021" s="870"/>
      <c r="X1021" s="870"/>
      <c r="Y1021" s="870"/>
      <c r="Z1021" s="870"/>
      <c r="AA1021" s="870"/>
      <c r="AB1021" s="870"/>
      <c r="AC1021" s="870"/>
      <c r="AD1021" s="870"/>
      <c r="AE1021" s="870"/>
      <c r="AF1021" s="870"/>
      <c r="AG1021" s="870"/>
    </row>
    <row r="1022" spans="1:33" s="995" customFormat="1">
      <c r="A1022" s="974"/>
      <c r="D1022" s="876"/>
      <c r="E1022" s="974"/>
      <c r="F1022" s="876"/>
      <c r="G1022" s="876"/>
      <c r="H1022" s="876"/>
      <c r="I1022" s="876"/>
      <c r="J1022" s="876"/>
      <c r="K1022" s="876"/>
      <c r="L1022" s="876"/>
      <c r="M1022" s="876"/>
      <c r="N1022" s="876"/>
      <c r="O1022" s="876"/>
      <c r="P1022" s="876"/>
      <c r="Q1022" s="870"/>
      <c r="R1022" s="870"/>
      <c r="S1022" s="870"/>
      <c r="T1022" s="870"/>
      <c r="U1022" s="870"/>
      <c r="V1022" s="870"/>
      <c r="W1022" s="870"/>
      <c r="X1022" s="870"/>
      <c r="Y1022" s="870"/>
      <c r="Z1022" s="870"/>
      <c r="AA1022" s="870"/>
      <c r="AB1022" s="870"/>
      <c r="AC1022" s="870"/>
      <c r="AD1022" s="870"/>
      <c r="AE1022" s="870"/>
      <c r="AF1022" s="870"/>
      <c r="AG1022" s="870"/>
    </row>
    <row r="1023" spans="1:33" s="995" customFormat="1">
      <c r="A1023" s="974"/>
      <c r="D1023" s="876"/>
      <c r="E1023" s="974"/>
      <c r="F1023" s="876"/>
      <c r="G1023" s="876"/>
      <c r="H1023" s="876"/>
      <c r="I1023" s="876"/>
      <c r="J1023" s="876"/>
      <c r="K1023" s="876"/>
      <c r="L1023" s="876"/>
      <c r="M1023" s="876"/>
      <c r="N1023" s="876"/>
      <c r="O1023" s="876"/>
      <c r="P1023" s="876"/>
      <c r="Q1023" s="870"/>
      <c r="R1023" s="870"/>
      <c r="S1023" s="870"/>
      <c r="T1023" s="870"/>
      <c r="U1023" s="870"/>
      <c r="V1023" s="870"/>
      <c r="W1023" s="870"/>
      <c r="X1023" s="870"/>
      <c r="Y1023" s="870"/>
      <c r="Z1023" s="870"/>
      <c r="AA1023" s="870"/>
      <c r="AB1023" s="870"/>
      <c r="AC1023" s="870"/>
      <c r="AD1023" s="870"/>
      <c r="AE1023" s="870"/>
      <c r="AF1023" s="870"/>
      <c r="AG1023" s="870"/>
    </row>
    <row r="1024" spans="1:33" s="995" customFormat="1">
      <c r="A1024" s="974"/>
      <c r="D1024" s="876"/>
      <c r="E1024" s="974"/>
      <c r="F1024" s="876"/>
      <c r="G1024" s="876"/>
      <c r="H1024" s="876"/>
      <c r="I1024" s="876"/>
      <c r="J1024" s="876"/>
      <c r="K1024" s="876"/>
      <c r="L1024" s="876"/>
      <c r="M1024" s="876"/>
      <c r="N1024" s="876"/>
      <c r="O1024" s="876"/>
      <c r="P1024" s="876"/>
      <c r="Q1024" s="870"/>
      <c r="R1024" s="870"/>
      <c r="S1024" s="870"/>
      <c r="T1024" s="870"/>
      <c r="U1024" s="870"/>
      <c r="V1024" s="870"/>
      <c r="W1024" s="870"/>
      <c r="X1024" s="870"/>
      <c r="Y1024" s="870"/>
      <c r="Z1024" s="870"/>
      <c r="AA1024" s="870"/>
      <c r="AB1024" s="870"/>
      <c r="AC1024" s="870"/>
      <c r="AD1024" s="870"/>
      <c r="AE1024" s="870"/>
      <c r="AF1024" s="870"/>
      <c r="AG1024" s="870"/>
    </row>
    <row r="1025" spans="1:33" s="995" customFormat="1">
      <c r="A1025" s="974"/>
      <c r="D1025" s="876"/>
      <c r="E1025" s="974"/>
      <c r="F1025" s="876"/>
      <c r="G1025" s="876"/>
      <c r="H1025" s="876"/>
      <c r="I1025" s="876"/>
      <c r="J1025" s="876"/>
      <c r="K1025" s="876"/>
      <c r="L1025" s="876"/>
      <c r="M1025" s="876"/>
      <c r="N1025" s="876"/>
      <c r="O1025" s="876"/>
      <c r="P1025" s="876"/>
      <c r="Q1025" s="870"/>
      <c r="R1025" s="870"/>
      <c r="S1025" s="870"/>
      <c r="T1025" s="870"/>
      <c r="U1025" s="870"/>
      <c r="V1025" s="870"/>
      <c r="W1025" s="870"/>
      <c r="X1025" s="870"/>
      <c r="Y1025" s="870"/>
      <c r="Z1025" s="870"/>
      <c r="AA1025" s="870"/>
      <c r="AB1025" s="870"/>
      <c r="AC1025" s="870"/>
      <c r="AD1025" s="870"/>
      <c r="AE1025" s="870"/>
      <c r="AF1025" s="870"/>
      <c r="AG1025" s="870"/>
    </row>
    <row r="1026" spans="1:33" s="995" customFormat="1">
      <c r="A1026" s="974"/>
      <c r="D1026" s="876"/>
      <c r="E1026" s="974"/>
      <c r="F1026" s="876"/>
      <c r="G1026" s="876"/>
      <c r="H1026" s="876"/>
      <c r="I1026" s="876"/>
      <c r="J1026" s="876"/>
      <c r="K1026" s="876"/>
      <c r="L1026" s="876"/>
      <c r="M1026" s="876"/>
      <c r="N1026" s="876"/>
      <c r="O1026" s="876"/>
      <c r="P1026" s="876"/>
      <c r="Q1026" s="870"/>
      <c r="R1026" s="870"/>
      <c r="S1026" s="870"/>
      <c r="T1026" s="870"/>
      <c r="U1026" s="870"/>
      <c r="V1026" s="870"/>
      <c r="W1026" s="870"/>
      <c r="X1026" s="870"/>
      <c r="Y1026" s="870"/>
      <c r="Z1026" s="870"/>
      <c r="AA1026" s="870"/>
      <c r="AB1026" s="870"/>
      <c r="AC1026" s="870"/>
      <c r="AD1026" s="870"/>
      <c r="AE1026" s="870"/>
      <c r="AF1026" s="870"/>
      <c r="AG1026" s="870"/>
    </row>
    <row r="1027" spans="1:33" s="995" customFormat="1">
      <c r="A1027" s="974"/>
      <c r="D1027" s="876"/>
      <c r="E1027" s="974"/>
      <c r="F1027" s="876"/>
      <c r="G1027" s="876"/>
      <c r="H1027" s="876"/>
      <c r="I1027" s="876"/>
      <c r="J1027" s="876"/>
      <c r="K1027" s="876"/>
      <c r="L1027" s="876"/>
      <c r="M1027" s="876"/>
      <c r="N1027" s="876"/>
      <c r="O1027" s="876"/>
      <c r="P1027" s="876"/>
      <c r="Q1027" s="870"/>
      <c r="R1027" s="870"/>
      <c r="S1027" s="870"/>
      <c r="T1027" s="870"/>
      <c r="U1027" s="870"/>
      <c r="V1027" s="870"/>
      <c r="W1027" s="870"/>
      <c r="X1027" s="870"/>
      <c r="Y1027" s="870"/>
      <c r="Z1027" s="870"/>
      <c r="AA1027" s="870"/>
      <c r="AB1027" s="870"/>
      <c r="AC1027" s="870"/>
      <c r="AD1027" s="870"/>
      <c r="AE1027" s="870"/>
      <c r="AF1027" s="870"/>
      <c r="AG1027" s="870"/>
    </row>
    <row r="1028" spans="1:33" s="995" customFormat="1">
      <c r="A1028" s="974"/>
      <c r="D1028" s="876"/>
      <c r="E1028" s="974"/>
      <c r="F1028" s="876"/>
      <c r="G1028" s="876"/>
      <c r="H1028" s="876"/>
      <c r="I1028" s="876"/>
      <c r="J1028" s="876"/>
      <c r="K1028" s="876"/>
      <c r="L1028" s="876"/>
      <c r="M1028" s="876"/>
      <c r="N1028" s="876"/>
      <c r="O1028" s="876"/>
      <c r="P1028" s="876"/>
      <c r="Q1028" s="870"/>
      <c r="R1028" s="870"/>
      <c r="S1028" s="870"/>
      <c r="T1028" s="870"/>
      <c r="U1028" s="870"/>
      <c r="V1028" s="870"/>
      <c r="W1028" s="870"/>
      <c r="X1028" s="870"/>
      <c r="Y1028" s="870"/>
      <c r="Z1028" s="870"/>
      <c r="AA1028" s="870"/>
      <c r="AB1028" s="870"/>
      <c r="AC1028" s="870"/>
      <c r="AD1028" s="870"/>
      <c r="AE1028" s="870"/>
      <c r="AF1028" s="870"/>
      <c r="AG1028" s="870"/>
    </row>
    <row r="1029" spans="1:33" s="995" customFormat="1">
      <c r="A1029" s="974"/>
      <c r="D1029" s="876"/>
      <c r="E1029" s="974"/>
      <c r="F1029" s="876"/>
      <c r="G1029" s="876"/>
      <c r="H1029" s="876"/>
      <c r="I1029" s="876"/>
      <c r="J1029" s="876"/>
      <c r="K1029" s="876"/>
      <c r="L1029" s="876"/>
      <c r="M1029" s="876"/>
      <c r="N1029" s="876"/>
      <c r="O1029" s="876"/>
      <c r="P1029" s="876"/>
      <c r="Q1029" s="870"/>
      <c r="R1029" s="870"/>
      <c r="S1029" s="870"/>
      <c r="T1029" s="870"/>
      <c r="U1029" s="870"/>
      <c r="V1029" s="870"/>
      <c r="W1029" s="870"/>
      <c r="X1029" s="870"/>
      <c r="Y1029" s="870"/>
      <c r="Z1029" s="870"/>
      <c r="AA1029" s="870"/>
      <c r="AB1029" s="870"/>
      <c r="AC1029" s="870"/>
      <c r="AD1029" s="870"/>
      <c r="AE1029" s="870"/>
      <c r="AF1029" s="870"/>
      <c r="AG1029" s="870"/>
    </row>
    <row r="1030" spans="1:33" s="995" customFormat="1">
      <c r="A1030" s="974"/>
      <c r="D1030" s="876"/>
      <c r="E1030" s="974"/>
      <c r="F1030" s="876"/>
      <c r="G1030" s="876"/>
      <c r="H1030" s="876"/>
      <c r="I1030" s="876"/>
      <c r="J1030" s="876"/>
      <c r="K1030" s="876"/>
      <c r="L1030" s="876"/>
      <c r="M1030" s="876"/>
      <c r="N1030" s="876"/>
      <c r="O1030" s="876"/>
      <c r="P1030" s="876"/>
      <c r="Q1030" s="870"/>
      <c r="R1030" s="870"/>
      <c r="S1030" s="870"/>
      <c r="T1030" s="870"/>
      <c r="U1030" s="870"/>
      <c r="V1030" s="870"/>
      <c r="W1030" s="870"/>
      <c r="X1030" s="870"/>
      <c r="Y1030" s="870"/>
      <c r="Z1030" s="870"/>
      <c r="AA1030" s="870"/>
      <c r="AB1030" s="870"/>
      <c r="AC1030" s="870"/>
      <c r="AD1030" s="870"/>
      <c r="AE1030" s="870"/>
      <c r="AF1030" s="870"/>
      <c r="AG1030" s="870"/>
    </row>
    <row r="1031" spans="1:33" s="995" customFormat="1">
      <c r="A1031" s="974"/>
      <c r="D1031" s="876"/>
      <c r="E1031" s="974"/>
      <c r="F1031" s="876"/>
      <c r="G1031" s="876"/>
      <c r="H1031" s="876"/>
      <c r="I1031" s="876"/>
      <c r="J1031" s="876"/>
      <c r="K1031" s="876"/>
      <c r="L1031" s="876"/>
      <c r="M1031" s="876"/>
      <c r="N1031" s="876"/>
      <c r="O1031" s="876"/>
      <c r="P1031" s="876"/>
      <c r="Q1031" s="870"/>
      <c r="R1031" s="870"/>
      <c r="S1031" s="870"/>
      <c r="T1031" s="870"/>
      <c r="U1031" s="870"/>
      <c r="V1031" s="870"/>
      <c r="W1031" s="870"/>
      <c r="X1031" s="870"/>
      <c r="Y1031" s="870"/>
      <c r="Z1031" s="870"/>
      <c r="AA1031" s="870"/>
      <c r="AB1031" s="870"/>
      <c r="AC1031" s="870"/>
      <c r="AD1031" s="870"/>
      <c r="AE1031" s="870"/>
      <c r="AF1031" s="870"/>
      <c r="AG1031" s="870"/>
    </row>
    <row r="1032" spans="1:33" s="995" customFormat="1">
      <c r="A1032" s="974"/>
      <c r="D1032" s="876"/>
      <c r="E1032" s="974"/>
      <c r="F1032" s="876"/>
      <c r="G1032" s="876"/>
      <c r="H1032" s="876"/>
      <c r="I1032" s="876"/>
      <c r="J1032" s="876"/>
      <c r="K1032" s="876"/>
      <c r="L1032" s="876"/>
      <c r="M1032" s="876"/>
      <c r="N1032" s="876"/>
      <c r="O1032" s="876"/>
      <c r="P1032" s="876"/>
      <c r="Q1032" s="870"/>
      <c r="R1032" s="870"/>
      <c r="S1032" s="870"/>
      <c r="T1032" s="870"/>
      <c r="U1032" s="870"/>
      <c r="V1032" s="870"/>
      <c r="W1032" s="870"/>
      <c r="X1032" s="870"/>
      <c r="Y1032" s="870"/>
      <c r="Z1032" s="870"/>
      <c r="AA1032" s="870"/>
      <c r="AB1032" s="870"/>
      <c r="AC1032" s="870"/>
      <c r="AD1032" s="870"/>
      <c r="AE1032" s="870"/>
      <c r="AF1032" s="870"/>
      <c r="AG1032" s="870"/>
    </row>
    <row r="1033" spans="1:33" s="995" customFormat="1">
      <c r="A1033" s="974"/>
      <c r="D1033" s="876"/>
      <c r="E1033" s="974"/>
      <c r="F1033" s="876"/>
      <c r="G1033" s="876"/>
      <c r="H1033" s="876"/>
      <c r="I1033" s="876"/>
      <c r="J1033" s="876"/>
      <c r="K1033" s="876"/>
      <c r="L1033" s="876"/>
      <c r="M1033" s="876"/>
      <c r="N1033" s="876"/>
      <c r="O1033" s="876"/>
      <c r="P1033" s="876"/>
      <c r="Q1033" s="870"/>
      <c r="R1033" s="870"/>
      <c r="S1033" s="870"/>
      <c r="T1033" s="870"/>
      <c r="U1033" s="870"/>
      <c r="V1033" s="870"/>
      <c r="W1033" s="870"/>
      <c r="X1033" s="870"/>
      <c r="Y1033" s="870"/>
      <c r="Z1033" s="870"/>
      <c r="AA1033" s="870"/>
      <c r="AB1033" s="870"/>
      <c r="AC1033" s="870"/>
      <c r="AD1033" s="870"/>
      <c r="AE1033" s="870"/>
      <c r="AF1033" s="870"/>
      <c r="AG1033" s="870"/>
    </row>
    <row r="1034" spans="1:33" s="995" customFormat="1">
      <c r="A1034" s="974"/>
      <c r="D1034" s="876"/>
      <c r="E1034" s="974"/>
      <c r="F1034" s="876"/>
      <c r="G1034" s="876"/>
      <c r="H1034" s="876"/>
      <c r="I1034" s="876"/>
      <c r="J1034" s="876"/>
      <c r="K1034" s="876"/>
      <c r="L1034" s="876"/>
      <c r="M1034" s="876"/>
      <c r="N1034" s="876"/>
      <c r="O1034" s="876"/>
      <c r="P1034" s="876"/>
      <c r="Q1034" s="870"/>
      <c r="R1034" s="870"/>
      <c r="S1034" s="870"/>
      <c r="T1034" s="870"/>
      <c r="U1034" s="870"/>
      <c r="V1034" s="870"/>
      <c r="W1034" s="870"/>
      <c r="X1034" s="870"/>
      <c r="Y1034" s="870"/>
      <c r="Z1034" s="870"/>
      <c r="AA1034" s="870"/>
      <c r="AB1034" s="870"/>
      <c r="AC1034" s="870"/>
      <c r="AD1034" s="870"/>
      <c r="AE1034" s="870"/>
      <c r="AF1034" s="870"/>
      <c r="AG1034" s="870"/>
    </row>
    <row r="1035" spans="1:33" s="995" customFormat="1">
      <c r="A1035" s="974"/>
      <c r="D1035" s="876"/>
      <c r="E1035" s="974"/>
      <c r="F1035" s="876"/>
      <c r="G1035" s="876"/>
      <c r="H1035" s="876"/>
      <c r="I1035" s="876"/>
      <c r="J1035" s="876"/>
      <c r="K1035" s="876"/>
      <c r="L1035" s="876"/>
      <c r="M1035" s="876"/>
      <c r="N1035" s="876"/>
      <c r="O1035" s="876"/>
      <c r="P1035" s="876"/>
      <c r="Q1035" s="870"/>
      <c r="R1035" s="870"/>
      <c r="S1035" s="870"/>
      <c r="T1035" s="870"/>
      <c r="U1035" s="870"/>
      <c r="V1035" s="870"/>
      <c r="W1035" s="870"/>
      <c r="X1035" s="870"/>
      <c r="Y1035" s="870"/>
      <c r="Z1035" s="870"/>
      <c r="AA1035" s="870"/>
      <c r="AB1035" s="870"/>
      <c r="AC1035" s="870"/>
      <c r="AD1035" s="870"/>
      <c r="AE1035" s="870"/>
      <c r="AF1035" s="870"/>
      <c r="AG1035" s="870"/>
    </row>
    <row r="1036" spans="1:33" s="995" customFormat="1">
      <c r="A1036" s="974"/>
      <c r="D1036" s="876"/>
      <c r="E1036" s="974"/>
      <c r="F1036" s="876"/>
      <c r="G1036" s="876"/>
      <c r="H1036" s="876"/>
      <c r="I1036" s="876"/>
      <c r="J1036" s="876"/>
      <c r="K1036" s="876"/>
      <c r="L1036" s="876"/>
      <c r="M1036" s="876"/>
      <c r="N1036" s="876"/>
      <c r="O1036" s="876"/>
      <c r="P1036" s="876"/>
      <c r="Q1036" s="870"/>
      <c r="R1036" s="870"/>
      <c r="S1036" s="870"/>
      <c r="T1036" s="870"/>
      <c r="U1036" s="870"/>
      <c r="V1036" s="870"/>
      <c r="W1036" s="870"/>
      <c r="X1036" s="870"/>
      <c r="Y1036" s="870"/>
      <c r="Z1036" s="870"/>
      <c r="AA1036" s="870"/>
      <c r="AB1036" s="870"/>
      <c r="AC1036" s="870"/>
      <c r="AD1036" s="870"/>
      <c r="AE1036" s="870"/>
      <c r="AF1036" s="870"/>
      <c r="AG1036" s="870"/>
    </row>
    <row r="1037" spans="1:33" s="995" customFormat="1">
      <c r="A1037" s="974"/>
      <c r="D1037" s="876"/>
      <c r="E1037" s="974"/>
      <c r="F1037" s="876"/>
      <c r="G1037" s="876"/>
      <c r="H1037" s="876"/>
      <c r="I1037" s="876"/>
      <c r="J1037" s="876"/>
      <c r="K1037" s="876"/>
      <c r="L1037" s="876"/>
      <c r="M1037" s="876"/>
      <c r="N1037" s="876"/>
      <c r="O1037" s="876"/>
      <c r="P1037" s="876"/>
      <c r="Q1037" s="870"/>
      <c r="R1037" s="870"/>
      <c r="S1037" s="870"/>
      <c r="T1037" s="870"/>
      <c r="U1037" s="870"/>
      <c r="V1037" s="870"/>
      <c r="W1037" s="870"/>
      <c r="X1037" s="870"/>
      <c r="Y1037" s="870"/>
      <c r="Z1037" s="870"/>
      <c r="AA1037" s="870"/>
      <c r="AB1037" s="870"/>
      <c r="AC1037" s="870"/>
      <c r="AD1037" s="870"/>
      <c r="AE1037" s="870"/>
      <c r="AF1037" s="870"/>
      <c r="AG1037" s="870"/>
    </row>
    <row r="1038" spans="1:33" s="995" customFormat="1">
      <c r="A1038" s="974"/>
      <c r="D1038" s="876"/>
      <c r="E1038" s="974"/>
      <c r="F1038" s="876"/>
      <c r="G1038" s="876"/>
      <c r="H1038" s="876"/>
      <c r="I1038" s="876"/>
      <c r="J1038" s="876"/>
      <c r="K1038" s="876"/>
      <c r="L1038" s="876"/>
      <c r="M1038" s="876"/>
      <c r="N1038" s="876"/>
      <c r="O1038" s="876"/>
      <c r="P1038" s="876"/>
      <c r="Q1038" s="870"/>
      <c r="R1038" s="870"/>
      <c r="S1038" s="870"/>
      <c r="T1038" s="870"/>
      <c r="U1038" s="870"/>
      <c r="V1038" s="870"/>
      <c r="W1038" s="870"/>
      <c r="X1038" s="870"/>
      <c r="Y1038" s="870"/>
      <c r="Z1038" s="870"/>
      <c r="AA1038" s="870"/>
      <c r="AB1038" s="870"/>
      <c r="AC1038" s="870"/>
      <c r="AD1038" s="870"/>
      <c r="AE1038" s="870"/>
      <c r="AF1038" s="870"/>
      <c r="AG1038" s="870"/>
    </row>
    <row r="1039" spans="1:33" s="995" customFormat="1">
      <c r="A1039" s="974"/>
      <c r="D1039" s="876"/>
      <c r="E1039" s="974"/>
      <c r="F1039" s="876"/>
      <c r="G1039" s="876"/>
      <c r="H1039" s="876"/>
      <c r="I1039" s="876"/>
      <c r="J1039" s="876"/>
      <c r="K1039" s="876"/>
      <c r="L1039" s="876"/>
      <c r="M1039" s="876"/>
      <c r="N1039" s="876"/>
      <c r="O1039" s="876"/>
      <c r="P1039" s="876"/>
      <c r="Q1039" s="870"/>
      <c r="R1039" s="870"/>
      <c r="S1039" s="870"/>
      <c r="T1039" s="870"/>
      <c r="U1039" s="870"/>
      <c r="V1039" s="870"/>
      <c r="W1039" s="870"/>
      <c r="X1039" s="870"/>
      <c r="Y1039" s="870"/>
      <c r="Z1039" s="870"/>
      <c r="AA1039" s="870"/>
      <c r="AB1039" s="870"/>
      <c r="AC1039" s="870"/>
      <c r="AD1039" s="870"/>
      <c r="AE1039" s="870"/>
      <c r="AF1039" s="870"/>
      <c r="AG1039" s="870"/>
    </row>
    <row r="1040" spans="1:33" s="995" customFormat="1">
      <c r="A1040" s="974"/>
      <c r="D1040" s="876"/>
      <c r="E1040" s="974"/>
      <c r="F1040" s="876"/>
      <c r="G1040" s="876"/>
      <c r="H1040" s="876"/>
      <c r="I1040" s="876"/>
      <c r="J1040" s="876"/>
      <c r="K1040" s="876"/>
      <c r="L1040" s="876"/>
      <c r="M1040" s="876"/>
      <c r="N1040" s="876"/>
      <c r="O1040" s="876"/>
      <c r="P1040" s="876"/>
      <c r="Q1040" s="870"/>
      <c r="R1040" s="870"/>
      <c r="S1040" s="870"/>
      <c r="T1040" s="870"/>
      <c r="U1040" s="870"/>
      <c r="V1040" s="870"/>
      <c r="W1040" s="870"/>
      <c r="X1040" s="870"/>
      <c r="Y1040" s="870"/>
      <c r="Z1040" s="870"/>
      <c r="AA1040" s="870"/>
      <c r="AB1040" s="870"/>
      <c r="AC1040" s="870"/>
      <c r="AD1040" s="870"/>
      <c r="AE1040" s="870"/>
      <c r="AF1040" s="870"/>
      <c r="AG1040" s="870"/>
    </row>
    <row r="1041" spans="1:33" s="995" customFormat="1">
      <c r="A1041" s="974"/>
      <c r="D1041" s="876"/>
      <c r="E1041" s="974"/>
      <c r="F1041" s="876"/>
      <c r="G1041" s="876"/>
      <c r="H1041" s="876"/>
      <c r="I1041" s="876"/>
      <c r="J1041" s="876"/>
      <c r="K1041" s="876"/>
      <c r="L1041" s="876"/>
      <c r="M1041" s="876"/>
      <c r="N1041" s="876"/>
      <c r="O1041" s="876"/>
      <c r="P1041" s="876"/>
      <c r="Q1041" s="870"/>
      <c r="R1041" s="870"/>
      <c r="S1041" s="870"/>
      <c r="T1041" s="870"/>
      <c r="U1041" s="870"/>
      <c r="V1041" s="870"/>
      <c r="W1041" s="870"/>
      <c r="X1041" s="870"/>
      <c r="Y1041" s="870"/>
      <c r="Z1041" s="870"/>
      <c r="AA1041" s="870"/>
      <c r="AB1041" s="870"/>
      <c r="AC1041" s="870"/>
      <c r="AD1041" s="870"/>
      <c r="AE1041" s="870"/>
      <c r="AF1041" s="870"/>
      <c r="AG1041" s="870"/>
    </row>
    <row r="1042" spans="1:33" s="995" customFormat="1">
      <c r="A1042" s="974"/>
      <c r="D1042" s="876"/>
      <c r="E1042" s="974"/>
      <c r="F1042" s="876"/>
      <c r="G1042" s="876"/>
      <c r="H1042" s="876"/>
      <c r="I1042" s="876"/>
      <c r="J1042" s="876"/>
      <c r="K1042" s="876"/>
      <c r="L1042" s="876"/>
      <c r="M1042" s="876"/>
      <c r="N1042" s="876"/>
      <c r="O1042" s="876"/>
      <c r="P1042" s="876"/>
      <c r="Q1042" s="870"/>
      <c r="R1042" s="870"/>
      <c r="S1042" s="870"/>
      <c r="T1042" s="870"/>
      <c r="U1042" s="870"/>
      <c r="V1042" s="870"/>
      <c r="W1042" s="870"/>
      <c r="X1042" s="870"/>
      <c r="Y1042" s="870"/>
      <c r="Z1042" s="870"/>
      <c r="AA1042" s="870"/>
      <c r="AB1042" s="870"/>
      <c r="AC1042" s="870"/>
      <c r="AD1042" s="870"/>
      <c r="AE1042" s="870"/>
      <c r="AF1042" s="870"/>
      <c r="AG1042" s="870"/>
    </row>
    <row r="1043" spans="1:33" s="995" customFormat="1">
      <c r="A1043" s="974"/>
      <c r="D1043" s="876"/>
      <c r="E1043" s="974"/>
      <c r="F1043" s="876"/>
      <c r="G1043" s="876"/>
      <c r="H1043" s="876"/>
      <c r="I1043" s="876"/>
      <c r="J1043" s="876"/>
      <c r="K1043" s="876"/>
      <c r="L1043" s="876"/>
      <c r="M1043" s="876"/>
      <c r="N1043" s="876"/>
      <c r="O1043" s="876"/>
      <c r="P1043" s="876"/>
      <c r="Q1043" s="870"/>
      <c r="R1043" s="870"/>
      <c r="S1043" s="870"/>
      <c r="T1043" s="870"/>
      <c r="U1043" s="870"/>
      <c r="V1043" s="870"/>
      <c r="W1043" s="870"/>
      <c r="X1043" s="870"/>
      <c r="Y1043" s="870"/>
      <c r="Z1043" s="870"/>
      <c r="AA1043" s="870"/>
      <c r="AB1043" s="870"/>
      <c r="AC1043" s="870"/>
      <c r="AD1043" s="870"/>
      <c r="AE1043" s="870"/>
      <c r="AF1043" s="870"/>
      <c r="AG1043" s="870"/>
    </row>
    <row r="1044" spans="1:33" s="995" customFormat="1">
      <c r="A1044" s="974"/>
      <c r="D1044" s="876"/>
      <c r="E1044" s="974"/>
      <c r="F1044" s="876"/>
      <c r="G1044" s="876"/>
      <c r="H1044" s="876"/>
      <c r="I1044" s="876"/>
      <c r="J1044" s="876"/>
      <c r="K1044" s="876"/>
      <c r="L1044" s="876"/>
      <c r="M1044" s="876"/>
      <c r="N1044" s="876"/>
      <c r="O1044" s="876"/>
      <c r="P1044" s="876"/>
      <c r="Q1044" s="870"/>
      <c r="R1044" s="870"/>
      <c r="S1044" s="870"/>
      <c r="T1044" s="870"/>
      <c r="U1044" s="870"/>
      <c r="V1044" s="870"/>
      <c r="W1044" s="870"/>
      <c r="X1044" s="870"/>
      <c r="Y1044" s="870"/>
      <c r="Z1044" s="870"/>
      <c r="AA1044" s="870"/>
      <c r="AB1044" s="870"/>
      <c r="AC1044" s="870"/>
      <c r="AD1044" s="870"/>
      <c r="AE1044" s="870"/>
      <c r="AF1044" s="870"/>
      <c r="AG1044" s="870"/>
    </row>
    <row r="1045" spans="1:33" s="995" customFormat="1">
      <c r="A1045" s="974"/>
      <c r="D1045" s="876"/>
      <c r="E1045" s="974"/>
      <c r="F1045" s="876"/>
      <c r="G1045" s="876"/>
      <c r="H1045" s="876"/>
      <c r="I1045" s="876"/>
      <c r="J1045" s="876"/>
      <c r="K1045" s="876"/>
      <c r="L1045" s="876"/>
      <c r="M1045" s="876"/>
      <c r="N1045" s="876"/>
      <c r="O1045" s="876"/>
      <c r="P1045" s="876"/>
      <c r="Q1045" s="870"/>
      <c r="R1045" s="870"/>
      <c r="S1045" s="870"/>
      <c r="T1045" s="870"/>
      <c r="U1045" s="870"/>
      <c r="V1045" s="870"/>
      <c r="W1045" s="870"/>
      <c r="X1045" s="870"/>
      <c r="Y1045" s="870"/>
      <c r="Z1045" s="870"/>
      <c r="AA1045" s="870"/>
      <c r="AB1045" s="870"/>
      <c r="AC1045" s="870"/>
      <c r="AD1045" s="870"/>
      <c r="AE1045" s="870"/>
      <c r="AF1045" s="870"/>
      <c r="AG1045" s="870"/>
    </row>
    <row r="1046" spans="1:33" s="995" customFormat="1">
      <c r="A1046" s="974"/>
      <c r="D1046" s="876"/>
      <c r="E1046" s="974"/>
      <c r="F1046" s="876"/>
      <c r="G1046" s="876"/>
      <c r="H1046" s="876"/>
      <c r="I1046" s="876"/>
      <c r="J1046" s="876"/>
      <c r="K1046" s="876"/>
      <c r="L1046" s="876"/>
      <c r="M1046" s="876"/>
      <c r="N1046" s="876"/>
      <c r="O1046" s="876"/>
      <c r="P1046" s="876"/>
      <c r="Q1046" s="870"/>
      <c r="R1046" s="870"/>
      <c r="S1046" s="870"/>
      <c r="T1046" s="870"/>
      <c r="U1046" s="870"/>
      <c r="V1046" s="870"/>
      <c r="W1046" s="870"/>
      <c r="X1046" s="870"/>
      <c r="Y1046" s="870"/>
      <c r="Z1046" s="870"/>
      <c r="AA1046" s="870"/>
      <c r="AB1046" s="870"/>
      <c r="AC1046" s="870"/>
      <c r="AD1046" s="870"/>
      <c r="AE1046" s="870"/>
      <c r="AF1046" s="870"/>
      <c r="AG1046" s="870"/>
    </row>
    <row r="1047" spans="1:33" s="995" customFormat="1">
      <c r="A1047" s="974"/>
      <c r="D1047" s="876"/>
      <c r="E1047" s="974"/>
      <c r="F1047" s="876"/>
      <c r="G1047" s="876"/>
      <c r="H1047" s="876"/>
      <c r="I1047" s="876"/>
      <c r="J1047" s="876"/>
      <c r="K1047" s="876"/>
      <c r="L1047" s="876"/>
      <c r="M1047" s="876"/>
      <c r="N1047" s="876"/>
      <c r="O1047" s="876"/>
      <c r="P1047" s="876"/>
      <c r="Q1047" s="870"/>
      <c r="R1047" s="870"/>
      <c r="S1047" s="870"/>
      <c r="T1047" s="870"/>
      <c r="U1047" s="870"/>
      <c r="V1047" s="870"/>
      <c r="W1047" s="870"/>
      <c r="X1047" s="870"/>
      <c r="Y1047" s="870"/>
      <c r="Z1047" s="870"/>
      <c r="AA1047" s="870"/>
      <c r="AB1047" s="870"/>
      <c r="AC1047" s="870"/>
      <c r="AD1047" s="870"/>
      <c r="AE1047" s="870"/>
      <c r="AF1047" s="870"/>
      <c r="AG1047" s="870"/>
    </row>
    <row r="1048" spans="1:33" s="995" customFormat="1">
      <c r="A1048" s="974"/>
      <c r="D1048" s="876"/>
      <c r="E1048" s="974"/>
      <c r="F1048" s="876"/>
      <c r="G1048" s="876"/>
      <c r="H1048" s="876"/>
      <c r="I1048" s="876"/>
      <c r="J1048" s="876"/>
      <c r="K1048" s="876"/>
      <c r="L1048" s="876"/>
      <c r="M1048" s="876"/>
      <c r="N1048" s="876"/>
      <c r="O1048" s="876"/>
      <c r="P1048" s="876"/>
      <c r="Q1048" s="870"/>
      <c r="R1048" s="870"/>
      <c r="S1048" s="870"/>
      <c r="T1048" s="870"/>
      <c r="U1048" s="870"/>
      <c r="V1048" s="870"/>
      <c r="W1048" s="870"/>
      <c r="X1048" s="870"/>
      <c r="Y1048" s="870"/>
      <c r="Z1048" s="870"/>
      <c r="AA1048" s="870"/>
      <c r="AB1048" s="870"/>
      <c r="AC1048" s="870"/>
      <c r="AD1048" s="870"/>
      <c r="AE1048" s="870"/>
      <c r="AF1048" s="870"/>
      <c r="AG1048" s="870"/>
    </row>
    <row r="1049" spans="1:33" s="995" customFormat="1">
      <c r="A1049" s="974"/>
      <c r="D1049" s="876"/>
      <c r="E1049" s="974"/>
      <c r="F1049" s="876"/>
      <c r="G1049" s="876"/>
      <c r="H1049" s="876"/>
      <c r="I1049" s="876"/>
      <c r="J1049" s="876"/>
      <c r="K1049" s="876"/>
      <c r="L1049" s="876"/>
      <c r="M1049" s="876"/>
      <c r="N1049" s="876"/>
      <c r="O1049" s="876"/>
      <c r="P1049" s="876"/>
      <c r="Q1049" s="870"/>
      <c r="R1049" s="870"/>
      <c r="S1049" s="870"/>
      <c r="T1049" s="870"/>
      <c r="U1049" s="870"/>
      <c r="V1049" s="870"/>
      <c r="W1049" s="870"/>
      <c r="X1049" s="870"/>
      <c r="Y1049" s="870"/>
      <c r="Z1049" s="870"/>
      <c r="AA1049" s="870"/>
      <c r="AB1049" s="870"/>
      <c r="AC1049" s="870"/>
      <c r="AD1049" s="870"/>
      <c r="AE1049" s="870"/>
      <c r="AF1049" s="870"/>
      <c r="AG1049" s="870"/>
    </row>
    <row r="1050" spans="1:33" s="995" customFormat="1">
      <c r="A1050" s="974"/>
      <c r="D1050" s="876"/>
      <c r="E1050" s="974"/>
      <c r="F1050" s="876"/>
      <c r="G1050" s="876"/>
      <c r="H1050" s="876"/>
      <c r="I1050" s="876"/>
      <c r="J1050" s="876"/>
      <c r="K1050" s="876"/>
      <c r="L1050" s="876"/>
      <c r="M1050" s="876"/>
      <c r="N1050" s="876"/>
      <c r="O1050" s="876"/>
      <c r="P1050" s="876"/>
      <c r="Q1050" s="870"/>
      <c r="R1050" s="870"/>
      <c r="S1050" s="870"/>
      <c r="T1050" s="870"/>
      <c r="U1050" s="870"/>
      <c r="V1050" s="870"/>
      <c r="W1050" s="870"/>
      <c r="X1050" s="870"/>
      <c r="Y1050" s="870"/>
      <c r="Z1050" s="870"/>
      <c r="AA1050" s="870"/>
      <c r="AB1050" s="870"/>
      <c r="AC1050" s="870"/>
      <c r="AD1050" s="870"/>
      <c r="AE1050" s="870"/>
      <c r="AF1050" s="870"/>
      <c r="AG1050" s="870"/>
    </row>
    <row r="1051" spans="1:33" s="995" customFormat="1">
      <c r="A1051" s="974"/>
      <c r="D1051" s="876"/>
      <c r="E1051" s="974"/>
      <c r="F1051" s="876"/>
      <c r="G1051" s="876"/>
      <c r="H1051" s="876"/>
      <c r="I1051" s="876"/>
      <c r="J1051" s="876"/>
      <c r="K1051" s="876"/>
      <c r="L1051" s="876"/>
      <c r="M1051" s="876"/>
      <c r="N1051" s="876"/>
      <c r="O1051" s="876"/>
      <c r="P1051" s="876"/>
      <c r="Q1051" s="870"/>
      <c r="R1051" s="870"/>
      <c r="S1051" s="870"/>
      <c r="T1051" s="870"/>
      <c r="U1051" s="870"/>
      <c r="V1051" s="870"/>
      <c r="W1051" s="870"/>
      <c r="X1051" s="870"/>
      <c r="Y1051" s="870"/>
      <c r="Z1051" s="870"/>
      <c r="AA1051" s="870"/>
      <c r="AB1051" s="870"/>
      <c r="AC1051" s="870"/>
      <c r="AD1051" s="870"/>
      <c r="AE1051" s="870"/>
      <c r="AF1051" s="870"/>
      <c r="AG1051" s="870"/>
    </row>
    <row r="1052" spans="1:33" s="995" customFormat="1">
      <c r="A1052" s="974"/>
      <c r="D1052" s="876"/>
      <c r="E1052" s="974"/>
      <c r="F1052" s="876"/>
      <c r="G1052" s="876"/>
      <c r="H1052" s="876"/>
      <c r="I1052" s="876"/>
      <c r="J1052" s="876"/>
      <c r="K1052" s="876"/>
      <c r="L1052" s="876"/>
      <c r="M1052" s="876"/>
      <c r="N1052" s="876"/>
      <c r="O1052" s="876"/>
      <c r="P1052" s="876"/>
      <c r="Q1052" s="870"/>
      <c r="R1052" s="870"/>
      <c r="S1052" s="870"/>
      <c r="T1052" s="870"/>
      <c r="U1052" s="870"/>
      <c r="V1052" s="870"/>
      <c r="W1052" s="870"/>
      <c r="X1052" s="870"/>
      <c r="Y1052" s="870"/>
      <c r="Z1052" s="870"/>
      <c r="AA1052" s="870"/>
      <c r="AB1052" s="870"/>
      <c r="AC1052" s="870"/>
      <c r="AD1052" s="870"/>
      <c r="AE1052" s="870"/>
      <c r="AF1052" s="870"/>
      <c r="AG1052" s="870"/>
    </row>
    <row r="1053" spans="1:33" s="995" customFormat="1">
      <c r="A1053" s="974"/>
      <c r="D1053" s="876"/>
      <c r="E1053" s="974"/>
      <c r="F1053" s="876"/>
      <c r="G1053" s="876"/>
      <c r="H1053" s="876"/>
      <c r="I1053" s="876"/>
      <c r="J1053" s="876"/>
      <c r="K1053" s="876"/>
      <c r="L1053" s="876"/>
      <c r="M1053" s="876"/>
      <c r="N1053" s="876"/>
      <c r="O1053" s="876"/>
      <c r="P1053" s="876"/>
      <c r="Q1053" s="870"/>
      <c r="R1053" s="870"/>
      <c r="S1053" s="870"/>
      <c r="T1053" s="870"/>
      <c r="U1053" s="870"/>
      <c r="V1053" s="870"/>
      <c r="W1053" s="870"/>
      <c r="X1053" s="870"/>
      <c r="Y1053" s="870"/>
      <c r="Z1053" s="870"/>
      <c r="AA1053" s="870"/>
      <c r="AB1053" s="870"/>
      <c r="AC1053" s="870"/>
      <c r="AD1053" s="870"/>
      <c r="AE1053" s="870"/>
      <c r="AF1053" s="870"/>
      <c r="AG1053" s="870"/>
    </row>
    <row r="1054" spans="1:33" s="995" customFormat="1">
      <c r="A1054" s="974"/>
      <c r="D1054" s="876"/>
      <c r="E1054" s="974"/>
      <c r="F1054" s="876"/>
      <c r="G1054" s="876"/>
      <c r="H1054" s="876"/>
      <c r="I1054" s="876"/>
      <c r="J1054" s="876"/>
      <c r="K1054" s="876"/>
      <c r="L1054" s="876"/>
      <c r="M1054" s="876"/>
      <c r="N1054" s="876"/>
      <c r="O1054" s="876"/>
      <c r="P1054" s="876"/>
      <c r="Q1054" s="870"/>
      <c r="R1054" s="870"/>
      <c r="S1054" s="870"/>
      <c r="T1054" s="870"/>
      <c r="U1054" s="870"/>
      <c r="V1054" s="870"/>
      <c r="W1054" s="870"/>
      <c r="X1054" s="870"/>
      <c r="Y1054" s="870"/>
      <c r="Z1054" s="870"/>
      <c r="AA1054" s="870"/>
      <c r="AB1054" s="870"/>
      <c r="AC1054" s="870"/>
      <c r="AD1054" s="870"/>
      <c r="AE1054" s="870"/>
      <c r="AF1054" s="870"/>
      <c r="AG1054" s="870"/>
    </row>
    <row r="1055" spans="1:33" s="995" customFormat="1">
      <c r="A1055" s="974"/>
      <c r="D1055" s="876"/>
      <c r="E1055" s="974"/>
      <c r="F1055" s="876"/>
      <c r="G1055" s="876"/>
      <c r="H1055" s="876"/>
      <c r="I1055" s="876"/>
      <c r="J1055" s="876"/>
      <c r="K1055" s="876"/>
      <c r="L1055" s="876"/>
      <c r="M1055" s="876"/>
      <c r="N1055" s="876"/>
      <c r="O1055" s="876"/>
      <c r="P1055" s="876"/>
      <c r="Q1055" s="870"/>
      <c r="R1055" s="870"/>
      <c r="S1055" s="870"/>
      <c r="T1055" s="870"/>
      <c r="U1055" s="870"/>
      <c r="V1055" s="870"/>
      <c r="W1055" s="870"/>
      <c r="X1055" s="870"/>
      <c r="Y1055" s="870"/>
      <c r="Z1055" s="870"/>
      <c r="AA1055" s="870"/>
      <c r="AB1055" s="870"/>
      <c r="AC1055" s="870"/>
      <c r="AD1055" s="870"/>
      <c r="AE1055" s="870"/>
      <c r="AF1055" s="870"/>
      <c r="AG1055" s="870"/>
    </row>
    <row r="1056" spans="1:33" s="995" customFormat="1">
      <c r="A1056" s="974"/>
      <c r="D1056" s="876"/>
      <c r="E1056" s="974"/>
      <c r="F1056" s="876"/>
      <c r="G1056" s="876"/>
      <c r="H1056" s="876"/>
      <c r="I1056" s="876"/>
      <c r="J1056" s="876"/>
      <c r="K1056" s="876"/>
      <c r="L1056" s="876"/>
      <c r="M1056" s="876"/>
      <c r="N1056" s="876"/>
      <c r="O1056" s="876"/>
      <c r="P1056" s="876"/>
      <c r="Q1056" s="870"/>
      <c r="R1056" s="870"/>
      <c r="S1056" s="870"/>
      <c r="T1056" s="870"/>
      <c r="U1056" s="870"/>
      <c r="V1056" s="870"/>
      <c r="W1056" s="870"/>
      <c r="X1056" s="870"/>
      <c r="Y1056" s="870"/>
      <c r="Z1056" s="870"/>
      <c r="AA1056" s="870"/>
      <c r="AB1056" s="870"/>
      <c r="AC1056" s="870"/>
      <c r="AD1056" s="870"/>
      <c r="AE1056" s="870"/>
      <c r="AF1056" s="870"/>
      <c r="AG1056" s="870"/>
    </row>
    <row r="1057" spans="1:33" s="995" customFormat="1">
      <c r="A1057" s="974"/>
      <c r="D1057" s="876"/>
      <c r="E1057" s="974"/>
      <c r="F1057" s="876"/>
      <c r="G1057" s="876"/>
      <c r="H1057" s="876"/>
      <c r="I1057" s="876"/>
      <c r="J1057" s="876"/>
      <c r="K1057" s="876"/>
      <c r="L1057" s="876"/>
      <c r="M1057" s="876"/>
      <c r="N1057" s="876"/>
      <c r="O1057" s="876"/>
      <c r="P1057" s="876"/>
      <c r="Q1057" s="870"/>
      <c r="R1057" s="870"/>
      <c r="S1057" s="870"/>
      <c r="T1057" s="870"/>
      <c r="U1057" s="870"/>
      <c r="V1057" s="870"/>
      <c r="W1057" s="870"/>
      <c r="X1057" s="870"/>
      <c r="Y1057" s="870"/>
      <c r="Z1057" s="870"/>
      <c r="AA1057" s="870"/>
      <c r="AB1057" s="870"/>
      <c r="AC1057" s="870"/>
      <c r="AD1057" s="870"/>
      <c r="AE1057" s="870"/>
      <c r="AF1057" s="870"/>
      <c r="AG1057" s="870"/>
    </row>
    <row r="1058" spans="1:33" s="995" customFormat="1">
      <c r="A1058" s="974"/>
      <c r="D1058" s="876"/>
      <c r="E1058" s="974"/>
      <c r="F1058" s="876"/>
      <c r="G1058" s="876"/>
      <c r="H1058" s="876"/>
      <c r="I1058" s="876"/>
      <c r="J1058" s="876"/>
      <c r="K1058" s="876"/>
      <c r="L1058" s="876"/>
      <c r="M1058" s="876"/>
      <c r="N1058" s="876"/>
      <c r="O1058" s="876"/>
      <c r="P1058" s="876"/>
      <c r="Q1058" s="870"/>
      <c r="R1058" s="870"/>
      <c r="S1058" s="870"/>
      <c r="T1058" s="870"/>
      <c r="U1058" s="870"/>
      <c r="V1058" s="870"/>
      <c r="W1058" s="870"/>
      <c r="X1058" s="870"/>
      <c r="Y1058" s="870"/>
      <c r="Z1058" s="870"/>
      <c r="AA1058" s="870"/>
      <c r="AB1058" s="870"/>
      <c r="AC1058" s="870"/>
      <c r="AD1058" s="870"/>
      <c r="AE1058" s="870"/>
      <c r="AF1058" s="870"/>
      <c r="AG1058" s="870"/>
    </row>
    <row r="1059" spans="1:33" s="995" customFormat="1">
      <c r="A1059" s="974"/>
      <c r="D1059" s="876"/>
      <c r="E1059" s="974"/>
      <c r="F1059" s="876"/>
      <c r="G1059" s="876"/>
      <c r="H1059" s="876"/>
      <c r="I1059" s="876"/>
      <c r="J1059" s="876"/>
      <c r="K1059" s="876"/>
      <c r="L1059" s="876"/>
      <c r="M1059" s="876"/>
      <c r="N1059" s="876"/>
      <c r="O1059" s="876"/>
      <c r="P1059" s="876"/>
      <c r="Q1059" s="870"/>
      <c r="R1059" s="870"/>
      <c r="S1059" s="870"/>
      <c r="T1059" s="870"/>
      <c r="U1059" s="870"/>
      <c r="V1059" s="870"/>
      <c r="W1059" s="870"/>
      <c r="X1059" s="870"/>
      <c r="Y1059" s="870"/>
      <c r="Z1059" s="870"/>
      <c r="AA1059" s="870"/>
      <c r="AB1059" s="870"/>
      <c r="AC1059" s="870"/>
      <c r="AD1059" s="870"/>
      <c r="AE1059" s="870"/>
      <c r="AF1059" s="870"/>
      <c r="AG1059" s="870"/>
    </row>
    <row r="1060" spans="1:33" s="995" customFormat="1">
      <c r="A1060" s="974"/>
      <c r="D1060" s="876"/>
      <c r="E1060" s="974"/>
      <c r="F1060" s="876"/>
      <c r="G1060" s="876"/>
      <c r="H1060" s="876"/>
      <c r="I1060" s="876"/>
      <c r="J1060" s="876"/>
      <c r="K1060" s="876"/>
      <c r="L1060" s="876"/>
      <c r="M1060" s="876"/>
      <c r="N1060" s="876"/>
      <c r="O1060" s="876"/>
      <c r="P1060" s="876"/>
      <c r="Q1060" s="870"/>
      <c r="R1060" s="870"/>
      <c r="S1060" s="870"/>
      <c r="T1060" s="870"/>
      <c r="U1060" s="870"/>
      <c r="V1060" s="870"/>
      <c r="W1060" s="870"/>
      <c r="X1060" s="870"/>
      <c r="Y1060" s="870"/>
      <c r="Z1060" s="870"/>
      <c r="AA1060" s="870"/>
      <c r="AB1060" s="870"/>
      <c r="AC1060" s="870"/>
      <c r="AD1060" s="870"/>
      <c r="AE1060" s="870"/>
      <c r="AF1060" s="870"/>
      <c r="AG1060" s="870"/>
    </row>
    <row r="1061" spans="1:33" s="995" customFormat="1">
      <c r="A1061" s="974"/>
      <c r="D1061" s="876"/>
      <c r="E1061" s="974"/>
      <c r="F1061" s="876"/>
      <c r="G1061" s="876"/>
      <c r="H1061" s="876"/>
      <c r="I1061" s="876"/>
      <c r="J1061" s="876"/>
      <c r="K1061" s="876"/>
      <c r="L1061" s="876"/>
      <c r="M1061" s="876"/>
      <c r="N1061" s="876"/>
      <c r="O1061" s="876"/>
      <c r="P1061" s="876"/>
      <c r="Q1061" s="870"/>
      <c r="R1061" s="870"/>
      <c r="S1061" s="870"/>
      <c r="T1061" s="870"/>
      <c r="U1061" s="870"/>
      <c r="V1061" s="870"/>
      <c r="W1061" s="870"/>
      <c r="X1061" s="870"/>
      <c r="Y1061" s="870"/>
      <c r="Z1061" s="870"/>
      <c r="AA1061" s="870"/>
      <c r="AB1061" s="870"/>
      <c r="AC1061" s="870"/>
      <c r="AD1061" s="870"/>
      <c r="AE1061" s="870"/>
      <c r="AF1061" s="870"/>
      <c r="AG1061" s="870"/>
    </row>
    <row r="1062" spans="1:33" s="995" customFormat="1">
      <c r="A1062" s="974"/>
      <c r="D1062" s="876"/>
      <c r="E1062" s="974"/>
      <c r="F1062" s="876"/>
      <c r="G1062" s="876"/>
      <c r="H1062" s="876"/>
      <c r="I1062" s="876"/>
      <c r="J1062" s="876"/>
      <c r="K1062" s="876"/>
      <c r="L1062" s="876"/>
      <c r="M1062" s="876"/>
      <c r="N1062" s="876"/>
      <c r="O1062" s="876"/>
      <c r="P1062" s="876"/>
      <c r="Q1062" s="870"/>
      <c r="R1062" s="870"/>
      <c r="S1062" s="870"/>
      <c r="T1062" s="870"/>
      <c r="U1062" s="870"/>
      <c r="V1062" s="870"/>
      <c r="W1062" s="870"/>
      <c r="X1062" s="870"/>
      <c r="Y1062" s="870"/>
      <c r="Z1062" s="870"/>
      <c r="AA1062" s="870"/>
      <c r="AB1062" s="870"/>
      <c r="AC1062" s="870"/>
      <c r="AD1062" s="870"/>
      <c r="AE1062" s="870"/>
      <c r="AF1062" s="870"/>
      <c r="AG1062" s="870"/>
    </row>
    <row r="1063" spans="1:33" s="995" customFormat="1">
      <c r="A1063" s="974"/>
      <c r="D1063" s="876"/>
      <c r="E1063" s="974"/>
      <c r="F1063" s="876"/>
      <c r="G1063" s="876"/>
      <c r="H1063" s="876"/>
      <c r="I1063" s="876"/>
      <c r="J1063" s="876"/>
      <c r="K1063" s="876"/>
      <c r="L1063" s="876"/>
      <c r="M1063" s="876"/>
      <c r="N1063" s="876"/>
      <c r="O1063" s="876"/>
      <c r="P1063" s="876"/>
      <c r="Q1063" s="870"/>
      <c r="R1063" s="870"/>
      <c r="S1063" s="870"/>
      <c r="T1063" s="870"/>
      <c r="U1063" s="870"/>
      <c r="V1063" s="870"/>
      <c r="W1063" s="870"/>
      <c r="X1063" s="870"/>
      <c r="Y1063" s="870"/>
      <c r="Z1063" s="870"/>
      <c r="AA1063" s="870"/>
      <c r="AB1063" s="870"/>
      <c r="AC1063" s="870"/>
      <c r="AD1063" s="870"/>
      <c r="AE1063" s="870"/>
      <c r="AF1063" s="870"/>
      <c r="AG1063" s="870"/>
    </row>
    <row r="1064" spans="1:33" s="995" customFormat="1">
      <c r="A1064" s="974"/>
      <c r="D1064" s="876"/>
      <c r="E1064" s="974"/>
      <c r="F1064" s="876"/>
      <c r="G1064" s="876"/>
      <c r="H1064" s="876"/>
      <c r="I1064" s="876"/>
      <c r="J1064" s="876"/>
      <c r="K1064" s="876"/>
      <c r="L1064" s="876"/>
      <c r="M1064" s="876"/>
      <c r="N1064" s="876"/>
      <c r="O1064" s="876"/>
      <c r="P1064" s="876"/>
      <c r="Q1064" s="870"/>
      <c r="R1064" s="870"/>
      <c r="S1064" s="870"/>
      <c r="T1064" s="870"/>
      <c r="U1064" s="870"/>
      <c r="V1064" s="870"/>
      <c r="W1064" s="870"/>
      <c r="X1064" s="870"/>
      <c r="Y1064" s="870"/>
      <c r="Z1064" s="870"/>
      <c r="AA1064" s="870"/>
      <c r="AB1064" s="870"/>
      <c r="AC1064" s="870"/>
      <c r="AD1064" s="870"/>
      <c r="AE1064" s="870"/>
      <c r="AF1064" s="870"/>
      <c r="AG1064" s="870"/>
    </row>
    <row r="1065" spans="1:33" s="995" customFormat="1">
      <c r="A1065" s="974"/>
      <c r="D1065" s="876"/>
      <c r="E1065" s="974"/>
      <c r="F1065" s="876"/>
      <c r="G1065" s="876"/>
      <c r="H1065" s="876"/>
      <c r="I1065" s="876"/>
      <c r="J1065" s="876"/>
      <c r="K1065" s="876"/>
      <c r="L1065" s="876"/>
      <c r="M1065" s="876"/>
      <c r="N1065" s="876"/>
      <c r="O1065" s="876"/>
      <c r="P1065" s="876"/>
      <c r="Q1065" s="870"/>
      <c r="R1065" s="870"/>
      <c r="S1065" s="870"/>
      <c r="T1065" s="870"/>
      <c r="U1065" s="870"/>
      <c r="V1065" s="870"/>
      <c r="W1065" s="870"/>
      <c r="X1065" s="870"/>
      <c r="Y1065" s="870"/>
      <c r="Z1065" s="870"/>
      <c r="AA1065" s="870"/>
      <c r="AB1065" s="870"/>
      <c r="AC1065" s="870"/>
      <c r="AD1065" s="870"/>
      <c r="AE1065" s="870"/>
      <c r="AF1065" s="870"/>
      <c r="AG1065" s="870"/>
    </row>
    <row r="1066" spans="1:33" s="995" customFormat="1">
      <c r="A1066" s="974"/>
      <c r="D1066" s="876"/>
      <c r="E1066" s="974"/>
      <c r="F1066" s="876"/>
      <c r="G1066" s="876"/>
      <c r="H1066" s="876"/>
      <c r="I1066" s="876"/>
      <c r="J1066" s="876"/>
      <c r="K1066" s="876"/>
      <c r="L1066" s="876"/>
      <c r="M1066" s="876"/>
      <c r="N1066" s="876"/>
      <c r="O1066" s="876"/>
      <c r="P1066" s="876"/>
      <c r="Q1066" s="870"/>
      <c r="R1066" s="870"/>
      <c r="S1066" s="870"/>
      <c r="T1066" s="870"/>
      <c r="U1066" s="870"/>
      <c r="V1066" s="870"/>
      <c r="W1066" s="870"/>
      <c r="X1066" s="870"/>
      <c r="Y1066" s="870"/>
      <c r="Z1066" s="870"/>
      <c r="AA1066" s="870"/>
      <c r="AB1066" s="870"/>
      <c r="AC1066" s="870"/>
      <c r="AD1066" s="870"/>
      <c r="AE1066" s="870"/>
      <c r="AF1066" s="870"/>
      <c r="AG1066" s="870"/>
    </row>
    <row r="1067" spans="1:33" s="995" customFormat="1">
      <c r="A1067" s="974"/>
      <c r="D1067" s="876"/>
      <c r="E1067" s="974"/>
      <c r="F1067" s="876"/>
      <c r="G1067" s="876"/>
      <c r="H1067" s="876"/>
      <c r="I1067" s="876"/>
      <c r="J1067" s="876"/>
      <c r="K1067" s="876"/>
      <c r="L1067" s="876"/>
      <c r="M1067" s="876"/>
      <c r="N1067" s="876"/>
      <c r="O1067" s="876"/>
      <c r="P1067" s="876"/>
      <c r="Q1067" s="870"/>
      <c r="R1067" s="870"/>
      <c r="S1067" s="870"/>
      <c r="T1067" s="870"/>
      <c r="U1067" s="870"/>
      <c r="V1067" s="870"/>
      <c r="W1067" s="870"/>
      <c r="X1067" s="870"/>
      <c r="Y1067" s="870"/>
      <c r="Z1067" s="870"/>
      <c r="AA1067" s="870"/>
      <c r="AB1067" s="870"/>
      <c r="AC1067" s="870"/>
      <c r="AD1067" s="870"/>
      <c r="AE1067" s="870"/>
      <c r="AF1067" s="870"/>
      <c r="AG1067" s="870"/>
    </row>
    <row r="1068" spans="1:33" s="995" customFormat="1">
      <c r="A1068" s="974"/>
      <c r="D1068" s="876"/>
      <c r="E1068" s="974"/>
      <c r="F1068" s="876"/>
      <c r="G1068" s="876"/>
      <c r="H1068" s="876"/>
      <c r="I1068" s="876"/>
      <c r="J1068" s="876"/>
      <c r="K1068" s="876"/>
      <c r="L1068" s="876"/>
      <c r="M1068" s="876"/>
      <c r="N1068" s="876"/>
      <c r="O1068" s="876"/>
      <c r="P1068" s="876"/>
      <c r="Q1068" s="870"/>
      <c r="R1068" s="870"/>
      <c r="S1068" s="870"/>
      <c r="T1068" s="870"/>
      <c r="U1068" s="870"/>
      <c r="V1068" s="870"/>
      <c r="W1068" s="870"/>
      <c r="X1068" s="870"/>
      <c r="Y1068" s="870"/>
      <c r="Z1068" s="870"/>
      <c r="AA1068" s="870"/>
      <c r="AB1068" s="870"/>
      <c r="AC1068" s="870"/>
      <c r="AD1068" s="870"/>
      <c r="AE1068" s="870"/>
      <c r="AF1068" s="870"/>
      <c r="AG1068" s="870"/>
    </row>
    <row r="1069" spans="1:33" s="995" customFormat="1">
      <c r="A1069" s="974"/>
      <c r="D1069" s="876"/>
      <c r="E1069" s="974"/>
      <c r="F1069" s="876"/>
      <c r="G1069" s="876"/>
      <c r="H1069" s="876"/>
      <c r="I1069" s="876"/>
      <c r="J1069" s="876"/>
      <c r="K1069" s="876"/>
      <c r="L1069" s="876"/>
      <c r="M1069" s="876"/>
      <c r="N1069" s="876"/>
      <c r="O1069" s="876"/>
      <c r="P1069" s="876"/>
      <c r="Q1069" s="870"/>
      <c r="R1069" s="870"/>
      <c r="S1069" s="870"/>
      <c r="T1069" s="870"/>
      <c r="U1069" s="870"/>
      <c r="V1069" s="870"/>
      <c r="W1069" s="870"/>
      <c r="X1069" s="870"/>
      <c r="Y1069" s="870"/>
      <c r="Z1069" s="870"/>
      <c r="AA1069" s="870"/>
      <c r="AB1069" s="870"/>
      <c r="AC1069" s="870"/>
      <c r="AD1069" s="870"/>
      <c r="AE1069" s="870"/>
      <c r="AF1069" s="870"/>
      <c r="AG1069" s="870"/>
    </row>
    <row r="1070" spans="1:33" s="995" customFormat="1">
      <c r="A1070" s="974"/>
      <c r="D1070" s="876"/>
      <c r="E1070" s="974"/>
      <c r="F1070" s="876"/>
      <c r="G1070" s="876"/>
      <c r="H1070" s="876"/>
      <c r="I1070" s="876"/>
      <c r="J1070" s="876"/>
      <c r="K1070" s="876"/>
      <c r="L1070" s="876"/>
      <c r="M1070" s="876"/>
      <c r="N1070" s="876"/>
      <c r="O1070" s="876"/>
      <c r="P1070" s="876"/>
      <c r="Q1070" s="870"/>
      <c r="R1070" s="870"/>
      <c r="S1070" s="870"/>
      <c r="T1070" s="870"/>
      <c r="U1070" s="870"/>
      <c r="V1070" s="870"/>
      <c r="W1070" s="870"/>
      <c r="X1070" s="870"/>
      <c r="Y1070" s="870"/>
      <c r="Z1070" s="870"/>
      <c r="AA1070" s="870"/>
      <c r="AB1070" s="870"/>
      <c r="AC1070" s="870"/>
      <c r="AD1070" s="870"/>
      <c r="AE1070" s="870"/>
      <c r="AF1070" s="870"/>
      <c r="AG1070" s="870"/>
    </row>
    <row r="1071" spans="1:33" s="995" customFormat="1">
      <c r="A1071" s="974"/>
      <c r="D1071" s="876"/>
      <c r="E1071" s="974"/>
      <c r="F1071" s="876"/>
      <c r="G1071" s="876"/>
      <c r="H1071" s="876"/>
      <c r="I1071" s="876"/>
      <c r="J1071" s="876"/>
      <c r="K1071" s="876"/>
      <c r="L1071" s="876"/>
      <c r="M1071" s="876"/>
      <c r="N1071" s="876"/>
      <c r="O1071" s="876"/>
      <c r="P1071" s="876"/>
      <c r="Q1071" s="870"/>
      <c r="R1071" s="870"/>
      <c r="S1071" s="870"/>
      <c r="T1071" s="870"/>
      <c r="U1071" s="870"/>
      <c r="V1071" s="870"/>
      <c r="W1071" s="870"/>
      <c r="X1071" s="870"/>
      <c r="Y1071" s="870"/>
      <c r="Z1071" s="870"/>
      <c r="AA1071" s="870"/>
      <c r="AB1071" s="870"/>
      <c r="AC1071" s="870"/>
      <c r="AD1071" s="870"/>
      <c r="AE1071" s="870"/>
      <c r="AF1071" s="870"/>
      <c r="AG1071" s="870"/>
    </row>
    <row r="1072" spans="1:33" s="995" customFormat="1">
      <c r="A1072" s="974"/>
      <c r="D1072" s="876"/>
      <c r="E1072" s="974"/>
      <c r="F1072" s="876"/>
      <c r="G1072" s="876"/>
      <c r="H1072" s="876"/>
      <c r="I1072" s="876"/>
      <c r="J1072" s="876"/>
      <c r="K1072" s="876"/>
      <c r="L1072" s="876"/>
      <c r="M1072" s="876"/>
      <c r="N1072" s="876"/>
      <c r="O1072" s="876"/>
      <c r="P1072" s="876"/>
      <c r="Q1072" s="870"/>
      <c r="R1072" s="870"/>
      <c r="S1072" s="870"/>
      <c r="T1072" s="870"/>
      <c r="U1072" s="870"/>
      <c r="V1072" s="870"/>
      <c r="W1072" s="870"/>
      <c r="X1072" s="870"/>
      <c r="Y1072" s="870"/>
      <c r="Z1072" s="870"/>
      <c r="AA1072" s="870"/>
      <c r="AB1072" s="870"/>
      <c r="AC1072" s="870"/>
      <c r="AD1072" s="870"/>
      <c r="AE1072" s="870"/>
      <c r="AF1072" s="870"/>
      <c r="AG1072" s="870"/>
    </row>
    <row r="1073" spans="1:33" s="995" customFormat="1">
      <c r="A1073" s="974"/>
      <c r="D1073" s="876"/>
      <c r="E1073" s="974"/>
      <c r="F1073" s="876"/>
      <c r="G1073" s="876"/>
      <c r="H1073" s="876"/>
      <c r="I1073" s="876"/>
      <c r="J1073" s="876"/>
      <c r="K1073" s="876"/>
      <c r="L1073" s="876"/>
      <c r="M1073" s="876"/>
      <c r="N1073" s="876"/>
      <c r="O1073" s="876"/>
      <c r="P1073" s="876"/>
      <c r="Q1073" s="870"/>
      <c r="R1073" s="870"/>
      <c r="S1073" s="870"/>
      <c r="T1073" s="870"/>
      <c r="U1073" s="870"/>
      <c r="V1073" s="870"/>
      <c r="W1073" s="870"/>
      <c r="X1073" s="870"/>
      <c r="Y1073" s="870"/>
      <c r="Z1073" s="870"/>
      <c r="AA1073" s="870"/>
      <c r="AB1073" s="870"/>
      <c r="AC1073" s="870"/>
      <c r="AD1073" s="870"/>
      <c r="AE1073" s="870"/>
      <c r="AF1073" s="870"/>
      <c r="AG1073" s="870"/>
    </row>
    <row r="1074" spans="1:33" s="995" customFormat="1">
      <c r="A1074" s="974"/>
      <c r="D1074" s="876"/>
      <c r="E1074" s="974"/>
      <c r="F1074" s="876"/>
      <c r="G1074" s="876"/>
      <c r="H1074" s="876"/>
      <c r="I1074" s="876"/>
      <c r="J1074" s="876"/>
      <c r="K1074" s="876"/>
      <c r="L1074" s="876"/>
      <c r="M1074" s="876"/>
      <c r="N1074" s="876"/>
      <c r="O1074" s="876"/>
      <c r="P1074" s="876"/>
      <c r="Q1074" s="870"/>
      <c r="R1074" s="870"/>
      <c r="S1074" s="870"/>
      <c r="T1074" s="870"/>
      <c r="U1074" s="870"/>
      <c r="V1074" s="870"/>
      <c r="W1074" s="870"/>
      <c r="X1074" s="870"/>
      <c r="Y1074" s="870"/>
      <c r="Z1074" s="870"/>
      <c r="AA1074" s="870"/>
      <c r="AB1074" s="870"/>
      <c r="AC1074" s="870"/>
      <c r="AD1074" s="870"/>
      <c r="AE1074" s="870"/>
      <c r="AF1074" s="870"/>
      <c r="AG1074" s="870"/>
    </row>
    <row r="1075" spans="1:33" s="995" customFormat="1">
      <c r="A1075" s="974"/>
      <c r="D1075" s="876"/>
      <c r="E1075" s="974"/>
      <c r="F1075" s="876"/>
      <c r="G1075" s="876"/>
      <c r="H1075" s="876"/>
      <c r="I1075" s="876"/>
      <c r="J1075" s="876"/>
      <c r="K1075" s="876"/>
      <c r="L1075" s="876"/>
      <c r="M1075" s="876"/>
      <c r="N1075" s="876"/>
      <c r="O1075" s="876"/>
      <c r="P1075" s="876"/>
      <c r="Q1075" s="870"/>
      <c r="R1075" s="870"/>
      <c r="S1075" s="870"/>
      <c r="T1075" s="870"/>
      <c r="U1075" s="870"/>
      <c r="V1075" s="870"/>
      <c r="W1075" s="870"/>
      <c r="X1075" s="870"/>
      <c r="Y1075" s="870"/>
      <c r="Z1075" s="870"/>
      <c r="AA1075" s="870"/>
      <c r="AB1075" s="870"/>
      <c r="AC1075" s="870"/>
      <c r="AD1075" s="870"/>
      <c r="AE1075" s="870"/>
      <c r="AF1075" s="870"/>
      <c r="AG1075" s="870"/>
    </row>
    <row r="1076" spans="1:33" s="995" customFormat="1">
      <c r="A1076" s="974"/>
      <c r="D1076" s="876"/>
      <c r="E1076" s="974"/>
      <c r="F1076" s="876"/>
      <c r="G1076" s="876"/>
      <c r="H1076" s="876"/>
      <c r="I1076" s="876"/>
      <c r="J1076" s="876"/>
      <c r="K1076" s="876"/>
      <c r="L1076" s="876"/>
      <c r="M1076" s="876"/>
      <c r="N1076" s="876"/>
      <c r="O1076" s="876"/>
      <c r="P1076" s="876"/>
      <c r="Q1076" s="870"/>
      <c r="R1076" s="870"/>
      <c r="S1076" s="870"/>
      <c r="T1076" s="870"/>
      <c r="U1076" s="870"/>
      <c r="V1076" s="870"/>
      <c r="W1076" s="870"/>
      <c r="X1076" s="870"/>
      <c r="Y1076" s="870"/>
      <c r="Z1076" s="870"/>
      <c r="AA1076" s="870"/>
      <c r="AB1076" s="870"/>
      <c r="AC1076" s="870"/>
      <c r="AD1076" s="870"/>
      <c r="AE1076" s="870"/>
      <c r="AF1076" s="870"/>
      <c r="AG1076" s="870"/>
    </row>
    <row r="1077" spans="1:33" s="995" customFormat="1">
      <c r="A1077" s="974"/>
      <c r="D1077" s="876"/>
      <c r="E1077" s="974"/>
      <c r="F1077" s="876"/>
      <c r="G1077" s="876"/>
      <c r="H1077" s="876"/>
      <c r="I1077" s="876"/>
      <c r="J1077" s="876"/>
      <c r="K1077" s="876"/>
      <c r="L1077" s="876"/>
      <c r="M1077" s="876"/>
      <c r="N1077" s="876"/>
      <c r="O1077" s="876"/>
      <c r="P1077" s="876"/>
      <c r="Q1077" s="870"/>
      <c r="R1077" s="870"/>
      <c r="S1077" s="870"/>
      <c r="T1077" s="870"/>
      <c r="U1077" s="870"/>
      <c r="V1077" s="870"/>
      <c r="W1077" s="870"/>
      <c r="X1077" s="870"/>
      <c r="Y1077" s="870"/>
      <c r="Z1077" s="870"/>
      <c r="AA1077" s="870"/>
      <c r="AB1077" s="870"/>
      <c r="AC1077" s="870"/>
      <c r="AD1077" s="870"/>
      <c r="AE1077" s="870"/>
      <c r="AF1077" s="870"/>
      <c r="AG1077" s="870"/>
    </row>
    <row r="1078" spans="1:33" s="995" customFormat="1">
      <c r="A1078" s="974"/>
      <c r="D1078" s="876"/>
      <c r="E1078" s="974"/>
      <c r="F1078" s="876"/>
      <c r="G1078" s="876"/>
      <c r="H1078" s="876"/>
      <c r="I1078" s="876"/>
      <c r="J1078" s="876"/>
      <c r="K1078" s="876"/>
      <c r="L1078" s="876"/>
      <c r="M1078" s="876"/>
      <c r="N1078" s="876"/>
      <c r="O1078" s="876"/>
      <c r="P1078" s="876"/>
      <c r="Q1078" s="870"/>
      <c r="R1078" s="870"/>
      <c r="S1078" s="870"/>
      <c r="T1078" s="870"/>
      <c r="U1078" s="870"/>
      <c r="V1078" s="870"/>
      <c r="W1078" s="870"/>
      <c r="X1078" s="870"/>
      <c r="Y1078" s="870"/>
      <c r="Z1078" s="870"/>
      <c r="AA1078" s="870"/>
      <c r="AB1078" s="870"/>
      <c r="AC1078" s="870"/>
      <c r="AD1078" s="870"/>
      <c r="AE1078" s="870"/>
      <c r="AF1078" s="870"/>
      <c r="AG1078" s="870"/>
    </row>
    <row r="1079" spans="1:33" s="995" customFormat="1">
      <c r="A1079" s="974"/>
      <c r="D1079" s="876"/>
      <c r="E1079" s="974"/>
      <c r="F1079" s="876"/>
      <c r="G1079" s="876"/>
      <c r="H1079" s="876"/>
      <c r="I1079" s="876"/>
      <c r="J1079" s="876"/>
      <c r="K1079" s="876"/>
      <c r="L1079" s="876"/>
      <c r="M1079" s="876"/>
      <c r="N1079" s="876"/>
      <c r="O1079" s="876"/>
      <c r="P1079" s="876"/>
      <c r="Q1079" s="870"/>
      <c r="R1079" s="870"/>
      <c r="S1079" s="870"/>
      <c r="T1079" s="870"/>
      <c r="U1079" s="870"/>
      <c r="V1079" s="870"/>
      <c r="W1079" s="870"/>
      <c r="X1079" s="870"/>
      <c r="Y1079" s="870"/>
      <c r="Z1079" s="870"/>
      <c r="AA1079" s="870"/>
      <c r="AB1079" s="870"/>
      <c r="AC1079" s="870"/>
      <c r="AD1079" s="870"/>
      <c r="AE1079" s="870"/>
      <c r="AF1079" s="870"/>
      <c r="AG1079" s="870"/>
    </row>
    <row r="1080" spans="1:33" s="995" customFormat="1">
      <c r="A1080" s="974"/>
      <c r="D1080" s="876"/>
      <c r="E1080" s="974"/>
      <c r="F1080" s="876"/>
      <c r="G1080" s="876"/>
      <c r="H1080" s="876"/>
      <c r="I1080" s="876"/>
      <c r="J1080" s="876"/>
      <c r="K1080" s="876"/>
      <c r="L1080" s="876"/>
      <c r="M1080" s="876"/>
      <c r="N1080" s="876"/>
      <c r="O1080" s="876"/>
      <c r="P1080" s="876"/>
      <c r="Q1080" s="870"/>
      <c r="R1080" s="870"/>
      <c r="S1080" s="870"/>
      <c r="T1080" s="870"/>
      <c r="U1080" s="870"/>
      <c r="V1080" s="870"/>
      <c r="W1080" s="870"/>
      <c r="X1080" s="870"/>
      <c r="Y1080" s="870"/>
      <c r="Z1080" s="870"/>
      <c r="AA1080" s="870"/>
      <c r="AB1080" s="870"/>
      <c r="AC1080" s="870"/>
      <c r="AD1080" s="870"/>
      <c r="AE1080" s="870"/>
      <c r="AF1080" s="870"/>
      <c r="AG1080" s="870"/>
    </row>
    <row r="1081" spans="1:33" s="995" customFormat="1">
      <c r="A1081" s="974"/>
      <c r="D1081" s="876"/>
      <c r="E1081" s="974"/>
      <c r="F1081" s="876"/>
      <c r="G1081" s="876"/>
      <c r="H1081" s="876"/>
      <c r="I1081" s="876"/>
      <c r="J1081" s="876"/>
      <c r="K1081" s="876"/>
      <c r="L1081" s="876"/>
      <c r="M1081" s="876"/>
      <c r="N1081" s="876"/>
      <c r="O1081" s="876"/>
      <c r="P1081" s="876"/>
      <c r="Q1081" s="870"/>
      <c r="R1081" s="870"/>
      <c r="S1081" s="870"/>
      <c r="T1081" s="870"/>
      <c r="U1081" s="870"/>
      <c r="V1081" s="870"/>
      <c r="W1081" s="870"/>
      <c r="X1081" s="870"/>
      <c r="Y1081" s="870"/>
      <c r="Z1081" s="870"/>
      <c r="AA1081" s="870"/>
      <c r="AB1081" s="870"/>
      <c r="AC1081" s="870"/>
      <c r="AD1081" s="870"/>
      <c r="AE1081" s="870"/>
      <c r="AF1081" s="870"/>
      <c r="AG1081" s="870"/>
    </row>
    <row r="1082" spans="1:33" s="995" customFormat="1">
      <c r="A1082" s="974"/>
      <c r="D1082" s="876"/>
      <c r="E1082" s="974"/>
      <c r="F1082" s="876"/>
      <c r="G1082" s="876"/>
      <c r="H1082" s="876"/>
      <c r="I1082" s="876"/>
      <c r="J1082" s="876"/>
      <c r="K1082" s="876"/>
      <c r="L1082" s="876"/>
      <c r="M1082" s="876"/>
      <c r="N1082" s="876"/>
      <c r="O1082" s="876"/>
      <c r="P1082" s="876"/>
      <c r="Q1082" s="870"/>
      <c r="R1082" s="870"/>
      <c r="S1082" s="870"/>
      <c r="T1082" s="870"/>
      <c r="U1082" s="870"/>
      <c r="V1082" s="870"/>
      <c r="W1082" s="870"/>
      <c r="X1082" s="870"/>
      <c r="Y1082" s="870"/>
      <c r="Z1082" s="870"/>
      <c r="AA1082" s="870"/>
      <c r="AB1082" s="870"/>
      <c r="AC1082" s="870"/>
      <c r="AD1082" s="870"/>
      <c r="AE1082" s="870"/>
      <c r="AF1082" s="870"/>
      <c r="AG1082" s="870"/>
    </row>
    <row r="1083" spans="1:33" s="995" customFormat="1">
      <c r="A1083" s="974"/>
      <c r="D1083" s="876"/>
      <c r="E1083" s="974"/>
      <c r="F1083" s="876"/>
      <c r="G1083" s="876"/>
      <c r="H1083" s="876"/>
      <c r="I1083" s="876"/>
      <c r="J1083" s="876"/>
      <c r="K1083" s="876"/>
      <c r="L1083" s="876"/>
      <c r="M1083" s="876"/>
      <c r="N1083" s="876"/>
      <c r="O1083" s="876"/>
      <c r="P1083" s="876"/>
      <c r="Q1083" s="870"/>
      <c r="R1083" s="870"/>
      <c r="S1083" s="870"/>
      <c r="T1083" s="870"/>
      <c r="U1083" s="870"/>
      <c r="V1083" s="870"/>
      <c r="W1083" s="870"/>
      <c r="X1083" s="870"/>
      <c r="Y1083" s="870"/>
      <c r="Z1083" s="870"/>
      <c r="AA1083" s="870"/>
      <c r="AB1083" s="870"/>
      <c r="AC1083" s="870"/>
      <c r="AD1083" s="870"/>
      <c r="AE1083" s="870"/>
      <c r="AF1083" s="870"/>
      <c r="AG1083" s="870"/>
    </row>
    <row r="1084" spans="1:33" s="995" customFormat="1">
      <c r="A1084" s="974"/>
      <c r="D1084" s="876"/>
      <c r="E1084" s="974"/>
      <c r="F1084" s="876"/>
      <c r="G1084" s="876"/>
      <c r="H1084" s="876"/>
      <c r="I1084" s="876"/>
      <c r="J1084" s="876"/>
      <c r="K1084" s="876"/>
      <c r="L1084" s="876"/>
      <c r="M1084" s="876"/>
      <c r="N1084" s="876"/>
      <c r="O1084" s="876"/>
      <c r="P1084" s="876"/>
      <c r="Q1084" s="870"/>
      <c r="R1084" s="870"/>
      <c r="S1084" s="870"/>
      <c r="T1084" s="870"/>
      <c r="U1084" s="870"/>
      <c r="V1084" s="870"/>
      <c r="W1084" s="870"/>
      <c r="X1084" s="870"/>
      <c r="Y1084" s="870"/>
      <c r="Z1084" s="870"/>
      <c r="AA1084" s="870"/>
      <c r="AB1084" s="870"/>
      <c r="AC1084" s="870"/>
      <c r="AD1084" s="870"/>
      <c r="AE1084" s="870"/>
      <c r="AF1084" s="870"/>
      <c r="AG1084" s="870"/>
    </row>
    <row r="1085" spans="1:33" s="995" customFormat="1">
      <c r="A1085" s="974"/>
      <c r="D1085" s="876"/>
      <c r="E1085" s="974"/>
      <c r="F1085" s="876"/>
      <c r="G1085" s="876"/>
      <c r="H1085" s="876"/>
      <c r="I1085" s="876"/>
      <c r="J1085" s="876"/>
      <c r="K1085" s="876"/>
      <c r="L1085" s="876"/>
      <c r="M1085" s="876"/>
      <c r="N1085" s="876"/>
      <c r="O1085" s="876"/>
      <c r="P1085" s="876"/>
      <c r="Q1085" s="870"/>
      <c r="R1085" s="870"/>
      <c r="S1085" s="870"/>
      <c r="T1085" s="870"/>
      <c r="U1085" s="870"/>
      <c r="V1085" s="870"/>
      <c r="W1085" s="870"/>
      <c r="X1085" s="870"/>
      <c r="Y1085" s="870"/>
      <c r="Z1085" s="870"/>
      <c r="AA1085" s="870"/>
      <c r="AB1085" s="870"/>
      <c r="AC1085" s="870"/>
      <c r="AD1085" s="870"/>
      <c r="AE1085" s="870"/>
      <c r="AF1085" s="870"/>
      <c r="AG1085" s="870"/>
    </row>
    <row r="1086" spans="1:33" s="995" customFormat="1">
      <c r="A1086" s="974"/>
      <c r="D1086" s="876"/>
      <c r="E1086" s="974"/>
      <c r="F1086" s="876"/>
      <c r="G1086" s="876"/>
      <c r="H1086" s="876"/>
      <c r="I1086" s="876"/>
      <c r="J1086" s="876"/>
      <c r="K1086" s="876"/>
      <c r="L1086" s="876"/>
      <c r="M1086" s="876"/>
      <c r="N1086" s="876"/>
      <c r="O1086" s="876"/>
      <c r="P1086" s="876"/>
      <c r="Q1086" s="870"/>
      <c r="R1086" s="870"/>
      <c r="S1086" s="870"/>
      <c r="T1086" s="870"/>
      <c r="U1086" s="870"/>
      <c r="V1086" s="870"/>
      <c r="W1086" s="870"/>
      <c r="X1086" s="870"/>
      <c r="Y1086" s="870"/>
      <c r="Z1086" s="870"/>
      <c r="AA1086" s="870"/>
      <c r="AB1086" s="870"/>
      <c r="AC1086" s="870"/>
      <c r="AD1086" s="870"/>
      <c r="AE1086" s="870"/>
      <c r="AF1086" s="870"/>
      <c r="AG1086" s="870"/>
    </row>
    <row r="1087" spans="1:33" s="995" customFormat="1">
      <c r="A1087" s="974"/>
      <c r="D1087" s="876"/>
      <c r="E1087" s="974"/>
      <c r="F1087" s="876"/>
      <c r="G1087" s="876"/>
      <c r="H1087" s="876"/>
      <c r="I1087" s="876"/>
      <c r="J1087" s="876"/>
      <c r="K1087" s="876"/>
      <c r="L1087" s="876"/>
      <c r="M1087" s="876"/>
      <c r="N1087" s="876"/>
      <c r="O1087" s="876"/>
      <c r="P1087" s="876"/>
      <c r="Q1087" s="870"/>
      <c r="R1087" s="870"/>
      <c r="S1087" s="870"/>
      <c r="T1087" s="870"/>
      <c r="U1087" s="870"/>
      <c r="V1087" s="870"/>
      <c r="W1087" s="870"/>
      <c r="X1087" s="870"/>
      <c r="Y1087" s="870"/>
      <c r="Z1087" s="870"/>
      <c r="AA1087" s="870"/>
      <c r="AB1087" s="870"/>
      <c r="AC1087" s="870"/>
      <c r="AD1087" s="870"/>
      <c r="AE1087" s="870"/>
      <c r="AF1087" s="870"/>
      <c r="AG1087" s="870"/>
    </row>
    <row r="1088" spans="1:33" s="995" customFormat="1">
      <c r="A1088" s="974"/>
      <c r="D1088" s="876"/>
      <c r="E1088" s="974"/>
      <c r="F1088" s="876"/>
      <c r="G1088" s="876"/>
      <c r="H1088" s="876"/>
      <c r="I1088" s="876"/>
      <c r="J1088" s="876"/>
      <c r="K1088" s="876"/>
      <c r="L1088" s="876"/>
      <c r="M1088" s="876"/>
      <c r="N1088" s="876"/>
      <c r="O1088" s="876"/>
      <c r="P1088" s="876"/>
      <c r="Q1088" s="870"/>
      <c r="R1088" s="870"/>
      <c r="S1088" s="870"/>
      <c r="T1088" s="870"/>
      <c r="U1088" s="870"/>
      <c r="V1088" s="870"/>
      <c r="W1088" s="870"/>
      <c r="X1088" s="870"/>
      <c r="Y1088" s="870"/>
      <c r="Z1088" s="870"/>
      <c r="AA1088" s="870"/>
      <c r="AB1088" s="870"/>
      <c r="AC1088" s="870"/>
      <c r="AD1088" s="870"/>
      <c r="AE1088" s="870"/>
      <c r="AF1088" s="870"/>
      <c r="AG1088" s="870"/>
    </row>
    <row r="1089" spans="1:33" s="995" customFormat="1">
      <c r="A1089" s="974"/>
      <c r="D1089" s="876"/>
      <c r="E1089" s="974"/>
      <c r="F1089" s="876"/>
      <c r="G1089" s="876"/>
      <c r="H1089" s="876"/>
      <c r="I1089" s="876"/>
      <c r="J1089" s="876"/>
      <c r="K1089" s="876"/>
      <c r="L1089" s="876"/>
      <c r="M1089" s="876"/>
      <c r="N1089" s="876"/>
      <c r="O1089" s="876"/>
      <c r="P1089" s="876"/>
      <c r="Q1089" s="870"/>
      <c r="R1089" s="870"/>
      <c r="S1089" s="870"/>
      <c r="T1089" s="870"/>
      <c r="U1089" s="870"/>
      <c r="V1089" s="870"/>
      <c r="W1089" s="870"/>
      <c r="X1089" s="870"/>
      <c r="Y1089" s="870"/>
      <c r="Z1089" s="870"/>
      <c r="AA1089" s="870"/>
      <c r="AB1089" s="870"/>
      <c r="AC1089" s="870"/>
      <c r="AD1089" s="870"/>
      <c r="AE1089" s="870"/>
      <c r="AF1089" s="870"/>
      <c r="AG1089" s="870"/>
    </row>
    <row r="1090" spans="1:33" s="995" customFormat="1">
      <c r="A1090" s="974"/>
      <c r="D1090" s="876"/>
      <c r="E1090" s="974"/>
      <c r="F1090" s="876"/>
      <c r="G1090" s="876"/>
      <c r="H1090" s="876"/>
      <c r="I1090" s="876"/>
      <c r="J1090" s="876"/>
      <c r="K1090" s="876"/>
      <c r="L1090" s="876"/>
      <c r="M1090" s="876"/>
      <c r="N1090" s="876"/>
      <c r="O1090" s="876"/>
      <c r="P1090" s="876"/>
      <c r="Q1090" s="870"/>
      <c r="R1090" s="870"/>
      <c r="S1090" s="870"/>
      <c r="T1090" s="870"/>
      <c r="U1090" s="870"/>
      <c r="V1090" s="870"/>
      <c r="W1090" s="870"/>
      <c r="X1090" s="870"/>
      <c r="Y1090" s="870"/>
      <c r="Z1090" s="870"/>
      <c r="AA1090" s="870"/>
      <c r="AB1090" s="870"/>
      <c r="AC1090" s="870"/>
      <c r="AD1090" s="870"/>
      <c r="AE1090" s="870"/>
      <c r="AF1090" s="870"/>
      <c r="AG1090" s="870"/>
    </row>
    <row r="1091" spans="1:33" s="995" customFormat="1">
      <c r="A1091" s="974"/>
      <c r="D1091" s="876"/>
      <c r="E1091" s="974"/>
      <c r="F1091" s="876"/>
      <c r="G1091" s="876"/>
      <c r="H1091" s="876"/>
      <c r="I1091" s="876"/>
      <c r="J1091" s="876"/>
      <c r="K1091" s="876"/>
      <c r="L1091" s="876"/>
      <c r="M1091" s="876"/>
      <c r="N1091" s="876"/>
      <c r="O1091" s="876"/>
      <c r="P1091" s="876"/>
      <c r="Q1091" s="870"/>
      <c r="R1091" s="870"/>
      <c r="S1091" s="870"/>
      <c r="T1091" s="870"/>
      <c r="U1091" s="870"/>
      <c r="V1091" s="870"/>
      <c r="W1091" s="870"/>
      <c r="X1091" s="870"/>
      <c r="Y1091" s="870"/>
      <c r="Z1091" s="870"/>
      <c r="AA1091" s="870"/>
      <c r="AB1091" s="870"/>
      <c r="AC1091" s="870"/>
      <c r="AD1091" s="870"/>
      <c r="AE1091" s="870"/>
      <c r="AF1091" s="870"/>
      <c r="AG1091" s="870"/>
    </row>
    <row r="1092" spans="1:33" s="995" customFormat="1">
      <c r="A1092" s="974"/>
      <c r="D1092" s="876"/>
      <c r="E1092" s="974"/>
      <c r="F1092" s="876"/>
      <c r="G1092" s="876"/>
      <c r="H1092" s="876"/>
      <c r="I1092" s="876"/>
      <c r="J1092" s="876"/>
      <c r="K1092" s="876"/>
      <c r="L1092" s="876"/>
      <c r="M1092" s="876"/>
      <c r="N1092" s="876"/>
      <c r="O1092" s="876"/>
      <c r="P1092" s="876"/>
      <c r="Q1092" s="870"/>
      <c r="R1092" s="870"/>
      <c r="S1092" s="870"/>
      <c r="T1092" s="870"/>
      <c r="U1092" s="870"/>
      <c r="V1092" s="870"/>
      <c r="W1092" s="870"/>
      <c r="X1092" s="870"/>
      <c r="Y1092" s="870"/>
      <c r="Z1092" s="870"/>
      <c r="AA1092" s="870"/>
      <c r="AB1092" s="870"/>
      <c r="AC1092" s="870"/>
      <c r="AD1092" s="870"/>
      <c r="AE1092" s="870"/>
      <c r="AF1092" s="870"/>
      <c r="AG1092" s="870"/>
    </row>
    <row r="1093" spans="1:33" s="995" customFormat="1">
      <c r="A1093" s="974"/>
      <c r="D1093" s="876"/>
      <c r="E1093" s="974"/>
      <c r="F1093" s="876"/>
      <c r="G1093" s="876"/>
      <c r="H1093" s="876"/>
      <c r="I1093" s="876"/>
      <c r="J1093" s="876"/>
      <c r="K1093" s="876"/>
      <c r="L1093" s="876"/>
      <c r="M1093" s="876"/>
      <c r="N1093" s="876"/>
      <c r="O1093" s="876"/>
      <c r="P1093" s="876"/>
      <c r="Q1093" s="870"/>
      <c r="R1093" s="870"/>
      <c r="S1093" s="870"/>
      <c r="T1093" s="870"/>
      <c r="U1093" s="870"/>
      <c r="V1093" s="870"/>
      <c r="W1093" s="870"/>
      <c r="X1093" s="870"/>
      <c r="Y1093" s="870"/>
      <c r="Z1093" s="870"/>
      <c r="AA1093" s="870"/>
      <c r="AB1093" s="870"/>
      <c r="AC1093" s="870"/>
      <c r="AD1093" s="870"/>
      <c r="AE1093" s="870"/>
      <c r="AF1093" s="870"/>
      <c r="AG1093" s="870"/>
    </row>
    <row r="1094" spans="1:33" s="995" customFormat="1">
      <c r="A1094" s="974"/>
      <c r="D1094" s="876"/>
      <c r="E1094" s="974"/>
      <c r="F1094" s="876"/>
      <c r="G1094" s="876"/>
      <c r="H1094" s="876"/>
      <c r="I1094" s="876"/>
      <c r="J1094" s="876"/>
      <c r="K1094" s="876"/>
      <c r="L1094" s="876"/>
      <c r="M1094" s="876"/>
      <c r="N1094" s="876"/>
      <c r="O1094" s="876"/>
      <c r="P1094" s="876"/>
      <c r="Q1094" s="870"/>
      <c r="R1094" s="870"/>
      <c r="S1094" s="870"/>
      <c r="T1094" s="870"/>
      <c r="U1094" s="870"/>
      <c r="V1094" s="870"/>
      <c r="W1094" s="870"/>
      <c r="X1094" s="870"/>
      <c r="Y1094" s="870"/>
      <c r="Z1094" s="870"/>
      <c r="AA1094" s="870"/>
      <c r="AB1094" s="870"/>
      <c r="AC1094" s="870"/>
      <c r="AD1094" s="870"/>
      <c r="AE1094" s="870"/>
      <c r="AF1094" s="870"/>
      <c r="AG1094" s="870"/>
    </row>
    <row r="1095" spans="1:33" s="995" customFormat="1">
      <c r="A1095" s="974"/>
      <c r="D1095" s="876"/>
      <c r="E1095" s="974"/>
      <c r="F1095" s="876"/>
      <c r="G1095" s="876"/>
      <c r="H1095" s="876"/>
      <c r="I1095" s="876"/>
      <c r="J1095" s="876"/>
      <c r="K1095" s="876"/>
      <c r="L1095" s="876"/>
      <c r="M1095" s="876"/>
      <c r="N1095" s="876"/>
      <c r="O1095" s="876"/>
      <c r="P1095" s="876"/>
      <c r="Q1095" s="870"/>
      <c r="R1095" s="870"/>
      <c r="S1095" s="870"/>
      <c r="T1095" s="870"/>
      <c r="U1095" s="870"/>
      <c r="V1095" s="870"/>
      <c r="W1095" s="870"/>
      <c r="X1095" s="870"/>
      <c r="Y1095" s="870"/>
      <c r="Z1095" s="870"/>
      <c r="AA1095" s="870"/>
      <c r="AB1095" s="870"/>
      <c r="AC1095" s="870"/>
      <c r="AD1095" s="870"/>
      <c r="AE1095" s="870"/>
      <c r="AF1095" s="870"/>
      <c r="AG1095" s="870"/>
    </row>
    <row r="1096" spans="1:33" s="995" customFormat="1">
      <c r="A1096" s="974"/>
      <c r="D1096" s="876"/>
      <c r="E1096" s="974"/>
      <c r="F1096" s="876"/>
      <c r="G1096" s="876"/>
      <c r="H1096" s="876"/>
      <c r="I1096" s="876"/>
      <c r="J1096" s="876"/>
      <c r="K1096" s="876"/>
      <c r="L1096" s="876"/>
      <c r="M1096" s="876"/>
      <c r="N1096" s="876"/>
      <c r="O1096" s="876"/>
      <c r="P1096" s="876"/>
      <c r="Q1096" s="870"/>
      <c r="R1096" s="870"/>
      <c r="S1096" s="870"/>
      <c r="T1096" s="870"/>
      <c r="U1096" s="870"/>
      <c r="V1096" s="870"/>
      <c r="W1096" s="870"/>
      <c r="X1096" s="870"/>
      <c r="Y1096" s="870"/>
      <c r="Z1096" s="870"/>
      <c r="AA1096" s="870"/>
      <c r="AB1096" s="870"/>
      <c r="AC1096" s="870"/>
      <c r="AD1096" s="870"/>
      <c r="AE1096" s="870"/>
      <c r="AF1096" s="870"/>
      <c r="AG1096" s="870"/>
    </row>
    <row r="1097" spans="1:33" s="995" customFormat="1">
      <c r="A1097" s="974"/>
      <c r="D1097" s="876"/>
      <c r="E1097" s="974"/>
      <c r="F1097" s="876"/>
      <c r="G1097" s="876"/>
      <c r="H1097" s="876"/>
      <c r="I1097" s="876"/>
      <c r="J1097" s="876"/>
      <c r="K1097" s="876"/>
      <c r="L1097" s="876"/>
      <c r="M1097" s="876"/>
      <c r="N1097" s="876"/>
      <c r="O1097" s="876"/>
      <c r="P1097" s="876"/>
      <c r="Q1097" s="870"/>
      <c r="R1097" s="870"/>
      <c r="S1097" s="870"/>
      <c r="T1097" s="870"/>
      <c r="U1097" s="870"/>
      <c r="V1097" s="870"/>
      <c r="W1097" s="870"/>
      <c r="X1097" s="870"/>
      <c r="Y1097" s="870"/>
      <c r="Z1097" s="870"/>
      <c r="AA1097" s="870"/>
      <c r="AB1097" s="870"/>
      <c r="AC1097" s="870"/>
      <c r="AD1097" s="870"/>
      <c r="AE1097" s="870"/>
      <c r="AF1097" s="870"/>
      <c r="AG1097" s="870"/>
    </row>
    <row r="1098" spans="1:33" s="995" customFormat="1">
      <c r="A1098" s="974"/>
      <c r="D1098" s="876"/>
      <c r="E1098" s="974"/>
      <c r="F1098" s="876"/>
      <c r="G1098" s="876"/>
      <c r="H1098" s="876"/>
      <c r="I1098" s="876"/>
      <c r="J1098" s="876"/>
      <c r="K1098" s="876"/>
      <c r="L1098" s="876"/>
      <c r="M1098" s="876"/>
      <c r="N1098" s="876"/>
      <c r="O1098" s="876"/>
      <c r="P1098" s="876"/>
      <c r="Q1098" s="870"/>
      <c r="R1098" s="870"/>
      <c r="S1098" s="870"/>
      <c r="T1098" s="870"/>
      <c r="U1098" s="870"/>
      <c r="V1098" s="870"/>
      <c r="W1098" s="870"/>
      <c r="X1098" s="870"/>
      <c r="Y1098" s="870"/>
      <c r="Z1098" s="870"/>
      <c r="AA1098" s="870"/>
      <c r="AB1098" s="870"/>
      <c r="AC1098" s="870"/>
      <c r="AD1098" s="870"/>
      <c r="AE1098" s="870"/>
      <c r="AF1098" s="870"/>
      <c r="AG1098" s="870"/>
    </row>
    <row r="1099" spans="1:33" s="995" customFormat="1">
      <c r="A1099" s="974"/>
      <c r="D1099" s="876"/>
      <c r="E1099" s="974"/>
      <c r="F1099" s="876"/>
      <c r="G1099" s="876"/>
      <c r="H1099" s="876"/>
      <c r="I1099" s="876"/>
      <c r="J1099" s="876"/>
      <c r="K1099" s="876"/>
      <c r="L1099" s="876"/>
      <c r="M1099" s="876"/>
      <c r="N1099" s="876"/>
      <c r="O1099" s="876"/>
      <c r="P1099" s="876"/>
      <c r="Q1099" s="870"/>
      <c r="R1099" s="870"/>
      <c r="S1099" s="870"/>
      <c r="T1099" s="870"/>
      <c r="U1099" s="870"/>
      <c r="V1099" s="870"/>
      <c r="W1099" s="870"/>
      <c r="X1099" s="870"/>
      <c r="Y1099" s="870"/>
      <c r="Z1099" s="870"/>
      <c r="AA1099" s="870"/>
      <c r="AB1099" s="870"/>
      <c r="AC1099" s="870"/>
      <c r="AD1099" s="870"/>
      <c r="AE1099" s="870"/>
      <c r="AF1099" s="870"/>
      <c r="AG1099" s="870"/>
    </row>
    <row r="1100" spans="1:33" s="995" customFormat="1">
      <c r="A1100" s="974"/>
      <c r="D1100" s="876"/>
      <c r="E1100" s="974"/>
      <c r="F1100" s="876"/>
      <c r="G1100" s="876"/>
      <c r="H1100" s="876"/>
      <c r="I1100" s="876"/>
      <c r="J1100" s="876"/>
      <c r="K1100" s="876"/>
      <c r="L1100" s="876"/>
      <c r="M1100" s="876"/>
      <c r="N1100" s="876"/>
      <c r="O1100" s="876"/>
      <c r="P1100" s="876"/>
      <c r="Q1100" s="870"/>
      <c r="R1100" s="870"/>
      <c r="S1100" s="870"/>
      <c r="T1100" s="870"/>
      <c r="U1100" s="870"/>
      <c r="V1100" s="870"/>
      <c r="W1100" s="870"/>
      <c r="X1100" s="870"/>
      <c r="Y1100" s="870"/>
      <c r="Z1100" s="870"/>
      <c r="AA1100" s="870"/>
      <c r="AB1100" s="870"/>
      <c r="AC1100" s="870"/>
      <c r="AD1100" s="870"/>
      <c r="AE1100" s="870"/>
      <c r="AF1100" s="870"/>
      <c r="AG1100" s="870"/>
    </row>
    <row r="1101" spans="1:33" s="995" customFormat="1">
      <c r="A1101" s="974"/>
      <c r="D1101" s="876"/>
      <c r="E1101" s="974"/>
      <c r="F1101" s="876"/>
      <c r="G1101" s="876"/>
      <c r="H1101" s="876"/>
      <c r="I1101" s="876"/>
      <c r="J1101" s="876"/>
      <c r="K1101" s="876"/>
      <c r="L1101" s="876"/>
      <c r="M1101" s="876"/>
      <c r="N1101" s="876"/>
      <c r="O1101" s="876"/>
      <c r="P1101" s="876"/>
      <c r="Q1101" s="870"/>
      <c r="R1101" s="870"/>
      <c r="S1101" s="870"/>
      <c r="T1101" s="870"/>
      <c r="U1101" s="870"/>
      <c r="V1101" s="870"/>
      <c r="W1101" s="870"/>
      <c r="X1101" s="870"/>
      <c r="Y1101" s="870"/>
      <c r="Z1101" s="870"/>
      <c r="AA1101" s="870"/>
      <c r="AB1101" s="870"/>
      <c r="AC1101" s="870"/>
      <c r="AD1101" s="870"/>
      <c r="AE1101" s="870"/>
      <c r="AF1101" s="870"/>
      <c r="AG1101" s="870"/>
    </row>
    <row r="1102" spans="1:33" s="995" customFormat="1">
      <c r="A1102" s="974"/>
      <c r="D1102" s="876"/>
      <c r="E1102" s="974"/>
      <c r="F1102" s="876"/>
      <c r="G1102" s="876"/>
      <c r="H1102" s="876"/>
      <c r="I1102" s="876"/>
      <c r="J1102" s="876"/>
      <c r="K1102" s="876"/>
      <c r="L1102" s="876"/>
      <c r="M1102" s="876"/>
      <c r="N1102" s="876"/>
      <c r="O1102" s="876"/>
      <c r="P1102" s="876"/>
      <c r="Q1102" s="870"/>
      <c r="R1102" s="870"/>
      <c r="S1102" s="870"/>
      <c r="T1102" s="870"/>
      <c r="U1102" s="870"/>
      <c r="V1102" s="870"/>
      <c r="W1102" s="870"/>
      <c r="X1102" s="870"/>
      <c r="Y1102" s="870"/>
      <c r="Z1102" s="870"/>
      <c r="AA1102" s="870"/>
      <c r="AB1102" s="870"/>
      <c r="AC1102" s="870"/>
      <c r="AD1102" s="870"/>
      <c r="AE1102" s="870"/>
      <c r="AF1102" s="870"/>
      <c r="AG1102" s="870"/>
    </row>
    <row r="1103" spans="1:33" s="995" customFormat="1">
      <c r="A1103" s="974"/>
      <c r="D1103" s="876"/>
      <c r="E1103" s="974"/>
      <c r="F1103" s="876"/>
      <c r="G1103" s="876"/>
      <c r="H1103" s="876"/>
      <c r="I1103" s="876"/>
      <c r="J1103" s="876"/>
      <c r="K1103" s="876"/>
      <c r="L1103" s="876"/>
      <c r="M1103" s="876"/>
      <c r="N1103" s="876"/>
      <c r="O1103" s="876"/>
      <c r="P1103" s="876"/>
      <c r="Q1103" s="870"/>
      <c r="R1103" s="870"/>
      <c r="S1103" s="870"/>
      <c r="T1103" s="870"/>
      <c r="U1103" s="870"/>
      <c r="V1103" s="870"/>
      <c r="W1103" s="870"/>
      <c r="X1103" s="870"/>
      <c r="Y1103" s="870"/>
      <c r="Z1103" s="870"/>
      <c r="AA1103" s="870"/>
      <c r="AB1103" s="870"/>
      <c r="AC1103" s="870"/>
      <c r="AD1103" s="870"/>
      <c r="AE1103" s="870"/>
      <c r="AF1103" s="870"/>
      <c r="AG1103" s="870"/>
    </row>
    <row r="1104" spans="1:33" s="995" customFormat="1">
      <c r="A1104" s="974"/>
      <c r="D1104" s="876"/>
      <c r="E1104" s="974"/>
      <c r="F1104" s="876"/>
      <c r="G1104" s="876"/>
      <c r="H1104" s="876"/>
      <c r="I1104" s="876"/>
      <c r="J1104" s="876"/>
      <c r="K1104" s="876"/>
      <c r="L1104" s="876"/>
      <c r="M1104" s="876"/>
      <c r="N1104" s="876"/>
      <c r="O1104" s="876"/>
      <c r="P1104" s="876"/>
      <c r="Q1104" s="870"/>
      <c r="R1104" s="870"/>
      <c r="S1104" s="870"/>
      <c r="T1104" s="870"/>
      <c r="U1104" s="870"/>
      <c r="V1104" s="870"/>
      <c r="W1104" s="870"/>
      <c r="X1104" s="870"/>
      <c r="Y1104" s="870"/>
      <c r="Z1104" s="870"/>
      <c r="AA1104" s="870"/>
      <c r="AB1104" s="870"/>
      <c r="AC1104" s="870"/>
      <c r="AD1104" s="870"/>
      <c r="AE1104" s="870"/>
      <c r="AF1104" s="870"/>
      <c r="AG1104" s="870"/>
    </row>
    <row r="1105" spans="1:33" s="995" customFormat="1">
      <c r="A1105" s="974"/>
      <c r="D1105" s="876"/>
      <c r="E1105" s="974"/>
      <c r="F1105" s="876"/>
      <c r="G1105" s="876"/>
      <c r="H1105" s="876"/>
      <c r="I1105" s="876"/>
      <c r="J1105" s="876"/>
      <c r="K1105" s="876"/>
      <c r="L1105" s="876"/>
      <c r="M1105" s="876"/>
      <c r="N1105" s="876"/>
      <c r="O1105" s="876"/>
      <c r="P1105" s="876"/>
      <c r="Q1105" s="870"/>
      <c r="R1105" s="870"/>
      <c r="S1105" s="870"/>
      <c r="T1105" s="870"/>
      <c r="U1105" s="870"/>
      <c r="V1105" s="870"/>
      <c r="W1105" s="870"/>
      <c r="X1105" s="870"/>
      <c r="Y1105" s="870"/>
      <c r="Z1105" s="870"/>
      <c r="AA1105" s="870"/>
      <c r="AB1105" s="870"/>
      <c r="AC1105" s="870"/>
      <c r="AD1105" s="870"/>
      <c r="AE1105" s="870"/>
      <c r="AF1105" s="870"/>
      <c r="AG1105" s="870"/>
    </row>
    <row r="1106" spans="1:33" s="995" customFormat="1">
      <c r="A1106" s="974"/>
      <c r="D1106" s="876"/>
      <c r="E1106" s="974"/>
      <c r="F1106" s="876"/>
      <c r="G1106" s="876"/>
      <c r="H1106" s="876"/>
      <c r="I1106" s="876"/>
      <c r="J1106" s="876"/>
      <c r="K1106" s="876"/>
      <c r="L1106" s="876"/>
      <c r="M1106" s="876"/>
      <c r="N1106" s="876"/>
      <c r="O1106" s="876"/>
      <c r="P1106" s="876"/>
      <c r="Q1106" s="870"/>
      <c r="R1106" s="870"/>
      <c r="S1106" s="870"/>
      <c r="T1106" s="870"/>
      <c r="U1106" s="870"/>
      <c r="V1106" s="870"/>
      <c r="W1106" s="870"/>
      <c r="X1106" s="870"/>
      <c r="Y1106" s="870"/>
      <c r="Z1106" s="870"/>
      <c r="AA1106" s="870"/>
      <c r="AB1106" s="870"/>
      <c r="AC1106" s="870"/>
      <c r="AD1106" s="870"/>
      <c r="AE1106" s="870"/>
      <c r="AF1106" s="870"/>
      <c r="AG1106" s="870"/>
    </row>
    <row r="1107" spans="1:33" s="995" customFormat="1">
      <c r="A1107" s="974"/>
      <c r="D1107" s="876"/>
      <c r="E1107" s="974"/>
      <c r="F1107" s="876"/>
      <c r="G1107" s="876"/>
      <c r="H1107" s="876"/>
      <c r="I1107" s="876"/>
      <c r="J1107" s="876"/>
      <c r="K1107" s="876"/>
      <c r="L1107" s="876"/>
      <c r="M1107" s="876"/>
      <c r="N1107" s="876"/>
      <c r="O1107" s="876"/>
      <c r="P1107" s="876"/>
      <c r="Q1107" s="870"/>
      <c r="R1107" s="870"/>
      <c r="S1107" s="870"/>
      <c r="T1107" s="870"/>
      <c r="U1107" s="870"/>
      <c r="V1107" s="870"/>
      <c r="W1107" s="870"/>
      <c r="X1107" s="870"/>
      <c r="Y1107" s="870"/>
      <c r="Z1107" s="870"/>
      <c r="AA1107" s="870"/>
      <c r="AB1107" s="870"/>
      <c r="AC1107" s="870"/>
      <c r="AD1107" s="870"/>
      <c r="AE1107" s="870"/>
      <c r="AF1107" s="870"/>
      <c r="AG1107" s="870"/>
    </row>
    <row r="1108" spans="1:33" s="995" customFormat="1">
      <c r="A1108" s="974"/>
      <c r="D1108" s="876"/>
      <c r="E1108" s="974"/>
      <c r="F1108" s="876"/>
      <c r="G1108" s="876"/>
      <c r="H1108" s="876"/>
      <c r="I1108" s="876"/>
      <c r="J1108" s="876"/>
      <c r="K1108" s="876"/>
      <c r="L1108" s="876"/>
      <c r="M1108" s="876"/>
      <c r="N1108" s="876"/>
      <c r="O1108" s="876"/>
      <c r="P1108" s="876"/>
      <c r="Q1108" s="870"/>
      <c r="R1108" s="870"/>
      <c r="S1108" s="870"/>
      <c r="T1108" s="870"/>
      <c r="U1108" s="870"/>
      <c r="V1108" s="870"/>
      <c r="W1108" s="870"/>
      <c r="X1108" s="870"/>
      <c r="Y1108" s="870"/>
      <c r="Z1108" s="870"/>
      <c r="AA1108" s="870"/>
      <c r="AB1108" s="870"/>
      <c r="AC1108" s="870"/>
      <c r="AD1108" s="870"/>
      <c r="AE1108" s="870"/>
      <c r="AF1108" s="870"/>
      <c r="AG1108" s="870"/>
    </row>
    <row r="1109" spans="1:33" s="995" customFormat="1">
      <c r="A1109" s="974"/>
      <c r="D1109" s="876"/>
      <c r="E1109" s="974"/>
      <c r="F1109" s="876"/>
      <c r="G1109" s="876"/>
      <c r="H1109" s="876"/>
      <c r="I1109" s="876"/>
      <c r="J1109" s="876"/>
      <c r="K1109" s="876"/>
      <c r="L1109" s="876"/>
      <c r="M1109" s="876"/>
      <c r="N1109" s="876"/>
      <c r="O1109" s="876"/>
      <c r="P1109" s="876"/>
      <c r="Q1109" s="870"/>
      <c r="R1109" s="870"/>
      <c r="S1109" s="870"/>
      <c r="T1109" s="870"/>
      <c r="U1109" s="870"/>
      <c r="V1109" s="870"/>
      <c r="W1109" s="870"/>
      <c r="X1109" s="870"/>
      <c r="Y1109" s="870"/>
      <c r="Z1109" s="870"/>
      <c r="AA1109" s="870"/>
      <c r="AB1109" s="870"/>
      <c r="AC1109" s="870"/>
      <c r="AD1109" s="870"/>
      <c r="AE1109" s="870"/>
      <c r="AF1109" s="870"/>
      <c r="AG1109" s="870"/>
    </row>
    <row r="1110" spans="1:33" s="995" customFormat="1">
      <c r="A1110" s="974"/>
      <c r="D1110" s="876"/>
      <c r="E1110" s="974"/>
      <c r="F1110" s="876"/>
      <c r="G1110" s="876"/>
      <c r="H1110" s="876"/>
      <c r="I1110" s="876"/>
      <c r="J1110" s="876"/>
      <c r="K1110" s="876"/>
      <c r="L1110" s="876"/>
      <c r="M1110" s="876"/>
      <c r="N1110" s="876"/>
      <c r="O1110" s="876"/>
      <c r="P1110" s="876"/>
      <c r="Q1110" s="870"/>
      <c r="R1110" s="870"/>
      <c r="S1110" s="870"/>
      <c r="T1110" s="870"/>
      <c r="U1110" s="870"/>
      <c r="V1110" s="870"/>
      <c r="W1110" s="870"/>
      <c r="X1110" s="870"/>
      <c r="Y1110" s="870"/>
      <c r="Z1110" s="870"/>
      <c r="AA1110" s="870"/>
      <c r="AB1110" s="870"/>
      <c r="AC1110" s="870"/>
      <c r="AD1110" s="870"/>
      <c r="AE1110" s="870"/>
      <c r="AF1110" s="870"/>
      <c r="AG1110" s="870"/>
    </row>
    <row r="1111" spans="1:33" s="995" customFormat="1">
      <c r="A1111" s="974"/>
      <c r="D1111" s="876"/>
      <c r="E1111" s="974"/>
      <c r="F1111" s="876"/>
      <c r="G1111" s="876"/>
      <c r="H1111" s="876"/>
      <c r="I1111" s="876"/>
      <c r="J1111" s="876"/>
      <c r="K1111" s="876"/>
      <c r="L1111" s="876"/>
      <c r="M1111" s="876"/>
      <c r="N1111" s="876"/>
      <c r="O1111" s="876"/>
      <c r="P1111" s="876"/>
      <c r="Q1111" s="870"/>
      <c r="R1111" s="870"/>
      <c r="S1111" s="870"/>
      <c r="T1111" s="870"/>
      <c r="U1111" s="870"/>
      <c r="V1111" s="870"/>
      <c r="W1111" s="870"/>
      <c r="X1111" s="870"/>
      <c r="Y1111" s="870"/>
      <c r="Z1111" s="870"/>
      <c r="AA1111" s="870"/>
      <c r="AB1111" s="870"/>
      <c r="AC1111" s="870"/>
      <c r="AD1111" s="870"/>
      <c r="AE1111" s="870"/>
      <c r="AF1111" s="870"/>
      <c r="AG1111" s="870"/>
    </row>
    <row r="1112" spans="1:33" s="995" customFormat="1">
      <c r="A1112" s="974"/>
      <c r="D1112" s="876"/>
      <c r="E1112" s="974"/>
      <c r="F1112" s="876"/>
      <c r="G1112" s="876"/>
      <c r="H1112" s="876"/>
      <c r="I1112" s="876"/>
      <c r="J1112" s="876"/>
      <c r="K1112" s="876"/>
      <c r="L1112" s="876"/>
      <c r="M1112" s="876"/>
      <c r="N1112" s="876"/>
      <c r="O1112" s="876"/>
      <c r="P1112" s="876"/>
      <c r="Q1112" s="870"/>
      <c r="R1112" s="870"/>
      <c r="S1112" s="870"/>
      <c r="T1112" s="870"/>
      <c r="U1112" s="870"/>
      <c r="V1112" s="870"/>
      <c r="W1112" s="870"/>
      <c r="X1112" s="870"/>
      <c r="Y1112" s="870"/>
      <c r="Z1112" s="870"/>
      <c r="AA1112" s="870"/>
      <c r="AB1112" s="870"/>
      <c r="AC1112" s="870"/>
      <c r="AD1112" s="870"/>
      <c r="AE1112" s="870"/>
      <c r="AF1112" s="870"/>
      <c r="AG1112" s="870"/>
    </row>
    <row r="1113" spans="1:33" s="995" customFormat="1">
      <c r="A1113" s="974"/>
      <c r="D1113" s="876"/>
      <c r="E1113" s="974"/>
      <c r="F1113" s="876"/>
      <c r="G1113" s="876"/>
      <c r="H1113" s="876"/>
      <c r="I1113" s="876"/>
      <c r="J1113" s="876"/>
      <c r="K1113" s="876"/>
      <c r="L1113" s="876"/>
      <c r="M1113" s="876"/>
      <c r="N1113" s="876"/>
      <c r="O1113" s="876"/>
      <c r="P1113" s="876"/>
      <c r="Q1113" s="870"/>
      <c r="R1113" s="870"/>
      <c r="S1113" s="870"/>
      <c r="T1113" s="870"/>
      <c r="U1113" s="870"/>
      <c r="V1113" s="870"/>
      <c r="W1113" s="870"/>
      <c r="X1113" s="870"/>
      <c r="Y1113" s="870"/>
      <c r="Z1113" s="870"/>
      <c r="AA1113" s="870"/>
      <c r="AB1113" s="870"/>
      <c r="AC1113" s="870"/>
      <c r="AD1113" s="870"/>
      <c r="AE1113" s="870"/>
      <c r="AF1113" s="870"/>
      <c r="AG1113" s="870"/>
    </row>
    <row r="1114" spans="1:33" s="995" customFormat="1">
      <c r="A1114" s="974"/>
      <c r="D1114" s="876"/>
      <c r="E1114" s="974"/>
      <c r="F1114" s="876"/>
      <c r="G1114" s="876"/>
      <c r="H1114" s="876"/>
      <c r="I1114" s="876"/>
      <c r="J1114" s="876"/>
      <c r="K1114" s="876"/>
      <c r="L1114" s="876"/>
      <c r="M1114" s="876"/>
      <c r="N1114" s="876"/>
      <c r="O1114" s="876"/>
      <c r="P1114" s="876"/>
      <c r="Q1114" s="870"/>
      <c r="R1114" s="870"/>
      <c r="S1114" s="870"/>
      <c r="T1114" s="870"/>
      <c r="U1114" s="870"/>
      <c r="V1114" s="870"/>
      <c r="W1114" s="870"/>
      <c r="X1114" s="870"/>
      <c r="Y1114" s="870"/>
      <c r="Z1114" s="870"/>
      <c r="AA1114" s="870"/>
      <c r="AB1114" s="870"/>
      <c r="AC1114" s="870"/>
      <c r="AD1114" s="870"/>
      <c r="AE1114" s="870"/>
      <c r="AF1114" s="870"/>
      <c r="AG1114" s="870"/>
    </row>
    <row r="1115" spans="1:33" s="995" customFormat="1">
      <c r="A1115" s="974"/>
      <c r="D1115" s="876"/>
      <c r="E1115" s="974"/>
      <c r="F1115" s="876"/>
      <c r="G1115" s="876"/>
      <c r="H1115" s="876"/>
      <c r="I1115" s="876"/>
      <c r="J1115" s="876"/>
      <c r="K1115" s="876"/>
      <c r="L1115" s="876"/>
      <c r="M1115" s="876"/>
      <c r="N1115" s="876"/>
      <c r="O1115" s="876"/>
      <c r="P1115" s="876"/>
      <c r="Q1115" s="870"/>
      <c r="R1115" s="870"/>
      <c r="S1115" s="870"/>
      <c r="T1115" s="870"/>
      <c r="U1115" s="870"/>
      <c r="V1115" s="870"/>
      <c r="W1115" s="870"/>
      <c r="X1115" s="870"/>
      <c r="Y1115" s="870"/>
      <c r="Z1115" s="870"/>
      <c r="AA1115" s="870"/>
      <c r="AB1115" s="870"/>
      <c r="AC1115" s="870"/>
      <c r="AD1115" s="870"/>
      <c r="AE1115" s="870"/>
      <c r="AF1115" s="870"/>
      <c r="AG1115" s="870"/>
    </row>
    <row r="1116" spans="1:33" s="995" customFormat="1">
      <c r="A1116" s="974"/>
      <c r="D1116" s="876"/>
      <c r="E1116" s="974"/>
      <c r="F1116" s="876"/>
      <c r="G1116" s="876"/>
      <c r="H1116" s="876"/>
      <c r="I1116" s="876"/>
      <c r="J1116" s="876"/>
      <c r="K1116" s="876"/>
      <c r="L1116" s="876"/>
      <c r="M1116" s="876"/>
      <c r="N1116" s="876"/>
      <c r="O1116" s="876"/>
      <c r="P1116" s="876"/>
      <c r="Q1116" s="870"/>
      <c r="R1116" s="870"/>
      <c r="S1116" s="870"/>
      <c r="T1116" s="870"/>
      <c r="U1116" s="870"/>
      <c r="V1116" s="870"/>
      <c r="W1116" s="870"/>
      <c r="X1116" s="870"/>
      <c r="Y1116" s="870"/>
      <c r="Z1116" s="870"/>
      <c r="AA1116" s="870"/>
      <c r="AB1116" s="870"/>
      <c r="AC1116" s="870"/>
      <c r="AD1116" s="870"/>
      <c r="AE1116" s="870"/>
      <c r="AF1116" s="870"/>
      <c r="AG1116" s="870"/>
    </row>
    <row r="1117" spans="1:33" s="995" customFormat="1">
      <c r="A1117" s="974"/>
      <c r="D1117" s="876"/>
      <c r="E1117" s="974"/>
      <c r="F1117" s="876"/>
      <c r="G1117" s="876"/>
      <c r="H1117" s="876"/>
      <c r="I1117" s="876"/>
      <c r="J1117" s="876"/>
      <c r="K1117" s="876"/>
      <c r="L1117" s="876"/>
      <c r="M1117" s="876"/>
      <c r="N1117" s="876"/>
      <c r="O1117" s="876"/>
      <c r="P1117" s="876"/>
      <c r="Q1117" s="870"/>
      <c r="R1117" s="870"/>
      <c r="S1117" s="870"/>
      <c r="T1117" s="870"/>
      <c r="U1117" s="870"/>
      <c r="V1117" s="870"/>
      <c r="W1117" s="870"/>
      <c r="X1117" s="870"/>
      <c r="Y1117" s="870"/>
      <c r="Z1117" s="870"/>
      <c r="AA1117" s="870"/>
      <c r="AB1117" s="870"/>
      <c r="AC1117" s="870"/>
      <c r="AD1117" s="870"/>
      <c r="AE1117" s="870"/>
      <c r="AF1117" s="870"/>
      <c r="AG1117" s="870"/>
    </row>
    <row r="1118" spans="1:33" s="995" customFormat="1">
      <c r="A1118" s="974"/>
      <c r="D1118" s="876"/>
      <c r="E1118" s="974"/>
      <c r="F1118" s="876"/>
      <c r="G1118" s="876"/>
      <c r="H1118" s="876"/>
      <c r="I1118" s="876"/>
      <c r="J1118" s="876"/>
      <c r="K1118" s="876"/>
      <c r="L1118" s="876"/>
      <c r="M1118" s="876"/>
      <c r="N1118" s="876"/>
      <c r="O1118" s="876"/>
      <c r="P1118" s="876"/>
      <c r="Q1118" s="870"/>
      <c r="R1118" s="870"/>
      <c r="S1118" s="870"/>
      <c r="T1118" s="870"/>
      <c r="U1118" s="870"/>
      <c r="V1118" s="870"/>
      <c r="W1118" s="870"/>
      <c r="X1118" s="870"/>
      <c r="Y1118" s="870"/>
      <c r="Z1118" s="870"/>
      <c r="AA1118" s="870"/>
      <c r="AB1118" s="870"/>
      <c r="AC1118" s="870"/>
      <c r="AD1118" s="870"/>
      <c r="AE1118" s="870"/>
      <c r="AF1118" s="870"/>
      <c r="AG1118" s="870"/>
    </row>
    <row r="1119" spans="1:33" s="995" customFormat="1">
      <c r="A1119" s="974"/>
      <c r="D1119" s="876"/>
      <c r="E1119" s="974"/>
      <c r="F1119" s="876"/>
      <c r="G1119" s="876"/>
      <c r="H1119" s="876"/>
      <c r="I1119" s="876"/>
      <c r="J1119" s="876"/>
      <c r="K1119" s="876"/>
      <c r="L1119" s="876"/>
      <c r="M1119" s="876"/>
      <c r="N1119" s="876"/>
      <c r="O1119" s="876"/>
      <c r="P1119" s="876"/>
      <c r="Q1119" s="870"/>
      <c r="R1119" s="870"/>
      <c r="S1119" s="870"/>
      <c r="T1119" s="870"/>
      <c r="U1119" s="870"/>
      <c r="V1119" s="870"/>
      <c r="W1119" s="870"/>
      <c r="X1119" s="870"/>
      <c r="Y1119" s="870"/>
      <c r="Z1119" s="870"/>
      <c r="AA1119" s="870"/>
      <c r="AB1119" s="870"/>
      <c r="AC1119" s="870"/>
      <c r="AD1119" s="870"/>
      <c r="AE1119" s="870"/>
      <c r="AF1119" s="870"/>
      <c r="AG1119" s="870"/>
    </row>
    <row r="1120" spans="1:33" s="995" customFormat="1">
      <c r="A1120" s="974"/>
      <c r="D1120" s="876"/>
      <c r="E1120" s="974"/>
      <c r="F1120" s="876"/>
      <c r="G1120" s="876"/>
      <c r="H1120" s="876"/>
      <c r="I1120" s="876"/>
      <c r="J1120" s="876"/>
      <c r="K1120" s="876"/>
      <c r="L1120" s="876"/>
      <c r="M1120" s="876"/>
      <c r="N1120" s="876"/>
      <c r="O1120" s="876"/>
      <c r="P1120" s="876"/>
      <c r="Q1120" s="870"/>
      <c r="R1120" s="870"/>
      <c r="S1120" s="870"/>
      <c r="T1120" s="870"/>
      <c r="U1120" s="870"/>
      <c r="V1120" s="870"/>
      <c r="W1120" s="870"/>
      <c r="X1120" s="870"/>
      <c r="Y1120" s="870"/>
      <c r="Z1120" s="870"/>
      <c r="AA1120" s="870"/>
      <c r="AB1120" s="870"/>
      <c r="AC1120" s="870"/>
      <c r="AD1120" s="870"/>
      <c r="AE1120" s="870"/>
      <c r="AF1120" s="870"/>
      <c r="AG1120" s="870"/>
    </row>
    <row r="1121" spans="1:33" s="995" customFormat="1">
      <c r="A1121" s="974"/>
      <c r="D1121" s="876"/>
      <c r="E1121" s="974"/>
      <c r="F1121" s="876"/>
      <c r="G1121" s="876"/>
      <c r="H1121" s="876"/>
      <c r="I1121" s="876"/>
      <c r="J1121" s="876"/>
      <c r="K1121" s="876"/>
      <c r="L1121" s="876"/>
      <c r="M1121" s="876"/>
      <c r="N1121" s="876"/>
      <c r="O1121" s="876"/>
      <c r="P1121" s="876"/>
      <c r="Q1121" s="870"/>
      <c r="R1121" s="870"/>
      <c r="S1121" s="870"/>
      <c r="T1121" s="870"/>
      <c r="U1121" s="870"/>
      <c r="V1121" s="870"/>
      <c r="W1121" s="870"/>
      <c r="X1121" s="870"/>
      <c r="Y1121" s="870"/>
      <c r="Z1121" s="870"/>
      <c r="AA1121" s="870"/>
      <c r="AB1121" s="870"/>
      <c r="AC1121" s="870"/>
      <c r="AD1121" s="870"/>
      <c r="AE1121" s="870"/>
      <c r="AF1121" s="870"/>
      <c r="AG1121" s="870"/>
    </row>
    <row r="1122" spans="1:33" s="995" customFormat="1">
      <c r="A1122" s="974"/>
      <c r="D1122" s="876"/>
      <c r="E1122" s="974"/>
      <c r="F1122" s="876"/>
      <c r="G1122" s="876"/>
      <c r="H1122" s="876"/>
      <c r="I1122" s="876"/>
      <c r="J1122" s="876"/>
      <c r="K1122" s="876"/>
      <c r="L1122" s="876"/>
      <c r="M1122" s="876"/>
      <c r="N1122" s="876"/>
      <c r="O1122" s="876"/>
      <c r="P1122" s="876"/>
      <c r="Q1122" s="870"/>
      <c r="R1122" s="870"/>
      <c r="S1122" s="870"/>
      <c r="T1122" s="870"/>
      <c r="U1122" s="870"/>
      <c r="V1122" s="870"/>
      <c r="W1122" s="870"/>
      <c r="X1122" s="870"/>
      <c r="Y1122" s="870"/>
      <c r="Z1122" s="870"/>
      <c r="AA1122" s="870"/>
      <c r="AB1122" s="870"/>
      <c r="AC1122" s="870"/>
      <c r="AD1122" s="870"/>
      <c r="AE1122" s="870"/>
      <c r="AF1122" s="870"/>
      <c r="AG1122" s="870"/>
    </row>
    <row r="1123" spans="1:33" s="995" customFormat="1">
      <c r="A1123" s="974"/>
      <c r="D1123" s="876"/>
      <c r="E1123" s="974"/>
      <c r="F1123" s="876"/>
      <c r="G1123" s="876"/>
      <c r="H1123" s="876"/>
      <c r="I1123" s="876"/>
      <c r="J1123" s="876"/>
      <c r="K1123" s="876"/>
      <c r="L1123" s="876"/>
      <c r="M1123" s="876"/>
      <c r="N1123" s="876"/>
      <c r="O1123" s="876"/>
      <c r="P1123" s="876"/>
      <c r="Q1123" s="870"/>
      <c r="R1123" s="870"/>
      <c r="S1123" s="870"/>
      <c r="T1123" s="870"/>
      <c r="U1123" s="870"/>
      <c r="V1123" s="870"/>
      <c r="W1123" s="870"/>
      <c r="X1123" s="870"/>
      <c r="Y1123" s="870"/>
      <c r="Z1123" s="870"/>
      <c r="AA1123" s="870"/>
      <c r="AB1123" s="870"/>
      <c r="AC1123" s="870"/>
      <c r="AD1123" s="870"/>
      <c r="AE1123" s="870"/>
      <c r="AF1123" s="870"/>
      <c r="AG1123" s="870"/>
    </row>
    <row r="1124" spans="1:33" s="995" customFormat="1">
      <c r="A1124" s="974"/>
      <c r="D1124" s="876"/>
      <c r="E1124" s="974"/>
      <c r="F1124" s="876"/>
      <c r="G1124" s="876"/>
      <c r="H1124" s="876"/>
      <c r="I1124" s="876"/>
      <c r="J1124" s="876"/>
      <c r="K1124" s="876"/>
      <c r="L1124" s="876"/>
      <c r="M1124" s="876"/>
      <c r="N1124" s="876"/>
      <c r="O1124" s="876"/>
      <c r="P1124" s="876"/>
      <c r="Q1124" s="870"/>
      <c r="R1124" s="870"/>
      <c r="S1124" s="870"/>
      <c r="T1124" s="870"/>
      <c r="U1124" s="870"/>
      <c r="V1124" s="870"/>
      <c r="W1124" s="870"/>
      <c r="X1124" s="870"/>
      <c r="Y1124" s="870"/>
      <c r="Z1124" s="870"/>
      <c r="AA1124" s="870"/>
      <c r="AB1124" s="870"/>
      <c r="AC1124" s="870"/>
      <c r="AD1124" s="870"/>
      <c r="AE1124" s="870"/>
      <c r="AF1124" s="870"/>
      <c r="AG1124" s="870"/>
    </row>
    <row r="1125" spans="1:33" s="995" customFormat="1">
      <c r="A1125" s="974"/>
      <c r="D1125" s="876"/>
      <c r="E1125" s="974"/>
      <c r="F1125" s="876"/>
      <c r="G1125" s="876"/>
      <c r="H1125" s="876"/>
      <c r="I1125" s="876"/>
      <c r="J1125" s="876"/>
      <c r="K1125" s="876"/>
      <c r="L1125" s="876"/>
      <c r="M1125" s="876"/>
      <c r="N1125" s="876"/>
      <c r="O1125" s="876"/>
      <c r="P1125" s="876"/>
      <c r="Q1125" s="870"/>
      <c r="R1125" s="870"/>
      <c r="S1125" s="870"/>
      <c r="T1125" s="870"/>
      <c r="U1125" s="870"/>
      <c r="V1125" s="870"/>
      <c r="W1125" s="870"/>
      <c r="X1125" s="870"/>
      <c r="Y1125" s="870"/>
      <c r="Z1125" s="870"/>
      <c r="AA1125" s="870"/>
      <c r="AB1125" s="870"/>
      <c r="AC1125" s="870"/>
      <c r="AD1125" s="870"/>
      <c r="AE1125" s="870"/>
      <c r="AF1125" s="870"/>
      <c r="AG1125" s="870"/>
    </row>
    <row r="1126" spans="1:33" s="995" customFormat="1">
      <c r="A1126" s="974"/>
      <c r="D1126" s="876"/>
      <c r="E1126" s="974"/>
      <c r="F1126" s="876"/>
      <c r="G1126" s="876"/>
      <c r="H1126" s="876"/>
      <c r="I1126" s="876"/>
      <c r="J1126" s="876"/>
      <c r="K1126" s="876"/>
      <c r="L1126" s="876"/>
      <c r="M1126" s="876"/>
      <c r="N1126" s="876"/>
      <c r="O1126" s="876"/>
      <c r="P1126" s="876"/>
      <c r="Q1126" s="870"/>
      <c r="R1126" s="870"/>
      <c r="S1126" s="870"/>
      <c r="T1126" s="870"/>
      <c r="U1126" s="870"/>
      <c r="V1126" s="870"/>
      <c r="W1126" s="870"/>
      <c r="X1126" s="870"/>
      <c r="Y1126" s="870"/>
      <c r="Z1126" s="870"/>
      <c r="AA1126" s="870"/>
      <c r="AB1126" s="870"/>
      <c r="AC1126" s="870"/>
      <c r="AD1126" s="870"/>
      <c r="AE1126" s="870"/>
      <c r="AF1126" s="870"/>
      <c r="AG1126" s="870"/>
    </row>
    <row r="1127" spans="1:33" s="995" customFormat="1">
      <c r="A1127" s="974"/>
      <c r="D1127" s="876"/>
      <c r="E1127" s="974"/>
      <c r="F1127" s="876"/>
      <c r="G1127" s="876"/>
      <c r="H1127" s="876"/>
      <c r="I1127" s="876"/>
      <c r="J1127" s="876"/>
      <c r="K1127" s="876"/>
      <c r="L1127" s="876"/>
      <c r="M1127" s="876"/>
      <c r="N1127" s="876"/>
      <c r="O1127" s="876"/>
      <c r="P1127" s="876"/>
      <c r="Q1127" s="870"/>
      <c r="R1127" s="870"/>
      <c r="S1127" s="870"/>
      <c r="T1127" s="870"/>
      <c r="U1127" s="870"/>
      <c r="V1127" s="870"/>
      <c r="W1127" s="870"/>
      <c r="X1127" s="870"/>
      <c r="Y1127" s="870"/>
      <c r="Z1127" s="870"/>
      <c r="AA1127" s="870"/>
      <c r="AB1127" s="870"/>
      <c r="AC1127" s="870"/>
      <c r="AD1127" s="870"/>
      <c r="AE1127" s="870"/>
      <c r="AF1127" s="870"/>
      <c r="AG1127" s="870"/>
    </row>
    <row r="1128" spans="1:33" s="995" customFormat="1">
      <c r="A1128" s="974"/>
      <c r="D1128" s="876"/>
      <c r="E1128" s="974"/>
      <c r="F1128" s="876"/>
      <c r="G1128" s="876"/>
      <c r="H1128" s="876"/>
      <c r="I1128" s="876"/>
      <c r="J1128" s="876"/>
      <c r="K1128" s="876"/>
      <c r="L1128" s="876"/>
      <c r="M1128" s="876"/>
      <c r="N1128" s="876"/>
      <c r="O1128" s="876"/>
      <c r="P1128" s="876"/>
      <c r="Q1128" s="870"/>
      <c r="R1128" s="870"/>
      <c r="S1128" s="870"/>
      <c r="T1128" s="870"/>
      <c r="U1128" s="870"/>
      <c r="V1128" s="870"/>
      <c r="W1128" s="870"/>
      <c r="X1128" s="870"/>
      <c r="Y1128" s="870"/>
      <c r="Z1128" s="870"/>
      <c r="AA1128" s="870"/>
      <c r="AB1128" s="870"/>
      <c r="AC1128" s="870"/>
      <c r="AD1128" s="870"/>
      <c r="AE1128" s="870"/>
      <c r="AF1128" s="870"/>
      <c r="AG1128" s="870"/>
    </row>
    <row r="1129" spans="1:33" s="995" customFormat="1">
      <c r="A1129" s="974"/>
      <c r="D1129" s="876"/>
      <c r="E1129" s="974"/>
      <c r="F1129" s="876"/>
      <c r="G1129" s="876"/>
      <c r="H1129" s="876"/>
      <c r="I1129" s="876"/>
      <c r="J1129" s="876"/>
      <c r="K1129" s="876"/>
      <c r="L1129" s="876"/>
      <c r="M1129" s="876"/>
      <c r="N1129" s="876"/>
      <c r="O1129" s="876"/>
      <c r="P1129" s="876"/>
      <c r="Q1129" s="870"/>
      <c r="R1129" s="870"/>
      <c r="S1129" s="870"/>
      <c r="T1129" s="870"/>
      <c r="U1129" s="870"/>
      <c r="V1129" s="870"/>
      <c r="W1129" s="870"/>
      <c r="X1129" s="870"/>
      <c r="Y1129" s="870"/>
      <c r="Z1129" s="870"/>
      <c r="AA1129" s="870"/>
      <c r="AB1129" s="870"/>
      <c r="AC1129" s="870"/>
      <c r="AD1129" s="870"/>
      <c r="AE1129" s="870"/>
      <c r="AF1129" s="870"/>
      <c r="AG1129" s="870"/>
    </row>
    <row r="1130" spans="1:33" s="995" customFormat="1">
      <c r="A1130" s="974"/>
      <c r="D1130" s="876"/>
      <c r="E1130" s="974"/>
      <c r="F1130" s="876"/>
      <c r="G1130" s="876"/>
      <c r="H1130" s="876"/>
      <c r="I1130" s="876"/>
      <c r="J1130" s="876"/>
      <c r="K1130" s="876"/>
      <c r="L1130" s="876"/>
      <c r="M1130" s="876"/>
      <c r="N1130" s="876"/>
      <c r="O1130" s="876"/>
      <c r="P1130" s="876"/>
      <c r="Q1130" s="870"/>
      <c r="R1130" s="870"/>
      <c r="S1130" s="870"/>
      <c r="T1130" s="870"/>
      <c r="U1130" s="870"/>
      <c r="V1130" s="870"/>
      <c r="W1130" s="870"/>
      <c r="X1130" s="870"/>
      <c r="Y1130" s="870"/>
      <c r="Z1130" s="870"/>
      <c r="AA1130" s="870"/>
      <c r="AB1130" s="870"/>
      <c r="AC1130" s="870"/>
      <c r="AD1130" s="870"/>
      <c r="AE1130" s="870"/>
      <c r="AF1130" s="870"/>
      <c r="AG1130" s="870"/>
    </row>
    <row r="1131" spans="1:33" s="995" customFormat="1">
      <c r="A1131" s="974"/>
      <c r="D1131" s="876"/>
      <c r="E1131" s="974"/>
      <c r="F1131" s="876"/>
      <c r="G1131" s="876"/>
      <c r="H1131" s="876"/>
      <c r="I1131" s="876"/>
      <c r="J1131" s="876"/>
      <c r="K1131" s="876"/>
      <c r="L1131" s="876"/>
      <c r="M1131" s="876"/>
      <c r="N1131" s="876"/>
      <c r="O1131" s="876"/>
      <c r="P1131" s="876"/>
      <c r="Q1131" s="870"/>
      <c r="R1131" s="870"/>
      <c r="S1131" s="870"/>
      <c r="T1131" s="870"/>
      <c r="U1131" s="870"/>
      <c r="V1131" s="870"/>
      <c r="W1131" s="870"/>
      <c r="X1131" s="870"/>
      <c r="Y1131" s="870"/>
      <c r="Z1131" s="870"/>
      <c r="AA1131" s="870"/>
      <c r="AB1131" s="870"/>
      <c r="AC1131" s="870"/>
      <c r="AD1131" s="870"/>
      <c r="AE1131" s="870"/>
      <c r="AF1131" s="870"/>
      <c r="AG1131" s="870"/>
    </row>
    <row r="1132" spans="1:33" s="995" customFormat="1">
      <c r="A1132" s="974"/>
      <c r="D1132" s="876"/>
      <c r="E1132" s="974"/>
      <c r="F1132" s="876"/>
      <c r="G1132" s="876"/>
      <c r="H1132" s="876"/>
      <c r="I1132" s="876"/>
      <c r="J1132" s="876"/>
      <c r="K1132" s="876"/>
      <c r="L1132" s="876"/>
      <c r="M1132" s="876"/>
      <c r="N1132" s="876"/>
      <c r="O1132" s="876"/>
      <c r="P1132" s="876"/>
      <c r="Q1132" s="870"/>
      <c r="R1132" s="870"/>
      <c r="S1132" s="870"/>
      <c r="T1132" s="870"/>
      <c r="U1132" s="870"/>
      <c r="V1132" s="870"/>
      <c r="W1132" s="870"/>
      <c r="X1132" s="870"/>
      <c r="Y1132" s="870"/>
      <c r="Z1132" s="870"/>
      <c r="AA1132" s="870"/>
      <c r="AB1132" s="870"/>
      <c r="AC1132" s="870"/>
      <c r="AD1132" s="870"/>
      <c r="AE1132" s="870"/>
      <c r="AF1132" s="870"/>
      <c r="AG1132" s="870"/>
    </row>
    <row r="1133" spans="1:33" s="995" customFormat="1">
      <c r="A1133" s="974"/>
      <c r="D1133" s="876"/>
      <c r="E1133" s="974"/>
      <c r="F1133" s="876"/>
      <c r="G1133" s="876"/>
      <c r="H1133" s="876"/>
      <c r="I1133" s="876"/>
      <c r="J1133" s="876"/>
      <c r="K1133" s="876"/>
      <c r="L1133" s="876"/>
      <c r="M1133" s="876"/>
      <c r="N1133" s="876"/>
      <c r="O1133" s="876"/>
      <c r="P1133" s="876"/>
      <c r="Q1133" s="870"/>
      <c r="R1133" s="870"/>
      <c r="S1133" s="870"/>
      <c r="T1133" s="870"/>
      <c r="U1133" s="870"/>
      <c r="V1133" s="870"/>
      <c r="W1133" s="870"/>
      <c r="X1133" s="870"/>
      <c r="Y1133" s="870"/>
      <c r="Z1133" s="870"/>
      <c r="AA1133" s="870"/>
      <c r="AB1133" s="870"/>
      <c r="AC1133" s="870"/>
      <c r="AD1133" s="870"/>
      <c r="AE1133" s="870"/>
      <c r="AF1133" s="870"/>
      <c r="AG1133" s="870"/>
    </row>
    <row r="1134" spans="1:33" s="995" customFormat="1">
      <c r="A1134" s="974"/>
      <c r="D1134" s="876"/>
      <c r="E1134" s="974"/>
      <c r="F1134" s="876"/>
      <c r="G1134" s="876"/>
      <c r="H1134" s="876"/>
      <c r="I1134" s="876"/>
      <c r="J1134" s="876"/>
      <c r="K1134" s="876"/>
      <c r="L1134" s="876"/>
      <c r="M1134" s="876"/>
      <c r="N1134" s="876"/>
      <c r="O1134" s="876"/>
      <c r="P1134" s="876"/>
      <c r="Q1134" s="870"/>
      <c r="R1134" s="870"/>
      <c r="S1134" s="870"/>
      <c r="T1134" s="870"/>
      <c r="U1134" s="870"/>
      <c r="V1134" s="870"/>
      <c r="W1134" s="870"/>
      <c r="X1134" s="870"/>
      <c r="Y1134" s="870"/>
      <c r="Z1134" s="870"/>
      <c r="AA1134" s="870"/>
      <c r="AB1134" s="870"/>
      <c r="AC1134" s="870"/>
      <c r="AD1134" s="870"/>
      <c r="AE1134" s="870"/>
      <c r="AF1134" s="870"/>
      <c r="AG1134" s="870"/>
    </row>
    <row r="1135" spans="1:33" s="995" customFormat="1">
      <c r="A1135" s="974"/>
      <c r="D1135" s="876"/>
      <c r="E1135" s="974"/>
      <c r="F1135" s="876"/>
      <c r="G1135" s="876"/>
      <c r="H1135" s="876"/>
      <c r="I1135" s="876"/>
      <c r="J1135" s="876"/>
      <c r="K1135" s="876"/>
      <c r="L1135" s="876"/>
      <c r="M1135" s="876"/>
      <c r="N1135" s="876"/>
      <c r="O1135" s="876"/>
      <c r="P1135" s="876"/>
      <c r="Q1135" s="870"/>
      <c r="R1135" s="870"/>
      <c r="S1135" s="870"/>
      <c r="T1135" s="870"/>
      <c r="U1135" s="870"/>
      <c r="V1135" s="870"/>
      <c r="W1135" s="870"/>
      <c r="X1135" s="870"/>
      <c r="Y1135" s="870"/>
      <c r="Z1135" s="870"/>
      <c r="AA1135" s="870"/>
      <c r="AB1135" s="870"/>
      <c r="AC1135" s="870"/>
      <c r="AD1135" s="870"/>
      <c r="AE1135" s="870"/>
      <c r="AF1135" s="870"/>
      <c r="AG1135" s="870"/>
    </row>
    <row r="1136" spans="1:33" s="995" customFormat="1">
      <c r="A1136" s="974"/>
      <c r="D1136" s="876"/>
      <c r="E1136" s="974"/>
      <c r="F1136" s="876"/>
      <c r="G1136" s="876"/>
      <c r="H1136" s="876"/>
      <c r="I1136" s="876"/>
      <c r="J1136" s="876"/>
      <c r="K1136" s="876"/>
      <c r="L1136" s="876"/>
      <c r="M1136" s="876"/>
      <c r="N1136" s="876"/>
      <c r="O1136" s="876"/>
      <c r="P1136" s="876"/>
      <c r="Q1136" s="870"/>
      <c r="R1136" s="870"/>
      <c r="S1136" s="870"/>
      <c r="T1136" s="870"/>
      <c r="U1136" s="870"/>
      <c r="V1136" s="870"/>
      <c r="W1136" s="870"/>
      <c r="X1136" s="870"/>
      <c r="Y1136" s="870"/>
      <c r="Z1136" s="870"/>
      <c r="AA1136" s="870"/>
      <c r="AB1136" s="870"/>
      <c r="AC1136" s="870"/>
      <c r="AD1136" s="870"/>
      <c r="AE1136" s="870"/>
      <c r="AF1136" s="870"/>
      <c r="AG1136" s="870"/>
    </row>
    <row r="1137" spans="1:33" s="995" customFormat="1">
      <c r="A1137" s="974"/>
      <c r="D1137" s="876"/>
      <c r="E1137" s="974"/>
      <c r="F1137" s="876"/>
      <c r="G1137" s="876"/>
      <c r="H1137" s="876"/>
      <c r="I1137" s="876"/>
      <c r="J1137" s="876"/>
      <c r="K1137" s="876"/>
      <c r="L1137" s="876"/>
      <c r="M1137" s="876"/>
      <c r="N1137" s="876"/>
      <c r="O1137" s="876"/>
      <c r="P1137" s="876"/>
      <c r="Q1137" s="870"/>
      <c r="R1137" s="870"/>
      <c r="S1137" s="870"/>
      <c r="T1137" s="870"/>
      <c r="U1137" s="870"/>
      <c r="V1137" s="870"/>
      <c r="W1137" s="870"/>
      <c r="X1137" s="870"/>
      <c r="Y1137" s="870"/>
      <c r="Z1137" s="870"/>
      <c r="AA1137" s="870"/>
      <c r="AB1137" s="870"/>
      <c r="AC1137" s="870"/>
      <c r="AD1137" s="870"/>
      <c r="AE1137" s="870"/>
      <c r="AF1137" s="870"/>
      <c r="AG1137" s="870"/>
    </row>
    <row r="1138" spans="1:33" s="995" customFormat="1">
      <c r="A1138" s="974"/>
      <c r="D1138" s="876"/>
      <c r="E1138" s="974"/>
      <c r="F1138" s="876"/>
      <c r="G1138" s="876"/>
      <c r="H1138" s="876"/>
      <c r="I1138" s="876"/>
      <c r="J1138" s="876"/>
      <c r="K1138" s="876"/>
      <c r="L1138" s="876"/>
      <c r="M1138" s="876"/>
      <c r="N1138" s="876"/>
      <c r="O1138" s="876"/>
      <c r="P1138" s="876"/>
      <c r="Q1138" s="870"/>
      <c r="R1138" s="870"/>
      <c r="S1138" s="870"/>
      <c r="T1138" s="870"/>
      <c r="U1138" s="870"/>
      <c r="V1138" s="870"/>
      <c r="W1138" s="870"/>
      <c r="X1138" s="870"/>
      <c r="Y1138" s="870"/>
      <c r="Z1138" s="870"/>
      <c r="AA1138" s="870"/>
      <c r="AB1138" s="870"/>
      <c r="AC1138" s="870"/>
      <c r="AD1138" s="870"/>
      <c r="AE1138" s="870"/>
      <c r="AF1138" s="870"/>
      <c r="AG1138" s="870"/>
    </row>
    <row r="1139" spans="1:33" s="995" customFormat="1">
      <c r="A1139" s="974"/>
      <c r="D1139" s="876"/>
      <c r="E1139" s="974"/>
      <c r="F1139" s="876"/>
      <c r="G1139" s="876"/>
      <c r="H1139" s="876"/>
      <c r="I1139" s="876"/>
      <c r="J1139" s="876"/>
      <c r="K1139" s="876"/>
      <c r="L1139" s="876"/>
      <c r="M1139" s="876"/>
      <c r="N1139" s="876"/>
      <c r="O1139" s="876"/>
      <c r="P1139" s="876"/>
      <c r="Q1139" s="870"/>
      <c r="R1139" s="870"/>
      <c r="S1139" s="870"/>
      <c r="T1139" s="870"/>
      <c r="U1139" s="870"/>
      <c r="V1139" s="870"/>
      <c r="W1139" s="870"/>
      <c r="X1139" s="870"/>
      <c r="Y1139" s="870"/>
      <c r="Z1139" s="870"/>
      <c r="AA1139" s="870"/>
      <c r="AB1139" s="870"/>
      <c r="AC1139" s="870"/>
      <c r="AD1139" s="870"/>
      <c r="AE1139" s="870"/>
      <c r="AF1139" s="870"/>
      <c r="AG1139" s="870"/>
    </row>
    <row r="1140" spans="1:33" s="995" customFormat="1">
      <c r="A1140" s="974"/>
      <c r="D1140" s="876"/>
      <c r="E1140" s="974"/>
      <c r="F1140" s="876"/>
      <c r="G1140" s="876"/>
      <c r="H1140" s="876"/>
      <c r="I1140" s="876"/>
      <c r="J1140" s="876"/>
      <c r="K1140" s="876"/>
      <c r="L1140" s="876"/>
      <c r="M1140" s="876"/>
      <c r="N1140" s="876"/>
      <c r="O1140" s="876"/>
      <c r="P1140" s="876"/>
      <c r="Q1140" s="870"/>
      <c r="R1140" s="870"/>
      <c r="S1140" s="870"/>
      <c r="T1140" s="870"/>
      <c r="U1140" s="870"/>
      <c r="V1140" s="870"/>
      <c r="W1140" s="870"/>
      <c r="X1140" s="870"/>
      <c r="Y1140" s="870"/>
      <c r="Z1140" s="870"/>
      <c r="AA1140" s="870"/>
      <c r="AB1140" s="870"/>
      <c r="AC1140" s="870"/>
      <c r="AD1140" s="870"/>
      <c r="AE1140" s="870"/>
      <c r="AF1140" s="870"/>
      <c r="AG1140" s="870"/>
    </row>
    <row r="1141" spans="1:33" s="995" customFormat="1">
      <c r="A1141" s="974"/>
      <c r="D1141" s="876"/>
      <c r="E1141" s="974"/>
      <c r="F1141" s="876"/>
      <c r="G1141" s="876"/>
      <c r="H1141" s="876"/>
      <c r="I1141" s="876"/>
      <c r="J1141" s="876"/>
      <c r="K1141" s="876"/>
      <c r="L1141" s="876"/>
      <c r="M1141" s="876"/>
      <c r="N1141" s="876"/>
      <c r="O1141" s="876"/>
      <c r="P1141" s="876"/>
      <c r="Q1141" s="870"/>
      <c r="R1141" s="870"/>
      <c r="S1141" s="870"/>
      <c r="T1141" s="870"/>
      <c r="U1141" s="870"/>
      <c r="V1141" s="870"/>
      <c r="W1141" s="870"/>
      <c r="X1141" s="870"/>
      <c r="Y1141" s="870"/>
      <c r="Z1141" s="870"/>
      <c r="AA1141" s="870"/>
      <c r="AB1141" s="870"/>
      <c r="AC1141" s="870"/>
      <c r="AD1141" s="870"/>
      <c r="AE1141" s="870"/>
      <c r="AF1141" s="870"/>
      <c r="AG1141" s="870"/>
    </row>
    <row r="1142" spans="1:33" s="995" customFormat="1">
      <c r="A1142" s="974"/>
      <c r="D1142" s="876"/>
      <c r="E1142" s="974"/>
      <c r="F1142" s="876"/>
      <c r="G1142" s="876"/>
      <c r="H1142" s="876"/>
      <c r="I1142" s="876"/>
      <c r="J1142" s="876"/>
      <c r="K1142" s="876"/>
      <c r="L1142" s="876"/>
      <c r="M1142" s="876"/>
      <c r="N1142" s="876"/>
      <c r="O1142" s="876"/>
      <c r="P1142" s="876"/>
      <c r="Q1142" s="870"/>
      <c r="R1142" s="870"/>
      <c r="S1142" s="870"/>
      <c r="T1142" s="870"/>
      <c r="U1142" s="870"/>
      <c r="V1142" s="870"/>
      <c r="W1142" s="870"/>
      <c r="X1142" s="870"/>
      <c r="Y1142" s="870"/>
      <c r="Z1142" s="870"/>
      <c r="AA1142" s="870"/>
      <c r="AB1142" s="870"/>
      <c r="AC1142" s="870"/>
      <c r="AD1142" s="870"/>
      <c r="AE1142" s="870"/>
      <c r="AF1142" s="870"/>
      <c r="AG1142" s="870"/>
    </row>
    <row r="1143" spans="1:33" s="995" customFormat="1">
      <c r="A1143" s="974"/>
      <c r="D1143" s="876"/>
      <c r="E1143" s="974"/>
      <c r="F1143" s="876"/>
      <c r="G1143" s="876"/>
      <c r="H1143" s="876"/>
      <c r="I1143" s="876"/>
      <c r="J1143" s="876"/>
      <c r="K1143" s="876"/>
      <c r="L1143" s="876"/>
      <c r="M1143" s="876"/>
      <c r="N1143" s="876"/>
      <c r="O1143" s="876"/>
      <c r="P1143" s="876"/>
      <c r="Q1143" s="870"/>
      <c r="R1143" s="870"/>
      <c r="S1143" s="870"/>
      <c r="T1143" s="870"/>
      <c r="U1143" s="870"/>
      <c r="V1143" s="870"/>
      <c r="W1143" s="870"/>
      <c r="X1143" s="870"/>
      <c r="Y1143" s="870"/>
      <c r="Z1143" s="870"/>
      <c r="AA1143" s="870"/>
      <c r="AB1143" s="870"/>
      <c r="AC1143" s="870"/>
      <c r="AD1143" s="870"/>
      <c r="AE1143" s="870"/>
      <c r="AF1143" s="870"/>
      <c r="AG1143" s="870"/>
    </row>
    <row r="1144" spans="1:33" s="995" customFormat="1">
      <c r="A1144" s="974"/>
      <c r="D1144" s="876"/>
      <c r="E1144" s="974"/>
      <c r="F1144" s="876"/>
      <c r="G1144" s="876"/>
      <c r="H1144" s="876"/>
      <c r="I1144" s="876"/>
      <c r="J1144" s="876"/>
      <c r="K1144" s="876"/>
      <c r="L1144" s="876"/>
      <c r="M1144" s="876"/>
      <c r="N1144" s="876"/>
      <c r="O1144" s="876"/>
      <c r="P1144" s="876"/>
      <c r="Q1144" s="870"/>
      <c r="R1144" s="870"/>
      <c r="S1144" s="870"/>
      <c r="T1144" s="870"/>
      <c r="U1144" s="870"/>
      <c r="V1144" s="870"/>
      <c r="W1144" s="870"/>
      <c r="X1144" s="870"/>
      <c r="Y1144" s="870"/>
      <c r="Z1144" s="870"/>
      <c r="AA1144" s="870"/>
      <c r="AB1144" s="870"/>
      <c r="AC1144" s="870"/>
      <c r="AD1144" s="870"/>
      <c r="AE1144" s="870"/>
      <c r="AF1144" s="870"/>
      <c r="AG1144" s="870"/>
    </row>
    <row r="1145" spans="1:33" s="995" customFormat="1">
      <c r="A1145" s="974"/>
      <c r="D1145" s="876"/>
      <c r="E1145" s="974"/>
      <c r="F1145" s="876"/>
      <c r="G1145" s="876"/>
      <c r="H1145" s="876"/>
      <c r="I1145" s="876"/>
      <c r="J1145" s="876"/>
      <c r="K1145" s="876"/>
      <c r="L1145" s="876"/>
      <c r="M1145" s="876"/>
      <c r="N1145" s="876"/>
      <c r="O1145" s="876"/>
      <c r="P1145" s="876"/>
      <c r="Q1145" s="870"/>
      <c r="R1145" s="870"/>
      <c r="S1145" s="870"/>
      <c r="T1145" s="870"/>
      <c r="U1145" s="870"/>
      <c r="V1145" s="870"/>
      <c r="W1145" s="870"/>
      <c r="X1145" s="870"/>
      <c r="Y1145" s="870"/>
      <c r="Z1145" s="870"/>
      <c r="AA1145" s="870"/>
      <c r="AB1145" s="870"/>
      <c r="AC1145" s="870"/>
      <c r="AD1145" s="870"/>
      <c r="AE1145" s="870"/>
      <c r="AF1145" s="870"/>
      <c r="AG1145" s="870"/>
    </row>
    <row r="1146" spans="1:33" s="995" customFormat="1">
      <c r="A1146" s="974"/>
      <c r="D1146" s="876"/>
      <c r="E1146" s="974"/>
      <c r="F1146" s="876"/>
      <c r="G1146" s="876"/>
      <c r="H1146" s="876"/>
      <c r="I1146" s="876"/>
      <c r="J1146" s="876"/>
      <c r="K1146" s="876"/>
      <c r="L1146" s="876"/>
      <c r="M1146" s="876"/>
      <c r="N1146" s="876"/>
      <c r="O1146" s="876"/>
      <c r="P1146" s="876"/>
      <c r="Q1146" s="870"/>
      <c r="R1146" s="870"/>
      <c r="S1146" s="870"/>
      <c r="T1146" s="870"/>
      <c r="U1146" s="870"/>
      <c r="V1146" s="870"/>
      <c r="W1146" s="870"/>
      <c r="X1146" s="870"/>
      <c r="Y1146" s="870"/>
      <c r="Z1146" s="870"/>
      <c r="AA1146" s="870"/>
      <c r="AB1146" s="870"/>
      <c r="AC1146" s="870"/>
      <c r="AD1146" s="870"/>
      <c r="AE1146" s="870"/>
      <c r="AF1146" s="870"/>
      <c r="AG1146" s="870"/>
    </row>
    <row r="1147" spans="1:33" s="995" customFormat="1">
      <c r="A1147" s="974"/>
      <c r="D1147" s="876"/>
      <c r="E1147" s="974"/>
      <c r="F1147" s="876"/>
      <c r="G1147" s="876"/>
      <c r="H1147" s="876"/>
      <c r="I1147" s="876"/>
      <c r="J1147" s="876"/>
      <c r="K1147" s="876"/>
      <c r="L1147" s="876"/>
      <c r="M1147" s="876"/>
      <c r="N1147" s="876"/>
      <c r="O1147" s="876"/>
      <c r="P1147" s="876"/>
      <c r="Q1147" s="870"/>
      <c r="R1147" s="870"/>
      <c r="S1147" s="870"/>
      <c r="T1147" s="870"/>
      <c r="U1147" s="870"/>
      <c r="V1147" s="870"/>
      <c r="W1147" s="870"/>
      <c r="X1147" s="870"/>
      <c r="Y1147" s="870"/>
      <c r="Z1147" s="870"/>
      <c r="AA1147" s="870"/>
      <c r="AB1147" s="870"/>
      <c r="AC1147" s="870"/>
      <c r="AD1147" s="870"/>
      <c r="AE1147" s="870"/>
      <c r="AF1147" s="870"/>
      <c r="AG1147" s="870"/>
    </row>
    <row r="1148" spans="1:33" s="995" customFormat="1">
      <c r="A1148" s="974"/>
      <c r="D1148" s="876"/>
      <c r="E1148" s="974"/>
      <c r="F1148" s="876"/>
      <c r="G1148" s="876"/>
      <c r="H1148" s="876"/>
      <c r="I1148" s="876"/>
      <c r="J1148" s="876"/>
      <c r="K1148" s="876"/>
      <c r="L1148" s="876"/>
      <c r="M1148" s="876"/>
      <c r="N1148" s="876"/>
      <c r="O1148" s="876"/>
      <c r="P1148" s="876"/>
      <c r="Q1148" s="870"/>
      <c r="R1148" s="870"/>
      <c r="S1148" s="870"/>
      <c r="T1148" s="870"/>
      <c r="U1148" s="870"/>
      <c r="V1148" s="870"/>
      <c r="W1148" s="870"/>
      <c r="X1148" s="870"/>
      <c r="Y1148" s="870"/>
      <c r="Z1148" s="870"/>
      <c r="AA1148" s="870"/>
      <c r="AB1148" s="870"/>
      <c r="AC1148" s="870"/>
      <c r="AD1148" s="870"/>
      <c r="AE1148" s="870"/>
      <c r="AF1148" s="870"/>
      <c r="AG1148" s="870"/>
    </row>
    <row r="1149" spans="1:33" s="995" customFormat="1">
      <c r="A1149" s="974"/>
      <c r="D1149" s="876"/>
      <c r="E1149" s="974"/>
      <c r="F1149" s="876"/>
      <c r="G1149" s="876"/>
      <c r="H1149" s="876"/>
      <c r="I1149" s="876"/>
      <c r="J1149" s="876"/>
      <c r="K1149" s="876"/>
      <c r="L1149" s="876"/>
      <c r="M1149" s="876"/>
      <c r="N1149" s="876"/>
      <c r="O1149" s="876"/>
      <c r="P1149" s="876"/>
      <c r="Q1149" s="870"/>
      <c r="R1149" s="870"/>
      <c r="S1149" s="870"/>
      <c r="T1149" s="870"/>
      <c r="U1149" s="870"/>
      <c r="V1149" s="870"/>
      <c r="W1149" s="870"/>
      <c r="X1149" s="870"/>
      <c r="Y1149" s="870"/>
      <c r="Z1149" s="870"/>
      <c r="AA1149" s="870"/>
      <c r="AB1149" s="870"/>
      <c r="AC1149" s="870"/>
      <c r="AD1149" s="870"/>
      <c r="AE1149" s="870"/>
      <c r="AF1149" s="870"/>
      <c r="AG1149" s="870"/>
    </row>
    <row r="1150" spans="1:33" s="995" customFormat="1">
      <c r="A1150" s="974"/>
      <c r="D1150" s="876"/>
      <c r="E1150" s="974"/>
      <c r="F1150" s="876"/>
      <c r="G1150" s="876"/>
      <c r="H1150" s="876"/>
      <c r="I1150" s="876"/>
      <c r="J1150" s="876"/>
      <c r="K1150" s="876"/>
      <c r="L1150" s="876"/>
      <c r="M1150" s="876"/>
      <c r="N1150" s="876"/>
      <c r="O1150" s="876"/>
      <c r="P1150" s="876"/>
      <c r="Q1150" s="870"/>
      <c r="R1150" s="870"/>
      <c r="S1150" s="870"/>
      <c r="T1150" s="870"/>
      <c r="U1150" s="870"/>
      <c r="V1150" s="870"/>
      <c r="W1150" s="870"/>
      <c r="X1150" s="870"/>
      <c r="Y1150" s="870"/>
      <c r="Z1150" s="870"/>
      <c r="AA1150" s="870"/>
      <c r="AB1150" s="870"/>
      <c r="AC1150" s="870"/>
      <c r="AD1150" s="870"/>
      <c r="AE1150" s="870"/>
      <c r="AF1150" s="870"/>
      <c r="AG1150" s="870"/>
    </row>
    <row r="1151" spans="1:33" s="995" customFormat="1">
      <c r="A1151" s="974"/>
      <c r="D1151" s="876"/>
      <c r="E1151" s="974"/>
      <c r="F1151" s="876"/>
      <c r="G1151" s="876"/>
      <c r="H1151" s="876"/>
      <c r="I1151" s="876"/>
      <c r="J1151" s="876"/>
      <c r="K1151" s="876"/>
      <c r="L1151" s="876"/>
      <c r="M1151" s="876"/>
      <c r="N1151" s="876"/>
      <c r="O1151" s="876"/>
      <c r="P1151" s="876"/>
      <c r="Q1151" s="870"/>
      <c r="R1151" s="870"/>
      <c r="S1151" s="870"/>
      <c r="T1151" s="870"/>
      <c r="U1151" s="870"/>
      <c r="V1151" s="870"/>
      <c r="W1151" s="870"/>
      <c r="X1151" s="870"/>
      <c r="Y1151" s="870"/>
      <c r="Z1151" s="870"/>
      <c r="AA1151" s="870"/>
      <c r="AB1151" s="870"/>
      <c r="AC1151" s="870"/>
      <c r="AD1151" s="870"/>
      <c r="AE1151" s="870"/>
      <c r="AF1151" s="870"/>
      <c r="AG1151" s="870"/>
    </row>
    <row r="1152" spans="1:33" s="995" customFormat="1">
      <c r="A1152" s="974"/>
      <c r="D1152" s="876"/>
      <c r="E1152" s="974"/>
      <c r="F1152" s="876"/>
      <c r="G1152" s="876"/>
      <c r="H1152" s="876"/>
      <c r="I1152" s="876"/>
      <c r="J1152" s="876"/>
      <c r="K1152" s="876"/>
      <c r="L1152" s="876"/>
      <c r="M1152" s="876"/>
      <c r="N1152" s="876"/>
      <c r="O1152" s="876"/>
      <c r="P1152" s="876"/>
      <c r="Q1152" s="870"/>
      <c r="R1152" s="870"/>
      <c r="S1152" s="870"/>
      <c r="T1152" s="870"/>
      <c r="U1152" s="870"/>
      <c r="V1152" s="870"/>
      <c r="W1152" s="870"/>
      <c r="X1152" s="870"/>
      <c r="Y1152" s="870"/>
      <c r="Z1152" s="870"/>
      <c r="AA1152" s="870"/>
      <c r="AB1152" s="870"/>
      <c r="AC1152" s="870"/>
      <c r="AD1152" s="870"/>
      <c r="AE1152" s="870"/>
      <c r="AF1152" s="870"/>
      <c r="AG1152" s="870"/>
    </row>
    <row r="1153" spans="1:33" s="995" customFormat="1">
      <c r="A1153" s="974"/>
      <c r="D1153" s="876"/>
      <c r="E1153" s="974"/>
      <c r="F1153" s="876"/>
      <c r="G1153" s="876"/>
      <c r="H1153" s="876"/>
      <c r="I1153" s="876"/>
      <c r="J1153" s="876"/>
      <c r="K1153" s="876"/>
      <c r="L1153" s="876"/>
      <c r="M1153" s="876"/>
      <c r="N1153" s="876"/>
      <c r="O1153" s="876"/>
      <c r="P1153" s="876"/>
      <c r="Q1153" s="870"/>
      <c r="R1153" s="870"/>
      <c r="S1153" s="870"/>
      <c r="T1153" s="870"/>
      <c r="U1153" s="870"/>
      <c r="V1153" s="870"/>
      <c r="W1153" s="870"/>
      <c r="X1153" s="870"/>
      <c r="Y1153" s="870"/>
      <c r="Z1153" s="870"/>
      <c r="AA1153" s="870"/>
      <c r="AB1153" s="870"/>
      <c r="AC1153" s="870"/>
      <c r="AD1153" s="870"/>
      <c r="AE1153" s="870"/>
      <c r="AF1153" s="870"/>
      <c r="AG1153" s="870"/>
    </row>
    <row r="1154" spans="1:33" s="995" customFormat="1">
      <c r="A1154" s="974"/>
      <c r="D1154" s="876"/>
      <c r="E1154" s="974"/>
      <c r="F1154" s="876"/>
      <c r="G1154" s="876"/>
      <c r="H1154" s="876"/>
      <c r="I1154" s="876"/>
      <c r="J1154" s="876"/>
      <c r="K1154" s="876"/>
      <c r="L1154" s="876"/>
      <c r="M1154" s="876"/>
      <c r="N1154" s="876"/>
      <c r="O1154" s="876"/>
      <c r="P1154" s="876"/>
      <c r="Q1154" s="870"/>
      <c r="R1154" s="870"/>
      <c r="S1154" s="870"/>
      <c r="T1154" s="870"/>
      <c r="U1154" s="870"/>
      <c r="V1154" s="870"/>
      <c r="W1154" s="870"/>
      <c r="X1154" s="870"/>
      <c r="Y1154" s="870"/>
      <c r="Z1154" s="870"/>
      <c r="AA1154" s="870"/>
      <c r="AB1154" s="870"/>
      <c r="AC1154" s="870"/>
      <c r="AD1154" s="870"/>
      <c r="AE1154" s="870"/>
      <c r="AF1154" s="870"/>
      <c r="AG1154" s="870"/>
    </row>
    <row r="1155" spans="1:33" s="995" customFormat="1">
      <c r="A1155" s="974"/>
      <c r="D1155" s="876"/>
      <c r="E1155" s="974"/>
      <c r="F1155" s="876"/>
      <c r="G1155" s="876"/>
      <c r="H1155" s="876"/>
      <c r="I1155" s="876"/>
      <c r="J1155" s="876"/>
      <c r="K1155" s="876"/>
      <c r="L1155" s="876"/>
      <c r="M1155" s="876"/>
      <c r="N1155" s="876"/>
      <c r="O1155" s="876"/>
      <c r="P1155" s="876"/>
      <c r="Q1155" s="870"/>
      <c r="R1155" s="870"/>
      <c r="S1155" s="870"/>
      <c r="T1155" s="870"/>
      <c r="U1155" s="870"/>
      <c r="V1155" s="870"/>
      <c r="W1155" s="870"/>
      <c r="X1155" s="870"/>
      <c r="Y1155" s="870"/>
      <c r="Z1155" s="870"/>
      <c r="AA1155" s="870"/>
      <c r="AB1155" s="870"/>
      <c r="AC1155" s="870"/>
      <c r="AD1155" s="870"/>
      <c r="AE1155" s="870"/>
      <c r="AF1155" s="870"/>
      <c r="AG1155" s="870"/>
    </row>
    <row r="1156" spans="1:33" s="995" customFormat="1">
      <c r="A1156" s="974"/>
      <c r="D1156" s="876"/>
      <c r="E1156" s="974"/>
      <c r="F1156" s="876"/>
      <c r="G1156" s="876"/>
      <c r="H1156" s="876"/>
      <c r="I1156" s="876"/>
      <c r="J1156" s="876"/>
      <c r="K1156" s="876"/>
      <c r="L1156" s="876"/>
      <c r="M1156" s="876"/>
      <c r="N1156" s="876"/>
      <c r="O1156" s="876"/>
      <c r="P1156" s="876"/>
      <c r="Q1156" s="870"/>
      <c r="R1156" s="870"/>
      <c r="S1156" s="870"/>
      <c r="T1156" s="870"/>
      <c r="U1156" s="870"/>
      <c r="V1156" s="870"/>
      <c r="W1156" s="870"/>
      <c r="X1156" s="870"/>
      <c r="Y1156" s="870"/>
      <c r="Z1156" s="870"/>
      <c r="AA1156" s="870"/>
      <c r="AB1156" s="870"/>
      <c r="AC1156" s="870"/>
      <c r="AD1156" s="870"/>
      <c r="AE1156" s="870"/>
      <c r="AF1156" s="870"/>
      <c r="AG1156" s="870"/>
    </row>
    <row r="1157" spans="1:33" s="995" customFormat="1">
      <c r="A1157" s="974"/>
      <c r="D1157" s="876"/>
      <c r="E1157" s="974"/>
      <c r="F1157" s="876"/>
      <c r="G1157" s="876"/>
      <c r="H1157" s="876"/>
      <c r="I1157" s="876"/>
      <c r="J1157" s="876"/>
      <c r="K1157" s="876"/>
      <c r="L1157" s="876"/>
      <c r="M1157" s="876"/>
      <c r="N1157" s="876"/>
      <c r="O1157" s="876"/>
      <c r="P1157" s="876"/>
      <c r="Q1157" s="870"/>
      <c r="R1157" s="870"/>
      <c r="S1157" s="870"/>
      <c r="T1157" s="870"/>
      <c r="U1157" s="870"/>
      <c r="V1157" s="870"/>
      <c r="W1157" s="870"/>
      <c r="X1157" s="870"/>
      <c r="Y1157" s="870"/>
      <c r="Z1157" s="870"/>
      <c r="AA1157" s="870"/>
      <c r="AB1157" s="870"/>
      <c r="AC1157" s="870"/>
      <c r="AD1157" s="870"/>
      <c r="AE1157" s="870"/>
      <c r="AF1157" s="870"/>
      <c r="AG1157" s="870"/>
    </row>
    <row r="1158" spans="1:33" s="995" customFormat="1">
      <c r="A1158" s="974"/>
      <c r="D1158" s="876"/>
      <c r="E1158" s="974"/>
      <c r="F1158" s="876"/>
      <c r="G1158" s="876"/>
      <c r="H1158" s="876"/>
      <c r="I1158" s="876"/>
      <c r="J1158" s="876"/>
      <c r="K1158" s="876"/>
      <c r="L1158" s="876"/>
      <c r="M1158" s="876"/>
      <c r="N1158" s="876"/>
      <c r="O1158" s="876"/>
      <c r="P1158" s="876"/>
      <c r="Q1158" s="870"/>
      <c r="R1158" s="870"/>
      <c r="S1158" s="870"/>
      <c r="T1158" s="870"/>
      <c r="U1158" s="870"/>
      <c r="V1158" s="870"/>
      <c r="W1158" s="870"/>
      <c r="X1158" s="870"/>
      <c r="Y1158" s="870"/>
      <c r="Z1158" s="870"/>
      <c r="AA1158" s="870"/>
      <c r="AB1158" s="870"/>
      <c r="AC1158" s="870"/>
      <c r="AD1158" s="870"/>
      <c r="AE1158" s="870"/>
      <c r="AF1158" s="870"/>
      <c r="AG1158" s="870"/>
    </row>
    <row r="1159" spans="1:33" s="995" customFormat="1">
      <c r="A1159" s="974"/>
      <c r="D1159" s="876"/>
      <c r="E1159" s="974"/>
      <c r="F1159" s="876"/>
      <c r="G1159" s="876"/>
      <c r="H1159" s="876"/>
      <c r="I1159" s="876"/>
      <c r="J1159" s="876"/>
      <c r="K1159" s="876"/>
      <c r="L1159" s="876"/>
      <c r="M1159" s="876"/>
      <c r="N1159" s="876"/>
      <c r="O1159" s="876"/>
      <c r="P1159" s="876"/>
      <c r="Q1159" s="870"/>
      <c r="R1159" s="870"/>
      <c r="S1159" s="870"/>
      <c r="T1159" s="870"/>
      <c r="U1159" s="870"/>
      <c r="V1159" s="870"/>
      <c r="W1159" s="870"/>
      <c r="X1159" s="870"/>
      <c r="Y1159" s="870"/>
      <c r="Z1159" s="870"/>
      <c r="AA1159" s="870"/>
      <c r="AB1159" s="870"/>
      <c r="AC1159" s="870"/>
      <c r="AD1159" s="870"/>
      <c r="AE1159" s="870"/>
      <c r="AF1159" s="870"/>
      <c r="AG1159" s="870"/>
    </row>
    <row r="1160" spans="1:33" s="995" customFormat="1">
      <c r="A1160" s="974"/>
      <c r="D1160" s="876"/>
      <c r="E1160" s="974"/>
      <c r="F1160" s="876"/>
      <c r="G1160" s="876"/>
      <c r="H1160" s="876"/>
      <c r="I1160" s="876"/>
      <c r="J1160" s="876"/>
      <c r="K1160" s="876"/>
      <c r="L1160" s="876"/>
      <c r="M1160" s="876"/>
      <c r="N1160" s="876"/>
      <c r="O1160" s="876"/>
      <c r="P1160" s="876"/>
      <c r="Q1160" s="870"/>
      <c r="R1160" s="870"/>
      <c r="S1160" s="870"/>
      <c r="T1160" s="870"/>
      <c r="U1160" s="870"/>
      <c r="V1160" s="870"/>
      <c r="W1160" s="870"/>
      <c r="X1160" s="870"/>
      <c r="Y1160" s="870"/>
      <c r="Z1160" s="870"/>
      <c r="AA1160" s="870"/>
      <c r="AB1160" s="870"/>
      <c r="AC1160" s="870"/>
      <c r="AD1160" s="870"/>
      <c r="AE1160" s="870"/>
      <c r="AF1160" s="870"/>
      <c r="AG1160" s="870"/>
    </row>
    <row r="1161" spans="1:33" s="995" customFormat="1">
      <c r="A1161" s="974"/>
      <c r="D1161" s="876"/>
      <c r="E1161" s="974"/>
      <c r="F1161" s="876"/>
      <c r="G1161" s="876"/>
      <c r="H1161" s="876"/>
      <c r="I1161" s="876"/>
      <c r="J1161" s="876"/>
      <c r="K1161" s="876"/>
      <c r="L1161" s="876"/>
      <c r="M1161" s="876"/>
      <c r="N1161" s="876"/>
      <c r="O1161" s="876"/>
      <c r="P1161" s="876"/>
      <c r="Q1161" s="870"/>
      <c r="R1161" s="870"/>
      <c r="S1161" s="870"/>
      <c r="T1161" s="870"/>
      <c r="U1161" s="870"/>
      <c r="V1161" s="870"/>
      <c r="W1161" s="870"/>
      <c r="X1161" s="870"/>
      <c r="Y1161" s="870"/>
      <c r="Z1161" s="870"/>
      <c r="AA1161" s="870"/>
      <c r="AB1161" s="870"/>
      <c r="AC1161" s="870"/>
      <c r="AD1161" s="870"/>
      <c r="AE1161" s="870"/>
      <c r="AF1161" s="870"/>
      <c r="AG1161" s="870"/>
    </row>
    <row r="1162" spans="1:33" s="995" customFormat="1">
      <c r="A1162" s="974"/>
      <c r="D1162" s="876"/>
      <c r="E1162" s="974"/>
      <c r="F1162" s="876"/>
      <c r="G1162" s="876"/>
      <c r="H1162" s="876"/>
      <c r="I1162" s="876"/>
      <c r="J1162" s="876"/>
      <c r="K1162" s="876"/>
      <c r="L1162" s="876"/>
      <c r="M1162" s="876"/>
      <c r="N1162" s="876"/>
      <c r="O1162" s="876"/>
      <c r="P1162" s="876"/>
      <c r="Q1162" s="870"/>
      <c r="R1162" s="870"/>
      <c r="S1162" s="870"/>
      <c r="T1162" s="870"/>
      <c r="U1162" s="870"/>
      <c r="V1162" s="870"/>
      <c r="W1162" s="870"/>
      <c r="X1162" s="870"/>
      <c r="Y1162" s="870"/>
      <c r="Z1162" s="870"/>
      <c r="AA1162" s="870"/>
      <c r="AB1162" s="870"/>
      <c r="AC1162" s="870"/>
      <c r="AD1162" s="870"/>
      <c r="AE1162" s="870"/>
      <c r="AF1162" s="870"/>
      <c r="AG1162" s="870"/>
    </row>
    <row r="1163" spans="1:33" s="995" customFormat="1">
      <c r="A1163" s="974"/>
      <c r="D1163" s="876"/>
      <c r="E1163" s="974"/>
      <c r="F1163" s="876"/>
      <c r="G1163" s="876"/>
      <c r="H1163" s="876"/>
      <c r="I1163" s="876"/>
      <c r="J1163" s="876"/>
      <c r="K1163" s="876"/>
      <c r="L1163" s="876"/>
      <c r="M1163" s="876"/>
      <c r="N1163" s="876"/>
      <c r="O1163" s="876"/>
      <c r="P1163" s="876"/>
      <c r="Q1163" s="870"/>
      <c r="R1163" s="870"/>
      <c r="S1163" s="870"/>
      <c r="T1163" s="870"/>
      <c r="U1163" s="870"/>
      <c r="V1163" s="870"/>
      <c r="W1163" s="870"/>
      <c r="X1163" s="870"/>
      <c r="Y1163" s="870"/>
      <c r="Z1163" s="870"/>
      <c r="AA1163" s="870"/>
      <c r="AB1163" s="870"/>
      <c r="AC1163" s="870"/>
      <c r="AD1163" s="870"/>
      <c r="AE1163" s="870"/>
      <c r="AF1163" s="870"/>
      <c r="AG1163" s="870"/>
    </row>
    <row r="1164" spans="1:33" s="995" customFormat="1">
      <c r="A1164" s="974"/>
      <c r="D1164" s="876"/>
      <c r="E1164" s="974"/>
      <c r="F1164" s="876"/>
      <c r="G1164" s="876"/>
      <c r="H1164" s="876"/>
      <c r="I1164" s="876"/>
      <c r="J1164" s="876"/>
      <c r="K1164" s="876"/>
      <c r="L1164" s="876"/>
      <c r="M1164" s="876"/>
      <c r="N1164" s="876"/>
      <c r="O1164" s="876"/>
      <c r="P1164" s="876"/>
      <c r="Q1164" s="870"/>
      <c r="R1164" s="870"/>
      <c r="S1164" s="870"/>
      <c r="T1164" s="870"/>
      <c r="U1164" s="870"/>
      <c r="V1164" s="870"/>
      <c r="W1164" s="870"/>
      <c r="X1164" s="870"/>
      <c r="Y1164" s="870"/>
      <c r="Z1164" s="870"/>
      <c r="AA1164" s="870"/>
      <c r="AB1164" s="870"/>
      <c r="AC1164" s="870"/>
      <c r="AD1164" s="870"/>
      <c r="AE1164" s="870"/>
      <c r="AF1164" s="870"/>
      <c r="AG1164" s="870"/>
    </row>
    <row r="1165" spans="1:33" s="995" customFormat="1">
      <c r="A1165" s="974"/>
      <c r="D1165" s="876"/>
      <c r="E1165" s="974"/>
      <c r="F1165" s="876"/>
      <c r="G1165" s="876"/>
      <c r="H1165" s="876"/>
      <c r="I1165" s="876"/>
      <c r="J1165" s="876"/>
      <c r="K1165" s="876"/>
      <c r="L1165" s="876"/>
      <c r="M1165" s="876"/>
      <c r="N1165" s="876"/>
      <c r="O1165" s="876"/>
      <c r="P1165" s="876"/>
      <c r="Q1165" s="870"/>
      <c r="R1165" s="870"/>
      <c r="S1165" s="870"/>
      <c r="T1165" s="870"/>
      <c r="U1165" s="870"/>
      <c r="V1165" s="870"/>
      <c r="W1165" s="870"/>
      <c r="X1165" s="870"/>
      <c r="Y1165" s="870"/>
      <c r="Z1165" s="870"/>
      <c r="AA1165" s="870"/>
      <c r="AB1165" s="870"/>
      <c r="AC1165" s="870"/>
      <c r="AD1165" s="870"/>
      <c r="AE1165" s="870"/>
      <c r="AF1165" s="870"/>
      <c r="AG1165" s="870"/>
    </row>
    <row r="1166" spans="1:33" s="995" customFormat="1">
      <c r="A1166" s="974"/>
      <c r="D1166" s="876"/>
      <c r="E1166" s="974"/>
      <c r="F1166" s="876"/>
      <c r="G1166" s="876"/>
      <c r="H1166" s="876"/>
      <c r="I1166" s="876"/>
      <c r="J1166" s="876"/>
      <c r="K1166" s="876"/>
      <c r="L1166" s="876"/>
      <c r="M1166" s="876"/>
      <c r="N1166" s="876"/>
      <c r="O1166" s="876"/>
      <c r="P1166" s="876"/>
      <c r="Q1166" s="870"/>
      <c r="R1166" s="870"/>
      <c r="S1166" s="870"/>
      <c r="T1166" s="870"/>
      <c r="U1166" s="870"/>
      <c r="V1166" s="870"/>
      <c r="W1166" s="870"/>
      <c r="X1166" s="870"/>
      <c r="Y1166" s="870"/>
      <c r="Z1166" s="870"/>
      <c r="AA1166" s="870"/>
      <c r="AB1166" s="870"/>
      <c r="AC1166" s="870"/>
      <c r="AD1166" s="870"/>
      <c r="AE1166" s="870"/>
      <c r="AF1166" s="870"/>
      <c r="AG1166" s="870"/>
    </row>
    <row r="1167" spans="1:33" s="995" customFormat="1">
      <c r="A1167" s="974"/>
      <c r="D1167" s="876"/>
      <c r="E1167" s="974"/>
      <c r="F1167" s="876"/>
      <c r="G1167" s="876"/>
      <c r="H1167" s="876"/>
      <c r="I1167" s="876"/>
      <c r="J1167" s="876"/>
      <c r="K1167" s="876"/>
      <c r="L1167" s="876"/>
      <c r="M1167" s="876"/>
      <c r="N1167" s="876"/>
      <c r="O1167" s="876"/>
      <c r="P1167" s="876"/>
      <c r="Q1167" s="870"/>
      <c r="R1167" s="870"/>
      <c r="S1167" s="870"/>
      <c r="T1167" s="870"/>
      <c r="U1167" s="870"/>
      <c r="V1167" s="870"/>
      <c r="W1167" s="870"/>
      <c r="X1167" s="870"/>
      <c r="Y1167" s="870"/>
      <c r="Z1167" s="870"/>
      <c r="AA1167" s="870"/>
      <c r="AB1167" s="870"/>
      <c r="AC1167" s="870"/>
      <c r="AD1167" s="870"/>
      <c r="AE1167" s="870"/>
      <c r="AF1167" s="870"/>
      <c r="AG1167" s="870"/>
    </row>
    <row r="1168" spans="1:33" s="995" customFormat="1">
      <c r="A1168" s="974"/>
      <c r="D1168" s="876"/>
      <c r="E1168" s="974"/>
      <c r="F1168" s="876"/>
      <c r="G1168" s="876"/>
      <c r="H1168" s="876"/>
      <c r="I1168" s="876"/>
      <c r="J1168" s="876"/>
      <c r="K1168" s="876"/>
      <c r="L1168" s="876"/>
      <c r="M1168" s="876"/>
      <c r="N1168" s="876"/>
      <c r="O1168" s="876"/>
      <c r="P1168" s="876"/>
      <c r="Q1168" s="870"/>
      <c r="R1168" s="870"/>
      <c r="S1168" s="870"/>
      <c r="T1168" s="870"/>
      <c r="U1168" s="870"/>
      <c r="V1168" s="870"/>
      <c r="W1168" s="870"/>
      <c r="X1168" s="870"/>
      <c r="Y1168" s="870"/>
      <c r="Z1168" s="870"/>
      <c r="AA1168" s="870"/>
      <c r="AB1168" s="870"/>
      <c r="AC1168" s="870"/>
      <c r="AD1168" s="870"/>
      <c r="AE1168" s="870"/>
      <c r="AF1168" s="870"/>
      <c r="AG1168" s="870"/>
    </row>
    <row r="1169" spans="1:33" s="995" customFormat="1">
      <c r="A1169" s="974"/>
      <c r="D1169" s="876"/>
      <c r="E1169" s="974"/>
      <c r="F1169" s="876"/>
      <c r="G1169" s="876"/>
      <c r="H1169" s="876"/>
      <c r="I1169" s="876"/>
      <c r="J1169" s="876"/>
      <c r="K1169" s="876"/>
      <c r="L1169" s="876"/>
      <c r="M1169" s="876"/>
      <c r="N1169" s="876"/>
      <c r="O1169" s="876"/>
      <c r="P1169" s="876"/>
      <c r="Q1169" s="870"/>
      <c r="R1169" s="870"/>
      <c r="S1169" s="870"/>
      <c r="T1169" s="870"/>
      <c r="U1169" s="870"/>
      <c r="V1169" s="870"/>
      <c r="W1169" s="870"/>
      <c r="X1169" s="870"/>
      <c r="Y1169" s="870"/>
      <c r="Z1169" s="870"/>
      <c r="AA1169" s="870"/>
      <c r="AB1169" s="870"/>
      <c r="AC1169" s="870"/>
      <c r="AD1169" s="870"/>
      <c r="AE1169" s="870"/>
      <c r="AF1169" s="870"/>
      <c r="AG1169" s="870"/>
    </row>
    <row r="1170" spans="1:33" s="995" customFormat="1">
      <c r="A1170" s="974"/>
      <c r="D1170" s="876"/>
      <c r="E1170" s="974"/>
      <c r="F1170" s="876"/>
      <c r="G1170" s="876"/>
      <c r="H1170" s="876"/>
      <c r="I1170" s="876"/>
      <c r="J1170" s="876"/>
      <c r="K1170" s="876"/>
      <c r="L1170" s="876"/>
      <c r="M1170" s="876"/>
      <c r="N1170" s="876"/>
      <c r="O1170" s="876"/>
      <c r="P1170" s="876"/>
      <c r="Q1170" s="870"/>
      <c r="R1170" s="870"/>
      <c r="S1170" s="870"/>
      <c r="T1170" s="870"/>
      <c r="U1170" s="870"/>
      <c r="V1170" s="870"/>
      <c r="W1170" s="870"/>
      <c r="X1170" s="870"/>
      <c r="Y1170" s="870"/>
      <c r="Z1170" s="870"/>
      <c r="AA1170" s="870"/>
      <c r="AB1170" s="870"/>
      <c r="AC1170" s="870"/>
      <c r="AD1170" s="870"/>
      <c r="AE1170" s="870"/>
      <c r="AF1170" s="870"/>
      <c r="AG1170" s="870"/>
    </row>
    <row r="1171" spans="1:33" s="995" customFormat="1">
      <c r="A1171" s="974"/>
      <c r="D1171" s="876"/>
      <c r="E1171" s="974"/>
      <c r="F1171" s="876"/>
      <c r="G1171" s="876"/>
      <c r="H1171" s="876"/>
      <c r="I1171" s="876"/>
      <c r="J1171" s="876"/>
      <c r="K1171" s="876"/>
      <c r="L1171" s="876"/>
      <c r="M1171" s="876"/>
      <c r="N1171" s="876"/>
      <c r="O1171" s="876"/>
      <c r="P1171" s="876"/>
      <c r="Q1171" s="870"/>
      <c r="R1171" s="870"/>
      <c r="S1171" s="870"/>
      <c r="T1171" s="870"/>
      <c r="U1171" s="870"/>
      <c r="V1171" s="870"/>
      <c r="W1171" s="870"/>
      <c r="X1171" s="870"/>
      <c r="Y1171" s="870"/>
      <c r="Z1171" s="870"/>
      <c r="AA1171" s="870"/>
      <c r="AB1171" s="870"/>
      <c r="AC1171" s="870"/>
      <c r="AD1171" s="870"/>
      <c r="AE1171" s="870"/>
      <c r="AF1171" s="870"/>
      <c r="AG1171" s="870"/>
    </row>
    <row r="1172" spans="1:33" s="995" customFormat="1">
      <c r="A1172" s="974"/>
      <c r="D1172" s="876"/>
      <c r="E1172" s="974"/>
      <c r="F1172" s="876"/>
      <c r="G1172" s="876"/>
      <c r="H1172" s="876"/>
      <c r="I1172" s="876"/>
      <c r="J1172" s="876"/>
      <c r="K1172" s="876"/>
      <c r="L1172" s="876"/>
      <c r="M1172" s="876"/>
      <c r="N1172" s="876"/>
      <c r="O1172" s="876"/>
      <c r="P1172" s="876"/>
      <c r="Q1172" s="870"/>
      <c r="R1172" s="870"/>
      <c r="S1172" s="870"/>
      <c r="T1172" s="870"/>
      <c r="U1172" s="870"/>
      <c r="V1172" s="870"/>
      <c r="W1172" s="870"/>
      <c r="X1172" s="870"/>
      <c r="Y1172" s="870"/>
      <c r="Z1172" s="870"/>
      <c r="AA1172" s="870"/>
      <c r="AB1172" s="870"/>
      <c r="AC1172" s="870"/>
      <c r="AD1172" s="870"/>
      <c r="AE1172" s="870"/>
      <c r="AF1172" s="870"/>
      <c r="AG1172" s="870"/>
    </row>
    <row r="1173" spans="1:33" s="995" customFormat="1">
      <c r="A1173" s="974"/>
      <c r="D1173" s="876"/>
      <c r="E1173" s="974"/>
      <c r="F1173" s="876"/>
      <c r="G1173" s="876"/>
      <c r="H1173" s="876"/>
      <c r="I1173" s="876"/>
      <c r="J1173" s="876"/>
      <c r="K1173" s="876"/>
      <c r="L1173" s="876"/>
      <c r="M1173" s="876"/>
      <c r="N1173" s="876"/>
      <c r="O1173" s="876"/>
      <c r="P1173" s="876"/>
      <c r="Q1173" s="870"/>
      <c r="R1173" s="870"/>
      <c r="S1173" s="870"/>
      <c r="T1173" s="870"/>
      <c r="U1173" s="870"/>
      <c r="V1173" s="870"/>
      <c r="W1173" s="870"/>
      <c r="X1173" s="870"/>
      <c r="Y1173" s="870"/>
      <c r="Z1173" s="870"/>
      <c r="AA1173" s="870"/>
      <c r="AB1173" s="870"/>
      <c r="AC1173" s="870"/>
      <c r="AD1173" s="870"/>
      <c r="AE1173" s="870"/>
      <c r="AF1173" s="870"/>
      <c r="AG1173" s="870"/>
    </row>
    <row r="1174" spans="1:33" s="995" customFormat="1">
      <c r="A1174" s="974"/>
      <c r="D1174" s="876"/>
      <c r="E1174" s="974"/>
      <c r="F1174" s="876"/>
      <c r="G1174" s="876"/>
      <c r="H1174" s="876"/>
      <c r="I1174" s="876"/>
      <c r="J1174" s="876"/>
      <c r="K1174" s="876"/>
      <c r="L1174" s="876"/>
      <c r="M1174" s="876"/>
      <c r="N1174" s="876"/>
      <c r="O1174" s="876"/>
      <c r="P1174" s="876"/>
      <c r="Q1174" s="870"/>
      <c r="R1174" s="870"/>
      <c r="S1174" s="870"/>
      <c r="T1174" s="870"/>
      <c r="U1174" s="870"/>
      <c r="V1174" s="870"/>
      <c r="W1174" s="870"/>
      <c r="X1174" s="870"/>
      <c r="Y1174" s="870"/>
      <c r="Z1174" s="870"/>
      <c r="AA1174" s="870"/>
      <c r="AB1174" s="870"/>
      <c r="AC1174" s="870"/>
      <c r="AD1174" s="870"/>
      <c r="AE1174" s="870"/>
      <c r="AF1174" s="870"/>
      <c r="AG1174" s="870"/>
    </row>
    <row r="1175" spans="1:33" s="995" customFormat="1">
      <c r="A1175" s="974"/>
      <c r="D1175" s="876"/>
      <c r="E1175" s="974"/>
      <c r="F1175" s="876"/>
      <c r="G1175" s="876"/>
      <c r="H1175" s="876"/>
      <c r="I1175" s="876"/>
      <c r="J1175" s="876"/>
      <c r="K1175" s="876"/>
      <c r="L1175" s="876"/>
      <c r="M1175" s="876"/>
      <c r="N1175" s="876"/>
      <c r="O1175" s="876"/>
      <c r="P1175" s="876"/>
      <c r="Q1175" s="870"/>
      <c r="R1175" s="870"/>
      <c r="S1175" s="870"/>
      <c r="T1175" s="870"/>
      <c r="U1175" s="870"/>
      <c r="V1175" s="870"/>
      <c r="W1175" s="870"/>
      <c r="X1175" s="870"/>
      <c r="Y1175" s="870"/>
      <c r="Z1175" s="870"/>
      <c r="AA1175" s="870"/>
      <c r="AB1175" s="870"/>
      <c r="AC1175" s="870"/>
      <c r="AD1175" s="870"/>
      <c r="AE1175" s="870"/>
      <c r="AF1175" s="870"/>
      <c r="AG1175" s="870"/>
    </row>
    <row r="1176" spans="1:33" s="995" customFormat="1">
      <c r="A1176" s="974"/>
      <c r="D1176" s="876"/>
      <c r="E1176" s="974"/>
      <c r="F1176" s="876"/>
      <c r="G1176" s="876"/>
      <c r="H1176" s="876"/>
      <c r="I1176" s="876"/>
      <c r="J1176" s="876"/>
      <c r="K1176" s="876"/>
      <c r="L1176" s="876"/>
      <c r="M1176" s="876"/>
      <c r="N1176" s="876"/>
      <c r="O1176" s="876"/>
      <c r="P1176" s="876"/>
      <c r="Q1176" s="870"/>
      <c r="R1176" s="870"/>
      <c r="S1176" s="870"/>
      <c r="T1176" s="870"/>
      <c r="U1176" s="870"/>
      <c r="V1176" s="870"/>
      <c r="W1176" s="870"/>
      <c r="X1176" s="870"/>
      <c r="Y1176" s="870"/>
      <c r="Z1176" s="870"/>
      <c r="AA1176" s="870"/>
      <c r="AB1176" s="870"/>
      <c r="AC1176" s="870"/>
      <c r="AD1176" s="870"/>
      <c r="AE1176" s="870"/>
      <c r="AF1176" s="870"/>
      <c r="AG1176" s="870"/>
    </row>
    <row r="1177" spans="1:33" s="995" customFormat="1">
      <c r="A1177" s="974"/>
      <c r="D1177" s="876"/>
      <c r="E1177" s="974"/>
      <c r="F1177" s="876"/>
      <c r="G1177" s="876"/>
      <c r="H1177" s="876"/>
      <c r="I1177" s="876"/>
      <c r="J1177" s="876"/>
      <c r="K1177" s="876"/>
      <c r="L1177" s="876"/>
      <c r="M1177" s="876"/>
      <c r="N1177" s="876"/>
      <c r="O1177" s="876"/>
      <c r="P1177" s="876"/>
      <c r="Q1177" s="870"/>
      <c r="R1177" s="870"/>
      <c r="S1177" s="870"/>
      <c r="T1177" s="870"/>
      <c r="U1177" s="870"/>
      <c r="V1177" s="870"/>
      <c r="W1177" s="870"/>
      <c r="X1177" s="870"/>
      <c r="Y1177" s="870"/>
      <c r="Z1177" s="870"/>
      <c r="AA1177" s="870"/>
      <c r="AB1177" s="870"/>
      <c r="AC1177" s="870"/>
      <c r="AD1177" s="870"/>
      <c r="AE1177" s="870"/>
      <c r="AF1177" s="870"/>
      <c r="AG1177" s="870"/>
    </row>
    <row r="1178" spans="1:33" s="995" customFormat="1">
      <c r="A1178" s="974"/>
      <c r="D1178" s="876"/>
      <c r="E1178" s="974"/>
      <c r="F1178" s="876"/>
      <c r="G1178" s="876"/>
      <c r="H1178" s="876"/>
      <c r="I1178" s="876"/>
      <c r="J1178" s="876"/>
      <c r="K1178" s="876"/>
      <c r="L1178" s="876"/>
      <c r="M1178" s="876"/>
      <c r="N1178" s="876"/>
      <c r="O1178" s="876"/>
      <c r="P1178" s="876"/>
      <c r="Q1178" s="870"/>
      <c r="R1178" s="870"/>
      <c r="S1178" s="870"/>
      <c r="T1178" s="870"/>
      <c r="U1178" s="870"/>
      <c r="V1178" s="870"/>
      <c r="W1178" s="870"/>
      <c r="X1178" s="870"/>
      <c r="Y1178" s="870"/>
      <c r="Z1178" s="870"/>
      <c r="AA1178" s="870"/>
      <c r="AB1178" s="870"/>
      <c r="AC1178" s="870"/>
      <c r="AD1178" s="870"/>
      <c r="AE1178" s="870"/>
      <c r="AF1178" s="870"/>
      <c r="AG1178" s="870"/>
    </row>
    <row r="1179" spans="1:33" s="995" customFormat="1">
      <c r="A1179" s="974"/>
      <c r="D1179" s="876"/>
      <c r="E1179" s="974"/>
      <c r="F1179" s="876"/>
      <c r="G1179" s="876"/>
      <c r="H1179" s="876"/>
      <c r="I1179" s="876"/>
      <c r="J1179" s="876"/>
      <c r="K1179" s="876"/>
      <c r="L1179" s="876"/>
      <c r="M1179" s="876"/>
      <c r="N1179" s="876"/>
      <c r="O1179" s="876"/>
      <c r="P1179" s="876"/>
      <c r="Q1179" s="870"/>
      <c r="R1179" s="870"/>
      <c r="S1179" s="870"/>
      <c r="T1179" s="870"/>
      <c r="U1179" s="870"/>
      <c r="V1179" s="870"/>
      <c r="W1179" s="870"/>
      <c r="X1179" s="870"/>
      <c r="Y1179" s="870"/>
      <c r="Z1179" s="870"/>
      <c r="AA1179" s="870"/>
      <c r="AB1179" s="870"/>
      <c r="AC1179" s="870"/>
      <c r="AD1179" s="870"/>
      <c r="AE1179" s="870"/>
      <c r="AF1179" s="870"/>
      <c r="AG1179" s="870"/>
    </row>
    <row r="1180" spans="1:33" s="995" customFormat="1">
      <c r="A1180" s="974"/>
      <c r="D1180" s="876"/>
      <c r="E1180" s="974"/>
      <c r="F1180" s="876"/>
      <c r="G1180" s="876"/>
      <c r="H1180" s="876"/>
      <c r="I1180" s="876"/>
      <c r="J1180" s="876"/>
      <c r="K1180" s="876"/>
      <c r="L1180" s="876"/>
      <c r="M1180" s="876"/>
      <c r="N1180" s="876"/>
      <c r="O1180" s="876"/>
      <c r="P1180" s="876"/>
      <c r="Q1180" s="870"/>
      <c r="R1180" s="870"/>
      <c r="S1180" s="870"/>
      <c r="T1180" s="870"/>
      <c r="U1180" s="870"/>
      <c r="V1180" s="870"/>
      <c r="W1180" s="870"/>
      <c r="X1180" s="870"/>
      <c r="Y1180" s="870"/>
      <c r="Z1180" s="870"/>
      <c r="AA1180" s="870"/>
      <c r="AB1180" s="870"/>
      <c r="AC1180" s="870"/>
      <c r="AD1180" s="870"/>
      <c r="AE1180" s="870"/>
      <c r="AF1180" s="870"/>
      <c r="AG1180" s="870"/>
    </row>
    <row r="1181" spans="1:33" s="995" customFormat="1">
      <c r="A1181" s="974"/>
      <c r="D1181" s="876"/>
      <c r="E1181" s="974"/>
      <c r="F1181" s="876"/>
      <c r="G1181" s="876"/>
      <c r="H1181" s="876"/>
      <c r="I1181" s="876"/>
      <c r="J1181" s="876"/>
      <c r="K1181" s="876"/>
      <c r="L1181" s="876"/>
      <c r="M1181" s="876"/>
      <c r="N1181" s="876"/>
      <c r="O1181" s="876"/>
      <c r="P1181" s="876"/>
      <c r="Q1181" s="870"/>
      <c r="R1181" s="870"/>
      <c r="S1181" s="870"/>
      <c r="T1181" s="870"/>
      <c r="U1181" s="870"/>
      <c r="V1181" s="870"/>
      <c r="W1181" s="870"/>
      <c r="X1181" s="870"/>
      <c r="Y1181" s="870"/>
      <c r="Z1181" s="870"/>
      <c r="AA1181" s="870"/>
      <c r="AB1181" s="870"/>
      <c r="AC1181" s="870"/>
      <c r="AD1181" s="870"/>
      <c r="AE1181" s="870"/>
      <c r="AF1181" s="870"/>
      <c r="AG1181" s="870"/>
    </row>
    <row r="1182" spans="1:33" s="995" customFormat="1">
      <c r="A1182" s="974"/>
      <c r="D1182" s="876"/>
      <c r="E1182" s="974"/>
      <c r="F1182" s="876"/>
      <c r="G1182" s="876"/>
      <c r="H1182" s="876"/>
      <c r="I1182" s="876"/>
      <c r="J1182" s="876"/>
      <c r="K1182" s="876"/>
      <c r="L1182" s="876"/>
      <c r="M1182" s="876"/>
      <c r="N1182" s="876"/>
      <c r="O1182" s="876"/>
      <c r="P1182" s="876"/>
      <c r="Q1182" s="870"/>
      <c r="R1182" s="870"/>
      <c r="S1182" s="870"/>
      <c r="T1182" s="870"/>
      <c r="U1182" s="870"/>
      <c r="V1182" s="870"/>
      <c r="W1182" s="870"/>
      <c r="X1182" s="870"/>
      <c r="Y1182" s="870"/>
      <c r="Z1182" s="870"/>
      <c r="AA1182" s="870"/>
      <c r="AB1182" s="870"/>
      <c r="AC1182" s="870"/>
      <c r="AD1182" s="870"/>
      <c r="AE1182" s="870"/>
      <c r="AF1182" s="870"/>
      <c r="AG1182" s="870"/>
    </row>
    <row r="1183" spans="1:33" s="995" customFormat="1">
      <c r="A1183" s="974"/>
      <c r="D1183" s="876"/>
      <c r="E1183" s="974"/>
      <c r="F1183" s="876"/>
      <c r="G1183" s="876"/>
      <c r="H1183" s="876"/>
      <c r="I1183" s="876"/>
      <c r="J1183" s="876"/>
      <c r="K1183" s="876"/>
      <c r="L1183" s="876"/>
      <c r="M1183" s="876"/>
      <c r="N1183" s="876"/>
      <c r="O1183" s="876"/>
      <c r="P1183" s="876"/>
      <c r="Q1183" s="870"/>
      <c r="R1183" s="870"/>
      <c r="S1183" s="870"/>
      <c r="T1183" s="870"/>
      <c r="U1183" s="870"/>
      <c r="V1183" s="870"/>
      <c r="W1183" s="870"/>
      <c r="X1183" s="870"/>
      <c r="Y1183" s="870"/>
      <c r="Z1183" s="870"/>
      <c r="AA1183" s="870"/>
      <c r="AB1183" s="870"/>
      <c r="AC1183" s="870"/>
      <c r="AD1183" s="870"/>
      <c r="AE1183" s="870"/>
      <c r="AF1183" s="870"/>
      <c r="AG1183" s="870"/>
    </row>
    <row r="1184" spans="1:33" s="995" customFormat="1">
      <c r="A1184" s="974"/>
      <c r="D1184" s="876"/>
      <c r="E1184" s="974"/>
      <c r="F1184" s="876"/>
      <c r="G1184" s="876"/>
      <c r="H1184" s="876"/>
      <c r="I1184" s="876"/>
      <c r="J1184" s="876"/>
      <c r="K1184" s="876"/>
      <c r="L1184" s="876"/>
      <c r="M1184" s="876"/>
      <c r="N1184" s="876"/>
      <c r="O1184" s="876"/>
      <c r="P1184" s="876"/>
      <c r="Q1184" s="870"/>
      <c r="R1184" s="870"/>
      <c r="S1184" s="870"/>
      <c r="T1184" s="870"/>
      <c r="U1184" s="870"/>
      <c r="V1184" s="870"/>
      <c r="W1184" s="870"/>
      <c r="X1184" s="870"/>
      <c r="Y1184" s="870"/>
      <c r="Z1184" s="870"/>
      <c r="AA1184" s="870"/>
      <c r="AB1184" s="870"/>
      <c r="AC1184" s="870"/>
      <c r="AD1184" s="870"/>
      <c r="AE1184" s="870"/>
      <c r="AF1184" s="870"/>
      <c r="AG1184" s="870"/>
    </row>
    <row r="1185" spans="1:33" s="995" customFormat="1">
      <c r="A1185" s="974"/>
      <c r="D1185" s="876"/>
      <c r="E1185" s="974"/>
      <c r="F1185" s="876"/>
      <c r="G1185" s="876"/>
      <c r="H1185" s="876"/>
      <c r="I1185" s="876"/>
      <c r="J1185" s="876"/>
      <c r="K1185" s="876"/>
      <c r="L1185" s="876"/>
      <c r="M1185" s="876"/>
      <c r="N1185" s="876"/>
      <c r="O1185" s="876"/>
      <c r="P1185" s="876"/>
      <c r="Q1185" s="870"/>
      <c r="R1185" s="870"/>
      <c r="S1185" s="870"/>
      <c r="T1185" s="870"/>
      <c r="U1185" s="870"/>
      <c r="V1185" s="870"/>
      <c r="W1185" s="870"/>
      <c r="X1185" s="870"/>
      <c r="Y1185" s="870"/>
      <c r="Z1185" s="870"/>
      <c r="AA1185" s="870"/>
      <c r="AB1185" s="870"/>
      <c r="AC1185" s="870"/>
      <c r="AD1185" s="870"/>
      <c r="AE1185" s="870"/>
      <c r="AF1185" s="870"/>
      <c r="AG1185" s="870"/>
    </row>
    <row r="1186" spans="1:33" s="995" customFormat="1">
      <c r="A1186" s="974"/>
      <c r="D1186" s="876"/>
      <c r="E1186" s="974"/>
      <c r="F1186" s="876"/>
      <c r="G1186" s="876"/>
      <c r="H1186" s="876"/>
      <c r="I1186" s="876"/>
      <c r="J1186" s="876"/>
      <c r="K1186" s="876"/>
      <c r="L1186" s="876"/>
      <c r="M1186" s="876"/>
      <c r="N1186" s="876"/>
      <c r="O1186" s="876"/>
      <c r="P1186" s="876"/>
      <c r="Q1186" s="870"/>
      <c r="R1186" s="870"/>
      <c r="S1186" s="870"/>
      <c r="T1186" s="870"/>
      <c r="U1186" s="870"/>
      <c r="V1186" s="870"/>
      <c r="W1186" s="870"/>
      <c r="X1186" s="870"/>
      <c r="Y1186" s="870"/>
      <c r="Z1186" s="870"/>
      <c r="AA1186" s="870"/>
      <c r="AB1186" s="870"/>
      <c r="AC1186" s="870"/>
      <c r="AD1186" s="870"/>
      <c r="AE1186" s="870"/>
      <c r="AF1186" s="870"/>
      <c r="AG1186" s="870"/>
    </row>
    <row r="1187" spans="1:33" s="995" customFormat="1">
      <c r="A1187" s="974"/>
      <c r="D1187" s="876"/>
      <c r="E1187" s="974"/>
      <c r="F1187" s="876"/>
      <c r="G1187" s="876"/>
      <c r="H1187" s="876"/>
      <c r="I1187" s="876"/>
      <c r="J1187" s="876"/>
      <c r="K1187" s="876"/>
      <c r="L1187" s="876"/>
      <c r="M1187" s="876"/>
      <c r="N1187" s="876"/>
      <c r="O1187" s="876"/>
      <c r="P1187" s="876"/>
      <c r="Q1187" s="870"/>
      <c r="R1187" s="870"/>
      <c r="S1187" s="870"/>
      <c r="T1187" s="870"/>
      <c r="U1187" s="870"/>
      <c r="V1187" s="870"/>
      <c r="W1187" s="870"/>
      <c r="X1187" s="870"/>
      <c r="Y1187" s="870"/>
      <c r="Z1187" s="870"/>
      <c r="AA1187" s="870"/>
      <c r="AB1187" s="870"/>
      <c r="AC1187" s="870"/>
      <c r="AD1187" s="870"/>
      <c r="AE1187" s="870"/>
      <c r="AF1187" s="870"/>
      <c r="AG1187" s="870"/>
    </row>
    <row r="1188" spans="1:33" s="995" customFormat="1">
      <c r="A1188" s="974"/>
      <c r="D1188" s="876"/>
      <c r="E1188" s="974"/>
      <c r="F1188" s="876"/>
      <c r="G1188" s="876"/>
      <c r="H1188" s="876"/>
      <c r="I1188" s="876"/>
      <c r="J1188" s="876"/>
      <c r="K1188" s="876"/>
      <c r="L1188" s="876"/>
      <c r="M1188" s="876"/>
      <c r="N1188" s="876"/>
      <c r="O1188" s="876"/>
      <c r="P1188" s="876"/>
      <c r="Q1188" s="870"/>
      <c r="R1188" s="870"/>
      <c r="S1188" s="870"/>
      <c r="T1188" s="870"/>
      <c r="U1188" s="870"/>
      <c r="V1188" s="870"/>
      <c r="W1188" s="870"/>
      <c r="X1188" s="870"/>
      <c r="Y1188" s="870"/>
      <c r="Z1188" s="870"/>
      <c r="AA1188" s="870"/>
      <c r="AB1188" s="870"/>
      <c r="AC1188" s="870"/>
      <c r="AD1188" s="870"/>
      <c r="AE1188" s="870"/>
      <c r="AF1188" s="870"/>
      <c r="AG1188" s="870"/>
    </row>
    <row r="1189" spans="1:33" s="995" customFormat="1">
      <c r="A1189" s="974"/>
      <c r="D1189" s="876"/>
      <c r="E1189" s="974"/>
      <c r="F1189" s="876"/>
      <c r="G1189" s="876"/>
      <c r="H1189" s="876"/>
      <c r="I1189" s="876"/>
      <c r="J1189" s="876"/>
      <c r="K1189" s="876"/>
      <c r="L1189" s="876"/>
      <c r="M1189" s="876"/>
      <c r="N1189" s="876"/>
      <c r="O1189" s="876"/>
      <c r="P1189" s="876"/>
      <c r="Q1189" s="870"/>
      <c r="R1189" s="870"/>
      <c r="S1189" s="870"/>
      <c r="T1189" s="870"/>
      <c r="U1189" s="870"/>
      <c r="V1189" s="870"/>
      <c r="W1189" s="870"/>
      <c r="X1189" s="870"/>
      <c r="Y1189" s="870"/>
      <c r="Z1189" s="870"/>
      <c r="AA1189" s="870"/>
      <c r="AB1189" s="870"/>
      <c r="AC1189" s="870"/>
      <c r="AD1189" s="870"/>
      <c r="AE1189" s="870"/>
      <c r="AF1189" s="870"/>
      <c r="AG1189" s="870"/>
    </row>
    <row r="1190" spans="1:33" s="995" customFormat="1">
      <c r="A1190" s="974"/>
      <c r="D1190" s="876"/>
      <c r="E1190" s="974"/>
      <c r="F1190" s="876"/>
      <c r="G1190" s="876"/>
      <c r="H1190" s="876"/>
      <c r="I1190" s="876"/>
      <c r="J1190" s="876"/>
      <c r="K1190" s="876"/>
      <c r="L1190" s="876"/>
      <c r="M1190" s="876"/>
      <c r="N1190" s="876"/>
      <c r="O1190" s="876"/>
      <c r="P1190" s="876"/>
      <c r="Q1190" s="870"/>
      <c r="R1190" s="870"/>
      <c r="S1190" s="870"/>
      <c r="T1190" s="870"/>
      <c r="U1190" s="870"/>
      <c r="V1190" s="870"/>
      <c r="W1190" s="870"/>
      <c r="X1190" s="870"/>
      <c r="Y1190" s="870"/>
      <c r="Z1190" s="870"/>
      <c r="AA1190" s="870"/>
      <c r="AB1190" s="870"/>
      <c r="AC1190" s="870"/>
      <c r="AD1190" s="870"/>
      <c r="AE1190" s="870"/>
      <c r="AF1190" s="870"/>
      <c r="AG1190" s="870"/>
    </row>
    <row r="1191" spans="1:33" s="995" customFormat="1">
      <c r="A1191" s="974"/>
      <c r="D1191" s="876"/>
      <c r="E1191" s="974"/>
      <c r="F1191" s="876"/>
      <c r="G1191" s="876"/>
      <c r="H1191" s="876"/>
      <c r="I1191" s="876"/>
      <c r="J1191" s="876"/>
      <c r="K1191" s="876"/>
      <c r="L1191" s="876"/>
      <c r="M1191" s="876"/>
      <c r="N1191" s="876"/>
      <c r="O1191" s="876"/>
      <c r="P1191" s="876"/>
      <c r="Q1191" s="870"/>
      <c r="R1191" s="870"/>
      <c r="S1191" s="870"/>
      <c r="T1191" s="870"/>
      <c r="U1191" s="870"/>
      <c r="V1191" s="870"/>
      <c r="W1191" s="870"/>
      <c r="X1191" s="870"/>
      <c r="Y1191" s="870"/>
      <c r="Z1191" s="870"/>
      <c r="AA1191" s="870"/>
      <c r="AB1191" s="870"/>
      <c r="AC1191" s="870"/>
      <c r="AD1191" s="870"/>
      <c r="AE1191" s="870"/>
      <c r="AF1191" s="870"/>
      <c r="AG1191" s="870"/>
    </row>
    <row r="1192" spans="1:33" s="995" customFormat="1">
      <c r="A1192" s="974"/>
      <c r="D1192" s="876"/>
      <c r="E1192" s="974"/>
      <c r="F1192" s="876"/>
      <c r="G1192" s="876"/>
      <c r="H1192" s="876"/>
      <c r="I1192" s="876"/>
      <c r="J1192" s="876"/>
      <c r="K1192" s="876"/>
      <c r="L1192" s="876"/>
      <c r="M1192" s="876"/>
      <c r="N1192" s="876"/>
      <c r="O1192" s="876"/>
      <c r="P1192" s="876"/>
      <c r="Q1192" s="870"/>
      <c r="R1192" s="870"/>
      <c r="S1192" s="870"/>
      <c r="T1192" s="870"/>
      <c r="U1192" s="870"/>
      <c r="V1192" s="870"/>
      <c r="W1192" s="870"/>
      <c r="X1192" s="870"/>
      <c r="Y1192" s="870"/>
      <c r="Z1192" s="870"/>
      <c r="AA1192" s="870"/>
      <c r="AB1192" s="870"/>
      <c r="AC1192" s="870"/>
      <c r="AD1192" s="870"/>
      <c r="AE1192" s="870"/>
      <c r="AF1192" s="870"/>
      <c r="AG1192" s="870"/>
    </row>
    <row r="1193" spans="1:33" s="995" customFormat="1">
      <c r="A1193" s="974"/>
      <c r="D1193" s="876"/>
      <c r="E1193" s="974"/>
      <c r="F1193" s="876"/>
      <c r="G1193" s="876"/>
      <c r="H1193" s="876"/>
      <c r="I1193" s="876"/>
      <c r="J1193" s="876"/>
      <c r="K1193" s="876"/>
      <c r="L1193" s="876"/>
      <c r="M1193" s="876"/>
      <c r="N1193" s="876"/>
      <c r="O1193" s="876"/>
      <c r="P1193" s="876"/>
      <c r="Q1193" s="870"/>
      <c r="R1193" s="870"/>
      <c r="S1193" s="870"/>
      <c r="T1193" s="870"/>
      <c r="U1193" s="870"/>
      <c r="V1193" s="870"/>
      <c r="W1193" s="870"/>
      <c r="X1193" s="870"/>
      <c r="Y1193" s="870"/>
      <c r="Z1193" s="870"/>
      <c r="AA1193" s="870"/>
      <c r="AB1193" s="870"/>
      <c r="AC1193" s="870"/>
      <c r="AD1193" s="870"/>
      <c r="AE1193" s="870"/>
      <c r="AF1193" s="870"/>
      <c r="AG1193" s="870"/>
    </row>
    <row r="1194" spans="1:33" s="995" customFormat="1">
      <c r="A1194" s="974"/>
      <c r="D1194" s="876"/>
      <c r="E1194" s="974"/>
      <c r="F1194" s="876"/>
      <c r="G1194" s="876"/>
      <c r="H1194" s="876"/>
      <c r="I1194" s="876"/>
      <c r="J1194" s="876"/>
      <c r="K1194" s="876"/>
      <c r="L1194" s="876"/>
      <c r="M1194" s="876"/>
      <c r="N1194" s="876"/>
      <c r="O1194" s="876"/>
      <c r="P1194" s="876"/>
      <c r="Q1194" s="870"/>
      <c r="R1194" s="870"/>
      <c r="S1194" s="870"/>
      <c r="T1194" s="870"/>
      <c r="U1194" s="870"/>
      <c r="V1194" s="870"/>
      <c r="W1194" s="870"/>
      <c r="X1194" s="870"/>
      <c r="Y1194" s="870"/>
      <c r="Z1194" s="870"/>
      <c r="AA1194" s="870"/>
      <c r="AB1194" s="870"/>
      <c r="AC1194" s="870"/>
      <c r="AD1194" s="870"/>
      <c r="AE1194" s="870"/>
      <c r="AF1194" s="870"/>
      <c r="AG1194" s="870"/>
    </row>
    <row r="1195" spans="1:33" s="995" customFormat="1">
      <c r="A1195" s="974"/>
      <c r="D1195" s="876"/>
      <c r="E1195" s="974"/>
      <c r="F1195" s="876"/>
      <c r="G1195" s="876"/>
      <c r="H1195" s="876"/>
      <c r="I1195" s="876"/>
      <c r="J1195" s="876"/>
      <c r="K1195" s="876"/>
      <c r="L1195" s="876"/>
      <c r="M1195" s="876"/>
      <c r="N1195" s="876"/>
      <c r="O1195" s="876"/>
      <c r="P1195" s="876"/>
      <c r="Q1195" s="870"/>
      <c r="R1195" s="870"/>
      <c r="S1195" s="870"/>
      <c r="T1195" s="870"/>
      <c r="U1195" s="870"/>
      <c r="V1195" s="870"/>
      <c r="W1195" s="870"/>
      <c r="X1195" s="870"/>
      <c r="Y1195" s="870"/>
      <c r="Z1195" s="870"/>
      <c r="AA1195" s="870"/>
      <c r="AB1195" s="870"/>
      <c r="AC1195" s="870"/>
      <c r="AD1195" s="870"/>
      <c r="AE1195" s="870"/>
      <c r="AF1195" s="870"/>
      <c r="AG1195" s="870"/>
    </row>
    <row r="1196" spans="1:33" s="995" customFormat="1">
      <c r="A1196" s="974"/>
      <c r="D1196" s="876"/>
      <c r="E1196" s="974"/>
      <c r="F1196" s="876"/>
      <c r="G1196" s="876"/>
      <c r="H1196" s="876"/>
      <c r="I1196" s="876"/>
      <c r="J1196" s="876"/>
      <c r="K1196" s="876"/>
      <c r="L1196" s="876"/>
      <c r="M1196" s="876"/>
      <c r="N1196" s="876"/>
      <c r="O1196" s="876"/>
      <c r="P1196" s="876"/>
      <c r="Q1196" s="870"/>
      <c r="R1196" s="870"/>
      <c r="S1196" s="870"/>
      <c r="T1196" s="870"/>
      <c r="U1196" s="870"/>
      <c r="V1196" s="870"/>
      <c r="W1196" s="870"/>
      <c r="X1196" s="870"/>
      <c r="Y1196" s="870"/>
      <c r="Z1196" s="870"/>
      <c r="AA1196" s="870"/>
      <c r="AB1196" s="870"/>
      <c r="AC1196" s="870"/>
      <c r="AD1196" s="870"/>
      <c r="AE1196" s="870"/>
      <c r="AF1196" s="870"/>
      <c r="AG1196" s="870"/>
    </row>
    <row r="1197" spans="1:33" s="995" customFormat="1">
      <c r="A1197" s="974"/>
      <c r="D1197" s="876"/>
      <c r="E1197" s="974"/>
      <c r="F1197" s="876"/>
      <c r="G1197" s="876"/>
      <c r="H1197" s="876"/>
      <c r="I1197" s="876"/>
      <c r="J1197" s="876"/>
      <c r="K1197" s="876"/>
      <c r="L1197" s="876"/>
      <c r="M1197" s="876"/>
      <c r="N1197" s="876"/>
      <c r="O1197" s="876"/>
      <c r="P1197" s="876"/>
      <c r="Q1197" s="870"/>
      <c r="R1197" s="870"/>
      <c r="S1197" s="870"/>
      <c r="T1197" s="870"/>
      <c r="U1197" s="870"/>
      <c r="V1197" s="870"/>
      <c r="W1197" s="870"/>
      <c r="X1197" s="870"/>
      <c r="Y1197" s="870"/>
      <c r="Z1197" s="870"/>
      <c r="AA1197" s="870"/>
      <c r="AB1197" s="870"/>
      <c r="AC1197" s="870"/>
      <c r="AD1197" s="870"/>
      <c r="AE1197" s="870"/>
      <c r="AF1197" s="870"/>
      <c r="AG1197" s="870"/>
    </row>
    <row r="1198" spans="1:33" s="995" customFormat="1">
      <c r="A1198" s="974"/>
      <c r="D1198" s="876"/>
      <c r="E1198" s="974"/>
      <c r="F1198" s="876"/>
      <c r="G1198" s="876"/>
      <c r="H1198" s="876"/>
      <c r="I1198" s="876"/>
      <c r="J1198" s="876"/>
      <c r="K1198" s="876"/>
      <c r="L1198" s="876"/>
      <c r="M1198" s="876"/>
      <c r="N1198" s="876"/>
      <c r="O1198" s="876"/>
      <c r="P1198" s="876"/>
      <c r="Q1198" s="870"/>
      <c r="R1198" s="870"/>
      <c r="S1198" s="870"/>
      <c r="T1198" s="870"/>
      <c r="U1198" s="870"/>
      <c r="V1198" s="870"/>
      <c r="W1198" s="870"/>
      <c r="X1198" s="870"/>
      <c r="Y1198" s="870"/>
      <c r="Z1198" s="870"/>
      <c r="AA1198" s="870"/>
      <c r="AB1198" s="870"/>
      <c r="AC1198" s="870"/>
      <c r="AD1198" s="870"/>
      <c r="AE1198" s="870"/>
      <c r="AF1198" s="870"/>
      <c r="AG1198" s="870"/>
    </row>
    <row r="1199" spans="1:33" s="995" customFormat="1">
      <c r="A1199" s="974"/>
      <c r="D1199" s="876"/>
      <c r="E1199" s="974"/>
      <c r="F1199" s="876"/>
      <c r="G1199" s="876"/>
      <c r="H1199" s="876"/>
      <c r="I1199" s="876"/>
      <c r="J1199" s="876"/>
      <c r="K1199" s="876"/>
      <c r="L1199" s="876"/>
      <c r="M1199" s="876"/>
      <c r="N1199" s="876"/>
      <c r="O1199" s="876"/>
      <c r="P1199" s="876"/>
      <c r="Q1199" s="870"/>
      <c r="R1199" s="870"/>
      <c r="S1199" s="870"/>
      <c r="T1199" s="870"/>
      <c r="U1199" s="870"/>
      <c r="V1199" s="870"/>
      <c r="W1199" s="870"/>
      <c r="X1199" s="870"/>
      <c r="Y1199" s="870"/>
      <c r="Z1199" s="870"/>
      <c r="AA1199" s="870"/>
      <c r="AB1199" s="870"/>
      <c r="AC1199" s="870"/>
      <c r="AD1199" s="870"/>
      <c r="AE1199" s="870"/>
      <c r="AF1199" s="870"/>
      <c r="AG1199" s="870"/>
    </row>
    <row r="1200" spans="1:33" s="995" customFormat="1">
      <c r="A1200" s="974"/>
      <c r="D1200" s="876"/>
      <c r="E1200" s="974"/>
      <c r="F1200" s="876"/>
      <c r="G1200" s="876"/>
      <c r="H1200" s="876"/>
      <c r="I1200" s="876"/>
      <c r="J1200" s="876"/>
      <c r="K1200" s="876"/>
      <c r="L1200" s="876"/>
      <c r="M1200" s="876"/>
      <c r="N1200" s="876"/>
      <c r="O1200" s="876"/>
      <c r="P1200" s="876"/>
      <c r="Q1200" s="870"/>
      <c r="R1200" s="870"/>
      <c r="S1200" s="870"/>
      <c r="T1200" s="870"/>
      <c r="U1200" s="870"/>
      <c r="V1200" s="870"/>
      <c r="W1200" s="870"/>
      <c r="X1200" s="870"/>
      <c r="Y1200" s="870"/>
      <c r="Z1200" s="870"/>
      <c r="AA1200" s="870"/>
      <c r="AB1200" s="870"/>
      <c r="AC1200" s="870"/>
      <c r="AD1200" s="870"/>
      <c r="AE1200" s="870"/>
      <c r="AF1200" s="870"/>
      <c r="AG1200" s="870"/>
    </row>
    <row r="1201" spans="1:33" s="995" customFormat="1">
      <c r="A1201" s="974"/>
      <c r="D1201" s="876"/>
      <c r="E1201" s="974"/>
      <c r="F1201" s="876"/>
      <c r="G1201" s="876"/>
      <c r="H1201" s="876"/>
      <c r="I1201" s="876"/>
      <c r="J1201" s="876"/>
      <c r="K1201" s="876"/>
      <c r="L1201" s="876"/>
      <c r="M1201" s="876"/>
      <c r="N1201" s="876"/>
      <c r="O1201" s="876"/>
      <c r="P1201" s="876"/>
      <c r="Q1201" s="870"/>
      <c r="R1201" s="870"/>
      <c r="S1201" s="870"/>
      <c r="T1201" s="870"/>
      <c r="U1201" s="870"/>
      <c r="V1201" s="870"/>
      <c r="W1201" s="870"/>
      <c r="X1201" s="870"/>
      <c r="Y1201" s="870"/>
      <c r="Z1201" s="870"/>
      <c r="AA1201" s="870"/>
      <c r="AB1201" s="870"/>
      <c r="AC1201" s="870"/>
      <c r="AD1201" s="870"/>
      <c r="AE1201" s="870"/>
      <c r="AF1201" s="870"/>
      <c r="AG1201" s="870"/>
    </row>
    <row r="1202" spans="1:33" s="995" customFormat="1">
      <c r="A1202" s="974"/>
      <c r="D1202" s="876"/>
      <c r="E1202" s="974"/>
      <c r="F1202" s="876"/>
      <c r="G1202" s="876"/>
      <c r="H1202" s="876"/>
      <c r="I1202" s="876"/>
      <c r="J1202" s="876"/>
      <c r="K1202" s="876"/>
      <c r="L1202" s="876"/>
      <c r="M1202" s="876"/>
      <c r="N1202" s="876"/>
      <c r="O1202" s="876"/>
      <c r="P1202" s="876"/>
      <c r="Q1202" s="870"/>
      <c r="R1202" s="870"/>
      <c r="S1202" s="870"/>
      <c r="T1202" s="870"/>
      <c r="U1202" s="870"/>
      <c r="V1202" s="870"/>
      <c r="W1202" s="870"/>
      <c r="X1202" s="870"/>
      <c r="Y1202" s="870"/>
      <c r="Z1202" s="870"/>
      <c r="AA1202" s="870"/>
      <c r="AB1202" s="870"/>
      <c r="AC1202" s="870"/>
      <c r="AD1202" s="870"/>
      <c r="AE1202" s="870"/>
      <c r="AF1202" s="870"/>
      <c r="AG1202" s="870"/>
    </row>
    <row r="1203" spans="1:33" s="995" customFormat="1">
      <c r="A1203" s="974"/>
      <c r="D1203" s="876"/>
      <c r="E1203" s="974"/>
      <c r="F1203" s="876"/>
      <c r="G1203" s="876"/>
      <c r="H1203" s="876"/>
      <c r="I1203" s="876"/>
      <c r="J1203" s="876"/>
      <c r="K1203" s="876"/>
      <c r="L1203" s="876"/>
      <c r="M1203" s="876"/>
      <c r="N1203" s="876"/>
      <c r="O1203" s="876"/>
      <c r="P1203" s="876"/>
      <c r="Q1203" s="870"/>
      <c r="R1203" s="870"/>
      <c r="S1203" s="870"/>
      <c r="T1203" s="870"/>
      <c r="U1203" s="870"/>
      <c r="V1203" s="870"/>
      <c r="W1203" s="870"/>
      <c r="X1203" s="870"/>
      <c r="Y1203" s="870"/>
      <c r="Z1203" s="870"/>
      <c r="AA1203" s="870"/>
      <c r="AB1203" s="870"/>
      <c r="AC1203" s="870"/>
      <c r="AD1203" s="870"/>
      <c r="AE1203" s="870"/>
      <c r="AF1203" s="870"/>
      <c r="AG1203" s="870"/>
    </row>
    <row r="1204" spans="1:33" s="995" customFormat="1">
      <c r="A1204" s="974"/>
      <c r="D1204" s="876"/>
      <c r="E1204" s="974"/>
      <c r="F1204" s="876"/>
      <c r="G1204" s="876"/>
      <c r="H1204" s="876"/>
      <c r="I1204" s="876"/>
      <c r="J1204" s="876"/>
      <c r="K1204" s="876"/>
      <c r="L1204" s="876"/>
      <c r="M1204" s="876"/>
      <c r="N1204" s="876"/>
      <c r="O1204" s="876"/>
      <c r="P1204" s="876"/>
      <c r="Q1204" s="870"/>
      <c r="R1204" s="870"/>
      <c r="S1204" s="870"/>
      <c r="T1204" s="870"/>
      <c r="U1204" s="870"/>
      <c r="V1204" s="870"/>
      <c r="W1204" s="870"/>
      <c r="X1204" s="870"/>
      <c r="Y1204" s="870"/>
      <c r="Z1204" s="870"/>
      <c r="AA1204" s="870"/>
      <c r="AB1204" s="870"/>
      <c r="AC1204" s="870"/>
      <c r="AD1204" s="870"/>
      <c r="AE1204" s="870"/>
      <c r="AF1204" s="870"/>
      <c r="AG1204" s="870"/>
    </row>
    <row r="1205" spans="1:33" s="995" customFormat="1">
      <c r="A1205" s="974"/>
      <c r="D1205" s="876"/>
      <c r="E1205" s="974"/>
      <c r="F1205" s="876"/>
      <c r="G1205" s="876"/>
      <c r="H1205" s="876"/>
      <c r="I1205" s="876"/>
      <c r="J1205" s="876"/>
      <c r="K1205" s="876"/>
      <c r="L1205" s="876"/>
      <c r="M1205" s="876"/>
      <c r="N1205" s="876"/>
      <c r="O1205" s="876"/>
      <c r="P1205" s="876"/>
      <c r="Q1205" s="870"/>
      <c r="R1205" s="870"/>
      <c r="S1205" s="870"/>
      <c r="T1205" s="870"/>
      <c r="U1205" s="870"/>
      <c r="V1205" s="870"/>
      <c r="W1205" s="870"/>
      <c r="X1205" s="870"/>
      <c r="Y1205" s="870"/>
      <c r="Z1205" s="870"/>
      <c r="AA1205" s="870"/>
      <c r="AB1205" s="870"/>
      <c r="AC1205" s="870"/>
      <c r="AD1205" s="870"/>
      <c r="AE1205" s="870"/>
      <c r="AF1205" s="870"/>
      <c r="AG1205" s="870"/>
    </row>
    <row r="1206" spans="1:33" s="995" customFormat="1">
      <c r="A1206" s="974"/>
      <c r="D1206" s="876"/>
      <c r="E1206" s="974"/>
      <c r="F1206" s="876"/>
      <c r="G1206" s="876"/>
      <c r="H1206" s="876"/>
      <c r="I1206" s="876"/>
      <c r="J1206" s="876"/>
      <c r="K1206" s="876"/>
      <c r="L1206" s="876"/>
      <c r="M1206" s="876"/>
      <c r="N1206" s="876"/>
      <c r="O1206" s="876"/>
      <c r="P1206" s="876"/>
      <c r="Q1206" s="870"/>
      <c r="R1206" s="870"/>
      <c r="S1206" s="870"/>
      <c r="T1206" s="870"/>
      <c r="U1206" s="870"/>
      <c r="V1206" s="870"/>
      <c r="W1206" s="870"/>
      <c r="X1206" s="870"/>
      <c r="Y1206" s="870"/>
      <c r="Z1206" s="870"/>
      <c r="AA1206" s="870"/>
      <c r="AB1206" s="870"/>
      <c r="AC1206" s="870"/>
      <c r="AD1206" s="870"/>
      <c r="AE1206" s="870"/>
      <c r="AF1206" s="870"/>
      <c r="AG1206" s="870"/>
    </row>
    <row r="1207" spans="1:33" s="995" customFormat="1">
      <c r="A1207" s="974"/>
      <c r="D1207" s="876"/>
      <c r="E1207" s="974"/>
      <c r="F1207" s="876"/>
      <c r="G1207" s="876"/>
      <c r="H1207" s="876"/>
      <c r="I1207" s="876"/>
      <c r="J1207" s="876"/>
      <c r="K1207" s="876"/>
      <c r="L1207" s="876"/>
      <c r="M1207" s="876"/>
      <c r="N1207" s="876"/>
      <c r="O1207" s="876"/>
      <c r="P1207" s="876"/>
      <c r="Q1207" s="870"/>
      <c r="R1207" s="870"/>
      <c r="S1207" s="870"/>
      <c r="T1207" s="870"/>
      <c r="U1207" s="870"/>
      <c r="V1207" s="870"/>
      <c r="W1207" s="870"/>
      <c r="X1207" s="870"/>
      <c r="Y1207" s="870"/>
      <c r="Z1207" s="870"/>
      <c r="AA1207" s="870"/>
      <c r="AB1207" s="870"/>
      <c r="AC1207" s="870"/>
      <c r="AD1207" s="870"/>
      <c r="AE1207" s="870"/>
      <c r="AF1207" s="870"/>
      <c r="AG1207" s="870"/>
    </row>
    <row r="1208" spans="1:33" s="995" customFormat="1">
      <c r="A1208" s="974"/>
      <c r="D1208" s="876"/>
      <c r="E1208" s="974"/>
      <c r="F1208" s="876"/>
      <c r="G1208" s="876"/>
      <c r="H1208" s="876"/>
      <c r="I1208" s="876"/>
      <c r="J1208" s="876"/>
      <c r="K1208" s="876"/>
      <c r="L1208" s="876"/>
      <c r="M1208" s="876"/>
      <c r="N1208" s="876"/>
      <c r="O1208" s="876"/>
      <c r="P1208" s="876"/>
      <c r="Q1208" s="870"/>
      <c r="R1208" s="870"/>
      <c r="S1208" s="870"/>
      <c r="T1208" s="870"/>
      <c r="U1208" s="870"/>
      <c r="V1208" s="870"/>
      <c r="W1208" s="870"/>
      <c r="X1208" s="870"/>
      <c r="Y1208" s="870"/>
      <c r="Z1208" s="870"/>
      <c r="AA1208" s="870"/>
      <c r="AB1208" s="870"/>
      <c r="AC1208" s="870"/>
      <c r="AD1208" s="870"/>
      <c r="AE1208" s="870"/>
      <c r="AF1208" s="870"/>
      <c r="AG1208" s="870"/>
    </row>
    <row r="1209" spans="1:33" s="995" customFormat="1">
      <c r="A1209" s="974"/>
      <c r="D1209" s="876"/>
      <c r="E1209" s="974"/>
      <c r="F1209" s="876"/>
      <c r="G1209" s="876"/>
      <c r="H1209" s="876"/>
      <c r="I1209" s="876"/>
      <c r="J1209" s="876"/>
      <c r="K1209" s="876"/>
      <c r="L1209" s="876"/>
      <c r="M1209" s="876"/>
      <c r="N1209" s="876"/>
      <c r="O1209" s="876"/>
      <c r="P1209" s="876"/>
      <c r="Q1209" s="870"/>
      <c r="R1209" s="870"/>
      <c r="S1209" s="870"/>
      <c r="T1209" s="870"/>
      <c r="U1209" s="870"/>
      <c r="V1209" s="870"/>
      <c r="W1209" s="870"/>
      <c r="X1209" s="870"/>
      <c r="Y1209" s="870"/>
      <c r="Z1209" s="870"/>
      <c r="AA1209" s="870"/>
      <c r="AB1209" s="870"/>
      <c r="AC1209" s="870"/>
      <c r="AD1209" s="870"/>
      <c r="AE1209" s="870"/>
      <c r="AF1209" s="870"/>
      <c r="AG1209" s="870"/>
    </row>
    <row r="1210" spans="1:33" s="995" customFormat="1">
      <c r="A1210" s="974"/>
      <c r="D1210" s="876"/>
      <c r="E1210" s="974"/>
      <c r="F1210" s="876"/>
      <c r="G1210" s="876"/>
      <c r="H1210" s="876"/>
      <c r="I1210" s="876"/>
      <c r="J1210" s="876"/>
      <c r="K1210" s="876"/>
      <c r="L1210" s="876"/>
      <c r="M1210" s="876"/>
      <c r="N1210" s="876"/>
      <c r="O1210" s="876"/>
      <c r="P1210" s="876"/>
      <c r="Q1210" s="870"/>
      <c r="R1210" s="870"/>
      <c r="S1210" s="870"/>
      <c r="T1210" s="870"/>
      <c r="U1210" s="870"/>
      <c r="V1210" s="870"/>
      <c r="W1210" s="870"/>
      <c r="X1210" s="870"/>
      <c r="Y1210" s="870"/>
      <c r="Z1210" s="870"/>
      <c r="AA1210" s="870"/>
      <c r="AB1210" s="870"/>
      <c r="AC1210" s="870"/>
      <c r="AD1210" s="870"/>
      <c r="AE1210" s="870"/>
      <c r="AF1210" s="870"/>
      <c r="AG1210" s="870"/>
    </row>
    <row r="1211" spans="1:33" s="995" customFormat="1">
      <c r="A1211" s="974"/>
      <c r="D1211" s="876"/>
      <c r="E1211" s="974"/>
      <c r="F1211" s="876"/>
      <c r="G1211" s="876"/>
      <c r="H1211" s="876"/>
      <c r="I1211" s="876"/>
      <c r="J1211" s="876"/>
      <c r="K1211" s="876"/>
      <c r="L1211" s="876"/>
      <c r="M1211" s="876"/>
      <c r="N1211" s="876"/>
      <c r="O1211" s="876"/>
      <c r="P1211" s="876"/>
      <c r="Q1211" s="870"/>
      <c r="R1211" s="870"/>
      <c r="S1211" s="870"/>
      <c r="T1211" s="870"/>
      <c r="U1211" s="870"/>
      <c r="V1211" s="870"/>
      <c r="W1211" s="870"/>
      <c r="X1211" s="870"/>
      <c r="Y1211" s="870"/>
      <c r="Z1211" s="870"/>
      <c r="AA1211" s="870"/>
      <c r="AB1211" s="870"/>
      <c r="AC1211" s="870"/>
      <c r="AD1211" s="870"/>
      <c r="AE1211" s="870"/>
      <c r="AF1211" s="870"/>
      <c r="AG1211" s="870"/>
    </row>
    <row r="1212" spans="1:33" s="995" customFormat="1">
      <c r="A1212" s="974"/>
      <c r="D1212" s="876"/>
      <c r="E1212" s="974"/>
      <c r="F1212" s="876"/>
      <c r="G1212" s="876"/>
      <c r="H1212" s="876"/>
      <c r="I1212" s="876"/>
      <c r="J1212" s="876"/>
      <c r="K1212" s="876"/>
      <c r="L1212" s="876"/>
      <c r="M1212" s="876"/>
      <c r="N1212" s="876"/>
      <c r="O1212" s="876"/>
      <c r="P1212" s="876"/>
      <c r="Q1212" s="870"/>
      <c r="R1212" s="870"/>
      <c r="S1212" s="870"/>
      <c r="T1212" s="870"/>
      <c r="U1212" s="870"/>
      <c r="V1212" s="870"/>
      <c r="W1212" s="870"/>
      <c r="X1212" s="870"/>
      <c r="Y1212" s="870"/>
      <c r="Z1212" s="870"/>
      <c r="AA1212" s="870"/>
      <c r="AB1212" s="870"/>
      <c r="AC1212" s="870"/>
      <c r="AD1212" s="870"/>
      <c r="AE1212" s="870"/>
      <c r="AF1212" s="870"/>
      <c r="AG1212" s="870"/>
    </row>
    <row r="1213" spans="1:33" s="995" customFormat="1">
      <c r="A1213" s="974"/>
      <c r="D1213" s="876"/>
      <c r="E1213" s="974"/>
      <c r="F1213" s="876"/>
      <c r="G1213" s="876"/>
      <c r="H1213" s="876"/>
      <c r="I1213" s="876"/>
      <c r="J1213" s="876"/>
      <c r="K1213" s="876"/>
      <c r="L1213" s="876"/>
      <c r="M1213" s="876"/>
      <c r="N1213" s="876"/>
      <c r="O1213" s="876"/>
      <c r="P1213" s="876"/>
      <c r="Q1213" s="870"/>
      <c r="R1213" s="870"/>
      <c r="S1213" s="870"/>
      <c r="T1213" s="870"/>
      <c r="U1213" s="870"/>
      <c r="V1213" s="870"/>
      <c r="W1213" s="870"/>
      <c r="X1213" s="870"/>
      <c r="Y1213" s="870"/>
      <c r="Z1213" s="870"/>
      <c r="AA1213" s="870"/>
      <c r="AB1213" s="870"/>
      <c r="AC1213" s="870"/>
      <c r="AD1213" s="870"/>
      <c r="AE1213" s="870"/>
      <c r="AF1213" s="870"/>
      <c r="AG1213" s="870"/>
    </row>
    <row r="1214" spans="1:33" s="995" customFormat="1">
      <c r="A1214" s="974"/>
      <c r="D1214" s="876"/>
      <c r="E1214" s="974"/>
      <c r="F1214" s="876"/>
      <c r="G1214" s="876"/>
      <c r="H1214" s="876"/>
      <c r="I1214" s="876"/>
      <c r="J1214" s="876"/>
      <c r="K1214" s="876"/>
      <c r="L1214" s="876"/>
      <c r="M1214" s="876"/>
      <c r="N1214" s="876"/>
      <c r="O1214" s="876"/>
      <c r="P1214" s="876"/>
      <c r="Q1214" s="870"/>
      <c r="R1214" s="870"/>
      <c r="S1214" s="870"/>
      <c r="T1214" s="870"/>
      <c r="U1214" s="870"/>
      <c r="V1214" s="870"/>
      <c r="W1214" s="870"/>
      <c r="X1214" s="870"/>
      <c r="Y1214" s="870"/>
      <c r="Z1214" s="870"/>
      <c r="AA1214" s="870"/>
      <c r="AB1214" s="870"/>
      <c r="AC1214" s="870"/>
      <c r="AD1214" s="870"/>
      <c r="AE1214" s="870"/>
      <c r="AF1214" s="870"/>
      <c r="AG1214" s="870"/>
    </row>
    <row r="1215" spans="1:33" s="995" customFormat="1">
      <c r="A1215" s="974"/>
      <c r="D1215" s="876"/>
      <c r="E1215" s="974"/>
      <c r="F1215" s="876"/>
      <c r="G1215" s="876"/>
      <c r="H1215" s="876"/>
      <c r="I1215" s="876"/>
      <c r="J1215" s="876"/>
      <c r="K1215" s="876"/>
      <c r="L1215" s="876"/>
      <c r="M1215" s="876"/>
      <c r="N1215" s="876"/>
      <c r="O1215" s="876"/>
      <c r="P1215" s="876"/>
      <c r="Q1215" s="870"/>
      <c r="R1215" s="870"/>
      <c r="S1215" s="870"/>
      <c r="T1215" s="870"/>
      <c r="U1215" s="870"/>
      <c r="V1215" s="870"/>
      <c r="W1215" s="870"/>
      <c r="X1215" s="870"/>
      <c r="Y1215" s="870"/>
      <c r="Z1215" s="870"/>
      <c r="AA1215" s="870"/>
      <c r="AB1215" s="870"/>
      <c r="AC1215" s="870"/>
      <c r="AD1215" s="870"/>
      <c r="AE1215" s="870"/>
      <c r="AF1215" s="870"/>
      <c r="AG1215" s="870"/>
    </row>
    <row r="1216" spans="1:33" s="995" customFormat="1">
      <c r="A1216" s="974"/>
      <c r="D1216" s="876"/>
      <c r="E1216" s="974"/>
      <c r="F1216" s="876"/>
      <c r="G1216" s="876"/>
      <c r="H1216" s="876"/>
      <c r="I1216" s="876"/>
      <c r="J1216" s="876"/>
      <c r="K1216" s="876"/>
      <c r="L1216" s="876"/>
      <c r="M1216" s="876"/>
      <c r="N1216" s="876"/>
      <c r="O1216" s="876"/>
      <c r="P1216" s="876"/>
      <c r="Q1216" s="870"/>
      <c r="R1216" s="870"/>
      <c r="S1216" s="870"/>
      <c r="T1216" s="870"/>
      <c r="U1216" s="870"/>
      <c r="V1216" s="870"/>
      <c r="W1216" s="870"/>
      <c r="X1216" s="870"/>
      <c r="Y1216" s="870"/>
      <c r="Z1216" s="870"/>
      <c r="AA1216" s="870"/>
      <c r="AB1216" s="870"/>
      <c r="AC1216" s="870"/>
      <c r="AD1216" s="870"/>
      <c r="AE1216" s="870"/>
      <c r="AF1216" s="870"/>
      <c r="AG1216" s="870"/>
    </row>
    <row r="1217" spans="1:33" s="995" customFormat="1">
      <c r="A1217" s="974"/>
      <c r="D1217" s="876"/>
      <c r="E1217" s="974"/>
      <c r="F1217" s="876"/>
      <c r="G1217" s="876"/>
      <c r="H1217" s="876"/>
      <c r="I1217" s="876"/>
      <c r="J1217" s="876"/>
      <c r="K1217" s="876"/>
      <c r="L1217" s="876"/>
      <c r="M1217" s="876"/>
      <c r="N1217" s="876"/>
      <c r="O1217" s="876"/>
      <c r="P1217" s="876"/>
      <c r="Q1217" s="870"/>
      <c r="R1217" s="870"/>
      <c r="S1217" s="870"/>
      <c r="T1217" s="870"/>
      <c r="U1217" s="870"/>
      <c r="V1217" s="870"/>
      <c r="W1217" s="870"/>
      <c r="X1217" s="870"/>
      <c r="Y1217" s="870"/>
      <c r="Z1217" s="870"/>
      <c r="AA1217" s="870"/>
      <c r="AB1217" s="870"/>
      <c r="AC1217" s="870"/>
      <c r="AD1217" s="870"/>
      <c r="AE1217" s="870"/>
      <c r="AF1217" s="870"/>
      <c r="AG1217" s="870"/>
    </row>
    <row r="1218" spans="1:33" s="995" customFormat="1">
      <c r="A1218" s="974"/>
      <c r="D1218" s="876"/>
      <c r="E1218" s="974"/>
      <c r="F1218" s="876"/>
      <c r="G1218" s="876"/>
      <c r="H1218" s="876"/>
      <c r="I1218" s="876"/>
      <c r="J1218" s="876"/>
      <c r="K1218" s="876"/>
      <c r="L1218" s="876"/>
      <c r="M1218" s="876"/>
      <c r="N1218" s="876"/>
      <c r="O1218" s="876"/>
      <c r="P1218" s="876"/>
      <c r="Q1218" s="870"/>
      <c r="R1218" s="870"/>
      <c r="S1218" s="870"/>
      <c r="T1218" s="870"/>
      <c r="U1218" s="870"/>
      <c r="V1218" s="870"/>
      <c r="W1218" s="870"/>
      <c r="X1218" s="870"/>
      <c r="Y1218" s="870"/>
      <c r="Z1218" s="870"/>
      <c r="AA1218" s="870"/>
      <c r="AB1218" s="870"/>
      <c r="AC1218" s="870"/>
      <c r="AD1218" s="870"/>
      <c r="AE1218" s="870"/>
      <c r="AF1218" s="870"/>
      <c r="AG1218" s="870"/>
    </row>
    <row r="1219" spans="1:33" s="995" customFormat="1">
      <c r="A1219" s="974"/>
      <c r="D1219" s="876"/>
      <c r="E1219" s="974"/>
      <c r="F1219" s="876"/>
      <c r="G1219" s="876"/>
      <c r="H1219" s="876"/>
      <c r="I1219" s="876"/>
      <c r="J1219" s="876"/>
      <c r="K1219" s="876"/>
      <c r="L1219" s="876"/>
      <c r="M1219" s="876"/>
      <c r="N1219" s="876"/>
      <c r="O1219" s="876"/>
      <c r="P1219" s="876"/>
      <c r="Q1219" s="870"/>
      <c r="R1219" s="870"/>
      <c r="S1219" s="870"/>
      <c r="T1219" s="870"/>
      <c r="U1219" s="870"/>
      <c r="V1219" s="870"/>
      <c r="W1219" s="870"/>
      <c r="X1219" s="870"/>
      <c r="Y1219" s="870"/>
      <c r="Z1219" s="870"/>
      <c r="AA1219" s="870"/>
      <c r="AB1219" s="870"/>
      <c r="AC1219" s="870"/>
      <c r="AD1219" s="870"/>
      <c r="AE1219" s="870"/>
      <c r="AF1219" s="870"/>
      <c r="AG1219" s="870"/>
    </row>
    <row r="1220" spans="1:33" s="995" customFormat="1">
      <c r="A1220" s="974"/>
      <c r="D1220" s="876"/>
      <c r="E1220" s="974"/>
      <c r="F1220" s="876"/>
      <c r="G1220" s="876"/>
      <c r="H1220" s="876"/>
      <c r="I1220" s="876"/>
      <c r="J1220" s="876"/>
      <c r="K1220" s="876"/>
      <c r="L1220" s="876"/>
      <c r="M1220" s="876"/>
      <c r="N1220" s="876"/>
      <c r="O1220" s="876"/>
      <c r="P1220" s="876"/>
      <c r="Q1220" s="870"/>
      <c r="R1220" s="870"/>
      <c r="S1220" s="870"/>
      <c r="T1220" s="870"/>
      <c r="U1220" s="870"/>
      <c r="V1220" s="870"/>
      <c r="W1220" s="870"/>
      <c r="X1220" s="870"/>
      <c r="Y1220" s="870"/>
      <c r="Z1220" s="870"/>
      <c r="AA1220" s="870"/>
      <c r="AB1220" s="870"/>
      <c r="AC1220" s="870"/>
      <c r="AD1220" s="870"/>
      <c r="AE1220" s="870"/>
      <c r="AF1220" s="870"/>
      <c r="AG1220" s="870"/>
    </row>
    <row r="1221" spans="1:33" s="995" customFormat="1">
      <c r="A1221" s="974"/>
      <c r="D1221" s="876"/>
      <c r="E1221" s="974"/>
      <c r="F1221" s="876"/>
      <c r="G1221" s="876"/>
      <c r="H1221" s="876"/>
      <c r="I1221" s="876"/>
      <c r="J1221" s="876"/>
      <c r="K1221" s="876"/>
      <c r="L1221" s="876"/>
      <c r="M1221" s="876"/>
      <c r="N1221" s="876"/>
      <c r="O1221" s="876"/>
      <c r="P1221" s="876"/>
      <c r="Q1221" s="870"/>
      <c r="R1221" s="870"/>
      <c r="S1221" s="870"/>
      <c r="T1221" s="870"/>
      <c r="U1221" s="870"/>
      <c r="V1221" s="870"/>
      <c r="W1221" s="870"/>
      <c r="X1221" s="870"/>
      <c r="Y1221" s="870"/>
      <c r="Z1221" s="870"/>
      <c r="AA1221" s="870"/>
      <c r="AB1221" s="870"/>
      <c r="AC1221" s="870"/>
      <c r="AD1221" s="870"/>
      <c r="AE1221" s="870"/>
      <c r="AF1221" s="870"/>
      <c r="AG1221" s="870"/>
    </row>
    <row r="1222" spans="1:33" s="995" customFormat="1">
      <c r="A1222" s="974"/>
      <c r="D1222" s="876"/>
      <c r="E1222" s="974"/>
      <c r="F1222" s="876"/>
      <c r="G1222" s="876"/>
      <c r="H1222" s="876"/>
      <c r="I1222" s="876"/>
      <c r="J1222" s="876"/>
      <c r="K1222" s="876"/>
      <c r="L1222" s="876"/>
      <c r="M1222" s="876"/>
      <c r="N1222" s="876"/>
      <c r="O1222" s="876"/>
      <c r="P1222" s="876"/>
      <c r="Q1222" s="870"/>
      <c r="R1222" s="870"/>
      <c r="S1222" s="870"/>
      <c r="T1222" s="870"/>
      <c r="U1222" s="870"/>
      <c r="V1222" s="870"/>
      <c r="W1222" s="870"/>
      <c r="X1222" s="870"/>
      <c r="Y1222" s="870"/>
      <c r="Z1222" s="870"/>
      <c r="AA1222" s="870"/>
      <c r="AB1222" s="870"/>
      <c r="AC1222" s="870"/>
      <c r="AD1222" s="870"/>
      <c r="AE1222" s="870"/>
      <c r="AF1222" s="870"/>
      <c r="AG1222" s="870"/>
    </row>
    <row r="1223" spans="1:33" s="995" customFormat="1">
      <c r="A1223" s="974"/>
      <c r="D1223" s="876"/>
      <c r="E1223" s="974"/>
      <c r="F1223" s="876"/>
      <c r="G1223" s="876"/>
      <c r="H1223" s="876"/>
      <c r="I1223" s="876"/>
      <c r="J1223" s="876"/>
      <c r="K1223" s="876"/>
      <c r="L1223" s="876"/>
      <c r="M1223" s="876"/>
      <c r="N1223" s="876"/>
      <c r="O1223" s="876"/>
      <c r="P1223" s="876"/>
      <c r="Q1223" s="870"/>
      <c r="R1223" s="870"/>
      <c r="S1223" s="870"/>
      <c r="T1223" s="870"/>
      <c r="U1223" s="870"/>
      <c r="V1223" s="870"/>
      <c r="W1223" s="870"/>
      <c r="X1223" s="870"/>
      <c r="Y1223" s="870"/>
      <c r="Z1223" s="870"/>
      <c r="AA1223" s="870"/>
      <c r="AB1223" s="870"/>
      <c r="AC1223" s="870"/>
      <c r="AD1223" s="870"/>
      <c r="AE1223" s="870"/>
      <c r="AF1223" s="870"/>
      <c r="AG1223" s="870"/>
    </row>
    <row r="1224" spans="1:33" s="995" customFormat="1">
      <c r="A1224" s="974"/>
      <c r="D1224" s="876"/>
      <c r="E1224" s="974"/>
      <c r="F1224" s="876"/>
      <c r="G1224" s="876"/>
      <c r="H1224" s="876"/>
      <c r="I1224" s="876"/>
      <c r="J1224" s="876"/>
      <c r="K1224" s="876"/>
      <c r="L1224" s="876"/>
      <c r="M1224" s="876"/>
      <c r="N1224" s="876"/>
      <c r="O1224" s="876"/>
      <c r="P1224" s="876"/>
      <c r="Q1224" s="870"/>
      <c r="R1224" s="870"/>
      <c r="S1224" s="870"/>
      <c r="T1224" s="870"/>
      <c r="U1224" s="870"/>
      <c r="V1224" s="870"/>
      <c r="W1224" s="870"/>
      <c r="X1224" s="870"/>
      <c r="Y1224" s="870"/>
      <c r="Z1224" s="870"/>
      <c r="AA1224" s="870"/>
      <c r="AB1224" s="870"/>
      <c r="AC1224" s="870"/>
      <c r="AD1224" s="870"/>
      <c r="AE1224" s="870"/>
      <c r="AF1224" s="870"/>
      <c r="AG1224" s="870"/>
    </row>
    <row r="1225" spans="1:33" s="995" customFormat="1">
      <c r="A1225" s="974"/>
      <c r="D1225" s="876"/>
      <c r="E1225" s="974"/>
      <c r="F1225" s="876"/>
      <c r="G1225" s="876"/>
      <c r="H1225" s="876"/>
      <c r="I1225" s="876"/>
      <c r="J1225" s="876"/>
      <c r="K1225" s="876"/>
      <c r="L1225" s="876"/>
      <c r="M1225" s="876"/>
      <c r="N1225" s="876"/>
      <c r="O1225" s="876"/>
      <c r="P1225" s="876"/>
      <c r="Q1225" s="870"/>
      <c r="R1225" s="870"/>
      <c r="S1225" s="870"/>
      <c r="T1225" s="870"/>
      <c r="U1225" s="870"/>
      <c r="V1225" s="870"/>
      <c r="W1225" s="870"/>
      <c r="X1225" s="870"/>
      <c r="Y1225" s="870"/>
      <c r="Z1225" s="870"/>
      <c r="AA1225" s="870"/>
      <c r="AB1225" s="870"/>
      <c r="AC1225" s="870"/>
      <c r="AD1225" s="870"/>
      <c r="AE1225" s="870"/>
      <c r="AF1225" s="870"/>
      <c r="AG1225" s="870"/>
    </row>
    <row r="1226" spans="1:33" s="995" customFormat="1">
      <c r="A1226" s="974"/>
      <c r="D1226" s="876"/>
      <c r="E1226" s="974"/>
      <c r="F1226" s="876"/>
      <c r="G1226" s="876"/>
      <c r="H1226" s="876"/>
      <c r="I1226" s="876"/>
      <c r="J1226" s="876"/>
      <c r="K1226" s="876"/>
      <c r="L1226" s="876"/>
      <c r="M1226" s="876"/>
      <c r="N1226" s="876"/>
      <c r="O1226" s="876"/>
      <c r="P1226" s="876"/>
      <c r="Q1226" s="870"/>
      <c r="R1226" s="870"/>
      <c r="S1226" s="870"/>
      <c r="T1226" s="870"/>
      <c r="U1226" s="870"/>
      <c r="V1226" s="870"/>
      <c r="W1226" s="870"/>
      <c r="X1226" s="870"/>
      <c r="Y1226" s="870"/>
      <c r="Z1226" s="870"/>
      <c r="AA1226" s="870"/>
      <c r="AB1226" s="870"/>
      <c r="AC1226" s="870"/>
      <c r="AD1226" s="870"/>
      <c r="AE1226" s="870"/>
      <c r="AF1226" s="870"/>
      <c r="AG1226" s="870"/>
    </row>
    <row r="1227" spans="1:33" s="995" customFormat="1">
      <c r="A1227" s="974"/>
      <c r="D1227" s="876"/>
      <c r="E1227" s="974"/>
      <c r="F1227" s="876"/>
      <c r="G1227" s="876"/>
      <c r="H1227" s="876"/>
      <c r="I1227" s="876"/>
      <c r="J1227" s="876"/>
      <c r="K1227" s="876"/>
      <c r="L1227" s="876"/>
      <c r="M1227" s="876"/>
      <c r="N1227" s="876"/>
      <c r="O1227" s="876"/>
      <c r="P1227" s="876"/>
      <c r="Q1227" s="870"/>
      <c r="R1227" s="870"/>
      <c r="S1227" s="870"/>
      <c r="T1227" s="870"/>
      <c r="U1227" s="870"/>
      <c r="V1227" s="870"/>
      <c r="W1227" s="870"/>
      <c r="X1227" s="870"/>
      <c r="Y1227" s="870"/>
      <c r="Z1227" s="870"/>
      <c r="AA1227" s="870"/>
      <c r="AB1227" s="870"/>
      <c r="AC1227" s="870"/>
      <c r="AD1227" s="870"/>
      <c r="AE1227" s="870"/>
      <c r="AF1227" s="870"/>
      <c r="AG1227" s="870"/>
    </row>
    <row r="1228" spans="1:33" s="995" customFormat="1">
      <c r="A1228" s="974"/>
      <c r="D1228" s="876"/>
      <c r="E1228" s="974"/>
      <c r="F1228" s="876"/>
      <c r="G1228" s="876"/>
      <c r="H1228" s="876"/>
      <c r="I1228" s="876"/>
      <c r="J1228" s="876"/>
      <c r="K1228" s="876"/>
      <c r="L1228" s="876"/>
      <c r="M1228" s="876"/>
      <c r="N1228" s="876"/>
      <c r="O1228" s="876"/>
      <c r="P1228" s="876"/>
      <c r="Q1228" s="870"/>
      <c r="R1228" s="870"/>
      <c r="S1228" s="870"/>
      <c r="T1228" s="870"/>
      <c r="U1228" s="870"/>
      <c r="V1228" s="870"/>
      <c r="W1228" s="870"/>
      <c r="X1228" s="870"/>
      <c r="Y1228" s="870"/>
      <c r="Z1228" s="870"/>
      <c r="AA1228" s="870"/>
      <c r="AB1228" s="870"/>
      <c r="AC1228" s="870"/>
      <c r="AD1228" s="870"/>
      <c r="AE1228" s="870"/>
      <c r="AF1228" s="870"/>
      <c r="AG1228" s="870"/>
    </row>
    <row r="1229" spans="1:33" s="995" customFormat="1">
      <c r="A1229" s="974"/>
      <c r="D1229" s="876"/>
      <c r="E1229" s="974"/>
      <c r="F1229" s="876"/>
      <c r="G1229" s="876"/>
      <c r="H1229" s="876"/>
      <c r="I1229" s="876"/>
      <c r="J1229" s="876"/>
      <c r="K1229" s="876"/>
      <c r="L1229" s="876"/>
      <c r="M1229" s="876"/>
      <c r="N1229" s="876"/>
      <c r="O1229" s="876"/>
      <c r="P1229" s="876"/>
      <c r="Q1229" s="870"/>
      <c r="R1229" s="870"/>
      <c r="S1229" s="870"/>
      <c r="T1229" s="870"/>
      <c r="U1229" s="870"/>
      <c r="V1229" s="870"/>
      <c r="W1229" s="870"/>
      <c r="X1229" s="870"/>
      <c r="Y1229" s="870"/>
      <c r="Z1229" s="870"/>
      <c r="AA1229" s="870"/>
      <c r="AB1229" s="870"/>
      <c r="AC1229" s="870"/>
      <c r="AD1229" s="870"/>
      <c r="AE1229" s="870"/>
      <c r="AF1229" s="870"/>
      <c r="AG1229" s="870"/>
    </row>
    <row r="1230" spans="1:33" s="995" customFormat="1">
      <c r="A1230" s="974"/>
      <c r="D1230" s="876"/>
      <c r="E1230" s="974"/>
      <c r="F1230" s="876"/>
      <c r="G1230" s="876"/>
      <c r="H1230" s="876"/>
      <c r="I1230" s="876"/>
      <c r="J1230" s="876"/>
      <c r="K1230" s="876"/>
      <c r="L1230" s="876"/>
      <c r="M1230" s="876"/>
      <c r="N1230" s="876"/>
      <c r="O1230" s="876"/>
      <c r="P1230" s="876"/>
      <c r="Q1230" s="870"/>
      <c r="R1230" s="870"/>
      <c r="S1230" s="870"/>
      <c r="T1230" s="870"/>
      <c r="U1230" s="870"/>
      <c r="V1230" s="870"/>
      <c r="W1230" s="870"/>
      <c r="X1230" s="870"/>
      <c r="Y1230" s="870"/>
      <c r="Z1230" s="870"/>
      <c r="AA1230" s="870"/>
      <c r="AB1230" s="870"/>
      <c r="AC1230" s="870"/>
      <c r="AD1230" s="870"/>
      <c r="AE1230" s="870"/>
      <c r="AF1230" s="870"/>
      <c r="AG1230" s="870"/>
    </row>
    <row r="1231" spans="1:33" s="995" customFormat="1">
      <c r="A1231" s="974"/>
      <c r="D1231" s="876"/>
      <c r="E1231" s="974"/>
      <c r="F1231" s="876"/>
      <c r="G1231" s="876"/>
      <c r="H1231" s="876"/>
      <c r="I1231" s="876"/>
      <c r="J1231" s="876"/>
      <c r="K1231" s="876"/>
      <c r="L1231" s="876"/>
      <c r="M1231" s="876"/>
      <c r="N1231" s="876"/>
      <c r="O1231" s="876"/>
      <c r="P1231" s="876"/>
      <c r="Q1231" s="870"/>
      <c r="R1231" s="870"/>
      <c r="S1231" s="870"/>
      <c r="T1231" s="870"/>
      <c r="U1231" s="870"/>
      <c r="V1231" s="870"/>
      <c r="W1231" s="870"/>
      <c r="X1231" s="870"/>
      <c r="Y1231" s="870"/>
      <c r="Z1231" s="870"/>
      <c r="AA1231" s="870"/>
      <c r="AB1231" s="870"/>
      <c r="AC1231" s="870"/>
      <c r="AD1231" s="870"/>
      <c r="AE1231" s="870"/>
      <c r="AF1231" s="870"/>
      <c r="AG1231" s="870"/>
    </row>
    <row r="1232" spans="1:33" s="995" customFormat="1">
      <c r="A1232" s="974"/>
      <c r="D1232" s="876"/>
      <c r="E1232" s="974"/>
      <c r="F1232" s="876"/>
      <c r="G1232" s="876"/>
      <c r="H1232" s="876"/>
      <c r="I1232" s="876"/>
      <c r="J1232" s="876"/>
      <c r="K1232" s="876"/>
      <c r="L1232" s="876"/>
      <c r="M1232" s="876"/>
      <c r="N1232" s="876"/>
      <c r="O1232" s="876"/>
      <c r="P1232" s="876"/>
      <c r="Q1232" s="870"/>
      <c r="R1232" s="870"/>
      <c r="S1232" s="870"/>
      <c r="T1232" s="870"/>
      <c r="U1232" s="870"/>
      <c r="V1232" s="870"/>
      <c r="W1232" s="870"/>
      <c r="X1232" s="870"/>
      <c r="Y1232" s="870"/>
      <c r="Z1232" s="870"/>
      <c r="AA1232" s="870"/>
      <c r="AB1232" s="870"/>
      <c r="AC1232" s="870"/>
      <c r="AD1232" s="870"/>
      <c r="AE1232" s="870"/>
      <c r="AF1232" s="870"/>
      <c r="AG1232" s="870"/>
    </row>
    <row r="1233" spans="1:33" s="995" customFormat="1">
      <c r="A1233" s="974"/>
      <c r="D1233" s="876"/>
      <c r="E1233" s="974"/>
      <c r="F1233" s="876"/>
      <c r="G1233" s="876"/>
      <c r="H1233" s="876"/>
      <c r="I1233" s="876"/>
      <c r="J1233" s="876"/>
      <c r="K1233" s="876"/>
      <c r="L1233" s="876"/>
      <c r="M1233" s="876"/>
      <c r="N1233" s="876"/>
      <c r="O1233" s="876"/>
      <c r="P1233" s="876"/>
      <c r="Q1233" s="870"/>
      <c r="R1233" s="870"/>
      <c r="S1233" s="870"/>
      <c r="T1233" s="870"/>
      <c r="U1233" s="870"/>
      <c r="V1233" s="870"/>
      <c r="W1233" s="870"/>
      <c r="X1233" s="870"/>
      <c r="Y1233" s="870"/>
      <c r="Z1233" s="870"/>
      <c r="AA1233" s="870"/>
      <c r="AB1233" s="870"/>
      <c r="AC1233" s="870"/>
      <c r="AD1233" s="870"/>
      <c r="AE1233" s="870"/>
      <c r="AF1233" s="870"/>
      <c r="AG1233" s="870"/>
    </row>
    <row r="1234" spans="1:33" s="995" customFormat="1">
      <c r="A1234" s="974"/>
      <c r="D1234" s="876"/>
      <c r="E1234" s="974"/>
      <c r="F1234" s="876"/>
      <c r="G1234" s="876"/>
      <c r="H1234" s="876"/>
      <c r="I1234" s="876"/>
      <c r="J1234" s="876"/>
      <c r="K1234" s="876"/>
      <c r="L1234" s="876"/>
      <c r="M1234" s="876"/>
      <c r="N1234" s="876"/>
      <c r="O1234" s="876"/>
      <c r="P1234" s="876"/>
      <c r="Q1234" s="870"/>
      <c r="R1234" s="870"/>
      <c r="S1234" s="870"/>
      <c r="T1234" s="870"/>
      <c r="U1234" s="870"/>
      <c r="V1234" s="870"/>
      <c r="W1234" s="870"/>
      <c r="X1234" s="870"/>
      <c r="Y1234" s="870"/>
      <c r="Z1234" s="870"/>
      <c r="AA1234" s="870"/>
      <c r="AB1234" s="870"/>
      <c r="AC1234" s="870"/>
      <c r="AD1234" s="870"/>
      <c r="AE1234" s="870"/>
      <c r="AF1234" s="870"/>
      <c r="AG1234" s="870"/>
    </row>
    <row r="1235" spans="1:33" s="995" customFormat="1">
      <c r="A1235" s="974"/>
      <c r="D1235" s="876"/>
      <c r="E1235" s="974"/>
      <c r="F1235" s="876"/>
      <c r="G1235" s="876"/>
      <c r="H1235" s="876"/>
      <c r="I1235" s="876"/>
      <c r="J1235" s="876"/>
      <c r="K1235" s="876"/>
      <c r="L1235" s="876"/>
      <c r="M1235" s="876"/>
      <c r="N1235" s="876"/>
      <c r="O1235" s="876"/>
      <c r="P1235" s="876"/>
      <c r="Q1235" s="870"/>
      <c r="R1235" s="870"/>
      <c r="S1235" s="870"/>
      <c r="T1235" s="870"/>
      <c r="U1235" s="870"/>
      <c r="V1235" s="870"/>
      <c r="W1235" s="870"/>
      <c r="X1235" s="870"/>
      <c r="Y1235" s="870"/>
      <c r="Z1235" s="870"/>
      <c r="AA1235" s="870"/>
      <c r="AB1235" s="870"/>
      <c r="AC1235" s="870"/>
      <c r="AD1235" s="870"/>
      <c r="AE1235" s="870"/>
      <c r="AF1235" s="870"/>
      <c r="AG1235" s="870"/>
    </row>
    <row r="1236" spans="1:33" s="995" customFormat="1">
      <c r="A1236" s="974"/>
      <c r="D1236" s="876"/>
      <c r="E1236" s="974"/>
      <c r="F1236" s="876"/>
      <c r="G1236" s="876"/>
      <c r="H1236" s="876"/>
      <c r="I1236" s="876"/>
      <c r="J1236" s="876"/>
      <c r="K1236" s="876"/>
      <c r="L1236" s="876"/>
      <c r="M1236" s="876"/>
      <c r="N1236" s="876"/>
      <c r="O1236" s="876"/>
      <c r="P1236" s="876"/>
      <c r="Q1236" s="870"/>
      <c r="R1236" s="870"/>
      <c r="S1236" s="870"/>
      <c r="T1236" s="870"/>
      <c r="U1236" s="870"/>
      <c r="V1236" s="870"/>
      <c r="W1236" s="870"/>
      <c r="X1236" s="870"/>
      <c r="Y1236" s="870"/>
      <c r="Z1236" s="870"/>
      <c r="AA1236" s="870"/>
      <c r="AB1236" s="870"/>
      <c r="AC1236" s="870"/>
      <c r="AD1236" s="870"/>
      <c r="AE1236" s="870"/>
      <c r="AF1236" s="870"/>
      <c r="AG1236" s="870"/>
    </row>
    <row r="1237" spans="1:33" s="995" customFormat="1">
      <c r="A1237" s="974"/>
      <c r="D1237" s="876"/>
      <c r="E1237" s="974"/>
      <c r="F1237" s="876"/>
      <c r="G1237" s="876"/>
      <c r="H1237" s="876"/>
      <c r="I1237" s="876"/>
      <c r="J1237" s="876"/>
      <c r="K1237" s="876"/>
      <c r="L1237" s="876"/>
      <c r="M1237" s="876"/>
      <c r="N1237" s="876"/>
      <c r="O1237" s="876"/>
      <c r="P1237" s="876"/>
      <c r="Q1237" s="870"/>
      <c r="R1237" s="870"/>
      <c r="S1237" s="870"/>
      <c r="T1237" s="870"/>
      <c r="U1237" s="870"/>
      <c r="V1237" s="870"/>
      <c r="W1237" s="870"/>
      <c r="X1237" s="870"/>
      <c r="Y1237" s="870"/>
      <c r="Z1237" s="870"/>
      <c r="AA1237" s="870"/>
      <c r="AB1237" s="870"/>
      <c r="AC1237" s="870"/>
      <c r="AD1237" s="870"/>
      <c r="AE1237" s="870"/>
      <c r="AF1237" s="870"/>
      <c r="AG1237" s="870"/>
    </row>
    <row r="1238" spans="1:33" s="995" customFormat="1">
      <c r="A1238" s="974"/>
      <c r="D1238" s="876"/>
      <c r="E1238" s="974"/>
      <c r="F1238" s="876"/>
      <c r="G1238" s="876"/>
      <c r="H1238" s="876"/>
      <c r="I1238" s="876"/>
      <c r="J1238" s="876"/>
      <c r="K1238" s="876"/>
      <c r="L1238" s="876"/>
      <c r="M1238" s="876"/>
      <c r="N1238" s="876"/>
      <c r="O1238" s="876"/>
      <c r="P1238" s="876"/>
      <c r="Q1238" s="870"/>
      <c r="R1238" s="870"/>
      <c r="S1238" s="870"/>
      <c r="T1238" s="870"/>
      <c r="U1238" s="870"/>
      <c r="V1238" s="870"/>
      <c r="W1238" s="870"/>
      <c r="X1238" s="870"/>
      <c r="Y1238" s="870"/>
      <c r="Z1238" s="870"/>
      <c r="AA1238" s="870"/>
      <c r="AB1238" s="870"/>
      <c r="AC1238" s="870"/>
      <c r="AD1238" s="870"/>
      <c r="AE1238" s="870"/>
      <c r="AF1238" s="870"/>
      <c r="AG1238" s="870"/>
    </row>
    <row r="1239" spans="1:33" s="995" customFormat="1">
      <c r="A1239" s="974"/>
      <c r="D1239" s="876"/>
      <c r="E1239" s="974"/>
      <c r="F1239" s="876"/>
      <c r="G1239" s="876"/>
      <c r="H1239" s="876"/>
      <c r="I1239" s="876"/>
      <c r="J1239" s="876"/>
      <c r="K1239" s="876"/>
      <c r="L1239" s="876"/>
      <c r="M1239" s="876"/>
      <c r="N1239" s="876"/>
      <c r="O1239" s="876"/>
      <c r="P1239" s="876"/>
      <c r="Q1239" s="870"/>
      <c r="R1239" s="870"/>
      <c r="S1239" s="870"/>
      <c r="T1239" s="870"/>
      <c r="U1239" s="870"/>
      <c r="V1239" s="870"/>
      <c r="W1239" s="870"/>
      <c r="X1239" s="870"/>
      <c r="Y1239" s="870"/>
      <c r="Z1239" s="870"/>
      <c r="AA1239" s="870"/>
      <c r="AB1239" s="870"/>
      <c r="AC1239" s="870"/>
      <c r="AD1239" s="870"/>
      <c r="AE1239" s="870"/>
      <c r="AF1239" s="870"/>
      <c r="AG1239" s="870"/>
    </row>
    <row r="1240" spans="1:33" s="995" customFormat="1">
      <c r="A1240" s="974"/>
      <c r="D1240" s="876"/>
      <c r="E1240" s="974"/>
      <c r="F1240" s="876"/>
      <c r="G1240" s="876"/>
      <c r="H1240" s="876"/>
      <c r="I1240" s="876"/>
      <c r="J1240" s="876"/>
      <c r="K1240" s="876"/>
      <c r="L1240" s="876"/>
      <c r="M1240" s="876"/>
      <c r="N1240" s="876"/>
      <c r="O1240" s="876"/>
      <c r="P1240" s="876"/>
      <c r="Q1240" s="870"/>
      <c r="R1240" s="870"/>
      <c r="S1240" s="870"/>
      <c r="T1240" s="870"/>
      <c r="U1240" s="870"/>
      <c r="V1240" s="870"/>
      <c r="W1240" s="870"/>
      <c r="X1240" s="870"/>
      <c r="Y1240" s="870"/>
      <c r="Z1240" s="870"/>
      <c r="AA1240" s="870"/>
      <c r="AB1240" s="870"/>
      <c r="AC1240" s="870"/>
      <c r="AD1240" s="870"/>
      <c r="AE1240" s="870"/>
      <c r="AF1240" s="870"/>
      <c r="AG1240" s="870"/>
    </row>
    <row r="1241" spans="1:33" s="995" customFormat="1">
      <c r="A1241" s="974"/>
      <c r="D1241" s="876"/>
      <c r="E1241" s="974"/>
      <c r="F1241" s="876"/>
      <c r="G1241" s="876"/>
      <c r="H1241" s="876"/>
      <c r="I1241" s="876"/>
      <c r="J1241" s="876"/>
      <c r="K1241" s="876"/>
      <c r="L1241" s="876"/>
      <c r="M1241" s="876"/>
      <c r="N1241" s="876"/>
      <c r="O1241" s="876"/>
      <c r="P1241" s="876"/>
      <c r="Q1241" s="870"/>
      <c r="R1241" s="870"/>
      <c r="S1241" s="870"/>
      <c r="T1241" s="870"/>
      <c r="U1241" s="870"/>
      <c r="V1241" s="870"/>
      <c r="W1241" s="870"/>
      <c r="X1241" s="870"/>
      <c r="Y1241" s="870"/>
      <c r="Z1241" s="870"/>
      <c r="AA1241" s="870"/>
      <c r="AB1241" s="870"/>
      <c r="AC1241" s="870"/>
      <c r="AD1241" s="870"/>
      <c r="AE1241" s="870"/>
      <c r="AF1241" s="870"/>
      <c r="AG1241" s="870"/>
    </row>
    <row r="1242" spans="1:33" s="995" customFormat="1">
      <c r="A1242" s="974"/>
      <c r="D1242" s="876"/>
      <c r="E1242" s="974"/>
      <c r="F1242" s="876"/>
      <c r="G1242" s="876"/>
      <c r="H1242" s="876"/>
      <c r="I1242" s="876"/>
      <c r="J1242" s="876"/>
      <c r="K1242" s="876"/>
      <c r="L1242" s="876"/>
      <c r="M1242" s="876"/>
      <c r="N1242" s="876"/>
      <c r="O1242" s="876"/>
      <c r="P1242" s="876"/>
      <c r="Q1242" s="870"/>
      <c r="R1242" s="870"/>
      <c r="S1242" s="870"/>
      <c r="T1242" s="870"/>
      <c r="U1242" s="870"/>
      <c r="V1242" s="870"/>
      <c r="W1242" s="870"/>
      <c r="X1242" s="870"/>
      <c r="Y1242" s="870"/>
      <c r="Z1242" s="870"/>
      <c r="AA1242" s="870"/>
      <c r="AB1242" s="870"/>
      <c r="AC1242" s="870"/>
      <c r="AD1242" s="870"/>
      <c r="AE1242" s="870"/>
      <c r="AF1242" s="870"/>
      <c r="AG1242" s="870"/>
    </row>
    <row r="1243" spans="1:33" s="995" customFormat="1">
      <c r="A1243" s="974"/>
      <c r="D1243" s="876"/>
      <c r="E1243" s="974"/>
      <c r="F1243" s="876"/>
      <c r="G1243" s="876"/>
      <c r="H1243" s="876"/>
      <c r="I1243" s="876"/>
      <c r="J1243" s="876"/>
      <c r="K1243" s="876"/>
      <c r="L1243" s="876"/>
      <c r="M1243" s="876"/>
      <c r="N1243" s="876"/>
      <c r="O1243" s="876"/>
      <c r="P1243" s="876"/>
      <c r="Q1243" s="870"/>
      <c r="R1243" s="870"/>
      <c r="S1243" s="870"/>
      <c r="T1243" s="870"/>
      <c r="U1243" s="870"/>
      <c r="V1243" s="870"/>
      <c r="W1243" s="870"/>
      <c r="X1243" s="870"/>
      <c r="Y1243" s="870"/>
      <c r="Z1243" s="870"/>
      <c r="AA1243" s="870"/>
      <c r="AB1243" s="870"/>
      <c r="AC1243" s="870"/>
      <c r="AD1243" s="870"/>
      <c r="AE1243" s="870"/>
      <c r="AF1243" s="870"/>
      <c r="AG1243" s="870"/>
    </row>
    <row r="1244" spans="1:33" s="995" customFormat="1">
      <c r="A1244" s="974"/>
      <c r="D1244" s="876"/>
      <c r="E1244" s="974"/>
      <c r="F1244" s="876"/>
      <c r="G1244" s="876"/>
      <c r="H1244" s="876"/>
      <c r="I1244" s="876"/>
      <c r="J1244" s="876"/>
      <c r="K1244" s="876"/>
      <c r="L1244" s="876"/>
      <c r="M1244" s="876"/>
      <c r="N1244" s="876"/>
      <c r="O1244" s="876"/>
      <c r="P1244" s="876"/>
      <c r="Q1244" s="870"/>
      <c r="R1244" s="870"/>
      <c r="S1244" s="870"/>
      <c r="T1244" s="870"/>
      <c r="U1244" s="870"/>
      <c r="V1244" s="870"/>
      <c r="W1244" s="870"/>
      <c r="X1244" s="870"/>
      <c r="Y1244" s="870"/>
      <c r="Z1244" s="870"/>
      <c r="AA1244" s="870"/>
      <c r="AB1244" s="870"/>
      <c r="AC1244" s="870"/>
      <c r="AD1244" s="870"/>
      <c r="AE1244" s="870"/>
      <c r="AF1244" s="870"/>
      <c r="AG1244" s="870"/>
    </row>
    <row r="1245" spans="1:33" s="995" customFormat="1">
      <c r="A1245" s="974"/>
      <c r="D1245" s="876"/>
      <c r="E1245" s="974"/>
      <c r="F1245" s="876"/>
      <c r="G1245" s="876"/>
      <c r="H1245" s="876"/>
      <c r="I1245" s="876"/>
      <c r="J1245" s="876"/>
      <c r="K1245" s="876"/>
      <c r="L1245" s="876"/>
      <c r="M1245" s="876"/>
      <c r="N1245" s="876"/>
      <c r="O1245" s="876"/>
      <c r="P1245" s="876"/>
      <c r="Q1245" s="870"/>
      <c r="R1245" s="870"/>
      <c r="S1245" s="870"/>
      <c r="T1245" s="870"/>
      <c r="U1245" s="870"/>
      <c r="V1245" s="870"/>
      <c r="W1245" s="870"/>
      <c r="X1245" s="870"/>
      <c r="Y1245" s="870"/>
      <c r="Z1245" s="870"/>
      <c r="AA1245" s="870"/>
      <c r="AB1245" s="870"/>
      <c r="AC1245" s="870"/>
      <c r="AD1245" s="870"/>
      <c r="AE1245" s="870"/>
      <c r="AF1245" s="870"/>
      <c r="AG1245" s="870"/>
    </row>
    <row r="1246" spans="1:33" s="995" customFormat="1">
      <c r="A1246" s="974"/>
      <c r="D1246" s="876"/>
      <c r="E1246" s="974"/>
      <c r="F1246" s="876"/>
      <c r="G1246" s="876"/>
      <c r="H1246" s="876"/>
      <c r="I1246" s="876"/>
      <c r="J1246" s="876"/>
      <c r="K1246" s="876"/>
      <c r="L1246" s="876"/>
      <c r="M1246" s="876"/>
      <c r="N1246" s="876"/>
      <c r="O1246" s="876"/>
      <c r="P1246" s="876"/>
      <c r="Q1246" s="870"/>
      <c r="R1246" s="870"/>
      <c r="S1246" s="870"/>
      <c r="T1246" s="870"/>
      <c r="U1246" s="870"/>
      <c r="V1246" s="870"/>
      <c r="W1246" s="870"/>
      <c r="X1246" s="870"/>
      <c r="Y1246" s="870"/>
      <c r="Z1246" s="870"/>
      <c r="AA1246" s="870"/>
      <c r="AB1246" s="870"/>
      <c r="AC1246" s="870"/>
      <c r="AD1246" s="870"/>
      <c r="AE1246" s="870"/>
      <c r="AF1246" s="870"/>
      <c r="AG1246" s="870"/>
    </row>
    <row r="1247" spans="1:33" s="995" customFormat="1">
      <c r="A1247" s="974"/>
      <c r="D1247" s="876"/>
      <c r="E1247" s="974"/>
      <c r="F1247" s="876"/>
      <c r="G1247" s="876"/>
      <c r="H1247" s="876"/>
      <c r="I1247" s="876"/>
      <c r="J1247" s="876"/>
      <c r="K1247" s="876"/>
      <c r="L1247" s="876"/>
      <c r="M1247" s="876"/>
      <c r="N1247" s="876"/>
      <c r="O1247" s="876"/>
      <c r="P1247" s="876"/>
      <c r="Q1247" s="870"/>
      <c r="R1247" s="870"/>
      <c r="S1247" s="870"/>
      <c r="T1247" s="870"/>
      <c r="U1247" s="870"/>
      <c r="V1247" s="870"/>
      <c r="W1247" s="870"/>
      <c r="X1247" s="870"/>
      <c r="Y1247" s="870"/>
      <c r="Z1247" s="870"/>
      <c r="AA1247" s="870"/>
      <c r="AB1247" s="870"/>
      <c r="AC1247" s="870"/>
      <c r="AD1247" s="870"/>
      <c r="AE1247" s="870"/>
      <c r="AF1247" s="870"/>
      <c r="AG1247" s="870"/>
    </row>
    <row r="1248" spans="1:33" s="995" customFormat="1">
      <c r="A1248" s="974"/>
      <c r="D1248" s="876"/>
      <c r="E1248" s="974"/>
      <c r="F1248" s="876"/>
      <c r="G1248" s="876"/>
      <c r="H1248" s="876"/>
      <c r="I1248" s="876"/>
      <c r="J1248" s="876"/>
      <c r="K1248" s="876"/>
      <c r="L1248" s="876"/>
      <c r="M1248" s="876"/>
      <c r="N1248" s="876"/>
      <c r="O1248" s="876"/>
      <c r="P1248" s="876"/>
      <c r="Q1248" s="870"/>
      <c r="R1248" s="870"/>
      <c r="S1248" s="870"/>
      <c r="T1248" s="870"/>
      <c r="U1248" s="870"/>
      <c r="V1248" s="870"/>
      <c r="W1248" s="870"/>
      <c r="X1248" s="870"/>
      <c r="Y1248" s="870"/>
      <c r="Z1248" s="870"/>
      <c r="AA1248" s="870"/>
      <c r="AB1248" s="870"/>
      <c r="AC1248" s="870"/>
      <c r="AD1248" s="870"/>
      <c r="AE1248" s="870"/>
      <c r="AF1248" s="870"/>
      <c r="AG1248" s="870"/>
    </row>
    <row r="1249" spans="1:33" s="995" customFormat="1">
      <c r="A1249" s="974"/>
      <c r="D1249" s="876"/>
      <c r="E1249" s="974"/>
      <c r="F1249" s="876"/>
      <c r="G1249" s="876"/>
      <c r="H1249" s="876"/>
      <c r="I1249" s="876"/>
      <c r="J1249" s="876"/>
      <c r="K1249" s="876"/>
      <c r="L1249" s="876"/>
      <c r="M1249" s="876"/>
      <c r="N1249" s="876"/>
      <c r="O1249" s="876"/>
      <c r="P1249" s="876"/>
      <c r="Q1249" s="870"/>
      <c r="R1249" s="870"/>
      <c r="S1249" s="870"/>
      <c r="T1249" s="870"/>
      <c r="U1249" s="870"/>
      <c r="V1249" s="870"/>
      <c r="W1249" s="870"/>
      <c r="X1249" s="870"/>
      <c r="Y1249" s="870"/>
      <c r="Z1249" s="870"/>
      <c r="AA1249" s="870"/>
      <c r="AB1249" s="870"/>
      <c r="AC1249" s="870"/>
      <c r="AD1249" s="870"/>
      <c r="AE1249" s="870"/>
      <c r="AF1249" s="870"/>
      <c r="AG1249" s="870"/>
    </row>
    <row r="1250" spans="1:33" s="995" customFormat="1">
      <c r="A1250" s="974"/>
      <c r="D1250" s="876"/>
      <c r="E1250" s="974"/>
      <c r="F1250" s="876"/>
      <c r="G1250" s="876"/>
      <c r="H1250" s="876"/>
      <c r="I1250" s="876"/>
      <c r="J1250" s="876"/>
      <c r="K1250" s="876"/>
      <c r="L1250" s="876"/>
      <c r="M1250" s="876"/>
      <c r="N1250" s="876"/>
      <c r="O1250" s="876"/>
      <c r="P1250" s="876"/>
      <c r="Q1250" s="870"/>
      <c r="R1250" s="870"/>
      <c r="S1250" s="870"/>
      <c r="T1250" s="870"/>
      <c r="U1250" s="870"/>
      <c r="V1250" s="870"/>
      <c r="W1250" s="870"/>
      <c r="X1250" s="870"/>
      <c r="Y1250" s="870"/>
      <c r="Z1250" s="870"/>
      <c r="AA1250" s="870"/>
      <c r="AB1250" s="870"/>
      <c r="AC1250" s="870"/>
      <c r="AD1250" s="870"/>
      <c r="AE1250" s="870"/>
      <c r="AF1250" s="870"/>
      <c r="AG1250" s="870"/>
    </row>
    <row r="1251" spans="1:33" s="995" customFormat="1">
      <c r="A1251" s="974"/>
      <c r="D1251" s="876"/>
      <c r="E1251" s="974"/>
      <c r="F1251" s="876"/>
      <c r="G1251" s="876"/>
      <c r="H1251" s="876"/>
      <c r="I1251" s="876"/>
      <c r="J1251" s="876"/>
      <c r="K1251" s="876"/>
      <c r="L1251" s="876"/>
      <c r="M1251" s="876"/>
      <c r="N1251" s="876"/>
      <c r="O1251" s="876"/>
      <c r="P1251" s="876"/>
      <c r="Q1251" s="870"/>
      <c r="R1251" s="870"/>
      <c r="S1251" s="870"/>
      <c r="T1251" s="870"/>
      <c r="U1251" s="870"/>
      <c r="V1251" s="870"/>
      <c r="W1251" s="870"/>
      <c r="X1251" s="870"/>
      <c r="Y1251" s="870"/>
      <c r="Z1251" s="870"/>
      <c r="AA1251" s="870"/>
      <c r="AB1251" s="870"/>
      <c r="AC1251" s="870"/>
      <c r="AD1251" s="870"/>
      <c r="AE1251" s="870"/>
      <c r="AF1251" s="870"/>
      <c r="AG1251" s="870"/>
    </row>
    <row r="1252" spans="1:33" s="995" customFormat="1">
      <c r="A1252" s="974"/>
      <c r="D1252" s="876"/>
      <c r="E1252" s="974"/>
      <c r="F1252" s="876"/>
      <c r="G1252" s="876"/>
      <c r="H1252" s="876"/>
      <c r="I1252" s="876"/>
      <c r="J1252" s="876"/>
      <c r="K1252" s="876"/>
      <c r="L1252" s="876"/>
      <c r="M1252" s="876"/>
      <c r="N1252" s="876"/>
      <c r="O1252" s="876"/>
      <c r="P1252" s="876"/>
      <c r="Q1252" s="870"/>
      <c r="R1252" s="870"/>
      <c r="S1252" s="870"/>
      <c r="T1252" s="870"/>
      <c r="U1252" s="870"/>
      <c r="V1252" s="870"/>
      <c r="W1252" s="870"/>
      <c r="X1252" s="870"/>
      <c r="Y1252" s="870"/>
      <c r="Z1252" s="870"/>
      <c r="AA1252" s="870"/>
      <c r="AB1252" s="870"/>
      <c r="AC1252" s="870"/>
      <c r="AD1252" s="870"/>
      <c r="AE1252" s="870"/>
      <c r="AF1252" s="870"/>
      <c r="AG1252" s="870"/>
    </row>
    <row r="1253" spans="1:33" s="995" customFormat="1">
      <c r="A1253" s="974"/>
      <c r="D1253" s="876"/>
      <c r="E1253" s="974"/>
      <c r="F1253" s="876"/>
      <c r="G1253" s="876"/>
      <c r="H1253" s="876"/>
      <c r="I1253" s="876"/>
      <c r="J1253" s="876"/>
      <c r="K1253" s="876"/>
      <c r="L1253" s="876"/>
      <c r="M1253" s="876"/>
      <c r="N1253" s="876"/>
      <c r="O1253" s="876"/>
      <c r="P1253" s="876"/>
      <c r="Q1253" s="870"/>
      <c r="R1253" s="870"/>
      <c r="S1253" s="870"/>
      <c r="T1253" s="870"/>
      <c r="U1253" s="870"/>
      <c r="V1253" s="870"/>
      <c r="W1253" s="870"/>
      <c r="X1253" s="870"/>
      <c r="Y1253" s="870"/>
      <c r="Z1253" s="870"/>
      <c r="AA1253" s="870"/>
      <c r="AB1253" s="870"/>
      <c r="AC1253" s="870"/>
      <c r="AD1253" s="870"/>
      <c r="AE1253" s="870"/>
      <c r="AF1253" s="870"/>
      <c r="AG1253" s="870"/>
    </row>
    <row r="1254" spans="1:33" s="995" customFormat="1">
      <c r="A1254" s="974"/>
      <c r="D1254" s="876"/>
      <c r="E1254" s="974"/>
      <c r="F1254" s="876"/>
      <c r="G1254" s="876"/>
      <c r="H1254" s="876"/>
      <c r="I1254" s="876"/>
      <c r="J1254" s="876"/>
      <c r="K1254" s="876"/>
      <c r="L1254" s="876"/>
      <c r="M1254" s="876"/>
      <c r="N1254" s="876"/>
      <c r="O1254" s="876"/>
      <c r="P1254" s="876"/>
      <c r="Q1254" s="870"/>
      <c r="R1254" s="870"/>
      <c r="S1254" s="870"/>
      <c r="T1254" s="870"/>
      <c r="U1254" s="870"/>
      <c r="V1254" s="870"/>
      <c r="W1254" s="870"/>
      <c r="X1254" s="870"/>
      <c r="Y1254" s="870"/>
      <c r="Z1254" s="870"/>
      <c r="AA1254" s="870"/>
      <c r="AB1254" s="870"/>
      <c r="AC1254" s="870"/>
      <c r="AD1254" s="870"/>
      <c r="AE1254" s="870"/>
      <c r="AF1254" s="870"/>
      <c r="AG1254" s="870"/>
    </row>
    <row r="1255" spans="1:33" s="995" customFormat="1">
      <c r="A1255" s="974"/>
      <c r="D1255" s="876"/>
      <c r="E1255" s="974"/>
      <c r="F1255" s="876"/>
      <c r="G1255" s="876"/>
      <c r="H1255" s="876"/>
      <c r="I1255" s="876"/>
      <c r="J1255" s="876"/>
      <c r="K1255" s="876"/>
      <c r="L1255" s="876"/>
      <c r="M1255" s="876"/>
      <c r="N1255" s="876"/>
      <c r="O1255" s="876"/>
      <c r="P1255" s="876"/>
      <c r="Q1255" s="870"/>
      <c r="R1255" s="870"/>
      <c r="S1255" s="870"/>
      <c r="T1255" s="870"/>
      <c r="U1255" s="870"/>
      <c r="V1255" s="870"/>
      <c r="W1255" s="870"/>
      <c r="X1255" s="870"/>
      <c r="Y1255" s="870"/>
      <c r="Z1255" s="870"/>
      <c r="AA1255" s="870"/>
      <c r="AB1255" s="870"/>
      <c r="AC1255" s="870"/>
      <c r="AD1255" s="870"/>
      <c r="AE1255" s="870"/>
      <c r="AF1255" s="870"/>
      <c r="AG1255" s="870"/>
    </row>
    <row r="1256" spans="1:33" s="995" customFormat="1">
      <c r="A1256" s="974"/>
      <c r="D1256" s="876"/>
      <c r="E1256" s="974"/>
      <c r="F1256" s="876"/>
      <c r="G1256" s="876"/>
      <c r="H1256" s="876"/>
      <c r="I1256" s="876"/>
      <c r="J1256" s="876"/>
      <c r="K1256" s="876"/>
      <c r="L1256" s="876"/>
      <c r="M1256" s="876"/>
      <c r="N1256" s="876"/>
      <c r="O1256" s="876"/>
      <c r="P1256" s="876"/>
      <c r="Q1256" s="870"/>
      <c r="R1256" s="870"/>
      <c r="S1256" s="870"/>
      <c r="T1256" s="870"/>
      <c r="U1256" s="870"/>
      <c r="V1256" s="870"/>
      <c r="W1256" s="870"/>
      <c r="X1256" s="870"/>
      <c r="Y1256" s="870"/>
      <c r="Z1256" s="870"/>
      <c r="AA1256" s="870"/>
      <c r="AB1256" s="870"/>
      <c r="AC1256" s="870"/>
      <c r="AD1256" s="870"/>
      <c r="AE1256" s="870"/>
      <c r="AF1256" s="870"/>
      <c r="AG1256" s="870"/>
    </row>
    <row r="1257" spans="1:33" s="995" customFormat="1">
      <c r="A1257" s="974"/>
      <c r="D1257" s="876"/>
      <c r="E1257" s="974"/>
      <c r="F1257" s="876"/>
      <c r="G1257" s="876"/>
      <c r="H1257" s="876"/>
      <c r="I1257" s="876"/>
      <c r="J1257" s="876"/>
      <c r="K1257" s="876"/>
      <c r="L1257" s="876"/>
      <c r="M1257" s="876"/>
      <c r="N1257" s="876"/>
      <c r="O1257" s="876"/>
      <c r="P1257" s="876"/>
      <c r="Q1257" s="870"/>
      <c r="R1257" s="870"/>
      <c r="S1257" s="870"/>
      <c r="T1257" s="870"/>
      <c r="U1257" s="870"/>
      <c r="V1257" s="870"/>
      <c r="W1257" s="870"/>
      <c r="X1257" s="870"/>
      <c r="Y1257" s="870"/>
      <c r="Z1257" s="870"/>
      <c r="AA1257" s="870"/>
      <c r="AB1257" s="870"/>
      <c r="AC1257" s="870"/>
      <c r="AD1257" s="870"/>
      <c r="AE1257" s="870"/>
      <c r="AF1257" s="870"/>
      <c r="AG1257" s="870"/>
    </row>
    <row r="1258" spans="1:33" s="995" customFormat="1">
      <c r="A1258" s="974"/>
      <c r="D1258" s="876"/>
      <c r="E1258" s="974"/>
      <c r="F1258" s="876"/>
      <c r="G1258" s="876"/>
      <c r="H1258" s="876"/>
      <c r="I1258" s="876"/>
      <c r="J1258" s="876"/>
      <c r="K1258" s="876"/>
      <c r="L1258" s="876"/>
      <c r="M1258" s="876"/>
      <c r="N1258" s="876"/>
      <c r="O1258" s="876"/>
      <c r="P1258" s="876"/>
      <c r="Q1258" s="870"/>
      <c r="R1258" s="870"/>
      <c r="S1258" s="870"/>
      <c r="T1258" s="870"/>
      <c r="U1258" s="870"/>
      <c r="V1258" s="870"/>
      <c r="W1258" s="870"/>
      <c r="X1258" s="870"/>
      <c r="Y1258" s="870"/>
      <c r="Z1258" s="870"/>
      <c r="AA1258" s="870"/>
      <c r="AB1258" s="870"/>
      <c r="AC1258" s="870"/>
      <c r="AD1258" s="870"/>
      <c r="AE1258" s="870"/>
      <c r="AF1258" s="870"/>
      <c r="AG1258" s="870"/>
    </row>
    <row r="1259" spans="1:33" s="995" customFormat="1">
      <c r="A1259" s="974"/>
      <c r="D1259" s="876"/>
      <c r="E1259" s="974"/>
      <c r="F1259" s="876"/>
      <c r="G1259" s="876"/>
      <c r="H1259" s="876"/>
      <c r="I1259" s="876"/>
      <c r="J1259" s="876"/>
      <c r="K1259" s="876"/>
      <c r="L1259" s="876"/>
      <c r="M1259" s="876"/>
      <c r="N1259" s="876"/>
      <c r="O1259" s="876"/>
      <c r="P1259" s="876"/>
      <c r="Q1259" s="870"/>
      <c r="R1259" s="870"/>
      <c r="S1259" s="870"/>
      <c r="T1259" s="870"/>
      <c r="U1259" s="870"/>
      <c r="V1259" s="870"/>
      <c r="W1259" s="870"/>
      <c r="X1259" s="870"/>
      <c r="Y1259" s="870"/>
      <c r="Z1259" s="870"/>
      <c r="AA1259" s="870"/>
      <c r="AB1259" s="870"/>
      <c r="AC1259" s="870"/>
      <c r="AD1259" s="870"/>
      <c r="AE1259" s="870"/>
      <c r="AF1259" s="870"/>
      <c r="AG1259" s="870"/>
    </row>
    <row r="1260" spans="1:33" s="995" customFormat="1">
      <c r="A1260" s="974"/>
      <c r="D1260" s="876"/>
      <c r="E1260" s="974"/>
      <c r="F1260" s="876"/>
      <c r="G1260" s="876"/>
      <c r="H1260" s="876"/>
      <c r="I1260" s="876"/>
      <c r="J1260" s="876"/>
      <c r="K1260" s="876"/>
      <c r="L1260" s="876"/>
      <c r="M1260" s="876"/>
      <c r="N1260" s="876"/>
      <c r="O1260" s="876"/>
      <c r="P1260" s="876"/>
      <c r="Q1260" s="870"/>
      <c r="R1260" s="870"/>
      <c r="S1260" s="870"/>
      <c r="T1260" s="870"/>
      <c r="U1260" s="870"/>
      <c r="V1260" s="870"/>
      <c r="W1260" s="870"/>
      <c r="X1260" s="870"/>
      <c r="Y1260" s="870"/>
      <c r="Z1260" s="870"/>
      <c r="AA1260" s="870"/>
      <c r="AB1260" s="870"/>
      <c r="AC1260" s="870"/>
      <c r="AD1260" s="870"/>
      <c r="AE1260" s="870"/>
      <c r="AF1260" s="870"/>
      <c r="AG1260" s="870"/>
    </row>
    <row r="1261" spans="1:33" s="995" customFormat="1">
      <c r="A1261" s="974"/>
      <c r="D1261" s="876"/>
      <c r="E1261" s="974"/>
      <c r="F1261" s="876"/>
      <c r="G1261" s="876"/>
      <c r="H1261" s="876"/>
      <c r="I1261" s="876"/>
      <c r="J1261" s="876"/>
      <c r="K1261" s="876"/>
      <c r="L1261" s="876"/>
      <c r="M1261" s="876"/>
      <c r="N1261" s="876"/>
      <c r="O1261" s="876"/>
      <c r="P1261" s="876"/>
      <c r="Q1261" s="870"/>
      <c r="R1261" s="870"/>
      <c r="S1261" s="870"/>
      <c r="T1261" s="870"/>
      <c r="U1261" s="870"/>
      <c r="V1261" s="870"/>
      <c r="W1261" s="870"/>
      <c r="X1261" s="870"/>
      <c r="Y1261" s="870"/>
      <c r="Z1261" s="870"/>
      <c r="AA1261" s="870"/>
      <c r="AB1261" s="870"/>
      <c r="AC1261" s="870"/>
      <c r="AD1261" s="870"/>
      <c r="AE1261" s="870"/>
      <c r="AF1261" s="870"/>
      <c r="AG1261" s="870"/>
    </row>
    <row r="1262" spans="1:33" s="995" customFormat="1">
      <c r="A1262" s="974"/>
      <c r="D1262" s="876"/>
      <c r="E1262" s="974"/>
      <c r="F1262" s="876"/>
      <c r="G1262" s="876"/>
      <c r="H1262" s="876"/>
      <c r="I1262" s="876"/>
      <c r="J1262" s="876"/>
      <c r="K1262" s="876"/>
      <c r="L1262" s="876"/>
      <c r="M1262" s="876"/>
      <c r="N1262" s="876"/>
      <c r="O1262" s="876"/>
      <c r="P1262" s="876"/>
      <c r="Q1262" s="870"/>
      <c r="R1262" s="870"/>
      <c r="S1262" s="870"/>
      <c r="T1262" s="870"/>
      <c r="U1262" s="870"/>
      <c r="V1262" s="870"/>
      <c r="W1262" s="870"/>
      <c r="X1262" s="870"/>
      <c r="Y1262" s="870"/>
      <c r="Z1262" s="870"/>
      <c r="AA1262" s="870"/>
      <c r="AB1262" s="870"/>
      <c r="AC1262" s="870"/>
      <c r="AD1262" s="870"/>
      <c r="AE1262" s="870"/>
      <c r="AF1262" s="870"/>
      <c r="AG1262" s="870"/>
    </row>
    <row r="1263" spans="1:33" s="995" customFormat="1">
      <c r="A1263" s="974"/>
      <c r="D1263" s="876"/>
      <c r="E1263" s="974"/>
      <c r="F1263" s="876"/>
      <c r="G1263" s="876"/>
      <c r="H1263" s="876"/>
      <c r="I1263" s="876"/>
      <c r="J1263" s="876"/>
      <c r="K1263" s="876"/>
      <c r="L1263" s="876"/>
      <c r="M1263" s="876"/>
      <c r="N1263" s="876"/>
      <c r="O1263" s="876"/>
      <c r="P1263" s="876"/>
      <c r="Q1263" s="870"/>
      <c r="R1263" s="870"/>
      <c r="S1263" s="870"/>
      <c r="T1263" s="870"/>
      <c r="U1263" s="870"/>
      <c r="V1263" s="870"/>
      <c r="W1263" s="870"/>
      <c r="X1263" s="870"/>
      <c r="Y1263" s="870"/>
      <c r="Z1263" s="870"/>
      <c r="AA1263" s="870"/>
      <c r="AB1263" s="870"/>
      <c r="AC1263" s="870"/>
      <c r="AD1263" s="870"/>
      <c r="AE1263" s="870"/>
      <c r="AF1263" s="870"/>
      <c r="AG1263" s="870"/>
    </row>
    <row r="1264" spans="1:33" s="995" customFormat="1">
      <c r="A1264" s="974"/>
      <c r="D1264" s="876"/>
      <c r="E1264" s="974"/>
      <c r="F1264" s="876"/>
      <c r="G1264" s="876"/>
      <c r="H1264" s="876"/>
      <c r="I1264" s="876"/>
      <c r="J1264" s="876"/>
      <c r="K1264" s="876"/>
      <c r="L1264" s="876"/>
      <c r="M1264" s="876"/>
      <c r="N1264" s="876"/>
      <c r="O1264" s="876"/>
      <c r="P1264" s="876"/>
      <c r="Q1264" s="870"/>
      <c r="R1264" s="870"/>
      <c r="S1264" s="870"/>
      <c r="T1264" s="870"/>
      <c r="U1264" s="870"/>
      <c r="V1264" s="870"/>
      <c r="W1264" s="870"/>
      <c r="X1264" s="870"/>
      <c r="Y1264" s="870"/>
      <c r="Z1264" s="870"/>
      <c r="AA1264" s="870"/>
      <c r="AB1264" s="870"/>
      <c r="AC1264" s="870"/>
      <c r="AD1264" s="870"/>
      <c r="AE1264" s="870"/>
      <c r="AF1264" s="870"/>
      <c r="AG1264" s="870"/>
    </row>
    <row r="1265" spans="1:33" s="995" customFormat="1">
      <c r="A1265" s="974"/>
      <c r="D1265" s="876"/>
      <c r="E1265" s="974"/>
      <c r="F1265" s="876"/>
      <c r="G1265" s="876"/>
      <c r="H1265" s="876"/>
      <c r="I1265" s="876"/>
      <c r="J1265" s="876"/>
      <c r="K1265" s="876"/>
      <c r="L1265" s="876"/>
      <c r="M1265" s="876"/>
      <c r="N1265" s="876"/>
      <c r="O1265" s="876"/>
      <c r="P1265" s="876"/>
      <c r="Q1265" s="870"/>
      <c r="R1265" s="870"/>
      <c r="S1265" s="870"/>
      <c r="T1265" s="870"/>
      <c r="U1265" s="870"/>
      <c r="V1265" s="870"/>
      <c r="W1265" s="870"/>
      <c r="X1265" s="870"/>
      <c r="Y1265" s="870"/>
      <c r="Z1265" s="870"/>
      <c r="AA1265" s="870"/>
      <c r="AB1265" s="870"/>
      <c r="AC1265" s="870"/>
      <c r="AD1265" s="870"/>
      <c r="AE1265" s="870"/>
      <c r="AF1265" s="870"/>
      <c r="AG1265" s="870"/>
    </row>
    <row r="1266" spans="1:33" s="995" customFormat="1">
      <c r="A1266" s="974"/>
      <c r="D1266" s="876"/>
      <c r="E1266" s="974"/>
      <c r="F1266" s="876"/>
      <c r="G1266" s="876"/>
      <c r="H1266" s="876"/>
      <c r="I1266" s="876"/>
      <c r="J1266" s="876"/>
      <c r="K1266" s="876"/>
      <c r="L1266" s="876"/>
      <c r="M1266" s="876"/>
      <c r="N1266" s="876"/>
      <c r="O1266" s="876"/>
      <c r="P1266" s="876"/>
      <c r="Q1266" s="870"/>
      <c r="R1266" s="870"/>
      <c r="S1266" s="870"/>
      <c r="T1266" s="870"/>
      <c r="U1266" s="870"/>
      <c r="V1266" s="870"/>
      <c r="W1266" s="870"/>
      <c r="X1266" s="870"/>
      <c r="Y1266" s="870"/>
      <c r="Z1266" s="870"/>
      <c r="AA1266" s="870"/>
      <c r="AB1266" s="870"/>
      <c r="AC1266" s="870"/>
      <c r="AD1266" s="870"/>
      <c r="AE1266" s="870"/>
      <c r="AF1266" s="870"/>
      <c r="AG1266" s="870"/>
    </row>
    <row r="1267" spans="1:33" s="995" customFormat="1">
      <c r="A1267" s="974"/>
      <c r="D1267" s="876"/>
      <c r="E1267" s="974"/>
      <c r="F1267" s="876"/>
      <c r="G1267" s="876"/>
      <c r="H1267" s="876"/>
      <c r="I1267" s="876"/>
      <c r="J1267" s="876"/>
      <c r="K1267" s="876"/>
      <c r="L1267" s="876"/>
      <c r="M1267" s="876"/>
      <c r="N1267" s="876"/>
      <c r="O1267" s="876"/>
      <c r="P1267" s="876"/>
      <c r="Q1267" s="870"/>
      <c r="R1267" s="870"/>
      <c r="S1267" s="870"/>
      <c r="T1267" s="870"/>
      <c r="U1267" s="870"/>
      <c r="V1267" s="870"/>
      <c r="W1267" s="870"/>
      <c r="X1267" s="870"/>
      <c r="Y1267" s="870"/>
      <c r="Z1267" s="870"/>
      <c r="AA1267" s="870"/>
      <c r="AB1267" s="870"/>
      <c r="AC1267" s="870"/>
      <c r="AD1267" s="870"/>
      <c r="AE1267" s="870"/>
      <c r="AF1267" s="870"/>
      <c r="AG1267" s="870"/>
    </row>
    <row r="1268" spans="1:33" s="995" customFormat="1">
      <c r="A1268" s="974"/>
      <c r="D1268" s="876"/>
      <c r="E1268" s="974"/>
      <c r="F1268" s="876"/>
      <c r="G1268" s="876"/>
      <c r="H1268" s="876"/>
      <c r="I1268" s="876"/>
      <c r="J1268" s="876"/>
      <c r="K1268" s="876"/>
      <c r="L1268" s="876"/>
      <c r="M1268" s="876"/>
      <c r="N1268" s="876"/>
      <c r="O1268" s="876"/>
      <c r="P1268" s="876"/>
      <c r="Q1268" s="870"/>
      <c r="R1268" s="870"/>
      <c r="S1268" s="870"/>
      <c r="T1268" s="870"/>
      <c r="U1268" s="870"/>
      <c r="V1268" s="870"/>
      <c r="W1268" s="870"/>
      <c r="X1268" s="870"/>
      <c r="Y1268" s="870"/>
      <c r="Z1268" s="870"/>
      <c r="AA1268" s="870"/>
      <c r="AB1268" s="870"/>
      <c r="AC1268" s="870"/>
      <c r="AD1268" s="870"/>
      <c r="AE1268" s="870"/>
      <c r="AF1268" s="870"/>
      <c r="AG1268" s="870"/>
    </row>
    <row r="1269" spans="1:33" s="995" customFormat="1">
      <c r="A1269" s="974"/>
      <c r="D1269" s="876"/>
      <c r="E1269" s="974"/>
      <c r="F1269" s="876"/>
      <c r="G1269" s="876"/>
      <c r="H1269" s="876"/>
      <c r="I1269" s="876"/>
      <c r="J1269" s="876"/>
      <c r="K1269" s="876"/>
      <c r="L1269" s="876"/>
      <c r="M1269" s="876"/>
      <c r="N1269" s="876"/>
      <c r="O1269" s="876"/>
      <c r="P1269" s="876"/>
      <c r="Q1269" s="870"/>
      <c r="R1269" s="870"/>
      <c r="S1269" s="870"/>
      <c r="T1269" s="870"/>
      <c r="U1269" s="870"/>
      <c r="V1269" s="870"/>
      <c r="W1269" s="870"/>
      <c r="X1269" s="870"/>
      <c r="Y1269" s="870"/>
      <c r="Z1269" s="870"/>
      <c r="AA1269" s="870"/>
      <c r="AB1269" s="870"/>
      <c r="AC1269" s="870"/>
      <c r="AD1269" s="870"/>
      <c r="AE1269" s="870"/>
      <c r="AF1269" s="870"/>
      <c r="AG1269" s="870"/>
    </row>
    <row r="1270" spans="1:33" s="995" customFormat="1">
      <c r="A1270" s="974"/>
      <c r="D1270" s="876"/>
      <c r="E1270" s="974"/>
      <c r="F1270" s="876"/>
      <c r="G1270" s="876"/>
      <c r="H1270" s="876"/>
      <c r="I1270" s="876"/>
      <c r="J1270" s="876"/>
      <c r="K1270" s="876"/>
      <c r="L1270" s="876"/>
      <c r="M1270" s="876"/>
      <c r="N1270" s="876"/>
      <c r="O1270" s="876"/>
      <c r="P1270" s="876"/>
      <c r="Q1270" s="870"/>
      <c r="R1270" s="870"/>
      <c r="S1270" s="870"/>
      <c r="T1270" s="870"/>
      <c r="U1270" s="870"/>
      <c r="V1270" s="870"/>
      <c r="W1270" s="870"/>
      <c r="X1270" s="870"/>
      <c r="Y1270" s="870"/>
      <c r="Z1270" s="870"/>
      <c r="AA1270" s="870"/>
      <c r="AB1270" s="870"/>
      <c r="AC1270" s="870"/>
      <c r="AD1270" s="870"/>
      <c r="AE1270" s="870"/>
      <c r="AF1270" s="870"/>
      <c r="AG1270" s="870"/>
    </row>
    <row r="1271" spans="1:33" s="995" customFormat="1">
      <c r="A1271" s="974"/>
      <c r="D1271" s="876"/>
      <c r="E1271" s="974"/>
      <c r="F1271" s="876"/>
      <c r="G1271" s="876"/>
      <c r="H1271" s="876"/>
      <c r="I1271" s="876"/>
      <c r="J1271" s="876"/>
      <c r="K1271" s="876"/>
      <c r="L1271" s="876"/>
      <c r="M1271" s="876"/>
      <c r="N1271" s="876"/>
      <c r="O1271" s="876"/>
      <c r="P1271" s="876"/>
      <c r="Q1271" s="870"/>
      <c r="R1271" s="870"/>
      <c r="S1271" s="870"/>
      <c r="T1271" s="870"/>
      <c r="U1271" s="870"/>
      <c r="V1271" s="870"/>
      <c r="W1271" s="870"/>
      <c r="X1271" s="870"/>
      <c r="Y1271" s="870"/>
      <c r="Z1271" s="870"/>
      <c r="AA1271" s="870"/>
      <c r="AB1271" s="870"/>
      <c r="AC1271" s="870"/>
      <c r="AD1271" s="870"/>
      <c r="AE1271" s="870"/>
      <c r="AF1271" s="870"/>
      <c r="AG1271" s="870"/>
    </row>
    <row r="1272" spans="1:33" s="995" customFormat="1">
      <c r="A1272" s="974"/>
      <c r="D1272" s="876"/>
      <c r="E1272" s="974"/>
      <c r="F1272" s="876"/>
      <c r="G1272" s="876"/>
      <c r="H1272" s="876"/>
      <c r="I1272" s="876"/>
      <c r="J1272" s="876"/>
      <c r="K1272" s="876"/>
      <c r="L1272" s="876"/>
      <c r="M1272" s="876"/>
      <c r="N1272" s="876"/>
      <c r="O1272" s="876"/>
      <c r="P1272" s="876"/>
      <c r="Q1272" s="870"/>
      <c r="R1272" s="870"/>
      <c r="S1272" s="870"/>
      <c r="T1272" s="870"/>
      <c r="U1272" s="870"/>
      <c r="V1272" s="870"/>
      <c r="W1272" s="870"/>
      <c r="X1272" s="870"/>
      <c r="Y1272" s="870"/>
      <c r="Z1272" s="870"/>
      <c r="AA1272" s="870"/>
      <c r="AB1272" s="870"/>
      <c r="AC1272" s="870"/>
      <c r="AD1272" s="870"/>
      <c r="AE1272" s="870"/>
      <c r="AF1272" s="870"/>
      <c r="AG1272" s="870"/>
    </row>
    <row r="1273" spans="1:33" s="995" customFormat="1">
      <c r="A1273" s="974"/>
      <c r="D1273" s="876"/>
      <c r="E1273" s="974"/>
      <c r="F1273" s="876"/>
      <c r="G1273" s="876"/>
      <c r="H1273" s="876"/>
      <c r="I1273" s="876"/>
      <c r="J1273" s="876"/>
      <c r="K1273" s="876"/>
      <c r="L1273" s="876"/>
      <c r="M1273" s="876"/>
      <c r="N1273" s="876"/>
      <c r="O1273" s="876"/>
      <c r="P1273" s="876"/>
      <c r="Q1273" s="870"/>
      <c r="R1273" s="870"/>
      <c r="S1273" s="870"/>
      <c r="T1273" s="870"/>
      <c r="U1273" s="870"/>
      <c r="V1273" s="870"/>
      <c r="W1273" s="870"/>
      <c r="X1273" s="870"/>
      <c r="Y1273" s="870"/>
      <c r="Z1273" s="870"/>
      <c r="AA1273" s="870"/>
      <c r="AB1273" s="870"/>
      <c r="AC1273" s="870"/>
      <c r="AD1273" s="870"/>
      <c r="AE1273" s="870"/>
      <c r="AF1273" s="870"/>
      <c r="AG1273" s="870"/>
    </row>
    <row r="1274" spans="1:33" s="995" customFormat="1">
      <c r="A1274" s="974"/>
      <c r="D1274" s="876"/>
      <c r="E1274" s="974"/>
      <c r="F1274" s="876"/>
      <c r="G1274" s="876"/>
      <c r="H1274" s="876"/>
      <c r="I1274" s="876"/>
      <c r="J1274" s="876"/>
      <c r="K1274" s="876"/>
      <c r="L1274" s="876"/>
      <c r="M1274" s="876"/>
      <c r="N1274" s="876"/>
      <c r="O1274" s="876"/>
      <c r="P1274" s="876"/>
      <c r="Q1274" s="870"/>
      <c r="R1274" s="870"/>
      <c r="S1274" s="870"/>
      <c r="T1274" s="870"/>
      <c r="U1274" s="870"/>
      <c r="V1274" s="870"/>
      <c r="W1274" s="870"/>
      <c r="X1274" s="870"/>
      <c r="Y1274" s="870"/>
      <c r="Z1274" s="870"/>
      <c r="AA1274" s="870"/>
      <c r="AB1274" s="870"/>
      <c r="AC1274" s="870"/>
      <c r="AD1274" s="870"/>
      <c r="AE1274" s="870"/>
      <c r="AF1274" s="870"/>
      <c r="AG1274" s="870"/>
    </row>
    <row r="1275" spans="1:33" s="995" customFormat="1">
      <c r="A1275" s="974"/>
      <c r="D1275" s="876"/>
      <c r="E1275" s="974"/>
      <c r="F1275" s="876"/>
      <c r="G1275" s="876"/>
      <c r="H1275" s="876"/>
      <c r="I1275" s="876"/>
      <c r="J1275" s="876"/>
      <c r="K1275" s="876"/>
      <c r="L1275" s="876"/>
      <c r="M1275" s="876"/>
      <c r="N1275" s="876"/>
      <c r="O1275" s="876"/>
      <c r="P1275" s="876"/>
      <c r="Q1275" s="870"/>
      <c r="R1275" s="870"/>
      <c r="S1275" s="870"/>
      <c r="T1275" s="870"/>
      <c r="U1275" s="870"/>
      <c r="V1275" s="870"/>
      <c r="W1275" s="870"/>
      <c r="X1275" s="870"/>
      <c r="Y1275" s="870"/>
      <c r="Z1275" s="870"/>
      <c r="AA1275" s="870"/>
      <c r="AB1275" s="870"/>
      <c r="AC1275" s="870"/>
      <c r="AD1275" s="870"/>
      <c r="AE1275" s="870"/>
      <c r="AF1275" s="870"/>
      <c r="AG1275" s="870"/>
    </row>
    <row r="1276" spans="1:33" s="995" customFormat="1">
      <c r="A1276" s="974"/>
      <c r="D1276" s="876"/>
      <c r="E1276" s="974"/>
      <c r="F1276" s="876"/>
      <c r="G1276" s="876"/>
      <c r="H1276" s="876"/>
      <c r="I1276" s="876"/>
      <c r="J1276" s="876"/>
      <c r="K1276" s="876"/>
      <c r="L1276" s="876"/>
      <c r="M1276" s="876"/>
      <c r="N1276" s="876"/>
      <c r="O1276" s="876"/>
      <c r="P1276" s="876"/>
      <c r="Q1276" s="870"/>
      <c r="R1276" s="870"/>
      <c r="S1276" s="870"/>
      <c r="T1276" s="870"/>
      <c r="U1276" s="870"/>
      <c r="V1276" s="870"/>
      <c r="W1276" s="870"/>
      <c r="X1276" s="870"/>
      <c r="Y1276" s="870"/>
      <c r="Z1276" s="870"/>
      <c r="AA1276" s="870"/>
      <c r="AB1276" s="870"/>
      <c r="AC1276" s="870"/>
      <c r="AD1276" s="870"/>
      <c r="AE1276" s="870"/>
      <c r="AF1276" s="870"/>
      <c r="AG1276" s="870"/>
    </row>
    <row r="1277" spans="1:33" s="995" customFormat="1">
      <c r="A1277" s="974"/>
      <c r="D1277" s="876"/>
      <c r="E1277" s="974"/>
      <c r="F1277" s="876"/>
      <c r="G1277" s="876"/>
      <c r="H1277" s="876"/>
      <c r="I1277" s="876"/>
      <c r="J1277" s="876"/>
      <c r="K1277" s="876"/>
      <c r="L1277" s="876"/>
      <c r="M1277" s="876"/>
      <c r="N1277" s="876"/>
      <c r="O1277" s="876"/>
      <c r="P1277" s="876"/>
      <c r="Q1277" s="870"/>
      <c r="R1277" s="870"/>
      <c r="S1277" s="870"/>
      <c r="T1277" s="870"/>
      <c r="U1277" s="870"/>
      <c r="V1277" s="870"/>
      <c r="W1277" s="870"/>
      <c r="X1277" s="870"/>
      <c r="Y1277" s="870"/>
      <c r="Z1277" s="870"/>
      <c r="AA1277" s="870"/>
      <c r="AB1277" s="870"/>
      <c r="AC1277" s="870"/>
      <c r="AD1277" s="870"/>
      <c r="AE1277" s="870"/>
      <c r="AF1277" s="870"/>
      <c r="AG1277" s="870"/>
    </row>
    <row r="1278" spans="1:33" s="995" customFormat="1">
      <c r="A1278" s="974"/>
      <c r="D1278" s="876"/>
      <c r="E1278" s="974"/>
      <c r="F1278" s="876"/>
      <c r="G1278" s="876"/>
      <c r="H1278" s="876"/>
      <c r="I1278" s="876"/>
      <c r="J1278" s="876"/>
      <c r="K1278" s="876"/>
      <c r="L1278" s="876"/>
      <c r="M1278" s="876"/>
      <c r="N1278" s="876"/>
      <c r="O1278" s="876"/>
      <c r="P1278" s="876"/>
      <c r="Q1278" s="870"/>
      <c r="R1278" s="870"/>
      <c r="S1278" s="870"/>
      <c r="T1278" s="870"/>
      <c r="U1278" s="870"/>
      <c r="V1278" s="870"/>
      <c r="W1278" s="870"/>
      <c r="X1278" s="870"/>
      <c r="Y1278" s="870"/>
      <c r="Z1278" s="870"/>
      <c r="AA1278" s="870"/>
      <c r="AB1278" s="870"/>
      <c r="AC1278" s="870"/>
      <c r="AD1278" s="870"/>
      <c r="AE1278" s="870"/>
      <c r="AF1278" s="870"/>
      <c r="AG1278" s="870"/>
    </row>
    <row r="1279" spans="1:33" s="995" customFormat="1">
      <c r="A1279" s="974"/>
      <c r="D1279" s="876"/>
      <c r="E1279" s="974"/>
      <c r="F1279" s="876"/>
      <c r="G1279" s="876"/>
      <c r="H1279" s="876"/>
      <c r="I1279" s="876"/>
      <c r="J1279" s="876"/>
      <c r="K1279" s="876"/>
      <c r="L1279" s="876"/>
      <c r="M1279" s="876"/>
      <c r="N1279" s="876"/>
      <c r="O1279" s="876"/>
      <c r="P1279" s="876"/>
      <c r="Q1279" s="870"/>
      <c r="R1279" s="870"/>
      <c r="S1279" s="870"/>
      <c r="T1279" s="870"/>
      <c r="U1279" s="870"/>
      <c r="V1279" s="870"/>
      <c r="W1279" s="870"/>
      <c r="X1279" s="870"/>
      <c r="Y1279" s="870"/>
      <c r="Z1279" s="870"/>
      <c r="AA1279" s="870"/>
      <c r="AB1279" s="870"/>
      <c r="AC1279" s="870"/>
      <c r="AD1279" s="870"/>
      <c r="AE1279" s="870"/>
      <c r="AF1279" s="870"/>
      <c r="AG1279" s="870"/>
    </row>
    <row r="1280" spans="1:33" s="995" customFormat="1">
      <c r="A1280" s="974"/>
      <c r="D1280" s="876"/>
      <c r="E1280" s="974"/>
      <c r="F1280" s="876"/>
      <c r="G1280" s="876"/>
      <c r="H1280" s="876"/>
      <c r="I1280" s="876"/>
      <c r="J1280" s="876"/>
      <c r="K1280" s="876"/>
      <c r="L1280" s="876"/>
      <c r="M1280" s="876"/>
      <c r="N1280" s="876"/>
      <c r="O1280" s="876"/>
      <c r="P1280" s="876"/>
      <c r="Q1280" s="870"/>
      <c r="R1280" s="870"/>
      <c r="S1280" s="870"/>
      <c r="T1280" s="870"/>
      <c r="U1280" s="870"/>
      <c r="V1280" s="870"/>
      <c r="W1280" s="870"/>
      <c r="X1280" s="870"/>
      <c r="Y1280" s="870"/>
      <c r="Z1280" s="870"/>
      <c r="AA1280" s="870"/>
      <c r="AB1280" s="870"/>
      <c r="AC1280" s="870"/>
      <c r="AD1280" s="870"/>
      <c r="AE1280" s="870"/>
      <c r="AF1280" s="870"/>
      <c r="AG1280" s="870"/>
    </row>
    <row r="1281" spans="1:33" s="995" customFormat="1">
      <c r="A1281" s="974"/>
      <c r="D1281" s="876"/>
      <c r="E1281" s="974"/>
      <c r="F1281" s="876"/>
      <c r="G1281" s="876"/>
      <c r="H1281" s="876"/>
      <c r="I1281" s="876"/>
      <c r="J1281" s="876"/>
      <c r="K1281" s="876"/>
      <c r="L1281" s="876"/>
      <c r="M1281" s="876"/>
      <c r="N1281" s="876"/>
      <c r="O1281" s="876"/>
      <c r="P1281" s="876"/>
      <c r="Q1281" s="870"/>
      <c r="R1281" s="870"/>
      <c r="S1281" s="870"/>
      <c r="T1281" s="870"/>
      <c r="U1281" s="870"/>
      <c r="V1281" s="870"/>
      <c r="W1281" s="870"/>
      <c r="X1281" s="870"/>
      <c r="Y1281" s="870"/>
      <c r="Z1281" s="870"/>
      <c r="AA1281" s="870"/>
      <c r="AB1281" s="870"/>
      <c r="AC1281" s="870"/>
      <c r="AD1281" s="870"/>
      <c r="AE1281" s="870"/>
      <c r="AF1281" s="870"/>
      <c r="AG1281" s="870"/>
    </row>
    <row r="1282" spans="1:33" s="995" customFormat="1">
      <c r="A1282" s="974"/>
      <c r="D1282" s="876"/>
      <c r="E1282" s="974"/>
      <c r="F1282" s="876"/>
      <c r="G1282" s="876"/>
      <c r="H1282" s="876"/>
      <c r="I1282" s="876"/>
      <c r="J1282" s="876"/>
      <c r="K1282" s="876"/>
      <c r="L1282" s="876"/>
      <c r="M1282" s="876"/>
      <c r="N1282" s="876"/>
      <c r="O1282" s="876"/>
      <c r="P1282" s="876"/>
      <c r="Q1282" s="870"/>
      <c r="R1282" s="870"/>
      <c r="S1282" s="870"/>
      <c r="T1282" s="870"/>
      <c r="U1282" s="870"/>
      <c r="V1282" s="870"/>
      <c r="W1282" s="870"/>
      <c r="X1282" s="870"/>
      <c r="Y1282" s="870"/>
      <c r="Z1282" s="870"/>
      <c r="AA1282" s="870"/>
      <c r="AB1282" s="870"/>
      <c r="AC1282" s="870"/>
      <c r="AD1282" s="870"/>
      <c r="AE1282" s="870"/>
      <c r="AF1282" s="870"/>
      <c r="AG1282" s="870"/>
    </row>
    <row r="1283" spans="1:33" s="995" customFormat="1">
      <c r="A1283" s="974"/>
      <c r="D1283" s="876"/>
      <c r="E1283" s="974"/>
      <c r="F1283" s="876"/>
      <c r="G1283" s="876"/>
      <c r="H1283" s="876"/>
      <c r="I1283" s="876"/>
      <c r="J1283" s="876"/>
      <c r="K1283" s="876"/>
      <c r="L1283" s="876"/>
      <c r="M1283" s="876"/>
      <c r="N1283" s="876"/>
      <c r="O1283" s="876"/>
      <c r="P1283" s="876"/>
      <c r="Q1283" s="870"/>
      <c r="R1283" s="870"/>
      <c r="S1283" s="870"/>
      <c r="T1283" s="870"/>
      <c r="U1283" s="870"/>
      <c r="V1283" s="870"/>
      <c r="W1283" s="870"/>
      <c r="X1283" s="870"/>
      <c r="Y1283" s="870"/>
      <c r="Z1283" s="870"/>
      <c r="AA1283" s="870"/>
      <c r="AB1283" s="870"/>
      <c r="AC1283" s="870"/>
      <c r="AD1283" s="870"/>
      <c r="AE1283" s="870"/>
      <c r="AF1283" s="870"/>
      <c r="AG1283" s="870"/>
    </row>
    <row r="1284" spans="1:33" s="995" customFormat="1">
      <c r="A1284" s="974"/>
      <c r="D1284" s="876"/>
      <c r="E1284" s="974"/>
      <c r="F1284" s="876"/>
      <c r="G1284" s="876"/>
      <c r="H1284" s="876"/>
      <c r="I1284" s="876"/>
      <c r="J1284" s="876"/>
      <c r="K1284" s="876"/>
      <c r="L1284" s="876"/>
      <c r="M1284" s="876"/>
      <c r="N1284" s="876"/>
      <c r="O1284" s="876"/>
      <c r="P1284" s="876"/>
      <c r="Q1284" s="870"/>
      <c r="R1284" s="870"/>
      <c r="S1284" s="870"/>
      <c r="T1284" s="870"/>
      <c r="U1284" s="870"/>
      <c r="V1284" s="870"/>
      <c r="W1284" s="870"/>
      <c r="X1284" s="870"/>
      <c r="Y1284" s="870"/>
      <c r="Z1284" s="870"/>
      <c r="AA1284" s="870"/>
      <c r="AB1284" s="870"/>
      <c r="AC1284" s="870"/>
      <c r="AD1284" s="870"/>
      <c r="AE1284" s="870"/>
      <c r="AF1284" s="870"/>
      <c r="AG1284" s="870"/>
    </row>
    <row r="1285" spans="1:33" s="995" customFormat="1">
      <c r="A1285" s="974"/>
      <c r="D1285" s="876"/>
      <c r="E1285" s="974"/>
      <c r="F1285" s="876"/>
      <c r="G1285" s="876"/>
      <c r="H1285" s="876"/>
      <c r="I1285" s="876"/>
      <c r="J1285" s="876"/>
      <c r="K1285" s="876"/>
      <c r="L1285" s="876"/>
      <c r="M1285" s="876"/>
      <c r="N1285" s="876"/>
      <c r="O1285" s="876"/>
      <c r="P1285" s="876"/>
      <c r="Q1285" s="870"/>
      <c r="R1285" s="870"/>
      <c r="S1285" s="870"/>
      <c r="T1285" s="870"/>
      <c r="U1285" s="870"/>
      <c r="V1285" s="870"/>
      <c r="W1285" s="870"/>
      <c r="X1285" s="870"/>
      <c r="Y1285" s="870"/>
      <c r="Z1285" s="870"/>
      <c r="AA1285" s="870"/>
      <c r="AB1285" s="870"/>
      <c r="AC1285" s="870"/>
      <c r="AD1285" s="870"/>
      <c r="AE1285" s="870"/>
      <c r="AF1285" s="870"/>
      <c r="AG1285" s="870"/>
    </row>
    <row r="1286" spans="1:33" s="995" customFormat="1">
      <c r="A1286" s="974"/>
      <c r="D1286" s="876"/>
      <c r="E1286" s="974"/>
      <c r="F1286" s="876"/>
      <c r="G1286" s="876"/>
      <c r="H1286" s="876"/>
      <c r="I1286" s="876"/>
      <c r="J1286" s="876"/>
      <c r="K1286" s="876"/>
      <c r="L1286" s="876"/>
      <c r="M1286" s="876"/>
      <c r="N1286" s="876"/>
      <c r="O1286" s="876"/>
      <c r="P1286" s="876"/>
      <c r="Q1286" s="870"/>
      <c r="R1286" s="870"/>
      <c r="S1286" s="870"/>
      <c r="T1286" s="870"/>
      <c r="U1286" s="870"/>
      <c r="V1286" s="870"/>
      <c r="W1286" s="870"/>
      <c r="X1286" s="870"/>
      <c r="Y1286" s="870"/>
      <c r="Z1286" s="870"/>
      <c r="AA1286" s="870"/>
      <c r="AB1286" s="870"/>
      <c r="AC1286" s="870"/>
      <c r="AD1286" s="870"/>
      <c r="AE1286" s="870"/>
      <c r="AF1286" s="870"/>
      <c r="AG1286" s="870"/>
    </row>
    <row r="1287" spans="1:33" s="995" customFormat="1">
      <c r="A1287" s="974"/>
      <c r="D1287" s="876"/>
      <c r="E1287" s="974"/>
      <c r="F1287" s="876"/>
      <c r="G1287" s="876"/>
      <c r="H1287" s="876"/>
      <c r="I1287" s="876"/>
      <c r="J1287" s="876"/>
      <c r="K1287" s="876"/>
      <c r="L1287" s="876"/>
      <c r="M1287" s="876"/>
      <c r="N1287" s="876"/>
      <c r="O1287" s="876"/>
      <c r="P1287" s="876"/>
      <c r="Q1287" s="870"/>
      <c r="R1287" s="870"/>
      <c r="S1287" s="870"/>
      <c r="T1287" s="870"/>
      <c r="U1287" s="870"/>
      <c r="V1287" s="870"/>
      <c r="W1287" s="870"/>
      <c r="X1287" s="870"/>
      <c r="Y1287" s="870"/>
      <c r="Z1287" s="870"/>
      <c r="AA1287" s="870"/>
      <c r="AB1287" s="870"/>
      <c r="AC1287" s="870"/>
      <c r="AD1287" s="870"/>
      <c r="AE1287" s="870"/>
      <c r="AF1287" s="870"/>
      <c r="AG1287" s="870"/>
    </row>
    <row r="1288" spans="1:33" s="995" customFormat="1">
      <c r="A1288" s="974"/>
      <c r="D1288" s="876"/>
      <c r="E1288" s="974"/>
      <c r="F1288" s="876"/>
      <c r="G1288" s="876"/>
      <c r="H1288" s="876"/>
      <c r="I1288" s="876"/>
      <c r="J1288" s="876"/>
      <c r="K1288" s="876"/>
      <c r="L1288" s="876"/>
      <c r="M1288" s="876"/>
      <c r="N1288" s="876"/>
      <c r="O1288" s="876"/>
      <c r="P1288" s="876"/>
      <c r="Q1288" s="870"/>
      <c r="R1288" s="870"/>
      <c r="S1288" s="870"/>
      <c r="T1288" s="870"/>
      <c r="U1288" s="870"/>
      <c r="V1288" s="870"/>
      <c r="W1288" s="870"/>
      <c r="X1288" s="870"/>
      <c r="Y1288" s="870"/>
      <c r="Z1288" s="870"/>
      <c r="AA1288" s="870"/>
      <c r="AB1288" s="870"/>
      <c r="AC1288" s="870"/>
      <c r="AD1288" s="870"/>
      <c r="AE1288" s="870"/>
      <c r="AF1288" s="870"/>
      <c r="AG1288" s="870"/>
    </row>
    <row r="1289" spans="1:33" s="995" customFormat="1">
      <c r="A1289" s="974"/>
      <c r="D1289" s="876"/>
      <c r="E1289" s="974"/>
      <c r="F1289" s="876"/>
      <c r="G1289" s="876"/>
      <c r="H1289" s="876"/>
      <c r="I1289" s="876"/>
      <c r="J1289" s="876"/>
      <c r="K1289" s="876"/>
      <c r="L1289" s="876"/>
      <c r="M1289" s="876"/>
      <c r="N1289" s="876"/>
      <c r="O1289" s="876"/>
      <c r="P1289" s="876"/>
      <c r="Q1289" s="870"/>
      <c r="R1289" s="870"/>
      <c r="S1289" s="870"/>
      <c r="T1289" s="870"/>
      <c r="U1289" s="870"/>
      <c r="V1289" s="870"/>
      <c r="W1289" s="870"/>
      <c r="X1289" s="870"/>
      <c r="Y1289" s="870"/>
      <c r="Z1289" s="870"/>
      <c r="AA1289" s="870"/>
      <c r="AB1289" s="870"/>
      <c r="AC1289" s="870"/>
      <c r="AD1289" s="870"/>
      <c r="AE1289" s="870"/>
      <c r="AF1289" s="870"/>
      <c r="AG1289" s="870"/>
    </row>
    <row r="1290" spans="1:33" s="995" customFormat="1">
      <c r="A1290" s="974"/>
      <c r="D1290" s="876"/>
      <c r="E1290" s="974"/>
      <c r="F1290" s="876"/>
      <c r="G1290" s="876"/>
      <c r="H1290" s="876"/>
      <c r="I1290" s="876"/>
      <c r="J1290" s="876"/>
      <c r="K1290" s="876"/>
      <c r="L1290" s="876"/>
      <c r="M1290" s="876"/>
      <c r="N1290" s="876"/>
      <c r="O1290" s="876"/>
      <c r="P1290" s="876"/>
      <c r="Q1290" s="870"/>
      <c r="R1290" s="870"/>
      <c r="S1290" s="870"/>
      <c r="T1290" s="870"/>
      <c r="U1290" s="870"/>
      <c r="V1290" s="870"/>
      <c r="W1290" s="870"/>
      <c r="X1290" s="870"/>
      <c r="Y1290" s="870"/>
      <c r="Z1290" s="870"/>
      <c r="AA1290" s="870"/>
      <c r="AB1290" s="870"/>
      <c r="AC1290" s="870"/>
      <c r="AD1290" s="870"/>
      <c r="AE1290" s="870"/>
      <c r="AF1290" s="870"/>
      <c r="AG1290" s="870"/>
    </row>
    <row r="1291" spans="1:33" s="995" customFormat="1">
      <c r="A1291" s="974"/>
      <c r="D1291" s="876"/>
      <c r="E1291" s="974"/>
      <c r="F1291" s="876"/>
      <c r="G1291" s="876"/>
      <c r="H1291" s="876"/>
      <c r="I1291" s="876"/>
      <c r="J1291" s="876"/>
      <c r="K1291" s="876"/>
      <c r="L1291" s="876"/>
      <c r="M1291" s="876"/>
      <c r="N1291" s="876"/>
      <c r="O1291" s="876"/>
      <c r="P1291" s="876"/>
      <c r="Q1291" s="870"/>
      <c r="R1291" s="870"/>
      <c r="S1291" s="870"/>
      <c r="T1291" s="870"/>
      <c r="U1291" s="870"/>
      <c r="V1291" s="870"/>
      <c r="W1291" s="870"/>
      <c r="X1291" s="870"/>
      <c r="Y1291" s="870"/>
      <c r="Z1291" s="870"/>
      <c r="AA1291" s="870"/>
      <c r="AB1291" s="870"/>
      <c r="AC1291" s="870"/>
      <c r="AD1291" s="870"/>
      <c r="AE1291" s="870"/>
      <c r="AF1291" s="870"/>
      <c r="AG1291" s="870"/>
    </row>
    <row r="1292" spans="1:33" s="995" customFormat="1">
      <c r="A1292" s="974"/>
      <c r="D1292" s="876"/>
      <c r="E1292" s="974"/>
      <c r="F1292" s="876"/>
      <c r="G1292" s="876"/>
      <c r="H1292" s="876"/>
      <c r="I1292" s="876"/>
      <c r="J1292" s="876"/>
      <c r="K1292" s="876"/>
      <c r="L1292" s="876"/>
      <c r="M1292" s="876"/>
      <c r="N1292" s="876"/>
      <c r="O1292" s="876"/>
      <c r="P1292" s="876"/>
      <c r="Q1292" s="870"/>
      <c r="R1292" s="870"/>
      <c r="S1292" s="870"/>
      <c r="T1292" s="870"/>
      <c r="U1292" s="870"/>
      <c r="V1292" s="870"/>
      <c r="W1292" s="870"/>
      <c r="X1292" s="870"/>
      <c r="Y1292" s="870"/>
      <c r="Z1292" s="870"/>
      <c r="AA1292" s="870"/>
      <c r="AB1292" s="870"/>
      <c r="AC1292" s="870"/>
      <c r="AD1292" s="870"/>
      <c r="AE1292" s="870"/>
      <c r="AF1292" s="870"/>
      <c r="AG1292" s="870"/>
    </row>
    <row r="1293" spans="1:33" s="995" customFormat="1">
      <c r="A1293" s="974"/>
      <c r="D1293" s="876"/>
      <c r="E1293" s="974"/>
      <c r="F1293" s="876"/>
      <c r="G1293" s="876"/>
      <c r="H1293" s="876"/>
      <c r="I1293" s="876"/>
      <c r="J1293" s="876"/>
      <c r="K1293" s="876"/>
      <c r="L1293" s="876"/>
      <c r="M1293" s="876"/>
      <c r="N1293" s="876"/>
      <c r="O1293" s="876"/>
      <c r="P1293" s="876"/>
      <c r="Q1293" s="870"/>
      <c r="R1293" s="870"/>
      <c r="S1293" s="870"/>
      <c r="T1293" s="870"/>
      <c r="U1293" s="870"/>
      <c r="V1293" s="870"/>
      <c r="W1293" s="870"/>
      <c r="X1293" s="870"/>
      <c r="Y1293" s="870"/>
      <c r="Z1293" s="870"/>
      <c r="AA1293" s="870"/>
      <c r="AB1293" s="870"/>
      <c r="AC1293" s="870"/>
      <c r="AD1293" s="870"/>
      <c r="AE1293" s="870"/>
      <c r="AF1293" s="870"/>
      <c r="AG1293" s="870"/>
    </row>
    <row r="1294" spans="1:33" s="995" customFormat="1">
      <c r="A1294" s="974"/>
      <c r="D1294" s="876"/>
      <c r="E1294" s="974"/>
      <c r="F1294" s="876"/>
      <c r="G1294" s="876"/>
      <c r="H1294" s="876"/>
      <c r="I1294" s="876"/>
      <c r="J1294" s="876"/>
      <c r="K1294" s="876"/>
      <c r="L1294" s="876"/>
      <c r="M1294" s="876"/>
      <c r="N1294" s="876"/>
      <c r="O1294" s="876"/>
      <c r="P1294" s="876"/>
      <c r="Q1294" s="870"/>
      <c r="R1294" s="870"/>
      <c r="S1294" s="870"/>
      <c r="T1294" s="870"/>
      <c r="U1294" s="870"/>
      <c r="V1294" s="870"/>
      <c r="W1294" s="870"/>
      <c r="X1294" s="870"/>
      <c r="Y1294" s="870"/>
      <c r="Z1294" s="870"/>
      <c r="AA1294" s="870"/>
      <c r="AB1294" s="870"/>
      <c r="AC1294" s="870"/>
      <c r="AD1294" s="870"/>
      <c r="AE1294" s="870"/>
      <c r="AF1294" s="870"/>
      <c r="AG1294" s="870"/>
    </row>
    <row r="1295" spans="1:33" s="995" customFormat="1">
      <c r="A1295" s="974"/>
      <c r="D1295" s="876"/>
      <c r="E1295" s="974"/>
      <c r="F1295" s="876"/>
      <c r="G1295" s="876"/>
      <c r="H1295" s="876"/>
      <c r="I1295" s="876"/>
      <c r="J1295" s="876"/>
      <c r="K1295" s="876"/>
      <c r="L1295" s="876"/>
      <c r="M1295" s="876"/>
      <c r="N1295" s="876"/>
      <c r="O1295" s="876"/>
      <c r="P1295" s="876"/>
      <c r="Q1295" s="870"/>
      <c r="R1295" s="870"/>
      <c r="S1295" s="870"/>
      <c r="T1295" s="870"/>
      <c r="U1295" s="870"/>
      <c r="V1295" s="870"/>
      <c r="W1295" s="870"/>
      <c r="X1295" s="870"/>
      <c r="Y1295" s="870"/>
      <c r="Z1295" s="870"/>
      <c r="AA1295" s="870"/>
      <c r="AB1295" s="870"/>
      <c r="AC1295" s="870"/>
      <c r="AD1295" s="870"/>
      <c r="AE1295" s="870"/>
      <c r="AF1295" s="870"/>
      <c r="AG1295" s="870"/>
    </row>
    <row r="1296" spans="1:33" s="995" customFormat="1">
      <c r="A1296" s="974"/>
      <c r="D1296" s="876"/>
      <c r="E1296" s="974"/>
      <c r="F1296" s="876"/>
      <c r="G1296" s="876"/>
      <c r="H1296" s="876"/>
      <c r="I1296" s="876"/>
      <c r="J1296" s="876"/>
      <c r="K1296" s="876"/>
      <c r="L1296" s="876"/>
      <c r="M1296" s="876"/>
      <c r="N1296" s="876"/>
      <c r="O1296" s="876"/>
      <c r="P1296" s="876"/>
      <c r="Q1296" s="870"/>
      <c r="R1296" s="870"/>
      <c r="S1296" s="870"/>
      <c r="T1296" s="870"/>
      <c r="U1296" s="870"/>
      <c r="V1296" s="870"/>
      <c r="W1296" s="870"/>
      <c r="X1296" s="870"/>
      <c r="Y1296" s="870"/>
      <c r="Z1296" s="870"/>
      <c r="AA1296" s="870"/>
      <c r="AB1296" s="870"/>
      <c r="AC1296" s="870"/>
      <c r="AD1296" s="870"/>
      <c r="AE1296" s="870"/>
      <c r="AF1296" s="870"/>
      <c r="AG1296" s="870"/>
    </row>
    <row r="1297" spans="1:33" s="995" customFormat="1">
      <c r="A1297" s="974"/>
      <c r="D1297" s="876"/>
      <c r="E1297" s="974"/>
      <c r="F1297" s="876"/>
      <c r="G1297" s="876"/>
      <c r="H1297" s="876"/>
      <c r="I1297" s="876"/>
      <c r="J1297" s="876"/>
      <c r="K1297" s="876"/>
      <c r="L1297" s="876"/>
      <c r="M1297" s="876"/>
      <c r="N1297" s="876"/>
      <c r="O1297" s="876"/>
      <c r="P1297" s="876"/>
      <c r="Q1297" s="870"/>
      <c r="R1297" s="870"/>
      <c r="S1297" s="870"/>
      <c r="T1297" s="870"/>
      <c r="U1297" s="870"/>
      <c r="V1297" s="870"/>
      <c r="W1297" s="870"/>
      <c r="X1297" s="870"/>
      <c r="Y1297" s="870"/>
      <c r="Z1297" s="870"/>
      <c r="AA1297" s="870"/>
      <c r="AB1297" s="870"/>
      <c r="AC1297" s="870"/>
      <c r="AD1297" s="870"/>
      <c r="AE1297" s="870"/>
      <c r="AF1297" s="870"/>
      <c r="AG1297" s="870"/>
    </row>
    <row r="1298" spans="1:33" s="995" customFormat="1">
      <c r="A1298" s="974"/>
      <c r="D1298" s="876"/>
      <c r="E1298" s="974"/>
      <c r="F1298" s="876"/>
      <c r="G1298" s="876"/>
      <c r="H1298" s="876"/>
      <c r="I1298" s="876"/>
      <c r="J1298" s="876"/>
      <c r="K1298" s="876"/>
      <c r="L1298" s="876"/>
      <c r="M1298" s="876"/>
      <c r="N1298" s="876"/>
      <c r="O1298" s="876"/>
      <c r="P1298" s="876"/>
      <c r="Q1298" s="870"/>
      <c r="R1298" s="870"/>
      <c r="S1298" s="870"/>
      <c r="T1298" s="870"/>
      <c r="U1298" s="870"/>
      <c r="V1298" s="870"/>
      <c r="W1298" s="870"/>
      <c r="X1298" s="870"/>
      <c r="Y1298" s="870"/>
      <c r="Z1298" s="870"/>
      <c r="AA1298" s="870"/>
      <c r="AB1298" s="870"/>
      <c r="AC1298" s="870"/>
      <c r="AD1298" s="870"/>
      <c r="AE1298" s="870"/>
      <c r="AF1298" s="870"/>
      <c r="AG1298" s="870"/>
    </row>
    <row r="1299" spans="1:33" s="995" customFormat="1">
      <c r="A1299" s="974"/>
      <c r="D1299" s="876"/>
      <c r="E1299" s="974"/>
      <c r="F1299" s="876"/>
      <c r="G1299" s="876"/>
      <c r="H1299" s="876"/>
      <c r="I1299" s="876"/>
      <c r="J1299" s="876"/>
      <c r="K1299" s="876"/>
      <c r="L1299" s="876"/>
      <c r="M1299" s="876"/>
      <c r="N1299" s="876"/>
      <c r="O1299" s="876"/>
      <c r="P1299" s="876"/>
      <c r="Q1299" s="870"/>
      <c r="R1299" s="870"/>
      <c r="S1299" s="870"/>
      <c r="T1299" s="870"/>
      <c r="U1299" s="870"/>
      <c r="V1299" s="870"/>
      <c r="W1299" s="870"/>
      <c r="X1299" s="870"/>
      <c r="Y1299" s="870"/>
      <c r="Z1299" s="870"/>
      <c r="AA1299" s="870"/>
      <c r="AB1299" s="870"/>
      <c r="AC1299" s="870"/>
      <c r="AD1299" s="870"/>
      <c r="AE1299" s="870"/>
      <c r="AF1299" s="870"/>
      <c r="AG1299" s="870"/>
    </row>
    <row r="1300" spans="1:33" s="995" customFormat="1">
      <c r="A1300" s="974"/>
      <c r="D1300" s="876"/>
      <c r="E1300" s="974"/>
      <c r="F1300" s="876"/>
      <c r="G1300" s="876"/>
      <c r="H1300" s="876"/>
      <c r="I1300" s="876"/>
      <c r="J1300" s="876"/>
      <c r="K1300" s="876"/>
      <c r="L1300" s="876"/>
      <c r="M1300" s="876"/>
      <c r="N1300" s="876"/>
      <c r="O1300" s="876"/>
      <c r="P1300" s="876"/>
      <c r="Q1300" s="870"/>
      <c r="R1300" s="870"/>
      <c r="S1300" s="870"/>
      <c r="T1300" s="870"/>
      <c r="U1300" s="870"/>
      <c r="V1300" s="870"/>
      <c r="W1300" s="870"/>
      <c r="X1300" s="870"/>
      <c r="Y1300" s="870"/>
      <c r="Z1300" s="870"/>
      <c r="AA1300" s="870"/>
      <c r="AB1300" s="870"/>
      <c r="AC1300" s="870"/>
      <c r="AD1300" s="870"/>
      <c r="AE1300" s="870"/>
      <c r="AF1300" s="870"/>
      <c r="AG1300" s="870"/>
    </row>
    <row r="1301" spans="1:33" s="995" customFormat="1">
      <c r="A1301" s="974"/>
      <c r="D1301" s="876"/>
      <c r="E1301" s="974"/>
      <c r="F1301" s="876"/>
      <c r="G1301" s="876"/>
      <c r="H1301" s="876"/>
      <c r="I1301" s="876"/>
      <c r="J1301" s="876"/>
      <c r="K1301" s="876"/>
      <c r="L1301" s="876"/>
      <c r="M1301" s="876"/>
      <c r="N1301" s="876"/>
      <c r="O1301" s="876"/>
      <c r="P1301" s="876"/>
      <c r="Q1301" s="870"/>
      <c r="R1301" s="870"/>
      <c r="S1301" s="870"/>
      <c r="T1301" s="870"/>
      <c r="U1301" s="870"/>
      <c r="V1301" s="870"/>
      <c r="W1301" s="870"/>
      <c r="X1301" s="870"/>
      <c r="Y1301" s="870"/>
      <c r="Z1301" s="870"/>
      <c r="AA1301" s="870"/>
      <c r="AB1301" s="870"/>
      <c r="AC1301" s="870"/>
      <c r="AD1301" s="870"/>
      <c r="AE1301" s="870"/>
      <c r="AF1301" s="870"/>
      <c r="AG1301" s="870"/>
    </row>
    <row r="1302" spans="1:33" s="995" customFormat="1">
      <c r="A1302" s="974"/>
      <c r="D1302" s="876"/>
      <c r="E1302" s="974"/>
      <c r="F1302" s="876"/>
      <c r="G1302" s="876"/>
      <c r="H1302" s="876"/>
      <c r="I1302" s="876"/>
      <c r="J1302" s="876"/>
      <c r="K1302" s="876"/>
      <c r="L1302" s="876"/>
      <c r="M1302" s="876"/>
      <c r="N1302" s="876"/>
      <c r="O1302" s="876"/>
      <c r="P1302" s="876"/>
      <c r="Q1302" s="870"/>
      <c r="R1302" s="870"/>
      <c r="S1302" s="870"/>
      <c r="T1302" s="870"/>
      <c r="U1302" s="870"/>
      <c r="V1302" s="870"/>
      <c r="W1302" s="870"/>
      <c r="X1302" s="870"/>
      <c r="Y1302" s="870"/>
      <c r="Z1302" s="870"/>
      <c r="AA1302" s="870"/>
      <c r="AB1302" s="870"/>
      <c r="AC1302" s="870"/>
      <c r="AD1302" s="870"/>
      <c r="AE1302" s="870"/>
      <c r="AF1302" s="870"/>
      <c r="AG1302" s="870"/>
    </row>
    <row r="1303" spans="1:33" s="995" customFormat="1">
      <c r="A1303" s="974"/>
      <c r="D1303" s="876"/>
      <c r="E1303" s="974"/>
      <c r="F1303" s="876"/>
      <c r="G1303" s="876"/>
      <c r="H1303" s="876"/>
      <c r="I1303" s="876"/>
      <c r="J1303" s="876"/>
      <c r="K1303" s="876"/>
      <c r="L1303" s="876"/>
      <c r="M1303" s="876"/>
      <c r="N1303" s="876"/>
      <c r="O1303" s="876"/>
      <c r="P1303" s="876"/>
      <c r="Q1303" s="870"/>
      <c r="R1303" s="870"/>
      <c r="S1303" s="870"/>
      <c r="T1303" s="870"/>
      <c r="U1303" s="870"/>
      <c r="V1303" s="870"/>
      <c r="W1303" s="870"/>
      <c r="X1303" s="870"/>
      <c r="Y1303" s="870"/>
      <c r="Z1303" s="870"/>
      <c r="AA1303" s="870"/>
      <c r="AB1303" s="870"/>
      <c r="AC1303" s="870"/>
      <c r="AD1303" s="870"/>
      <c r="AE1303" s="870"/>
      <c r="AF1303" s="870"/>
      <c r="AG1303" s="870"/>
    </row>
    <row r="1304" spans="1:33" s="995" customFormat="1">
      <c r="A1304" s="974"/>
      <c r="D1304" s="876"/>
      <c r="E1304" s="974"/>
      <c r="F1304" s="876"/>
      <c r="G1304" s="876"/>
      <c r="H1304" s="876"/>
      <c r="I1304" s="876"/>
      <c r="J1304" s="876"/>
      <c r="K1304" s="876"/>
      <c r="L1304" s="876"/>
      <c r="M1304" s="876"/>
      <c r="N1304" s="876"/>
      <c r="O1304" s="876"/>
      <c r="P1304" s="876"/>
      <c r="Q1304" s="870"/>
      <c r="R1304" s="870"/>
      <c r="S1304" s="870"/>
      <c r="T1304" s="870"/>
      <c r="U1304" s="870"/>
      <c r="V1304" s="870"/>
      <c r="W1304" s="870"/>
      <c r="X1304" s="870"/>
      <c r="Y1304" s="870"/>
      <c r="Z1304" s="870"/>
      <c r="AA1304" s="870"/>
      <c r="AB1304" s="870"/>
      <c r="AC1304" s="870"/>
      <c r="AD1304" s="870"/>
      <c r="AE1304" s="870"/>
      <c r="AF1304" s="870"/>
      <c r="AG1304" s="870"/>
    </row>
    <row r="1305" spans="1:33" s="995" customFormat="1">
      <c r="A1305" s="974"/>
      <c r="D1305" s="876"/>
      <c r="E1305" s="974"/>
      <c r="F1305" s="876"/>
      <c r="G1305" s="876"/>
      <c r="H1305" s="876"/>
      <c r="I1305" s="876"/>
      <c r="J1305" s="876"/>
      <c r="K1305" s="876"/>
      <c r="L1305" s="876"/>
      <c r="M1305" s="876"/>
      <c r="N1305" s="876"/>
      <c r="O1305" s="876"/>
      <c r="P1305" s="876"/>
      <c r="Q1305" s="870"/>
      <c r="R1305" s="870"/>
      <c r="S1305" s="870"/>
      <c r="T1305" s="870"/>
      <c r="U1305" s="870"/>
      <c r="V1305" s="870"/>
      <c r="W1305" s="870"/>
      <c r="X1305" s="870"/>
      <c r="Y1305" s="870"/>
      <c r="Z1305" s="870"/>
      <c r="AA1305" s="870"/>
      <c r="AB1305" s="870"/>
      <c r="AC1305" s="870"/>
      <c r="AD1305" s="870"/>
      <c r="AE1305" s="870"/>
      <c r="AF1305" s="870"/>
      <c r="AG1305" s="870"/>
    </row>
    <row r="1306" spans="1:33" s="995" customFormat="1">
      <c r="A1306" s="974"/>
      <c r="D1306" s="876"/>
      <c r="E1306" s="974"/>
      <c r="F1306" s="876"/>
      <c r="G1306" s="876"/>
      <c r="H1306" s="876"/>
      <c r="I1306" s="876"/>
      <c r="J1306" s="876"/>
      <c r="K1306" s="876"/>
      <c r="L1306" s="876"/>
      <c r="M1306" s="876"/>
      <c r="N1306" s="876"/>
      <c r="O1306" s="876"/>
      <c r="P1306" s="876"/>
      <c r="Q1306" s="870"/>
      <c r="R1306" s="870"/>
      <c r="S1306" s="870"/>
      <c r="T1306" s="870"/>
      <c r="U1306" s="870"/>
      <c r="V1306" s="870"/>
      <c r="W1306" s="870"/>
      <c r="X1306" s="870"/>
      <c r="Y1306" s="870"/>
      <c r="Z1306" s="870"/>
      <c r="AA1306" s="870"/>
      <c r="AB1306" s="870"/>
      <c r="AC1306" s="870"/>
      <c r="AD1306" s="870"/>
      <c r="AE1306" s="870"/>
      <c r="AF1306" s="870"/>
      <c r="AG1306" s="870"/>
    </row>
    <row r="1307" spans="1:33" s="995" customFormat="1">
      <c r="A1307" s="974"/>
      <c r="D1307" s="876"/>
      <c r="E1307" s="974"/>
      <c r="F1307" s="876"/>
      <c r="G1307" s="876"/>
      <c r="H1307" s="876"/>
      <c r="I1307" s="876"/>
      <c r="J1307" s="876"/>
      <c r="K1307" s="876"/>
      <c r="L1307" s="876"/>
      <c r="M1307" s="876"/>
      <c r="N1307" s="876"/>
      <c r="O1307" s="876"/>
      <c r="P1307" s="876"/>
      <c r="Q1307" s="870"/>
      <c r="R1307" s="870"/>
      <c r="S1307" s="870"/>
      <c r="T1307" s="870"/>
      <c r="U1307" s="870"/>
      <c r="V1307" s="870"/>
      <c r="W1307" s="870"/>
      <c r="X1307" s="870"/>
      <c r="Y1307" s="870"/>
      <c r="Z1307" s="870"/>
      <c r="AA1307" s="870"/>
      <c r="AB1307" s="870"/>
      <c r="AC1307" s="870"/>
      <c r="AD1307" s="870"/>
      <c r="AE1307" s="870"/>
      <c r="AF1307" s="870"/>
      <c r="AG1307" s="870"/>
    </row>
    <row r="1308" spans="1:33" s="995" customFormat="1">
      <c r="A1308" s="974"/>
      <c r="D1308" s="876"/>
      <c r="E1308" s="974"/>
      <c r="F1308" s="876"/>
      <c r="G1308" s="876"/>
      <c r="H1308" s="876"/>
      <c r="I1308" s="876"/>
      <c r="J1308" s="876"/>
      <c r="K1308" s="876"/>
      <c r="L1308" s="876"/>
      <c r="M1308" s="876"/>
      <c r="N1308" s="876"/>
      <c r="O1308" s="876"/>
      <c r="P1308" s="876"/>
      <c r="Q1308" s="870"/>
      <c r="R1308" s="870"/>
      <c r="S1308" s="870"/>
      <c r="T1308" s="870"/>
      <c r="U1308" s="870"/>
      <c r="V1308" s="870"/>
      <c r="W1308" s="870"/>
      <c r="X1308" s="870"/>
      <c r="Y1308" s="870"/>
      <c r="Z1308" s="870"/>
      <c r="AA1308" s="870"/>
      <c r="AB1308" s="870"/>
      <c r="AC1308" s="870"/>
      <c r="AD1308" s="870"/>
      <c r="AE1308" s="870"/>
      <c r="AF1308" s="870"/>
      <c r="AG1308" s="870"/>
    </row>
    <row r="1309" spans="1:33" s="995" customFormat="1">
      <c r="A1309" s="974"/>
      <c r="D1309" s="876"/>
      <c r="E1309" s="974"/>
      <c r="F1309" s="876"/>
      <c r="G1309" s="876"/>
      <c r="H1309" s="876"/>
      <c r="I1309" s="876"/>
      <c r="J1309" s="876"/>
      <c r="K1309" s="876"/>
      <c r="L1309" s="876"/>
      <c r="M1309" s="876"/>
      <c r="N1309" s="876"/>
      <c r="O1309" s="876"/>
      <c r="P1309" s="876"/>
      <c r="Q1309" s="870"/>
      <c r="R1309" s="870"/>
      <c r="S1309" s="870"/>
      <c r="T1309" s="870"/>
      <c r="U1309" s="870"/>
      <c r="V1309" s="870"/>
      <c r="W1309" s="870"/>
      <c r="X1309" s="870"/>
      <c r="Y1309" s="870"/>
      <c r="Z1309" s="870"/>
      <c r="AA1309" s="870"/>
      <c r="AB1309" s="870"/>
      <c r="AC1309" s="870"/>
      <c r="AD1309" s="870"/>
      <c r="AE1309" s="870"/>
      <c r="AF1309" s="870"/>
      <c r="AG1309" s="870"/>
    </row>
    <row r="1310" spans="1:33" s="995" customFormat="1">
      <c r="A1310" s="974"/>
      <c r="D1310" s="876"/>
      <c r="E1310" s="974"/>
      <c r="F1310" s="876"/>
      <c r="G1310" s="876"/>
      <c r="H1310" s="876"/>
      <c r="I1310" s="876"/>
      <c r="J1310" s="876"/>
      <c r="K1310" s="876"/>
      <c r="L1310" s="876"/>
      <c r="M1310" s="876"/>
      <c r="N1310" s="876"/>
      <c r="O1310" s="876"/>
      <c r="P1310" s="876"/>
      <c r="Q1310" s="870"/>
      <c r="R1310" s="870"/>
      <c r="S1310" s="870"/>
      <c r="T1310" s="870"/>
      <c r="U1310" s="870"/>
      <c r="V1310" s="870"/>
      <c r="W1310" s="870"/>
      <c r="X1310" s="870"/>
      <c r="Y1310" s="870"/>
      <c r="Z1310" s="870"/>
      <c r="AA1310" s="870"/>
      <c r="AB1310" s="870"/>
      <c r="AC1310" s="870"/>
      <c r="AD1310" s="870"/>
      <c r="AE1310" s="870"/>
      <c r="AF1310" s="870"/>
      <c r="AG1310" s="870"/>
    </row>
    <row r="1311" spans="1:33" s="995" customFormat="1">
      <c r="A1311" s="974"/>
      <c r="D1311" s="876"/>
      <c r="E1311" s="974"/>
      <c r="F1311" s="876"/>
      <c r="G1311" s="876"/>
      <c r="H1311" s="876"/>
      <c r="I1311" s="876"/>
      <c r="J1311" s="876"/>
      <c r="K1311" s="876"/>
      <c r="L1311" s="876"/>
      <c r="M1311" s="876"/>
      <c r="N1311" s="876"/>
      <c r="O1311" s="876"/>
      <c r="P1311" s="876"/>
      <c r="Q1311" s="870"/>
      <c r="R1311" s="870"/>
      <c r="S1311" s="870"/>
      <c r="T1311" s="870"/>
      <c r="U1311" s="870"/>
      <c r="V1311" s="870"/>
      <c r="W1311" s="870"/>
      <c r="X1311" s="870"/>
      <c r="Y1311" s="870"/>
      <c r="Z1311" s="870"/>
      <c r="AA1311" s="870"/>
      <c r="AB1311" s="870"/>
      <c r="AC1311" s="870"/>
      <c r="AD1311" s="870"/>
      <c r="AE1311" s="870"/>
      <c r="AF1311" s="870"/>
      <c r="AG1311" s="870"/>
    </row>
    <row r="1312" spans="1:33" s="995" customFormat="1">
      <c r="A1312" s="974"/>
      <c r="D1312" s="876"/>
      <c r="E1312" s="974"/>
      <c r="F1312" s="876"/>
      <c r="G1312" s="876"/>
      <c r="H1312" s="876"/>
      <c r="I1312" s="876"/>
      <c r="J1312" s="876"/>
      <c r="K1312" s="876"/>
      <c r="L1312" s="876"/>
      <c r="M1312" s="876"/>
      <c r="N1312" s="876"/>
      <c r="O1312" s="876"/>
      <c r="P1312" s="876"/>
      <c r="Q1312" s="870"/>
      <c r="R1312" s="870"/>
      <c r="S1312" s="870"/>
      <c r="T1312" s="870"/>
      <c r="U1312" s="870"/>
      <c r="V1312" s="870"/>
      <c r="W1312" s="870"/>
      <c r="X1312" s="870"/>
      <c r="Y1312" s="870"/>
      <c r="Z1312" s="870"/>
      <c r="AA1312" s="870"/>
      <c r="AB1312" s="870"/>
      <c r="AC1312" s="870"/>
      <c r="AD1312" s="870"/>
      <c r="AE1312" s="870"/>
      <c r="AF1312" s="870"/>
      <c r="AG1312" s="870"/>
    </row>
    <row r="1313" spans="1:33" s="995" customFormat="1">
      <c r="A1313" s="974"/>
      <c r="D1313" s="876"/>
      <c r="E1313" s="974"/>
      <c r="F1313" s="876"/>
      <c r="G1313" s="876"/>
      <c r="H1313" s="876"/>
      <c r="I1313" s="876"/>
      <c r="J1313" s="876"/>
      <c r="K1313" s="876"/>
      <c r="L1313" s="876"/>
      <c r="M1313" s="876"/>
      <c r="N1313" s="876"/>
      <c r="O1313" s="876"/>
      <c r="P1313" s="876"/>
      <c r="Q1313" s="870"/>
      <c r="R1313" s="870"/>
      <c r="S1313" s="870"/>
      <c r="T1313" s="870"/>
      <c r="U1313" s="870"/>
      <c r="V1313" s="870"/>
      <c r="W1313" s="870"/>
      <c r="X1313" s="870"/>
      <c r="Y1313" s="870"/>
      <c r="Z1313" s="870"/>
      <c r="AA1313" s="870"/>
      <c r="AB1313" s="870"/>
      <c r="AC1313" s="870"/>
      <c r="AD1313" s="870"/>
      <c r="AE1313" s="870"/>
      <c r="AF1313" s="870"/>
      <c r="AG1313" s="870"/>
    </row>
    <row r="1314" spans="1:33" s="995" customFormat="1">
      <c r="A1314" s="974"/>
      <c r="D1314" s="876"/>
      <c r="E1314" s="974"/>
      <c r="F1314" s="876"/>
      <c r="G1314" s="876"/>
      <c r="H1314" s="876"/>
      <c r="I1314" s="876"/>
      <c r="J1314" s="876"/>
      <c r="K1314" s="876"/>
      <c r="L1314" s="876"/>
      <c r="M1314" s="876"/>
      <c r="N1314" s="876"/>
      <c r="O1314" s="876"/>
      <c r="P1314" s="876"/>
      <c r="Q1314" s="870"/>
      <c r="R1314" s="870"/>
      <c r="S1314" s="870"/>
      <c r="T1314" s="870"/>
      <c r="U1314" s="870"/>
      <c r="V1314" s="870"/>
      <c r="W1314" s="870"/>
      <c r="X1314" s="870"/>
      <c r="Y1314" s="870"/>
      <c r="Z1314" s="870"/>
      <c r="AA1314" s="870"/>
      <c r="AB1314" s="870"/>
      <c r="AC1314" s="870"/>
      <c r="AD1314" s="870"/>
      <c r="AE1314" s="870"/>
      <c r="AF1314" s="870"/>
      <c r="AG1314" s="870"/>
    </row>
    <row r="1315" spans="1:33" s="995" customFormat="1">
      <c r="A1315" s="974"/>
      <c r="D1315" s="876"/>
      <c r="E1315" s="974"/>
      <c r="F1315" s="876"/>
      <c r="G1315" s="876"/>
      <c r="H1315" s="876"/>
      <c r="I1315" s="876"/>
      <c r="J1315" s="876"/>
      <c r="K1315" s="876"/>
      <c r="L1315" s="876"/>
      <c r="M1315" s="876"/>
      <c r="N1315" s="876"/>
      <c r="O1315" s="876"/>
      <c r="P1315" s="876"/>
      <c r="Q1315" s="870"/>
      <c r="R1315" s="870"/>
      <c r="S1315" s="870"/>
      <c r="T1315" s="870"/>
      <c r="U1315" s="870"/>
      <c r="V1315" s="870"/>
      <c r="W1315" s="870"/>
      <c r="X1315" s="870"/>
      <c r="Y1315" s="870"/>
      <c r="Z1315" s="870"/>
      <c r="AA1315" s="870"/>
      <c r="AB1315" s="870"/>
      <c r="AC1315" s="870"/>
      <c r="AD1315" s="870"/>
      <c r="AE1315" s="870"/>
      <c r="AF1315" s="870"/>
      <c r="AG1315" s="870"/>
    </row>
    <row r="1316" spans="1:33" s="995" customFormat="1">
      <c r="A1316" s="974"/>
      <c r="D1316" s="876"/>
      <c r="E1316" s="974"/>
      <c r="F1316" s="876"/>
      <c r="G1316" s="876"/>
      <c r="H1316" s="876"/>
      <c r="I1316" s="876"/>
      <c r="J1316" s="876"/>
      <c r="K1316" s="876"/>
      <c r="L1316" s="876"/>
      <c r="M1316" s="876"/>
      <c r="N1316" s="876"/>
      <c r="O1316" s="876"/>
      <c r="P1316" s="876"/>
      <c r="Q1316" s="870"/>
      <c r="R1316" s="870"/>
      <c r="S1316" s="870"/>
      <c r="T1316" s="870"/>
      <c r="U1316" s="870"/>
      <c r="V1316" s="870"/>
      <c r="W1316" s="870"/>
      <c r="X1316" s="870"/>
      <c r="Y1316" s="870"/>
      <c r="Z1316" s="870"/>
      <c r="AA1316" s="870"/>
      <c r="AB1316" s="870"/>
      <c r="AC1316" s="870"/>
      <c r="AD1316" s="870"/>
      <c r="AE1316" s="870"/>
      <c r="AF1316" s="870"/>
      <c r="AG1316" s="870"/>
    </row>
    <row r="1317" spans="1:33" s="995" customFormat="1">
      <c r="A1317" s="974"/>
      <c r="D1317" s="876"/>
      <c r="E1317" s="974"/>
      <c r="F1317" s="876"/>
      <c r="G1317" s="876"/>
      <c r="H1317" s="876"/>
      <c r="I1317" s="876"/>
      <c r="J1317" s="876"/>
      <c r="K1317" s="876"/>
      <c r="L1317" s="876"/>
      <c r="M1317" s="876"/>
      <c r="N1317" s="876"/>
      <c r="O1317" s="876"/>
      <c r="P1317" s="876"/>
      <c r="Q1317" s="870"/>
      <c r="R1317" s="870"/>
      <c r="S1317" s="870"/>
      <c r="T1317" s="870"/>
      <c r="U1317" s="870"/>
      <c r="V1317" s="870"/>
      <c r="W1317" s="870"/>
      <c r="X1317" s="870"/>
      <c r="Y1317" s="870"/>
      <c r="Z1317" s="870"/>
      <c r="AA1317" s="870"/>
      <c r="AB1317" s="870"/>
      <c r="AC1317" s="870"/>
      <c r="AD1317" s="870"/>
      <c r="AE1317" s="870"/>
      <c r="AF1317" s="870"/>
      <c r="AG1317" s="870"/>
    </row>
    <row r="1318" spans="1:33" s="995" customFormat="1">
      <c r="A1318" s="974"/>
      <c r="D1318" s="876"/>
      <c r="E1318" s="974"/>
      <c r="F1318" s="876"/>
      <c r="G1318" s="876"/>
      <c r="H1318" s="876"/>
      <c r="I1318" s="876"/>
      <c r="J1318" s="876"/>
      <c r="K1318" s="876"/>
      <c r="L1318" s="876"/>
      <c r="M1318" s="876"/>
      <c r="N1318" s="876"/>
      <c r="O1318" s="876"/>
      <c r="P1318" s="876"/>
      <c r="Q1318" s="870"/>
      <c r="R1318" s="870"/>
      <c r="S1318" s="870"/>
      <c r="T1318" s="870"/>
      <c r="U1318" s="870"/>
      <c r="V1318" s="870"/>
      <c r="W1318" s="870"/>
      <c r="X1318" s="870"/>
      <c r="Y1318" s="870"/>
      <c r="Z1318" s="870"/>
      <c r="AA1318" s="870"/>
      <c r="AB1318" s="870"/>
      <c r="AC1318" s="870"/>
      <c r="AD1318" s="870"/>
      <c r="AE1318" s="870"/>
      <c r="AF1318" s="870"/>
      <c r="AG1318" s="870"/>
    </row>
    <row r="1319" spans="1:33" s="995" customFormat="1">
      <c r="A1319" s="974"/>
      <c r="D1319" s="876"/>
      <c r="E1319" s="974"/>
      <c r="F1319" s="876"/>
      <c r="G1319" s="876"/>
      <c r="H1319" s="876"/>
      <c r="I1319" s="876"/>
      <c r="J1319" s="876"/>
      <c r="K1319" s="876"/>
      <c r="L1319" s="876"/>
      <c r="M1319" s="876"/>
      <c r="N1319" s="876"/>
      <c r="O1319" s="876"/>
      <c r="P1319" s="876"/>
      <c r="Q1319" s="870"/>
      <c r="R1319" s="870"/>
      <c r="S1319" s="870"/>
      <c r="T1319" s="870"/>
      <c r="U1319" s="870"/>
      <c r="V1319" s="870"/>
      <c r="W1319" s="870"/>
      <c r="X1319" s="870"/>
      <c r="Y1319" s="870"/>
      <c r="Z1319" s="870"/>
      <c r="AA1319" s="870"/>
      <c r="AB1319" s="870"/>
      <c r="AC1319" s="870"/>
      <c r="AD1319" s="870"/>
      <c r="AE1319" s="870"/>
      <c r="AF1319" s="870"/>
      <c r="AG1319" s="870"/>
    </row>
    <row r="1320" spans="1:33" s="995" customFormat="1">
      <c r="A1320" s="974"/>
      <c r="D1320" s="876"/>
      <c r="E1320" s="974"/>
      <c r="F1320" s="876"/>
      <c r="G1320" s="876"/>
      <c r="H1320" s="876"/>
      <c r="I1320" s="876"/>
      <c r="J1320" s="876"/>
      <c r="K1320" s="876"/>
      <c r="L1320" s="876"/>
      <c r="M1320" s="876"/>
      <c r="N1320" s="876"/>
      <c r="O1320" s="876"/>
      <c r="P1320" s="876"/>
      <c r="Q1320" s="870"/>
      <c r="R1320" s="870"/>
      <c r="S1320" s="870"/>
      <c r="T1320" s="870"/>
      <c r="U1320" s="870"/>
      <c r="V1320" s="870"/>
      <c r="W1320" s="870"/>
      <c r="X1320" s="870"/>
      <c r="Y1320" s="870"/>
      <c r="Z1320" s="870"/>
      <c r="AA1320" s="870"/>
      <c r="AB1320" s="870"/>
      <c r="AC1320" s="870"/>
      <c r="AD1320" s="870"/>
      <c r="AE1320" s="870"/>
      <c r="AF1320" s="870"/>
      <c r="AG1320" s="870"/>
    </row>
    <row r="1321" spans="1:33" s="995" customFormat="1">
      <c r="A1321" s="974"/>
      <c r="D1321" s="876"/>
      <c r="E1321" s="974"/>
      <c r="F1321" s="876"/>
      <c r="G1321" s="876"/>
      <c r="H1321" s="876"/>
      <c r="I1321" s="876"/>
      <c r="J1321" s="876"/>
      <c r="K1321" s="876"/>
      <c r="L1321" s="876"/>
      <c r="M1321" s="876"/>
      <c r="N1321" s="876"/>
      <c r="O1321" s="876"/>
      <c r="P1321" s="876"/>
      <c r="Q1321" s="870"/>
      <c r="R1321" s="870"/>
      <c r="S1321" s="870"/>
      <c r="T1321" s="870"/>
      <c r="U1321" s="870"/>
      <c r="V1321" s="870"/>
      <c r="W1321" s="870"/>
      <c r="X1321" s="870"/>
      <c r="Y1321" s="870"/>
      <c r="Z1321" s="870"/>
      <c r="AA1321" s="870"/>
      <c r="AB1321" s="870"/>
      <c r="AC1321" s="870"/>
      <c r="AD1321" s="870"/>
      <c r="AE1321" s="870"/>
      <c r="AF1321" s="870"/>
      <c r="AG1321" s="870"/>
    </row>
    <row r="1322" spans="1:33" s="995" customFormat="1">
      <c r="A1322" s="974"/>
      <c r="D1322" s="876"/>
      <c r="E1322" s="974"/>
      <c r="F1322" s="876"/>
      <c r="G1322" s="876"/>
      <c r="H1322" s="876"/>
      <c r="I1322" s="876"/>
      <c r="J1322" s="876"/>
      <c r="K1322" s="876"/>
      <c r="L1322" s="876"/>
      <c r="M1322" s="876"/>
      <c r="N1322" s="876"/>
      <c r="O1322" s="876"/>
      <c r="P1322" s="876"/>
      <c r="Q1322" s="870"/>
      <c r="R1322" s="870"/>
      <c r="S1322" s="870"/>
      <c r="T1322" s="870"/>
      <c r="U1322" s="870"/>
      <c r="V1322" s="870"/>
      <c r="W1322" s="870"/>
      <c r="X1322" s="870"/>
      <c r="Y1322" s="870"/>
      <c r="Z1322" s="870"/>
      <c r="AA1322" s="870"/>
      <c r="AB1322" s="870"/>
      <c r="AC1322" s="870"/>
      <c r="AD1322" s="870"/>
      <c r="AE1322" s="870"/>
      <c r="AF1322" s="870"/>
      <c r="AG1322" s="870"/>
    </row>
    <row r="1323" spans="1:33" s="995" customFormat="1">
      <c r="A1323" s="974"/>
      <c r="D1323" s="876"/>
      <c r="E1323" s="974"/>
      <c r="F1323" s="876"/>
      <c r="G1323" s="876"/>
      <c r="H1323" s="876"/>
      <c r="I1323" s="876"/>
      <c r="J1323" s="876"/>
      <c r="K1323" s="876"/>
      <c r="L1323" s="876"/>
      <c r="M1323" s="876"/>
      <c r="N1323" s="876"/>
      <c r="O1323" s="876"/>
      <c r="P1323" s="876"/>
      <c r="Q1323" s="870"/>
      <c r="R1323" s="870"/>
      <c r="S1323" s="870"/>
      <c r="T1323" s="870"/>
      <c r="U1323" s="870"/>
      <c r="V1323" s="870"/>
      <c r="W1323" s="870"/>
      <c r="X1323" s="870"/>
      <c r="Y1323" s="870"/>
      <c r="Z1323" s="870"/>
      <c r="AA1323" s="870"/>
      <c r="AB1323" s="870"/>
      <c r="AC1323" s="870"/>
      <c r="AD1323" s="870"/>
      <c r="AE1323" s="870"/>
      <c r="AF1323" s="870"/>
      <c r="AG1323" s="870"/>
    </row>
    <row r="1324" spans="1:33" s="995" customFormat="1">
      <c r="A1324" s="974"/>
      <c r="D1324" s="876"/>
      <c r="E1324" s="974"/>
      <c r="F1324" s="876"/>
      <c r="G1324" s="876"/>
      <c r="H1324" s="876"/>
      <c r="I1324" s="876"/>
      <c r="J1324" s="876"/>
      <c r="K1324" s="876"/>
      <c r="L1324" s="876"/>
      <c r="M1324" s="876"/>
      <c r="N1324" s="876"/>
      <c r="O1324" s="876"/>
      <c r="P1324" s="876"/>
      <c r="Q1324" s="870"/>
      <c r="R1324" s="870"/>
      <c r="S1324" s="870"/>
      <c r="T1324" s="870"/>
      <c r="U1324" s="870"/>
      <c r="V1324" s="870"/>
      <c r="W1324" s="870"/>
      <c r="X1324" s="870"/>
      <c r="Y1324" s="870"/>
      <c r="Z1324" s="870"/>
      <c r="AA1324" s="870"/>
      <c r="AB1324" s="870"/>
      <c r="AC1324" s="870"/>
      <c r="AD1324" s="870"/>
      <c r="AE1324" s="870"/>
      <c r="AF1324" s="870"/>
      <c r="AG1324" s="870"/>
    </row>
    <row r="1325" spans="1:33" s="995" customFormat="1">
      <c r="A1325" s="974"/>
      <c r="D1325" s="876"/>
      <c r="E1325" s="974"/>
      <c r="F1325" s="876"/>
      <c r="G1325" s="876"/>
      <c r="H1325" s="876"/>
      <c r="I1325" s="876"/>
      <c r="J1325" s="876"/>
      <c r="K1325" s="876"/>
      <c r="L1325" s="876"/>
      <c r="M1325" s="876"/>
      <c r="N1325" s="876"/>
      <c r="O1325" s="876"/>
      <c r="P1325" s="876"/>
      <c r="Q1325" s="870"/>
      <c r="R1325" s="870"/>
      <c r="S1325" s="870"/>
      <c r="T1325" s="870"/>
      <c r="U1325" s="870"/>
      <c r="V1325" s="870"/>
      <c r="W1325" s="870"/>
      <c r="X1325" s="870"/>
      <c r="Y1325" s="870"/>
      <c r="Z1325" s="870"/>
      <c r="AA1325" s="870"/>
      <c r="AB1325" s="870"/>
      <c r="AC1325" s="870"/>
      <c r="AD1325" s="870"/>
      <c r="AE1325" s="870"/>
      <c r="AF1325" s="870"/>
      <c r="AG1325" s="870"/>
    </row>
    <row r="1326" spans="1:33" s="995" customFormat="1">
      <c r="A1326" s="974"/>
      <c r="D1326" s="876"/>
      <c r="E1326" s="974"/>
      <c r="F1326" s="876"/>
      <c r="G1326" s="876"/>
      <c r="H1326" s="876"/>
      <c r="I1326" s="876"/>
      <c r="J1326" s="876"/>
      <c r="K1326" s="876"/>
      <c r="L1326" s="876"/>
      <c r="M1326" s="876"/>
      <c r="N1326" s="876"/>
      <c r="O1326" s="876"/>
      <c r="P1326" s="876"/>
      <c r="Q1326" s="870"/>
      <c r="R1326" s="870"/>
      <c r="S1326" s="870"/>
      <c r="T1326" s="870"/>
      <c r="U1326" s="870"/>
      <c r="V1326" s="870"/>
      <c r="W1326" s="870"/>
      <c r="X1326" s="870"/>
      <c r="Y1326" s="870"/>
      <c r="Z1326" s="870"/>
      <c r="AA1326" s="870"/>
      <c r="AB1326" s="870"/>
      <c r="AC1326" s="870"/>
      <c r="AD1326" s="870"/>
      <c r="AE1326" s="870"/>
      <c r="AF1326" s="870"/>
      <c r="AG1326" s="870"/>
    </row>
    <row r="1327" spans="1:33" s="995" customFormat="1">
      <c r="A1327" s="974"/>
      <c r="D1327" s="876"/>
      <c r="E1327" s="974"/>
      <c r="F1327" s="876"/>
      <c r="G1327" s="876"/>
      <c r="H1327" s="876"/>
      <c r="I1327" s="876"/>
      <c r="J1327" s="876"/>
      <c r="K1327" s="876"/>
      <c r="L1327" s="876"/>
      <c r="M1327" s="876"/>
      <c r="N1327" s="876"/>
      <c r="O1327" s="876"/>
      <c r="P1327" s="876"/>
      <c r="Q1327" s="870"/>
      <c r="R1327" s="870"/>
      <c r="S1327" s="870"/>
      <c r="T1327" s="870"/>
      <c r="U1327" s="870"/>
      <c r="V1327" s="870"/>
      <c r="W1327" s="870"/>
      <c r="X1327" s="870"/>
      <c r="Y1327" s="870"/>
      <c r="Z1327" s="870"/>
      <c r="AA1327" s="870"/>
      <c r="AB1327" s="870"/>
      <c r="AC1327" s="870"/>
      <c r="AD1327" s="870"/>
      <c r="AE1327" s="870"/>
      <c r="AF1327" s="870"/>
      <c r="AG1327" s="870"/>
    </row>
    <row r="1328" spans="1:33" s="995" customFormat="1">
      <c r="A1328" s="974"/>
      <c r="D1328" s="876"/>
      <c r="E1328" s="974"/>
      <c r="F1328" s="876"/>
      <c r="G1328" s="876"/>
      <c r="H1328" s="876"/>
      <c r="I1328" s="876"/>
      <c r="J1328" s="876"/>
      <c r="K1328" s="876"/>
      <c r="L1328" s="876"/>
      <c r="M1328" s="876"/>
      <c r="N1328" s="876"/>
      <c r="O1328" s="876"/>
      <c r="P1328" s="876"/>
      <c r="Q1328" s="870"/>
      <c r="R1328" s="870"/>
      <c r="S1328" s="870"/>
      <c r="T1328" s="870"/>
      <c r="U1328" s="870"/>
      <c r="V1328" s="870"/>
      <c r="W1328" s="870"/>
      <c r="X1328" s="870"/>
      <c r="Y1328" s="870"/>
      <c r="Z1328" s="870"/>
      <c r="AA1328" s="870"/>
      <c r="AB1328" s="870"/>
      <c r="AC1328" s="870"/>
      <c r="AD1328" s="870"/>
      <c r="AE1328" s="870"/>
      <c r="AF1328" s="870"/>
      <c r="AG1328" s="870"/>
    </row>
    <row r="1329" spans="1:33" s="995" customFormat="1">
      <c r="A1329" s="974"/>
      <c r="D1329" s="876"/>
      <c r="E1329" s="974"/>
      <c r="F1329" s="876"/>
      <c r="G1329" s="876"/>
      <c r="H1329" s="876"/>
      <c r="I1329" s="876"/>
      <c r="J1329" s="876"/>
      <c r="K1329" s="876"/>
      <c r="L1329" s="876"/>
      <c r="M1329" s="876"/>
      <c r="N1329" s="876"/>
      <c r="O1329" s="876"/>
      <c r="P1329" s="876"/>
      <c r="Q1329" s="870"/>
      <c r="R1329" s="870"/>
      <c r="S1329" s="870"/>
      <c r="T1329" s="870"/>
      <c r="U1329" s="870"/>
      <c r="V1329" s="870"/>
      <c r="W1329" s="870"/>
      <c r="X1329" s="870"/>
      <c r="Y1329" s="870"/>
      <c r="Z1329" s="870"/>
      <c r="AA1329" s="870"/>
      <c r="AB1329" s="870"/>
      <c r="AC1329" s="870"/>
      <c r="AD1329" s="870"/>
      <c r="AE1329" s="870"/>
      <c r="AF1329" s="870"/>
      <c r="AG1329" s="870"/>
    </row>
    <row r="1330" spans="1:33" s="995" customFormat="1">
      <c r="A1330" s="974"/>
      <c r="D1330" s="876"/>
      <c r="E1330" s="974"/>
      <c r="F1330" s="876"/>
      <c r="G1330" s="876"/>
      <c r="H1330" s="876"/>
      <c r="I1330" s="876"/>
      <c r="J1330" s="876"/>
      <c r="K1330" s="876"/>
      <c r="L1330" s="876"/>
      <c r="M1330" s="876"/>
      <c r="N1330" s="876"/>
      <c r="O1330" s="876"/>
      <c r="P1330" s="876"/>
      <c r="Q1330" s="870"/>
      <c r="R1330" s="870"/>
      <c r="S1330" s="870"/>
      <c r="T1330" s="870"/>
      <c r="U1330" s="870"/>
      <c r="V1330" s="870"/>
      <c r="W1330" s="870"/>
      <c r="X1330" s="870"/>
      <c r="Y1330" s="870"/>
      <c r="Z1330" s="870"/>
      <c r="AA1330" s="870"/>
      <c r="AB1330" s="870"/>
      <c r="AC1330" s="870"/>
      <c r="AD1330" s="870"/>
      <c r="AE1330" s="870"/>
      <c r="AF1330" s="870"/>
      <c r="AG1330" s="870"/>
    </row>
    <row r="1331" spans="1:33" s="995" customFormat="1">
      <c r="A1331" s="974"/>
      <c r="D1331" s="876"/>
      <c r="E1331" s="974"/>
      <c r="F1331" s="876"/>
      <c r="G1331" s="876"/>
      <c r="H1331" s="876"/>
      <c r="I1331" s="876"/>
      <c r="J1331" s="876"/>
      <c r="K1331" s="876"/>
      <c r="L1331" s="876"/>
      <c r="M1331" s="876"/>
      <c r="N1331" s="876"/>
      <c r="O1331" s="876"/>
      <c r="P1331" s="876"/>
      <c r="Q1331" s="870"/>
      <c r="R1331" s="870"/>
      <c r="S1331" s="870"/>
      <c r="T1331" s="870"/>
      <c r="U1331" s="870"/>
      <c r="V1331" s="870"/>
      <c r="W1331" s="870"/>
      <c r="X1331" s="870"/>
      <c r="Y1331" s="870"/>
      <c r="Z1331" s="870"/>
      <c r="AA1331" s="870"/>
      <c r="AB1331" s="870"/>
      <c r="AC1331" s="870"/>
      <c r="AD1331" s="870"/>
      <c r="AE1331" s="870"/>
      <c r="AF1331" s="870"/>
      <c r="AG1331" s="870"/>
    </row>
    <row r="1332" spans="1:33" s="995" customFormat="1">
      <c r="A1332" s="974"/>
      <c r="D1332" s="876"/>
      <c r="E1332" s="974"/>
      <c r="F1332" s="876"/>
      <c r="G1332" s="876"/>
      <c r="H1332" s="876"/>
      <c r="I1332" s="876"/>
      <c r="J1332" s="876"/>
      <c r="K1332" s="876"/>
      <c r="L1332" s="876"/>
      <c r="M1332" s="876"/>
      <c r="N1332" s="876"/>
      <c r="O1332" s="876"/>
      <c r="P1332" s="876"/>
      <c r="Q1332" s="870"/>
      <c r="R1332" s="870"/>
      <c r="S1332" s="870"/>
      <c r="T1332" s="870"/>
      <c r="U1332" s="870"/>
      <c r="V1332" s="870"/>
      <c r="W1332" s="870"/>
      <c r="X1332" s="870"/>
      <c r="Y1332" s="870"/>
      <c r="Z1332" s="870"/>
      <c r="AA1332" s="870"/>
      <c r="AB1332" s="870"/>
      <c r="AC1332" s="870"/>
      <c r="AD1332" s="870"/>
      <c r="AE1332" s="870"/>
      <c r="AF1332" s="870"/>
      <c r="AG1332" s="870"/>
    </row>
    <row r="1333" spans="1:33" s="995" customFormat="1">
      <c r="A1333" s="974"/>
      <c r="D1333" s="876"/>
      <c r="E1333" s="974"/>
      <c r="F1333" s="876"/>
      <c r="G1333" s="876"/>
      <c r="H1333" s="876"/>
      <c r="I1333" s="876"/>
      <c r="J1333" s="876"/>
      <c r="K1333" s="876"/>
      <c r="L1333" s="876"/>
      <c r="M1333" s="876"/>
      <c r="N1333" s="876"/>
      <c r="O1333" s="876"/>
      <c r="P1333" s="876"/>
      <c r="Q1333" s="870"/>
      <c r="R1333" s="870"/>
      <c r="S1333" s="870"/>
      <c r="T1333" s="870"/>
      <c r="U1333" s="870"/>
      <c r="V1333" s="870"/>
      <c r="W1333" s="870"/>
      <c r="X1333" s="870"/>
      <c r="Y1333" s="870"/>
      <c r="Z1333" s="870"/>
      <c r="AA1333" s="870"/>
      <c r="AB1333" s="870"/>
      <c r="AC1333" s="870"/>
      <c r="AD1333" s="870"/>
      <c r="AE1333" s="870"/>
      <c r="AF1333" s="870"/>
      <c r="AG1333" s="870"/>
    </row>
    <row r="1334" spans="1:33" s="995" customFormat="1">
      <c r="A1334" s="974"/>
      <c r="D1334" s="876"/>
      <c r="E1334" s="974"/>
      <c r="F1334" s="876"/>
      <c r="G1334" s="876"/>
      <c r="H1334" s="876"/>
      <c r="I1334" s="876"/>
      <c r="J1334" s="876"/>
      <c r="K1334" s="876"/>
      <c r="L1334" s="876"/>
      <c r="M1334" s="876"/>
      <c r="N1334" s="876"/>
      <c r="O1334" s="876"/>
      <c r="P1334" s="876"/>
      <c r="Q1334" s="870"/>
      <c r="R1334" s="870"/>
      <c r="S1334" s="870"/>
      <c r="T1334" s="870"/>
      <c r="U1334" s="870"/>
      <c r="V1334" s="870"/>
      <c r="W1334" s="870"/>
      <c r="X1334" s="870"/>
      <c r="Y1334" s="870"/>
      <c r="Z1334" s="870"/>
      <c r="AA1334" s="870"/>
      <c r="AB1334" s="870"/>
      <c r="AC1334" s="870"/>
      <c r="AD1334" s="870"/>
      <c r="AE1334" s="870"/>
      <c r="AF1334" s="870"/>
      <c r="AG1334" s="870"/>
    </row>
    <row r="1335" spans="1:33" s="995" customFormat="1">
      <c r="A1335" s="974"/>
      <c r="D1335" s="876"/>
      <c r="E1335" s="974"/>
      <c r="F1335" s="876"/>
      <c r="G1335" s="876"/>
      <c r="H1335" s="876"/>
      <c r="I1335" s="876"/>
      <c r="J1335" s="876"/>
      <c r="K1335" s="876"/>
      <c r="L1335" s="876"/>
      <c r="M1335" s="876"/>
      <c r="N1335" s="876"/>
      <c r="O1335" s="876"/>
      <c r="P1335" s="876"/>
      <c r="Q1335" s="870"/>
      <c r="R1335" s="870"/>
      <c r="S1335" s="870"/>
      <c r="T1335" s="870"/>
      <c r="U1335" s="870"/>
      <c r="V1335" s="870"/>
      <c r="W1335" s="870"/>
      <c r="X1335" s="870"/>
      <c r="Y1335" s="870"/>
      <c r="Z1335" s="870"/>
      <c r="AA1335" s="870"/>
      <c r="AB1335" s="870"/>
      <c r="AC1335" s="870"/>
      <c r="AD1335" s="870"/>
      <c r="AE1335" s="870"/>
      <c r="AF1335" s="870"/>
      <c r="AG1335" s="870"/>
    </row>
    <row r="1336" spans="1:33" s="995" customFormat="1">
      <c r="A1336" s="974"/>
      <c r="D1336" s="876"/>
      <c r="E1336" s="974"/>
      <c r="F1336" s="876"/>
      <c r="G1336" s="876"/>
      <c r="H1336" s="876"/>
      <c r="I1336" s="876"/>
      <c r="J1336" s="876"/>
      <c r="K1336" s="876"/>
      <c r="L1336" s="876"/>
      <c r="M1336" s="876"/>
      <c r="N1336" s="876"/>
      <c r="O1336" s="876"/>
      <c r="P1336" s="876"/>
      <c r="Q1336" s="870"/>
      <c r="R1336" s="870"/>
      <c r="S1336" s="870"/>
      <c r="T1336" s="870"/>
      <c r="U1336" s="870"/>
      <c r="V1336" s="870"/>
      <c r="W1336" s="870"/>
      <c r="X1336" s="870"/>
      <c r="Y1336" s="870"/>
      <c r="Z1336" s="870"/>
      <c r="AA1336" s="870"/>
      <c r="AB1336" s="870"/>
      <c r="AC1336" s="870"/>
      <c r="AD1336" s="870"/>
      <c r="AE1336" s="870"/>
      <c r="AF1336" s="870"/>
      <c r="AG1336" s="870"/>
    </row>
    <row r="1337" spans="1:33" s="995" customFormat="1">
      <c r="A1337" s="974"/>
      <c r="D1337" s="876"/>
      <c r="E1337" s="974"/>
      <c r="F1337" s="876"/>
      <c r="G1337" s="876"/>
      <c r="H1337" s="876"/>
      <c r="I1337" s="876"/>
      <c r="J1337" s="876"/>
      <c r="K1337" s="876"/>
      <c r="L1337" s="876"/>
      <c r="M1337" s="876"/>
      <c r="N1337" s="876"/>
      <c r="O1337" s="876"/>
      <c r="P1337" s="876"/>
      <c r="Q1337" s="870"/>
      <c r="R1337" s="870"/>
      <c r="S1337" s="870"/>
      <c r="T1337" s="870"/>
      <c r="U1337" s="870"/>
      <c r="V1337" s="870"/>
      <c r="W1337" s="870"/>
      <c r="X1337" s="870"/>
      <c r="Y1337" s="870"/>
      <c r="Z1337" s="870"/>
      <c r="AA1337" s="870"/>
      <c r="AB1337" s="870"/>
      <c r="AC1337" s="870"/>
      <c r="AD1337" s="870"/>
      <c r="AE1337" s="870"/>
      <c r="AF1337" s="870"/>
      <c r="AG1337" s="870"/>
    </row>
    <row r="1338" spans="1:33" s="995" customFormat="1">
      <c r="A1338" s="974"/>
      <c r="D1338" s="876"/>
      <c r="E1338" s="974"/>
      <c r="F1338" s="876"/>
      <c r="G1338" s="876"/>
      <c r="H1338" s="876"/>
      <c r="I1338" s="876"/>
      <c r="J1338" s="876"/>
      <c r="K1338" s="876"/>
      <c r="L1338" s="876"/>
      <c r="M1338" s="876"/>
      <c r="N1338" s="876"/>
      <c r="O1338" s="876"/>
      <c r="P1338" s="876"/>
      <c r="Q1338" s="870"/>
      <c r="R1338" s="870"/>
      <c r="S1338" s="870"/>
      <c r="T1338" s="870"/>
      <c r="U1338" s="870"/>
      <c r="V1338" s="870"/>
      <c r="W1338" s="870"/>
      <c r="X1338" s="870"/>
      <c r="Y1338" s="870"/>
      <c r="Z1338" s="870"/>
      <c r="AA1338" s="870"/>
      <c r="AB1338" s="870"/>
      <c r="AC1338" s="870"/>
      <c r="AD1338" s="870"/>
      <c r="AE1338" s="870"/>
      <c r="AF1338" s="870"/>
      <c r="AG1338" s="870"/>
    </row>
    <row r="1339" spans="1:33" s="995" customFormat="1">
      <c r="A1339" s="974"/>
      <c r="D1339" s="876"/>
      <c r="E1339" s="974"/>
      <c r="F1339" s="876"/>
      <c r="G1339" s="876"/>
      <c r="H1339" s="876"/>
      <c r="I1339" s="876"/>
      <c r="J1339" s="876"/>
      <c r="K1339" s="876"/>
      <c r="L1339" s="876"/>
      <c r="M1339" s="876"/>
      <c r="N1339" s="876"/>
      <c r="O1339" s="876"/>
      <c r="P1339" s="876"/>
      <c r="Q1339" s="870"/>
      <c r="R1339" s="870"/>
      <c r="S1339" s="870"/>
      <c r="T1339" s="870"/>
      <c r="U1339" s="870"/>
      <c r="V1339" s="870"/>
      <c r="W1339" s="870"/>
      <c r="X1339" s="870"/>
      <c r="Y1339" s="870"/>
      <c r="Z1339" s="870"/>
      <c r="AA1339" s="870"/>
      <c r="AB1339" s="870"/>
      <c r="AC1339" s="870"/>
      <c r="AD1339" s="870"/>
      <c r="AE1339" s="870"/>
      <c r="AF1339" s="870"/>
      <c r="AG1339" s="870"/>
    </row>
    <row r="1340" spans="1:33" s="995" customFormat="1">
      <c r="A1340" s="974"/>
      <c r="D1340" s="876"/>
      <c r="E1340" s="974"/>
      <c r="F1340" s="876"/>
      <c r="G1340" s="876"/>
      <c r="H1340" s="876"/>
      <c r="I1340" s="876"/>
      <c r="J1340" s="876"/>
      <c r="K1340" s="876"/>
      <c r="L1340" s="876"/>
      <c r="M1340" s="876"/>
      <c r="N1340" s="876"/>
      <c r="O1340" s="876"/>
      <c r="P1340" s="876"/>
      <c r="Q1340" s="870"/>
      <c r="R1340" s="870"/>
      <c r="S1340" s="870"/>
      <c r="T1340" s="870"/>
      <c r="U1340" s="870"/>
      <c r="V1340" s="870"/>
      <c r="W1340" s="870"/>
      <c r="X1340" s="870"/>
      <c r="Y1340" s="870"/>
      <c r="Z1340" s="870"/>
      <c r="AA1340" s="870"/>
      <c r="AB1340" s="870"/>
      <c r="AC1340" s="870"/>
      <c r="AD1340" s="870"/>
      <c r="AE1340" s="870"/>
      <c r="AF1340" s="870"/>
      <c r="AG1340" s="870"/>
    </row>
    <row r="1341" spans="1:33" s="995" customFormat="1">
      <c r="A1341" s="974"/>
      <c r="D1341" s="876"/>
      <c r="E1341" s="974"/>
      <c r="F1341" s="876"/>
      <c r="G1341" s="876"/>
      <c r="H1341" s="876"/>
      <c r="I1341" s="876"/>
      <c r="J1341" s="876"/>
      <c r="K1341" s="876"/>
      <c r="L1341" s="876"/>
      <c r="M1341" s="876"/>
      <c r="N1341" s="876"/>
      <c r="O1341" s="876"/>
      <c r="P1341" s="876"/>
      <c r="Q1341" s="870"/>
      <c r="R1341" s="870"/>
      <c r="S1341" s="870"/>
      <c r="T1341" s="870"/>
      <c r="U1341" s="870"/>
      <c r="V1341" s="870"/>
      <c r="W1341" s="870"/>
      <c r="X1341" s="870"/>
      <c r="Y1341" s="870"/>
      <c r="Z1341" s="870"/>
      <c r="AA1341" s="870"/>
      <c r="AB1341" s="870"/>
      <c r="AC1341" s="870"/>
      <c r="AD1341" s="870"/>
      <c r="AE1341" s="870"/>
      <c r="AF1341" s="870"/>
      <c r="AG1341" s="870"/>
    </row>
    <row r="1342" spans="1:33" s="995" customFormat="1">
      <c r="A1342" s="974"/>
      <c r="D1342" s="876"/>
      <c r="E1342" s="974"/>
      <c r="F1342" s="876"/>
      <c r="G1342" s="876"/>
      <c r="H1342" s="876"/>
      <c r="I1342" s="876"/>
      <c r="J1342" s="876"/>
      <c r="K1342" s="876"/>
      <c r="L1342" s="876"/>
      <c r="M1342" s="876"/>
      <c r="N1342" s="876"/>
      <c r="O1342" s="876"/>
      <c r="P1342" s="876"/>
      <c r="Q1342" s="870"/>
      <c r="R1342" s="870"/>
      <c r="S1342" s="870"/>
      <c r="T1342" s="870"/>
      <c r="U1342" s="870"/>
      <c r="V1342" s="870"/>
      <c r="W1342" s="870"/>
      <c r="X1342" s="870"/>
      <c r="Y1342" s="870"/>
      <c r="Z1342" s="870"/>
      <c r="AA1342" s="870"/>
      <c r="AB1342" s="870"/>
      <c r="AC1342" s="870"/>
      <c r="AD1342" s="870"/>
      <c r="AE1342" s="870"/>
      <c r="AF1342" s="870"/>
      <c r="AG1342" s="870"/>
    </row>
    <row r="1343" spans="1:33" s="995" customFormat="1">
      <c r="A1343" s="974"/>
      <c r="D1343" s="876"/>
      <c r="E1343" s="974"/>
      <c r="F1343" s="876"/>
      <c r="G1343" s="876"/>
      <c r="H1343" s="876"/>
      <c r="I1343" s="876"/>
      <c r="J1343" s="876"/>
      <c r="K1343" s="876"/>
      <c r="L1343" s="876"/>
      <c r="M1343" s="876"/>
      <c r="N1343" s="876"/>
      <c r="O1343" s="876"/>
      <c r="P1343" s="876"/>
      <c r="Q1343" s="870"/>
      <c r="R1343" s="870"/>
      <c r="S1343" s="870"/>
      <c r="T1343" s="870"/>
      <c r="U1343" s="870"/>
      <c r="V1343" s="870"/>
      <c r="W1343" s="870"/>
      <c r="X1343" s="870"/>
      <c r="Y1343" s="870"/>
      <c r="Z1343" s="870"/>
      <c r="AA1343" s="870"/>
      <c r="AB1343" s="870"/>
      <c r="AC1343" s="870"/>
      <c r="AD1343" s="870"/>
      <c r="AE1343" s="870"/>
      <c r="AF1343" s="870"/>
      <c r="AG1343" s="870"/>
    </row>
    <row r="1344" spans="1:33" s="995" customFormat="1">
      <c r="A1344" s="974"/>
      <c r="D1344" s="876"/>
      <c r="E1344" s="974"/>
      <c r="F1344" s="876"/>
      <c r="G1344" s="876"/>
      <c r="H1344" s="876"/>
      <c r="I1344" s="876"/>
      <c r="J1344" s="876"/>
      <c r="K1344" s="876"/>
      <c r="L1344" s="876"/>
      <c r="M1344" s="876"/>
      <c r="N1344" s="876"/>
      <c r="O1344" s="876"/>
      <c r="P1344" s="876"/>
      <c r="Q1344" s="870"/>
      <c r="R1344" s="870"/>
      <c r="S1344" s="870"/>
      <c r="T1344" s="870"/>
      <c r="U1344" s="870"/>
      <c r="V1344" s="870"/>
      <c r="W1344" s="870"/>
      <c r="X1344" s="870"/>
      <c r="Y1344" s="870"/>
      <c r="Z1344" s="870"/>
      <c r="AA1344" s="870"/>
      <c r="AB1344" s="870"/>
      <c r="AC1344" s="870"/>
      <c r="AD1344" s="870"/>
      <c r="AE1344" s="870"/>
      <c r="AF1344" s="870"/>
      <c r="AG1344" s="870"/>
    </row>
    <row r="1345" spans="1:33" s="995" customFormat="1">
      <c r="A1345" s="974"/>
      <c r="D1345" s="876"/>
      <c r="E1345" s="974"/>
      <c r="F1345" s="876"/>
      <c r="G1345" s="876"/>
      <c r="H1345" s="876"/>
      <c r="I1345" s="876"/>
      <c r="J1345" s="876"/>
      <c r="K1345" s="876"/>
      <c r="L1345" s="876"/>
      <c r="M1345" s="876"/>
      <c r="N1345" s="876"/>
      <c r="O1345" s="876"/>
      <c r="P1345" s="876"/>
      <c r="Q1345" s="870"/>
      <c r="R1345" s="870"/>
      <c r="S1345" s="870"/>
      <c r="T1345" s="870"/>
      <c r="U1345" s="870"/>
      <c r="V1345" s="870"/>
      <c r="W1345" s="870"/>
      <c r="X1345" s="870"/>
      <c r="Y1345" s="870"/>
      <c r="Z1345" s="870"/>
      <c r="AA1345" s="870"/>
      <c r="AB1345" s="870"/>
      <c r="AC1345" s="870"/>
      <c r="AD1345" s="870"/>
      <c r="AE1345" s="870"/>
      <c r="AF1345" s="870"/>
      <c r="AG1345" s="870"/>
    </row>
    <row r="1346" spans="1:33" s="995" customFormat="1">
      <c r="A1346" s="974"/>
      <c r="D1346" s="876"/>
      <c r="E1346" s="974"/>
      <c r="F1346" s="876"/>
      <c r="G1346" s="876"/>
      <c r="H1346" s="876"/>
      <c r="I1346" s="876"/>
      <c r="J1346" s="876"/>
      <c r="K1346" s="876"/>
      <c r="L1346" s="876"/>
      <c r="M1346" s="876"/>
      <c r="N1346" s="876"/>
      <c r="O1346" s="876"/>
      <c r="P1346" s="876"/>
      <c r="Q1346" s="870"/>
      <c r="R1346" s="870"/>
      <c r="S1346" s="870"/>
      <c r="T1346" s="870"/>
      <c r="U1346" s="870"/>
      <c r="V1346" s="870"/>
      <c r="W1346" s="870"/>
      <c r="X1346" s="870"/>
      <c r="Y1346" s="870"/>
      <c r="Z1346" s="870"/>
      <c r="AA1346" s="870"/>
      <c r="AB1346" s="870"/>
      <c r="AC1346" s="870"/>
      <c r="AD1346" s="870"/>
      <c r="AE1346" s="870"/>
      <c r="AF1346" s="870"/>
      <c r="AG1346" s="870"/>
    </row>
    <row r="1347" spans="1:33" s="995" customFormat="1">
      <c r="A1347" s="974"/>
      <c r="D1347" s="876"/>
      <c r="E1347" s="974"/>
      <c r="F1347" s="876"/>
      <c r="G1347" s="876"/>
      <c r="H1347" s="876"/>
      <c r="I1347" s="876"/>
      <c r="J1347" s="876"/>
      <c r="K1347" s="876"/>
      <c r="L1347" s="876"/>
      <c r="M1347" s="876"/>
      <c r="N1347" s="876"/>
      <c r="O1347" s="876"/>
      <c r="P1347" s="876"/>
      <c r="Q1347" s="870"/>
      <c r="R1347" s="870"/>
      <c r="S1347" s="870"/>
      <c r="T1347" s="870"/>
      <c r="U1347" s="870"/>
      <c r="V1347" s="870"/>
      <c r="W1347" s="870"/>
      <c r="X1347" s="870"/>
      <c r="Y1347" s="870"/>
      <c r="Z1347" s="870"/>
      <c r="AA1347" s="870"/>
      <c r="AB1347" s="870"/>
      <c r="AC1347" s="870"/>
      <c r="AD1347" s="870"/>
      <c r="AE1347" s="870"/>
      <c r="AF1347" s="870"/>
      <c r="AG1347" s="870"/>
    </row>
    <row r="1348" spans="1:33" s="995" customFormat="1">
      <c r="A1348" s="974"/>
      <c r="D1348" s="876"/>
      <c r="E1348" s="974"/>
      <c r="F1348" s="876"/>
      <c r="G1348" s="876"/>
      <c r="H1348" s="876"/>
      <c r="I1348" s="876"/>
      <c r="J1348" s="876"/>
      <c r="K1348" s="876"/>
      <c r="L1348" s="876"/>
      <c r="M1348" s="876"/>
      <c r="N1348" s="876"/>
      <c r="O1348" s="876"/>
      <c r="P1348" s="876"/>
      <c r="Q1348" s="870"/>
      <c r="R1348" s="870"/>
      <c r="S1348" s="870"/>
      <c r="T1348" s="870"/>
      <c r="U1348" s="870"/>
      <c r="V1348" s="870"/>
      <c r="W1348" s="870"/>
      <c r="X1348" s="870"/>
      <c r="Y1348" s="870"/>
      <c r="Z1348" s="870"/>
      <c r="AA1348" s="870"/>
      <c r="AB1348" s="870"/>
      <c r="AC1348" s="870"/>
      <c r="AD1348" s="870"/>
      <c r="AE1348" s="870"/>
      <c r="AF1348" s="870"/>
      <c r="AG1348" s="870"/>
    </row>
    <row r="1349" spans="1:33" s="995" customFormat="1">
      <c r="A1349" s="974"/>
      <c r="D1349" s="876"/>
      <c r="E1349" s="974"/>
      <c r="F1349" s="876"/>
      <c r="G1349" s="876"/>
      <c r="H1349" s="876"/>
      <c r="I1349" s="876"/>
      <c r="J1349" s="876"/>
      <c r="K1349" s="876"/>
      <c r="L1349" s="876"/>
      <c r="M1349" s="876"/>
      <c r="N1349" s="876"/>
      <c r="O1349" s="876"/>
      <c r="P1349" s="876"/>
      <c r="Q1349" s="870"/>
      <c r="R1349" s="870"/>
      <c r="S1349" s="870"/>
      <c r="T1349" s="870"/>
      <c r="U1349" s="870"/>
      <c r="V1349" s="870"/>
      <c r="W1349" s="870"/>
      <c r="X1349" s="870"/>
      <c r="Y1349" s="870"/>
      <c r="Z1349" s="870"/>
      <c r="AA1349" s="870"/>
      <c r="AB1349" s="870"/>
      <c r="AC1349" s="870"/>
      <c r="AD1349" s="870"/>
      <c r="AE1349" s="870"/>
      <c r="AF1349" s="870"/>
      <c r="AG1349" s="870"/>
    </row>
    <row r="1350" spans="1:33" s="995" customFormat="1">
      <c r="A1350" s="974"/>
      <c r="D1350" s="876"/>
      <c r="E1350" s="974"/>
      <c r="F1350" s="876"/>
      <c r="G1350" s="876"/>
      <c r="H1350" s="876"/>
      <c r="I1350" s="876"/>
      <c r="J1350" s="876"/>
      <c r="K1350" s="876"/>
      <c r="L1350" s="876"/>
      <c r="M1350" s="876"/>
      <c r="N1350" s="876"/>
      <c r="O1350" s="876"/>
      <c r="P1350" s="876"/>
      <c r="Q1350" s="870"/>
      <c r="R1350" s="870"/>
      <c r="S1350" s="870"/>
      <c r="T1350" s="870"/>
      <c r="U1350" s="870"/>
      <c r="V1350" s="870"/>
      <c r="W1350" s="870"/>
      <c r="X1350" s="870"/>
      <c r="Y1350" s="870"/>
      <c r="Z1350" s="870"/>
      <c r="AA1350" s="870"/>
      <c r="AB1350" s="870"/>
      <c r="AC1350" s="870"/>
      <c r="AD1350" s="870"/>
      <c r="AE1350" s="870"/>
      <c r="AF1350" s="870"/>
      <c r="AG1350" s="870"/>
    </row>
    <row r="1351" spans="1:33" s="995" customFormat="1">
      <c r="A1351" s="974"/>
      <c r="D1351" s="876"/>
      <c r="E1351" s="974"/>
      <c r="F1351" s="876"/>
      <c r="G1351" s="876"/>
      <c r="H1351" s="876"/>
      <c r="I1351" s="876"/>
      <c r="J1351" s="876"/>
      <c r="K1351" s="876"/>
      <c r="L1351" s="876"/>
      <c r="M1351" s="876"/>
      <c r="N1351" s="876"/>
      <c r="O1351" s="876"/>
      <c r="P1351" s="876"/>
      <c r="Q1351" s="870"/>
      <c r="R1351" s="870"/>
      <c r="S1351" s="870"/>
      <c r="T1351" s="870"/>
      <c r="U1351" s="870"/>
      <c r="V1351" s="870"/>
      <c r="W1351" s="870"/>
      <c r="X1351" s="870"/>
      <c r="Y1351" s="870"/>
      <c r="Z1351" s="870"/>
      <c r="AA1351" s="870"/>
      <c r="AB1351" s="870"/>
      <c r="AC1351" s="870"/>
      <c r="AD1351" s="870"/>
      <c r="AE1351" s="870"/>
      <c r="AF1351" s="870"/>
      <c r="AG1351" s="870"/>
    </row>
    <row r="1352" spans="1:33" s="995" customFormat="1">
      <c r="A1352" s="974"/>
      <c r="D1352" s="876"/>
      <c r="E1352" s="974"/>
      <c r="F1352" s="876"/>
      <c r="G1352" s="876"/>
      <c r="H1352" s="876"/>
      <c r="I1352" s="876"/>
      <c r="J1352" s="876"/>
      <c r="K1352" s="876"/>
      <c r="L1352" s="876"/>
      <c r="M1352" s="876"/>
      <c r="N1352" s="876"/>
      <c r="O1352" s="876"/>
      <c r="P1352" s="876"/>
      <c r="Q1352" s="870"/>
      <c r="R1352" s="870"/>
      <c r="S1352" s="870"/>
      <c r="T1352" s="870"/>
      <c r="U1352" s="870"/>
      <c r="V1352" s="870"/>
      <c r="W1352" s="870"/>
      <c r="X1352" s="870"/>
      <c r="Y1352" s="870"/>
      <c r="Z1352" s="870"/>
      <c r="AA1352" s="870"/>
      <c r="AB1352" s="870"/>
      <c r="AC1352" s="870"/>
      <c r="AD1352" s="870"/>
      <c r="AE1352" s="870"/>
      <c r="AF1352" s="870"/>
      <c r="AG1352" s="870"/>
    </row>
    <row r="1353" spans="1:33" s="995" customFormat="1">
      <c r="A1353" s="974"/>
      <c r="D1353" s="876"/>
      <c r="E1353" s="974"/>
      <c r="F1353" s="876"/>
      <c r="G1353" s="876"/>
      <c r="H1353" s="876"/>
      <c r="I1353" s="876"/>
      <c r="J1353" s="876"/>
      <c r="K1353" s="876"/>
      <c r="L1353" s="876"/>
      <c r="M1353" s="876"/>
      <c r="N1353" s="876"/>
      <c r="O1353" s="876"/>
      <c r="P1353" s="876"/>
      <c r="Q1353" s="870"/>
      <c r="R1353" s="870"/>
      <c r="S1353" s="870"/>
      <c r="T1353" s="870"/>
      <c r="U1353" s="870"/>
      <c r="V1353" s="870"/>
      <c r="W1353" s="870"/>
      <c r="X1353" s="870"/>
      <c r="Y1353" s="870"/>
      <c r="Z1353" s="870"/>
      <c r="AA1353" s="870"/>
      <c r="AB1353" s="870"/>
      <c r="AC1353" s="870"/>
      <c r="AD1353" s="870"/>
      <c r="AE1353" s="870"/>
      <c r="AF1353" s="870"/>
      <c r="AG1353" s="870"/>
    </row>
  </sheetData>
  <mergeCells count="77">
    <mergeCell ref="D228:D230"/>
    <mergeCell ref="D197:D198"/>
    <mergeCell ref="D199:D205"/>
    <mergeCell ref="D206:D213"/>
    <mergeCell ref="D214:D215"/>
    <mergeCell ref="A217:AG217"/>
    <mergeCell ref="A220:AG220"/>
    <mergeCell ref="D189:D196"/>
    <mergeCell ref="A124:AG124"/>
    <mergeCell ref="A129:AG129"/>
    <mergeCell ref="D135:D136"/>
    <mergeCell ref="D138:D139"/>
    <mergeCell ref="D141:D142"/>
    <mergeCell ref="D143:D144"/>
    <mergeCell ref="D145:D167"/>
    <mergeCell ref="A169:AG169"/>
    <mergeCell ref="A170:AG170"/>
    <mergeCell ref="A173:AG173"/>
    <mergeCell ref="D174:D188"/>
    <mergeCell ref="D104:D122"/>
    <mergeCell ref="A38:AG38"/>
    <mergeCell ref="D39:D40"/>
    <mergeCell ref="D42:D46"/>
    <mergeCell ref="D47:D55"/>
    <mergeCell ref="D56:D65"/>
    <mergeCell ref="D68:D71"/>
    <mergeCell ref="D74:D75"/>
    <mergeCell ref="D79:D80"/>
    <mergeCell ref="D81:D92"/>
    <mergeCell ref="D93:D96"/>
    <mergeCell ref="D97:D103"/>
    <mergeCell ref="AG14:AG15"/>
    <mergeCell ref="A16:AG16"/>
    <mergeCell ref="D18:D19"/>
    <mergeCell ref="D20:D21"/>
    <mergeCell ref="D24:D25"/>
    <mergeCell ref="AE14:AE15"/>
    <mergeCell ref="AF14:AF15"/>
    <mergeCell ref="T14:T15"/>
    <mergeCell ref="I14:I15"/>
    <mergeCell ref="J14:J15"/>
    <mergeCell ref="K14:K15"/>
    <mergeCell ref="L14:L15"/>
    <mergeCell ref="M14:M15"/>
    <mergeCell ref="N14:N15"/>
    <mergeCell ref="D30:D31"/>
    <mergeCell ref="AA14:AA15"/>
    <mergeCell ref="AB14:AB15"/>
    <mergeCell ref="AC14:AC15"/>
    <mergeCell ref="AD14:AD15"/>
    <mergeCell ref="U14:U15"/>
    <mergeCell ref="V14:V15"/>
    <mergeCell ref="W14:W15"/>
    <mergeCell ref="X14:X15"/>
    <mergeCell ref="Y14:Y15"/>
    <mergeCell ref="Z14:Z15"/>
    <mergeCell ref="O14:O15"/>
    <mergeCell ref="P14:P15"/>
    <mergeCell ref="Q14:Q15"/>
    <mergeCell ref="R14:R15"/>
    <mergeCell ref="S14:S15"/>
    <mergeCell ref="A11:P11"/>
    <mergeCell ref="A13:P13"/>
    <mergeCell ref="A14:A15"/>
    <mergeCell ref="B14:B15"/>
    <mergeCell ref="C14:C15"/>
    <mergeCell ref="D14:D15"/>
    <mergeCell ref="E14:E15"/>
    <mergeCell ref="F14:F15"/>
    <mergeCell ref="G14:G15"/>
    <mergeCell ref="H14:H15"/>
    <mergeCell ref="A10:P10"/>
    <mergeCell ref="A1:G5"/>
    <mergeCell ref="M1:M4"/>
    <mergeCell ref="AB1:AG5"/>
    <mergeCell ref="A8:P8"/>
    <mergeCell ref="A9:P9"/>
  </mergeCells>
  <printOptions horizontalCentered="1"/>
  <pageMargins left="0.23622047244094491" right="0.19685039370078741" top="0.35433070866141736" bottom="0.43307086614173229" header="0.31496062992125984" footer="0.31496062992125984"/>
  <pageSetup paperSize="9" scale="55"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2827C-F8ED-4A61-B042-186CBAFBBF42}">
  <dimension ref="A1:CL411"/>
  <sheetViews>
    <sheetView zoomScale="60" zoomScaleNormal="60" workbookViewId="0">
      <pane xSplit="7" ySplit="13" topLeftCell="AQ192" activePane="bottomRight" state="frozen"/>
      <selection activeCell="BO155" sqref="BO155"/>
      <selection pane="topRight" activeCell="BO155" sqref="BO155"/>
      <selection pane="bottomLeft" activeCell="BO155" sqref="BO155"/>
      <selection pane="bottomRight" activeCell="BB208" sqref="BB208"/>
    </sheetView>
  </sheetViews>
  <sheetFormatPr defaultColWidth="14.42578125" defaultRowHeight="12.75" outlineLevelCol="1"/>
  <cols>
    <col min="1" max="2" width="4.7109375" style="336" customWidth="1"/>
    <col min="3" max="3" width="25.85546875" style="336" customWidth="1"/>
    <col min="4" max="4" width="29.85546875" style="594" customWidth="1"/>
    <col min="5" max="5" width="0.140625" style="336" hidden="1" customWidth="1"/>
    <col min="6" max="6" width="13.7109375" style="336" customWidth="1"/>
    <col min="7" max="7" width="12.85546875" style="336" customWidth="1"/>
    <col min="8" max="8" width="13.7109375" style="595" customWidth="1"/>
    <col min="9" max="10" width="8.28515625" style="336" customWidth="1"/>
    <col min="11" max="11" width="15.140625" style="336" bestFit="1" customWidth="1"/>
    <col min="12" max="16" width="8" style="336" bestFit="1" customWidth="1" outlineLevel="1"/>
    <col min="17" max="17" width="12.5703125" style="336" bestFit="1" customWidth="1"/>
    <col min="18" max="22" width="8" style="336" bestFit="1" customWidth="1" outlineLevel="1"/>
    <col min="23" max="23" width="8.7109375" style="336" customWidth="1"/>
    <col min="24" max="24" width="9.7109375" style="336" bestFit="1" customWidth="1"/>
    <col min="25" max="25" width="15.140625" style="336" bestFit="1" customWidth="1"/>
    <col min="26" max="26" width="14" style="336" bestFit="1" customWidth="1"/>
    <col min="27" max="27" width="9.7109375" style="336" bestFit="1" customWidth="1"/>
    <col min="28" max="28" width="11.7109375" style="336" customWidth="1"/>
    <col min="29" max="29" width="9.7109375" style="336" bestFit="1" customWidth="1"/>
    <col min="30" max="30" width="12" style="336" bestFit="1" customWidth="1"/>
    <col min="31" max="31" width="13.28515625" style="336" customWidth="1"/>
    <col min="32" max="32" width="9.7109375" style="336" customWidth="1"/>
    <col min="33" max="33" width="12" style="336" bestFit="1" customWidth="1"/>
    <col min="34" max="34" width="10.140625" style="336" customWidth="1"/>
    <col min="35" max="35" width="14" style="336" bestFit="1" customWidth="1"/>
    <col min="36" max="36" width="9.7109375" style="336" bestFit="1" customWidth="1"/>
    <col min="37" max="37" width="12.85546875" style="336" customWidth="1"/>
    <col min="38" max="38" width="9.7109375" style="336" bestFit="1" customWidth="1"/>
    <col min="39" max="39" width="15.140625" style="336" bestFit="1" customWidth="1"/>
    <col min="40" max="40" width="16.140625" style="336" customWidth="1"/>
    <col min="41" max="41" width="14.7109375" style="336" customWidth="1"/>
    <col min="42" max="42" width="14.42578125" style="336" customWidth="1"/>
    <col min="43" max="43" width="14.140625" style="336" customWidth="1"/>
    <col min="44" max="44" width="13.42578125" style="336" customWidth="1"/>
    <col min="45" max="45" width="8.42578125" style="336" hidden="1" customWidth="1"/>
    <col min="46" max="46" width="12.7109375" style="336" hidden="1" customWidth="1"/>
    <col min="47" max="47" width="9.28515625" style="336" hidden="1" customWidth="1"/>
    <col min="48" max="48" width="13.28515625" style="336" hidden="1" customWidth="1"/>
    <col min="49" max="49" width="17.28515625" style="336" customWidth="1"/>
    <col min="50" max="50" width="15.140625" style="336" bestFit="1" customWidth="1"/>
    <col min="51" max="51" width="11.5703125" style="336" customWidth="1"/>
    <col min="52" max="52" width="14.7109375" style="336" customWidth="1"/>
    <col min="53" max="53" width="15.140625" style="336" bestFit="1" customWidth="1"/>
    <col min="54" max="54" width="14.42578125" style="336" customWidth="1"/>
    <col min="55" max="55" width="14" style="336" bestFit="1" customWidth="1"/>
    <col min="56" max="57" width="16.140625" style="336" customWidth="1"/>
    <col min="58" max="58" width="18.28515625" style="336" bestFit="1" customWidth="1"/>
    <col min="59" max="59" width="16.140625" style="336" customWidth="1"/>
    <col min="60" max="60" width="18.28515625" style="336" bestFit="1" customWidth="1"/>
    <col min="61" max="64" width="16.140625" style="336" customWidth="1"/>
    <col min="65" max="65" width="18.5703125" style="336" customWidth="1"/>
    <col min="66" max="66" width="11.42578125" style="578" customWidth="1"/>
    <col min="67" max="67" width="16.7109375" style="336" customWidth="1"/>
    <col min="68" max="87" width="16" style="336" customWidth="1"/>
    <col min="88" max="16384" width="14.42578125" style="336"/>
  </cols>
  <sheetData>
    <row r="1" spans="1:87" ht="15.75">
      <c r="A1" s="330"/>
      <c r="B1" s="330"/>
      <c r="C1" s="331"/>
      <c r="D1" s="331"/>
      <c r="E1" s="330"/>
      <c r="F1" s="330"/>
      <c r="G1" s="330"/>
      <c r="H1" s="332"/>
      <c r="I1" s="330"/>
      <c r="J1" s="330"/>
      <c r="K1" s="330"/>
      <c r="L1" s="330"/>
      <c r="M1" s="330"/>
      <c r="N1" s="330"/>
      <c r="O1" s="330"/>
      <c r="P1" s="330"/>
      <c r="Q1" s="330"/>
      <c r="R1" s="330"/>
      <c r="S1" s="330"/>
      <c r="T1" s="330"/>
      <c r="U1" s="330"/>
      <c r="V1" s="330"/>
      <c r="W1" s="330"/>
      <c r="X1" s="330"/>
      <c r="Y1" s="330"/>
      <c r="Z1" s="330"/>
      <c r="AA1" s="330"/>
      <c r="AB1" s="330"/>
      <c r="AC1" s="330"/>
      <c r="AD1" s="333"/>
      <c r="AE1" s="330"/>
      <c r="AF1" s="330"/>
      <c r="AG1" s="330"/>
      <c r="AH1" s="330"/>
      <c r="AI1" s="330"/>
      <c r="AJ1" s="330"/>
      <c r="AK1" s="330"/>
      <c r="AL1" s="330"/>
      <c r="AM1" s="330"/>
      <c r="AN1" s="330"/>
      <c r="AO1" s="330"/>
      <c r="AP1" s="330"/>
      <c r="AQ1" s="334"/>
      <c r="AR1" s="334"/>
      <c r="AS1" s="334"/>
      <c r="AT1" s="334"/>
      <c r="AU1" s="334"/>
      <c r="AV1" s="334"/>
      <c r="AW1" s="334"/>
      <c r="AX1" s="334"/>
      <c r="AY1" s="334"/>
      <c r="AZ1" s="334"/>
      <c r="BA1" s="334"/>
      <c r="BB1" s="334"/>
      <c r="BC1" s="334"/>
      <c r="BD1" s="334"/>
      <c r="BE1" s="334"/>
      <c r="BF1" s="334"/>
      <c r="BG1" s="334"/>
      <c r="BH1" s="334"/>
      <c r="BI1" s="334"/>
      <c r="BJ1" s="334"/>
      <c r="BK1" s="334"/>
      <c r="BL1" s="334"/>
      <c r="BM1" s="334"/>
      <c r="BN1" s="335"/>
      <c r="BO1" s="334"/>
      <c r="BP1" s="334"/>
      <c r="BQ1" s="334"/>
      <c r="BR1" s="334"/>
      <c r="BS1" s="334"/>
      <c r="BT1" s="334"/>
      <c r="BU1" s="334"/>
      <c r="BV1" s="334"/>
      <c r="BW1" s="334"/>
      <c r="BX1" s="334"/>
      <c r="BY1" s="334"/>
      <c r="BZ1" s="334"/>
      <c r="CA1" s="334"/>
      <c r="CB1" s="334"/>
      <c r="CC1" s="334"/>
      <c r="CD1" s="334"/>
      <c r="CE1" s="334"/>
      <c r="CF1" s="334"/>
      <c r="CG1" s="334"/>
      <c r="CH1" s="334"/>
      <c r="CI1" s="334"/>
    </row>
    <row r="2" spans="1:87" ht="15.75">
      <c r="A2" s="337"/>
      <c r="B2" s="337"/>
      <c r="C2" s="338"/>
      <c r="D2" s="338"/>
      <c r="E2" s="339"/>
      <c r="F2" s="337"/>
      <c r="G2" s="340"/>
      <c r="H2" s="341"/>
      <c r="I2" s="342"/>
      <c r="J2" s="342"/>
      <c r="K2" s="342"/>
      <c r="L2" s="342"/>
      <c r="M2" s="342"/>
      <c r="N2" s="342"/>
      <c r="O2" s="342"/>
      <c r="P2" s="342"/>
      <c r="Q2" s="342"/>
      <c r="R2" s="342"/>
      <c r="S2" s="342"/>
      <c r="T2" s="342"/>
      <c r="U2" s="342"/>
      <c r="V2" s="342"/>
      <c r="W2" s="342"/>
      <c r="X2" s="342"/>
      <c r="Y2" s="342"/>
      <c r="Z2" s="342"/>
      <c r="AA2" s="342"/>
      <c r="AB2" s="343"/>
      <c r="AC2" s="337"/>
      <c r="AD2" s="333"/>
      <c r="AE2" s="330"/>
      <c r="AF2" s="330"/>
      <c r="AG2" s="330"/>
      <c r="AH2" s="330"/>
      <c r="AI2" s="330"/>
      <c r="AJ2" s="330"/>
      <c r="AK2" s="330"/>
      <c r="AL2" s="330"/>
      <c r="AM2" s="330"/>
      <c r="AN2" s="330"/>
      <c r="AO2" s="330"/>
      <c r="AP2" s="330"/>
      <c r="AQ2" s="334"/>
      <c r="AR2" s="334"/>
      <c r="AS2" s="334"/>
      <c r="AT2" s="334"/>
      <c r="AU2" s="334"/>
      <c r="AV2" s="334"/>
      <c r="AW2" s="334"/>
      <c r="AX2" s="334"/>
      <c r="AY2" s="334"/>
      <c r="AZ2" s="334"/>
      <c r="BA2" s="334"/>
      <c r="BB2" s="334"/>
      <c r="BC2" s="334"/>
      <c r="BD2" s="334"/>
      <c r="BE2" s="334"/>
      <c r="BF2" s="334"/>
      <c r="BG2" s="334"/>
      <c r="BH2" s="334"/>
      <c r="BI2" s="334"/>
      <c r="BJ2" s="334"/>
      <c r="BK2" s="334"/>
      <c r="BL2" s="334"/>
      <c r="BM2" s="334"/>
      <c r="BN2" s="335"/>
      <c r="BO2" s="334"/>
      <c r="BP2" s="334"/>
      <c r="BQ2" s="334"/>
      <c r="BR2" s="334"/>
      <c r="BS2" s="334"/>
      <c r="BT2" s="334"/>
      <c r="BU2" s="334"/>
      <c r="BV2" s="334"/>
      <c r="BW2" s="334"/>
      <c r="BX2" s="334"/>
      <c r="BY2" s="334"/>
      <c r="BZ2" s="334"/>
      <c r="CA2" s="334"/>
      <c r="CB2" s="334"/>
      <c r="CC2" s="334"/>
      <c r="CD2" s="334"/>
      <c r="CE2" s="334"/>
      <c r="CF2" s="334"/>
      <c r="CG2" s="334"/>
      <c r="CH2" s="334"/>
      <c r="CI2" s="334"/>
    </row>
    <row r="3" spans="1:87" ht="22.5">
      <c r="A3" s="1488"/>
      <c r="B3" s="1488"/>
      <c r="C3" s="1488"/>
      <c r="D3" s="1488"/>
      <c r="E3" s="1488"/>
      <c r="F3" s="1488"/>
      <c r="G3" s="1488"/>
      <c r="H3" s="1488"/>
      <c r="I3" s="1488"/>
      <c r="J3" s="344"/>
      <c r="K3" s="344"/>
      <c r="L3" s="344"/>
      <c r="M3" s="345"/>
      <c r="N3" s="345"/>
      <c r="O3" s="345"/>
      <c r="P3" s="1489" t="s">
        <v>935</v>
      </c>
      <c r="Q3" s="1490"/>
      <c r="R3" s="1490"/>
      <c r="S3" s="1490"/>
      <c r="T3" s="1490"/>
      <c r="U3" s="1490"/>
      <c r="V3" s="1490"/>
      <c r="W3" s="1490"/>
      <c r="X3" s="1490"/>
      <c r="Y3" s="1490"/>
      <c r="Z3" s="1490"/>
      <c r="AA3" s="1490"/>
      <c r="AB3" s="1490"/>
      <c r="AC3" s="340"/>
      <c r="AD3" s="333"/>
      <c r="AE3" s="330"/>
      <c r="AF3" s="330"/>
      <c r="AG3" s="330"/>
      <c r="AH3" s="330"/>
      <c r="AI3" s="330"/>
      <c r="AJ3" s="330"/>
      <c r="AK3" s="330"/>
      <c r="AL3" s="330"/>
      <c r="AM3" s="330"/>
      <c r="AN3" s="330"/>
      <c r="AO3" s="330"/>
      <c r="AP3" s="330"/>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5"/>
      <c r="BO3" s="334"/>
      <c r="BP3" s="334"/>
      <c r="BQ3" s="334"/>
      <c r="BR3" s="334"/>
      <c r="BS3" s="334"/>
      <c r="BT3" s="334"/>
      <c r="BU3" s="334"/>
      <c r="BV3" s="334"/>
      <c r="BW3" s="334"/>
      <c r="BX3" s="334"/>
      <c r="BY3" s="334"/>
      <c r="BZ3" s="334"/>
      <c r="CA3" s="334"/>
      <c r="CB3" s="334"/>
      <c r="CC3" s="334"/>
      <c r="CD3" s="334"/>
      <c r="CE3" s="334"/>
      <c r="CF3" s="334"/>
      <c r="CG3" s="334"/>
      <c r="CH3" s="334"/>
      <c r="CI3" s="334"/>
    </row>
    <row r="4" spans="1:87" ht="22.5">
      <c r="A4" s="1488"/>
      <c r="B4" s="1488"/>
      <c r="C4" s="1488"/>
      <c r="D4" s="1488"/>
      <c r="E4" s="1488"/>
      <c r="F4" s="1488"/>
      <c r="G4" s="1488"/>
      <c r="H4" s="1488"/>
      <c r="I4" s="1488"/>
      <c r="J4" s="344"/>
      <c r="K4" s="344"/>
      <c r="L4" s="344"/>
      <c r="M4" s="345"/>
      <c r="N4" s="345"/>
      <c r="O4" s="345"/>
      <c r="P4" s="1490"/>
      <c r="Q4" s="1490"/>
      <c r="R4" s="1490"/>
      <c r="S4" s="1490"/>
      <c r="T4" s="1490"/>
      <c r="U4" s="1490"/>
      <c r="V4" s="1490"/>
      <c r="W4" s="1490"/>
      <c r="X4" s="1490"/>
      <c r="Y4" s="1490"/>
      <c r="Z4" s="1490"/>
      <c r="AA4" s="1490"/>
      <c r="AB4" s="1490"/>
      <c r="AC4" s="340"/>
      <c r="AD4" s="333"/>
      <c r="AE4" s="330"/>
      <c r="AF4" s="330"/>
      <c r="AG4" s="330"/>
      <c r="AH4" s="330"/>
      <c r="AI4" s="330"/>
      <c r="AJ4" s="330"/>
      <c r="AK4" s="330"/>
      <c r="AL4" s="330"/>
      <c r="AM4" s="330"/>
      <c r="AN4" s="330"/>
      <c r="AO4" s="330"/>
      <c r="AP4" s="330"/>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5"/>
      <c r="BO4" s="334"/>
      <c r="BP4" s="334"/>
      <c r="BQ4" s="334"/>
      <c r="BR4" s="334"/>
      <c r="BS4" s="334"/>
      <c r="BT4" s="334"/>
      <c r="BU4" s="334"/>
      <c r="BV4" s="334"/>
      <c r="BW4" s="334"/>
      <c r="BX4" s="334"/>
      <c r="BY4" s="334"/>
      <c r="BZ4" s="334"/>
      <c r="CA4" s="334"/>
      <c r="CB4" s="334"/>
      <c r="CC4" s="334"/>
      <c r="CD4" s="334"/>
      <c r="CE4" s="334"/>
      <c r="CF4" s="334"/>
      <c r="CG4" s="334"/>
      <c r="CH4" s="334"/>
      <c r="CI4" s="334"/>
    </row>
    <row r="5" spans="1:87" ht="26.25" customHeight="1">
      <c r="A5" s="1491"/>
      <c r="B5" s="1491"/>
      <c r="C5" s="1491"/>
      <c r="D5" s="1491"/>
      <c r="E5" s="1491"/>
      <c r="F5" s="1491"/>
      <c r="G5" s="1491"/>
      <c r="H5" s="1491"/>
      <c r="I5" s="1491"/>
      <c r="J5" s="344"/>
      <c r="K5" s="344"/>
      <c r="L5" s="344"/>
      <c r="M5" s="345"/>
      <c r="N5" s="345"/>
      <c r="O5" s="345"/>
      <c r="P5" s="1489" t="s">
        <v>936</v>
      </c>
      <c r="Q5" s="1490"/>
      <c r="R5" s="1490"/>
      <c r="S5" s="1490"/>
      <c r="T5" s="1490"/>
      <c r="U5" s="1490"/>
      <c r="V5" s="1490"/>
      <c r="W5" s="1490"/>
      <c r="X5" s="1490"/>
      <c r="Y5" s="1490"/>
      <c r="Z5" s="1490"/>
      <c r="AA5" s="1490"/>
      <c r="AB5" s="1490"/>
      <c r="AC5" s="340"/>
      <c r="AD5" s="333"/>
      <c r="AE5" s="330"/>
      <c r="AF5" s="330"/>
      <c r="AG5" s="330"/>
      <c r="AH5" s="330"/>
      <c r="AI5" s="330"/>
      <c r="AJ5" s="330"/>
      <c r="AK5" s="330"/>
      <c r="AL5" s="330"/>
      <c r="AM5" s="330"/>
      <c r="AN5" s="330"/>
      <c r="AO5" s="330"/>
      <c r="AP5" s="330"/>
      <c r="AQ5" s="334"/>
      <c r="AR5" s="334"/>
      <c r="AS5" s="334"/>
      <c r="AT5" s="334"/>
      <c r="AU5" s="334"/>
      <c r="AV5" s="334"/>
      <c r="AW5" s="334"/>
      <c r="AX5" s="334"/>
      <c r="AY5" s="334"/>
      <c r="AZ5" s="334"/>
      <c r="BA5" s="334"/>
      <c r="BB5" s="334"/>
      <c r="BC5" s="334"/>
      <c r="BD5" s="334"/>
      <c r="BE5" s="334"/>
      <c r="BF5" s="334"/>
      <c r="BG5" s="334"/>
      <c r="BH5" s="334"/>
      <c r="BI5" s="334"/>
      <c r="BJ5" s="334"/>
      <c r="BK5" s="334"/>
      <c r="BL5" s="334"/>
      <c r="BM5" s="334"/>
      <c r="BN5" s="335"/>
      <c r="BO5" s="334"/>
      <c r="BP5" s="334"/>
      <c r="BQ5" s="334"/>
      <c r="BR5" s="334"/>
      <c r="BS5" s="334"/>
      <c r="BT5" s="334"/>
      <c r="BU5" s="334"/>
      <c r="BV5" s="334"/>
      <c r="BW5" s="334"/>
      <c r="BX5" s="334"/>
      <c r="BY5" s="334"/>
      <c r="BZ5" s="334"/>
      <c r="CA5" s="334"/>
      <c r="CB5" s="334"/>
      <c r="CC5" s="334"/>
      <c r="CD5" s="334"/>
      <c r="CE5" s="334"/>
      <c r="CF5" s="334"/>
      <c r="CG5" s="334"/>
      <c r="CH5" s="334"/>
      <c r="CI5" s="334"/>
    </row>
    <row r="6" spans="1:87" ht="27" customHeight="1">
      <c r="A6" s="1492"/>
      <c r="B6" s="1492"/>
      <c r="C6" s="1492"/>
      <c r="D6" s="1492"/>
      <c r="E6" s="1492"/>
      <c r="F6" s="1492"/>
      <c r="G6" s="1492"/>
      <c r="H6" s="1492"/>
      <c r="I6" s="1492"/>
      <c r="J6" s="345"/>
      <c r="K6" s="345"/>
      <c r="L6" s="345"/>
      <c r="M6" s="345"/>
      <c r="N6" s="345"/>
      <c r="O6" s="345"/>
      <c r="P6" s="1489" t="s">
        <v>937</v>
      </c>
      <c r="Q6" s="1490"/>
      <c r="R6" s="1490"/>
      <c r="S6" s="1490"/>
      <c r="T6" s="1490"/>
      <c r="U6" s="1490"/>
      <c r="V6" s="1490"/>
      <c r="W6" s="1490"/>
      <c r="X6" s="1490"/>
      <c r="Y6" s="1490"/>
      <c r="Z6" s="1490"/>
      <c r="AA6" s="1490"/>
      <c r="AB6" s="1490"/>
      <c r="AC6" s="340"/>
      <c r="AD6" s="333"/>
      <c r="AE6" s="330"/>
      <c r="AF6" s="330"/>
      <c r="AG6" s="330"/>
      <c r="AH6" s="330"/>
      <c r="AI6" s="330"/>
      <c r="AJ6" s="330"/>
      <c r="AK6" s="330"/>
      <c r="AL6" s="330"/>
      <c r="AM6" s="330"/>
      <c r="AN6" s="330"/>
      <c r="AO6" s="330"/>
      <c r="AP6" s="330"/>
      <c r="AQ6" s="334"/>
      <c r="AR6" s="334"/>
      <c r="AS6" s="334"/>
      <c r="AT6" s="334"/>
      <c r="AU6" s="334"/>
      <c r="AV6" s="334"/>
      <c r="AW6" s="334"/>
      <c r="AX6" s="334"/>
      <c r="AY6" s="334"/>
      <c r="AZ6" s="334"/>
      <c r="BA6" s="334"/>
      <c r="BB6" s="334"/>
      <c r="BC6" s="334"/>
      <c r="BD6" s="334"/>
      <c r="BE6" s="334"/>
      <c r="BF6" s="334"/>
      <c r="BG6" s="334"/>
      <c r="BH6" s="334"/>
      <c r="BI6" s="334"/>
      <c r="BJ6" s="334"/>
      <c r="BK6" s="334"/>
      <c r="BL6" s="334"/>
      <c r="BM6" s="334"/>
      <c r="BN6" s="335"/>
      <c r="BO6" s="334"/>
      <c r="BP6" s="334"/>
      <c r="BQ6" s="334"/>
      <c r="BR6" s="334"/>
      <c r="BS6" s="334"/>
      <c r="BT6" s="334"/>
      <c r="BU6" s="334"/>
      <c r="BV6" s="334"/>
      <c r="BW6" s="334"/>
      <c r="BX6" s="334"/>
      <c r="BY6" s="334"/>
      <c r="BZ6" s="334"/>
      <c r="CA6" s="334"/>
      <c r="CB6" s="334"/>
      <c r="CC6" s="334"/>
      <c r="CD6" s="334"/>
      <c r="CE6" s="334"/>
      <c r="CF6" s="334"/>
      <c r="CG6" s="334"/>
      <c r="CH6" s="334"/>
      <c r="CI6" s="334"/>
    </row>
    <row r="7" spans="1:87" ht="23.25">
      <c r="A7" s="1492"/>
      <c r="B7" s="1492"/>
      <c r="C7" s="1492"/>
      <c r="D7" s="1492"/>
      <c r="E7" s="1492"/>
      <c r="F7" s="1492"/>
      <c r="G7" s="1492"/>
      <c r="H7" s="1492"/>
      <c r="I7" s="1492"/>
      <c r="J7" s="345"/>
      <c r="K7" s="345"/>
      <c r="L7" s="345"/>
      <c r="M7" s="345"/>
      <c r="N7" s="345"/>
      <c r="O7" s="346"/>
      <c r="P7" s="1489" t="s">
        <v>938</v>
      </c>
      <c r="Q7" s="1489"/>
      <c r="R7" s="1489"/>
      <c r="S7" s="1489"/>
      <c r="T7" s="1489"/>
      <c r="U7" s="1489"/>
      <c r="V7" s="1489"/>
      <c r="W7" s="1489"/>
      <c r="X7" s="1489"/>
      <c r="Y7" s="1489"/>
      <c r="Z7" s="1489"/>
      <c r="AA7" s="1489"/>
      <c r="AB7" s="1489"/>
      <c r="AC7" s="717"/>
      <c r="AD7" s="333"/>
      <c r="AE7" s="330"/>
      <c r="AF7" s="330"/>
      <c r="AG7" s="330"/>
      <c r="AH7" s="330"/>
      <c r="AI7" s="330"/>
      <c r="AJ7" s="330"/>
      <c r="AK7" s="330"/>
      <c r="AL7" s="330"/>
      <c r="AM7" s="330"/>
      <c r="AN7" s="330"/>
      <c r="AO7" s="330"/>
      <c r="AP7" s="330"/>
      <c r="AQ7" s="334"/>
      <c r="AR7" s="334"/>
      <c r="AS7" s="334"/>
      <c r="AT7" s="334"/>
      <c r="AU7" s="334"/>
      <c r="AV7" s="334"/>
      <c r="AW7" s="334"/>
      <c r="AX7" s="334"/>
      <c r="AY7" s="334"/>
      <c r="AZ7" s="334"/>
      <c r="BA7" s="334"/>
      <c r="BB7" s="334"/>
      <c r="BC7" s="334"/>
      <c r="BD7" s="334"/>
      <c r="BE7" s="334"/>
      <c r="BF7" s="334"/>
      <c r="BG7" s="334"/>
      <c r="BH7" s="334"/>
      <c r="BI7" s="334"/>
      <c r="BJ7" s="334"/>
      <c r="BK7" s="334"/>
      <c r="BL7" s="334"/>
      <c r="BM7" s="334"/>
      <c r="BN7" s="335"/>
      <c r="BO7" s="334"/>
      <c r="BP7" s="334"/>
      <c r="BQ7" s="334"/>
      <c r="BR7" s="334"/>
      <c r="BS7" s="334"/>
      <c r="BT7" s="334"/>
      <c r="BU7" s="334"/>
      <c r="BV7" s="334"/>
      <c r="BW7" s="334"/>
      <c r="BX7" s="334"/>
      <c r="BY7" s="334"/>
      <c r="BZ7" s="334"/>
      <c r="CA7" s="334"/>
      <c r="CB7" s="334"/>
      <c r="CC7" s="334"/>
      <c r="CD7" s="334"/>
      <c r="CE7" s="334"/>
      <c r="CF7" s="334"/>
      <c r="CG7" s="334"/>
      <c r="CH7" s="334"/>
      <c r="CI7" s="334"/>
    </row>
    <row r="8" spans="1:87" ht="26.25" customHeight="1">
      <c r="A8" s="1492"/>
      <c r="B8" s="1492"/>
      <c r="C8" s="1492"/>
      <c r="D8" s="1492"/>
      <c r="E8" s="1492"/>
      <c r="F8" s="1492"/>
      <c r="G8" s="1492"/>
      <c r="H8" s="1492"/>
      <c r="I8" s="1492"/>
      <c r="J8" s="345"/>
      <c r="K8" s="345"/>
      <c r="L8" s="345"/>
      <c r="M8" s="345"/>
      <c r="N8" s="345"/>
      <c r="O8" s="346"/>
      <c r="P8" s="1489" t="s">
        <v>2404</v>
      </c>
      <c r="Q8" s="1489"/>
      <c r="R8" s="1489"/>
      <c r="S8" s="1489"/>
      <c r="T8" s="1489"/>
      <c r="U8" s="1489"/>
      <c r="V8" s="1489"/>
      <c r="W8" s="1489"/>
      <c r="X8" s="1489"/>
      <c r="Y8" s="1489"/>
      <c r="Z8" s="1489"/>
      <c r="AA8" s="1489"/>
      <c r="AB8" s="1489"/>
      <c r="AC8" s="717"/>
      <c r="AD8" s="333"/>
      <c r="AE8" s="330"/>
      <c r="AF8" s="330"/>
      <c r="AG8" s="330"/>
      <c r="AH8" s="330"/>
      <c r="AI8" s="330"/>
      <c r="AJ8" s="330"/>
      <c r="AK8" s="330"/>
      <c r="AL8" s="330"/>
      <c r="AM8" s="330"/>
      <c r="AN8" s="330"/>
      <c r="AO8" s="330"/>
      <c r="AP8" s="330"/>
      <c r="AQ8" s="334"/>
      <c r="AR8" s="334"/>
      <c r="AS8" s="334"/>
      <c r="AT8" s="334"/>
      <c r="AU8" s="334"/>
      <c r="AV8" s="334"/>
      <c r="AW8" s="334"/>
      <c r="AX8" s="334"/>
      <c r="AY8" s="334"/>
      <c r="AZ8" s="334"/>
      <c r="BA8" s="334"/>
      <c r="BB8" s="334"/>
      <c r="BC8" s="334"/>
      <c r="BD8" s="334"/>
      <c r="BE8" s="334"/>
      <c r="BF8" s="334"/>
      <c r="BG8" s="334"/>
      <c r="BH8" s="334"/>
      <c r="BI8" s="334"/>
      <c r="BJ8" s="334"/>
      <c r="BK8" s="334"/>
      <c r="BL8" s="334"/>
      <c r="BM8" s="334"/>
      <c r="BN8" s="335"/>
      <c r="BO8" s="334"/>
      <c r="BP8" s="334"/>
      <c r="BQ8" s="334"/>
      <c r="BR8" s="334"/>
      <c r="BS8" s="334"/>
      <c r="BT8" s="334"/>
      <c r="BU8" s="334"/>
      <c r="BV8" s="334"/>
      <c r="BW8" s="334"/>
      <c r="BX8" s="334"/>
      <c r="BY8" s="334"/>
      <c r="BZ8" s="334"/>
      <c r="CA8" s="334"/>
      <c r="CB8" s="334"/>
      <c r="CC8" s="334"/>
      <c r="CD8" s="334"/>
      <c r="CE8" s="334"/>
      <c r="CF8" s="334"/>
      <c r="CG8" s="334"/>
      <c r="CH8" s="334"/>
      <c r="CI8" s="334"/>
    </row>
    <row r="9" spans="1:87" ht="29.25" customHeight="1">
      <c r="A9" s="1487" t="s">
        <v>2405</v>
      </c>
      <c r="B9" s="1487"/>
      <c r="C9" s="1487"/>
      <c r="D9" s="1487"/>
      <c r="E9" s="1487"/>
      <c r="F9" s="1487"/>
      <c r="G9" s="1487"/>
      <c r="H9" s="1487"/>
      <c r="I9" s="1487"/>
      <c r="J9" s="1487"/>
      <c r="K9" s="1487"/>
      <c r="L9" s="1487"/>
      <c r="M9" s="1487"/>
      <c r="N9" s="1487"/>
      <c r="O9" s="1487"/>
      <c r="P9" s="1487"/>
      <c r="Q9" s="1487"/>
      <c r="R9" s="1487"/>
      <c r="S9" s="1487"/>
      <c r="T9" s="1487"/>
      <c r="U9" s="1487"/>
      <c r="V9" s="1487"/>
      <c r="W9" s="1487"/>
      <c r="X9" s="1487"/>
      <c r="Y9" s="1487"/>
      <c r="Z9" s="1487"/>
      <c r="AA9" s="1487"/>
      <c r="AB9" s="1487"/>
      <c r="AC9" s="347"/>
      <c r="AD9" s="333"/>
      <c r="AE9" s="330"/>
      <c r="AF9" s="330"/>
      <c r="AG9" s="330"/>
      <c r="AH9" s="330"/>
      <c r="AI9" s="330"/>
      <c r="AJ9" s="330"/>
      <c r="AK9" s="330"/>
      <c r="AL9" s="330"/>
      <c r="AM9" s="330"/>
      <c r="AN9" s="330"/>
      <c r="AO9" s="330"/>
      <c r="AP9" s="330"/>
      <c r="AQ9" s="334"/>
      <c r="AR9" s="334"/>
      <c r="AS9" s="334"/>
      <c r="AT9" s="334"/>
      <c r="AU9" s="334"/>
      <c r="AV9" s="334"/>
      <c r="AW9" s="334"/>
      <c r="AX9" s="334"/>
      <c r="AY9" s="334"/>
      <c r="AZ9" s="334"/>
      <c r="BA9" s="334"/>
      <c r="BB9" s="334"/>
      <c r="BC9" s="334"/>
      <c r="BD9" s="334"/>
      <c r="BE9" s="334"/>
      <c r="BF9" s="334"/>
      <c r="BG9" s="334"/>
      <c r="BH9" s="334"/>
      <c r="BI9" s="334"/>
      <c r="BJ9" s="334"/>
      <c r="BK9" s="334"/>
      <c r="BL9" s="334"/>
      <c r="BM9" s="334"/>
      <c r="BN9" s="335"/>
      <c r="BO9" s="334"/>
      <c r="BP9" s="334"/>
      <c r="BQ9" s="334"/>
      <c r="BR9" s="334"/>
      <c r="BS9" s="334"/>
      <c r="BT9" s="334"/>
      <c r="BU9" s="334"/>
      <c r="BV9" s="334"/>
      <c r="BW9" s="334"/>
      <c r="BX9" s="334"/>
      <c r="BY9" s="334"/>
      <c r="BZ9" s="334"/>
      <c r="CA9" s="334"/>
      <c r="CB9" s="334"/>
      <c r="CC9" s="334"/>
      <c r="CD9" s="334"/>
      <c r="CE9" s="334"/>
      <c r="CF9" s="334"/>
      <c r="CG9" s="334"/>
      <c r="CH9" s="334"/>
      <c r="CI9" s="334"/>
    </row>
    <row r="10" spans="1:87" ht="28.5" customHeight="1">
      <c r="A10" s="1487" t="s">
        <v>2406</v>
      </c>
      <c r="B10" s="1487"/>
      <c r="C10" s="1487"/>
      <c r="D10" s="1487"/>
      <c r="E10" s="1487"/>
      <c r="F10" s="1487"/>
      <c r="G10" s="1487"/>
      <c r="H10" s="1487"/>
      <c r="I10" s="1487"/>
      <c r="J10" s="1487"/>
      <c r="K10" s="1487"/>
      <c r="L10" s="1487"/>
      <c r="M10" s="1487"/>
      <c r="N10" s="1487"/>
      <c r="O10" s="1487"/>
      <c r="P10" s="1487"/>
      <c r="Q10" s="1487"/>
      <c r="R10" s="1487"/>
      <c r="S10" s="1487"/>
      <c r="T10" s="1487"/>
      <c r="U10" s="1487"/>
      <c r="V10" s="1487"/>
      <c r="W10" s="1487"/>
      <c r="X10" s="1487"/>
      <c r="Y10" s="1487"/>
      <c r="Z10" s="1487"/>
      <c r="AA10" s="1487"/>
      <c r="AB10" s="1487"/>
      <c r="AC10" s="348"/>
      <c r="AD10" s="333"/>
      <c r="AE10" s="330"/>
      <c r="AF10" s="330"/>
      <c r="AG10" s="330"/>
      <c r="AH10" s="330"/>
      <c r="AI10" s="330"/>
      <c r="AJ10" s="330"/>
      <c r="AK10" s="330"/>
      <c r="AL10" s="330"/>
      <c r="AM10" s="330"/>
      <c r="AN10" s="330"/>
      <c r="AO10" s="330"/>
      <c r="AP10" s="330"/>
      <c r="AQ10" s="334"/>
      <c r="AR10" s="334"/>
      <c r="AS10" s="334"/>
      <c r="AT10" s="334"/>
      <c r="AU10" s="334"/>
      <c r="AV10" s="334"/>
      <c r="AW10" s="334"/>
      <c r="AX10" s="334"/>
      <c r="AY10" s="334"/>
      <c r="AZ10" s="334"/>
      <c r="BA10" s="334"/>
      <c r="BB10" s="334"/>
      <c r="BC10" s="334"/>
      <c r="BD10" s="334"/>
      <c r="BE10" s="334"/>
      <c r="BF10" s="334"/>
      <c r="BG10" s="334"/>
      <c r="BH10" s="334"/>
      <c r="BI10" s="334"/>
      <c r="BJ10" s="334"/>
      <c r="BK10" s="334"/>
      <c r="BL10" s="334"/>
      <c r="BM10" s="334"/>
      <c r="BN10" s="335"/>
      <c r="BO10" s="334"/>
      <c r="BP10" s="334"/>
      <c r="BQ10" s="334"/>
      <c r="BR10" s="334"/>
      <c r="BS10" s="334"/>
      <c r="BT10" s="334"/>
      <c r="BU10" s="334"/>
      <c r="BV10" s="334"/>
      <c r="BW10" s="334"/>
      <c r="BX10" s="334"/>
      <c r="BY10" s="334"/>
      <c r="BZ10" s="334"/>
      <c r="CA10" s="334"/>
      <c r="CB10" s="334"/>
      <c r="CC10" s="334"/>
      <c r="CD10" s="334"/>
      <c r="CE10" s="334"/>
      <c r="CF10" s="334"/>
      <c r="CG10" s="334"/>
      <c r="CH10" s="334"/>
      <c r="CI10" s="334"/>
    </row>
    <row r="11" spans="1:87" ht="15.75">
      <c r="A11" s="349"/>
      <c r="B11" s="349" t="s">
        <v>8</v>
      </c>
      <c r="C11" s="350"/>
      <c r="D11" s="350"/>
      <c r="E11" s="349"/>
      <c r="F11" s="349"/>
      <c r="G11" s="351"/>
      <c r="H11" s="352"/>
      <c r="I11" s="351"/>
      <c r="J11" s="351"/>
      <c r="K11" s="351"/>
      <c r="L11" s="351"/>
      <c r="M11" s="351"/>
      <c r="N11" s="351"/>
      <c r="O11" s="351"/>
      <c r="P11" s="351"/>
      <c r="Q11" s="351"/>
      <c r="R11" s="351"/>
      <c r="S11" s="351"/>
      <c r="T11" s="351"/>
      <c r="U11" s="351"/>
      <c r="V11" s="351"/>
      <c r="W11" s="351"/>
      <c r="X11" s="351"/>
      <c r="Y11" s="351"/>
      <c r="Z11" s="351"/>
      <c r="AA11" s="351"/>
      <c r="AB11" s="351"/>
      <c r="AC11" s="353"/>
      <c r="AD11" s="333"/>
      <c r="AE11" s="330"/>
      <c r="AF11" s="330"/>
      <c r="AG11" s="330"/>
      <c r="AH11" s="330"/>
      <c r="AI11" s="330"/>
      <c r="AJ11" s="330"/>
      <c r="AK11" s="330"/>
      <c r="AL11" s="330"/>
      <c r="AM11" s="330"/>
      <c r="AN11" s="330"/>
      <c r="AO11" s="330"/>
      <c r="AP11" s="330"/>
      <c r="AQ11" s="334"/>
      <c r="AR11" s="334"/>
      <c r="AS11" s="334"/>
      <c r="AT11" s="334"/>
      <c r="AU11" s="334"/>
      <c r="AV11" s="334"/>
      <c r="AW11" s="334"/>
      <c r="AX11" s="334"/>
      <c r="AY11" s="334"/>
      <c r="AZ11" s="354" t="s">
        <v>2407</v>
      </c>
      <c r="BA11" s="334"/>
      <c r="BB11" s="334"/>
      <c r="BC11" s="334"/>
      <c r="BD11" s="334"/>
      <c r="BE11" s="334"/>
      <c r="BF11" s="334"/>
      <c r="BG11" s="334"/>
      <c r="BH11" s="334"/>
      <c r="BI11" s="334"/>
      <c r="BJ11" s="334"/>
      <c r="BK11" s="334"/>
      <c r="BL11" s="334"/>
      <c r="BM11" s="334"/>
      <c r="BN11" s="335"/>
      <c r="BO11" s="334"/>
      <c r="BP11" s="334"/>
      <c r="BQ11" s="334"/>
      <c r="BR11" s="334"/>
      <c r="BS11" s="334"/>
      <c r="BT11" s="334"/>
      <c r="BU11" s="334"/>
      <c r="BV11" s="334"/>
      <c r="BW11" s="334"/>
      <c r="BX11" s="334"/>
      <c r="BY11" s="334"/>
      <c r="BZ11" s="334"/>
      <c r="CA11" s="334"/>
      <c r="CB11" s="334"/>
      <c r="CC11" s="334"/>
      <c r="CD11" s="334"/>
      <c r="CE11" s="334"/>
      <c r="CF11" s="334"/>
      <c r="CG11" s="334"/>
      <c r="CH11" s="334"/>
      <c r="CI11" s="334"/>
    </row>
    <row r="12" spans="1:87" ht="168.75" customHeight="1">
      <c r="A12" s="1495" t="s">
        <v>1</v>
      </c>
      <c r="B12" s="1496"/>
      <c r="C12" s="1499" t="s">
        <v>939</v>
      </c>
      <c r="D12" s="1499" t="s">
        <v>940</v>
      </c>
      <c r="E12" s="1499" t="s">
        <v>941</v>
      </c>
      <c r="F12" s="1499" t="s">
        <v>942</v>
      </c>
      <c r="G12" s="1499" t="s">
        <v>943</v>
      </c>
      <c r="H12" s="1501" t="s">
        <v>944</v>
      </c>
      <c r="I12" s="1499" t="s">
        <v>945</v>
      </c>
      <c r="J12" s="1499" t="s">
        <v>191</v>
      </c>
      <c r="K12" s="1504" t="s">
        <v>946</v>
      </c>
      <c r="L12" s="1506" t="s">
        <v>947</v>
      </c>
      <c r="M12" s="1507"/>
      <c r="N12" s="1507"/>
      <c r="O12" s="1507"/>
      <c r="P12" s="1508"/>
      <c r="Q12" s="1493" t="s">
        <v>948</v>
      </c>
      <c r="R12" s="1506" t="s">
        <v>949</v>
      </c>
      <c r="S12" s="1507"/>
      <c r="T12" s="1507"/>
      <c r="U12" s="1507"/>
      <c r="V12" s="1508"/>
      <c r="W12" s="1493" t="s">
        <v>950</v>
      </c>
      <c r="X12" s="1510" t="s">
        <v>951</v>
      </c>
      <c r="Y12" s="1504" t="s">
        <v>952</v>
      </c>
      <c r="Z12" s="1504" t="s">
        <v>953</v>
      </c>
      <c r="AA12" s="1509" t="s">
        <v>954</v>
      </c>
      <c r="AB12" s="1508"/>
      <c r="AC12" s="1509" t="s">
        <v>955</v>
      </c>
      <c r="AD12" s="1508"/>
      <c r="AE12" s="1499" t="s">
        <v>956</v>
      </c>
      <c r="AF12" s="1509" t="s">
        <v>957</v>
      </c>
      <c r="AG12" s="1508"/>
      <c r="AH12" s="1509" t="s">
        <v>958</v>
      </c>
      <c r="AI12" s="1508"/>
      <c r="AJ12" s="1509" t="s">
        <v>959</v>
      </c>
      <c r="AK12" s="1508"/>
      <c r="AL12" s="1509" t="s">
        <v>960</v>
      </c>
      <c r="AM12" s="1508"/>
      <c r="AN12" s="1499" t="s">
        <v>942</v>
      </c>
      <c r="AO12" s="1506" t="s">
        <v>961</v>
      </c>
      <c r="AP12" s="1512"/>
      <c r="AQ12" s="1512"/>
      <c r="AR12" s="1513"/>
      <c r="AS12" s="1509" t="s">
        <v>962</v>
      </c>
      <c r="AT12" s="1514"/>
      <c r="AU12" s="1509" t="s">
        <v>963</v>
      </c>
      <c r="AV12" s="1508"/>
      <c r="AW12" s="1499" t="s">
        <v>964</v>
      </c>
      <c r="AX12" s="1504" t="s">
        <v>965</v>
      </c>
      <c r="AY12" s="1504" t="s">
        <v>966</v>
      </c>
      <c r="AZ12" s="1504" t="s">
        <v>967</v>
      </c>
      <c r="BA12" s="1523" t="s">
        <v>968</v>
      </c>
      <c r="BB12" s="1504" t="s">
        <v>969</v>
      </c>
      <c r="BC12" s="1504" t="s">
        <v>970</v>
      </c>
      <c r="BD12" s="1504" t="s">
        <v>971</v>
      </c>
      <c r="BE12" s="1504" t="s">
        <v>972</v>
      </c>
      <c r="BF12" s="1523" t="s">
        <v>973</v>
      </c>
      <c r="BG12" s="1504" t="s">
        <v>974</v>
      </c>
      <c r="BH12" s="1523" t="s">
        <v>975</v>
      </c>
      <c r="BI12" s="1504" t="s">
        <v>976</v>
      </c>
      <c r="BJ12" s="1504" t="s">
        <v>977</v>
      </c>
      <c r="BK12" s="1527" t="s">
        <v>978</v>
      </c>
      <c r="BL12" s="1525" t="s">
        <v>2408</v>
      </c>
      <c r="BM12" s="1516" t="s">
        <v>979</v>
      </c>
      <c r="BN12" s="1518" t="s">
        <v>980</v>
      </c>
      <c r="BO12" s="355"/>
      <c r="BP12" s="355"/>
      <c r="BQ12" s="355"/>
      <c r="BR12" s="355"/>
      <c r="BS12" s="355"/>
      <c r="BT12" s="355"/>
      <c r="BU12" s="355"/>
      <c r="BV12" s="355"/>
      <c r="BW12" s="355"/>
      <c r="BX12" s="355"/>
      <c r="BY12" s="355"/>
      <c r="BZ12" s="355"/>
      <c r="CA12" s="355"/>
      <c r="CB12" s="355"/>
      <c r="CC12" s="355"/>
      <c r="CD12" s="355"/>
      <c r="CE12" s="355"/>
      <c r="CF12" s="355"/>
      <c r="CG12" s="355"/>
      <c r="CH12" s="355"/>
      <c r="CI12" s="356"/>
    </row>
    <row r="13" spans="1:87" ht="73.5" customHeight="1">
      <c r="A13" s="1497"/>
      <c r="B13" s="1498"/>
      <c r="C13" s="1500"/>
      <c r="D13" s="1500"/>
      <c r="E13" s="1500"/>
      <c r="F13" s="1500"/>
      <c r="G13" s="1500"/>
      <c r="H13" s="1502"/>
      <c r="I13" s="1503"/>
      <c r="J13" s="1503"/>
      <c r="K13" s="1505"/>
      <c r="L13" s="357">
        <v>7</v>
      </c>
      <c r="M13" s="357">
        <v>8</v>
      </c>
      <c r="N13" s="357">
        <v>9</v>
      </c>
      <c r="O13" s="357">
        <v>10</v>
      </c>
      <c r="P13" s="357">
        <v>11</v>
      </c>
      <c r="Q13" s="1494"/>
      <c r="R13" s="357">
        <v>7</v>
      </c>
      <c r="S13" s="357">
        <v>8</v>
      </c>
      <c r="T13" s="357">
        <v>9</v>
      </c>
      <c r="U13" s="357">
        <v>10</v>
      </c>
      <c r="V13" s="357">
        <v>11</v>
      </c>
      <c r="W13" s="1494"/>
      <c r="X13" s="1511"/>
      <c r="Y13" s="1505"/>
      <c r="Z13" s="1505"/>
      <c r="AA13" s="358" t="s">
        <v>981</v>
      </c>
      <c r="AB13" s="359" t="s">
        <v>982</v>
      </c>
      <c r="AC13" s="358" t="s">
        <v>983</v>
      </c>
      <c r="AD13" s="359" t="s">
        <v>982</v>
      </c>
      <c r="AE13" s="1503"/>
      <c r="AF13" s="358" t="s">
        <v>223</v>
      </c>
      <c r="AG13" s="359" t="s">
        <v>984</v>
      </c>
      <c r="AH13" s="358" t="s">
        <v>985</v>
      </c>
      <c r="AI13" s="359" t="s">
        <v>986</v>
      </c>
      <c r="AJ13" s="358" t="s">
        <v>987</v>
      </c>
      <c r="AK13" s="359" t="s">
        <v>988</v>
      </c>
      <c r="AL13" s="360" t="s">
        <v>989</v>
      </c>
      <c r="AM13" s="359" t="s">
        <v>990</v>
      </c>
      <c r="AN13" s="1503"/>
      <c r="AO13" s="359" t="s">
        <v>991</v>
      </c>
      <c r="AP13" s="359" t="s">
        <v>992</v>
      </c>
      <c r="AQ13" s="359" t="s">
        <v>993</v>
      </c>
      <c r="AR13" s="359" t="s">
        <v>194</v>
      </c>
      <c r="AS13" s="358" t="s">
        <v>994</v>
      </c>
      <c r="AT13" s="359" t="s">
        <v>982</v>
      </c>
      <c r="AU13" s="358" t="s">
        <v>995</v>
      </c>
      <c r="AV13" s="359" t="s">
        <v>996</v>
      </c>
      <c r="AW13" s="1503"/>
      <c r="AX13" s="1505"/>
      <c r="AY13" s="1505"/>
      <c r="AZ13" s="1505"/>
      <c r="BA13" s="1524"/>
      <c r="BB13" s="1505"/>
      <c r="BC13" s="1505"/>
      <c r="BD13" s="1505"/>
      <c r="BE13" s="1505"/>
      <c r="BF13" s="1524"/>
      <c r="BG13" s="1505"/>
      <c r="BH13" s="1524"/>
      <c r="BI13" s="1505"/>
      <c r="BJ13" s="1505"/>
      <c r="BK13" s="1528"/>
      <c r="BL13" s="1526"/>
      <c r="BM13" s="1517"/>
      <c r="BN13" s="1519"/>
      <c r="BO13" s="355"/>
      <c r="BP13" s="355"/>
      <c r="BQ13" s="355"/>
      <c r="BR13" s="355"/>
      <c r="BS13" s="355"/>
      <c r="BT13" s="355"/>
      <c r="BU13" s="355"/>
      <c r="BV13" s="355"/>
      <c r="BW13" s="355"/>
      <c r="BX13" s="355"/>
      <c r="BY13" s="355"/>
      <c r="BZ13" s="355"/>
      <c r="CA13" s="355"/>
      <c r="CB13" s="355"/>
      <c r="CC13" s="355"/>
      <c r="CD13" s="355"/>
      <c r="CE13" s="355"/>
      <c r="CF13" s="355"/>
      <c r="CG13" s="355"/>
      <c r="CH13" s="355"/>
      <c r="CI13" s="356"/>
    </row>
    <row r="14" spans="1:87" ht="73.5" customHeight="1">
      <c r="A14" s="141">
        <v>1</v>
      </c>
      <c r="B14" s="142">
        <v>1</v>
      </c>
      <c r="C14" s="143" t="s">
        <v>197</v>
      </c>
      <c r="D14" s="144" t="s">
        <v>262</v>
      </c>
      <c r="E14" s="142" t="s">
        <v>57</v>
      </c>
      <c r="F14" s="142" t="s">
        <v>249</v>
      </c>
      <c r="G14" s="145"/>
      <c r="H14" s="145" t="s">
        <v>2363</v>
      </c>
      <c r="I14" s="142">
        <f>17697</f>
        <v>17697</v>
      </c>
      <c r="J14" s="146">
        <v>11.4</v>
      </c>
      <c r="K14" s="146">
        <f t="shared" ref="K14:K64" si="0">I14*J14</f>
        <v>201745.80000000002</v>
      </c>
      <c r="L14" s="142"/>
      <c r="M14" s="142"/>
      <c r="N14" s="142">
        <v>24</v>
      </c>
      <c r="O14" s="142"/>
      <c r="P14" s="142"/>
      <c r="Q14" s="147">
        <f t="shared" ref="Q14:Q37" si="1">SUM(L14:P14)</f>
        <v>24</v>
      </c>
      <c r="R14" s="148"/>
      <c r="S14" s="148"/>
      <c r="T14" s="148">
        <v>3</v>
      </c>
      <c r="U14" s="148"/>
      <c r="V14" s="148"/>
      <c r="W14" s="147">
        <f t="shared" ref="W14:W37" si="2">SUM(R14:V14)</f>
        <v>3</v>
      </c>
      <c r="X14" s="149">
        <f t="shared" ref="X14:X64" si="3">Q14+W14</f>
        <v>27</v>
      </c>
      <c r="Y14" s="146">
        <f t="shared" ref="Y14:Y64" si="4">K14/16*X14</f>
        <v>340446.03750000003</v>
      </c>
      <c r="Z14" s="146">
        <f t="shared" ref="Z14:Z64" si="5">Y14*10%</f>
        <v>34044.603750000002</v>
      </c>
      <c r="AA14" s="142">
        <v>27</v>
      </c>
      <c r="AB14" s="146">
        <f t="shared" ref="AB14:AB64" si="6">I14/16*AA14*40%</f>
        <v>11945.475</v>
      </c>
      <c r="AC14" s="142">
        <v>0</v>
      </c>
      <c r="AD14" s="146">
        <f t="shared" ref="AD14:AD64" si="7">I14/16*AC14*40%*50%</f>
        <v>0</v>
      </c>
      <c r="AE14" s="146">
        <f>1*50000</f>
        <v>50000</v>
      </c>
      <c r="AF14" s="142">
        <v>225</v>
      </c>
      <c r="AG14" s="146">
        <f t="shared" ref="AG14:AG29" si="8">17697*20%</f>
        <v>3539.4</v>
      </c>
      <c r="AH14" s="142"/>
      <c r="AI14" s="146"/>
      <c r="AJ14" s="142"/>
      <c r="AK14" s="146"/>
      <c r="AL14" s="1004">
        <v>27</v>
      </c>
      <c r="AM14" s="1005">
        <v>102133.81125000001</v>
      </c>
      <c r="AN14" s="1006" t="s">
        <v>249</v>
      </c>
      <c r="AO14" s="1005">
        <v>170223.01875000002</v>
      </c>
      <c r="AP14" s="1005" t="s">
        <v>2364</v>
      </c>
      <c r="AQ14" s="1005" t="s">
        <v>2364</v>
      </c>
      <c r="AR14" s="1005" t="s">
        <v>2364</v>
      </c>
      <c r="AS14" s="1007"/>
      <c r="AT14" s="1005"/>
      <c r="AU14" s="1007"/>
      <c r="AV14" s="1005"/>
      <c r="AW14" s="1006"/>
      <c r="AX14" s="1008"/>
      <c r="AY14" s="1008"/>
      <c r="AZ14" s="1008">
        <v>371886.30875000003</v>
      </c>
      <c r="BA14" s="715">
        <v>712332.34625000006</v>
      </c>
      <c r="BB14" s="1008">
        <v>71233.234625000012</v>
      </c>
      <c r="BC14" s="1008">
        <v>14246.646925000001</v>
      </c>
      <c r="BD14" s="1008">
        <v>56616.246470000006</v>
      </c>
      <c r="BE14" s="1008">
        <v>570236.21823</v>
      </c>
      <c r="BF14" s="715">
        <v>8547988.1550000012</v>
      </c>
      <c r="BG14" s="1008">
        <v>340446.03750000003</v>
      </c>
      <c r="BH14" s="715">
        <v>8888434.1925000008</v>
      </c>
      <c r="BI14" s="1008">
        <v>399979.53866250004</v>
      </c>
      <c r="BJ14" s="1008">
        <v>256439.64465000003</v>
      </c>
      <c r="BK14" s="1009">
        <v>461169.872454</v>
      </c>
      <c r="BL14" s="1010">
        <v>399979.53866250004</v>
      </c>
      <c r="BM14" s="1011">
        <v>10406002.786929002</v>
      </c>
      <c r="BN14" s="714"/>
      <c r="BO14" s="355"/>
      <c r="BP14" s="355"/>
      <c r="BQ14" s="355"/>
      <c r="BR14" s="355"/>
      <c r="BS14" s="355"/>
      <c r="BT14" s="355"/>
      <c r="BU14" s="355"/>
      <c r="BV14" s="355"/>
      <c r="BW14" s="355"/>
      <c r="BX14" s="355"/>
      <c r="BY14" s="355"/>
      <c r="BZ14" s="355"/>
      <c r="CA14" s="355"/>
      <c r="CB14" s="355"/>
      <c r="CC14" s="355"/>
      <c r="CD14" s="355"/>
      <c r="CE14" s="355"/>
      <c r="CF14" s="355"/>
      <c r="CG14" s="355"/>
      <c r="CH14" s="355"/>
      <c r="CI14" s="356"/>
    </row>
    <row r="15" spans="1:87" ht="73.5" customHeight="1">
      <c r="A15" s="141">
        <f t="shared" ref="A15:B30" si="9">A14+1</f>
        <v>2</v>
      </c>
      <c r="B15" s="142">
        <f t="shared" si="9"/>
        <v>2</v>
      </c>
      <c r="C15" s="151" t="s">
        <v>250</v>
      </c>
      <c r="D15" s="144" t="s">
        <v>2365</v>
      </c>
      <c r="E15" s="142" t="s">
        <v>57</v>
      </c>
      <c r="F15" s="142" t="s">
        <v>249</v>
      </c>
      <c r="G15" s="142" t="s">
        <v>224</v>
      </c>
      <c r="H15" s="145" t="s">
        <v>2366</v>
      </c>
      <c r="I15" s="142">
        <v>17697</v>
      </c>
      <c r="J15" s="146">
        <v>11.02</v>
      </c>
      <c r="K15" s="146">
        <f t="shared" si="0"/>
        <v>195020.94</v>
      </c>
      <c r="L15" s="142"/>
      <c r="M15" s="142"/>
      <c r="N15" s="142"/>
      <c r="O15" s="142"/>
      <c r="P15" s="142">
        <v>27</v>
      </c>
      <c r="Q15" s="147">
        <f t="shared" si="1"/>
        <v>27</v>
      </c>
      <c r="R15" s="148"/>
      <c r="S15" s="148"/>
      <c r="T15" s="148"/>
      <c r="U15" s="148"/>
      <c r="V15" s="148"/>
      <c r="W15" s="147">
        <f t="shared" si="2"/>
        <v>0</v>
      </c>
      <c r="X15" s="149">
        <f t="shared" si="3"/>
        <v>27</v>
      </c>
      <c r="Y15" s="146">
        <f t="shared" si="4"/>
        <v>329097.83624999999</v>
      </c>
      <c r="Z15" s="146">
        <f t="shared" si="5"/>
        <v>32909.783625000004</v>
      </c>
      <c r="AA15" s="142">
        <v>9</v>
      </c>
      <c r="AB15" s="146">
        <f t="shared" si="6"/>
        <v>3981.8250000000003</v>
      </c>
      <c r="AC15" s="142">
        <v>18</v>
      </c>
      <c r="AD15" s="146">
        <f t="shared" si="7"/>
        <v>3981.8250000000003</v>
      </c>
      <c r="AE15" s="146"/>
      <c r="AF15" s="142" t="s">
        <v>251</v>
      </c>
      <c r="AG15" s="146">
        <f t="shared" si="8"/>
        <v>3539.4</v>
      </c>
      <c r="AH15" s="142"/>
      <c r="AI15" s="146"/>
      <c r="AJ15" s="142"/>
      <c r="AK15" s="146"/>
      <c r="AL15" s="1004">
        <v>27</v>
      </c>
      <c r="AM15" s="1005">
        <v>98729.350874999989</v>
      </c>
      <c r="AN15" s="1006" t="s">
        <v>249</v>
      </c>
      <c r="AO15" s="1005">
        <v>164548.918125</v>
      </c>
      <c r="AP15" s="1005" t="s">
        <v>2364</v>
      </c>
      <c r="AQ15" s="1005" t="s">
        <v>2364</v>
      </c>
      <c r="AR15" s="1005" t="s">
        <v>2364</v>
      </c>
      <c r="AS15" s="1007"/>
      <c r="AT15" s="1005"/>
      <c r="AU15" s="1007"/>
      <c r="AV15" s="1005"/>
      <c r="AW15" s="1006" t="s">
        <v>224</v>
      </c>
      <c r="AX15" s="1008">
        <v>43350</v>
      </c>
      <c r="AY15" s="1008"/>
      <c r="AZ15" s="1008">
        <v>351041.10262499994</v>
      </c>
      <c r="BA15" s="715">
        <v>680138.93887499999</v>
      </c>
      <c r="BB15" s="1008">
        <v>68013.893887500002</v>
      </c>
      <c r="BC15" s="1008">
        <v>13602.7787775</v>
      </c>
      <c r="BD15" s="1008">
        <v>53783.226620999994</v>
      </c>
      <c r="BE15" s="1008">
        <v>544739.03958899993</v>
      </c>
      <c r="BF15" s="715">
        <v>8161667.2664999999</v>
      </c>
      <c r="BG15" s="1008">
        <v>329097.83624999999</v>
      </c>
      <c r="BH15" s="715">
        <v>8490765.1027499996</v>
      </c>
      <c r="BI15" s="1008">
        <v>382084.42962375004</v>
      </c>
      <c r="BJ15" s="1008">
        <v>244850.017995</v>
      </c>
      <c r="BK15" s="1009">
        <v>440545.64756219997</v>
      </c>
      <c r="BL15" s="1010">
        <v>382084.42962374998</v>
      </c>
      <c r="BM15" s="1011">
        <v>9940329.6275546979</v>
      </c>
      <c r="BN15" s="714"/>
      <c r="BO15" s="355"/>
      <c r="BP15" s="355"/>
      <c r="BQ15" s="355"/>
      <c r="BR15" s="355"/>
      <c r="BS15" s="355"/>
      <c r="BT15" s="355"/>
      <c r="BU15" s="355"/>
      <c r="BV15" s="355"/>
      <c r="BW15" s="355"/>
      <c r="BX15" s="355"/>
      <c r="BY15" s="355"/>
      <c r="BZ15" s="355"/>
      <c r="CA15" s="355"/>
      <c r="CB15" s="355"/>
      <c r="CC15" s="355"/>
      <c r="CD15" s="355"/>
      <c r="CE15" s="355"/>
      <c r="CF15" s="355"/>
      <c r="CG15" s="355"/>
      <c r="CH15" s="355"/>
      <c r="CI15" s="356"/>
    </row>
    <row r="16" spans="1:87" ht="73.5" customHeight="1">
      <c r="A16" s="141">
        <f t="shared" si="9"/>
        <v>3</v>
      </c>
      <c r="B16" s="142">
        <f t="shared" si="9"/>
        <v>3</v>
      </c>
      <c r="C16" s="996" t="s">
        <v>2335</v>
      </c>
      <c r="D16" s="997" t="s">
        <v>2367</v>
      </c>
      <c r="E16" s="142" t="s">
        <v>57</v>
      </c>
      <c r="F16" s="142"/>
      <c r="G16" s="142" t="s">
        <v>224</v>
      </c>
      <c r="H16" s="145" t="s">
        <v>279</v>
      </c>
      <c r="I16" s="142">
        <v>17697</v>
      </c>
      <c r="J16" s="146">
        <v>9.66</v>
      </c>
      <c r="K16" s="146">
        <f t="shared" si="0"/>
        <v>170953.02</v>
      </c>
      <c r="L16" s="142"/>
      <c r="M16" s="142">
        <v>8</v>
      </c>
      <c r="N16" s="142">
        <v>8</v>
      </c>
      <c r="O16" s="142"/>
      <c r="P16" s="142">
        <v>9</v>
      </c>
      <c r="Q16" s="147">
        <f t="shared" si="1"/>
        <v>25</v>
      </c>
      <c r="R16" s="148"/>
      <c r="S16" s="148">
        <v>1</v>
      </c>
      <c r="T16" s="148">
        <v>1</v>
      </c>
      <c r="U16" s="148"/>
      <c r="V16" s="148"/>
      <c r="W16" s="147">
        <f t="shared" si="2"/>
        <v>2</v>
      </c>
      <c r="X16" s="149">
        <f t="shared" si="3"/>
        <v>27</v>
      </c>
      <c r="Y16" s="146">
        <f t="shared" si="4"/>
        <v>288483.22125</v>
      </c>
      <c r="Z16" s="146">
        <f t="shared" si="5"/>
        <v>28848.322125000002</v>
      </c>
      <c r="AA16" s="142">
        <v>18</v>
      </c>
      <c r="AB16" s="146">
        <f t="shared" si="6"/>
        <v>7963.6500000000005</v>
      </c>
      <c r="AC16" s="142">
        <v>9</v>
      </c>
      <c r="AD16" s="146">
        <f t="shared" si="7"/>
        <v>1990.9125000000001</v>
      </c>
      <c r="AE16" s="146"/>
      <c r="AF16" s="142"/>
      <c r="AG16" s="146"/>
      <c r="AH16" s="142"/>
      <c r="AI16" s="146"/>
      <c r="AJ16" s="142"/>
      <c r="AK16" s="146"/>
      <c r="AL16" s="1004">
        <v>27</v>
      </c>
      <c r="AM16" s="1005">
        <v>86544.966375000004</v>
      </c>
      <c r="AN16" s="1006">
        <v>0</v>
      </c>
      <c r="AO16" s="1005" t="s">
        <v>2364</v>
      </c>
      <c r="AP16" s="1005" t="s">
        <v>2364</v>
      </c>
      <c r="AQ16" s="1005" t="s">
        <v>2364</v>
      </c>
      <c r="AR16" s="1005" t="s">
        <v>2364</v>
      </c>
      <c r="AS16" s="1007"/>
      <c r="AT16" s="1005"/>
      <c r="AU16" s="1007"/>
      <c r="AV16" s="1005"/>
      <c r="AW16" s="1006" t="s">
        <v>224</v>
      </c>
      <c r="AX16" s="1008">
        <v>43350</v>
      </c>
      <c r="AY16" s="1008"/>
      <c r="AZ16" s="1008">
        <v>168697.851</v>
      </c>
      <c r="BA16" s="715">
        <v>457181.07224999997</v>
      </c>
      <c r="BB16" s="1008">
        <v>45718.107225</v>
      </c>
      <c r="BC16" s="1008">
        <v>9143.6214449999989</v>
      </c>
      <c r="BD16" s="1008">
        <v>34162.934357999999</v>
      </c>
      <c r="BE16" s="1008">
        <v>368156.40922199999</v>
      </c>
      <c r="BF16" s="715">
        <v>5486172.8669999996</v>
      </c>
      <c r="BG16" s="1008">
        <v>288483.22125</v>
      </c>
      <c r="BH16" s="715">
        <v>5774656.08825</v>
      </c>
      <c r="BI16" s="1008">
        <v>259859.52397125002</v>
      </c>
      <c r="BJ16" s="1008">
        <v>164585.18600999998</v>
      </c>
      <c r="BK16" s="1009">
        <v>299761.84845809999</v>
      </c>
      <c r="BL16" s="1010">
        <v>259859.52397124999</v>
      </c>
      <c r="BM16" s="1011">
        <v>6758722.170660601</v>
      </c>
      <c r="BN16" s="714"/>
      <c r="BO16" s="355"/>
      <c r="BP16" s="355"/>
      <c r="BQ16" s="355"/>
      <c r="BR16" s="355"/>
      <c r="BS16" s="355"/>
      <c r="BT16" s="355"/>
      <c r="BU16" s="355"/>
      <c r="BV16" s="355"/>
      <c r="BW16" s="355"/>
      <c r="BX16" s="355"/>
      <c r="BY16" s="355"/>
      <c r="BZ16" s="355"/>
      <c r="CA16" s="355"/>
      <c r="CB16" s="355"/>
      <c r="CC16" s="355"/>
      <c r="CD16" s="355"/>
      <c r="CE16" s="355"/>
      <c r="CF16" s="355"/>
      <c r="CG16" s="355"/>
      <c r="CH16" s="355"/>
      <c r="CI16" s="356"/>
    </row>
    <row r="17" spans="1:87" ht="73.5" customHeight="1">
      <c r="A17" s="141">
        <f t="shared" si="9"/>
        <v>4</v>
      </c>
      <c r="B17" s="142">
        <f t="shared" si="9"/>
        <v>4</v>
      </c>
      <c r="C17" s="143" t="s">
        <v>252</v>
      </c>
      <c r="D17" s="144" t="s">
        <v>253</v>
      </c>
      <c r="E17" s="142" t="s">
        <v>57</v>
      </c>
      <c r="F17" s="142"/>
      <c r="G17" s="142" t="s">
        <v>224</v>
      </c>
      <c r="H17" s="145" t="s">
        <v>2368</v>
      </c>
      <c r="I17" s="142">
        <v>17697</v>
      </c>
      <c r="J17" s="146">
        <v>10</v>
      </c>
      <c r="K17" s="146">
        <f t="shared" si="0"/>
        <v>176970</v>
      </c>
      <c r="L17" s="142">
        <v>24</v>
      </c>
      <c r="M17" s="142"/>
      <c r="N17" s="142"/>
      <c r="O17" s="142"/>
      <c r="P17" s="142"/>
      <c r="Q17" s="147">
        <f t="shared" si="1"/>
        <v>24</v>
      </c>
      <c r="R17" s="148">
        <v>3</v>
      </c>
      <c r="S17" s="148"/>
      <c r="T17" s="148"/>
      <c r="U17" s="148"/>
      <c r="V17" s="148"/>
      <c r="W17" s="147">
        <f t="shared" si="2"/>
        <v>3</v>
      </c>
      <c r="X17" s="149">
        <f t="shared" si="3"/>
        <v>27</v>
      </c>
      <c r="Y17" s="146">
        <f t="shared" si="4"/>
        <v>298636.875</v>
      </c>
      <c r="Z17" s="146">
        <f t="shared" si="5"/>
        <v>29863.6875</v>
      </c>
      <c r="AA17" s="142">
        <v>27</v>
      </c>
      <c r="AB17" s="146">
        <f t="shared" si="6"/>
        <v>11945.475</v>
      </c>
      <c r="AC17" s="142">
        <v>0</v>
      </c>
      <c r="AD17" s="146">
        <f t="shared" si="7"/>
        <v>0</v>
      </c>
      <c r="AE17" s="142"/>
      <c r="AF17" s="142">
        <v>209</v>
      </c>
      <c r="AG17" s="146">
        <f t="shared" si="8"/>
        <v>3539.4</v>
      </c>
      <c r="AH17" s="142"/>
      <c r="AI17" s="146"/>
      <c r="AJ17" s="142"/>
      <c r="AK17" s="146"/>
      <c r="AL17" s="1004">
        <v>27</v>
      </c>
      <c r="AM17" s="1005">
        <v>89591.0625</v>
      </c>
      <c r="AN17" s="1006">
        <v>0</v>
      </c>
      <c r="AO17" s="1005" t="s">
        <v>2364</v>
      </c>
      <c r="AP17" s="1005" t="s">
        <v>2364</v>
      </c>
      <c r="AQ17" s="1005" t="s">
        <v>2364</v>
      </c>
      <c r="AR17" s="1005" t="s">
        <v>2364</v>
      </c>
      <c r="AS17" s="1007"/>
      <c r="AT17" s="1005"/>
      <c r="AU17" s="1007"/>
      <c r="AV17" s="1005"/>
      <c r="AW17" s="1006" t="s">
        <v>224</v>
      </c>
      <c r="AX17" s="1008">
        <v>43350</v>
      </c>
      <c r="AY17" s="1008"/>
      <c r="AZ17" s="1008">
        <v>178289.625</v>
      </c>
      <c r="BA17" s="715">
        <v>476926.5</v>
      </c>
      <c r="BB17" s="1008">
        <v>47692.65</v>
      </c>
      <c r="BC17" s="1008">
        <v>9538.5300000000007</v>
      </c>
      <c r="BD17" s="1008">
        <v>35900.531999999999</v>
      </c>
      <c r="BE17" s="1008">
        <v>383794.78799999994</v>
      </c>
      <c r="BF17" s="715">
        <v>5723118</v>
      </c>
      <c r="BG17" s="1008">
        <v>298636.875</v>
      </c>
      <c r="BH17" s="715">
        <v>6021754.875</v>
      </c>
      <c r="BI17" s="1008">
        <v>270978.96937500004</v>
      </c>
      <c r="BJ17" s="1008">
        <v>171693.54</v>
      </c>
      <c r="BK17" s="1009">
        <v>312583.90364999993</v>
      </c>
      <c r="BL17" s="1010">
        <v>270978.96937499999</v>
      </c>
      <c r="BM17" s="1011">
        <v>7047990.2574000005</v>
      </c>
      <c r="BN17" s="714"/>
      <c r="BO17" s="355"/>
      <c r="BP17" s="355"/>
      <c r="BQ17" s="355"/>
      <c r="BR17" s="355"/>
      <c r="BS17" s="355"/>
      <c r="BT17" s="355"/>
      <c r="BU17" s="355"/>
      <c r="BV17" s="355"/>
      <c r="BW17" s="355"/>
      <c r="BX17" s="355"/>
      <c r="BY17" s="355"/>
      <c r="BZ17" s="355"/>
      <c r="CA17" s="355"/>
      <c r="CB17" s="355"/>
      <c r="CC17" s="355"/>
      <c r="CD17" s="355"/>
      <c r="CE17" s="355"/>
      <c r="CF17" s="355"/>
      <c r="CG17" s="355"/>
      <c r="CH17" s="355"/>
      <c r="CI17" s="356"/>
    </row>
    <row r="18" spans="1:87" ht="73.5" customHeight="1">
      <c r="A18" s="141">
        <f t="shared" si="9"/>
        <v>5</v>
      </c>
      <c r="B18" s="142">
        <f t="shared" si="9"/>
        <v>5</v>
      </c>
      <c r="C18" s="143" t="s">
        <v>393</v>
      </c>
      <c r="D18" s="144" t="s">
        <v>2369</v>
      </c>
      <c r="E18" s="142" t="s">
        <v>57</v>
      </c>
      <c r="F18" s="142" t="s">
        <v>254</v>
      </c>
      <c r="G18" s="142" t="s">
        <v>224</v>
      </c>
      <c r="H18" s="145" t="s">
        <v>2370</v>
      </c>
      <c r="I18" s="142">
        <v>17697</v>
      </c>
      <c r="J18" s="146">
        <v>10.220000000000001</v>
      </c>
      <c r="K18" s="146">
        <f t="shared" si="0"/>
        <v>180863.34000000003</v>
      </c>
      <c r="L18" s="153"/>
      <c r="M18" s="153">
        <v>24</v>
      </c>
      <c r="N18" s="153"/>
      <c r="O18" s="153"/>
      <c r="P18" s="153"/>
      <c r="Q18" s="147">
        <f t="shared" si="1"/>
        <v>24</v>
      </c>
      <c r="R18" s="153"/>
      <c r="S18" s="153">
        <v>3</v>
      </c>
      <c r="T18" s="153"/>
      <c r="U18" s="153"/>
      <c r="V18" s="153"/>
      <c r="W18" s="154">
        <f t="shared" si="2"/>
        <v>3</v>
      </c>
      <c r="X18" s="149">
        <f t="shared" si="3"/>
        <v>27</v>
      </c>
      <c r="Y18" s="146">
        <f t="shared" si="4"/>
        <v>305206.88625000004</v>
      </c>
      <c r="Z18" s="146">
        <f t="shared" si="5"/>
        <v>30520.688625000006</v>
      </c>
      <c r="AA18" s="142">
        <v>27</v>
      </c>
      <c r="AB18" s="146">
        <f t="shared" si="6"/>
        <v>11945.475</v>
      </c>
      <c r="AC18" s="142">
        <v>0</v>
      </c>
      <c r="AD18" s="146">
        <f t="shared" si="7"/>
        <v>0</v>
      </c>
      <c r="AE18" s="142"/>
      <c r="AF18" s="142">
        <v>104</v>
      </c>
      <c r="AG18" s="146">
        <f t="shared" si="8"/>
        <v>3539.4</v>
      </c>
      <c r="AH18" s="142"/>
      <c r="AI18" s="146"/>
      <c r="AJ18" s="142"/>
      <c r="AK18" s="146"/>
      <c r="AL18" s="1004">
        <v>27</v>
      </c>
      <c r="AM18" s="1005">
        <v>91562.065875000015</v>
      </c>
      <c r="AN18" s="1006" t="s">
        <v>254</v>
      </c>
      <c r="AO18" s="1005" t="s">
        <v>2364</v>
      </c>
      <c r="AP18" s="1005" t="s">
        <v>2364</v>
      </c>
      <c r="AQ18" s="1005" t="s">
        <v>2364</v>
      </c>
      <c r="AR18" s="1005">
        <v>91562.065875000015</v>
      </c>
      <c r="AS18" s="1007"/>
      <c r="AT18" s="1005"/>
      <c r="AU18" s="1007"/>
      <c r="AV18" s="1005"/>
      <c r="AW18" s="1006" t="s">
        <v>224</v>
      </c>
      <c r="AX18" s="1008">
        <v>43350</v>
      </c>
      <c r="AY18" s="1008"/>
      <c r="AZ18" s="1008">
        <v>272479.69537500007</v>
      </c>
      <c r="BA18" s="715">
        <v>577686.58162500011</v>
      </c>
      <c r="BB18" s="1008">
        <v>57768.658162500011</v>
      </c>
      <c r="BC18" s="1008">
        <v>11553.731632500003</v>
      </c>
      <c r="BD18" s="1008">
        <v>44767.419183000013</v>
      </c>
      <c r="BE18" s="1008">
        <v>463596.77264700009</v>
      </c>
      <c r="BF18" s="715">
        <v>6932238.9795000013</v>
      </c>
      <c r="BG18" s="1008">
        <v>305206.88625000004</v>
      </c>
      <c r="BH18" s="715">
        <v>7237445.8657500017</v>
      </c>
      <c r="BI18" s="1008">
        <v>325685.06395875011</v>
      </c>
      <c r="BJ18" s="1008">
        <v>207967.16938500004</v>
      </c>
      <c r="BK18" s="1009">
        <v>375571.15099560004</v>
      </c>
      <c r="BL18" s="1010">
        <v>325685.06395875005</v>
      </c>
      <c r="BM18" s="1011">
        <v>8472354.3140481021</v>
      </c>
      <c r="BN18" s="714"/>
      <c r="BO18" s="355"/>
      <c r="BP18" s="355"/>
      <c r="BQ18" s="355"/>
      <c r="BR18" s="355"/>
      <c r="BS18" s="355"/>
      <c r="BT18" s="355"/>
      <c r="BU18" s="355"/>
      <c r="BV18" s="355"/>
      <c r="BW18" s="355"/>
      <c r="BX18" s="355"/>
      <c r="BY18" s="355"/>
      <c r="BZ18" s="355"/>
      <c r="CA18" s="355"/>
      <c r="CB18" s="355"/>
      <c r="CC18" s="355"/>
      <c r="CD18" s="355"/>
      <c r="CE18" s="355"/>
      <c r="CF18" s="355"/>
      <c r="CG18" s="355"/>
      <c r="CH18" s="355"/>
      <c r="CI18" s="356"/>
    </row>
    <row r="19" spans="1:87" ht="73.5" customHeight="1">
      <c r="A19" s="141">
        <f t="shared" si="9"/>
        <v>6</v>
      </c>
      <c r="B19" s="142">
        <f t="shared" si="9"/>
        <v>6</v>
      </c>
      <c r="C19" s="143" t="s">
        <v>199</v>
      </c>
      <c r="D19" s="144" t="s">
        <v>2371</v>
      </c>
      <c r="E19" s="142" t="s">
        <v>57</v>
      </c>
      <c r="F19" s="142" t="s">
        <v>255</v>
      </c>
      <c r="G19" s="142"/>
      <c r="H19" s="145" t="s">
        <v>2372</v>
      </c>
      <c r="I19" s="142">
        <v>17697</v>
      </c>
      <c r="J19" s="146">
        <v>10.6</v>
      </c>
      <c r="K19" s="146">
        <f t="shared" si="0"/>
        <v>187588.19999999998</v>
      </c>
      <c r="L19" s="142"/>
      <c r="M19" s="142">
        <v>8</v>
      </c>
      <c r="N19" s="142">
        <v>16</v>
      </c>
      <c r="O19" s="142"/>
      <c r="P19" s="142"/>
      <c r="Q19" s="147">
        <f t="shared" si="1"/>
        <v>24</v>
      </c>
      <c r="R19" s="148"/>
      <c r="S19" s="148">
        <v>1</v>
      </c>
      <c r="T19" s="148">
        <v>2</v>
      </c>
      <c r="U19" s="148"/>
      <c r="V19" s="148"/>
      <c r="W19" s="147">
        <f t="shared" si="2"/>
        <v>3</v>
      </c>
      <c r="X19" s="149">
        <f t="shared" si="3"/>
        <v>27</v>
      </c>
      <c r="Y19" s="146">
        <f t="shared" si="4"/>
        <v>316555.08749999997</v>
      </c>
      <c r="Z19" s="146">
        <f t="shared" si="5"/>
        <v>31655.508749999997</v>
      </c>
      <c r="AA19" s="142">
        <v>18</v>
      </c>
      <c r="AB19" s="146">
        <f t="shared" si="6"/>
        <v>7963.6500000000005</v>
      </c>
      <c r="AC19" s="142">
        <v>9</v>
      </c>
      <c r="AD19" s="146">
        <f t="shared" si="7"/>
        <v>1990.9125000000001</v>
      </c>
      <c r="AE19" s="142"/>
      <c r="AF19" s="142">
        <v>207</v>
      </c>
      <c r="AG19" s="146">
        <f t="shared" si="8"/>
        <v>3539.4</v>
      </c>
      <c r="AH19" s="142"/>
      <c r="AI19" s="146"/>
      <c r="AJ19" s="142"/>
      <c r="AK19" s="146"/>
      <c r="AL19" s="1004">
        <v>27</v>
      </c>
      <c r="AM19" s="1005">
        <v>94966.526249999981</v>
      </c>
      <c r="AN19" s="1006" t="s">
        <v>255</v>
      </c>
      <c r="AO19" s="1005" t="s">
        <v>2364</v>
      </c>
      <c r="AP19" s="1005">
        <v>126622.03499999999</v>
      </c>
      <c r="AQ19" s="1005" t="s">
        <v>2364</v>
      </c>
      <c r="AR19" s="1005" t="s">
        <v>2364</v>
      </c>
      <c r="AS19" s="1007"/>
      <c r="AT19" s="1005"/>
      <c r="AU19" s="1007"/>
      <c r="AV19" s="1005"/>
      <c r="AW19" s="1006"/>
      <c r="AX19" s="1008"/>
      <c r="AY19" s="1008"/>
      <c r="AZ19" s="1008">
        <v>266738.03249999997</v>
      </c>
      <c r="BA19" s="715">
        <v>583293.11999999988</v>
      </c>
      <c r="BB19" s="1008">
        <v>58329.311999999991</v>
      </c>
      <c r="BC19" s="1008">
        <v>11665.862399999998</v>
      </c>
      <c r="BD19" s="1008">
        <v>45260.794559999988</v>
      </c>
      <c r="BE19" s="1008">
        <v>468037.15103999985</v>
      </c>
      <c r="BF19" s="715">
        <v>6999517.4399999985</v>
      </c>
      <c r="BG19" s="1008">
        <v>316555.08749999997</v>
      </c>
      <c r="BH19" s="715">
        <v>7316072.5274999989</v>
      </c>
      <c r="BI19" s="1008">
        <v>329223.26373749995</v>
      </c>
      <c r="BJ19" s="1008">
        <v>209985.52319999994</v>
      </c>
      <c r="BK19" s="1009">
        <v>379668.97811699996</v>
      </c>
      <c r="BL19" s="1010">
        <v>329223.26373749995</v>
      </c>
      <c r="BM19" s="1011">
        <v>8564173.5562919993</v>
      </c>
      <c r="BN19" s="714"/>
      <c r="BO19" s="355"/>
      <c r="BP19" s="355"/>
      <c r="BQ19" s="355"/>
      <c r="BR19" s="355"/>
      <c r="BS19" s="355"/>
      <c r="BT19" s="355"/>
      <c r="BU19" s="355"/>
      <c r="BV19" s="355"/>
      <c r="BW19" s="355"/>
      <c r="BX19" s="355"/>
      <c r="BY19" s="355"/>
      <c r="BZ19" s="355"/>
      <c r="CA19" s="355"/>
      <c r="CB19" s="355"/>
      <c r="CC19" s="355"/>
      <c r="CD19" s="355"/>
      <c r="CE19" s="355"/>
      <c r="CF19" s="355"/>
      <c r="CG19" s="355"/>
      <c r="CH19" s="355"/>
      <c r="CI19" s="356"/>
    </row>
    <row r="20" spans="1:87" ht="73.5" customHeight="1">
      <c r="A20" s="141">
        <f t="shared" si="9"/>
        <v>7</v>
      </c>
      <c r="B20" s="142">
        <f t="shared" si="9"/>
        <v>7</v>
      </c>
      <c r="C20" s="143" t="s">
        <v>256</v>
      </c>
      <c r="D20" s="155" t="s">
        <v>2373</v>
      </c>
      <c r="E20" s="142" t="s">
        <v>57</v>
      </c>
      <c r="F20" s="142" t="s">
        <v>255</v>
      </c>
      <c r="G20" s="142"/>
      <c r="H20" s="145" t="s">
        <v>2374</v>
      </c>
      <c r="I20" s="142">
        <v>17697</v>
      </c>
      <c r="J20" s="146">
        <v>11.4</v>
      </c>
      <c r="K20" s="146">
        <f t="shared" si="0"/>
        <v>201745.80000000002</v>
      </c>
      <c r="L20" s="142"/>
      <c r="M20" s="142"/>
      <c r="N20" s="142"/>
      <c r="O20" s="142"/>
      <c r="P20" s="142">
        <v>27</v>
      </c>
      <c r="Q20" s="147">
        <f t="shared" si="1"/>
        <v>27</v>
      </c>
      <c r="R20" s="148"/>
      <c r="S20" s="148"/>
      <c r="T20" s="148"/>
      <c r="U20" s="148"/>
      <c r="V20" s="148"/>
      <c r="W20" s="147">
        <f t="shared" si="2"/>
        <v>0</v>
      </c>
      <c r="X20" s="149">
        <f t="shared" si="3"/>
        <v>27</v>
      </c>
      <c r="Y20" s="146">
        <f t="shared" si="4"/>
        <v>340446.03750000003</v>
      </c>
      <c r="Z20" s="146">
        <f t="shared" si="5"/>
        <v>34044.603750000002</v>
      </c>
      <c r="AA20" s="142">
        <v>9</v>
      </c>
      <c r="AB20" s="146">
        <f t="shared" si="6"/>
        <v>3981.8250000000003</v>
      </c>
      <c r="AC20" s="142">
        <v>18</v>
      </c>
      <c r="AD20" s="146">
        <f t="shared" si="7"/>
        <v>3981.8250000000003</v>
      </c>
      <c r="AE20" s="142"/>
      <c r="AF20" s="142" t="s">
        <v>257</v>
      </c>
      <c r="AG20" s="146">
        <f t="shared" si="8"/>
        <v>3539.4</v>
      </c>
      <c r="AH20" s="142"/>
      <c r="AI20" s="146"/>
      <c r="AJ20" s="142"/>
      <c r="AK20" s="146"/>
      <c r="AL20" s="1004">
        <v>27</v>
      </c>
      <c r="AM20" s="1005">
        <v>102133.81125000001</v>
      </c>
      <c r="AN20" s="1006" t="s">
        <v>255</v>
      </c>
      <c r="AO20" s="1005" t="s">
        <v>2364</v>
      </c>
      <c r="AP20" s="1005">
        <v>136178.41500000001</v>
      </c>
      <c r="AQ20" s="1005" t="s">
        <v>2364</v>
      </c>
      <c r="AR20" s="1005" t="s">
        <v>2364</v>
      </c>
      <c r="AS20" s="1007"/>
      <c r="AT20" s="1005"/>
      <c r="AU20" s="1007"/>
      <c r="AV20" s="1005"/>
      <c r="AW20" s="1006"/>
      <c r="AX20" s="1008"/>
      <c r="AY20" s="1008"/>
      <c r="AZ20" s="1008">
        <v>283859.88</v>
      </c>
      <c r="BA20" s="715">
        <v>624305.91749999998</v>
      </c>
      <c r="BB20" s="1008">
        <v>62430.59175</v>
      </c>
      <c r="BC20" s="1008">
        <v>12486.118350000001</v>
      </c>
      <c r="BD20" s="1008">
        <v>48869.920740000001</v>
      </c>
      <c r="BE20" s="1008">
        <v>500519.28665999998</v>
      </c>
      <c r="BF20" s="715">
        <v>7491671.0099999998</v>
      </c>
      <c r="BG20" s="1008">
        <v>340446.03750000003</v>
      </c>
      <c r="BH20" s="715">
        <v>7832117.0474999994</v>
      </c>
      <c r="BI20" s="1008">
        <v>352445.26713749999</v>
      </c>
      <c r="BJ20" s="1008">
        <v>224750.13029999999</v>
      </c>
      <c r="BK20" s="1009">
        <v>406452.64434300002</v>
      </c>
      <c r="BL20" s="1010">
        <v>352445.26713749993</v>
      </c>
      <c r="BM20" s="1011">
        <v>9168210.3564179987</v>
      </c>
      <c r="BN20" s="714"/>
      <c r="BO20" s="355"/>
      <c r="BP20" s="355"/>
      <c r="BQ20" s="355"/>
      <c r="BR20" s="355"/>
      <c r="BS20" s="355"/>
      <c r="BT20" s="355"/>
      <c r="BU20" s="355"/>
      <c r="BV20" s="355"/>
      <c r="BW20" s="355"/>
      <c r="BX20" s="355"/>
      <c r="BY20" s="355"/>
      <c r="BZ20" s="355"/>
      <c r="CA20" s="355"/>
      <c r="CB20" s="355"/>
      <c r="CC20" s="355"/>
      <c r="CD20" s="355"/>
      <c r="CE20" s="355"/>
      <c r="CF20" s="355"/>
      <c r="CG20" s="355"/>
      <c r="CH20" s="355"/>
      <c r="CI20" s="356"/>
    </row>
    <row r="21" spans="1:87" ht="73.5" customHeight="1">
      <c r="A21" s="141">
        <f t="shared" si="9"/>
        <v>8</v>
      </c>
      <c r="B21" s="142">
        <f t="shared" si="9"/>
        <v>8</v>
      </c>
      <c r="C21" s="143" t="s">
        <v>207</v>
      </c>
      <c r="D21" s="144" t="s">
        <v>2375</v>
      </c>
      <c r="E21" s="142" t="s">
        <v>57</v>
      </c>
      <c r="F21" s="142" t="s">
        <v>249</v>
      </c>
      <c r="G21" s="152"/>
      <c r="H21" s="145" t="s">
        <v>2376</v>
      </c>
      <c r="I21" s="142">
        <v>17697</v>
      </c>
      <c r="J21" s="146">
        <v>11.4</v>
      </c>
      <c r="K21" s="146">
        <f t="shared" si="0"/>
        <v>201745.80000000002</v>
      </c>
      <c r="L21" s="142"/>
      <c r="M21" s="142"/>
      <c r="N21" s="142">
        <v>24</v>
      </c>
      <c r="O21" s="142"/>
      <c r="P21" s="142"/>
      <c r="Q21" s="147">
        <f t="shared" si="1"/>
        <v>24</v>
      </c>
      <c r="R21" s="148"/>
      <c r="S21" s="148"/>
      <c r="T21" s="148">
        <v>3</v>
      </c>
      <c r="U21" s="148"/>
      <c r="V21" s="148"/>
      <c r="W21" s="147">
        <f t="shared" si="2"/>
        <v>3</v>
      </c>
      <c r="X21" s="149">
        <f t="shared" si="3"/>
        <v>27</v>
      </c>
      <c r="Y21" s="146">
        <f t="shared" si="4"/>
        <v>340446.03750000003</v>
      </c>
      <c r="Z21" s="146">
        <f t="shared" si="5"/>
        <v>34044.603750000002</v>
      </c>
      <c r="AA21" s="142">
        <v>27</v>
      </c>
      <c r="AB21" s="146">
        <f>I21/16*AA21*40%</f>
        <v>11945.475</v>
      </c>
      <c r="AC21" s="142">
        <v>0</v>
      </c>
      <c r="AD21" s="146">
        <f t="shared" si="7"/>
        <v>0</v>
      </c>
      <c r="AE21" s="142"/>
      <c r="AF21" s="142">
        <v>227</v>
      </c>
      <c r="AG21" s="146">
        <f t="shared" si="8"/>
        <v>3539.4</v>
      </c>
      <c r="AH21" s="142" t="s">
        <v>545</v>
      </c>
      <c r="AI21" s="146">
        <f>I21*200%</f>
        <v>35394</v>
      </c>
      <c r="AJ21" s="142"/>
      <c r="AK21" s="146"/>
      <c r="AL21" s="1004">
        <v>27</v>
      </c>
      <c r="AM21" s="1005">
        <v>102133.81125000001</v>
      </c>
      <c r="AN21" s="1006" t="s">
        <v>249</v>
      </c>
      <c r="AO21" s="1005">
        <v>170223.01875000002</v>
      </c>
      <c r="AP21" s="1005" t="s">
        <v>2364</v>
      </c>
      <c r="AQ21" s="1005" t="s">
        <v>2364</v>
      </c>
      <c r="AR21" s="1005" t="s">
        <v>2364</v>
      </c>
      <c r="AS21" s="1007"/>
      <c r="AT21" s="1005"/>
      <c r="AU21" s="1007"/>
      <c r="AV21" s="1005"/>
      <c r="AW21" s="1006"/>
      <c r="AX21" s="1008"/>
      <c r="AY21" s="1008"/>
      <c r="AZ21" s="1008">
        <v>357280.30875000008</v>
      </c>
      <c r="BA21" s="715">
        <v>697726.34625000018</v>
      </c>
      <c r="BB21" s="1008">
        <v>69772.634625000021</v>
      </c>
      <c r="BC21" s="1008">
        <v>13954.526925000004</v>
      </c>
      <c r="BD21" s="1008">
        <v>55330.918470000011</v>
      </c>
      <c r="BE21" s="1008">
        <v>558668.26623000007</v>
      </c>
      <c r="BF21" s="715">
        <v>8372716.1550000021</v>
      </c>
      <c r="BG21" s="1008">
        <v>340446.03750000003</v>
      </c>
      <c r="BH21" s="715">
        <v>8713162.1925000027</v>
      </c>
      <c r="BI21" s="1008">
        <v>392092.29866250016</v>
      </c>
      <c r="BJ21" s="1008">
        <v>251181.48465000006</v>
      </c>
      <c r="BK21" s="1009">
        <v>452090.78285400016</v>
      </c>
      <c r="BL21" s="1010">
        <v>392092.29866250011</v>
      </c>
      <c r="BM21" s="1011">
        <v>10200619.057329005</v>
      </c>
      <c r="BN21" s="714"/>
      <c r="BO21" s="355"/>
      <c r="BP21" s="355"/>
      <c r="BQ21" s="355"/>
      <c r="BR21" s="355"/>
      <c r="BS21" s="355"/>
      <c r="BT21" s="355"/>
      <c r="BU21" s="355"/>
      <c r="BV21" s="355"/>
      <c r="BW21" s="355"/>
      <c r="BX21" s="355"/>
      <c r="BY21" s="355"/>
      <c r="BZ21" s="355"/>
      <c r="CA21" s="355"/>
      <c r="CB21" s="355"/>
      <c r="CC21" s="355"/>
      <c r="CD21" s="355"/>
      <c r="CE21" s="355"/>
      <c r="CF21" s="355"/>
      <c r="CG21" s="355"/>
      <c r="CH21" s="355"/>
      <c r="CI21" s="356"/>
    </row>
    <row r="22" spans="1:87" ht="73.5" customHeight="1">
      <c r="A22" s="141">
        <f t="shared" si="9"/>
        <v>9</v>
      </c>
      <c r="B22" s="142">
        <f t="shared" si="9"/>
        <v>9</v>
      </c>
      <c r="C22" s="156" t="s">
        <v>205</v>
      </c>
      <c r="D22" s="144" t="s">
        <v>2377</v>
      </c>
      <c r="E22" s="142" t="s">
        <v>57</v>
      </c>
      <c r="F22" s="142" t="s">
        <v>249</v>
      </c>
      <c r="G22" s="142"/>
      <c r="H22" s="145" t="s">
        <v>2378</v>
      </c>
      <c r="I22" s="142">
        <v>17697</v>
      </c>
      <c r="J22" s="146">
        <v>10.82</v>
      </c>
      <c r="K22" s="146">
        <f t="shared" si="0"/>
        <v>191481.54</v>
      </c>
      <c r="L22" s="153"/>
      <c r="M22" s="153"/>
      <c r="N22" s="153"/>
      <c r="O22" s="153">
        <v>27</v>
      </c>
      <c r="P22" s="153"/>
      <c r="Q22" s="147">
        <f t="shared" si="1"/>
        <v>27</v>
      </c>
      <c r="R22" s="148"/>
      <c r="S22" s="148"/>
      <c r="T22" s="148"/>
      <c r="U22" s="148">
        <v>3</v>
      </c>
      <c r="V22" s="148"/>
      <c r="W22" s="147">
        <f t="shared" si="2"/>
        <v>3</v>
      </c>
      <c r="X22" s="149">
        <f t="shared" si="3"/>
        <v>30</v>
      </c>
      <c r="Y22" s="146">
        <f t="shared" si="4"/>
        <v>359027.88750000001</v>
      </c>
      <c r="Z22" s="146">
        <f t="shared" si="5"/>
        <v>35902.78875</v>
      </c>
      <c r="AA22" s="142">
        <v>21</v>
      </c>
      <c r="AB22" s="146">
        <f t="shared" si="6"/>
        <v>9290.9250000000011</v>
      </c>
      <c r="AC22" s="142">
        <v>9</v>
      </c>
      <c r="AD22" s="146">
        <f t="shared" si="7"/>
        <v>1990.9125000000001</v>
      </c>
      <c r="AE22" s="142"/>
      <c r="AF22" s="142" t="s">
        <v>546</v>
      </c>
      <c r="AG22" s="146">
        <f t="shared" si="8"/>
        <v>3539.4</v>
      </c>
      <c r="AH22" s="142"/>
      <c r="AI22" s="146"/>
      <c r="AJ22" s="142"/>
      <c r="AK22" s="146"/>
      <c r="AL22" s="1004">
        <v>30</v>
      </c>
      <c r="AM22" s="1005">
        <v>107708.36625000001</v>
      </c>
      <c r="AN22" s="1006" t="s">
        <v>249</v>
      </c>
      <c r="AO22" s="1005">
        <v>179513.94375000001</v>
      </c>
      <c r="AP22" s="1005" t="s">
        <v>2364</v>
      </c>
      <c r="AQ22" s="1005" t="s">
        <v>2364</v>
      </c>
      <c r="AR22" s="1005" t="s">
        <v>2364</v>
      </c>
      <c r="AS22" s="1007"/>
      <c r="AT22" s="1005"/>
      <c r="AU22" s="1007"/>
      <c r="AV22" s="1005"/>
      <c r="AW22" s="1006"/>
      <c r="AX22" s="1008"/>
      <c r="AY22" s="1008"/>
      <c r="AZ22" s="1008">
        <v>337946.33625000005</v>
      </c>
      <c r="BA22" s="715">
        <v>696974.22375000012</v>
      </c>
      <c r="BB22" s="1008">
        <v>69697.422375000009</v>
      </c>
      <c r="BC22" s="1008">
        <v>13939.484475000003</v>
      </c>
      <c r="BD22" s="1008">
        <v>55264.731690000022</v>
      </c>
      <c r="BE22" s="1008">
        <v>558072.58521000016</v>
      </c>
      <c r="BF22" s="715">
        <v>8363690.6850000015</v>
      </c>
      <c r="BG22" s="1008">
        <v>359027.88750000001</v>
      </c>
      <c r="BH22" s="715">
        <v>8722718.5725000016</v>
      </c>
      <c r="BI22" s="1008">
        <v>392522.33576250006</v>
      </c>
      <c r="BJ22" s="1008">
        <v>250910.72055000003</v>
      </c>
      <c r="BK22" s="1009">
        <v>452626.68340800016</v>
      </c>
      <c r="BL22" s="1010">
        <v>392522.33576250006</v>
      </c>
      <c r="BM22" s="1011">
        <v>10211300.647983003</v>
      </c>
      <c r="BN22" s="714"/>
      <c r="BO22" s="355"/>
      <c r="BP22" s="355"/>
      <c r="BQ22" s="355"/>
      <c r="BR22" s="355"/>
      <c r="BS22" s="355"/>
      <c r="BT22" s="355"/>
      <c r="BU22" s="355"/>
      <c r="BV22" s="355"/>
      <c r="BW22" s="355"/>
      <c r="BX22" s="355"/>
      <c r="BY22" s="355"/>
      <c r="BZ22" s="355"/>
      <c r="CA22" s="355"/>
      <c r="CB22" s="355"/>
      <c r="CC22" s="355"/>
      <c r="CD22" s="355"/>
      <c r="CE22" s="355"/>
      <c r="CF22" s="355"/>
      <c r="CG22" s="355"/>
      <c r="CH22" s="355"/>
      <c r="CI22" s="356"/>
    </row>
    <row r="23" spans="1:87" ht="73.5" customHeight="1">
      <c r="A23" s="141">
        <f t="shared" si="9"/>
        <v>10</v>
      </c>
      <c r="B23" s="142">
        <f t="shared" si="9"/>
        <v>10</v>
      </c>
      <c r="C23" s="156" t="s">
        <v>206</v>
      </c>
      <c r="D23" s="144" t="s">
        <v>2379</v>
      </c>
      <c r="E23" s="142" t="s">
        <v>57</v>
      </c>
      <c r="F23" s="142" t="s">
        <v>259</v>
      </c>
      <c r="G23" s="142" t="s">
        <v>224</v>
      </c>
      <c r="H23" s="145" t="s">
        <v>2380</v>
      </c>
      <c r="I23" s="142">
        <v>17697</v>
      </c>
      <c r="J23" s="146">
        <v>10.4</v>
      </c>
      <c r="K23" s="146">
        <f t="shared" si="0"/>
        <v>184048.80000000002</v>
      </c>
      <c r="L23" s="142"/>
      <c r="M23" s="142"/>
      <c r="N23" s="142">
        <v>8</v>
      </c>
      <c r="O23" s="142">
        <v>18</v>
      </c>
      <c r="P23" s="142"/>
      <c r="Q23" s="147">
        <f t="shared" si="1"/>
        <v>26</v>
      </c>
      <c r="R23" s="148"/>
      <c r="S23" s="148"/>
      <c r="T23" s="148">
        <v>1</v>
      </c>
      <c r="U23" s="148">
        <v>12</v>
      </c>
      <c r="V23" s="148"/>
      <c r="W23" s="147">
        <f t="shared" si="2"/>
        <v>13</v>
      </c>
      <c r="X23" s="149">
        <f t="shared" si="3"/>
        <v>39</v>
      </c>
      <c r="Y23" s="146">
        <f t="shared" si="4"/>
        <v>448618.95000000007</v>
      </c>
      <c r="Z23" s="146">
        <f t="shared" si="5"/>
        <v>44861.895000000011</v>
      </c>
      <c r="AA23" s="142">
        <v>17</v>
      </c>
      <c r="AB23" s="146">
        <f t="shared" si="6"/>
        <v>7521.2250000000004</v>
      </c>
      <c r="AC23" s="142">
        <v>18</v>
      </c>
      <c r="AD23" s="146">
        <f t="shared" si="7"/>
        <v>3981.8250000000003</v>
      </c>
      <c r="AE23" s="142"/>
      <c r="AF23" s="142" t="s">
        <v>394</v>
      </c>
      <c r="AG23" s="146">
        <f t="shared" si="8"/>
        <v>3539.4</v>
      </c>
      <c r="AH23" s="142"/>
      <c r="AI23" s="146"/>
      <c r="AJ23" s="142"/>
      <c r="AK23" s="146"/>
      <c r="AL23" s="1004">
        <v>39</v>
      </c>
      <c r="AM23" s="1005">
        <v>134585.68500000003</v>
      </c>
      <c r="AN23" s="1006" t="s">
        <v>259</v>
      </c>
      <c r="AO23" s="1005" t="s">
        <v>2364</v>
      </c>
      <c r="AP23" s="1005" t="s">
        <v>2364</v>
      </c>
      <c r="AQ23" s="1005">
        <v>157016.63250000001</v>
      </c>
      <c r="AR23" s="1005" t="s">
        <v>2364</v>
      </c>
      <c r="AS23" s="1007"/>
      <c r="AT23" s="1005"/>
      <c r="AU23" s="1007"/>
      <c r="AV23" s="1005"/>
      <c r="AW23" s="1006" t="s">
        <v>224</v>
      </c>
      <c r="AX23" s="1008">
        <v>43350</v>
      </c>
      <c r="AY23" s="1008"/>
      <c r="AZ23" s="1008">
        <v>394856.66250000003</v>
      </c>
      <c r="BA23" s="715">
        <v>843475.61250000005</v>
      </c>
      <c r="BB23" s="1008">
        <v>84347.561250000013</v>
      </c>
      <c r="BC23" s="1008">
        <v>16869.51225</v>
      </c>
      <c r="BD23" s="1008">
        <v>68156.853900000002</v>
      </c>
      <c r="BE23" s="1008">
        <v>674101.6851</v>
      </c>
      <c r="BF23" s="715">
        <v>10121707.350000001</v>
      </c>
      <c r="BG23" s="1008">
        <v>448618.95000000007</v>
      </c>
      <c r="BH23" s="715">
        <v>10570326.300000001</v>
      </c>
      <c r="BI23" s="1008">
        <v>475664.6835000001</v>
      </c>
      <c r="BJ23" s="1008">
        <v>303651.22050000005</v>
      </c>
      <c r="BK23" s="1009">
        <v>548529.86403000006</v>
      </c>
      <c r="BL23" s="1010">
        <v>475664.68350000004</v>
      </c>
      <c r="BM23" s="1011">
        <v>12373836.751529999</v>
      </c>
      <c r="BN23" s="714"/>
      <c r="BO23" s="355"/>
      <c r="BP23" s="355"/>
      <c r="BQ23" s="355"/>
      <c r="BR23" s="355"/>
      <c r="BS23" s="355"/>
      <c r="BT23" s="355"/>
      <c r="BU23" s="355"/>
      <c r="BV23" s="355"/>
      <c r="BW23" s="355"/>
      <c r="BX23" s="355"/>
      <c r="BY23" s="355"/>
      <c r="BZ23" s="355"/>
      <c r="CA23" s="355"/>
      <c r="CB23" s="355"/>
      <c r="CC23" s="355"/>
      <c r="CD23" s="355"/>
      <c r="CE23" s="355"/>
      <c r="CF23" s="355"/>
      <c r="CG23" s="355"/>
      <c r="CH23" s="355"/>
      <c r="CI23" s="356"/>
    </row>
    <row r="24" spans="1:87" ht="73.5" customHeight="1">
      <c r="A24" s="141">
        <f t="shared" si="9"/>
        <v>11</v>
      </c>
      <c r="B24" s="142">
        <f t="shared" si="9"/>
        <v>11</v>
      </c>
      <c r="C24" s="157" t="s">
        <v>261</v>
      </c>
      <c r="D24" s="158" t="s">
        <v>2381</v>
      </c>
      <c r="E24" s="159" t="s">
        <v>57</v>
      </c>
      <c r="F24" s="142" t="s">
        <v>254</v>
      </c>
      <c r="G24" s="142" t="s">
        <v>224</v>
      </c>
      <c r="H24" s="145" t="s">
        <v>396</v>
      </c>
      <c r="I24" s="142">
        <v>17697</v>
      </c>
      <c r="J24" s="146">
        <v>10</v>
      </c>
      <c r="K24" s="146">
        <f t="shared" si="0"/>
        <v>176970</v>
      </c>
      <c r="L24" s="153"/>
      <c r="M24" s="153"/>
      <c r="N24" s="153"/>
      <c r="O24" s="153">
        <v>27</v>
      </c>
      <c r="P24" s="153"/>
      <c r="Q24" s="147">
        <f t="shared" si="1"/>
        <v>27</v>
      </c>
      <c r="R24" s="153"/>
      <c r="S24" s="153"/>
      <c r="T24" s="153"/>
      <c r="U24" s="153">
        <v>12</v>
      </c>
      <c r="V24" s="153"/>
      <c r="W24" s="154">
        <f t="shared" si="2"/>
        <v>12</v>
      </c>
      <c r="X24" s="149">
        <f t="shared" si="3"/>
        <v>39</v>
      </c>
      <c r="Y24" s="146">
        <f t="shared" si="4"/>
        <v>431364.375</v>
      </c>
      <c r="Z24" s="146">
        <f t="shared" si="5"/>
        <v>43136.4375</v>
      </c>
      <c r="AA24" s="142">
        <v>35</v>
      </c>
      <c r="AB24" s="146">
        <f t="shared" si="6"/>
        <v>15484.875</v>
      </c>
      <c r="AC24" s="142">
        <v>0</v>
      </c>
      <c r="AD24" s="146">
        <f t="shared" si="7"/>
        <v>0</v>
      </c>
      <c r="AE24" s="142"/>
      <c r="AF24" s="142" t="s">
        <v>263</v>
      </c>
      <c r="AG24" s="146">
        <f t="shared" si="8"/>
        <v>3539.4</v>
      </c>
      <c r="AH24" s="142"/>
      <c r="AI24" s="146"/>
      <c r="AJ24" s="142"/>
      <c r="AK24" s="146"/>
      <c r="AL24" s="1004">
        <v>39</v>
      </c>
      <c r="AM24" s="1005">
        <v>129409.3125</v>
      </c>
      <c r="AN24" s="1006" t="s">
        <v>254</v>
      </c>
      <c r="AO24" s="1005" t="s">
        <v>2364</v>
      </c>
      <c r="AP24" s="1005" t="s">
        <v>2364</v>
      </c>
      <c r="AQ24" s="1005" t="s">
        <v>2364</v>
      </c>
      <c r="AR24" s="1005">
        <v>129409.3125</v>
      </c>
      <c r="AS24" s="1007"/>
      <c r="AT24" s="1005"/>
      <c r="AU24" s="1007"/>
      <c r="AV24" s="1005"/>
      <c r="AW24" s="1006" t="s">
        <v>224</v>
      </c>
      <c r="AX24" s="1008">
        <v>43350</v>
      </c>
      <c r="AY24" s="1008"/>
      <c r="AZ24" s="1008">
        <v>364329.33750000002</v>
      </c>
      <c r="BA24" s="715">
        <v>795693.71250000002</v>
      </c>
      <c r="BB24" s="1008">
        <v>79569.371250000011</v>
      </c>
      <c r="BC24" s="1008">
        <v>15913.874250000001</v>
      </c>
      <c r="BD24" s="1008">
        <v>63952.046700000006</v>
      </c>
      <c r="BE24" s="1008">
        <v>636258.42030000011</v>
      </c>
      <c r="BF24" s="715">
        <v>9548324.5500000007</v>
      </c>
      <c r="BG24" s="1008">
        <v>431364.375</v>
      </c>
      <c r="BH24" s="715">
        <v>9979688.9250000007</v>
      </c>
      <c r="BI24" s="1008">
        <v>449086.00162500003</v>
      </c>
      <c r="BJ24" s="1008">
        <v>286449.7365</v>
      </c>
      <c r="BK24" s="1009">
        <v>517896.88794000004</v>
      </c>
      <c r="BL24" s="1010">
        <v>449086.00162500003</v>
      </c>
      <c r="BM24" s="1011">
        <v>11682207.552690001</v>
      </c>
      <c r="BN24" s="714"/>
      <c r="BO24" s="355"/>
      <c r="BP24" s="355"/>
      <c r="BQ24" s="355"/>
      <c r="BR24" s="355"/>
      <c r="BS24" s="355"/>
      <c r="BT24" s="355"/>
      <c r="BU24" s="355"/>
      <c r="BV24" s="355"/>
      <c r="BW24" s="355"/>
      <c r="BX24" s="355"/>
      <c r="BY24" s="355"/>
      <c r="BZ24" s="355"/>
      <c r="CA24" s="355"/>
      <c r="CB24" s="355"/>
      <c r="CC24" s="355"/>
      <c r="CD24" s="355"/>
      <c r="CE24" s="355"/>
      <c r="CF24" s="355"/>
      <c r="CG24" s="355"/>
      <c r="CH24" s="355"/>
      <c r="CI24" s="356"/>
    </row>
    <row r="25" spans="1:87" ht="73.5" customHeight="1">
      <c r="A25" s="141">
        <f t="shared" si="9"/>
        <v>12</v>
      </c>
      <c r="B25" s="142">
        <f t="shared" si="9"/>
        <v>12</v>
      </c>
      <c r="C25" s="143" t="s">
        <v>204</v>
      </c>
      <c r="D25" s="144" t="s">
        <v>253</v>
      </c>
      <c r="E25" s="142" t="s">
        <v>57</v>
      </c>
      <c r="F25" s="142" t="s">
        <v>249</v>
      </c>
      <c r="G25" s="142"/>
      <c r="H25" s="145" t="s">
        <v>2382</v>
      </c>
      <c r="I25" s="142">
        <v>17697</v>
      </c>
      <c r="J25" s="146">
        <v>11.4</v>
      </c>
      <c r="K25" s="146">
        <f t="shared" si="0"/>
        <v>201745.80000000002</v>
      </c>
      <c r="L25" s="142">
        <v>24</v>
      </c>
      <c r="M25" s="142"/>
      <c r="N25" s="142"/>
      <c r="O25" s="142"/>
      <c r="P25" s="142"/>
      <c r="Q25" s="147">
        <f t="shared" si="1"/>
        <v>24</v>
      </c>
      <c r="R25" s="148">
        <v>3</v>
      </c>
      <c r="S25" s="148"/>
      <c r="T25" s="148"/>
      <c r="U25" s="148"/>
      <c r="V25" s="148"/>
      <c r="W25" s="147">
        <f t="shared" si="2"/>
        <v>3</v>
      </c>
      <c r="X25" s="149">
        <f t="shared" si="3"/>
        <v>27</v>
      </c>
      <c r="Y25" s="146">
        <f t="shared" si="4"/>
        <v>340446.03750000003</v>
      </c>
      <c r="Z25" s="146">
        <f t="shared" si="5"/>
        <v>34044.603750000002</v>
      </c>
      <c r="AA25" s="142">
        <v>27</v>
      </c>
      <c r="AB25" s="146">
        <f t="shared" si="6"/>
        <v>11945.475</v>
      </c>
      <c r="AC25" s="142">
        <v>0</v>
      </c>
      <c r="AD25" s="146">
        <f t="shared" si="7"/>
        <v>0</v>
      </c>
      <c r="AE25" s="142"/>
      <c r="AF25" s="142">
        <v>223</v>
      </c>
      <c r="AG25" s="146">
        <f t="shared" si="8"/>
        <v>3539.4</v>
      </c>
      <c r="AH25" s="142"/>
      <c r="AI25" s="146"/>
      <c r="AJ25" s="142"/>
      <c r="AK25" s="146"/>
      <c r="AL25" s="1004">
        <v>27</v>
      </c>
      <c r="AM25" s="1005">
        <v>102133.81125000001</v>
      </c>
      <c r="AN25" s="1006" t="s">
        <v>249</v>
      </c>
      <c r="AO25" s="1005">
        <v>170223.01875000002</v>
      </c>
      <c r="AP25" s="1005" t="s">
        <v>2364</v>
      </c>
      <c r="AQ25" s="1005" t="s">
        <v>2364</v>
      </c>
      <c r="AR25" s="1005" t="s">
        <v>2364</v>
      </c>
      <c r="AS25" s="1007"/>
      <c r="AT25" s="1005"/>
      <c r="AU25" s="1007"/>
      <c r="AV25" s="1005"/>
      <c r="AW25" s="1006"/>
      <c r="AX25" s="1008"/>
      <c r="AY25" s="1008"/>
      <c r="AZ25" s="1008">
        <v>321886.30875000003</v>
      </c>
      <c r="BA25" s="715">
        <v>662332.34625000006</v>
      </c>
      <c r="BB25" s="1008">
        <v>66233.234625000012</v>
      </c>
      <c r="BC25" s="1008">
        <v>13246.646925000001</v>
      </c>
      <c r="BD25" s="1008">
        <v>52216.246470000006</v>
      </c>
      <c r="BE25" s="1008">
        <v>530636.21823</v>
      </c>
      <c r="BF25" s="715">
        <v>7947988.1550000012</v>
      </c>
      <c r="BG25" s="1008">
        <v>340446.03750000003</v>
      </c>
      <c r="BH25" s="715">
        <v>8288434.1925000008</v>
      </c>
      <c r="BI25" s="1008">
        <v>372979.53866250004</v>
      </c>
      <c r="BJ25" s="1008">
        <v>238439.64465000003</v>
      </c>
      <c r="BK25" s="1009">
        <v>430089.872454</v>
      </c>
      <c r="BL25" s="1010">
        <v>372979.53866250004</v>
      </c>
      <c r="BM25" s="1011">
        <v>9702922.786929002</v>
      </c>
      <c r="BN25" s="714"/>
      <c r="BO25" s="355"/>
      <c r="BP25" s="355"/>
      <c r="BQ25" s="355"/>
      <c r="BR25" s="355"/>
      <c r="BS25" s="355"/>
      <c r="BT25" s="355"/>
      <c r="BU25" s="355"/>
      <c r="BV25" s="355"/>
      <c r="BW25" s="355"/>
      <c r="BX25" s="355"/>
      <c r="BY25" s="355"/>
      <c r="BZ25" s="355"/>
      <c r="CA25" s="355"/>
      <c r="CB25" s="355"/>
      <c r="CC25" s="355"/>
      <c r="CD25" s="355"/>
      <c r="CE25" s="355"/>
      <c r="CF25" s="355"/>
      <c r="CG25" s="355"/>
      <c r="CH25" s="355"/>
      <c r="CI25" s="356"/>
    </row>
    <row r="26" spans="1:87" ht="73.5" customHeight="1">
      <c r="A26" s="141">
        <f t="shared" si="9"/>
        <v>13</v>
      </c>
      <c r="B26" s="142">
        <f t="shared" si="9"/>
        <v>13</v>
      </c>
      <c r="C26" s="157" t="s">
        <v>209</v>
      </c>
      <c r="D26" s="158" t="s">
        <v>2383</v>
      </c>
      <c r="E26" s="159" t="s">
        <v>57</v>
      </c>
      <c r="F26" s="159" t="s">
        <v>249</v>
      </c>
      <c r="G26" s="159"/>
      <c r="H26" s="145" t="s">
        <v>2384</v>
      </c>
      <c r="I26" s="142">
        <v>17697</v>
      </c>
      <c r="J26" s="146">
        <v>11.4</v>
      </c>
      <c r="K26" s="146">
        <f t="shared" si="0"/>
        <v>201745.80000000002</v>
      </c>
      <c r="L26" s="142"/>
      <c r="M26" s="142"/>
      <c r="N26" s="142"/>
      <c r="O26" s="142"/>
      <c r="P26" s="142">
        <v>27</v>
      </c>
      <c r="Q26" s="147">
        <f t="shared" si="1"/>
        <v>27</v>
      </c>
      <c r="R26" s="148"/>
      <c r="S26" s="148"/>
      <c r="T26" s="148"/>
      <c r="U26" s="148"/>
      <c r="V26" s="148"/>
      <c r="W26" s="147">
        <f t="shared" si="2"/>
        <v>0</v>
      </c>
      <c r="X26" s="149">
        <f t="shared" si="3"/>
        <v>27</v>
      </c>
      <c r="Y26" s="146">
        <f t="shared" si="4"/>
        <v>340446.03750000003</v>
      </c>
      <c r="Z26" s="146">
        <f t="shared" si="5"/>
        <v>34044.603750000002</v>
      </c>
      <c r="AA26" s="142">
        <v>18</v>
      </c>
      <c r="AB26" s="146">
        <f t="shared" si="6"/>
        <v>7963.6500000000005</v>
      </c>
      <c r="AC26" s="142">
        <v>9</v>
      </c>
      <c r="AD26" s="146">
        <f t="shared" si="7"/>
        <v>1990.9125000000001</v>
      </c>
      <c r="AE26" s="142"/>
      <c r="AF26" s="142" t="s">
        <v>264</v>
      </c>
      <c r="AG26" s="146">
        <f t="shared" si="8"/>
        <v>3539.4</v>
      </c>
      <c r="AH26" s="142"/>
      <c r="AI26" s="146"/>
      <c r="AJ26" s="142"/>
      <c r="AK26" s="146"/>
      <c r="AL26" s="1004">
        <v>27</v>
      </c>
      <c r="AM26" s="1005">
        <v>102133.81125000001</v>
      </c>
      <c r="AN26" s="1006" t="s">
        <v>249</v>
      </c>
      <c r="AO26" s="1005">
        <v>170223.01875000002</v>
      </c>
      <c r="AP26" s="1005" t="s">
        <v>2364</v>
      </c>
      <c r="AQ26" s="1005" t="s">
        <v>2364</v>
      </c>
      <c r="AR26" s="1005" t="s">
        <v>2364</v>
      </c>
      <c r="AS26" s="1007"/>
      <c r="AT26" s="1005"/>
      <c r="AU26" s="1007"/>
      <c r="AV26" s="1005"/>
      <c r="AW26" s="1006"/>
      <c r="AX26" s="1008"/>
      <c r="AY26" s="1008">
        <v>17697</v>
      </c>
      <c r="AZ26" s="1008">
        <v>337592.39624999999</v>
      </c>
      <c r="BA26" s="715">
        <v>678038.43375000008</v>
      </c>
      <c r="BB26" s="1008">
        <v>67803.843375000011</v>
      </c>
      <c r="BC26" s="1008">
        <v>13560.768675000001</v>
      </c>
      <c r="BD26" s="1008">
        <v>53598.382169999997</v>
      </c>
      <c r="BE26" s="1008">
        <v>543075.43952999997</v>
      </c>
      <c r="BF26" s="715">
        <v>8136461.205000001</v>
      </c>
      <c r="BG26" s="1008">
        <v>340446.03750000003</v>
      </c>
      <c r="BH26" s="715">
        <v>8476907.2425000016</v>
      </c>
      <c r="BI26" s="1008">
        <v>381460.82591250009</v>
      </c>
      <c r="BJ26" s="1008">
        <v>244093.83615000002</v>
      </c>
      <c r="BK26" s="1009">
        <v>439852.77644400002</v>
      </c>
      <c r="BL26" s="1010">
        <v>381460.82591250003</v>
      </c>
      <c r="BM26" s="1011">
        <v>9923775.5069190003</v>
      </c>
      <c r="BN26" s="714"/>
      <c r="BO26" s="355"/>
      <c r="BP26" s="355"/>
      <c r="BQ26" s="355"/>
      <c r="BR26" s="355"/>
      <c r="BS26" s="355"/>
      <c r="BT26" s="355"/>
      <c r="BU26" s="355"/>
      <c r="BV26" s="355"/>
      <c r="BW26" s="355"/>
      <c r="BX26" s="355"/>
      <c r="BY26" s="355"/>
      <c r="BZ26" s="355"/>
      <c r="CA26" s="355"/>
      <c r="CB26" s="355"/>
      <c r="CC26" s="355"/>
      <c r="CD26" s="355"/>
      <c r="CE26" s="355"/>
      <c r="CF26" s="355"/>
      <c r="CG26" s="355"/>
      <c r="CH26" s="355"/>
      <c r="CI26" s="356"/>
    </row>
    <row r="27" spans="1:87" ht="73.5" customHeight="1">
      <c r="A27" s="141">
        <f t="shared" si="9"/>
        <v>14</v>
      </c>
      <c r="B27" s="142">
        <f t="shared" si="9"/>
        <v>14</v>
      </c>
      <c r="C27" s="143" t="s">
        <v>195</v>
      </c>
      <c r="D27" s="144" t="s">
        <v>2385</v>
      </c>
      <c r="E27" s="142" t="s">
        <v>57</v>
      </c>
      <c r="F27" s="142"/>
      <c r="G27" s="142"/>
      <c r="H27" s="145" t="s">
        <v>845</v>
      </c>
      <c r="I27" s="142">
        <v>17697</v>
      </c>
      <c r="J27" s="146">
        <v>10.220000000000001</v>
      </c>
      <c r="K27" s="146">
        <f t="shared" si="0"/>
        <v>180863.34000000003</v>
      </c>
      <c r="L27" s="142"/>
      <c r="M27" s="142">
        <v>24</v>
      </c>
      <c r="N27" s="142"/>
      <c r="O27" s="142"/>
      <c r="P27" s="142"/>
      <c r="Q27" s="147">
        <f t="shared" si="1"/>
        <v>24</v>
      </c>
      <c r="R27" s="148"/>
      <c r="S27" s="148">
        <v>3</v>
      </c>
      <c r="T27" s="148">
        <v>2</v>
      </c>
      <c r="U27" s="148">
        <v>3</v>
      </c>
      <c r="V27" s="148"/>
      <c r="W27" s="147">
        <f t="shared" si="2"/>
        <v>8</v>
      </c>
      <c r="X27" s="149">
        <f t="shared" si="3"/>
        <v>32</v>
      </c>
      <c r="Y27" s="146">
        <f t="shared" si="4"/>
        <v>361726.68000000005</v>
      </c>
      <c r="Z27" s="146">
        <f t="shared" si="5"/>
        <v>36172.668000000005</v>
      </c>
      <c r="AA27" s="142">
        <v>30</v>
      </c>
      <c r="AB27" s="146">
        <f t="shared" si="6"/>
        <v>13272.75</v>
      </c>
      <c r="AC27" s="142">
        <v>0</v>
      </c>
      <c r="AD27" s="146">
        <f t="shared" si="7"/>
        <v>0</v>
      </c>
      <c r="AE27" s="142"/>
      <c r="AF27" s="142">
        <v>213</v>
      </c>
      <c r="AG27" s="146">
        <f t="shared" si="8"/>
        <v>3539.4</v>
      </c>
      <c r="AH27" s="142"/>
      <c r="AI27" s="146"/>
      <c r="AJ27" s="142"/>
      <c r="AK27" s="146"/>
      <c r="AL27" s="1004">
        <v>32</v>
      </c>
      <c r="AM27" s="1005">
        <v>108518.00400000002</v>
      </c>
      <c r="AN27" s="1006">
        <v>0</v>
      </c>
      <c r="AO27" s="1005" t="s">
        <v>2364</v>
      </c>
      <c r="AP27" s="1005" t="s">
        <v>2364</v>
      </c>
      <c r="AQ27" s="1005" t="s">
        <v>2364</v>
      </c>
      <c r="AR27" s="1005" t="s">
        <v>2364</v>
      </c>
      <c r="AS27" s="1007"/>
      <c r="AT27" s="1005"/>
      <c r="AU27" s="1007"/>
      <c r="AV27" s="1005"/>
      <c r="AW27" s="1006"/>
      <c r="AX27" s="1008"/>
      <c r="AY27" s="1008"/>
      <c r="AZ27" s="1008">
        <v>161502.82200000001</v>
      </c>
      <c r="BA27" s="715">
        <v>523229.50200000009</v>
      </c>
      <c r="BB27" s="1008">
        <v>52322.950200000014</v>
      </c>
      <c r="BC27" s="1008">
        <v>10464.590040000003</v>
      </c>
      <c r="BD27" s="1008">
        <v>39975.196176000012</v>
      </c>
      <c r="BE27" s="1008">
        <v>420466.7655840001</v>
      </c>
      <c r="BF27" s="715">
        <v>6278754.0240000011</v>
      </c>
      <c r="BG27" s="1008">
        <v>361726.68000000005</v>
      </c>
      <c r="BH27" s="715">
        <v>6640480.7040000008</v>
      </c>
      <c r="BI27" s="1008">
        <v>298821.63168000005</v>
      </c>
      <c r="BJ27" s="1008">
        <v>188362.62072000004</v>
      </c>
      <c r="BK27" s="1009">
        <v>344772.69916320004</v>
      </c>
      <c r="BL27" s="1010">
        <v>298821.63168000005</v>
      </c>
      <c r="BM27" s="1011">
        <v>7771259.2872432005</v>
      </c>
      <c r="BN27" s="714"/>
      <c r="BO27" s="355"/>
      <c r="BP27" s="355"/>
      <c r="BQ27" s="355"/>
      <c r="BR27" s="355"/>
      <c r="BS27" s="355"/>
      <c r="BT27" s="355"/>
      <c r="BU27" s="355"/>
      <c r="BV27" s="355"/>
      <c r="BW27" s="355"/>
      <c r="BX27" s="355"/>
      <c r="BY27" s="355"/>
      <c r="BZ27" s="355"/>
      <c r="CA27" s="355"/>
      <c r="CB27" s="355"/>
      <c r="CC27" s="355"/>
      <c r="CD27" s="355"/>
      <c r="CE27" s="355"/>
      <c r="CF27" s="355"/>
      <c r="CG27" s="355"/>
      <c r="CH27" s="355"/>
      <c r="CI27" s="356"/>
    </row>
    <row r="28" spans="1:87" ht="73.5" customHeight="1">
      <c r="A28" s="141">
        <f t="shared" si="9"/>
        <v>15</v>
      </c>
      <c r="B28" s="142">
        <f t="shared" si="9"/>
        <v>15</v>
      </c>
      <c r="C28" s="143" t="s">
        <v>198</v>
      </c>
      <c r="D28" s="144" t="s">
        <v>2386</v>
      </c>
      <c r="E28" s="142" t="s">
        <v>57</v>
      </c>
      <c r="F28" s="142" t="s">
        <v>255</v>
      </c>
      <c r="G28" s="142"/>
      <c r="H28" s="145" t="s">
        <v>2387</v>
      </c>
      <c r="I28" s="142">
        <v>17697</v>
      </c>
      <c r="J28" s="146">
        <v>11.4</v>
      </c>
      <c r="K28" s="146">
        <f t="shared" si="0"/>
        <v>201745.80000000002</v>
      </c>
      <c r="L28" s="142"/>
      <c r="M28" s="142"/>
      <c r="N28" s="142"/>
      <c r="O28" s="142">
        <v>27</v>
      </c>
      <c r="P28" s="142"/>
      <c r="Q28" s="147">
        <f t="shared" si="1"/>
        <v>27</v>
      </c>
      <c r="R28" s="148"/>
      <c r="S28" s="148"/>
      <c r="T28" s="148"/>
      <c r="U28" s="148"/>
      <c r="V28" s="148"/>
      <c r="W28" s="147">
        <f t="shared" si="2"/>
        <v>0</v>
      </c>
      <c r="X28" s="149">
        <f t="shared" si="3"/>
        <v>27</v>
      </c>
      <c r="Y28" s="146">
        <f t="shared" si="4"/>
        <v>340446.03750000003</v>
      </c>
      <c r="Z28" s="146">
        <f t="shared" si="5"/>
        <v>34044.603750000002</v>
      </c>
      <c r="AA28" s="142">
        <v>0</v>
      </c>
      <c r="AB28" s="146">
        <f t="shared" si="6"/>
        <v>0</v>
      </c>
      <c r="AC28" s="142">
        <v>27</v>
      </c>
      <c r="AD28" s="146">
        <f t="shared" si="7"/>
        <v>5972.7375000000002</v>
      </c>
      <c r="AE28" s="142"/>
      <c r="AF28" s="142" t="s">
        <v>271</v>
      </c>
      <c r="AG28" s="146">
        <f t="shared" si="8"/>
        <v>3539.4</v>
      </c>
      <c r="AH28" s="142"/>
      <c r="AI28" s="146"/>
      <c r="AJ28" s="142"/>
      <c r="AK28" s="146"/>
      <c r="AL28" s="1004">
        <v>27</v>
      </c>
      <c r="AM28" s="1005">
        <v>102133.81125000001</v>
      </c>
      <c r="AN28" s="1006" t="s">
        <v>255</v>
      </c>
      <c r="AO28" s="1005" t="s">
        <v>2364</v>
      </c>
      <c r="AP28" s="1005">
        <v>136178.41500000001</v>
      </c>
      <c r="AQ28" s="1005" t="s">
        <v>2364</v>
      </c>
      <c r="AR28" s="1005" t="s">
        <v>2364</v>
      </c>
      <c r="AS28" s="1007"/>
      <c r="AT28" s="1005"/>
      <c r="AU28" s="1007"/>
      <c r="AV28" s="1005"/>
      <c r="AW28" s="1006"/>
      <c r="AX28" s="1008"/>
      <c r="AY28" s="1008"/>
      <c r="AZ28" s="1008">
        <v>281868.96750000003</v>
      </c>
      <c r="BA28" s="715">
        <v>622315.00500000012</v>
      </c>
      <c r="BB28" s="1008">
        <v>62231.500500000016</v>
      </c>
      <c r="BC28" s="1008">
        <v>12446.300100000002</v>
      </c>
      <c r="BD28" s="1008">
        <v>48694.720440000019</v>
      </c>
      <c r="BE28" s="1008">
        <v>498942.48396000016</v>
      </c>
      <c r="BF28" s="715">
        <v>7467780.0600000015</v>
      </c>
      <c r="BG28" s="1008">
        <v>340446.03750000003</v>
      </c>
      <c r="BH28" s="715">
        <v>7808226.0975000011</v>
      </c>
      <c r="BI28" s="1008">
        <v>351370.1743875001</v>
      </c>
      <c r="BJ28" s="1008">
        <v>224033.40180000002</v>
      </c>
      <c r="BK28" s="1009">
        <v>405215.09313300002</v>
      </c>
      <c r="BL28" s="1010">
        <v>351370.17438750004</v>
      </c>
      <c r="BM28" s="1011">
        <v>9140214.9412080012</v>
      </c>
      <c r="BN28" s="714"/>
      <c r="BO28" s="355"/>
      <c r="BP28" s="355"/>
      <c r="BQ28" s="355"/>
      <c r="BR28" s="355"/>
      <c r="BS28" s="355"/>
      <c r="BT28" s="355"/>
      <c r="BU28" s="355"/>
      <c r="BV28" s="355"/>
      <c r="BW28" s="355"/>
      <c r="BX28" s="355"/>
      <c r="BY28" s="355"/>
      <c r="BZ28" s="355"/>
      <c r="CA28" s="355"/>
      <c r="CB28" s="355"/>
      <c r="CC28" s="355"/>
      <c r="CD28" s="355"/>
      <c r="CE28" s="355"/>
      <c r="CF28" s="355"/>
      <c r="CG28" s="355"/>
      <c r="CH28" s="355"/>
      <c r="CI28" s="356"/>
    </row>
    <row r="29" spans="1:87" ht="73.5" customHeight="1">
      <c r="A29" s="141">
        <f t="shared" si="9"/>
        <v>16</v>
      </c>
      <c r="B29" s="142">
        <f t="shared" si="9"/>
        <v>16</v>
      </c>
      <c r="C29" s="143" t="s">
        <v>203</v>
      </c>
      <c r="D29" s="144" t="s">
        <v>2388</v>
      </c>
      <c r="E29" s="142" t="s">
        <v>57</v>
      </c>
      <c r="F29" s="142" t="s">
        <v>249</v>
      </c>
      <c r="G29" s="142"/>
      <c r="H29" s="145" t="s">
        <v>2389</v>
      </c>
      <c r="I29" s="142">
        <v>17697</v>
      </c>
      <c r="J29" s="146">
        <v>11.4</v>
      </c>
      <c r="K29" s="146">
        <f t="shared" si="0"/>
        <v>201745.80000000002</v>
      </c>
      <c r="L29" s="153"/>
      <c r="M29" s="153"/>
      <c r="N29" s="153"/>
      <c r="O29" s="153"/>
      <c r="P29" s="153">
        <v>27</v>
      </c>
      <c r="Q29" s="147">
        <f t="shared" si="1"/>
        <v>27</v>
      </c>
      <c r="R29" s="153"/>
      <c r="S29" s="153"/>
      <c r="T29" s="153"/>
      <c r="U29" s="153"/>
      <c r="V29" s="153"/>
      <c r="W29" s="154">
        <f t="shared" si="2"/>
        <v>0</v>
      </c>
      <c r="X29" s="149">
        <f t="shared" si="3"/>
        <v>27</v>
      </c>
      <c r="Y29" s="146">
        <f t="shared" si="4"/>
        <v>340446.03750000003</v>
      </c>
      <c r="Z29" s="146">
        <f t="shared" si="5"/>
        <v>34044.603750000002</v>
      </c>
      <c r="AA29" s="142">
        <v>18</v>
      </c>
      <c r="AB29" s="146">
        <f t="shared" si="6"/>
        <v>7963.6500000000005</v>
      </c>
      <c r="AC29" s="142">
        <v>9</v>
      </c>
      <c r="AD29" s="146">
        <f t="shared" si="7"/>
        <v>1990.9125000000001</v>
      </c>
      <c r="AE29" s="142"/>
      <c r="AF29" s="142" t="s">
        <v>265</v>
      </c>
      <c r="AG29" s="146">
        <f t="shared" si="8"/>
        <v>3539.4</v>
      </c>
      <c r="AH29" s="142" t="s">
        <v>272</v>
      </c>
      <c r="AI29" s="146">
        <f>I29*200%</f>
        <v>35394</v>
      </c>
      <c r="AJ29" s="142"/>
      <c r="AK29" s="146"/>
      <c r="AL29" s="1004">
        <v>27</v>
      </c>
      <c r="AM29" s="1005">
        <v>102133.81125000001</v>
      </c>
      <c r="AN29" s="1006" t="s">
        <v>249</v>
      </c>
      <c r="AO29" s="1005">
        <v>170223.01875000002</v>
      </c>
      <c r="AP29" s="1005" t="s">
        <v>2364</v>
      </c>
      <c r="AQ29" s="1005" t="s">
        <v>2364</v>
      </c>
      <c r="AR29" s="1005" t="s">
        <v>2364</v>
      </c>
      <c r="AS29" s="1007"/>
      <c r="AT29" s="1005"/>
      <c r="AU29" s="1007"/>
      <c r="AV29" s="1005"/>
      <c r="AW29" s="1006"/>
      <c r="AX29" s="1008"/>
      <c r="AY29" s="1008"/>
      <c r="AZ29" s="1008">
        <v>355289.39624999999</v>
      </c>
      <c r="BA29" s="715">
        <v>695735.43375000008</v>
      </c>
      <c r="BB29" s="1008">
        <v>69573.543375000008</v>
      </c>
      <c r="BC29" s="1008">
        <v>13914.708675000002</v>
      </c>
      <c r="BD29" s="1008">
        <v>55155.718170000007</v>
      </c>
      <c r="BE29" s="1008">
        <v>557091.46353000007</v>
      </c>
      <c r="BF29" s="715">
        <v>8348825.205000001</v>
      </c>
      <c r="BG29" s="1008">
        <v>340446.03750000003</v>
      </c>
      <c r="BH29" s="715">
        <v>8689271.2425000016</v>
      </c>
      <c r="BI29" s="1008">
        <v>391017.2059125001</v>
      </c>
      <c r="BJ29" s="1008">
        <v>250464.75615000003</v>
      </c>
      <c r="BK29" s="1009">
        <v>450853.23164399998</v>
      </c>
      <c r="BL29" s="1010">
        <v>391017.20591250004</v>
      </c>
      <c r="BM29" s="1011">
        <v>10172623.642119003</v>
      </c>
      <c r="BN29" s="714"/>
      <c r="BO29" s="355"/>
      <c r="BP29" s="355"/>
      <c r="BQ29" s="355"/>
      <c r="BR29" s="355"/>
      <c r="BS29" s="355"/>
      <c r="BT29" s="355"/>
      <c r="BU29" s="355"/>
      <c r="BV29" s="355"/>
      <c r="BW29" s="355"/>
      <c r="BX29" s="355"/>
      <c r="BY29" s="355"/>
      <c r="BZ29" s="355"/>
      <c r="CA29" s="355"/>
      <c r="CB29" s="355"/>
      <c r="CC29" s="355"/>
      <c r="CD29" s="355"/>
      <c r="CE29" s="355"/>
      <c r="CF29" s="355"/>
      <c r="CG29" s="355"/>
      <c r="CH29" s="355"/>
      <c r="CI29" s="356"/>
    </row>
    <row r="30" spans="1:87" ht="73.5" customHeight="1">
      <c r="A30" s="141">
        <f t="shared" si="9"/>
        <v>17</v>
      </c>
      <c r="B30" s="142">
        <f t="shared" si="9"/>
        <v>17</v>
      </c>
      <c r="C30" s="143" t="s">
        <v>226</v>
      </c>
      <c r="D30" s="144" t="s">
        <v>2390</v>
      </c>
      <c r="E30" s="142" t="s">
        <v>57</v>
      </c>
      <c r="F30" s="142" t="s">
        <v>259</v>
      </c>
      <c r="G30" s="142" t="s">
        <v>266</v>
      </c>
      <c r="H30" s="145" t="s">
        <v>2391</v>
      </c>
      <c r="I30" s="142">
        <v>17697</v>
      </c>
      <c r="J30" s="146">
        <v>10.4</v>
      </c>
      <c r="K30" s="146">
        <f t="shared" si="0"/>
        <v>184048.80000000002</v>
      </c>
      <c r="L30" s="153"/>
      <c r="M30" s="153"/>
      <c r="N30" s="153"/>
      <c r="O30" s="153"/>
      <c r="P30" s="153"/>
      <c r="Q30" s="147">
        <f t="shared" si="1"/>
        <v>0</v>
      </c>
      <c r="R30" s="153">
        <v>21</v>
      </c>
      <c r="S30" s="153">
        <v>6</v>
      </c>
      <c r="T30" s="153"/>
      <c r="U30" s="153"/>
      <c r="V30" s="153"/>
      <c r="W30" s="154">
        <f t="shared" si="2"/>
        <v>27</v>
      </c>
      <c r="X30" s="149">
        <f t="shared" si="3"/>
        <v>27</v>
      </c>
      <c r="Y30" s="146">
        <f t="shared" si="4"/>
        <v>310582.35000000003</v>
      </c>
      <c r="Z30" s="146">
        <f t="shared" si="5"/>
        <v>31058.235000000004</v>
      </c>
      <c r="AA30" s="150">
        <v>0</v>
      </c>
      <c r="AB30" s="146">
        <f t="shared" si="6"/>
        <v>0</v>
      </c>
      <c r="AC30" s="142">
        <v>0</v>
      </c>
      <c r="AD30" s="146">
        <f t="shared" si="7"/>
        <v>0</v>
      </c>
      <c r="AE30" s="142"/>
      <c r="AF30" s="142"/>
      <c r="AG30" s="146"/>
      <c r="AH30" s="142"/>
      <c r="AI30" s="146"/>
      <c r="AJ30" s="142"/>
      <c r="AK30" s="146"/>
      <c r="AL30" s="1004">
        <v>27</v>
      </c>
      <c r="AM30" s="1005">
        <v>93174.705000000002</v>
      </c>
      <c r="AN30" s="1006" t="s">
        <v>259</v>
      </c>
      <c r="AO30" s="1005" t="s">
        <v>2364</v>
      </c>
      <c r="AP30" s="1005" t="s">
        <v>2364</v>
      </c>
      <c r="AQ30" s="1005">
        <v>108703.82250000001</v>
      </c>
      <c r="AR30" s="1005" t="s">
        <v>2364</v>
      </c>
      <c r="AS30" s="1007"/>
      <c r="AT30" s="1005"/>
      <c r="AU30" s="1007"/>
      <c r="AV30" s="1005"/>
      <c r="AW30" s="1006" t="s">
        <v>266</v>
      </c>
      <c r="AX30" s="1008">
        <v>43350</v>
      </c>
      <c r="AY30" s="1008"/>
      <c r="AZ30" s="1008">
        <v>276286.76250000001</v>
      </c>
      <c r="BA30" s="715">
        <v>586869.11250000005</v>
      </c>
      <c r="BB30" s="1008">
        <v>58686.911250000005</v>
      </c>
      <c r="BC30" s="1008">
        <v>11737.382250000001</v>
      </c>
      <c r="BD30" s="1008">
        <v>45575.481900000006</v>
      </c>
      <c r="BE30" s="1008">
        <v>470869.3371</v>
      </c>
      <c r="BF30" s="715">
        <v>7042429.3500000006</v>
      </c>
      <c r="BG30" s="1008">
        <v>310582.35000000003</v>
      </c>
      <c r="BH30" s="715">
        <v>7353011.7000000002</v>
      </c>
      <c r="BI30" s="1008">
        <v>330885.52650000004</v>
      </c>
      <c r="BJ30" s="1008">
        <v>211272.8805</v>
      </c>
      <c r="BK30" s="1009">
        <v>381569.28723000002</v>
      </c>
      <c r="BL30" s="1010">
        <v>330885.52649999998</v>
      </c>
      <c r="BM30" s="1011">
        <v>8607624.9207300004</v>
      </c>
      <c r="BN30" s="714"/>
      <c r="BO30" s="355"/>
      <c r="BP30" s="355"/>
      <c r="BQ30" s="355"/>
      <c r="BR30" s="355"/>
      <c r="BS30" s="355"/>
      <c r="BT30" s="355"/>
      <c r="BU30" s="355"/>
      <c r="BV30" s="355"/>
      <c r="BW30" s="355"/>
      <c r="BX30" s="355"/>
      <c r="BY30" s="355"/>
      <c r="BZ30" s="355"/>
      <c r="CA30" s="355"/>
      <c r="CB30" s="355"/>
      <c r="CC30" s="355"/>
      <c r="CD30" s="355"/>
      <c r="CE30" s="355"/>
      <c r="CF30" s="355"/>
      <c r="CG30" s="355"/>
      <c r="CH30" s="355"/>
      <c r="CI30" s="356"/>
    </row>
    <row r="31" spans="1:87" ht="73.5" customHeight="1">
      <c r="A31" s="141">
        <f t="shared" ref="A31:B37" si="10">A30+1</f>
        <v>18</v>
      </c>
      <c r="B31" s="142">
        <f t="shared" si="10"/>
        <v>18</v>
      </c>
      <c r="C31" s="998" t="s">
        <v>2392</v>
      </c>
      <c r="D31" s="999" t="s">
        <v>2393</v>
      </c>
      <c r="E31" s="142" t="s">
        <v>120</v>
      </c>
      <c r="F31" s="142"/>
      <c r="G31" s="142"/>
      <c r="H31" s="145" t="s">
        <v>2394</v>
      </c>
      <c r="I31" s="142">
        <v>17697</v>
      </c>
      <c r="J31" s="146">
        <v>8.14</v>
      </c>
      <c r="K31" s="146">
        <f t="shared" si="0"/>
        <v>144053.58000000002</v>
      </c>
      <c r="L31" s="153"/>
      <c r="M31" s="153"/>
      <c r="N31" s="153"/>
      <c r="O31" s="153"/>
      <c r="P31" s="153">
        <v>18</v>
      </c>
      <c r="Q31" s="147">
        <f t="shared" si="1"/>
        <v>18</v>
      </c>
      <c r="R31" s="153"/>
      <c r="S31" s="153"/>
      <c r="T31" s="153"/>
      <c r="U31" s="153"/>
      <c r="V31" s="153"/>
      <c r="W31" s="154">
        <f t="shared" si="2"/>
        <v>0</v>
      </c>
      <c r="X31" s="149">
        <f t="shared" si="3"/>
        <v>18</v>
      </c>
      <c r="Y31" s="146">
        <f t="shared" si="4"/>
        <v>162060.27750000003</v>
      </c>
      <c r="Z31" s="146">
        <f t="shared" si="5"/>
        <v>16206.027750000003</v>
      </c>
      <c r="AA31" s="150">
        <v>9</v>
      </c>
      <c r="AB31" s="146">
        <f t="shared" si="6"/>
        <v>3981.8250000000003</v>
      </c>
      <c r="AC31" s="142">
        <v>9</v>
      </c>
      <c r="AD31" s="146">
        <f t="shared" si="7"/>
        <v>1990.9125000000001</v>
      </c>
      <c r="AE31" s="142"/>
      <c r="AF31" s="142"/>
      <c r="AG31" s="146"/>
      <c r="AH31" s="142"/>
      <c r="AI31" s="146"/>
      <c r="AJ31" s="142"/>
      <c r="AK31" s="146"/>
      <c r="AL31" s="1004">
        <v>18</v>
      </c>
      <c r="AM31" s="1005">
        <v>48618.083250000003</v>
      </c>
      <c r="AN31" s="1006"/>
      <c r="AO31" s="1005"/>
      <c r="AP31" s="1005"/>
      <c r="AQ31" s="1005"/>
      <c r="AR31" s="1005"/>
      <c r="AS31" s="1007"/>
      <c r="AT31" s="1005"/>
      <c r="AU31" s="1007"/>
      <c r="AV31" s="1005"/>
      <c r="AW31" s="1006"/>
      <c r="AX31" s="1008"/>
      <c r="AY31" s="1008"/>
      <c r="AZ31" s="1008">
        <v>70796.848500000007</v>
      </c>
      <c r="BA31" s="715">
        <v>232857.12600000005</v>
      </c>
      <c r="BB31" s="1008">
        <v>23285.712600000006</v>
      </c>
      <c r="BC31" s="1008">
        <v>4657.1425200000012</v>
      </c>
      <c r="BD31" s="1008">
        <v>14422.427088000006</v>
      </c>
      <c r="BE31" s="1008">
        <v>190491.84379200006</v>
      </c>
      <c r="BF31" s="715">
        <v>2794285.5120000006</v>
      </c>
      <c r="BG31" s="1008">
        <v>162060.27750000003</v>
      </c>
      <c r="BH31" s="715">
        <v>2956345.7895000004</v>
      </c>
      <c r="BI31" s="1008">
        <v>133035.56052750003</v>
      </c>
      <c r="BJ31" s="1008">
        <v>83828.565360000008</v>
      </c>
      <c r="BK31" s="1009">
        <v>153495.24450660005</v>
      </c>
      <c r="BL31" s="1010">
        <v>133035.56052750003</v>
      </c>
      <c r="BM31" s="1011">
        <v>3459740.7204216006</v>
      </c>
      <c r="BN31" s="714"/>
      <c r="BO31" s="355"/>
      <c r="BP31" s="355"/>
      <c r="BQ31" s="355"/>
      <c r="BR31" s="355"/>
      <c r="BS31" s="355"/>
      <c r="BT31" s="355"/>
      <c r="BU31" s="355"/>
      <c r="BV31" s="355"/>
      <c r="BW31" s="355"/>
      <c r="BX31" s="355"/>
      <c r="BY31" s="355"/>
      <c r="BZ31" s="355"/>
      <c r="CA31" s="355"/>
      <c r="CB31" s="355"/>
      <c r="CC31" s="355"/>
      <c r="CD31" s="355"/>
      <c r="CE31" s="355"/>
      <c r="CF31" s="355"/>
      <c r="CG31" s="355"/>
      <c r="CH31" s="355"/>
      <c r="CI31" s="356"/>
    </row>
    <row r="32" spans="1:87" ht="73.5" customHeight="1">
      <c r="A32" s="141">
        <f t="shared" si="10"/>
        <v>19</v>
      </c>
      <c r="B32" s="142">
        <f t="shared" si="10"/>
        <v>19</v>
      </c>
      <c r="C32" s="143" t="s">
        <v>196</v>
      </c>
      <c r="D32" s="144" t="s">
        <v>2395</v>
      </c>
      <c r="E32" s="142" t="s">
        <v>57</v>
      </c>
      <c r="F32" s="142" t="s">
        <v>249</v>
      </c>
      <c r="G32" s="142" t="s">
        <v>224</v>
      </c>
      <c r="H32" s="145" t="s">
        <v>2396</v>
      </c>
      <c r="I32" s="142">
        <v>17697</v>
      </c>
      <c r="J32" s="146">
        <v>11.4</v>
      </c>
      <c r="K32" s="146">
        <f t="shared" si="0"/>
        <v>201745.80000000002</v>
      </c>
      <c r="L32" s="142">
        <v>8</v>
      </c>
      <c r="M32" s="142"/>
      <c r="N32" s="142"/>
      <c r="O32" s="142"/>
      <c r="P32" s="142">
        <v>18</v>
      </c>
      <c r="Q32" s="147">
        <f t="shared" si="1"/>
        <v>26</v>
      </c>
      <c r="R32" s="142">
        <v>1</v>
      </c>
      <c r="S32" s="142"/>
      <c r="T32" s="142"/>
      <c r="U32" s="142"/>
      <c r="V32" s="142"/>
      <c r="W32" s="154">
        <f t="shared" si="2"/>
        <v>1</v>
      </c>
      <c r="X32" s="149">
        <f t="shared" si="3"/>
        <v>27</v>
      </c>
      <c r="Y32" s="146">
        <f t="shared" si="4"/>
        <v>340446.03750000003</v>
      </c>
      <c r="Z32" s="146">
        <f t="shared" si="5"/>
        <v>34044.603750000002</v>
      </c>
      <c r="AA32" s="142">
        <v>27</v>
      </c>
      <c r="AB32" s="146">
        <f t="shared" si="6"/>
        <v>11945.475</v>
      </c>
      <c r="AC32" s="142">
        <v>0</v>
      </c>
      <c r="AD32" s="146">
        <f t="shared" si="7"/>
        <v>0</v>
      </c>
      <c r="AE32" s="142"/>
      <c r="AF32" s="142">
        <v>224</v>
      </c>
      <c r="AG32" s="146">
        <f t="shared" ref="AG32:AG35" si="11">17697*20%</f>
        <v>3539.4</v>
      </c>
      <c r="AH32" s="142"/>
      <c r="AI32" s="146"/>
      <c r="AJ32" s="142"/>
      <c r="AK32" s="146"/>
      <c r="AL32" s="1004">
        <v>27</v>
      </c>
      <c r="AM32" s="1005">
        <v>102133.81125000001</v>
      </c>
      <c r="AN32" s="1006" t="s">
        <v>249</v>
      </c>
      <c r="AO32" s="1005">
        <v>170223.01875000002</v>
      </c>
      <c r="AP32" s="1005" t="s">
        <v>2364</v>
      </c>
      <c r="AQ32" s="1005" t="s">
        <v>2364</v>
      </c>
      <c r="AR32" s="1005" t="s">
        <v>2364</v>
      </c>
      <c r="AS32" s="1007"/>
      <c r="AT32" s="1005"/>
      <c r="AU32" s="1007"/>
      <c r="AV32" s="1005"/>
      <c r="AW32" s="1006" t="s">
        <v>224</v>
      </c>
      <c r="AX32" s="1008">
        <v>43350</v>
      </c>
      <c r="AY32" s="1008"/>
      <c r="AZ32" s="1008">
        <v>365236.30875000003</v>
      </c>
      <c r="BA32" s="715">
        <v>705682.34625000006</v>
      </c>
      <c r="BB32" s="1008">
        <v>70568.234625000012</v>
      </c>
      <c r="BC32" s="1008">
        <v>14113.646925000001</v>
      </c>
      <c r="BD32" s="1008">
        <v>56031.046470000001</v>
      </c>
      <c r="BE32" s="1008">
        <v>564969.41822999995</v>
      </c>
      <c r="BF32" s="715">
        <v>8468188.1550000012</v>
      </c>
      <c r="BG32" s="1008">
        <v>340446.03750000003</v>
      </c>
      <c r="BH32" s="715">
        <v>8808634.1925000008</v>
      </c>
      <c r="BI32" s="1008">
        <v>396388.53866250004</v>
      </c>
      <c r="BJ32" s="1008">
        <v>254045.64465000003</v>
      </c>
      <c r="BK32" s="1009">
        <v>457036.23245399998</v>
      </c>
      <c r="BL32" s="1010">
        <v>396388.53866250004</v>
      </c>
      <c r="BM32" s="1011">
        <v>10312493.146929001</v>
      </c>
      <c r="BN32" s="714"/>
      <c r="BO32" s="355"/>
      <c r="BP32" s="355"/>
      <c r="BQ32" s="355"/>
      <c r="BR32" s="355"/>
      <c r="BS32" s="355"/>
      <c r="BT32" s="355"/>
      <c r="BU32" s="355"/>
      <c r="BV32" s="355"/>
      <c r="BW32" s="355"/>
      <c r="BX32" s="355"/>
      <c r="BY32" s="355"/>
      <c r="BZ32" s="355"/>
      <c r="CA32" s="355"/>
      <c r="CB32" s="355"/>
      <c r="CC32" s="355"/>
      <c r="CD32" s="355"/>
      <c r="CE32" s="355"/>
      <c r="CF32" s="355"/>
      <c r="CG32" s="355"/>
      <c r="CH32" s="355"/>
      <c r="CI32" s="356"/>
    </row>
    <row r="33" spans="1:87" ht="73.5" customHeight="1">
      <c r="A33" s="141">
        <f t="shared" si="10"/>
        <v>20</v>
      </c>
      <c r="B33" s="142">
        <f t="shared" si="10"/>
        <v>20</v>
      </c>
      <c r="C33" s="143" t="s">
        <v>267</v>
      </c>
      <c r="D33" s="144" t="s">
        <v>2397</v>
      </c>
      <c r="E33" s="142" t="s">
        <v>57</v>
      </c>
      <c r="F33" s="142" t="s">
        <v>249</v>
      </c>
      <c r="G33" s="142"/>
      <c r="H33" s="145" t="s">
        <v>2398</v>
      </c>
      <c r="I33" s="142">
        <v>17697</v>
      </c>
      <c r="J33" s="146">
        <v>11.4</v>
      </c>
      <c r="K33" s="146">
        <f t="shared" si="0"/>
        <v>201745.80000000002</v>
      </c>
      <c r="L33" s="142"/>
      <c r="M33" s="142"/>
      <c r="N33" s="142"/>
      <c r="O33" s="142">
        <v>27</v>
      </c>
      <c r="P33" s="142"/>
      <c r="Q33" s="147">
        <f t="shared" si="1"/>
        <v>27</v>
      </c>
      <c r="R33" s="142"/>
      <c r="S33" s="142"/>
      <c r="T33" s="142"/>
      <c r="U33" s="142"/>
      <c r="V33" s="142"/>
      <c r="W33" s="154">
        <f t="shared" si="2"/>
        <v>0</v>
      </c>
      <c r="X33" s="149">
        <f t="shared" si="3"/>
        <v>27</v>
      </c>
      <c r="Y33" s="146">
        <f t="shared" si="4"/>
        <v>340446.03750000003</v>
      </c>
      <c r="Z33" s="146">
        <f t="shared" si="5"/>
        <v>34044.603750000002</v>
      </c>
      <c r="AA33" s="142">
        <v>0</v>
      </c>
      <c r="AB33" s="146">
        <f t="shared" si="6"/>
        <v>0</v>
      </c>
      <c r="AC33" s="142">
        <v>27</v>
      </c>
      <c r="AD33" s="146">
        <f t="shared" si="7"/>
        <v>5972.7375000000002</v>
      </c>
      <c r="AE33" s="142"/>
      <c r="AF33" s="142" t="s">
        <v>547</v>
      </c>
      <c r="AG33" s="146">
        <f t="shared" si="11"/>
        <v>3539.4</v>
      </c>
      <c r="AH33" s="142"/>
      <c r="AI33" s="146"/>
      <c r="AJ33" s="142"/>
      <c r="AK33" s="146"/>
      <c r="AL33" s="1004">
        <v>27</v>
      </c>
      <c r="AM33" s="1005">
        <v>102133.81125000001</v>
      </c>
      <c r="AN33" s="1006" t="s">
        <v>249</v>
      </c>
      <c r="AO33" s="1005">
        <v>170223.01875000002</v>
      </c>
      <c r="AP33" s="1005" t="s">
        <v>2364</v>
      </c>
      <c r="AQ33" s="1005" t="s">
        <v>2364</v>
      </c>
      <c r="AR33" s="1005" t="s">
        <v>2364</v>
      </c>
      <c r="AS33" s="1007"/>
      <c r="AT33" s="1005"/>
      <c r="AU33" s="1007"/>
      <c r="AV33" s="1005"/>
      <c r="AW33" s="1006"/>
      <c r="AX33" s="1008"/>
      <c r="AY33" s="1008"/>
      <c r="AZ33" s="1008">
        <v>315913.57125000004</v>
      </c>
      <c r="BA33" s="715">
        <v>656359.60875000013</v>
      </c>
      <c r="BB33" s="1008">
        <v>65635.960875000019</v>
      </c>
      <c r="BC33" s="1008">
        <v>13127.192175000004</v>
      </c>
      <c r="BD33" s="1008">
        <v>51690.645570000022</v>
      </c>
      <c r="BE33" s="1008">
        <v>525905.81013000011</v>
      </c>
      <c r="BF33" s="715">
        <v>7876315.3050000016</v>
      </c>
      <c r="BG33" s="1008">
        <v>340446.03750000003</v>
      </c>
      <c r="BH33" s="715">
        <v>8216761.3425000012</v>
      </c>
      <c r="BI33" s="1008">
        <v>369754.26041250007</v>
      </c>
      <c r="BJ33" s="1008">
        <v>236289.45915000004</v>
      </c>
      <c r="BK33" s="1009">
        <v>426377.21882400004</v>
      </c>
      <c r="BL33" s="1010">
        <v>369754.26041250007</v>
      </c>
      <c r="BM33" s="1011">
        <v>9618936.5412989985</v>
      </c>
      <c r="BN33" s="714"/>
      <c r="BO33" s="355"/>
      <c r="BP33" s="355"/>
      <c r="BQ33" s="355"/>
      <c r="BR33" s="355"/>
      <c r="BS33" s="355"/>
      <c r="BT33" s="355"/>
      <c r="BU33" s="355"/>
      <c r="BV33" s="355"/>
      <c r="BW33" s="355"/>
      <c r="BX33" s="355"/>
      <c r="BY33" s="355"/>
      <c r="BZ33" s="355"/>
      <c r="CA33" s="355"/>
      <c r="CB33" s="355"/>
      <c r="CC33" s="355"/>
      <c r="CD33" s="355"/>
      <c r="CE33" s="355"/>
      <c r="CF33" s="355"/>
      <c r="CG33" s="355"/>
      <c r="CH33" s="355"/>
      <c r="CI33" s="356"/>
    </row>
    <row r="34" spans="1:87" ht="73.5" customHeight="1">
      <c r="A34" s="141">
        <f t="shared" si="10"/>
        <v>21</v>
      </c>
      <c r="B34" s="142">
        <f t="shared" si="10"/>
        <v>21</v>
      </c>
      <c r="C34" s="143" t="s">
        <v>202</v>
      </c>
      <c r="D34" s="144" t="s">
        <v>2399</v>
      </c>
      <c r="E34" s="142" t="s">
        <v>57</v>
      </c>
      <c r="F34" s="142"/>
      <c r="G34" s="142" t="s">
        <v>224</v>
      </c>
      <c r="H34" s="145" t="s">
        <v>2400</v>
      </c>
      <c r="I34" s="142">
        <v>17697</v>
      </c>
      <c r="J34" s="146">
        <v>11.18</v>
      </c>
      <c r="K34" s="146">
        <f t="shared" si="0"/>
        <v>197852.46</v>
      </c>
      <c r="L34" s="142">
        <v>24</v>
      </c>
      <c r="M34" s="142"/>
      <c r="N34" s="142"/>
      <c r="O34" s="142"/>
      <c r="P34" s="142"/>
      <c r="Q34" s="147">
        <f t="shared" si="1"/>
        <v>24</v>
      </c>
      <c r="R34" s="142">
        <v>3</v>
      </c>
      <c r="S34" s="142"/>
      <c r="T34" s="142"/>
      <c r="U34" s="142"/>
      <c r="V34" s="142"/>
      <c r="W34" s="154">
        <f t="shared" si="2"/>
        <v>3</v>
      </c>
      <c r="X34" s="149">
        <f t="shared" si="3"/>
        <v>27</v>
      </c>
      <c r="Y34" s="146">
        <f t="shared" si="4"/>
        <v>333876.02625</v>
      </c>
      <c r="Z34" s="146">
        <f t="shared" si="5"/>
        <v>33387.602625</v>
      </c>
      <c r="AA34" s="142">
        <v>27</v>
      </c>
      <c r="AB34" s="146">
        <f t="shared" si="6"/>
        <v>11945.475</v>
      </c>
      <c r="AC34" s="142"/>
      <c r="AD34" s="146">
        <f t="shared" si="7"/>
        <v>0</v>
      </c>
      <c r="AE34" s="142"/>
      <c r="AF34" s="142">
        <v>205</v>
      </c>
      <c r="AG34" s="146">
        <f t="shared" si="11"/>
        <v>3539.4</v>
      </c>
      <c r="AH34" s="142"/>
      <c r="AI34" s="146"/>
      <c r="AJ34" s="142"/>
      <c r="AK34" s="146"/>
      <c r="AL34" s="1004">
        <v>27</v>
      </c>
      <c r="AM34" s="1005">
        <v>100162.807875</v>
      </c>
      <c r="AN34" s="1006">
        <v>0</v>
      </c>
      <c r="AO34" s="1005" t="s">
        <v>2364</v>
      </c>
      <c r="AP34" s="1005" t="s">
        <v>2364</v>
      </c>
      <c r="AQ34" s="1005" t="s">
        <v>2364</v>
      </c>
      <c r="AR34" s="1005" t="s">
        <v>2364</v>
      </c>
      <c r="AS34" s="1007"/>
      <c r="AT34" s="1005"/>
      <c r="AU34" s="1007"/>
      <c r="AV34" s="1005"/>
      <c r="AW34" s="1006" t="s">
        <v>224</v>
      </c>
      <c r="AX34" s="1008">
        <v>43350</v>
      </c>
      <c r="AY34" s="1008"/>
      <c r="AZ34" s="1008">
        <v>192385.2855</v>
      </c>
      <c r="BA34" s="715">
        <v>526261.31174999999</v>
      </c>
      <c r="BB34" s="1008">
        <v>52626.131175000002</v>
      </c>
      <c r="BC34" s="1008">
        <v>10525.226235</v>
      </c>
      <c r="BD34" s="1008">
        <v>40241.995434000004</v>
      </c>
      <c r="BE34" s="1008">
        <v>422867.95890600001</v>
      </c>
      <c r="BF34" s="715">
        <v>6315135.7410000004</v>
      </c>
      <c r="BG34" s="1008">
        <v>333876.02625</v>
      </c>
      <c r="BH34" s="715">
        <v>6649011.7672500005</v>
      </c>
      <c r="BI34" s="1008">
        <v>299205.52952625003</v>
      </c>
      <c r="BJ34" s="1008">
        <v>189454.07222999999</v>
      </c>
      <c r="BK34" s="1009">
        <v>345153.3368013</v>
      </c>
      <c r="BL34" s="1010">
        <v>299205.52952625003</v>
      </c>
      <c r="BM34" s="1011">
        <v>7782030.2353338012</v>
      </c>
      <c r="BN34" s="714"/>
      <c r="BO34" s="355"/>
      <c r="BP34" s="355"/>
      <c r="BQ34" s="355"/>
      <c r="BR34" s="355"/>
      <c r="BS34" s="355"/>
      <c r="BT34" s="355"/>
      <c r="BU34" s="355"/>
      <c r="BV34" s="355"/>
      <c r="BW34" s="355"/>
      <c r="BX34" s="355"/>
      <c r="BY34" s="355"/>
      <c r="BZ34" s="355"/>
      <c r="CA34" s="355"/>
      <c r="CB34" s="355"/>
      <c r="CC34" s="355"/>
      <c r="CD34" s="355"/>
      <c r="CE34" s="355"/>
      <c r="CF34" s="355"/>
      <c r="CG34" s="355"/>
      <c r="CH34" s="355"/>
      <c r="CI34" s="356"/>
    </row>
    <row r="35" spans="1:87" ht="73.5" customHeight="1">
      <c r="A35" s="141">
        <f t="shared" si="10"/>
        <v>22</v>
      </c>
      <c r="B35" s="142">
        <f t="shared" si="10"/>
        <v>22</v>
      </c>
      <c r="C35" s="143" t="s">
        <v>548</v>
      </c>
      <c r="D35" s="144" t="s">
        <v>2401</v>
      </c>
      <c r="E35" s="142" t="s">
        <v>57</v>
      </c>
      <c r="F35" s="142"/>
      <c r="G35" s="142"/>
      <c r="H35" s="145" t="s">
        <v>279</v>
      </c>
      <c r="I35" s="142">
        <v>17697</v>
      </c>
      <c r="J35" s="146">
        <v>9.66</v>
      </c>
      <c r="K35" s="146">
        <f t="shared" si="0"/>
        <v>170953.02</v>
      </c>
      <c r="L35" s="142"/>
      <c r="M35" s="142">
        <v>16</v>
      </c>
      <c r="N35" s="142"/>
      <c r="O35" s="142">
        <v>9</v>
      </c>
      <c r="P35" s="142"/>
      <c r="Q35" s="147">
        <f t="shared" si="1"/>
        <v>25</v>
      </c>
      <c r="R35" s="142"/>
      <c r="S35" s="142">
        <v>2</v>
      </c>
      <c r="T35" s="142"/>
      <c r="U35" s="142"/>
      <c r="V35" s="142"/>
      <c r="W35" s="154">
        <f t="shared" si="2"/>
        <v>2</v>
      </c>
      <c r="X35" s="149">
        <f t="shared" si="3"/>
        <v>27</v>
      </c>
      <c r="Y35" s="146">
        <f t="shared" si="4"/>
        <v>288483.22125</v>
      </c>
      <c r="Z35" s="146">
        <f t="shared" si="5"/>
        <v>28848.322125000002</v>
      </c>
      <c r="AA35" s="142">
        <v>18</v>
      </c>
      <c r="AB35" s="146">
        <f t="shared" si="6"/>
        <v>7963.6500000000005</v>
      </c>
      <c r="AC35" s="142">
        <v>9</v>
      </c>
      <c r="AD35" s="146">
        <f t="shared" si="7"/>
        <v>1990.9125000000001</v>
      </c>
      <c r="AE35" s="142"/>
      <c r="AF35" s="142">
        <v>210</v>
      </c>
      <c r="AG35" s="146">
        <f t="shared" si="11"/>
        <v>3539.4</v>
      </c>
      <c r="AH35" s="142"/>
      <c r="AI35" s="146"/>
      <c r="AJ35" s="142"/>
      <c r="AK35" s="146"/>
      <c r="AL35" s="1004">
        <v>27</v>
      </c>
      <c r="AM35" s="1005">
        <v>86544.966375000004</v>
      </c>
      <c r="AN35" s="1006">
        <v>0</v>
      </c>
      <c r="AO35" s="1005" t="s">
        <v>2364</v>
      </c>
      <c r="AP35" s="1005" t="s">
        <v>2364</v>
      </c>
      <c r="AQ35" s="1005" t="s">
        <v>2364</v>
      </c>
      <c r="AR35" s="1005" t="s">
        <v>2364</v>
      </c>
      <c r="AS35" s="1007"/>
      <c r="AT35" s="1005"/>
      <c r="AU35" s="1007"/>
      <c r="AV35" s="1005"/>
      <c r="AW35" s="1006"/>
      <c r="AX35" s="1008"/>
      <c r="AY35" s="1008"/>
      <c r="AZ35" s="1008">
        <v>128887.251</v>
      </c>
      <c r="BA35" s="715">
        <v>417370.47224999999</v>
      </c>
      <c r="BB35" s="1008">
        <v>41737.047225000002</v>
      </c>
      <c r="BC35" s="1008">
        <v>8347.4094449999993</v>
      </c>
      <c r="BD35" s="1008">
        <v>30659.601558000002</v>
      </c>
      <c r="BE35" s="1008">
        <v>336626.41402199998</v>
      </c>
      <c r="BF35" s="715">
        <v>5008445.6669999994</v>
      </c>
      <c r="BG35" s="1008">
        <v>288483.22125</v>
      </c>
      <c r="BH35" s="715">
        <v>5296928.8882499998</v>
      </c>
      <c r="BI35" s="1008">
        <v>238361.79997125</v>
      </c>
      <c r="BJ35" s="1008">
        <v>150253.37000999998</v>
      </c>
      <c r="BK35" s="1009">
        <v>275015.57949809992</v>
      </c>
      <c r="BL35" s="1010">
        <v>238361.79997124997</v>
      </c>
      <c r="BM35" s="1011">
        <v>6198921.4377005994</v>
      </c>
      <c r="BN35" s="714"/>
      <c r="BO35" s="355"/>
      <c r="BP35" s="355"/>
      <c r="BQ35" s="355"/>
      <c r="BR35" s="355"/>
      <c r="BS35" s="355"/>
      <c r="BT35" s="355"/>
      <c r="BU35" s="355"/>
      <c r="BV35" s="355"/>
      <c r="BW35" s="355"/>
      <c r="BX35" s="355"/>
      <c r="BY35" s="355"/>
      <c r="BZ35" s="355"/>
      <c r="CA35" s="355"/>
      <c r="CB35" s="355"/>
      <c r="CC35" s="355"/>
      <c r="CD35" s="355"/>
      <c r="CE35" s="355"/>
      <c r="CF35" s="355"/>
      <c r="CG35" s="355"/>
      <c r="CH35" s="355"/>
      <c r="CI35" s="356"/>
    </row>
    <row r="36" spans="1:87" ht="73.5" customHeight="1">
      <c r="A36" s="141">
        <f t="shared" si="10"/>
        <v>23</v>
      </c>
      <c r="B36" s="142">
        <f t="shared" si="10"/>
        <v>23</v>
      </c>
      <c r="C36" s="143" t="s">
        <v>268</v>
      </c>
      <c r="D36" s="144" t="s">
        <v>2402</v>
      </c>
      <c r="E36" s="142" t="s">
        <v>57</v>
      </c>
      <c r="F36" s="142" t="s">
        <v>254</v>
      </c>
      <c r="G36" s="142" t="s">
        <v>224</v>
      </c>
      <c r="H36" s="145" t="s">
        <v>2403</v>
      </c>
      <c r="I36" s="142">
        <v>17697</v>
      </c>
      <c r="J36" s="146">
        <v>10</v>
      </c>
      <c r="K36" s="146">
        <f t="shared" si="0"/>
        <v>176970</v>
      </c>
      <c r="L36" s="153"/>
      <c r="M36" s="153">
        <v>12</v>
      </c>
      <c r="N36" s="153">
        <v>16</v>
      </c>
      <c r="O36" s="153"/>
      <c r="P36" s="153"/>
      <c r="Q36" s="147">
        <f t="shared" si="1"/>
        <v>28</v>
      </c>
      <c r="R36" s="153"/>
      <c r="S36" s="153">
        <v>1</v>
      </c>
      <c r="T36" s="153">
        <v>2</v>
      </c>
      <c r="U36" s="153"/>
      <c r="V36" s="153"/>
      <c r="W36" s="154">
        <f t="shared" si="2"/>
        <v>3</v>
      </c>
      <c r="X36" s="149">
        <f t="shared" si="3"/>
        <v>31</v>
      </c>
      <c r="Y36" s="146">
        <f t="shared" si="4"/>
        <v>342879.375</v>
      </c>
      <c r="Z36" s="146">
        <f t="shared" si="5"/>
        <v>34287.9375</v>
      </c>
      <c r="AA36" s="142">
        <v>22</v>
      </c>
      <c r="AB36" s="146">
        <f t="shared" si="6"/>
        <v>9733.35</v>
      </c>
      <c r="AC36" s="142">
        <v>9</v>
      </c>
      <c r="AD36" s="146">
        <f t="shared" si="7"/>
        <v>1990.9125000000001</v>
      </c>
      <c r="AE36" s="142"/>
      <c r="AF36" s="142"/>
      <c r="AG36" s="146"/>
      <c r="AH36" s="142"/>
      <c r="AI36" s="146"/>
      <c r="AJ36" s="142"/>
      <c r="AK36" s="146"/>
      <c r="AL36" s="1004">
        <v>31</v>
      </c>
      <c r="AM36" s="1005">
        <v>102863.8125</v>
      </c>
      <c r="AN36" s="1006" t="s">
        <v>254</v>
      </c>
      <c r="AO36" s="1005" t="s">
        <v>2364</v>
      </c>
      <c r="AP36" s="1005" t="s">
        <v>2364</v>
      </c>
      <c r="AQ36" s="1005" t="s">
        <v>2364</v>
      </c>
      <c r="AR36" s="1005">
        <v>102863.8125</v>
      </c>
      <c r="AS36" s="1007"/>
      <c r="AT36" s="1005"/>
      <c r="AU36" s="1007"/>
      <c r="AV36" s="1005"/>
      <c r="AW36" s="1006" t="s">
        <v>224</v>
      </c>
      <c r="AX36" s="1008">
        <v>43350</v>
      </c>
      <c r="AY36" s="1008"/>
      <c r="AZ36" s="1008">
        <v>295089.82500000001</v>
      </c>
      <c r="BA36" s="715">
        <v>637969.19999999995</v>
      </c>
      <c r="BB36" s="1008">
        <v>63796.92</v>
      </c>
      <c r="BC36" s="1008">
        <v>12759.384</v>
      </c>
      <c r="BD36" s="1008">
        <v>50072.289599999996</v>
      </c>
      <c r="BE36" s="1008">
        <v>511340.60639999993</v>
      </c>
      <c r="BF36" s="715">
        <v>7655630.3999999994</v>
      </c>
      <c r="BG36" s="1008">
        <v>342879.375</v>
      </c>
      <c r="BH36" s="715">
        <v>7998509.7749999994</v>
      </c>
      <c r="BI36" s="1008">
        <v>359932.93987499998</v>
      </c>
      <c r="BJ36" s="1008">
        <v>229668.91199999998</v>
      </c>
      <c r="BK36" s="1009">
        <v>415077.14097000001</v>
      </c>
      <c r="BL36" s="1010">
        <v>359932.93987499998</v>
      </c>
      <c r="BM36" s="1011">
        <v>9363121.7077199984</v>
      </c>
      <c r="BN36" s="714"/>
      <c r="BO36" s="355"/>
      <c r="BP36" s="355"/>
      <c r="BQ36" s="355"/>
      <c r="BR36" s="355"/>
      <c r="BS36" s="355"/>
      <c r="BT36" s="355"/>
      <c r="BU36" s="355"/>
      <c r="BV36" s="355"/>
      <c r="BW36" s="355"/>
      <c r="BX36" s="355"/>
      <c r="BY36" s="355"/>
      <c r="BZ36" s="355"/>
      <c r="CA36" s="355"/>
      <c r="CB36" s="355"/>
      <c r="CC36" s="355"/>
      <c r="CD36" s="355"/>
      <c r="CE36" s="355"/>
      <c r="CF36" s="355"/>
      <c r="CG36" s="355"/>
      <c r="CH36" s="355"/>
      <c r="CI36" s="356"/>
    </row>
    <row r="37" spans="1:87" ht="73.5" customHeight="1">
      <c r="A37" s="141">
        <f t="shared" si="10"/>
        <v>24</v>
      </c>
      <c r="B37" s="142">
        <f t="shared" si="10"/>
        <v>24</v>
      </c>
      <c r="C37" s="157" t="s">
        <v>269</v>
      </c>
      <c r="D37" s="144" t="s">
        <v>2377</v>
      </c>
      <c r="E37" s="142" t="s">
        <v>57</v>
      </c>
      <c r="F37" s="142" t="s">
        <v>254</v>
      </c>
      <c r="G37" s="142" t="s">
        <v>224</v>
      </c>
      <c r="H37" s="145" t="s">
        <v>396</v>
      </c>
      <c r="I37" s="142">
        <v>17697</v>
      </c>
      <c r="J37" s="146">
        <v>10</v>
      </c>
      <c r="K37" s="146">
        <f t="shared" si="0"/>
        <v>176970</v>
      </c>
      <c r="L37" s="153"/>
      <c r="M37" s="153"/>
      <c r="N37" s="153"/>
      <c r="O37" s="153">
        <v>27</v>
      </c>
      <c r="P37" s="153"/>
      <c r="Q37" s="147">
        <f t="shared" si="1"/>
        <v>27</v>
      </c>
      <c r="R37" s="153"/>
      <c r="S37" s="153"/>
      <c r="T37" s="153"/>
      <c r="U37" s="153"/>
      <c r="V37" s="153"/>
      <c r="W37" s="154">
        <f t="shared" si="2"/>
        <v>0</v>
      </c>
      <c r="X37" s="149">
        <f t="shared" si="3"/>
        <v>27</v>
      </c>
      <c r="Y37" s="146">
        <f t="shared" si="4"/>
        <v>298636.875</v>
      </c>
      <c r="Z37" s="146">
        <f t="shared" si="5"/>
        <v>29863.6875</v>
      </c>
      <c r="AA37" s="142">
        <v>0</v>
      </c>
      <c r="AB37" s="146">
        <f t="shared" si="6"/>
        <v>0</v>
      </c>
      <c r="AC37" s="142">
        <v>27</v>
      </c>
      <c r="AD37" s="146">
        <f t="shared" si="7"/>
        <v>5972.7375000000002</v>
      </c>
      <c r="AE37" s="142"/>
      <c r="AF37" s="142"/>
      <c r="AG37" s="146"/>
      <c r="AH37" s="142"/>
      <c r="AI37" s="146"/>
      <c r="AJ37" s="142"/>
      <c r="AK37" s="146"/>
      <c r="AL37" s="1004">
        <v>27</v>
      </c>
      <c r="AM37" s="1005">
        <v>89591.0625</v>
      </c>
      <c r="AN37" s="1006" t="s">
        <v>254</v>
      </c>
      <c r="AO37" s="1005" t="s">
        <v>2364</v>
      </c>
      <c r="AP37" s="1005" t="s">
        <v>2364</v>
      </c>
      <c r="AQ37" s="1005" t="s">
        <v>2364</v>
      </c>
      <c r="AR37" s="1005">
        <v>89591.0625</v>
      </c>
      <c r="AS37" s="1007"/>
      <c r="AT37" s="1005"/>
      <c r="AU37" s="1007"/>
      <c r="AV37" s="1005"/>
      <c r="AW37" s="1006" t="s">
        <v>224</v>
      </c>
      <c r="AX37" s="1008">
        <v>43350</v>
      </c>
      <c r="AY37" s="1008"/>
      <c r="AZ37" s="1008">
        <v>258368.55</v>
      </c>
      <c r="BA37" s="715">
        <v>557005.42500000005</v>
      </c>
      <c r="BB37" s="1008">
        <v>55700.54250000001</v>
      </c>
      <c r="BC37" s="1008">
        <v>11140.1085</v>
      </c>
      <c r="BD37" s="1008">
        <v>42947.477400000011</v>
      </c>
      <c r="BE37" s="1008">
        <v>447217.29660000006</v>
      </c>
      <c r="BF37" s="715">
        <v>6684065.1000000006</v>
      </c>
      <c r="BG37" s="1008">
        <v>298636.875</v>
      </c>
      <c r="BH37" s="715">
        <v>6982701.9750000006</v>
      </c>
      <c r="BI37" s="1008">
        <v>314221.58887500007</v>
      </c>
      <c r="BJ37" s="1008">
        <v>200521.95300000001</v>
      </c>
      <c r="BK37" s="1009">
        <v>362360.96342999995</v>
      </c>
      <c r="BL37" s="1010">
        <v>314221.58887500002</v>
      </c>
      <c r="BM37" s="1011">
        <v>8174028.0691800006</v>
      </c>
      <c r="BN37" s="714"/>
      <c r="BO37" s="355"/>
      <c r="BP37" s="355"/>
      <c r="BQ37" s="355"/>
      <c r="BR37" s="355"/>
      <c r="BS37" s="355"/>
      <c r="BT37" s="355"/>
      <c r="BU37" s="355"/>
      <c r="BV37" s="355"/>
      <c r="BW37" s="355"/>
      <c r="BX37" s="355"/>
      <c r="BY37" s="355"/>
      <c r="BZ37" s="355"/>
      <c r="CA37" s="355"/>
      <c r="CB37" s="355"/>
      <c r="CC37" s="355"/>
      <c r="CD37" s="355"/>
      <c r="CE37" s="355"/>
      <c r="CF37" s="355"/>
      <c r="CG37" s="355"/>
      <c r="CH37" s="355"/>
      <c r="CI37" s="356"/>
    </row>
    <row r="38" spans="1:87" ht="30">
      <c r="A38" s="361">
        <v>1</v>
      </c>
      <c r="B38" s="362">
        <v>1</v>
      </c>
      <c r="C38" s="378" t="s">
        <v>393</v>
      </c>
      <c r="D38" s="379" t="s">
        <v>1003</v>
      </c>
      <c r="E38" s="362" t="s">
        <v>998</v>
      </c>
      <c r="F38" s="362" t="s">
        <v>254</v>
      </c>
      <c r="G38" s="362" t="s">
        <v>224</v>
      </c>
      <c r="H38" s="365" t="s">
        <v>1401</v>
      </c>
      <c r="I38" s="366">
        <v>17697</v>
      </c>
      <c r="J38" s="367">
        <v>10.220000000000001</v>
      </c>
      <c r="K38" s="367">
        <f t="shared" si="0"/>
        <v>180863.34000000003</v>
      </c>
      <c r="L38" s="380"/>
      <c r="M38" s="380"/>
      <c r="N38" s="380"/>
      <c r="O38" s="380">
        <v>27</v>
      </c>
      <c r="P38" s="380"/>
      <c r="Q38" s="368">
        <f t="shared" ref="Q38:Q64" si="12">SUM(L38:P38)</f>
        <v>27</v>
      </c>
      <c r="R38" s="380"/>
      <c r="S38" s="380"/>
      <c r="T38" s="380"/>
      <c r="U38" s="380"/>
      <c r="V38" s="380"/>
      <c r="W38" s="381">
        <f t="shared" ref="W38:W64" si="13">SUM(R38:V38)</f>
        <v>0</v>
      </c>
      <c r="X38" s="370">
        <f t="shared" si="3"/>
        <v>27</v>
      </c>
      <c r="Y38" s="367">
        <f t="shared" si="4"/>
        <v>305206.88625000004</v>
      </c>
      <c r="Z38" s="367">
        <f t="shared" si="5"/>
        <v>30520.688625000006</v>
      </c>
      <c r="AA38" s="366">
        <v>27</v>
      </c>
      <c r="AB38" s="367">
        <f t="shared" si="6"/>
        <v>11945.475</v>
      </c>
      <c r="AC38" s="366">
        <v>0</v>
      </c>
      <c r="AD38" s="367">
        <f t="shared" si="7"/>
        <v>0</v>
      </c>
      <c r="AE38" s="366">
        <v>196600</v>
      </c>
      <c r="AF38" s="366"/>
      <c r="AG38" s="367"/>
      <c r="AH38" s="366"/>
      <c r="AI38" s="367"/>
      <c r="AJ38" s="366">
        <f t="shared" ref="AJ38:AJ64" si="14">X38</f>
        <v>27</v>
      </c>
      <c r="AK38" s="367">
        <f t="shared" ref="AK38:AK64" si="15">I38/16*AJ38*40%</f>
        <v>11945.475</v>
      </c>
      <c r="AL38" s="366">
        <f t="shared" ref="AL38:AL64" si="16">X38</f>
        <v>27</v>
      </c>
      <c r="AM38" s="367">
        <f t="shared" ref="AM38:AM64" si="17">K38/16*AL38*30%</f>
        <v>91562.065875000015</v>
      </c>
      <c r="AN38" s="366" t="str">
        <f t="shared" ref="AN38:AN64" si="18">F38</f>
        <v>Педагог-модератор</v>
      </c>
      <c r="AO38" s="367" t="str">
        <f t="shared" ref="AO38:AO64" si="19">IF(AN38="Педагог-зерттеуші", "0", IF(AN38="Педагог-шебер",K38/16*X38*50%, IF(AN38="Педагог-сарапшы", "0", IF(AN38="Педагог-модератор", "0", "0"))))</f>
        <v>0</v>
      </c>
      <c r="AP38" s="367" t="str">
        <f t="shared" ref="AP38:AP64" si="20">IF(AN38="Педагог-шебер", "0", IF(AN38="Педагог-зерттеуші",K38/16*X38*40%, IF(AN38="Педагог-сарапшы", "0", IF(AN38="Педагог-модератор", "0", "0"))))</f>
        <v>0</v>
      </c>
      <c r="AQ38" s="367" t="str">
        <f t="shared" ref="AQ38:AQ64" si="21">IF(AN38="Педагог-шебер", "0", IF(AN38="Педагог-сарапшы",K38/16*X38*35%, IF(AN38="Педагог-зерттеуші", "0", IF(AN38="Педагог-модератор", "0", "0"))))</f>
        <v>0</v>
      </c>
      <c r="AR38" s="367">
        <f t="shared" ref="AR38:AR64" si="22">IF(AN38="Педагог-шебер", "0", IF(AN38="Педагог-модератор",K38/16*X38*30%, IF(AN38="Педагог-зерттеуші", "0", IF(AN38="Педагог-сарапшы", "0", "0"))))</f>
        <v>91562.065875000015</v>
      </c>
      <c r="AS38" s="366"/>
      <c r="AT38" s="367"/>
      <c r="AU38" s="371"/>
      <c r="AV38" s="367"/>
      <c r="AW38" s="371" t="str">
        <f t="shared" ref="AW38:AW64" si="23">G38</f>
        <v>Магистр-математика</v>
      </c>
      <c r="AX38" s="372">
        <f>10*4335</f>
        <v>43350</v>
      </c>
      <c r="AY38" s="367"/>
      <c r="AZ38" s="367">
        <f t="shared" ref="AZ38:AZ64" si="24">Z38+AB38+AD38+AE38+AG38+AI38+AK38+AM38+AO38+AP38+AQ38++AR38+AT38+AV38+AX38+AY38</f>
        <v>477485.77037500008</v>
      </c>
      <c r="BA38" s="373">
        <f t="shared" ref="BA38:BA64" si="25">Y38+AZ38</f>
        <v>782692.65662500006</v>
      </c>
      <c r="BB38" s="374">
        <f t="shared" ref="BB38:BB64" si="26">BA38*10%</f>
        <v>78269.265662500009</v>
      </c>
      <c r="BC38" s="374">
        <f t="shared" ref="BC38:BC64" si="27">BA38*2%</f>
        <v>15653.853132500002</v>
      </c>
      <c r="BD38" s="374">
        <f t="shared" ref="BD38:BD64" si="28">(BA38-BB38-BC38-(14*4335))*10%</f>
        <v>62807.953783000004</v>
      </c>
      <c r="BE38" s="374">
        <f t="shared" ref="BE38:BE64" si="29">BA38-BB38-BC38-BD38</f>
        <v>625961.58404700004</v>
      </c>
      <c r="BF38" s="374">
        <f t="shared" ref="BF38:BF64" si="30">BA38*12</f>
        <v>9392311.8795000017</v>
      </c>
      <c r="BG38" s="374">
        <f t="shared" ref="BG38:BG64" si="31">Y38*2</f>
        <v>610413.77250000008</v>
      </c>
      <c r="BH38" s="374">
        <f t="shared" ref="BH38:BH64" si="32">BF38+BG38</f>
        <v>10002725.652000003</v>
      </c>
      <c r="BI38" s="374">
        <f t="shared" ref="BI38:BI64" si="33">BH38*0.9*5%</f>
        <v>450122.65434000018</v>
      </c>
      <c r="BJ38" s="374">
        <f t="shared" ref="BJ38:BJ64" si="34">BF38*3%</f>
        <v>281769.35638500005</v>
      </c>
      <c r="BK38" s="374">
        <f t="shared" ref="BK38:BK64" si="35">(BH38*0.9-(BC38*12))*11%-BI38</f>
        <v>519484.09907310019</v>
      </c>
      <c r="BL38" s="374">
        <f t="shared" ref="BL38:BL64" si="36">BH38*4.5%</f>
        <v>450122.65434000012</v>
      </c>
      <c r="BM38" s="373">
        <f t="shared" ref="BM38:BM64" si="37">BH38+BI38+BJ38+BK38+BL38</f>
        <v>11704224.416138105</v>
      </c>
      <c r="BN38" s="375"/>
      <c r="BO38" s="376"/>
      <c r="BP38" s="376"/>
      <c r="BQ38" s="377"/>
      <c r="BR38" s="377"/>
      <c r="BS38" s="377"/>
      <c r="BT38" s="377"/>
      <c r="BU38" s="377"/>
      <c r="BV38" s="377"/>
      <c r="BW38" s="377"/>
      <c r="BX38" s="377"/>
      <c r="BY38" s="377"/>
      <c r="BZ38" s="377"/>
      <c r="CA38" s="377"/>
      <c r="CB38" s="377"/>
      <c r="CC38" s="377"/>
      <c r="CD38" s="377"/>
      <c r="CE38" s="377"/>
      <c r="CF38" s="377"/>
      <c r="CG38" s="377"/>
      <c r="CH38" s="377"/>
      <c r="CI38" s="377"/>
    </row>
    <row r="39" spans="1:87" ht="47.25">
      <c r="A39" s="361">
        <f t="shared" ref="A39:B54" si="38">A38+1</f>
        <v>2</v>
      </c>
      <c r="B39" s="362">
        <f t="shared" si="38"/>
        <v>2</v>
      </c>
      <c r="C39" s="378" t="s">
        <v>256</v>
      </c>
      <c r="D39" s="379" t="s">
        <v>1004</v>
      </c>
      <c r="E39" s="362" t="s">
        <v>998</v>
      </c>
      <c r="F39" s="362" t="s">
        <v>1005</v>
      </c>
      <c r="G39" s="362"/>
      <c r="H39" s="365" t="s">
        <v>1006</v>
      </c>
      <c r="I39" s="366">
        <v>17697</v>
      </c>
      <c r="J39" s="367">
        <v>11.4</v>
      </c>
      <c r="K39" s="367">
        <f t="shared" si="0"/>
        <v>201745.80000000002</v>
      </c>
      <c r="L39" s="366"/>
      <c r="M39" s="366">
        <v>16</v>
      </c>
      <c r="N39" s="366"/>
      <c r="O39" s="366"/>
      <c r="P39" s="366"/>
      <c r="Q39" s="368">
        <f t="shared" si="12"/>
        <v>16</v>
      </c>
      <c r="R39" s="369"/>
      <c r="S39" s="369">
        <v>2</v>
      </c>
      <c r="T39" s="369"/>
      <c r="U39" s="369"/>
      <c r="V39" s="369"/>
      <c r="W39" s="368">
        <f t="shared" si="13"/>
        <v>2</v>
      </c>
      <c r="X39" s="370">
        <f t="shared" si="3"/>
        <v>18</v>
      </c>
      <c r="Y39" s="367">
        <f t="shared" si="4"/>
        <v>226964.02500000002</v>
      </c>
      <c r="Z39" s="367">
        <f t="shared" si="5"/>
        <v>22696.402500000004</v>
      </c>
      <c r="AA39" s="366">
        <v>18</v>
      </c>
      <c r="AB39" s="367">
        <f t="shared" si="6"/>
        <v>7963.6500000000005</v>
      </c>
      <c r="AC39" s="366">
        <v>0</v>
      </c>
      <c r="AD39" s="367">
        <f t="shared" si="7"/>
        <v>0</v>
      </c>
      <c r="AE39" s="366"/>
      <c r="AF39" s="366"/>
      <c r="AG39" s="367"/>
      <c r="AH39" s="366"/>
      <c r="AI39" s="367"/>
      <c r="AJ39" s="366">
        <f t="shared" si="14"/>
        <v>18</v>
      </c>
      <c r="AK39" s="367">
        <f t="shared" si="15"/>
        <v>7963.6500000000005</v>
      </c>
      <c r="AL39" s="366">
        <f t="shared" si="16"/>
        <v>18</v>
      </c>
      <c r="AM39" s="367">
        <f t="shared" si="17"/>
        <v>68089.207500000004</v>
      </c>
      <c r="AN39" s="366" t="str">
        <f t="shared" si="18"/>
        <v>Педагог-зерттеуші</v>
      </c>
      <c r="AO39" s="367" t="str">
        <f t="shared" si="19"/>
        <v>0</v>
      </c>
      <c r="AP39" s="367">
        <f t="shared" si="20"/>
        <v>90785.610000000015</v>
      </c>
      <c r="AQ39" s="367" t="str">
        <f t="shared" si="21"/>
        <v>0</v>
      </c>
      <c r="AR39" s="367" t="str">
        <f t="shared" si="22"/>
        <v>0</v>
      </c>
      <c r="AS39" s="366"/>
      <c r="AT39" s="367"/>
      <c r="AU39" s="372"/>
      <c r="AV39" s="367"/>
      <c r="AW39" s="371">
        <f t="shared" si="23"/>
        <v>0</v>
      </c>
      <c r="AX39" s="372"/>
      <c r="AY39" s="367"/>
      <c r="AZ39" s="367">
        <f t="shared" si="24"/>
        <v>197498.52000000002</v>
      </c>
      <c r="BA39" s="373">
        <f t="shared" si="25"/>
        <v>424462.54500000004</v>
      </c>
      <c r="BB39" s="374">
        <f t="shared" si="26"/>
        <v>42446.25450000001</v>
      </c>
      <c r="BC39" s="374">
        <f t="shared" si="27"/>
        <v>8489.2509000000009</v>
      </c>
      <c r="BD39" s="374">
        <f t="shared" si="28"/>
        <v>31283.703960000003</v>
      </c>
      <c r="BE39" s="374">
        <f t="shared" si="29"/>
        <v>342243.33564</v>
      </c>
      <c r="BF39" s="374">
        <f t="shared" si="30"/>
        <v>5093550.540000001</v>
      </c>
      <c r="BG39" s="374">
        <f t="shared" si="31"/>
        <v>453928.05000000005</v>
      </c>
      <c r="BH39" s="374">
        <f t="shared" si="32"/>
        <v>5547478.5900000008</v>
      </c>
      <c r="BI39" s="374">
        <f t="shared" si="33"/>
        <v>249636.53655000005</v>
      </c>
      <c r="BJ39" s="374">
        <f t="shared" si="34"/>
        <v>152806.51620000001</v>
      </c>
      <c r="BK39" s="374">
        <f t="shared" si="35"/>
        <v>288358.032672</v>
      </c>
      <c r="BL39" s="374">
        <f t="shared" si="36"/>
        <v>249636.53655000002</v>
      </c>
      <c r="BM39" s="373">
        <f t="shared" si="37"/>
        <v>6487916.2119720019</v>
      </c>
      <c r="BN39" s="375"/>
      <c r="BO39" s="376"/>
      <c r="BP39" s="376"/>
      <c r="BQ39" s="377"/>
      <c r="BR39" s="377"/>
      <c r="BS39" s="377"/>
      <c r="BT39" s="377"/>
      <c r="BU39" s="377"/>
      <c r="BV39" s="377"/>
      <c r="BW39" s="377"/>
      <c r="BX39" s="377"/>
      <c r="BY39" s="377"/>
      <c r="BZ39" s="377"/>
      <c r="CA39" s="377"/>
      <c r="CB39" s="377"/>
      <c r="CC39" s="377"/>
      <c r="CD39" s="377"/>
      <c r="CE39" s="377"/>
      <c r="CF39" s="377"/>
      <c r="CG39" s="377"/>
      <c r="CH39" s="377"/>
      <c r="CI39" s="377"/>
    </row>
    <row r="40" spans="1:87" ht="47.25">
      <c r="A40" s="361">
        <f t="shared" si="38"/>
        <v>3</v>
      </c>
      <c r="B40" s="362">
        <f t="shared" si="38"/>
        <v>3</v>
      </c>
      <c r="C40" s="378" t="s">
        <v>207</v>
      </c>
      <c r="D40" s="382" t="s">
        <v>1007</v>
      </c>
      <c r="E40" s="362" t="s">
        <v>998</v>
      </c>
      <c r="F40" s="362"/>
      <c r="G40" s="383"/>
      <c r="H40" s="365" t="s">
        <v>1008</v>
      </c>
      <c r="I40" s="366">
        <v>17697</v>
      </c>
      <c r="J40" s="367">
        <v>11.4</v>
      </c>
      <c r="K40" s="367">
        <f t="shared" si="0"/>
        <v>201745.80000000002</v>
      </c>
      <c r="L40" s="366"/>
      <c r="M40" s="366"/>
      <c r="N40" s="366"/>
      <c r="O40" s="366"/>
      <c r="P40" s="366">
        <v>18</v>
      </c>
      <c r="Q40" s="368">
        <f t="shared" si="12"/>
        <v>18</v>
      </c>
      <c r="R40" s="369"/>
      <c r="S40" s="369"/>
      <c r="T40" s="369"/>
      <c r="U40" s="369"/>
      <c r="V40" s="369"/>
      <c r="W40" s="368">
        <f t="shared" si="13"/>
        <v>0</v>
      </c>
      <c r="X40" s="370">
        <f t="shared" si="3"/>
        <v>18</v>
      </c>
      <c r="Y40" s="367">
        <f t="shared" si="4"/>
        <v>226964.02500000002</v>
      </c>
      <c r="Z40" s="367">
        <f t="shared" si="5"/>
        <v>22696.402500000004</v>
      </c>
      <c r="AA40" s="366">
        <v>18</v>
      </c>
      <c r="AB40" s="367">
        <f>I40/16*AA40*40%</f>
        <v>7963.6500000000005</v>
      </c>
      <c r="AC40" s="366">
        <v>0</v>
      </c>
      <c r="AD40" s="367">
        <f t="shared" si="7"/>
        <v>0</v>
      </c>
      <c r="AE40" s="366"/>
      <c r="AF40" s="366" t="s">
        <v>394</v>
      </c>
      <c r="AG40" s="367">
        <f t="shared" ref="AG40" si="39">17697*20%</f>
        <v>3539.4</v>
      </c>
      <c r="AH40" s="366" t="s">
        <v>1009</v>
      </c>
      <c r="AI40" s="367">
        <f>I40*200%</f>
        <v>35394</v>
      </c>
      <c r="AJ40" s="366">
        <f t="shared" si="14"/>
        <v>18</v>
      </c>
      <c r="AK40" s="367">
        <f t="shared" si="15"/>
        <v>7963.6500000000005</v>
      </c>
      <c r="AL40" s="366">
        <f t="shared" si="16"/>
        <v>18</v>
      </c>
      <c r="AM40" s="367">
        <f t="shared" si="17"/>
        <v>68089.207500000004</v>
      </c>
      <c r="AN40" s="366">
        <f t="shared" si="18"/>
        <v>0</v>
      </c>
      <c r="AO40" s="367" t="str">
        <f t="shared" si="19"/>
        <v>0</v>
      </c>
      <c r="AP40" s="367" t="str">
        <f t="shared" si="20"/>
        <v>0</v>
      </c>
      <c r="AQ40" s="367" t="str">
        <f t="shared" si="21"/>
        <v>0</v>
      </c>
      <c r="AR40" s="367" t="str">
        <f t="shared" si="22"/>
        <v>0</v>
      </c>
      <c r="AS40" s="366"/>
      <c r="AT40" s="367"/>
      <c r="AU40" s="366"/>
      <c r="AV40" s="367"/>
      <c r="AW40" s="371">
        <f t="shared" si="23"/>
        <v>0</v>
      </c>
      <c r="AX40" s="372"/>
      <c r="AY40" s="367"/>
      <c r="AZ40" s="367">
        <f t="shared" si="24"/>
        <v>145646.31</v>
      </c>
      <c r="BA40" s="373">
        <f t="shared" si="25"/>
        <v>372610.33500000002</v>
      </c>
      <c r="BB40" s="374">
        <f t="shared" si="26"/>
        <v>37261.033500000005</v>
      </c>
      <c r="BC40" s="374">
        <f t="shared" si="27"/>
        <v>7452.2067000000006</v>
      </c>
      <c r="BD40" s="374">
        <f t="shared" si="28"/>
        <v>26720.709480000005</v>
      </c>
      <c r="BE40" s="374">
        <f t="shared" si="29"/>
        <v>301176.38532</v>
      </c>
      <c r="BF40" s="374">
        <f t="shared" si="30"/>
        <v>4471324.0200000005</v>
      </c>
      <c r="BG40" s="374">
        <f t="shared" si="31"/>
        <v>453928.05000000005</v>
      </c>
      <c r="BH40" s="374">
        <f t="shared" si="32"/>
        <v>4925252.07</v>
      </c>
      <c r="BI40" s="374">
        <f t="shared" si="33"/>
        <v>221636.34315000006</v>
      </c>
      <c r="BJ40" s="374">
        <f t="shared" si="34"/>
        <v>134139.7206</v>
      </c>
      <c r="BK40" s="374">
        <f t="shared" si="35"/>
        <v>256126.69893600009</v>
      </c>
      <c r="BL40" s="374">
        <f t="shared" si="36"/>
        <v>221636.34315</v>
      </c>
      <c r="BM40" s="373">
        <f t="shared" si="37"/>
        <v>5758791.1758360006</v>
      </c>
      <c r="BN40" s="375"/>
      <c r="BO40" s="376"/>
      <c r="BP40" s="376"/>
      <c r="BQ40" s="377"/>
      <c r="BR40" s="377"/>
      <c r="BS40" s="377"/>
      <c r="BT40" s="377"/>
      <c r="BU40" s="377"/>
      <c r="BV40" s="377"/>
      <c r="BW40" s="377"/>
      <c r="BX40" s="377"/>
      <c r="BY40" s="377"/>
      <c r="BZ40" s="377"/>
      <c r="CA40" s="377"/>
      <c r="CB40" s="377"/>
      <c r="CC40" s="377"/>
      <c r="CD40" s="377"/>
      <c r="CE40" s="377"/>
      <c r="CF40" s="377"/>
      <c r="CG40" s="377"/>
      <c r="CH40" s="377"/>
      <c r="CI40" s="377"/>
    </row>
    <row r="41" spans="1:87" ht="47.25">
      <c r="A41" s="361">
        <f t="shared" si="38"/>
        <v>4</v>
      </c>
      <c r="B41" s="362">
        <f t="shared" si="38"/>
        <v>4</v>
      </c>
      <c r="C41" s="384" t="s">
        <v>1012</v>
      </c>
      <c r="D41" s="379" t="s">
        <v>1013</v>
      </c>
      <c r="E41" s="362" t="s">
        <v>998</v>
      </c>
      <c r="F41" s="362"/>
      <c r="G41" s="362"/>
      <c r="H41" s="365" t="s">
        <v>1403</v>
      </c>
      <c r="I41" s="366">
        <v>17697</v>
      </c>
      <c r="J41" s="367">
        <v>9.5</v>
      </c>
      <c r="K41" s="367">
        <f t="shared" si="0"/>
        <v>168121.5</v>
      </c>
      <c r="L41" s="366">
        <v>16</v>
      </c>
      <c r="M41" s="366"/>
      <c r="N41" s="366">
        <v>8</v>
      </c>
      <c r="O41" s="366"/>
      <c r="P41" s="366"/>
      <c r="Q41" s="368">
        <f t="shared" si="12"/>
        <v>24</v>
      </c>
      <c r="R41" s="369">
        <v>2</v>
      </c>
      <c r="S41" s="369"/>
      <c r="T41" s="369">
        <v>1</v>
      </c>
      <c r="U41" s="369"/>
      <c r="V41" s="369"/>
      <c r="W41" s="368">
        <f t="shared" si="13"/>
        <v>3</v>
      </c>
      <c r="X41" s="370">
        <f t="shared" si="3"/>
        <v>27</v>
      </c>
      <c r="Y41" s="367">
        <f t="shared" si="4"/>
        <v>283705.03125</v>
      </c>
      <c r="Z41" s="367">
        <f t="shared" si="5"/>
        <v>28370.503125000003</v>
      </c>
      <c r="AA41" s="366">
        <v>9</v>
      </c>
      <c r="AB41" s="367">
        <f t="shared" si="6"/>
        <v>3981.8250000000003</v>
      </c>
      <c r="AC41" s="366">
        <v>18</v>
      </c>
      <c r="AD41" s="367">
        <f t="shared" si="7"/>
        <v>3981.8250000000003</v>
      </c>
      <c r="AE41" s="366"/>
      <c r="AF41" s="366"/>
      <c r="AG41" s="367"/>
      <c r="AH41" s="366"/>
      <c r="AI41" s="367"/>
      <c r="AJ41" s="366">
        <f t="shared" si="14"/>
        <v>27</v>
      </c>
      <c r="AK41" s="367">
        <f t="shared" si="15"/>
        <v>11945.475</v>
      </c>
      <c r="AL41" s="366">
        <f t="shared" si="16"/>
        <v>27</v>
      </c>
      <c r="AM41" s="367">
        <f t="shared" si="17"/>
        <v>85111.509374999994</v>
      </c>
      <c r="AN41" s="366">
        <f t="shared" si="18"/>
        <v>0</v>
      </c>
      <c r="AO41" s="367" t="str">
        <f t="shared" si="19"/>
        <v>0</v>
      </c>
      <c r="AP41" s="367" t="str">
        <f t="shared" si="20"/>
        <v>0</v>
      </c>
      <c r="AQ41" s="367" t="str">
        <f t="shared" si="21"/>
        <v>0</v>
      </c>
      <c r="AR41" s="367" t="str">
        <f t="shared" si="22"/>
        <v>0</v>
      </c>
      <c r="AS41" s="366"/>
      <c r="AT41" s="367"/>
      <c r="AU41" s="366"/>
      <c r="AV41" s="367"/>
      <c r="AW41" s="371">
        <f t="shared" si="23"/>
        <v>0</v>
      </c>
      <c r="AX41" s="372"/>
      <c r="AY41" s="367"/>
      <c r="AZ41" s="367">
        <f t="shared" si="24"/>
        <v>133391.13750000001</v>
      </c>
      <c r="BA41" s="373">
        <f t="shared" si="25"/>
        <v>417096.16875000001</v>
      </c>
      <c r="BB41" s="374">
        <f t="shared" si="26"/>
        <v>41709.616875000007</v>
      </c>
      <c r="BC41" s="374">
        <f t="shared" si="27"/>
        <v>8341.9233750000003</v>
      </c>
      <c r="BD41" s="374">
        <f t="shared" si="28"/>
        <v>30635.46285</v>
      </c>
      <c r="BE41" s="374">
        <f t="shared" si="29"/>
        <v>336409.16564999998</v>
      </c>
      <c r="BF41" s="374">
        <f t="shared" si="30"/>
        <v>5005154.0250000004</v>
      </c>
      <c r="BG41" s="374">
        <f t="shared" si="31"/>
        <v>567410.0625</v>
      </c>
      <c r="BH41" s="374">
        <f t="shared" si="32"/>
        <v>5572564.0875000004</v>
      </c>
      <c r="BI41" s="374">
        <f t="shared" si="33"/>
        <v>250765.38393750007</v>
      </c>
      <c r="BJ41" s="374">
        <f t="shared" si="34"/>
        <v>150154.62075</v>
      </c>
      <c r="BK41" s="374">
        <f t="shared" si="35"/>
        <v>289907.12187000003</v>
      </c>
      <c r="BL41" s="374">
        <f t="shared" si="36"/>
        <v>250765.38393750001</v>
      </c>
      <c r="BM41" s="373">
        <f t="shared" si="37"/>
        <v>6514156.5979950009</v>
      </c>
      <c r="BN41" s="375"/>
      <c r="BO41" s="376"/>
      <c r="BP41" s="376"/>
      <c r="BQ41" s="377"/>
      <c r="BR41" s="377"/>
      <c r="BS41" s="377"/>
      <c r="BT41" s="377"/>
      <c r="BU41" s="377"/>
      <c r="BV41" s="377"/>
      <c r="BW41" s="377"/>
      <c r="BX41" s="377"/>
      <c r="BY41" s="377"/>
      <c r="BZ41" s="377"/>
      <c r="CA41" s="377"/>
      <c r="CB41" s="377"/>
      <c r="CC41" s="377"/>
      <c r="CD41" s="377"/>
      <c r="CE41" s="377"/>
      <c r="CF41" s="377"/>
      <c r="CG41" s="377"/>
      <c r="CH41" s="377"/>
      <c r="CI41" s="377"/>
    </row>
    <row r="42" spans="1:87" ht="47.25">
      <c r="A42" s="361">
        <f t="shared" si="38"/>
        <v>5</v>
      </c>
      <c r="B42" s="362">
        <f t="shared" si="38"/>
        <v>5</v>
      </c>
      <c r="C42" s="384" t="s">
        <v>1014</v>
      </c>
      <c r="D42" s="379" t="s">
        <v>1015</v>
      </c>
      <c r="E42" s="362" t="s">
        <v>998</v>
      </c>
      <c r="F42" s="362"/>
      <c r="G42" s="362"/>
      <c r="H42" s="365" t="s">
        <v>279</v>
      </c>
      <c r="I42" s="366">
        <v>17697</v>
      </c>
      <c r="J42" s="367">
        <v>9.66</v>
      </c>
      <c r="K42" s="367">
        <f t="shared" si="0"/>
        <v>170953.02</v>
      </c>
      <c r="L42" s="366"/>
      <c r="M42" s="366">
        <v>24</v>
      </c>
      <c r="N42" s="366"/>
      <c r="O42" s="366"/>
      <c r="P42" s="366"/>
      <c r="Q42" s="368">
        <f t="shared" si="12"/>
        <v>24</v>
      </c>
      <c r="R42" s="369"/>
      <c r="S42" s="369">
        <v>3</v>
      </c>
      <c r="T42" s="369"/>
      <c r="U42" s="369"/>
      <c r="V42" s="369"/>
      <c r="W42" s="368">
        <f t="shared" si="13"/>
        <v>3</v>
      </c>
      <c r="X42" s="370">
        <f t="shared" si="3"/>
        <v>27</v>
      </c>
      <c r="Y42" s="367">
        <f t="shared" si="4"/>
        <v>288483.22125</v>
      </c>
      <c r="Z42" s="367">
        <f t="shared" si="5"/>
        <v>28848.322125000002</v>
      </c>
      <c r="AA42" s="366">
        <v>9</v>
      </c>
      <c r="AB42" s="367">
        <f t="shared" si="6"/>
        <v>3981.8250000000003</v>
      </c>
      <c r="AC42" s="366">
        <v>18</v>
      </c>
      <c r="AD42" s="367">
        <f t="shared" si="7"/>
        <v>3981.8250000000003</v>
      </c>
      <c r="AE42" s="366"/>
      <c r="AF42" s="366"/>
      <c r="AG42" s="367"/>
      <c r="AH42" s="366"/>
      <c r="AI42" s="367"/>
      <c r="AJ42" s="366">
        <f t="shared" si="14"/>
        <v>27</v>
      </c>
      <c r="AK42" s="367">
        <f t="shared" si="15"/>
        <v>11945.475</v>
      </c>
      <c r="AL42" s="366">
        <f t="shared" si="16"/>
        <v>27</v>
      </c>
      <c r="AM42" s="367">
        <f t="shared" si="17"/>
        <v>86544.966375000004</v>
      </c>
      <c r="AN42" s="366">
        <f t="shared" si="18"/>
        <v>0</v>
      </c>
      <c r="AO42" s="367" t="str">
        <f t="shared" si="19"/>
        <v>0</v>
      </c>
      <c r="AP42" s="367" t="str">
        <f t="shared" si="20"/>
        <v>0</v>
      </c>
      <c r="AQ42" s="367" t="str">
        <f t="shared" si="21"/>
        <v>0</v>
      </c>
      <c r="AR42" s="367" t="str">
        <f t="shared" si="22"/>
        <v>0</v>
      </c>
      <c r="AS42" s="366"/>
      <c r="AT42" s="367"/>
      <c r="AU42" s="366"/>
      <c r="AV42" s="367"/>
      <c r="AW42" s="371">
        <f t="shared" si="23"/>
        <v>0</v>
      </c>
      <c r="AX42" s="372"/>
      <c r="AY42" s="367"/>
      <c r="AZ42" s="367">
        <f t="shared" si="24"/>
        <v>135302.4135</v>
      </c>
      <c r="BA42" s="373">
        <f t="shared" si="25"/>
        <v>423785.63474999997</v>
      </c>
      <c r="BB42" s="374">
        <f t="shared" si="26"/>
        <v>42378.563475000003</v>
      </c>
      <c r="BC42" s="374">
        <f t="shared" si="27"/>
        <v>8475.7126950000002</v>
      </c>
      <c r="BD42" s="374">
        <f t="shared" si="28"/>
        <v>31224.135858000001</v>
      </c>
      <c r="BE42" s="374">
        <f t="shared" si="29"/>
        <v>341707.22272199998</v>
      </c>
      <c r="BF42" s="374">
        <f t="shared" si="30"/>
        <v>5085427.6169999996</v>
      </c>
      <c r="BG42" s="374">
        <f t="shared" si="31"/>
        <v>576966.4425</v>
      </c>
      <c r="BH42" s="374">
        <f t="shared" si="32"/>
        <v>5662394.0594999995</v>
      </c>
      <c r="BI42" s="374">
        <f t="shared" si="33"/>
        <v>254807.7326775</v>
      </c>
      <c r="BJ42" s="374">
        <f t="shared" si="34"/>
        <v>152562.82850999999</v>
      </c>
      <c r="BK42" s="374">
        <f t="shared" si="35"/>
        <v>294581.33845559997</v>
      </c>
      <c r="BL42" s="374">
        <f t="shared" si="36"/>
        <v>254807.73267749997</v>
      </c>
      <c r="BM42" s="373">
        <f t="shared" si="37"/>
        <v>6619153.6918205991</v>
      </c>
      <c r="BN42" s="375"/>
      <c r="BO42" s="376"/>
      <c r="BP42" s="376"/>
      <c r="BQ42" s="377"/>
      <c r="BR42" s="377"/>
      <c r="BS42" s="377"/>
      <c r="BT42" s="377"/>
      <c r="BU42" s="377"/>
      <c r="BV42" s="377"/>
      <c r="BW42" s="377"/>
      <c r="BX42" s="377"/>
      <c r="BY42" s="377"/>
      <c r="BZ42" s="377"/>
      <c r="CA42" s="377"/>
      <c r="CB42" s="377"/>
      <c r="CC42" s="377"/>
      <c r="CD42" s="377"/>
      <c r="CE42" s="377"/>
      <c r="CF42" s="377"/>
      <c r="CG42" s="377"/>
      <c r="CH42" s="377"/>
      <c r="CI42" s="377"/>
    </row>
    <row r="43" spans="1:87" ht="47.25">
      <c r="A43" s="361">
        <f t="shared" si="38"/>
        <v>6</v>
      </c>
      <c r="B43" s="362">
        <f t="shared" si="38"/>
        <v>6</v>
      </c>
      <c r="C43" s="386" t="s">
        <v>204</v>
      </c>
      <c r="D43" s="379" t="s">
        <v>1018</v>
      </c>
      <c r="E43" s="362" t="s">
        <v>998</v>
      </c>
      <c r="F43" s="362" t="s">
        <v>999</v>
      </c>
      <c r="G43" s="362"/>
      <c r="H43" s="365" t="s">
        <v>1019</v>
      </c>
      <c r="I43" s="366">
        <v>17697</v>
      </c>
      <c r="J43" s="367">
        <v>11.4</v>
      </c>
      <c r="K43" s="367">
        <f t="shared" si="0"/>
        <v>201745.80000000002</v>
      </c>
      <c r="L43" s="366"/>
      <c r="M43" s="366"/>
      <c r="N43" s="366">
        <v>16</v>
      </c>
      <c r="O43" s="366"/>
      <c r="P43" s="366"/>
      <c r="Q43" s="368">
        <f t="shared" si="12"/>
        <v>16</v>
      </c>
      <c r="R43" s="369"/>
      <c r="S43" s="369"/>
      <c r="T43" s="369">
        <v>2</v>
      </c>
      <c r="U43" s="369"/>
      <c r="V43" s="369"/>
      <c r="W43" s="368">
        <f t="shared" si="13"/>
        <v>2</v>
      </c>
      <c r="X43" s="370">
        <f t="shared" si="3"/>
        <v>18</v>
      </c>
      <c r="Y43" s="367">
        <f t="shared" si="4"/>
        <v>226964.02500000002</v>
      </c>
      <c r="Z43" s="367">
        <f t="shared" si="5"/>
        <v>22696.402500000004</v>
      </c>
      <c r="AA43" s="366">
        <v>18</v>
      </c>
      <c r="AB43" s="367">
        <f t="shared" si="6"/>
        <v>7963.6500000000005</v>
      </c>
      <c r="AC43" s="366">
        <v>0</v>
      </c>
      <c r="AD43" s="367">
        <f t="shared" si="7"/>
        <v>0</v>
      </c>
      <c r="AE43" s="366"/>
      <c r="AF43" s="366"/>
      <c r="AG43" s="367"/>
      <c r="AH43" s="366"/>
      <c r="AI43" s="367"/>
      <c r="AJ43" s="366">
        <f t="shared" si="14"/>
        <v>18</v>
      </c>
      <c r="AK43" s="367">
        <f t="shared" si="15"/>
        <v>7963.6500000000005</v>
      </c>
      <c r="AL43" s="366">
        <f t="shared" si="16"/>
        <v>18</v>
      </c>
      <c r="AM43" s="367">
        <f t="shared" si="17"/>
        <v>68089.207500000004</v>
      </c>
      <c r="AN43" s="366" t="str">
        <f t="shared" si="18"/>
        <v>Педагог-шебер</v>
      </c>
      <c r="AO43" s="367">
        <f t="shared" si="19"/>
        <v>113482.01250000001</v>
      </c>
      <c r="AP43" s="367" t="str">
        <f t="shared" si="20"/>
        <v>0</v>
      </c>
      <c r="AQ43" s="367" t="str">
        <f t="shared" si="21"/>
        <v>0</v>
      </c>
      <c r="AR43" s="367" t="str">
        <f t="shared" si="22"/>
        <v>0</v>
      </c>
      <c r="AS43" s="366"/>
      <c r="AT43" s="367"/>
      <c r="AU43" s="371"/>
      <c r="AV43" s="367"/>
      <c r="AW43" s="371">
        <f t="shared" si="23"/>
        <v>0</v>
      </c>
      <c r="AX43" s="372"/>
      <c r="AY43" s="367"/>
      <c r="AZ43" s="367">
        <f t="shared" si="24"/>
        <v>220194.92250000002</v>
      </c>
      <c r="BA43" s="373">
        <f t="shared" si="25"/>
        <v>447158.94750000001</v>
      </c>
      <c r="BB43" s="374">
        <f t="shared" si="26"/>
        <v>44715.894750000007</v>
      </c>
      <c r="BC43" s="374">
        <f t="shared" si="27"/>
        <v>8943.1789499999995</v>
      </c>
      <c r="BD43" s="374">
        <f t="shared" si="28"/>
        <v>33280.987380000006</v>
      </c>
      <c r="BE43" s="374">
        <f t="shared" si="29"/>
        <v>360218.88642000005</v>
      </c>
      <c r="BF43" s="374">
        <f t="shared" si="30"/>
        <v>5365907.37</v>
      </c>
      <c r="BG43" s="374">
        <f t="shared" si="31"/>
        <v>453928.05000000005</v>
      </c>
      <c r="BH43" s="374">
        <f t="shared" si="32"/>
        <v>5819835.4199999999</v>
      </c>
      <c r="BI43" s="374">
        <f t="shared" si="33"/>
        <v>261892.59390000004</v>
      </c>
      <c r="BJ43" s="374">
        <f t="shared" si="34"/>
        <v>160977.2211</v>
      </c>
      <c r="BK43" s="374">
        <f t="shared" si="35"/>
        <v>302466.11646600004</v>
      </c>
      <c r="BL43" s="374">
        <f t="shared" si="36"/>
        <v>261892.59389999998</v>
      </c>
      <c r="BM43" s="373">
        <f t="shared" si="37"/>
        <v>6807063.9453659989</v>
      </c>
      <c r="BN43" s="375"/>
      <c r="BO43" s="376"/>
      <c r="BP43" s="376"/>
      <c r="BQ43" s="377"/>
      <c r="BR43" s="377"/>
      <c r="BS43" s="377"/>
      <c r="BT43" s="377"/>
      <c r="BU43" s="377"/>
      <c r="BV43" s="377"/>
      <c r="BW43" s="377"/>
      <c r="BX43" s="377"/>
      <c r="BY43" s="377"/>
      <c r="BZ43" s="377"/>
      <c r="CA43" s="377"/>
      <c r="CB43" s="377"/>
      <c r="CC43" s="377"/>
      <c r="CD43" s="377"/>
      <c r="CE43" s="377"/>
      <c r="CF43" s="377"/>
      <c r="CG43" s="377"/>
      <c r="CH43" s="377"/>
      <c r="CI43" s="377"/>
    </row>
    <row r="44" spans="1:87" ht="45">
      <c r="A44" s="361">
        <f t="shared" si="38"/>
        <v>7</v>
      </c>
      <c r="B44" s="362">
        <f t="shared" si="38"/>
        <v>7</v>
      </c>
      <c r="C44" s="387" t="s">
        <v>1020</v>
      </c>
      <c r="D44" s="388" t="s">
        <v>1021</v>
      </c>
      <c r="E44" s="389" t="s">
        <v>1022</v>
      </c>
      <c r="F44" s="366" t="s">
        <v>254</v>
      </c>
      <c r="G44" s="390"/>
      <c r="H44" s="371" t="s">
        <v>1404</v>
      </c>
      <c r="I44" s="366">
        <v>17697</v>
      </c>
      <c r="J44" s="367">
        <v>8.14</v>
      </c>
      <c r="K44" s="367">
        <f t="shared" si="0"/>
        <v>144053.58000000002</v>
      </c>
      <c r="L44" s="366"/>
      <c r="M44" s="366">
        <v>16</v>
      </c>
      <c r="N44" s="366">
        <v>16</v>
      </c>
      <c r="O44" s="366"/>
      <c r="P44" s="366"/>
      <c r="Q44" s="368">
        <f t="shared" si="12"/>
        <v>32</v>
      </c>
      <c r="R44" s="369"/>
      <c r="S44" s="369">
        <v>2</v>
      </c>
      <c r="T44" s="369">
        <v>2</v>
      </c>
      <c r="U44" s="369"/>
      <c r="V44" s="369"/>
      <c r="W44" s="368">
        <f t="shared" si="13"/>
        <v>4</v>
      </c>
      <c r="X44" s="370">
        <f t="shared" si="3"/>
        <v>36</v>
      </c>
      <c r="Y44" s="367">
        <f t="shared" si="4"/>
        <v>324120.55500000005</v>
      </c>
      <c r="Z44" s="367">
        <f t="shared" si="5"/>
        <v>32412.055500000006</v>
      </c>
      <c r="AA44" s="366">
        <v>18</v>
      </c>
      <c r="AB44" s="367">
        <f t="shared" si="6"/>
        <v>7963.6500000000005</v>
      </c>
      <c r="AC44" s="366">
        <v>18</v>
      </c>
      <c r="AD44" s="367">
        <f t="shared" si="7"/>
        <v>3981.8250000000003</v>
      </c>
      <c r="AE44" s="366"/>
      <c r="AF44" s="366"/>
      <c r="AG44" s="367"/>
      <c r="AH44" s="366"/>
      <c r="AI44" s="367"/>
      <c r="AJ44" s="366">
        <f t="shared" si="14"/>
        <v>36</v>
      </c>
      <c r="AK44" s="367">
        <f t="shared" si="15"/>
        <v>15927.300000000001</v>
      </c>
      <c r="AL44" s="366">
        <f t="shared" si="16"/>
        <v>36</v>
      </c>
      <c r="AM44" s="367">
        <f t="shared" si="17"/>
        <v>97236.166500000007</v>
      </c>
      <c r="AN44" s="366" t="str">
        <f t="shared" si="18"/>
        <v>Педагог-модератор</v>
      </c>
      <c r="AO44" s="367" t="str">
        <f t="shared" si="19"/>
        <v>0</v>
      </c>
      <c r="AP44" s="367" t="str">
        <f t="shared" si="20"/>
        <v>0</v>
      </c>
      <c r="AQ44" s="367" t="str">
        <f t="shared" si="21"/>
        <v>0</v>
      </c>
      <c r="AR44" s="367">
        <f t="shared" si="22"/>
        <v>97236.166500000007</v>
      </c>
      <c r="AS44" s="366"/>
      <c r="AT44" s="367"/>
      <c r="AU44" s="371"/>
      <c r="AV44" s="367"/>
      <c r="AW44" s="371">
        <f t="shared" si="23"/>
        <v>0</v>
      </c>
      <c r="AX44" s="372"/>
      <c r="AY44" s="367"/>
      <c r="AZ44" s="367">
        <f t="shared" si="24"/>
        <v>254757.16350000002</v>
      </c>
      <c r="BA44" s="373">
        <f t="shared" si="25"/>
        <v>578877.71850000008</v>
      </c>
      <c r="BB44" s="374">
        <f t="shared" si="26"/>
        <v>57887.771850000012</v>
      </c>
      <c r="BC44" s="374">
        <f t="shared" si="27"/>
        <v>11577.554370000002</v>
      </c>
      <c r="BD44" s="374">
        <f t="shared" si="28"/>
        <v>44872.239228000006</v>
      </c>
      <c r="BE44" s="374">
        <f t="shared" si="29"/>
        <v>464540.15305200004</v>
      </c>
      <c r="BF44" s="374">
        <f t="shared" si="30"/>
        <v>6946532.6220000014</v>
      </c>
      <c r="BG44" s="374">
        <f t="shared" si="31"/>
        <v>648241.1100000001</v>
      </c>
      <c r="BH44" s="374">
        <f t="shared" si="32"/>
        <v>7594773.7320000017</v>
      </c>
      <c r="BI44" s="374">
        <f t="shared" si="33"/>
        <v>341764.8179400001</v>
      </c>
      <c r="BJ44" s="374">
        <f t="shared" si="34"/>
        <v>208395.97866000002</v>
      </c>
      <c r="BK44" s="374">
        <f t="shared" si="35"/>
        <v>394835.40975960006</v>
      </c>
      <c r="BL44" s="374">
        <f t="shared" si="36"/>
        <v>341764.81794000004</v>
      </c>
      <c r="BM44" s="373">
        <f t="shared" si="37"/>
        <v>8881534.7562996019</v>
      </c>
      <c r="BN44" s="375"/>
      <c r="BO44" s="376"/>
      <c r="BP44" s="376"/>
      <c r="BQ44" s="377"/>
      <c r="BR44" s="377"/>
      <c r="BS44" s="377"/>
      <c r="BT44" s="377"/>
      <c r="BU44" s="377"/>
      <c r="BV44" s="377"/>
      <c r="BW44" s="377"/>
      <c r="BX44" s="377"/>
      <c r="BY44" s="377"/>
      <c r="BZ44" s="377"/>
      <c r="CA44" s="377"/>
      <c r="CB44" s="377"/>
      <c r="CC44" s="377"/>
      <c r="CD44" s="377"/>
      <c r="CE44" s="377"/>
      <c r="CF44" s="377"/>
      <c r="CG44" s="377"/>
      <c r="CH44" s="377"/>
      <c r="CI44" s="377"/>
    </row>
    <row r="45" spans="1:87" ht="51" customHeight="1">
      <c r="A45" s="361">
        <f t="shared" si="38"/>
        <v>8</v>
      </c>
      <c r="B45" s="362">
        <f t="shared" si="38"/>
        <v>8</v>
      </c>
      <c r="C45" s="391" t="s">
        <v>209</v>
      </c>
      <c r="D45" s="379" t="s">
        <v>1024</v>
      </c>
      <c r="E45" s="392" t="s">
        <v>998</v>
      </c>
      <c r="F45" s="366" t="s">
        <v>999</v>
      </c>
      <c r="G45" s="393"/>
      <c r="H45" s="371" t="s">
        <v>1025</v>
      </c>
      <c r="I45" s="366">
        <v>17697</v>
      </c>
      <c r="J45" s="367">
        <v>11.4</v>
      </c>
      <c r="K45" s="367">
        <f t="shared" si="0"/>
        <v>201745.80000000002</v>
      </c>
      <c r="L45" s="366"/>
      <c r="M45" s="366"/>
      <c r="N45" s="366"/>
      <c r="O45" s="366"/>
      <c r="P45" s="366">
        <v>18</v>
      </c>
      <c r="Q45" s="368">
        <f t="shared" si="12"/>
        <v>18</v>
      </c>
      <c r="R45" s="369"/>
      <c r="S45" s="369"/>
      <c r="T45" s="369"/>
      <c r="U45" s="369"/>
      <c r="V45" s="369"/>
      <c r="W45" s="368">
        <f t="shared" si="13"/>
        <v>0</v>
      </c>
      <c r="X45" s="370">
        <f t="shared" si="3"/>
        <v>18</v>
      </c>
      <c r="Y45" s="367">
        <f t="shared" si="4"/>
        <v>226964.02500000002</v>
      </c>
      <c r="Z45" s="367">
        <f t="shared" si="5"/>
        <v>22696.402500000004</v>
      </c>
      <c r="AA45" s="366">
        <v>18</v>
      </c>
      <c r="AB45" s="367">
        <f t="shared" si="6"/>
        <v>7963.6500000000005</v>
      </c>
      <c r="AC45" s="366">
        <v>0</v>
      </c>
      <c r="AD45" s="367">
        <f t="shared" si="7"/>
        <v>0</v>
      </c>
      <c r="AE45" s="366"/>
      <c r="AF45" s="366"/>
      <c r="AG45" s="367"/>
      <c r="AH45" s="366"/>
      <c r="AI45" s="367"/>
      <c r="AJ45" s="366">
        <f t="shared" si="14"/>
        <v>18</v>
      </c>
      <c r="AK45" s="367">
        <f t="shared" si="15"/>
        <v>7963.6500000000005</v>
      </c>
      <c r="AL45" s="366">
        <f t="shared" si="16"/>
        <v>18</v>
      </c>
      <c r="AM45" s="367">
        <f t="shared" si="17"/>
        <v>68089.207500000004</v>
      </c>
      <c r="AN45" s="366" t="str">
        <f t="shared" si="18"/>
        <v>Педагог-шебер</v>
      </c>
      <c r="AO45" s="367">
        <f t="shared" si="19"/>
        <v>113482.01250000001</v>
      </c>
      <c r="AP45" s="367" t="str">
        <f t="shared" si="20"/>
        <v>0</v>
      </c>
      <c r="AQ45" s="367" t="str">
        <f t="shared" si="21"/>
        <v>0</v>
      </c>
      <c r="AR45" s="367" t="str">
        <f t="shared" si="22"/>
        <v>0</v>
      </c>
      <c r="AS45" s="366"/>
      <c r="AT45" s="367"/>
      <c r="AU45" s="372"/>
      <c r="AV45" s="367"/>
      <c r="AW45" s="371">
        <f>G45</f>
        <v>0</v>
      </c>
      <c r="AX45" s="372"/>
      <c r="AY45" s="367"/>
      <c r="AZ45" s="367">
        <f t="shared" si="24"/>
        <v>220194.92250000002</v>
      </c>
      <c r="BA45" s="373">
        <f t="shared" si="25"/>
        <v>447158.94750000001</v>
      </c>
      <c r="BB45" s="374">
        <f t="shared" si="26"/>
        <v>44715.894750000007</v>
      </c>
      <c r="BC45" s="374">
        <f t="shared" si="27"/>
        <v>8943.1789499999995</v>
      </c>
      <c r="BD45" s="374">
        <f t="shared" si="28"/>
        <v>33280.987380000006</v>
      </c>
      <c r="BE45" s="374">
        <f t="shared" si="29"/>
        <v>360218.88642000005</v>
      </c>
      <c r="BF45" s="374">
        <f t="shared" si="30"/>
        <v>5365907.37</v>
      </c>
      <c r="BG45" s="374">
        <f t="shared" si="31"/>
        <v>453928.05000000005</v>
      </c>
      <c r="BH45" s="374">
        <f t="shared" si="32"/>
        <v>5819835.4199999999</v>
      </c>
      <c r="BI45" s="374">
        <f t="shared" si="33"/>
        <v>261892.59390000004</v>
      </c>
      <c r="BJ45" s="374">
        <f t="shared" si="34"/>
        <v>160977.2211</v>
      </c>
      <c r="BK45" s="374">
        <f t="shared" si="35"/>
        <v>302466.11646600004</v>
      </c>
      <c r="BL45" s="374">
        <f t="shared" si="36"/>
        <v>261892.59389999998</v>
      </c>
      <c r="BM45" s="373">
        <f t="shared" si="37"/>
        <v>6807063.9453659989</v>
      </c>
      <c r="BN45" s="375"/>
      <c r="BO45" s="376"/>
      <c r="BP45" s="376"/>
      <c r="BQ45" s="377"/>
      <c r="BR45" s="377"/>
      <c r="BS45" s="377"/>
      <c r="BT45" s="377"/>
      <c r="BU45" s="377"/>
      <c r="BV45" s="377"/>
      <c r="BW45" s="377"/>
      <c r="BX45" s="377"/>
      <c r="BY45" s="377"/>
      <c r="BZ45" s="377"/>
      <c r="CA45" s="377"/>
      <c r="CB45" s="377"/>
      <c r="CC45" s="377"/>
      <c r="CD45" s="377"/>
      <c r="CE45" s="377"/>
      <c r="CF45" s="377"/>
      <c r="CG45" s="377"/>
      <c r="CH45" s="377"/>
      <c r="CI45" s="377"/>
    </row>
    <row r="46" spans="1:87" ht="47.25">
      <c r="A46" s="361">
        <f t="shared" si="38"/>
        <v>9</v>
      </c>
      <c r="B46" s="362">
        <f t="shared" si="38"/>
        <v>9</v>
      </c>
      <c r="C46" s="378" t="s">
        <v>195</v>
      </c>
      <c r="D46" s="379" t="s">
        <v>1026</v>
      </c>
      <c r="E46" s="392" t="s">
        <v>998</v>
      </c>
      <c r="F46" s="366" t="s">
        <v>254</v>
      </c>
      <c r="G46" s="366"/>
      <c r="H46" s="371" t="s">
        <v>280</v>
      </c>
      <c r="I46" s="366">
        <v>17697</v>
      </c>
      <c r="J46" s="367">
        <v>10.220000000000001</v>
      </c>
      <c r="K46" s="367">
        <f t="shared" si="0"/>
        <v>180863.34000000003</v>
      </c>
      <c r="L46" s="366">
        <v>32</v>
      </c>
      <c r="M46" s="366"/>
      <c r="N46" s="366"/>
      <c r="O46" s="366"/>
      <c r="P46" s="366"/>
      <c r="Q46" s="368">
        <f t="shared" si="12"/>
        <v>32</v>
      </c>
      <c r="R46" s="369">
        <v>4</v>
      </c>
      <c r="S46" s="369"/>
      <c r="T46" s="369"/>
      <c r="U46" s="369"/>
      <c r="V46" s="369"/>
      <c r="W46" s="368">
        <f t="shared" si="13"/>
        <v>4</v>
      </c>
      <c r="X46" s="370">
        <f t="shared" si="3"/>
        <v>36</v>
      </c>
      <c r="Y46" s="367">
        <f t="shared" si="4"/>
        <v>406942.51500000007</v>
      </c>
      <c r="Z46" s="367">
        <f t="shared" si="5"/>
        <v>40694.251500000013</v>
      </c>
      <c r="AA46" s="366">
        <v>0</v>
      </c>
      <c r="AB46" s="367">
        <f t="shared" si="6"/>
        <v>0</v>
      </c>
      <c r="AC46" s="366">
        <v>36</v>
      </c>
      <c r="AD46" s="367">
        <f t="shared" si="7"/>
        <v>7963.6500000000005</v>
      </c>
      <c r="AE46" s="366"/>
      <c r="AF46" s="366"/>
      <c r="AG46" s="367"/>
      <c r="AH46" s="366"/>
      <c r="AI46" s="367"/>
      <c r="AJ46" s="366">
        <f t="shared" si="14"/>
        <v>36</v>
      </c>
      <c r="AK46" s="367">
        <f t="shared" si="15"/>
        <v>15927.300000000001</v>
      </c>
      <c r="AL46" s="366">
        <f t="shared" si="16"/>
        <v>36</v>
      </c>
      <c r="AM46" s="367">
        <f t="shared" si="17"/>
        <v>122082.75450000001</v>
      </c>
      <c r="AN46" s="366" t="str">
        <f t="shared" si="18"/>
        <v>Педагог-модератор</v>
      </c>
      <c r="AO46" s="367" t="str">
        <f t="shared" si="19"/>
        <v>0</v>
      </c>
      <c r="AP46" s="367" t="str">
        <f t="shared" si="20"/>
        <v>0</v>
      </c>
      <c r="AQ46" s="367" t="str">
        <f t="shared" si="21"/>
        <v>0</v>
      </c>
      <c r="AR46" s="367">
        <f t="shared" si="22"/>
        <v>122082.75450000001</v>
      </c>
      <c r="AS46" s="366"/>
      <c r="AT46" s="367"/>
      <c r="AU46" s="371"/>
      <c r="AV46" s="367"/>
      <c r="AW46" s="371">
        <f t="shared" si="23"/>
        <v>0</v>
      </c>
      <c r="AX46" s="372"/>
      <c r="AY46" s="367"/>
      <c r="AZ46" s="367">
        <f t="shared" si="24"/>
        <v>308750.71050000004</v>
      </c>
      <c r="BA46" s="373">
        <f t="shared" si="25"/>
        <v>715693.22550000018</v>
      </c>
      <c r="BB46" s="374">
        <f t="shared" si="26"/>
        <v>71569.322550000026</v>
      </c>
      <c r="BC46" s="374">
        <f t="shared" si="27"/>
        <v>14313.864510000003</v>
      </c>
      <c r="BD46" s="374">
        <f t="shared" si="28"/>
        <v>56912.003844000021</v>
      </c>
      <c r="BE46" s="374">
        <f t="shared" si="29"/>
        <v>572898.0345960001</v>
      </c>
      <c r="BF46" s="374">
        <f t="shared" si="30"/>
        <v>8588318.7060000021</v>
      </c>
      <c r="BG46" s="374">
        <f t="shared" si="31"/>
        <v>813885.03000000014</v>
      </c>
      <c r="BH46" s="374">
        <f t="shared" si="32"/>
        <v>9402203.7360000014</v>
      </c>
      <c r="BI46" s="374">
        <f t="shared" si="33"/>
        <v>423099.16812000005</v>
      </c>
      <c r="BJ46" s="374">
        <f t="shared" si="34"/>
        <v>257649.56118000005</v>
      </c>
      <c r="BK46" s="374">
        <f t="shared" si="35"/>
        <v>488824.70059080003</v>
      </c>
      <c r="BL46" s="374">
        <f t="shared" si="36"/>
        <v>423099.16812000005</v>
      </c>
      <c r="BM46" s="373">
        <f t="shared" si="37"/>
        <v>10994876.334010802</v>
      </c>
      <c r="BN46" s="375"/>
      <c r="BO46" s="376"/>
      <c r="BP46" s="376"/>
      <c r="BQ46" s="377"/>
      <c r="BR46" s="377"/>
      <c r="BS46" s="377"/>
      <c r="BT46" s="377"/>
      <c r="BU46" s="377"/>
      <c r="BV46" s="377"/>
      <c r="BW46" s="377"/>
      <c r="BX46" s="377"/>
      <c r="BY46" s="377"/>
      <c r="BZ46" s="377"/>
      <c r="CA46" s="377"/>
      <c r="CB46" s="377"/>
      <c r="CC46" s="377"/>
      <c r="CD46" s="377"/>
      <c r="CE46" s="377"/>
      <c r="CF46" s="377"/>
      <c r="CG46" s="377"/>
      <c r="CH46" s="377"/>
      <c r="CI46" s="377"/>
    </row>
    <row r="47" spans="1:87" ht="47.25">
      <c r="A47" s="361">
        <f t="shared" si="38"/>
        <v>10</v>
      </c>
      <c r="B47" s="362">
        <f t="shared" si="38"/>
        <v>10</v>
      </c>
      <c r="C47" s="378" t="s">
        <v>198</v>
      </c>
      <c r="D47" s="379" t="s">
        <v>1028</v>
      </c>
      <c r="E47" s="392" t="s">
        <v>998</v>
      </c>
      <c r="F47" s="366" t="s">
        <v>1005</v>
      </c>
      <c r="G47" s="366"/>
      <c r="H47" s="371" t="s">
        <v>1029</v>
      </c>
      <c r="I47" s="366">
        <v>17697</v>
      </c>
      <c r="J47" s="367">
        <v>11.4</v>
      </c>
      <c r="K47" s="367">
        <f t="shared" si="0"/>
        <v>201745.80000000002</v>
      </c>
      <c r="L47" s="366"/>
      <c r="M47" s="366"/>
      <c r="N47" s="366"/>
      <c r="O47" s="366">
        <v>27</v>
      </c>
      <c r="P47" s="366">
        <v>9</v>
      </c>
      <c r="Q47" s="368">
        <f t="shared" si="12"/>
        <v>36</v>
      </c>
      <c r="R47" s="369"/>
      <c r="S47" s="369"/>
      <c r="T47" s="369"/>
      <c r="U47" s="369"/>
      <c r="V47" s="369"/>
      <c r="W47" s="368">
        <f t="shared" si="13"/>
        <v>0</v>
      </c>
      <c r="X47" s="370">
        <f t="shared" si="3"/>
        <v>36</v>
      </c>
      <c r="Y47" s="367">
        <f t="shared" si="4"/>
        <v>453928.05000000005</v>
      </c>
      <c r="Z47" s="367">
        <f t="shared" si="5"/>
        <v>45392.805000000008</v>
      </c>
      <c r="AA47" s="366">
        <v>18</v>
      </c>
      <c r="AB47" s="367">
        <f t="shared" si="6"/>
        <v>7963.6500000000005</v>
      </c>
      <c r="AC47" s="366">
        <v>18</v>
      </c>
      <c r="AD47" s="367">
        <f t="shared" si="7"/>
        <v>3981.8250000000003</v>
      </c>
      <c r="AE47" s="366"/>
      <c r="AF47" s="366"/>
      <c r="AG47" s="367"/>
      <c r="AH47" s="366"/>
      <c r="AI47" s="367"/>
      <c r="AJ47" s="366">
        <f t="shared" si="14"/>
        <v>36</v>
      </c>
      <c r="AK47" s="367">
        <f t="shared" si="15"/>
        <v>15927.300000000001</v>
      </c>
      <c r="AL47" s="366">
        <f t="shared" si="16"/>
        <v>36</v>
      </c>
      <c r="AM47" s="367">
        <f t="shared" si="17"/>
        <v>136178.41500000001</v>
      </c>
      <c r="AN47" s="366" t="str">
        <f t="shared" si="18"/>
        <v>Педагог-зерттеуші</v>
      </c>
      <c r="AO47" s="367" t="str">
        <f t="shared" si="19"/>
        <v>0</v>
      </c>
      <c r="AP47" s="367">
        <f t="shared" si="20"/>
        <v>181571.22000000003</v>
      </c>
      <c r="AQ47" s="367" t="str">
        <f t="shared" si="21"/>
        <v>0</v>
      </c>
      <c r="AR47" s="367" t="str">
        <f t="shared" si="22"/>
        <v>0</v>
      </c>
      <c r="AS47" s="366"/>
      <c r="AT47" s="367"/>
      <c r="AU47" s="371"/>
      <c r="AV47" s="367"/>
      <c r="AW47" s="371">
        <f t="shared" si="23"/>
        <v>0</v>
      </c>
      <c r="AX47" s="372"/>
      <c r="AY47" s="367"/>
      <c r="AZ47" s="367">
        <f t="shared" si="24"/>
        <v>391015.21500000003</v>
      </c>
      <c r="BA47" s="373">
        <f t="shared" si="25"/>
        <v>844943.26500000013</v>
      </c>
      <c r="BB47" s="374">
        <f t="shared" si="26"/>
        <v>84494.326500000025</v>
      </c>
      <c r="BC47" s="374">
        <f t="shared" si="27"/>
        <v>16898.865300000001</v>
      </c>
      <c r="BD47" s="374">
        <f t="shared" si="28"/>
        <v>68286.007320000019</v>
      </c>
      <c r="BE47" s="374">
        <f t="shared" si="29"/>
        <v>675264.06588000024</v>
      </c>
      <c r="BF47" s="374">
        <f t="shared" si="30"/>
        <v>10139319.180000002</v>
      </c>
      <c r="BG47" s="374">
        <f t="shared" si="31"/>
        <v>907856.10000000009</v>
      </c>
      <c r="BH47" s="374">
        <f t="shared" si="32"/>
        <v>11047175.280000001</v>
      </c>
      <c r="BI47" s="374">
        <f t="shared" si="33"/>
        <v>497122.88760000013</v>
      </c>
      <c r="BJ47" s="374">
        <f t="shared" si="34"/>
        <v>304179.57540000003</v>
      </c>
      <c r="BK47" s="374">
        <f t="shared" si="35"/>
        <v>574240.96292399999</v>
      </c>
      <c r="BL47" s="374">
        <f t="shared" si="36"/>
        <v>497122.88760000002</v>
      </c>
      <c r="BM47" s="373">
        <f t="shared" si="37"/>
        <v>12919841.593524002</v>
      </c>
      <c r="BN47" s="375"/>
      <c r="BO47" s="376"/>
      <c r="BP47" s="376"/>
      <c r="BQ47" s="377"/>
      <c r="BR47" s="377"/>
      <c r="BS47" s="377"/>
      <c r="BT47" s="377"/>
      <c r="BU47" s="377"/>
      <c r="BV47" s="377"/>
      <c r="BW47" s="377"/>
      <c r="BX47" s="377"/>
      <c r="BY47" s="377"/>
      <c r="BZ47" s="377"/>
      <c r="CA47" s="377"/>
      <c r="CB47" s="377"/>
      <c r="CC47" s="377"/>
      <c r="CD47" s="377"/>
      <c r="CE47" s="377"/>
      <c r="CF47" s="377"/>
      <c r="CG47" s="377"/>
      <c r="CH47" s="377"/>
      <c r="CI47" s="377"/>
    </row>
    <row r="48" spans="1:87" ht="78.75">
      <c r="A48" s="361">
        <f t="shared" si="38"/>
        <v>11</v>
      </c>
      <c r="B48" s="362">
        <f t="shared" si="38"/>
        <v>11</v>
      </c>
      <c r="C48" s="378" t="s">
        <v>203</v>
      </c>
      <c r="D48" s="379" t="s">
        <v>1030</v>
      </c>
      <c r="E48" s="392" t="s">
        <v>998</v>
      </c>
      <c r="F48" s="366" t="s">
        <v>999</v>
      </c>
      <c r="G48" s="366"/>
      <c r="H48" s="371" t="s">
        <v>1031</v>
      </c>
      <c r="I48" s="366">
        <v>17697</v>
      </c>
      <c r="J48" s="367">
        <v>11.4</v>
      </c>
      <c r="K48" s="367">
        <f t="shared" si="0"/>
        <v>201745.80000000002</v>
      </c>
      <c r="L48" s="380"/>
      <c r="M48" s="380">
        <v>24</v>
      </c>
      <c r="N48" s="380"/>
      <c r="O48" s="380"/>
      <c r="P48" s="380">
        <v>9</v>
      </c>
      <c r="Q48" s="368">
        <f t="shared" si="12"/>
        <v>33</v>
      </c>
      <c r="R48" s="380"/>
      <c r="S48" s="380">
        <v>3</v>
      </c>
      <c r="T48" s="380"/>
      <c r="U48" s="380"/>
      <c r="V48" s="380"/>
      <c r="W48" s="381">
        <f t="shared" si="13"/>
        <v>3</v>
      </c>
      <c r="X48" s="370">
        <f t="shared" si="3"/>
        <v>36</v>
      </c>
      <c r="Y48" s="367">
        <f t="shared" si="4"/>
        <v>453928.05000000005</v>
      </c>
      <c r="Z48" s="367">
        <f t="shared" si="5"/>
        <v>45392.805000000008</v>
      </c>
      <c r="AA48" s="366">
        <v>27</v>
      </c>
      <c r="AB48" s="367">
        <f t="shared" si="6"/>
        <v>11945.475</v>
      </c>
      <c r="AC48" s="366">
        <v>9</v>
      </c>
      <c r="AD48" s="367">
        <f t="shared" si="7"/>
        <v>1990.9125000000001</v>
      </c>
      <c r="AE48" s="366"/>
      <c r="AF48" s="366"/>
      <c r="AG48" s="367"/>
      <c r="AH48" s="366" t="s">
        <v>1032</v>
      </c>
      <c r="AI48" s="367">
        <f>I48*200%</f>
        <v>35394</v>
      </c>
      <c r="AJ48" s="366">
        <f t="shared" si="14"/>
        <v>36</v>
      </c>
      <c r="AK48" s="367">
        <f t="shared" si="15"/>
        <v>15927.300000000001</v>
      </c>
      <c r="AL48" s="366">
        <f t="shared" si="16"/>
        <v>36</v>
      </c>
      <c r="AM48" s="367">
        <f t="shared" si="17"/>
        <v>136178.41500000001</v>
      </c>
      <c r="AN48" s="366" t="str">
        <f t="shared" si="18"/>
        <v>Педагог-шебер</v>
      </c>
      <c r="AO48" s="367">
        <f t="shared" si="19"/>
        <v>226964.02500000002</v>
      </c>
      <c r="AP48" s="367" t="str">
        <f t="shared" si="20"/>
        <v>0</v>
      </c>
      <c r="AQ48" s="367" t="str">
        <f t="shared" si="21"/>
        <v>0</v>
      </c>
      <c r="AR48" s="367" t="str">
        <f t="shared" si="22"/>
        <v>0</v>
      </c>
      <c r="AS48" s="366"/>
      <c r="AT48" s="367"/>
      <c r="AU48" s="371"/>
      <c r="AV48" s="367"/>
      <c r="AW48" s="371">
        <f t="shared" si="23"/>
        <v>0</v>
      </c>
      <c r="AX48" s="372"/>
      <c r="AY48" s="367"/>
      <c r="AZ48" s="367">
        <f t="shared" si="24"/>
        <v>473792.93250000005</v>
      </c>
      <c r="BA48" s="373">
        <f t="shared" si="25"/>
        <v>927720.98250000016</v>
      </c>
      <c r="BB48" s="374">
        <f t="shared" si="26"/>
        <v>92772.098250000025</v>
      </c>
      <c r="BC48" s="374">
        <f t="shared" si="27"/>
        <v>18554.419650000003</v>
      </c>
      <c r="BD48" s="374">
        <f t="shared" si="28"/>
        <v>75570.446460000006</v>
      </c>
      <c r="BE48" s="374">
        <f t="shared" si="29"/>
        <v>740824.01814000006</v>
      </c>
      <c r="BF48" s="374">
        <f t="shared" si="30"/>
        <v>11132651.790000003</v>
      </c>
      <c r="BG48" s="374">
        <f t="shared" si="31"/>
        <v>907856.10000000009</v>
      </c>
      <c r="BH48" s="374">
        <f t="shared" si="32"/>
        <v>12040507.890000002</v>
      </c>
      <c r="BI48" s="374">
        <f t="shared" si="33"/>
        <v>541822.85505000013</v>
      </c>
      <c r="BJ48" s="374">
        <f t="shared" si="34"/>
        <v>333979.55370000005</v>
      </c>
      <c r="BK48" s="374">
        <f t="shared" si="35"/>
        <v>625695.59212199994</v>
      </c>
      <c r="BL48" s="374">
        <f t="shared" si="36"/>
        <v>541822.85505000013</v>
      </c>
      <c r="BM48" s="373">
        <f t="shared" si="37"/>
        <v>14083828.745922001</v>
      </c>
      <c r="BN48" s="375"/>
      <c r="BO48" s="376"/>
      <c r="BP48" s="376"/>
      <c r="BQ48" s="377"/>
      <c r="BR48" s="377"/>
      <c r="BS48" s="377"/>
      <c r="BT48" s="377"/>
      <c r="BU48" s="377"/>
      <c r="BV48" s="377"/>
      <c r="BW48" s="377"/>
      <c r="BX48" s="377"/>
      <c r="BY48" s="377"/>
      <c r="BZ48" s="377"/>
      <c r="CA48" s="377"/>
      <c r="CB48" s="377"/>
      <c r="CC48" s="377"/>
      <c r="CD48" s="377"/>
      <c r="CE48" s="377"/>
      <c r="CF48" s="377"/>
      <c r="CG48" s="377"/>
      <c r="CH48" s="377"/>
      <c r="CI48" s="377"/>
    </row>
    <row r="49" spans="1:87" ht="73.5" customHeight="1">
      <c r="A49" s="361">
        <f t="shared" si="38"/>
        <v>12</v>
      </c>
      <c r="B49" s="362">
        <f t="shared" si="38"/>
        <v>12</v>
      </c>
      <c r="C49" s="378" t="s">
        <v>1033</v>
      </c>
      <c r="D49" s="379" t="s">
        <v>1034</v>
      </c>
      <c r="E49" s="392" t="s">
        <v>998</v>
      </c>
      <c r="F49" s="366"/>
      <c r="G49" s="366" t="s">
        <v>1035</v>
      </c>
      <c r="H49" s="371" t="s">
        <v>279</v>
      </c>
      <c r="I49" s="366">
        <v>17697</v>
      </c>
      <c r="J49" s="367">
        <v>9.66</v>
      </c>
      <c r="K49" s="367">
        <f t="shared" si="0"/>
        <v>170953.02</v>
      </c>
      <c r="L49" s="380"/>
      <c r="M49" s="380">
        <v>16</v>
      </c>
      <c r="N49" s="380">
        <v>8</v>
      </c>
      <c r="O49" s="380"/>
      <c r="P49" s="380"/>
      <c r="Q49" s="368">
        <f t="shared" si="12"/>
        <v>24</v>
      </c>
      <c r="R49" s="380">
        <v>12</v>
      </c>
      <c r="S49" s="380">
        <v>2</v>
      </c>
      <c r="T49" s="380">
        <v>1</v>
      </c>
      <c r="U49" s="380"/>
      <c r="V49" s="380"/>
      <c r="W49" s="381">
        <f t="shared" ref="W49:W50" si="40">SUM(R49:V49)</f>
        <v>15</v>
      </c>
      <c r="X49" s="370">
        <f t="shared" si="3"/>
        <v>39</v>
      </c>
      <c r="Y49" s="367">
        <f t="shared" si="4"/>
        <v>416697.98624999996</v>
      </c>
      <c r="Z49" s="367">
        <f t="shared" si="5"/>
        <v>41669.798624999996</v>
      </c>
      <c r="AA49" s="366">
        <v>9</v>
      </c>
      <c r="AB49" s="367">
        <f t="shared" si="6"/>
        <v>3981.8250000000003</v>
      </c>
      <c r="AC49" s="366">
        <v>18</v>
      </c>
      <c r="AD49" s="367">
        <f t="shared" si="7"/>
        <v>3981.8250000000003</v>
      </c>
      <c r="AE49" s="366"/>
      <c r="AF49" s="366"/>
      <c r="AG49" s="367"/>
      <c r="AH49" s="366"/>
      <c r="AI49" s="367"/>
      <c r="AJ49" s="366">
        <f t="shared" si="14"/>
        <v>39</v>
      </c>
      <c r="AK49" s="367">
        <f t="shared" si="15"/>
        <v>17254.575000000001</v>
      </c>
      <c r="AL49" s="366">
        <f t="shared" si="16"/>
        <v>39</v>
      </c>
      <c r="AM49" s="367">
        <f t="shared" si="17"/>
        <v>125009.39587499999</v>
      </c>
      <c r="AN49" s="366">
        <f t="shared" si="18"/>
        <v>0</v>
      </c>
      <c r="AO49" s="367" t="str">
        <f t="shared" si="19"/>
        <v>0</v>
      </c>
      <c r="AP49" s="367" t="str">
        <f t="shared" si="20"/>
        <v>0</v>
      </c>
      <c r="AQ49" s="367" t="str">
        <f t="shared" si="21"/>
        <v>0</v>
      </c>
      <c r="AR49" s="367" t="str">
        <f t="shared" si="22"/>
        <v>0</v>
      </c>
      <c r="AS49" s="366"/>
      <c r="AT49" s="367"/>
      <c r="AU49" s="371"/>
      <c r="AV49" s="367"/>
      <c r="AW49" s="371" t="str">
        <f t="shared" si="23"/>
        <v>Магистр прикладная математика</v>
      </c>
      <c r="AX49" s="372">
        <f>10*4335</f>
        <v>43350</v>
      </c>
      <c r="AY49" s="367"/>
      <c r="AZ49" s="367">
        <f t="shared" si="24"/>
        <v>235247.41949999996</v>
      </c>
      <c r="BA49" s="373">
        <f t="shared" si="25"/>
        <v>651945.40574999992</v>
      </c>
      <c r="BB49" s="374">
        <f t="shared" si="26"/>
        <v>65194.540574999992</v>
      </c>
      <c r="BC49" s="374">
        <f t="shared" si="27"/>
        <v>13038.908114999998</v>
      </c>
      <c r="BD49" s="374">
        <f t="shared" si="28"/>
        <v>51302.195705999999</v>
      </c>
      <c r="BE49" s="374">
        <f t="shared" si="29"/>
        <v>522409.76135399996</v>
      </c>
      <c r="BF49" s="374">
        <f t="shared" si="30"/>
        <v>7823344.868999999</v>
      </c>
      <c r="BG49" s="374">
        <f t="shared" si="31"/>
        <v>833395.97249999992</v>
      </c>
      <c r="BH49" s="374">
        <f t="shared" si="32"/>
        <v>8656740.8414999992</v>
      </c>
      <c r="BI49" s="374">
        <f t="shared" si="33"/>
        <v>389553.33786750003</v>
      </c>
      <c r="BJ49" s="374">
        <f t="shared" si="34"/>
        <v>234700.34606999997</v>
      </c>
      <c r="BK49" s="374">
        <f t="shared" si="35"/>
        <v>450252.64672919991</v>
      </c>
      <c r="BL49" s="374">
        <f t="shared" si="36"/>
        <v>389553.33786749997</v>
      </c>
      <c r="BM49" s="373">
        <f t="shared" si="37"/>
        <v>10120800.5100342</v>
      </c>
      <c r="BN49" s="375"/>
      <c r="BO49" s="376"/>
      <c r="BP49" s="376"/>
      <c r="BQ49" s="377"/>
      <c r="BR49" s="377"/>
      <c r="BS49" s="377"/>
      <c r="BT49" s="377"/>
      <c r="BU49" s="377"/>
      <c r="BV49" s="377"/>
      <c r="BW49" s="377"/>
      <c r="BX49" s="377"/>
      <c r="BY49" s="377"/>
      <c r="BZ49" s="377"/>
      <c r="CA49" s="377"/>
      <c r="CB49" s="377"/>
      <c r="CC49" s="377"/>
      <c r="CD49" s="377"/>
      <c r="CE49" s="377"/>
      <c r="CF49" s="377"/>
      <c r="CG49" s="377"/>
      <c r="CH49" s="377"/>
      <c r="CI49" s="377"/>
    </row>
    <row r="50" spans="1:87" ht="94.5" customHeight="1">
      <c r="A50" s="361">
        <f t="shared" si="38"/>
        <v>13</v>
      </c>
      <c r="B50" s="362">
        <f t="shared" si="38"/>
        <v>13</v>
      </c>
      <c r="C50" s="378" t="s">
        <v>455</v>
      </c>
      <c r="D50" s="379" t="s">
        <v>1036</v>
      </c>
      <c r="E50" s="392" t="s">
        <v>998</v>
      </c>
      <c r="F50" s="366" t="s">
        <v>254</v>
      </c>
      <c r="G50" s="366"/>
      <c r="H50" s="371" t="s">
        <v>1405</v>
      </c>
      <c r="I50" s="366">
        <v>17697</v>
      </c>
      <c r="J50" s="367">
        <v>10.220000000000001</v>
      </c>
      <c r="K50" s="367">
        <f t="shared" si="0"/>
        <v>180863.34000000003</v>
      </c>
      <c r="L50" s="380"/>
      <c r="M50" s="380"/>
      <c r="N50" s="380"/>
      <c r="O50" s="380"/>
      <c r="P50" s="380"/>
      <c r="Q50" s="368">
        <f t="shared" si="12"/>
        <v>0</v>
      </c>
      <c r="R50" s="380">
        <v>12</v>
      </c>
      <c r="S50" s="380">
        <v>10</v>
      </c>
      <c r="T50" s="380"/>
      <c r="U50" s="380">
        <v>7</v>
      </c>
      <c r="V50" s="380">
        <v>7</v>
      </c>
      <c r="W50" s="381">
        <f t="shared" si="40"/>
        <v>36</v>
      </c>
      <c r="X50" s="370">
        <f t="shared" si="3"/>
        <v>36</v>
      </c>
      <c r="Y50" s="367">
        <f t="shared" si="4"/>
        <v>406942.51500000007</v>
      </c>
      <c r="Z50" s="367">
        <f t="shared" si="5"/>
        <v>40694.251500000013</v>
      </c>
      <c r="AA50" s="366">
        <v>0</v>
      </c>
      <c r="AB50" s="367">
        <f t="shared" si="6"/>
        <v>0</v>
      </c>
      <c r="AC50" s="366">
        <v>0</v>
      </c>
      <c r="AD50" s="367">
        <f t="shared" si="7"/>
        <v>0</v>
      </c>
      <c r="AE50" s="366"/>
      <c r="AF50" s="366"/>
      <c r="AG50" s="367"/>
      <c r="AH50" s="366"/>
      <c r="AI50" s="367"/>
      <c r="AJ50" s="366">
        <f t="shared" si="14"/>
        <v>36</v>
      </c>
      <c r="AK50" s="367">
        <f t="shared" si="15"/>
        <v>15927.300000000001</v>
      </c>
      <c r="AL50" s="366">
        <f t="shared" si="16"/>
        <v>36</v>
      </c>
      <c r="AM50" s="367">
        <f t="shared" si="17"/>
        <v>122082.75450000001</v>
      </c>
      <c r="AN50" s="366" t="str">
        <f t="shared" si="18"/>
        <v>Педагог-модератор</v>
      </c>
      <c r="AO50" s="367" t="str">
        <f t="shared" si="19"/>
        <v>0</v>
      </c>
      <c r="AP50" s="367" t="str">
        <f t="shared" si="20"/>
        <v>0</v>
      </c>
      <c r="AQ50" s="367" t="str">
        <f t="shared" si="21"/>
        <v>0</v>
      </c>
      <c r="AR50" s="367">
        <f t="shared" si="22"/>
        <v>122082.75450000001</v>
      </c>
      <c r="AS50" s="366"/>
      <c r="AT50" s="367"/>
      <c r="AU50" s="371"/>
      <c r="AV50" s="367"/>
      <c r="AW50" s="371">
        <f t="shared" si="23"/>
        <v>0</v>
      </c>
      <c r="AX50" s="372"/>
      <c r="AY50" s="367"/>
      <c r="AZ50" s="367">
        <f t="shared" si="24"/>
        <v>300787.06050000002</v>
      </c>
      <c r="BA50" s="373">
        <f t="shared" si="25"/>
        <v>707729.57550000004</v>
      </c>
      <c r="BB50" s="374">
        <f t="shared" si="26"/>
        <v>70772.957550000006</v>
      </c>
      <c r="BC50" s="374">
        <f t="shared" si="27"/>
        <v>14154.59151</v>
      </c>
      <c r="BD50" s="374">
        <f t="shared" si="28"/>
        <v>56211.202643999997</v>
      </c>
      <c r="BE50" s="374">
        <f t="shared" si="29"/>
        <v>566590.82379599998</v>
      </c>
      <c r="BF50" s="374">
        <f t="shared" si="30"/>
        <v>8492754.9059999995</v>
      </c>
      <c r="BG50" s="374">
        <f t="shared" si="31"/>
        <v>813885.03000000014</v>
      </c>
      <c r="BH50" s="374">
        <f t="shared" si="32"/>
        <v>9306639.9359999988</v>
      </c>
      <c r="BI50" s="374">
        <f t="shared" si="33"/>
        <v>418798.79712</v>
      </c>
      <c r="BJ50" s="374">
        <f t="shared" si="34"/>
        <v>254782.64717999997</v>
      </c>
      <c r="BK50" s="374">
        <f t="shared" si="35"/>
        <v>483874.49575079989</v>
      </c>
      <c r="BL50" s="374">
        <f t="shared" si="36"/>
        <v>418798.79711999994</v>
      </c>
      <c r="BM50" s="373">
        <f t="shared" si="37"/>
        <v>10882894.673170798</v>
      </c>
      <c r="BN50" s="375"/>
      <c r="BO50" s="376"/>
      <c r="BP50" s="376"/>
      <c r="BQ50" s="377"/>
      <c r="BR50" s="377"/>
      <c r="BS50" s="377"/>
      <c r="BT50" s="377"/>
      <c r="BU50" s="377"/>
      <c r="BV50" s="377"/>
      <c r="BW50" s="377"/>
      <c r="BX50" s="377"/>
      <c r="BY50" s="377"/>
      <c r="BZ50" s="377"/>
      <c r="CA50" s="377"/>
      <c r="CB50" s="377"/>
      <c r="CC50" s="377"/>
      <c r="CD50" s="377"/>
      <c r="CE50" s="377"/>
      <c r="CF50" s="377"/>
      <c r="CG50" s="377"/>
      <c r="CH50" s="377"/>
      <c r="CI50" s="377"/>
    </row>
    <row r="51" spans="1:87" ht="47.25">
      <c r="A51" s="361">
        <f t="shared" si="38"/>
        <v>14</v>
      </c>
      <c r="B51" s="362">
        <f t="shared" si="38"/>
        <v>14</v>
      </c>
      <c r="C51" s="378" t="s">
        <v>267</v>
      </c>
      <c r="D51" s="379" t="s">
        <v>1037</v>
      </c>
      <c r="E51" s="392" t="s">
        <v>998</v>
      </c>
      <c r="F51" s="366" t="s">
        <v>999</v>
      </c>
      <c r="G51" s="366"/>
      <c r="H51" s="371" t="s">
        <v>1038</v>
      </c>
      <c r="I51" s="366">
        <v>17697</v>
      </c>
      <c r="J51" s="367">
        <v>11.4</v>
      </c>
      <c r="K51" s="367">
        <f t="shared" si="0"/>
        <v>201745.80000000002</v>
      </c>
      <c r="L51" s="366"/>
      <c r="M51" s="366"/>
      <c r="N51" s="366"/>
      <c r="O51" s="366"/>
      <c r="P51" s="366">
        <v>36</v>
      </c>
      <c r="Q51" s="368">
        <f t="shared" si="12"/>
        <v>36</v>
      </c>
      <c r="R51" s="366"/>
      <c r="S51" s="366"/>
      <c r="T51" s="366"/>
      <c r="U51" s="366"/>
      <c r="V51" s="366"/>
      <c r="W51" s="381">
        <f t="shared" si="13"/>
        <v>0</v>
      </c>
      <c r="X51" s="370">
        <f t="shared" si="3"/>
        <v>36</v>
      </c>
      <c r="Y51" s="367">
        <f t="shared" si="4"/>
        <v>453928.05000000005</v>
      </c>
      <c r="Z51" s="367">
        <f t="shared" si="5"/>
        <v>45392.805000000008</v>
      </c>
      <c r="AA51" s="366">
        <v>0</v>
      </c>
      <c r="AB51" s="367">
        <f t="shared" si="6"/>
        <v>0</v>
      </c>
      <c r="AC51" s="366">
        <v>36</v>
      </c>
      <c r="AD51" s="367">
        <f t="shared" si="7"/>
        <v>7963.6500000000005</v>
      </c>
      <c r="AE51" s="366"/>
      <c r="AF51" s="366" t="s">
        <v>547</v>
      </c>
      <c r="AG51" s="367">
        <f t="shared" ref="AG51:AG53" si="41">17697*20%</f>
        <v>3539.4</v>
      </c>
      <c r="AH51" s="366"/>
      <c r="AI51" s="367"/>
      <c r="AJ51" s="366">
        <f t="shared" si="14"/>
        <v>36</v>
      </c>
      <c r="AK51" s="367">
        <f t="shared" si="15"/>
        <v>15927.300000000001</v>
      </c>
      <c r="AL51" s="366">
        <f t="shared" si="16"/>
        <v>36</v>
      </c>
      <c r="AM51" s="367">
        <f t="shared" si="17"/>
        <v>136178.41500000001</v>
      </c>
      <c r="AN51" s="366" t="str">
        <f t="shared" si="18"/>
        <v>Педагог-шебер</v>
      </c>
      <c r="AO51" s="367">
        <f t="shared" si="19"/>
        <v>226964.02500000002</v>
      </c>
      <c r="AP51" s="367" t="str">
        <f t="shared" si="20"/>
        <v>0</v>
      </c>
      <c r="AQ51" s="367" t="str">
        <f t="shared" si="21"/>
        <v>0</v>
      </c>
      <c r="AR51" s="367" t="str">
        <f t="shared" si="22"/>
        <v>0</v>
      </c>
      <c r="AS51" s="366"/>
      <c r="AT51" s="367"/>
      <c r="AU51" s="366"/>
      <c r="AV51" s="367"/>
      <c r="AW51" s="371">
        <f t="shared" si="23"/>
        <v>0</v>
      </c>
      <c r="AX51" s="372"/>
      <c r="AY51" s="367"/>
      <c r="AZ51" s="367">
        <f t="shared" si="24"/>
        <v>435965.59500000003</v>
      </c>
      <c r="BA51" s="373">
        <f t="shared" si="25"/>
        <v>889893.64500000002</v>
      </c>
      <c r="BB51" s="374">
        <f t="shared" si="26"/>
        <v>88989.364500000011</v>
      </c>
      <c r="BC51" s="374">
        <f t="shared" si="27"/>
        <v>17797.872900000002</v>
      </c>
      <c r="BD51" s="374">
        <f t="shared" si="28"/>
        <v>72241.640760000009</v>
      </c>
      <c r="BE51" s="374">
        <f t="shared" si="29"/>
        <v>710864.76684000005</v>
      </c>
      <c r="BF51" s="374">
        <f t="shared" si="30"/>
        <v>10678723.74</v>
      </c>
      <c r="BG51" s="374">
        <f t="shared" si="31"/>
        <v>907856.10000000009</v>
      </c>
      <c r="BH51" s="374">
        <f t="shared" si="32"/>
        <v>11586579.84</v>
      </c>
      <c r="BI51" s="374">
        <f t="shared" si="33"/>
        <v>521396.09280000004</v>
      </c>
      <c r="BJ51" s="374">
        <f t="shared" si="34"/>
        <v>320361.71220000001</v>
      </c>
      <c r="BK51" s="374">
        <f t="shared" si="35"/>
        <v>602182.11913200002</v>
      </c>
      <c r="BL51" s="374">
        <f t="shared" si="36"/>
        <v>521396.09279999998</v>
      </c>
      <c r="BM51" s="373">
        <f t="shared" si="37"/>
        <v>13551915.856932001</v>
      </c>
      <c r="BN51" s="375"/>
      <c r="BO51" s="376"/>
      <c r="BP51" s="376"/>
      <c r="BQ51" s="377"/>
      <c r="BR51" s="377"/>
      <c r="BS51" s="377"/>
      <c r="BT51" s="377"/>
      <c r="BU51" s="377"/>
      <c r="BV51" s="377"/>
      <c r="BW51" s="377"/>
      <c r="BX51" s="377"/>
      <c r="BY51" s="377"/>
      <c r="BZ51" s="377"/>
      <c r="CA51" s="377"/>
      <c r="CB51" s="377"/>
      <c r="CC51" s="377"/>
      <c r="CD51" s="377"/>
      <c r="CE51" s="377"/>
      <c r="CF51" s="377"/>
      <c r="CG51" s="377"/>
      <c r="CH51" s="377"/>
      <c r="CI51" s="377"/>
    </row>
    <row r="52" spans="1:87" ht="47.25">
      <c r="A52" s="361">
        <f t="shared" si="38"/>
        <v>15</v>
      </c>
      <c r="B52" s="362">
        <f t="shared" si="38"/>
        <v>15</v>
      </c>
      <c r="C52" s="378" t="s">
        <v>202</v>
      </c>
      <c r="D52" s="379" t="s">
        <v>1039</v>
      </c>
      <c r="E52" s="392" t="s">
        <v>998</v>
      </c>
      <c r="F52" s="366" t="s">
        <v>1011</v>
      </c>
      <c r="G52" s="366" t="s">
        <v>224</v>
      </c>
      <c r="H52" s="371" t="s">
        <v>1040</v>
      </c>
      <c r="I52" s="366">
        <v>17697</v>
      </c>
      <c r="J52" s="367">
        <v>11.4</v>
      </c>
      <c r="K52" s="367">
        <f t="shared" si="0"/>
        <v>201745.80000000002</v>
      </c>
      <c r="L52" s="366"/>
      <c r="M52" s="366"/>
      <c r="N52" s="366">
        <v>32</v>
      </c>
      <c r="O52" s="366"/>
      <c r="P52" s="366"/>
      <c r="Q52" s="368">
        <f t="shared" si="12"/>
        <v>32</v>
      </c>
      <c r="R52" s="366"/>
      <c r="S52" s="366"/>
      <c r="T52" s="366">
        <v>4</v>
      </c>
      <c r="U52" s="366"/>
      <c r="V52" s="366"/>
      <c r="W52" s="381">
        <f t="shared" si="13"/>
        <v>4</v>
      </c>
      <c r="X52" s="370">
        <f t="shared" si="3"/>
        <v>36</v>
      </c>
      <c r="Y52" s="367">
        <f t="shared" si="4"/>
        <v>453928.05000000005</v>
      </c>
      <c r="Z52" s="367">
        <f t="shared" si="5"/>
        <v>45392.805000000008</v>
      </c>
      <c r="AA52" s="366">
        <v>36</v>
      </c>
      <c r="AB52" s="367">
        <f t="shared" si="6"/>
        <v>15927.300000000001</v>
      </c>
      <c r="AC52" s="366">
        <v>0</v>
      </c>
      <c r="AD52" s="367">
        <f t="shared" si="7"/>
        <v>0</v>
      </c>
      <c r="AE52" s="366"/>
      <c r="AF52" s="366"/>
      <c r="AG52" s="367"/>
      <c r="AH52" s="366"/>
      <c r="AI52" s="367"/>
      <c r="AJ52" s="366">
        <f t="shared" si="14"/>
        <v>36</v>
      </c>
      <c r="AK52" s="367">
        <f t="shared" si="15"/>
        <v>15927.300000000001</v>
      </c>
      <c r="AL52" s="366">
        <f t="shared" si="16"/>
        <v>36</v>
      </c>
      <c r="AM52" s="367">
        <f t="shared" si="17"/>
        <v>136178.41500000001</v>
      </c>
      <c r="AN52" s="366" t="str">
        <f t="shared" si="18"/>
        <v>Педагог-сарапшы</v>
      </c>
      <c r="AO52" s="367" t="str">
        <f t="shared" si="19"/>
        <v>0</v>
      </c>
      <c r="AP52" s="367" t="str">
        <f t="shared" si="20"/>
        <v>0</v>
      </c>
      <c r="AQ52" s="367">
        <f t="shared" si="21"/>
        <v>158874.8175</v>
      </c>
      <c r="AR52" s="367" t="str">
        <f t="shared" si="22"/>
        <v>0</v>
      </c>
      <c r="AS52" s="366"/>
      <c r="AT52" s="367"/>
      <c r="AU52" s="371"/>
      <c r="AV52" s="367"/>
      <c r="AW52" s="371" t="str">
        <f t="shared" si="23"/>
        <v>Магистр-математика</v>
      </c>
      <c r="AX52" s="372">
        <f>10*4335</f>
        <v>43350</v>
      </c>
      <c r="AY52" s="367"/>
      <c r="AZ52" s="367">
        <f t="shared" si="24"/>
        <v>415650.63750000001</v>
      </c>
      <c r="BA52" s="373">
        <f t="shared" si="25"/>
        <v>869578.6875</v>
      </c>
      <c r="BB52" s="374">
        <f t="shared" si="26"/>
        <v>86957.868750000009</v>
      </c>
      <c r="BC52" s="374">
        <f t="shared" si="27"/>
        <v>17391.57375</v>
      </c>
      <c r="BD52" s="374">
        <f t="shared" si="28"/>
        <v>70453.924500000008</v>
      </c>
      <c r="BE52" s="374">
        <f t="shared" si="29"/>
        <v>694775.32050000003</v>
      </c>
      <c r="BF52" s="374">
        <f t="shared" si="30"/>
        <v>10434944.25</v>
      </c>
      <c r="BG52" s="374">
        <f t="shared" si="31"/>
        <v>907856.10000000009</v>
      </c>
      <c r="BH52" s="374">
        <f t="shared" si="32"/>
        <v>11342800.35</v>
      </c>
      <c r="BI52" s="374">
        <f t="shared" si="33"/>
        <v>510426.01575000002</v>
      </c>
      <c r="BJ52" s="374">
        <f t="shared" si="34"/>
        <v>313048.32750000001</v>
      </c>
      <c r="BK52" s="374">
        <f t="shared" si="35"/>
        <v>589554.34155000001</v>
      </c>
      <c r="BL52" s="374">
        <f t="shared" si="36"/>
        <v>510426.01574999996</v>
      </c>
      <c r="BM52" s="373">
        <f t="shared" si="37"/>
        <v>13266255.050550001</v>
      </c>
      <c r="BN52" s="375"/>
      <c r="BO52" s="376"/>
      <c r="BP52" s="376"/>
      <c r="BQ52" s="377"/>
      <c r="BR52" s="377"/>
      <c r="BS52" s="377"/>
      <c r="BT52" s="377"/>
      <c r="BU52" s="377"/>
      <c r="BV52" s="377"/>
      <c r="BW52" s="377"/>
      <c r="BX52" s="377"/>
      <c r="BY52" s="377"/>
      <c r="BZ52" s="377"/>
      <c r="CA52" s="377"/>
      <c r="CB52" s="377"/>
      <c r="CC52" s="377"/>
      <c r="CD52" s="377"/>
      <c r="CE52" s="377"/>
      <c r="CF52" s="377"/>
      <c r="CG52" s="377"/>
      <c r="CH52" s="377"/>
      <c r="CI52" s="377"/>
    </row>
    <row r="53" spans="1:87" ht="47.25">
      <c r="A53" s="361">
        <f t="shared" si="38"/>
        <v>16</v>
      </c>
      <c r="B53" s="362">
        <f t="shared" si="38"/>
        <v>16</v>
      </c>
      <c r="C53" s="378" t="s">
        <v>548</v>
      </c>
      <c r="D53" s="379" t="s">
        <v>1041</v>
      </c>
      <c r="E53" s="392" t="s">
        <v>998</v>
      </c>
      <c r="F53" s="366"/>
      <c r="G53" s="366"/>
      <c r="H53" s="371" t="s">
        <v>1406</v>
      </c>
      <c r="I53" s="366">
        <v>17697</v>
      </c>
      <c r="J53" s="367">
        <v>9.84</v>
      </c>
      <c r="K53" s="367">
        <f t="shared" si="0"/>
        <v>174138.48</v>
      </c>
      <c r="L53" s="366"/>
      <c r="M53" s="366"/>
      <c r="N53" s="366"/>
      <c r="O53" s="366">
        <v>27</v>
      </c>
      <c r="P53" s="366"/>
      <c r="Q53" s="368">
        <f t="shared" si="12"/>
        <v>27</v>
      </c>
      <c r="R53" s="366"/>
      <c r="S53" s="366"/>
      <c r="T53" s="366"/>
      <c r="U53" s="366"/>
      <c r="V53" s="366"/>
      <c r="W53" s="381">
        <f t="shared" si="13"/>
        <v>0</v>
      </c>
      <c r="X53" s="370">
        <f t="shared" si="3"/>
        <v>27</v>
      </c>
      <c r="Y53" s="367">
        <f t="shared" si="4"/>
        <v>293858.685</v>
      </c>
      <c r="Z53" s="367">
        <f t="shared" si="5"/>
        <v>29385.8685</v>
      </c>
      <c r="AA53" s="366">
        <v>18</v>
      </c>
      <c r="AB53" s="367">
        <f t="shared" si="6"/>
        <v>7963.6500000000005</v>
      </c>
      <c r="AC53" s="366">
        <v>9</v>
      </c>
      <c r="AD53" s="367">
        <f t="shared" si="7"/>
        <v>1990.9125000000001</v>
      </c>
      <c r="AE53" s="366"/>
      <c r="AF53" s="366" t="s">
        <v>1043</v>
      </c>
      <c r="AG53" s="367">
        <f t="shared" si="41"/>
        <v>3539.4</v>
      </c>
      <c r="AH53" s="366"/>
      <c r="AI53" s="367"/>
      <c r="AJ53" s="366">
        <f t="shared" si="14"/>
        <v>27</v>
      </c>
      <c r="AK53" s="367">
        <f t="shared" si="15"/>
        <v>11945.475</v>
      </c>
      <c r="AL53" s="366">
        <f t="shared" si="16"/>
        <v>27</v>
      </c>
      <c r="AM53" s="367">
        <f t="shared" si="17"/>
        <v>88157.605499999991</v>
      </c>
      <c r="AN53" s="366">
        <f t="shared" si="18"/>
        <v>0</v>
      </c>
      <c r="AO53" s="367" t="str">
        <f t="shared" si="19"/>
        <v>0</v>
      </c>
      <c r="AP53" s="367" t="str">
        <f t="shared" si="20"/>
        <v>0</v>
      </c>
      <c r="AQ53" s="367" t="str">
        <f t="shared" si="21"/>
        <v>0</v>
      </c>
      <c r="AR53" s="367" t="str">
        <f t="shared" si="22"/>
        <v>0</v>
      </c>
      <c r="AS53" s="366"/>
      <c r="AT53" s="367"/>
      <c r="AU53" s="371"/>
      <c r="AV53" s="367"/>
      <c r="AW53" s="371">
        <f t="shared" si="23"/>
        <v>0</v>
      </c>
      <c r="AX53" s="372"/>
      <c r="AY53" s="367"/>
      <c r="AZ53" s="367">
        <f t="shared" si="24"/>
        <v>142982.91149999999</v>
      </c>
      <c r="BA53" s="373">
        <f t="shared" si="25"/>
        <v>436841.59649999999</v>
      </c>
      <c r="BB53" s="374">
        <f t="shared" si="26"/>
        <v>43684.159650000001</v>
      </c>
      <c r="BC53" s="374">
        <f t="shared" si="27"/>
        <v>8736.8319300000003</v>
      </c>
      <c r="BD53" s="374">
        <f t="shared" si="28"/>
        <v>32373.060492000004</v>
      </c>
      <c r="BE53" s="374">
        <f t="shared" si="29"/>
        <v>352047.54442799999</v>
      </c>
      <c r="BF53" s="374">
        <f t="shared" si="30"/>
        <v>5242099.1579999998</v>
      </c>
      <c r="BG53" s="374">
        <f t="shared" si="31"/>
        <v>587717.37</v>
      </c>
      <c r="BH53" s="374">
        <f t="shared" si="32"/>
        <v>5829816.5279999999</v>
      </c>
      <c r="BI53" s="374">
        <f t="shared" si="33"/>
        <v>262341.74375999998</v>
      </c>
      <c r="BJ53" s="374">
        <f t="shared" si="34"/>
        <v>157262.97473999998</v>
      </c>
      <c r="BK53" s="374">
        <f t="shared" si="35"/>
        <v>303277.47436439991</v>
      </c>
      <c r="BL53" s="374">
        <f t="shared" si="36"/>
        <v>262341.74375999998</v>
      </c>
      <c r="BM53" s="373">
        <f t="shared" si="37"/>
        <v>6815040.4646244003</v>
      </c>
      <c r="BN53" s="375">
        <v>0.5</v>
      </c>
      <c r="BO53" s="376"/>
      <c r="BP53" s="376"/>
      <c r="BQ53" s="377"/>
      <c r="BR53" s="377"/>
      <c r="BS53" s="377"/>
      <c r="BT53" s="377"/>
      <c r="BU53" s="377"/>
      <c r="BV53" s="377"/>
      <c r="BW53" s="377"/>
      <c r="BX53" s="377"/>
      <c r="BY53" s="377"/>
      <c r="BZ53" s="377"/>
      <c r="CA53" s="377"/>
      <c r="CB53" s="377"/>
      <c r="CC53" s="377"/>
      <c r="CD53" s="377"/>
      <c r="CE53" s="377"/>
      <c r="CF53" s="377"/>
      <c r="CG53" s="377"/>
      <c r="CH53" s="377"/>
      <c r="CI53" s="377"/>
    </row>
    <row r="54" spans="1:87" ht="47.25">
      <c r="A54" s="361">
        <f t="shared" si="38"/>
        <v>17</v>
      </c>
      <c r="B54" s="362">
        <f t="shared" si="38"/>
        <v>17</v>
      </c>
      <c r="C54" s="378" t="s">
        <v>1044</v>
      </c>
      <c r="D54" s="379" t="s">
        <v>1045</v>
      </c>
      <c r="E54" s="392" t="s">
        <v>998</v>
      </c>
      <c r="F54" s="366" t="s">
        <v>254</v>
      </c>
      <c r="G54" s="394" t="s">
        <v>1046</v>
      </c>
      <c r="H54" s="371" t="s">
        <v>1407</v>
      </c>
      <c r="I54" s="366">
        <v>17697</v>
      </c>
      <c r="J54" s="367">
        <v>10.4</v>
      </c>
      <c r="K54" s="367">
        <f t="shared" si="0"/>
        <v>184048.80000000002</v>
      </c>
      <c r="L54" s="366">
        <v>32</v>
      </c>
      <c r="M54" s="366"/>
      <c r="N54" s="366"/>
      <c r="O54" s="366"/>
      <c r="P54" s="366"/>
      <c r="Q54" s="368">
        <f t="shared" si="12"/>
        <v>32</v>
      </c>
      <c r="R54" s="366">
        <v>4</v>
      </c>
      <c r="S54" s="366"/>
      <c r="T54" s="366"/>
      <c r="U54" s="366"/>
      <c r="V54" s="366"/>
      <c r="W54" s="381">
        <f t="shared" si="13"/>
        <v>4</v>
      </c>
      <c r="X54" s="370">
        <f t="shared" si="3"/>
        <v>36</v>
      </c>
      <c r="Y54" s="367">
        <f t="shared" si="4"/>
        <v>414109.80000000005</v>
      </c>
      <c r="Z54" s="367">
        <f t="shared" si="5"/>
        <v>41410.98000000001</v>
      </c>
      <c r="AA54" s="366">
        <v>0</v>
      </c>
      <c r="AB54" s="367">
        <f t="shared" si="6"/>
        <v>0</v>
      </c>
      <c r="AC54" s="366">
        <v>36</v>
      </c>
      <c r="AD54" s="367">
        <f t="shared" si="7"/>
        <v>7963.6500000000005</v>
      </c>
      <c r="AE54" s="366"/>
      <c r="AF54" s="366"/>
      <c r="AG54" s="367"/>
      <c r="AH54" s="366"/>
      <c r="AI54" s="367"/>
      <c r="AJ54" s="366">
        <f t="shared" si="14"/>
        <v>36</v>
      </c>
      <c r="AK54" s="367">
        <f t="shared" si="15"/>
        <v>15927.300000000001</v>
      </c>
      <c r="AL54" s="366">
        <f t="shared" si="16"/>
        <v>36</v>
      </c>
      <c r="AM54" s="367">
        <f t="shared" si="17"/>
        <v>124232.94</v>
      </c>
      <c r="AN54" s="366" t="str">
        <f t="shared" si="18"/>
        <v>Педагог-модератор</v>
      </c>
      <c r="AO54" s="367" t="str">
        <f t="shared" si="19"/>
        <v>0</v>
      </c>
      <c r="AP54" s="367" t="str">
        <f t="shared" si="20"/>
        <v>0</v>
      </c>
      <c r="AQ54" s="367" t="str">
        <f t="shared" si="21"/>
        <v>0</v>
      </c>
      <c r="AR54" s="367">
        <f t="shared" si="22"/>
        <v>124232.94</v>
      </c>
      <c r="AS54" s="366"/>
      <c r="AT54" s="367"/>
      <c r="AU54" s="371"/>
      <c r="AV54" s="367"/>
      <c r="AW54" s="371" t="str">
        <f t="shared" si="23"/>
        <v>Магистр педагогических наук</v>
      </c>
      <c r="AX54" s="372">
        <f>10*4335</f>
        <v>43350</v>
      </c>
      <c r="AY54" s="367"/>
      <c r="AZ54" s="367">
        <f t="shared" si="24"/>
        <v>357117.81000000006</v>
      </c>
      <c r="BA54" s="373">
        <f t="shared" si="25"/>
        <v>771227.6100000001</v>
      </c>
      <c r="BB54" s="374">
        <f t="shared" si="26"/>
        <v>77122.761000000013</v>
      </c>
      <c r="BC54" s="374">
        <f t="shared" si="27"/>
        <v>15424.552200000002</v>
      </c>
      <c r="BD54" s="374">
        <f t="shared" si="28"/>
        <v>61799.029680000007</v>
      </c>
      <c r="BE54" s="374">
        <f t="shared" si="29"/>
        <v>616881.26711999997</v>
      </c>
      <c r="BF54" s="374">
        <f t="shared" si="30"/>
        <v>9254731.3200000003</v>
      </c>
      <c r="BG54" s="374">
        <f t="shared" si="31"/>
        <v>828219.60000000009</v>
      </c>
      <c r="BH54" s="374">
        <f t="shared" si="32"/>
        <v>10082950.92</v>
      </c>
      <c r="BI54" s="374">
        <f t="shared" si="33"/>
        <v>453732.79139999999</v>
      </c>
      <c r="BJ54" s="374">
        <f t="shared" si="34"/>
        <v>277641.93959999998</v>
      </c>
      <c r="BK54" s="374">
        <f t="shared" si="35"/>
        <v>524118.94077600003</v>
      </c>
      <c r="BL54" s="374">
        <f t="shared" si="36"/>
        <v>453732.79139999999</v>
      </c>
      <c r="BM54" s="373">
        <f t="shared" si="37"/>
        <v>11792177.383176001</v>
      </c>
      <c r="BN54" s="375"/>
      <c r="BO54" s="376"/>
      <c r="BP54" s="376"/>
      <c r="BQ54" s="377"/>
      <c r="BR54" s="377"/>
      <c r="BS54" s="377"/>
      <c r="BT54" s="377"/>
      <c r="BU54" s="377"/>
      <c r="BV54" s="377"/>
      <c r="BW54" s="377"/>
      <c r="BX54" s="377"/>
      <c r="BY54" s="377"/>
      <c r="BZ54" s="377"/>
      <c r="CA54" s="377"/>
      <c r="CB54" s="377"/>
      <c r="CC54" s="377"/>
      <c r="CD54" s="377"/>
      <c r="CE54" s="377"/>
      <c r="CF54" s="377"/>
      <c r="CG54" s="377"/>
      <c r="CH54" s="377"/>
      <c r="CI54" s="377"/>
    </row>
    <row r="55" spans="1:87" ht="47.25">
      <c r="A55" s="361">
        <f t="shared" ref="A55:B64" si="42">A54+1</f>
        <v>18</v>
      </c>
      <c r="B55" s="362">
        <f t="shared" si="42"/>
        <v>18</v>
      </c>
      <c r="C55" s="378" t="s">
        <v>1047</v>
      </c>
      <c r="D55" s="379" t="s">
        <v>1048</v>
      </c>
      <c r="E55" s="392" t="s">
        <v>998</v>
      </c>
      <c r="F55" s="394"/>
      <c r="G55" s="394"/>
      <c r="H55" s="395" t="s">
        <v>1403</v>
      </c>
      <c r="I55" s="394">
        <v>17697</v>
      </c>
      <c r="J55" s="367">
        <v>9.5</v>
      </c>
      <c r="K55" s="367">
        <f t="shared" si="0"/>
        <v>168121.5</v>
      </c>
      <c r="L55" s="366">
        <v>16</v>
      </c>
      <c r="M55" s="366"/>
      <c r="N55" s="366">
        <v>8</v>
      </c>
      <c r="O55" s="366"/>
      <c r="P55" s="366"/>
      <c r="Q55" s="368">
        <f t="shared" si="12"/>
        <v>24</v>
      </c>
      <c r="R55" s="366">
        <v>2</v>
      </c>
      <c r="S55" s="366"/>
      <c r="T55" s="366">
        <v>1</v>
      </c>
      <c r="U55" s="366"/>
      <c r="V55" s="366"/>
      <c r="W55" s="381">
        <f t="shared" si="13"/>
        <v>3</v>
      </c>
      <c r="X55" s="370">
        <f t="shared" si="3"/>
        <v>27</v>
      </c>
      <c r="Y55" s="367">
        <f t="shared" si="4"/>
        <v>283705.03125</v>
      </c>
      <c r="Z55" s="367">
        <f t="shared" si="5"/>
        <v>28370.503125000003</v>
      </c>
      <c r="AA55" s="366">
        <v>9</v>
      </c>
      <c r="AB55" s="367">
        <f t="shared" si="6"/>
        <v>3981.8250000000003</v>
      </c>
      <c r="AC55" s="366">
        <v>18</v>
      </c>
      <c r="AD55" s="367">
        <f t="shared" si="7"/>
        <v>3981.8250000000003</v>
      </c>
      <c r="AE55" s="366"/>
      <c r="AF55" s="366"/>
      <c r="AG55" s="367"/>
      <c r="AH55" s="366"/>
      <c r="AI55" s="367"/>
      <c r="AJ55" s="366">
        <f t="shared" si="14"/>
        <v>27</v>
      </c>
      <c r="AK55" s="367">
        <f t="shared" si="15"/>
        <v>11945.475</v>
      </c>
      <c r="AL55" s="366">
        <f t="shared" si="16"/>
        <v>27</v>
      </c>
      <c r="AM55" s="367">
        <f t="shared" si="17"/>
        <v>85111.509374999994</v>
      </c>
      <c r="AN55" s="366">
        <f t="shared" si="18"/>
        <v>0</v>
      </c>
      <c r="AO55" s="367" t="str">
        <f t="shared" si="19"/>
        <v>0</v>
      </c>
      <c r="AP55" s="367" t="str">
        <f t="shared" si="20"/>
        <v>0</v>
      </c>
      <c r="AQ55" s="367" t="str">
        <f t="shared" si="21"/>
        <v>0</v>
      </c>
      <c r="AR55" s="367" t="str">
        <f t="shared" si="22"/>
        <v>0</v>
      </c>
      <c r="AS55" s="366"/>
      <c r="AT55" s="367"/>
      <c r="AU55" s="371"/>
      <c r="AV55" s="367"/>
      <c r="AW55" s="371">
        <f t="shared" si="23"/>
        <v>0</v>
      </c>
      <c r="AX55" s="372"/>
      <c r="AY55" s="367"/>
      <c r="AZ55" s="367">
        <f t="shared" si="24"/>
        <v>133391.13750000001</v>
      </c>
      <c r="BA55" s="373">
        <f t="shared" si="25"/>
        <v>417096.16875000001</v>
      </c>
      <c r="BB55" s="374">
        <f t="shared" si="26"/>
        <v>41709.616875000007</v>
      </c>
      <c r="BC55" s="374">
        <f t="shared" si="27"/>
        <v>8341.9233750000003</v>
      </c>
      <c r="BD55" s="374">
        <f t="shared" si="28"/>
        <v>30635.46285</v>
      </c>
      <c r="BE55" s="374">
        <f t="shared" si="29"/>
        <v>336409.16564999998</v>
      </c>
      <c r="BF55" s="374">
        <f t="shared" si="30"/>
        <v>5005154.0250000004</v>
      </c>
      <c r="BG55" s="374">
        <f t="shared" si="31"/>
        <v>567410.0625</v>
      </c>
      <c r="BH55" s="374">
        <f t="shared" si="32"/>
        <v>5572564.0875000004</v>
      </c>
      <c r="BI55" s="374">
        <f t="shared" si="33"/>
        <v>250765.38393750007</v>
      </c>
      <c r="BJ55" s="374">
        <f t="shared" si="34"/>
        <v>150154.62075</v>
      </c>
      <c r="BK55" s="374">
        <f t="shared" si="35"/>
        <v>289907.12187000003</v>
      </c>
      <c r="BL55" s="374">
        <f t="shared" si="36"/>
        <v>250765.38393750001</v>
      </c>
      <c r="BM55" s="373">
        <f t="shared" si="37"/>
        <v>6514156.5979950009</v>
      </c>
      <c r="BN55" s="375"/>
      <c r="BO55" s="376"/>
      <c r="BP55" s="376"/>
      <c r="BQ55" s="377"/>
      <c r="BR55" s="377"/>
      <c r="BS55" s="377"/>
      <c r="BT55" s="377"/>
      <c r="BU55" s="377"/>
      <c r="BV55" s="377"/>
      <c r="BW55" s="377"/>
      <c r="BX55" s="377"/>
      <c r="BY55" s="377"/>
      <c r="BZ55" s="377"/>
      <c r="CA55" s="377"/>
      <c r="CB55" s="377"/>
      <c r="CC55" s="377"/>
      <c r="CD55" s="377"/>
      <c r="CE55" s="377"/>
      <c r="CF55" s="377"/>
      <c r="CG55" s="377"/>
      <c r="CH55" s="377"/>
      <c r="CI55" s="377"/>
    </row>
    <row r="56" spans="1:87" ht="47.25">
      <c r="A56" s="361">
        <f t="shared" si="42"/>
        <v>19</v>
      </c>
      <c r="B56" s="362">
        <f t="shared" si="42"/>
        <v>19</v>
      </c>
      <c r="C56" s="378" t="s">
        <v>201</v>
      </c>
      <c r="D56" s="379" t="s">
        <v>1039</v>
      </c>
      <c r="E56" s="396" t="s">
        <v>998</v>
      </c>
      <c r="F56" s="362" t="s">
        <v>1005</v>
      </c>
      <c r="G56" s="362"/>
      <c r="H56" s="397" t="s">
        <v>1049</v>
      </c>
      <c r="I56" s="362">
        <v>17697</v>
      </c>
      <c r="J56" s="398">
        <v>11.4</v>
      </c>
      <c r="K56" s="367">
        <f>I56*J56</f>
        <v>201745.80000000002</v>
      </c>
      <c r="L56" s="366"/>
      <c r="M56" s="366"/>
      <c r="N56" s="366">
        <v>32</v>
      </c>
      <c r="O56" s="366"/>
      <c r="P56" s="366"/>
      <c r="Q56" s="368">
        <f t="shared" si="12"/>
        <v>32</v>
      </c>
      <c r="R56" s="366"/>
      <c r="S56" s="366"/>
      <c r="T56" s="366">
        <v>4</v>
      </c>
      <c r="U56" s="366"/>
      <c r="V56" s="366"/>
      <c r="W56" s="381">
        <f t="shared" si="13"/>
        <v>4</v>
      </c>
      <c r="X56" s="370">
        <f t="shared" si="3"/>
        <v>36</v>
      </c>
      <c r="Y56" s="367">
        <f t="shared" si="4"/>
        <v>453928.05000000005</v>
      </c>
      <c r="Z56" s="367">
        <f t="shared" si="5"/>
        <v>45392.805000000008</v>
      </c>
      <c r="AA56" s="366">
        <v>36</v>
      </c>
      <c r="AB56" s="367">
        <f>I56/16*AA56*40%</f>
        <v>15927.300000000001</v>
      </c>
      <c r="AC56" s="366"/>
      <c r="AD56" s="367">
        <f>I56/16*AC56*40%*50%</f>
        <v>0</v>
      </c>
      <c r="AE56" s="366"/>
      <c r="AF56" s="366"/>
      <c r="AG56" s="367"/>
      <c r="AH56" s="366" t="s">
        <v>1050</v>
      </c>
      <c r="AI56" s="367">
        <f>I56*200%</f>
        <v>35394</v>
      </c>
      <c r="AJ56" s="366">
        <f t="shared" si="14"/>
        <v>36</v>
      </c>
      <c r="AK56" s="367">
        <f>I56/16*AJ56*40%</f>
        <v>15927.300000000001</v>
      </c>
      <c r="AL56" s="366">
        <f t="shared" si="16"/>
        <v>36</v>
      </c>
      <c r="AM56" s="367">
        <f t="shared" si="17"/>
        <v>136178.41500000001</v>
      </c>
      <c r="AN56" s="366" t="str">
        <f t="shared" si="18"/>
        <v>Педагог-зерттеуші</v>
      </c>
      <c r="AO56" s="367" t="str">
        <f t="shared" si="19"/>
        <v>0</v>
      </c>
      <c r="AP56" s="367">
        <f t="shared" si="20"/>
        <v>181571.22000000003</v>
      </c>
      <c r="AQ56" s="367" t="str">
        <f t="shared" si="21"/>
        <v>0</v>
      </c>
      <c r="AR56" s="367" t="str">
        <f t="shared" si="22"/>
        <v>0</v>
      </c>
      <c r="AS56" s="366"/>
      <c r="AT56" s="367"/>
      <c r="AU56" s="371"/>
      <c r="AV56" s="367"/>
      <c r="AW56" s="371">
        <f t="shared" si="23"/>
        <v>0</v>
      </c>
      <c r="AX56" s="372"/>
      <c r="AY56" s="367">
        <v>17697</v>
      </c>
      <c r="AZ56" s="367">
        <f t="shared" si="24"/>
        <v>448088.04000000004</v>
      </c>
      <c r="BA56" s="373">
        <f t="shared" si="25"/>
        <v>902016.09000000008</v>
      </c>
      <c r="BB56" s="374">
        <f t="shared" si="26"/>
        <v>90201.609000000011</v>
      </c>
      <c r="BC56" s="374">
        <f t="shared" si="27"/>
        <v>18040.321800000002</v>
      </c>
      <c r="BD56" s="374">
        <f t="shared" si="28"/>
        <v>73308.415919999999</v>
      </c>
      <c r="BE56" s="374">
        <f t="shared" si="29"/>
        <v>720465.74328000005</v>
      </c>
      <c r="BF56" s="374">
        <f t="shared" si="30"/>
        <v>10824193.080000002</v>
      </c>
      <c r="BG56" s="374">
        <f t="shared" si="31"/>
        <v>907856.10000000009</v>
      </c>
      <c r="BH56" s="374">
        <f t="shared" si="32"/>
        <v>11732049.180000002</v>
      </c>
      <c r="BI56" s="374">
        <f t="shared" si="33"/>
        <v>527942.21310000017</v>
      </c>
      <c r="BJ56" s="374">
        <f t="shared" si="34"/>
        <v>324725.79240000003</v>
      </c>
      <c r="BK56" s="374">
        <f t="shared" si="35"/>
        <v>609717.43094400002</v>
      </c>
      <c r="BL56" s="374">
        <f t="shared" si="36"/>
        <v>527942.21310000005</v>
      </c>
      <c r="BM56" s="373">
        <f t="shared" si="37"/>
        <v>13722376.829544</v>
      </c>
      <c r="BN56" s="375"/>
      <c r="BO56" s="376"/>
      <c r="BP56" s="376"/>
      <c r="BQ56" s="377"/>
      <c r="BR56" s="377"/>
      <c r="BS56" s="377"/>
      <c r="BT56" s="377"/>
      <c r="BU56" s="377"/>
      <c r="BV56" s="377"/>
      <c r="BW56" s="377"/>
      <c r="BX56" s="377"/>
      <c r="BY56" s="377"/>
      <c r="BZ56" s="377"/>
      <c r="CA56" s="377"/>
      <c r="CB56" s="377"/>
      <c r="CC56" s="377"/>
      <c r="CD56" s="377"/>
      <c r="CE56" s="377"/>
      <c r="CF56" s="377"/>
      <c r="CG56" s="377"/>
      <c r="CH56" s="377"/>
      <c r="CI56" s="377"/>
    </row>
    <row r="57" spans="1:87" ht="47.25">
      <c r="A57" s="361">
        <f t="shared" si="42"/>
        <v>20</v>
      </c>
      <c r="B57" s="362">
        <f t="shared" si="42"/>
        <v>20</v>
      </c>
      <c r="C57" s="378" t="s">
        <v>916</v>
      </c>
      <c r="D57" s="379" t="s">
        <v>1051</v>
      </c>
      <c r="E57" s="396" t="s">
        <v>998</v>
      </c>
      <c r="F57" s="366" t="s">
        <v>254</v>
      </c>
      <c r="G57" s="362"/>
      <c r="H57" s="397" t="s">
        <v>1408</v>
      </c>
      <c r="I57" s="362">
        <v>17697</v>
      </c>
      <c r="J57" s="399">
        <v>9.84</v>
      </c>
      <c r="K57" s="367">
        <f>I57*J57</f>
        <v>174138.48</v>
      </c>
      <c r="L57" s="366"/>
      <c r="M57" s="366"/>
      <c r="N57" s="366"/>
      <c r="O57" s="366">
        <v>9</v>
      </c>
      <c r="P57" s="366">
        <v>18</v>
      </c>
      <c r="Q57" s="368">
        <f t="shared" si="12"/>
        <v>27</v>
      </c>
      <c r="R57" s="366"/>
      <c r="S57" s="366"/>
      <c r="T57" s="366"/>
      <c r="U57" s="366"/>
      <c r="V57" s="366"/>
      <c r="W57" s="381">
        <f t="shared" si="13"/>
        <v>0</v>
      </c>
      <c r="X57" s="370">
        <f t="shared" si="3"/>
        <v>27</v>
      </c>
      <c r="Y57" s="367">
        <f t="shared" si="4"/>
        <v>293858.685</v>
      </c>
      <c r="Z57" s="367">
        <f t="shared" si="5"/>
        <v>29385.8685</v>
      </c>
      <c r="AA57" s="366">
        <v>18</v>
      </c>
      <c r="AB57" s="367">
        <f>I57/16*AA57*40%</f>
        <v>7963.6500000000005</v>
      </c>
      <c r="AC57" s="366">
        <v>9</v>
      </c>
      <c r="AD57" s="367">
        <f>I57/16*AC57*40%*50%</f>
        <v>1990.9125000000001</v>
      </c>
      <c r="AE57" s="366"/>
      <c r="AF57" s="366"/>
      <c r="AG57" s="367"/>
      <c r="AH57" s="366"/>
      <c r="AI57" s="367"/>
      <c r="AJ57" s="366">
        <f t="shared" si="14"/>
        <v>27</v>
      </c>
      <c r="AK57" s="367">
        <f>I57/16*AJ57*40%</f>
        <v>11945.475</v>
      </c>
      <c r="AL57" s="366">
        <f t="shared" si="16"/>
        <v>27</v>
      </c>
      <c r="AM57" s="367">
        <f t="shared" si="17"/>
        <v>88157.605499999991</v>
      </c>
      <c r="AN57" s="366" t="str">
        <f t="shared" si="18"/>
        <v>Педагог-модератор</v>
      </c>
      <c r="AO57" s="367" t="str">
        <f t="shared" si="19"/>
        <v>0</v>
      </c>
      <c r="AP57" s="367" t="str">
        <f t="shared" si="20"/>
        <v>0</v>
      </c>
      <c r="AQ57" s="367" t="str">
        <f t="shared" si="21"/>
        <v>0</v>
      </c>
      <c r="AR57" s="367">
        <f t="shared" si="22"/>
        <v>88157.605499999991</v>
      </c>
      <c r="AS57" s="366"/>
      <c r="AT57" s="367"/>
      <c r="AU57" s="371"/>
      <c r="AV57" s="367"/>
      <c r="AW57" s="371">
        <f t="shared" si="23"/>
        <v>0</v>
      </c>
      <c r="AX57" s="372"/>
      <c r="AY57" s="367"/>
      <c r="AZ57" s="367">
        <f t="shared" si="24"/>
        <v>227601.11699999997</v>
      </c>
      <c r="BA57" s="373">
        <f t="shared" si="25"/>
        <v>521459.80199999997</v>
      </c>
      <c r="BB57" s="374">
        <f t="shared" si="26"/>
        <v>52145.980199999998</v>
      </c>
      <c r="BC57" s="374">
        <f t="shared" si="27"/>
        <v>10429.196039999999</v>
      </c>
      <c r="BD57" s="374">
        <f t="shared" si="28"/>
        <v>39819.462575999998</v>
      </c>
      <c r="BE57" s="374">
        <f t="shared" si="29"/>
        <v>419065.16318399995</v>
      </c>
      <c r="BF57" s="374">
        <f t="shared" si="30"/>
        <v>6257517.6239999998</v>
      </c>
      <c r="BG57" s="374">
        <f t="shared" si="31"/>
        <v>587717.37</v>
      </c>
      <c r="BH57" s="374">
        <f t="shared" si="32"/>
        <v>6845234.9939999999</v>
      </c>
      <c r="BI57" s="374">
        <f t="shared" si="33"/>
        <v>308035.57472999999</v>
      </c>
      <c r="BJ57" s="374">
        <f t="shared" si="34"/>
        <v>187725.52872</v>
      </c>
      <c r="BK57" s="374">
        <f t="shared" si="35"/>
        <v>355876.15090320003</v>
      </c>
      <c r="BL57" s="374">
        <f t="shared" si="36"/>
        <v>308035.57472999999</v>
      </c>
      <c r="BM57" s="373">
        <f t="shared" si="37"/>
        <v>8004907.8230831996</v>
      </c>
      <c r="BN57" s="385">
        <v>0.25</v>
      </c>
      <c r="BO57" s="376"/>
      <c r="BP57" s="376"/>
      <c r="BQ57" s="377"/>
      <c r="BR57" s="377"/>
      <c r="BS57" s="377"/>
      <c r="BT57" s="377"/>
      <c r="BU57" s="377"/>
      <c r="BV57" s="377"/>
      <c r="BW57" s="377"/>
      <c r="BX57" s="377"/>
      <c r="BY57" s="377"/>
      <c r="BZ57" s="377"/>
      <c r="CA57" s="377"/>
      <c r="CB57" s="377"/>
      <c r="CC57" s="377"/>
      <c r="CD57" s="377"/>
      <c r="CE57" s="377"/>
      <c r="CF57" s="377"/>
      <c r="CG57" s="377"/>
      <c r="CH57" s="377"/>
      <c r="CI57" s="377"/>
    </row>
    <row r="58" spans="1:87" ht="78.75">
      <c r="A58" s="361">
        <f t="shared" si="42"/>
        <v>21</v>
      </c>
      <c r="B58" s="362">
        <f t="shared" si="42"/>
        <v>21</v>
      </c>
      <c r="C58" s="378" t="s">
        <v>112</v>
      </c>
      <c r="D58" s="379" t="s">
        <v>1052</v>
      </c>
      <c r="E58" s="396" t="s">
        <v>998</v>
      </c>
      <c r="F58" s="362" t="s">
        <v>1005</v>
      </c>
      <c r="G58" s="362"/>
      <c r="H58" s="397" t="s">
        <v>1053</v>
      </c>
      <c r="I58" s="362">
        <v>17697</v>
      </c>
      <c r="J58" s="399">
        <v>11.4</v>
      </c>
      <c r="K58" s="367">
        <f t="shared" si="0"/>
        <v>201745.80000000002</v>
      </c>
      <c r="L58" s="366">
        <v>24</v>
      </c>
      <c r="M58" s="366"/>
      <c r="N58" s="366"/>
      <c r="O58" s="366">
        <v>9</v>
      </c>
      <c r="P58" s="366"/>
      <c r="Q58" s="368">
        <f t="shared" si="12"/>
        <v>33</v>
      </c>
      <c r="R58" s="366">
        <v>3</v>
      </c>
      <c r="S58" s="366"/>
      <c r="T58" s="366"/>
      <c r="U58" s="366"/>
      <c r="V58" s="366"/>
      <c r="W58" s="381">
        <f t="shared" si="13"/>
        <v>3</v>
      </c>
      <c r="X58" s="370">
        <f t="shared" si="3"/>
        <v>36</v>
      </c>
      <c r="Y58" s="367">
        <f t="shared" si="4"/>
        <v>453928.05000000005</v>
      </c>
      <c r="Z58" s="367">
        <f t="shared" si="5"/>
        <v>45392.805000000008</v>
      </c>
      <c r="AA58" s="366">
        <v>0</v>
      </c>
      <c r="AB58" s="367">
        <f t="shared" si="6"/>
        <v>0</v>
      </c>
      <c r="AC58" s="366">
        <v>36</v>
      </c>
      <c r="AD58" s="367">
        <f t="shared" si="7"/>
        <v>7963.6500000000005</v>
      </c>
      <c r="AE58" s="366"/>
      <c r="AF58" s="366"/>
      <c r="AG58" s="367"/>
      <c r="AH58" s="366" t="s">
        <v>1055</v>
      </c>
      <c r="AI58" s="367">
        <f>I58*200%</f>
        <v>35394</v>
      </c>
      <c r="AJ58" s="366">
        <f t="shared" si="14"/>
        <v>36</v>
      </c>
      <c r="AK58" s="367">
        <f t="shared" si="15"/>
        <v>15927.300000000001</v>
      </c>
      <c r="AL58" s="366">
        <f t="shared" si="16"/>
        <v>36</v>
      </c>
      <c r="AM58" s="367">
        <f t="shared" si="17"/>
        <v>136178.41500000001</v>
      </c>
      <c r="AN58" s="366" t="str">
        <f t="shared" si="18"/>
        <v>Педагог-зерттеуші</v>
      </c>
      <c r="AO58" s="367" t="str">
        <f t="shared" si="19"/>
        <v>0</v>
      </c>
      <c r="AP58" s="367">
        <f t="shared" si="20"/>
        <v>181571.22000000003</v>
      </c>
      <c r="AQ58" s="367" t="str">
        <f t="shared" si="21"/>
        <v>0</v>
      </c>
      <c r="AR58" s="367" t="str">
        <f t="shared" si="22"/>
        <v>0</v>
      </c>
      <c r="AS58" s="366"/>
      <c r="AT58" s="367"/>
      <c r="AU58" s="371"/>
      <c r="AV58" s="367"/>
      <c r="AW58" s="371">
        <f t="shared" si="23"/>
        <v>0</v>
      </c>
      <c r="AX58" s="372"/>
      <c r="AY58" s="367">
        <v>17697</v>
      </c>
      <c r="AZ58" s="367">
        <f t="shared" si="24"/>
        <v>440124.39000000007</v>
      </c>
      <c r="BA58" s="373">
        <f t="shared" si="25"/>
        <v>894052.44000000018</v>
      </c>
      <c r="BB58" s="374">
        <f t="shared" si="26"/>
        <v>89405.244000000021</v>
      </c>
      <c r="BC58" s="374">
        <f t="shared" si="27"/>
        <v>17881.048800000004</v>
      </c>
      <c r="BD58" s="374">
        <f t="shared" si="28"/>
        <v>72607.614720000012</v>
      </c>
      <c r="BE58" s="374">
        <f t="shared" si="29"/>
        <v>714158.53248000005</v>
      </c>
      <c r="BF58" s="374">
        <f t="shared" si="30"/>
        <v>10728629.280000001</v>
      </c>
      <c r="BG58" s="374">
        <f t="shared" si="31"/>
        <v>907856.10000000009</v>
      </c>
      <c r="BH58" s="374">
        <f t="shared" si="32"/>
        <v>11636485.380000001</v>
      </c>
      <c r="BI58" s="374">
        <f t="shared" si="33"/>
        <v>523641.84210000001</v>
      </c>
      <c r="BJ58" s="374">
        <f t="shared" si="34"/>
        <v>321858.87840000005</v>
      </c>
      <c r="BK58" s="374">
        <f t="shared" si="35"/>
        <v>604767.22610400012</v>
      </c>
      <c r="BL58" s="374">
        <f t="shared" si="36"/>
        <v>523641.84210000001</v>
      </c>
      <c r="BM58" s="373">
        <f t="shared" si="37"/>
        <v>13610395.168704001</v>
      </c>
      <c r="BN58" s="375"/>
      <c r="BO58" s="376"/>
      <c r="BP58" s="376"/>
      <c r="BQ58" s="377"/>
      <c r="BR58" s="377"/>
      <c r="BS58" s="377"/>
      <c r="BT58" s="377"/>
      <c r="BU58" s="377"/>
      <c r="BV58" s="377"/>
      <c r="BW58" s="377"/>
      <c r="BX58" s="377"/>
      <c r="BY58" s="377"/>
      <c r="BZ58" s="377"/>
      <c r="CA58" s="377"/>
      <c r="CB58" s="377"/>
      <c r="CC58" s="377"/>
      <c r="CD58" s="377"/>
      <c r="CE58" s="377"/>
      <c r="CF58" s="377"/>
      <c r="CG58" s="377"/>
      <c r="CH58" s="377"/>
      <c r="CI58" s="377"/>
    </row>
    <row r="59" spans="1:87" ht="94.5" customHeight="1">
      <c r="A59" s="361">
        <f t="shared" si="42"/>
        <v>22</v>
      </c>
      <c r="B59" s="362">
        <f t="shared" si="42"/>
        <v>22</v>
      </c>
      <c r="C59" s="378" t="s">
        <v>1056</v>
      </c>
      <c r="D59" s="379" t="s">
        <v>1057</v>
      </c>
      <c r="E59" s="396" t="s">
        <v>998</v>
      </c>
      <c r="F59" s="362" t="s">
        <v>1005</v>
      </c>
      <c r="G59" s="362"/>
      <c r="H59" s="689" t="s">
        <v>1409</v>
      </c>
      <c r="I59" s="362">
        <v>17697</v>
      </c>
      <c r="J59" s="400">
        <v>10.6</v>
      </c>
      <c r="K59" s="398">
        <f t="shared" si="0"/>
        <v>187588.19999999998</v>
      </c>
      <c r="L59" s="366">
        <v>8</v>
      </c>
      <c r="M59" s="366">
        <v>16</v>
      </c>
      <c r="N59" s="366"/>
      <c r="O59" s="366">
        <v>9</v>
      </c>
      <c r="P59" s="366"/>
      <c r="Q59" s="368">
        <f t="shared" si="12"/>
        <v>33</v>
      </c>
      <c r="R59" s="366">
        <v>1</v>
      </c>
      <c r="S59" s="366">
        <v>2</v>
      </c>
      <c r="T59" s="366"/>
      <c r="U59" s="366"/>
      <c r="V59" s="366"/>
      <c r="W59" s="381">
        <f t="shared" ref="W59:W61" si="43">SUM(R59:V59)</f>
        <v>3</v>
      </c>
      <c r="X59" s="370">
        <f t="shared" si="3"/>
        <v>36</v>
      </c>
      <c r="Y59" s="367">
        <f t="shared" si="4"/>
        <v>422073.44999999995</v>
      </c>
      <c r="Z59" s="367">
        <f t="shared" si="5"/>
        <v>42207.345000000001</v>
      </c>
      <c r="AA59" s="366">
        <v>9</v>
      </c>
      <c r="AB59" s="367">
        <f t="shared" si="6"/>
        <v>3981.8250000000003</v>
      </c>
      <c r="AC59" s="366">
        <v>27</v>
      </c>
      <c r="AD59" s="367">
        <f t="shared" si="7"/>
        <v>5972.7375000000002</v>
      </c>
      <c r="AE59" s="366"/>
      <c r="AF59" s="366"/>
      <c r="AG59" s="367"/>
      <c r="AH59" s="366"/>
      <c r="AI59" s="367"/>
      <c r="AJ59" s="366">
        <f t="shared" si="14"/>
        <v>36</v>
      </c>
      <c r="AK59" s="367">
        <f t="shared" si="15"/>
        <v>15927.300000000001</v>
      </c>
      <c r="AL59" s="366">
        <f t="shared" si="16"/>
        <v>36</v>
      </c>
      <c r="AM59" s="367">
        <f t="shared" si="17"/>
        <v>126622.03499999997</v>
      </c>
      <c r="AN59" s="366" t="str">
        <f t="shared" si="18"/>
        <v>Педагог-зерттеуші</v>
      </c>
      <c r="AO59" s="367" t="str">
        <f t="shared" si="19"/>
        <v>0</v>
      </c>
      <c r="AP59" s="367">
        <f t="shared" si="20"/>
        <v>168829.38</v>
      </c>
      <c r="AQ59" s="367" t="str">
        <f t="shared" si="21"/>
        <v>0</v>
      </c>
      <c r="AR59" s="367" t="str">
        <f t="shared" si="22"/>
        <v>0</v>
      </c>
      <c r="AS59" s="366"/>
      <c r="AT59" s="367"/>
      <c r="AU59" s="371"/>
      <c r="AV59" s="367"/>
      <c r="AW59" s="371">
        <f t="shared" si="23"/>
        <v>0</v>
      </c>
      <c r="AX59" s="372"/>
      <c r="AY59" s="367"/>
      <c r="AZ59" s="367">
        <f t="shared" si="24"/>
        <v>363540.6225</v>
      </c>
      <c r="BA59" s="373">
        <f t="shared" si="25"/>
        <v>785614.07250000001</v>
      </c>
      <c r="BB59" s="374">
        <f t="shared" si="26"/>
        <v>78561.407250000004</v>
      </c>
      <c r="BC59" s="374">
        <f t="shared" si="27"/>
        <v>15712.28145</v>
      </c>
      <c r="BD59" s="374">
        <f t="shared" si="28"/>
        <v>63065.038379999998</v>
      </c>
      <c r="BE59" s="374">
        <f t="shared" si="29"/>
        <v>628275.34541999991</v>
      </c>
      <c r="BF59" s="374">
        <f t="shared" si="30"/>
        <v>9427368.870000001</v>
      </c>
      <c r="BG59" s="374">
        <f t="shared" si="31"/>
        <v>844146.89999999991</v>
      </c>
      <c r="BH59" s="374">
        <f t="shared" si="32"/>
        <v>10271515.770000001</v>
      </c>
      <c r="BI59" s="374">
        <f t="shared" si="33"/>
        <v>462218.20965000009</v>
      </c>
      <c r="BJ59" s="374">
        <f t="shared" si="34"/>
        <v>282821.0661</v>
      </c>
      <c r="BK59" s="374">
        <f t="shared" si="35"/>
        <v>533921.64006600017</v>
      </c>
      <c r="BL59" s="374">
        <f t="shared" si="36"/>
        <v>462218.20965000003</v>
      </c>
      <c r="BM59" s="373">
        <f t="shared" si="37"/>
        <v>12012694.895466002</v>
      </c>
      <c r="BN59" s="375"/>
      <c r="BO59" s="376"/>
      <c r="BP59" s="376"/>
      <c r="BQ59" s="377"/>
      <c r="BR59" s="377"/>
      <c r="BS59" s="377"/>
      <c r="BT59" s="377"/>
      <c r="BU59" s="377"/>
      <c r="BV59" s="377"/>
      <c r="BW59" s="377"/>
      <c r="BX59" s="377"/>
      <c r="BY59" s="377"/>
      <c r="BZ59" s="377"/>
      <c r="CA59" s="377"/>
      <c r="CB59" s="377"/>
      <c r="CC59" s="377"/>
      <c r="CD59" s="377"/>
      <c r="CE59" s="377"/>
      <c r="CF59" s="377"/>
      <c r="CG59" s="377"/>
      <c r="CH59" s="377"/>
      <c r="CI59" s="377"/>
    </row>
    <row r="60" spans="1:87" ht="57.75" customHeight="1">
      <c r="A60" s="361">
        <f t="shared" si="42"/>
        <v>23</v>
      </c>
      <c r="B60" s="362">
        <f t="shared" si="42"/>
        <v>23</v>
      </c>
      <c r="C60" s="378" t="s">
        <v>1058</v>
      </c>
      <c r="D60" s="379" t="s">
        <v>1059</v>
      </c>
      <c r="E60" s="396" t="s">
        <v>998</v>
      </c>
      <c r="F60" s="690"/>
      <c r="G60" s="691"/>
      <c r="H60" s="692" t="s">
        <v>1410</v>
      </c>
      <c r="I60" s="691">
        <v>17697</v>
      </c>
      <c r="J60" s="693">
        <v>10</v>
      </c>
      <c r="K60" s="399">
        <f t="shared" si="0"/>
        <v>176970</v>
      </c>
      <c r="L60" s="366">
        <v>8</v>
      </c>
      <c r="M60" s="366">
        <v>16</v>
      </c>
      <c r="N60" s="366"/>
      <c r="O60" s="366"/>
      <c r="P60" s="366"/>
      <c r="Q60" s="368">
        <f t="shared" si="12"/>
        <v>24</v>
      </c>
      <c r="R60" s="366">
        <v>1</v>
      </c>
      <c r="S60" s="366">
        <v>2</v>
      </c>
      <c r="T60" s="366"/>
      <c r="U60" s="366"/>
      <c r="V60" s="366"/>
      <c r="W60" s="381">
        <f t="shared" si="43"/>
        <v>3</v>
      </c>
      <c r="X60" s="370">
        <f t="shared" si="3"/>
        <v>27</v>
      </c>
      <c r="Y60" s="367">
        <f t="shared" si="4"/>
        <v>298636.875</v>
      </c>
      <c r="Z60" s="367">
        <f t="shared" si="5"/>
        <v>29863.6875</v>
      </c>
      <c r="AA60" s="366">
        <v>9</v>
      </c>
      <c r="AB60" s="367">
        <f t="shared" si="6"/>
        <v>3981.8250000000003</v>
      </c>
      <c r="AC60" s="366">
        <v>18</v>
      </c>
      <c r="AD60" s="367">
        <f t="shared" si="7"/>
        <v>3981.8250000000003</v>
      </c>
      <c r="AE60" s="366"/>
      <c r="AF60" s="366"/>
      <c r="AG60" s="367"/>
      <c r="AH60" s="366"/>
      <c r="AI60" s="367"/>
      <c r="AJ60" s="366">
        <f t="shared" si="14"/>
        <v>27</v>
      </c>
      <c r="AK60" s="367">
        <f t="shared" si="15"/>
        <v>11945.475</v>
      </c>
      <c r="AL60" s="366">
        <f t="shared" si="16"/>
        <v>27</v>
      </c>
      <c r="AM60" s="367">
        <f t="shared" si="17"/>
        <v>89591.0625</v>
      </c>
      <c r="AN60" s="366">
        <f t="shared" si="18"/>
        <v>0</v>
      </c>
      <c r="AO60" s="367" t="str">
        <f t="shared" si="19"/>
        <v>0</v>
      </c>
      <c r="AP60" s="367" t="str">
        <f t="shared" si="20"/>
        <v>0</v>
      </c>
      <c r="AQ60" s="367" t="str">
        <f t="shared" si="21"/>
        <v>0</v>
      </c>
      <c r="AR60" s="367" t="str">
        <f t="shared" si="22"/>
        <v>0</v>
      </c>
      <c r="AS60" s="366"/>
      <c r="AT60" s="367"/>
      <c r="AU60" s="371"/>
      <c r="AV60" s="367"/>
      <c r="AW60" s="371">
        <f t="shared" si="23"/>
        <v>0</v>
      </c>
      <c r="AX60" s="372"/>
      <c r="AY60" s="367"/>
      <c r="AZ60" s="367">
        <f t="shared" si="24"/>
        <v>139363.875</v>
      </c>
      <c r="BA60" s="373">
        <f t="shared" si="25"/>
        <v>438000.75</v>
      </c>
      <c r="BB60" s="374">
        <f t="shared" si="26"/>
        <v>43800.075000000004</v>
      </c>
      <c r="BC60" s="374">
        <f t="shared" si="27"/>
        <v>8760.0149999999994</v>
      </c>
      <c r="BD60" s="374">
        <f t="shared" si="28"/>
        <v>32475.065999999999</v>
      </c>
      <c r="BE60" s="374">
        <f t="shared" si="29"/>
        <v>352965.59399999998</v>
      </c>
      <c r="BF60" s="374">
        <f t="shared" si="30"/>
        <v>5256009</v>
      </c>
      <c r="BG60" s="374">
        <f t="shared" si="31"/>
        <v>597273.75</v>
      </c>
      <c r="BH60" s="374">
        <f t="shared" si="32"/>
        <v>5853282.75</v>
      </c>
      <c r="BI60" s="374">
        <f t="shared" si="33"/>
        <v>263397.72375000006</v>
      </c>
      <c r="BJ60" s="374">
        <f t="shared" si="34"/>
        <v>157680.26999999999</v>
      </c>
      <c r="BK60" s="374">
        <f t="shared" si="35"/>
        <v>304514.04869999998</v>
      </c>
      <c r="BL60" s="374">
        <f t="shared" si="36"/>
        <v>263397.72375</v>
      </c>
      <c r="BM60" s="373">
        <f t="shared" si="37"/>
        <v>6842272.5161999995</v>
      </c>
      <c r="BN60" s="375"/>
      <c r="BO60" s="376"/>
      <c r="BP60" s="376"/>
      <c r="BQ60" s="377"/>
      <c r="BR60" s="377"/>
      <c r="BS60" s="377"/>
      <c r="BT60" s="377"/>
      <c r="BU60" s="377"/>
      <c r="BV60" s="377"/>
      <c r="BW60" s="377"/>
      <c r="BX60" s="377"/>
      <c r="BY60" s="377"/>
      <c r="BZ60" s="377"/>
      <c r="CA60" s="377"/>
      <c r="CB60" s="377"/>
      <c r="CC60" s="377"/>
      <c r="CD60" s="377"/>
      <c r="CE60" s="377"/>
      <c r="CF60" s="377"/>
      <c r="CG60" s="377"/>
      <c r="CH60" s="377"/>
      <c r="CI60" s="377"/>
    </row>
    <row r="61" spans="1:87" ht="78.75">
      <c r="A61" s="361">
        <f t="shared" si="42"/>
        <v>24</v>
      </c>
      <c r="B61" s="362">
        <f t="shared" si="42"/>
        <v>24</v>
      </c>
      <c r="C61" s="384" t="s">
        <v>189</v>
      </c>
      <c r="D61" s="379" t="s">
        <v>1061</v>
      </c>
      <c r="E61" s="396" t="s">
        <v>998</v>
      </c>
      <c r="F61" s="390" t="s">
        <v>999</v>
      </c>
      <c r="G61" s="362"/>
      <c r="H61" s="397" t="s">
        <v>1411</v>
      </c>
      <c r="I61" s="362">
        <v>17697</v>
      </c>
      <c r="J61" s="400">
        <v>11.02</v>
      </c>
      <c r="K61" s="400">
        <f t="shared" si="0"/>
        <v>195020.94</v>
      </c>
      <c r="L61" s="401"/>
      <c r="M61" s="380">
        <v>24</v>
      </c>
      <c r="N61" s="380"/>
      <c r="O61" s="380"/>
      <c r="P61" s="380">
        <v>9</v>
      </c>
      <c r="Q61" s="368">
        <f t="shared" si="12"/>
        <v>33</v>
      </c>
      <c r="R61" s="380"/>
      <c r="S61" s="380">
        <v>3</v>
      </c>
      <c r="T61" s="380"/>
      <c r="U61" s="380"/>
      <c r="V61" s="380"/>
      <c r="W61" s="381">
        <f t="shared" si="43"/>
        <v>3</v>
      </c>
      <c r="X61" s="370">
        <f t="shared" si="3"/>
        <v>36</v>
      </c>
      <c r="Y61" s="367">
        <f t="shared" si="4"/>
        <v>438797.11499999999</v>
      </c>
      <c r="Z61" s="367">
        <f t="shared" si="5"/>
        <v>43879.711500000005</v>
      </c>
      <c r="AA61" s="366">
        <v>36</v>
      </c>
      <c r="AB61" s="367">
        <f t="shared" si="6"/>
        <v>15927.300000000001</v>
      </c>
      <c r="AC61" s="366">
        <v>0</v>
      </c>
      <c r="AD61" s="367">
        <f t="shared" si="7"/>
        <v>0</v>
      </c>
      <c r="AE61" s="366"/>
      <c r="AF61" s="366"/>
      <c r="AG61" s="367"/>
      <c r="AH61" s="366"/>
      <c r="AI61" s="367"/>
      <c r="AJ61" s="366">
        <f t="shared" si="14"/>
        <v>36</v>
      </c>
      <c r="AK61" s="367">
        <f t="shared" si="15"/>
        <v>15927.300000000001</v>
      </c>
      <c r="AL61" s="366">
        <f t="shared" si="16"/>
        <v>36</v>
      </c>
      <c r="AM61" s="367">
        <f t="shared" si="17"/>
        <v>131639.13449999999</v>
      </c>
      <c r="AN61" s="366" t="str">
        <f t="shared" si="18"/>
        <v>Педагог-шебер</v>
      </c>
      <c r="AO61" s="367">
        <f t="shared" si="19"/>
        <v>219398.5575</v>
      </c>
      <c r="AP61" s="367" t="str">
        <f t="shared" si="20"/>
        <v>0</v>
      </c>
      <c r="AQ61" s="367" t="str">
        <f t="shared" si="21"/>
        <v>0</v>
      </c>
      <c r="AR61" s="367" t="str">
        <f t="shared" si="22"/>
        <v>0</v>
      </c>
      <c r="AS61" s="366"/>
      <c r="AT61" s="367"/>
      <c r="AU61" s="371"/>
      <c r="AV61" s="367"/>
      <c r="AW61" s="371">
        <f t="shared" si="23"/>
        <v>0</v>
      </c>
      <c r="AX61" s="372"/>
      <c r="AY61" s="367"/>
      <c r="AZ61" s="367">
        <f t="shared" si="24"/>
        <v>426772.00349999999</v>
      </c>
      <c r="BA61" s="373">
        <f t="shared" si="25"/>
        <v>865569.11849999998</v>
      </c>
      <c r="BB61" s="374">
        <f t="shared" si="26"/>
        <v>86556.911850000004</v>
      </c>
      <c r="BC61" s="374">
        <f t="shared" si="27"/>
        <v>17311.382369999999</v>
      </c>
      <c r="BD61" s="374">
        <f t="shared" si="28"/>
        <v>70101.082427999994</v>
      </c>
      <c r="BE61" s="374">
        <f t="shared" si="29"/>
        <v>691599.74185199989</v>
      </c>
      <c r="BF61" s="374">
        <f t="shared" si="30"/>
        <v>10386829.422</v>
      </c>
      <c r="BG61" s="374">
        <f t="shared" si="31"/>
        <v>877594.23</v>
      </c>
      <c r="BH61" s="374">
        <f t="shared" si="32"/>
        <v>11264423.652000001</v>
      </c>
      <c r="BI61" s="374">
        <f t="shared" si="33"/>
        <v>506899.06434000004</v>
      </c>
      <c r="BJ61" s="374">
        <f t="shared" si="34"/>
        <v>311604.88266</v>
      </c>
      <c r="BK61" s="374">
        <f t="shared" si="35"/>
        <v>585427.85247960011</v>
      </c>
      <c r="BL61" s="374">
        <f t="shared" si="36"/>
        <v>506899.06434000004</v>
      </c>
      <c r="BM61" s="373">
        <f t="shared" si="37"/>
        <v>13175254.515819602</v>
      </c>
      <c r="BN61" s="375"/>
      <c r="BO61" s="376"/>
      <c r="BP61" s="376"/>
      <c r="BQ61" s="377"/>
      <c r="BR61" s="377"/>
      <c r="BS61" s="377"/>
      <c r="BT61" s="377"/>
      <c r="BU61" s="377"/>
      <c r="BV61" s="377"/>
      <c r="BW61" s="377"/>
      <c r="BX61" s="377"/>
      <c r="BY61" s="377"/>
      <c r="BZ61" s="377"/>
      <c r="CA61" s="377"/>
      <c r="CB61" s="377"/>
      <c r="CC61" s="377"/>
      <c r="CD61" s="377"/>
      <c r="CE61" s="377"/>
      <c r="CF61" s="377"/>
      <c r="CG61" s="377"/>
      <c r="CH61" s="377"/>
      <c r="CI61" s="377"/>
    </row>
    <row r="62" spans="1:87" ht="47.25">
      <c r="A62" s="361">
        <f t="shared" si="42"/>
        <v>25</v>
      </c>
      <c r="B62" s="362">
        <f t="shared" si="42"/>
        <v>25</v>
      </c>
      <c r="C62" s="378" t="s">
        <v>208</v>
      </c>
      <c r="D62" s="379" t="s">
        <v>1062</v>
      </c>
      <c r="E62" s="392" t="s">
        <v>998</v>
      </c>
      <c r="F62" s="390" t="s">
        <v>999</v>
      </c>
      <c r="G62" s="390"/>
      <c r="H62" s="402" t="s">
        <v>1412</v>
      </c>
      <c r="I62" s="390">
        <v>17697</v>
      </c>
      <c r="J62" s="403">
        <v>11.02</v>
      </c>
      <c r="K62" s="403">
        <f t="shared" si="0"/>
        <v>195020.94</v>
      </c>
      <c r="L62" s="380"/>
      <c r="M62" s="380"/>
      <c r="N62" s="380"/>
      <c r="O62" s="380">
        <v>31</v>
      </c>
      <c r="P62" s="380"/>
      <c r="Q62" s="368">
        <f t="shared" si="12"/>
        <v>31</v>
      </c>
      <c r="R62" s="380"/>
      <c r="S62" s="380"/>
      <c r="T62" s="380"/>
      <c r="U62" s="380"/>
      <c r="V62" s="380"/>
      <c r="W62" s="381">
        <f t="shared" si="13"/>
        <v>0</v>
      </c>
      <c r="X62" s="370">
        <f t="shared" si="3"/>
        <v>31</v>
      </c>
      <c r="Y62" s="367">
        <f t="shared" si="4"/>
        <v>377853.07124999998</v>
      </c>
      <c r="Z62" s="367">
        <f t="shared" si="5"/>
        <v>37785.307124999999</v>
      </c>
      <c r="AA62" s="366">
        <v>31</v>
      </c>
      <c r="AB62" s="367">
        <f t="shared" si="6"/>
        <v>13715.175000000001</v>
      </c>
      <c r="AC62" s="366">
        <v>0</v>
      </c>
      <c r="AD62" s="367">
        <f t="shared" si="7"/>
        <v>0</v>
      </c>
      <c r="AE62" s="366"/>
      <c r="AF62" s="366" t="s">
        <v>1063</v>
      </c>
      <c r="AG62" s="367">
        <f t="shared" ref="AG62:AG64" si="44">17697*20%</f>
        <v>3539.4</v>
      </c>
      <c r="AH62" s="366"/>
      <c r="AI62" s="367"/>
      <c r="AJ62" s="366">
        <f t="shared" si="14"/>
        <v>31</v>
      </c>
      <c r="AK62" s="367">
        <f t="shared" si="15"/>
        <v>13715.175000000001</v>
      </c>
      <c r="AL62" s="366">
        <f t="shared" si="16"/>
        <v>31</v>
      </c>
      <c r="AM62" s="367">
        <f t="shared" si="17"/>
        <v>113355.92137499999</v>
      </c>
      <c r="AN62" s="366" t="str">
        <f t="shared" si="18"/>
        <v>Педагог-шебер</v>
      </c>
      <c r="AO62" s="367">
        <f t="shared" si="19"/>
        <v>188926.53562499999</v>
      </c>
      <c r="AP62" s="367" t="str">
        <f t="shared" si="20"/>
        <v>0</v>
      </c>
      <c r="AQ62" s="367" t="str">
        <f t="shared" si="21"/>
        <v>0</v>
      </c>
      <c r="AR62" s="367" t="str">
        <f t="shared" si="22"/>
        <v>0</v>
      </c>
      <c r="AS62" s="366"/>
      <c r="AT62" s="367"/>
      <c r="AU62" s="371"/>
      <c r="AV62" s="367"/>
      <c r="AW62" s="371">
        <f t="shared" si="23"/>
        <v>0</v>
      </c>
      <c r="AX62" s="372"/>
      <c r="AY62" s="367"/>
      <c r="AZ62" s="367">
        <f t="shared" si="24"/>
        <v>371037.51412499999</v>
      </c>
      <c r="BA62" s="373">
        <f t="shared" si="25"/>
        <v>748890.58537500002</v>
      </c>
      <c r="BB62" s="374">
        <f t="shared" si="26"/>
        <v>74889.058537500008</v>
      </c>
      <c r="BC62" s="374">
        <f t="shared" si="27"/>
        <v>14977.811707500001</v>
      </c>
      <c r="BD62" s="374">
        <f t="shared" si="28"/>
        <v>59833.371513000006</v>
      </c>
      <c r="BE62" s="374">
        <f t="shared" si="29"/>
        <v>599190.34361700004</v>
      </c>
      <c r="BF62" s="374">
        <f t="shared" si="30"/>
        <v>8986687.0245000012</v>
      </c>
      <c r="BG62" s="374">
        <f t="shared" si="31"/>
        <v>755706.14249999996</v>
      </c>
      <c r="BH62" s="374">
        <f t="shared" si="32"/>
        <v>9742393.1670000013</v>
      </c>
      <c r="BI62" s="374">
        <f t="shared" si="33"/>
        <v>438407.69251500006</v>
      </c>
      <c r="BJ62" s="374">
        <f t="shared" si="34"/>
        <v>269600.61073500005</v>
      </c>
      <c r="BK62" s="374">
        <f t="shared" si="35"/>
        <v>506318.51956410002</v>
      </c>
      <c r="BL62" s="374">
        <f t="shared" si="36"/>
        <v>438407.69251500006</v>
      </c>
      <c r="BM62" s="373">
        <f t="shared" si="37"/>
        <v>11395127.682329101</v>
      </c>
      <c r="BN62" s="375"/>
      <c r="BO62" s="376"/>
      <c r="BP62" s="376"/>
      <c r="BQ62" s="377"/>
      <c r="BR62" s="377"/>
      <c r="BS62" s="377"/>
      <c r="BT62" s="377"/>
      <c r="BU62" s="377"/>
      <c r="BV62" s="377"/>
      <c r="BW62" s="377"/>
      <c r="BX62" s="377"/>
      <c r="BY62" s="377"/>
      <c r="BZ62" s="377"/>
      <c r="CA62" s="377"/>
      <c r="CB62" s="377"/>
      <c r="CC62" s="377"/>
      <c r="CD62" s="377"/>
      <c r="CE62" s="377"/>
      <c r="CF62" s="377"/>
      <c r="CG62" s="377"/>
      <c r="CH62" s="377"/>
      <c r="CI62" s="377"/>
    </row>
    <row r="63" spans="1:87" ht="60">
      <c r="A63" s="361">
        <f t="shared" si="42"/>
        <v>26</v>
      </c>
      <c r="B63" s="362">
        <f t="shared" si="42"/>
        <v>26</v>
      </c>
      <c r="C63" s="378" t="s">
        <v>200</v>
      </c>
      <c r="D63" s="379" t="s">
        <v>1064</v>
      </c>
      <c r="E63" s="404" t="s">
        <v>998</v>
      </c>
      <c r="F63" s="394" t="s">
        <v>999</v>
      </c>
      <c r="G63" s="394" t="s">
        <v>229</v>
      </c>
      <c r="H63" s="395" t="s">
        <v>1065</v>
      </c>
      <c r="I63" s="394">
        <v>17697</v>
      </c>
      <c r="J63" s="367">
        <v>11.4</v>
      </c>
      <c r="K63" s="367">
        <f t="shared" si="0"/>
        <v>201745.80000000002</v>
      </c>
      <c r="L63" s="380"/>
      <c r="M63" s="380"/>
      <c r="N63" s="380"/>
      <c r="O63" s="380">
        <v>18</v>
      </c>
      <c r="P63" s="380"/>
      <c r="Q63" s="368">
        <f t="shared" si="12"/>
        <v>18</v>
      </c>
      <c r="R63" s="380"/>
      <c r="S63" s="380"/>
      <c r="T63" s="380"/>
      <c r="U63" s="380"/>
      <c r="V63" s="380"/>
      <c r="W63" s="381">
        <f t="shared" si="13"/>
        <v>0</v>
      </c>
      <c r="X63" s="370">
        <f t="shared" si="3"/>
        <v>18</v>
      </c>
      <c r="Y63" s="367">
        <f t="shared" si="4"/>
        <v>226964.02500000002</v>
      </c>
      <c r="Z63" s="367">
        <f t="shared" si="5"/>
        <v>22696.402500000004</v>
      </c>
      <c r="AA63" s="366">
        <v>9</v>
      </c>
      <c r="AB63" s="367">
        <f t="shared" si="6"/>
        <v>3981.8250000000003</v>
      </c>
      <c r="AC63" s="366">
        <v>9</v>
      </c>
      <c r="AD63" s="367">
        <f t="shared" si="7"/>
        <v>1990.9125000000001</v>
      </c>
      <c r="AE63" s="366"/>
      <c r="AF63" s="366"/>
      <c r="AG63" s="367"/>
      <c r="AH63" s="366"/>
      <c r="AI63" s="367"/>
      <c r="AJ63" s="366">
        <f t="shared" si="14"/>
        <v>18</v>
      </c>
      <c r="AK63" s="367">
        <f t="shared" si="15"/>
        <v>7963.6500000000005</v>
      </c>
      <c r="AL63" s="366">
        <f t="shared" si="16"/>
        <v>18</v>
      </c>
      <c r="AM63" s="367">
        <f t="shared" si="17"/>
        <v>68089.207500000004</v>
      </c>
      <c r="AN63" s="366" t="str">
        <f t="shared" si="18"/>
        <v>Педагог-шебер</v>
      </c>
      <c r="AO63" s="367">
        <f t="shared" si="19"/>
        <v>113482.01250000001</v>
      </c>
      <c r="AP63" s="367" t="str">
        <f t="shared" si="20"/>
        <v>0</v>
      </c>
      <c r="AQ63" s="367" t="str">
        <f t="shared" si="21"/>
        <v>0</v>
      </c>
      <c r="AR63" s="367" t="str">
        <f t="shared" si="22"/>
        <v>0</v>
      </c>
      <c r="AS63" s="366"/>
      <c r="AT63" s="367"/>
      <c r="AU63" s="371"/>
      <c r="AV63" s="367"/>
      <c r="AW63" s="371" t="str">
        <f t="shared" si="23"/>
        <v>Магистр-информационные системы</v>
      </c>
      <c r="AX63" s="372">
        <f>10*4335</f>
        <v>43350</v>
      </c>
      <c r="AY63" s="367"/>
      <c r="AZ63" s="367">
        <f t="shared" si="24"/>
        <v>261554.01</v>
      </c>
      <c r="BA63" s="373">
        <f t="shared" si="25"/>
        <v>488518.03500000003</v>
      </c>
      <c r="BB63" s="374">
        <f t="shared" si="26"/>
        <v>48851.803500000009</v>
      </c>
      <c r="BC63" s="374">
        <f t="shared" si="27"/>
        <v>9770.3607000000011</v>
      </c>
      <c r="BD63" s="374">
        <f t="shared" si="28"/>
        <v>36920.587079999998</v>
      </c>
      <c r="BE63" s="374">
        <f t="shared" si="29"/>
        <v>392975.28371999995</v>
      </c>
      <c r="BF63" s="374">
        <f t="shared" si="30"/>
        <v>5862216.4199999999</v>
      </c>
      <c r="BG63" s="374">
        <f t="shared" si="31"/>
        <v>453928.05000000005</v>
      </c>
      <c r="BH63" s="374">
        <f t="shared" si="32"/>
        <v>6316144.4699999997</v>
      </c>
      <c r="BI63" s="374">
        <f t="shared" si="33"/>
        <v>284226.50115000003</v>
      </c>
      <c r="BJ63" s="374">
        <f t="shared" si="34"/>
        <v>175866.4926</v>
      </c>
      <c r="BK63" s="374">
        <f t="shared" si="35"/>
        <v>328174.92525600002</v>
      </c>
      <c r="BL63" s="374">
        <f t="shared" si="36"/>
        <v>284226.50114999997</v>
      </c>
      <c r="BM63" s="373">
        <f t="shared" si="37"/>
        <v>7388638.890155999</v>
      </c>
      <c r="BN63" s="375"/>
      <c r="BO63" s="376"/>
      <c r="BP63" s="376"/>
      <c r="BQ63" s="377"/>
      <c r="BR63" s="377"/>
      <c r="BS63" s="377"/>
      <c r="BT63" s="377"/>
      <c r="BU63" s="377"/>
      <c r="BV63" s="377"/>
      <c r="BW63" s="377"/>
      <c r="BX63" s="377"/>
      <c r="BY63" s="377"/>
      <c r="BZ63" s="377"/>
      <c r="CA63" s="377"/>
      <c r="CB63" s="377"/>
      <c r="CC63" s="377"/>
      <c r="CD63" s="377"/>
      <c r="CE63" s="377"/>
      <c r="CF63" s="377"/>
      <c r="CG63" s="377"/>
      <c r="CH63" s="377"/>
      <c r="CI63" s="377"/>
    </row>
    <row r="64" spans="1:87" ht="75">
      <c r="A64" s="361">
        <f t="shared" si="42"/>
        <v>27</v>
      </c>
      <c r="B64" s="362">
        <f t="shared" si="42"/>
        <v>27</v>
      </c>
      <c r="C64" s="405" t="s">
        <v>1066</v>
      </c>
      <c r="D64" s="364" t="s">
        <v>1067</v>
      </c>
      <c r="E64" s="694" t="s">
        <v>998</v>
      </c>
      <c r="F64" s="362" t="s">
        <v>1011</v>
      </c>
      <c r="G64" s="406" t="s">
        <v>1068</v>
      </c>
      <c r="H64" s="397" t="s">
        <v>1413</v>
      </c>
      <c r="I64" s="362">
        <v>17697</v>
      </c>
      <c r="J64" s="398">
        <v>10.6</v>
      </c>
      <c r="K64" s="367">
        <f t="shared" si="0"/>
        <v>187588.19999999998</v>
      </c>
      <c r="L64" s="380">
        <v>24</v>
      </c>
      <c r="M64" s="380"/>
      <c r="N64" s="380"/>
      <c r="O64" s="380"/>
      <c r="P64" s="380"/>
      <c r="Q64" s="368">
        <f t="shared" si="12"/>
        <v>24</v>
      </c>
      <c r="R64" s="380">
        <v>3</v>
      </c>
      <c r="S64" s="380"/>
      <c r="T64" s="380"/>
      <c r="U64" s="380"/>
      <c r="V64" s="380"/>
      <c r="W64" s="381">
        <f t="shared" si="13"/>
        <v>3</v>
      </c>
      <c r="X64" s="370">
        <f t="shared" si="3"/>
        <v>27</v>
      </c>
      <c r="Y64" s="367">
        <f t="shared" si="4"/>
        <v>316555.08749999997</v>
      </c>
      <c r="Z64" s="367">
        <f t="shared" si="5"/>
        <v>31655.508749999997</v>
      </c>
      <c r="AA64" s="366">
        <v>0</v>
      </c>
      <c r="AB64" s="367">
        <f t="shared" si="6"/>
        <v>0</v>
      </c>
      <c r="AC64" s="366">
        <v>27</v>
      </c>
      <c r="AD64" s="367">
        <f t="shared" si="7"/>
        <v>5972.7375000000002</v>
      </c>
      <c r="AE64" s="366"/>
      <c r="AF64" s="366" t="s">
        <v>274</v>
      </c>
      <c r="AG64" s="367">
        <f t="shared" si="44"/>
        <v>3539.4</v>
      </c>
      <c r="AH64" s="366" t="s">
        <v>1069</v>
      </c>
      <c r="AI64" s="367">
        <f>I64*200%</f>
        <v>35394</v>
      </c>
      <c r="AJ64" s="366">
        <f t="shared" si="14"/>
        <v>27</v>
      </c>
      <c r="AK64" s="367">
        <f t="shared" si="15"/>
        <v>11945.475</v>
      </c>
      <c r="AL64" s="366">
        <f t="shared" si="16"/>
        <v>27</v>
      </c>
      <c r="AM64" s="367">
        <f t="shared" si="17"/>
        <v>94966.526249999981</v>
      </c>
      <c r="AN64" s="366" t="str">
        <f t="shared" si="18"/>
        <v>Педагог-сарапшы</v>
      </c>
      <c r="AO64" s="367" t="str">
        <f t="shared" si="19"/>
        <v>0</v>
      </c>
      <c r="AP64" s="367" t="str">
        <f t="shared" si="20"/>
        <v>0</v>
      </c>
      <c r="AQ64" s="367">
        <f t="shared" si="21"/>
        <v>110794.28062499998</v>
      </c>
      <c r="AR64" s="367" t="str">
        <f t="shared" si="22"/>
        <v>0</v>
      </c>
      <c r="AS64" s="366"/>
      <c r="AT64" s="367"/>
      <c r="AU64" s="371"/>
      <c r="AV64" s="367"/>
      <c r="AW64" s="371" t="str">
        <f t="shared" si="23"/>
        <v>Магистр-матем. и комп. моделирование</v>
      </c>
      <c r="AX64" s="372">
        <f>10*4335</f>
        <v>43350</v>
      </c>
      <c r="AY64" s="367"/>
      <c r="AZ64" s="367">
        <f t="shared" si="24"/>
        <v>337617.92812499998</v>
      </c>
      <c r="BA64" s="373">
        <f t="shared" si="25"/>
        <v>654173.015625</v>
      </c>
      <c r="BB64" s="374">
        <f t="shared" si="26"/>
        <v>65417.301562500004</v>
      </c>
      <c r="BC64" s="374">
        <f t="shared" si="27"/>
        <v>13083.460312499999</v>
      </c>
      <c r="BD64" s="374">
        <f t="shared" si="28"/>
        <v>51498.225375000009</v>
      </c>
      <c r="BE64" s="374">
        <f t="shared" si="29"/>
        <v>524174.02837499999</v>
      </c>
      <c r="BF64" s="374">
        <f t="shared" si="30"/>
        <v>7850076.1875</v>
      </c>
      <c r="BG64" s="374">
        <f t="shared" si="31"/>
        <v>633110.17499999993</v>
      </c>
      <c r="BH64" s="374">
        <f t="shared" si="32"/>
        <v>8483186.3625000007</v>
      </c>
      <c r="BI64" s="374">
        <f t="shared" si="33"/>
        <v>381743.38631250011</v>
      </c>
      <c r="BJ64" s="374">
        <f t="shared" si="34"/>
        <v>235502.28562499999</v>
      </c>
      <c r="BK64" s="374">
        <f t="shared" si="35"/>
        <v>440821.89596250001</v>
      </c>
      <c r="BL64" s="374">
        <f t="shared" si="36"/>
        <v>381743.38631249999</v>
      </c>
      <c r="BM64" s="373">
        <f t="shared" si="37"/>
        <v>9922997.3167124987</v>
      </c>
      <c r="BN64" s="375"/>
      <c r="BO64" s="376"/>
      <c r="BP64" s="376"/>
      <c r="BQ64" s="377"/>
      <c r="BR64" s="377"/>
      <c r="BS64" s="377"/>
      <c r="BT64" s="377"/>
      <c r="BU64" s="377"/>
      <c r="BV64" s="377"/>
      <c r="BW64" s="377"/>
      <c r="BX64" s="377"/>
      <c r="BY64" s="377"/>
      <c r="BZ64" s="377"/>
      <c r="CA64" s="377"/>
      <c r="CB64" s="377"/>
      <c r="CC64" s="377"/>
      <c r="CD64" s="377"/>
      <c r="CE64" s="377"/>
      <c r="CF64" s="377"/>
      <c r="CG64" s="377"/>
      <c r="CH64" s="377"/>
      <c r="CI64" s="377"/>
    </row>
    <row r="65" spans="1:87" ht="15">
      <c r="A65" s="1520"/>
      <c r="B65" s="1521"/>
      <c r="C65" s="1520" t="s">
        <v>2</v>
      </c>
      <c r="D65" s="1522"/>
      <c r="E65" s="1522"/>
      <c r="F65" s="1522"/>
      <c r="G65" s="1522"/>
      <c r="H65" s="1522"/>
      <c r="I65" s="1522"/>
      <c r="J65" s="1508"/>
      <c r="K65" s="407">
        <f>SUM(K14:K64)</f>
        <v>9569829.7199999951</v>
      </c>
      <c r="L65" s="407">
        <f t="shared" ref="L65:BN65" si="45">SUM(L14:L64)</f>
        <v>240</v>
      </c>
      <c r="M65" s="407">
        <f t="shared" si="45"/>
        <v>244</v>
      </c>
      <c r="N65" s="407">
        <f t="shared" si="45"/>
        <v>216</v>
      </c>
      <c r="O65" s="407">
        <f t="shared" si="45"/>
        <v>319</v>
      </c>
      <c r="P65" s="407">
        <f t="shared" si="45"/>
        <v>270</v>
      </c>
      <c r="Q65" s="407">
        <f t="shared" si="45"/>
        <v>1289</v>
      </c>
      <c r="R65" s="407">
        <f t="shared" si="45"/>
        <v>75</v>
      </c>
      <c r="S65" s="407">
        <f t="shared" si="45"/>
        <v>46</v>
      </c>
      <c r="T65" s="407">
        <f t="shared" si="45"/>
        <v>29</v>
      </c>
      <c r="U65" s="407">
        <f t="shared" si="45"/>
        <v>37</v>
      </c>
      <c r="V65" s="407">
        <f t="shared" si="45"/>
        <v>7</v>
      </c>
      <c r="W65" s="407">
        <f t="shared" si="45"/>
        <v>194</v>
      </c>
      <c r="X65" s="407">
        <f t="shared" si="45"/>
        <v>1483</v>
      </c>
      <c r="Y65" s="407">
        <f t="shared" si="45"/>
        <v>17369185.196250003</v>
      </c>
      <c r="Z65" s="407">
        <f t="shared" si="45"/>
        <v>1736918.519625</v>
      </c>
      <c r="AA65" s="407">
        <f t="shared" si="45"/>
        <v>831</v>
      </c>
      <c r="AB65" s="407">
        <f t="shared" si="45"/>
        <v>367655.17500000005</v>
      </c>
      <c r="AC65" s="407">
        <f t="shared" si="45"/>
        <v>567</v>
      </c>
      <c r="AD65" s="407">
        <f t="shared" si="45"/>
        <v>125427.48749999999</v>
      </c>
      <c r="AE65" s="407">
        <f t="shared" si="45"/>
        <v>246600</v>
      </c>
      <c r="AF65" s="407">
        <f t="shared" si="45"/>
        <v>2047</v>
      </c>
      <c r="AG65" s="407">
        <f t="shared" si="45"/>
        <v>84945.599999999991</v>
      </c>
      <c r="AH65" s="407">
        <f t="shared" si="45"/>
        <v>0</v>
      </c>
      <c r="AI65" s="407">
        <f t="shared" si="45"/>
        <v>247758</v>
      </c>
      <c r="AJ65" s="407">
        <f t="shared" si="45"/>
        <v>808</v>
      </c>
      <c r="AK65" s="407">
        <f t="shared" si="45"/>
        <v>357479.39999999991</v>
      </c>
      <c r="AL65" s="407">
        <f t="shared" si="45"/>
        <v>1483</v>
      </c>
      <c r="AM65" s="407">
        <f t="shared" si="45"/>
        <v>5210755.5588749982</v>
      </c>
      <c r="AN65" s="407">
        <f t="shared" si="45"/>
        <v>0</v>
      </c>
      <c r="AO65" s="407">
        <f t="shared" si="45"/>
        <v>2738323.1737500005</v>
      </c>
      <c r="AP65" s="407">
        <f t="shared" si="45"/>
        <v>1203307.5150000001</v>
      </c>
      <c r="AQ65" s="407">
        <f t="shared" si="45"/>
        <v>535389.55312499998</v>
      </c>
      <c r="AR65" s="407">
        <f t="shared" si="45"/>
        <v>1058780.5402500003</v>
      </c>
      <c r="AS65" s="407">
        <f t="shared" si="45"/>
        <v>0</v>
      </c>
      <c r="AT65" s="407">
        <f t="shared" si="45"/>
        <v>0</v>
      </c>
      <c r="AU65" s="407">
        <f t="shared" si="45"/>
        <v>0</v>
      </c>
      <c r="AV65" s="407">
        <f t="shared" si="45"/>
        <v>0</v>
      </c>
      <c r="AW65" s="407">
        <f t="shared" si="45"/>
        <v>0</v>
      </c>
      <c r="AX65" s="407">
        <f t="shared" si="45"/>
        <v>736950</v>
      </c>
      <c r="AY65" s="407">
        <f t="shared" si="45"/>
        <v>53091</v>
      </c>
      <c r="AZ65" s="407">
        <f t="shared" si="45"/>
        <v>14703381.523125</v>
      </c>
      <c r="BA65" s="407">
        <f t="shared" si="45"/>
        <v>32072566.719375007</v>
      </c>
      <c r="BB65" s="407">
        <f t="shared" si="45"/>
        <v>3207256.6719374997</v>
      </c>
      <c r="BC65" s="407">
        <f t="shared" si="45"/>
        <v>641451.33438749996</v>
      </c>
      <c r="BD65" s="407">
        <f t="shared" si="45"/>
        <v>2512866.8713050005</v>
      </c>
      <c r="BE65" s="407">
        <f t="shared" si="45"/>
        <v>25710991.841745008</v>
      </c>
      <c r="BF65" s="407">
        <f t="shared" si="45"/>
        <v>384870800.63250005</v>
      </c>
      <c r="BG65" s="407">
        <f t="shared" si="45"/>
        <v>26799120.131250009</v>
      </c>
      <c r="BH65" s="407">
        <f t="shared" si="45"/>
        <v>411669920.76375002</v>
      </c>
      <c r="BI65" s="407">
        <f t="shared" si="45"/>
        <v>18525146.434368752</v>
      </c>
      <c r="BJ65" s="407">
        <f t="shared" si="45"/>
        <v>11546124.018975001</v>
      </c>
      <c r="BK65" s="407">
        <f t="shared" si="45"/>
        <v>21383459.959851</v>
      </c>
      <c r="BL65" s="407">
        <f t="shared" si="45"/>
        <v>18525146.434368752</v>
      </c>
      <c r="BM65" s="407">
        <f t="shared" si="45"/>
        <v>481649797.61131358</v>
      </c>
      <c r="BN65" s="407">
        <f t="shared" si="45"/>
        <v>0.75</v>
      </c>
      <c r="BO65" s="408"/>
      <c r="BP65" s="355"/>
      <c r="BQ65" s="355"/>
      <c r="BR65" s="355"/>
      <c r="BS65" s="355"/>
      <c r="BT65" s="355"/>
      <c r="BU65" s="355"/>
      <c r="BV65" s="355"/>
      <c r="BW65" s="355"/>
      <c r="BX65" s="355"/>
      <c r="BY65" s="355"/>
      <c r="BZ65" s="355"/>
      <c r="CA65" s="355"/>
      <c r="CB65" s="355"/>
      <c r="CC65" s="355"/>
      <c r="CD65" s="355"/>
      <c r="CE65" s="355"/>
      <c r="CF65" s="355"/>
      <c r="CG65" s="355"/>
      <c r="CH65" s="355"/>
      <c r="CI65" s="356"/>
    </row>
    <row r="66" spans="1:87" ht="141.75">
      <c r="A66" s="366">
        <f>A64+1</f>
        <v>28</v>
      </c>
      <c r="B66" s="366">
        <v>1</v>
      </c>
      <c r="C66" s="409" t="s">
        <v>217</v>
      </c>
      <c r="D66" s="410" t="s">
        <v>1070</v>
      </c>
      <c r="E66" s="366" t="s">
        <v>998</v>
      </c>
      <c r="F66" s="366" t="s">
        <v>254</v>
      </c>
      <c r="G66" s="366" t="s">
        <v>227</v>
      </c>
      <c r="H66" s="371" t="s">
        <v>1414</v>
      </c>
      <c r="I66" s="366">
        <v>17697</v>
      </c>
      <c r="J66" s="367">
        <v>10.82</v>
      </c>
      <c r="K66" s="367">
        <f t="shared" ref="K66:K83" si="46">I66*J66</f>
        <v>191481.54</v>
      </c>
      <c r="L66" s="380"/>
      <c r="M66" s="380"/>
      <c r="N66" s="380">
        <v>4</v>
      </c>
      <c r="O66" s="380">
        <v>16</v>
      </c>
      <c r="P66" s="380"/>
      <c r="Q66" s="368">
        <f t="shared" ref="Q66:Q83" si="47">SUM(L66:P66)</f>
        <v>20</v>
      </c>
      <c r="R66" s="411">
        <v>6</v>
      </c>
      <c r="S66" s="411"/>
      <c r="T66" s="411">
        <v>10</v>
      </c>
      <c r="U66" s="411"/>
      <c r="V66" s="411"/>
      <c r="W66" s="381">
        <f t="shared" ref="W66:W83" si="48">SUM(R66:V66)</f>
        <v>16</v>
      </c>
      <c r="X66" s="370">
        <f t="shared" ref="X66:X83" si="49">Q66+W66</f>
        <v>36</v>
      </c>
      <c r="Y66" s="367">
        <f t="shared" ref="Y66:Y83" si="50">K66/16*X66</f>
        <v>430833.46500000003</v>
      </c>
      <c r="Z66" s="367">
        <f t="shared" ref="Z66:Z83" si="51">Y66*10%</f>
        <v>43083.346500000007</v>
      </c>
      <c r="AA66" s="366">
        <v>21</v>
      </c>
      <c r="AB66" s="367">
        <f t="shared" ref="AB66:AB83" si="52">I66/16*AA66*40%</f>
        <v>9290.9250000000011</v>
      </c>
      <c r="AC66" s="366">
        <v>0</v>
      </c>
      <c r="AD66" s="367">
        <f t="shared" ref="AD66:AD83" si="53">I66/16*AC66*40%*50%</f>
        <v>0</v>
      </c>
      <c r="AE66" s="366">
        <v>196600</v>
      </c>
      <c r="AF66" s="366"/>
      <c r="AG66" s="367"/>
      <c r="AH66" s="366"/>
      <c r="AI66" s="367"/>
      <c r="AJ66" s="366">
        <f t="shared" ref="AJ66:AJ83" si="54">X66</f>
        <v>36</v>
      </c>
      <c r="AK66" s="367">
        <f t="shared" ref="AK66:AK83" si="55">I66/16*AJ66*40%</f>
        <v>15927.300000000001</v>
      </c>
      <c r="AL66" s="366">
        <f t="shared" ref="AL66:AL83" si="56">X66</f>
        <v>36</v>
      </c>
      <c r="AM66" s="367">
        <f t="shared" ref="AM66:AM83" si="57">K66/16*AL66*30%</f>
        <v>129250.0395</v>
      </c>
      <c r="AN66" s="366" t="str">
        <f t="shared" ref="AN66:AN80" si="58">F66</f>
        <v>Педагог-модератор</v>
      </c>
      <c r="AO66" s="367" t="str">
        <f t="shared" ref="AO66:AO83" si="59">IF(AN66="Педагог-зерттеуші", "0", IF(AN66="Педагог-шебер",K66/16*X66*50%, IF(AN66="Педагог-сарапшы", "0", IF(AN66="Педагог-модератор", "0", "0"))))</f>
        <v>0</v>
      </c>
      <c r="AP66" s="367" t="str">
        <f t="shared" ref="AP66:AP83" si="60">IF(AN66="Педагог-шебер", "0", IF(AN66="Педагог-зерттеуші",K66/16*X66*40%, IF(AN66="Педагог-сарапшы", "0", IF(AN66="Педагог-модератор", "0", "0"))))</f>
        <v>0</v>
      </c>
      <c r="AQ66" s="367" t="str">
        <f t="shared" ref="AQ66:AQ83" si="61">IF(AN66="Педагог-шебер", "0", IF(AN66="Педагог-сарапшы",K66/16*X66*35%, IF(AN66="Педагог-зерттеуші", "0", IF(AN66="Педагог-модератор", "0", "0"))))</f>
        <v>0</v>
      </c>
      <c r="AR66" s="367">
        <f t="shared" ref="AR66:AR83" si="62">IF(AN66="Педагог-шебер", "0", IF(AN66="Педагог-модератор",K66/16*X66*30%, IF(AN66="Педагог-зерттеуші", "0", IF(AN66="Педагог-сарапшы", "0", "0"))))</f>
        <v>129250.0395</v>
      </c>
      <c r="AS66" s="366"/>
      <c r="AT66" s="367"/>
      <c r="AU66" s="371"/>
      <c r="AV66" s="367"/>
      <c r="AW66" s="371" t="str">
        <f>G66</f>
        <v>Магистр-техническая физика</v>
      </c>
      <c r="AX66" s="372">
        <f>10*4335</f>
        <v>43350</v>
      </c>
      <c r="AY66" s="367"/>
      <c r="AZ66" s="367">
        <f t="shared" ref="AZ66:AZ83" si="63">Z66+AB66+AD66+AE66+AG66+AI66+AK66+AM66+AO66+AP66+AQ66++AR66+AT66+AV66+AX66+AY66</f>
        <v>566751.65049999999</v>
      </c>
      <c r="BA66" s="373">
        <f t="shared" ref="BA66:BA83" si="64">Y66+AZ66</f>
        <v>997585.11550000007</v>
      </c>
      <c r="BB66" s="374">
        <f t="shared" ref="BB66:BB122" si="65">BA66*10%</f>
        <v>99758.51155000001</v>
      </c>
      <c r="BC66" s="374">
        <f t="shared" ref="BC66:BC122" si="66">BA66*2%</f>
        <v>19951.702310000001</v>
      </c>
      <c r="BD66" s="374">
        <f t="shared" ref="BD66:BD83" si="67">(BA66-BB66-BC66-(14*4335))*10%</f>
        <v>81718.490164000017</v>
      </c>
      <c r="BE66" s="374">
        <f t="shared" ref="BE66:BE122" si="68">BA66-BB66-BC66-BD66</f>
        <v>796156.41147599998</v>
      </c>
      <c r="BF66" s="374">
        <f t="shared" ref="BF66:BF122" si="69">BA66*12</f>
        <v>11971021.386</v>
      </c>
      <c r="BG66" s="374">
        <f t="shared" ref="BG66:BG83" si="70">Y66*2</f>
        <v>861666.93</v>
      </c>
      <c r="BH66" s="374">
        <f t="shared" ref="BH66:BH122" si="71">BF66+BG66</f>
        <v>12832688.316</v>
      </c>
      <c r="BI66" s="374">
        <f t="shared" ref="BI66:BI122" si="72">BH66*0.9*5%</f>
        <v>577470.97422000009</v>
      </c>
      <c r="BJ66" s="374">
        <f t="shared" ref="BJ66:BJ122" si="73">BF66*3%</f>
        <v>359130.64158</v>
      </c>
      <c r="BK66" s="374">
        <f t="shared" ref="BK66:BK122" si="74">(BH66*0.9-(BC66*12))*11%-BI66</f>
        <v>666628.92201480002</v>
      </c>
      <c r="BL66" s="374">
        <f>BH66*4.5%</f>
        <v>577470.97421999997</v>
      </c>
      <c r="BM66" s="373">
        <f t="shared" ref="BM66:BM129" si="75">BH66+BI66+BJ66+BK66+BL66</f>
        <v>15013389.828034801</v>
      </c>
      <c r="BN66" s="385">
        <v>0.25</v>
      </c>
      <c r="BO66" s="377"/>
      <c r="BP66" s="377"/>
      <c r="BQ66" s="377"/>
      <c r="BR66" s="377"/>
      <c r="BS66" s="377"/>
      <c r="BT66" s="377"/>
      <c r="BU66" s="377"/>
      <c r="BV66" s="377"/>
      <c r="BW66" s="377"/>
      <c r="BX66" s="377"/>
      <c r="BY66" s="377"/>
      <c r="BZ66" s="377"/>
      <c r="CA66" s="377"/>
      <c r="CB66" s="377"/>
      <c r="CC66" s="377"/>
      <c r="CD66" s="377"/>
      <c r="CE66" s="377"/>
      <c r="CF66" s="377"/>
      <c r="CG66" s="377"/>
      <c r="CH66" s="377"/>
      <c r="CI66" s="377"/>
    </row>
    <row r="67" spans="1:87" ht="30">
      <c r="A67" s="366">
        <f t="shared" ref="A67:B82" si="76">A66+1</f>
        <v>29</v>
      </c>
      <c r="B67" s="366">
        <f t="shared" si="76"/>
        <v>2</v>
      </c>
      <c r="C67" s="409" t="s">
        <v>210</v>
      </c>
      <c r="D67" s="412" t="s">
        <v>1071</v>
      </c>
      <c r="E67" s="366" t="s">
        <v>998</v>
      </c>
      <c r="F67" s="366" t="s">
        <v>999</v>
      </c>
      <c r="G67" s="366"/>
      <c r="H67" s="371" t="s">
        <v>1072</v>
      </c>
      <c r="I67" s="366">
        <v>17697</v>
      </c>
      <c r="J67" s="367">
        <v>11.4</v>
      </c>
      <c r="K67" s="367">
        <f t="shared" si="46"/>
        <v>201745.80000000002</v>
      </c>
      <c r="L67" s="380"/>
      <c r="M67" s="380"/>
      <c r="N67" s="380"/>
      <c r="O67" s="380"/>
      <c r="P67" s="380">
        <v>16</v>
      </c>
      <c r="Q67" s="368">
        <f t="shared" si="47"/>
        <v>16</v>
      </c>
      <c r="R67" s="411"/>
      <c r="S67" s="411"/>
      <c r="T67" s="411"/>
      <c r="U67" s="411"/>
      <c r="V67" s="411"/>
      <c r="W67" s="381">
        <f t="shared" si="48"/>
        <v>0</v>
      </c>
      <c r="X67" s="370">
        <f t="shared" si="49"/>
        <v>16</v>
      </c>
      <c r="Y67" s="367">
        <f t="shared" si="50"/>
        <v>201745.80000000002</v>
      </c>
      <c r="Z67" s="367">
        <f t="shared" si="51"/>
        <v>20174.580000000002</v>
      </c>
      <c r="AA67" s="366">
        <v>12</v>
      </c>
      <c r="AB67" s="367">
        <f t="shared" si="52"/>
        <v>5309.1</v>
      </c>
      <c r="AC67" s="366">
        <v>4</v>
      </c>
      <c r="AD67" s="367">
        <f t="shared" si="53"/>
        <v>884.85</v>
      </c>
      <c r="AE67" s="380"/>
      <c r="AF67" s="366" t="s">
        <v>1073</v>
      </c>
      <c r="AG67" s="367">
        <f t="shared" ref="AG67:AG70" si="77">17697*20%</f>
        <v>3539.4</v>
      </c>
      <c r="AH67" s="366"/>
      <c r="AI67" s="367"/>
      <c r="AJ67" s="366">
        <f t="shared" si="54"/>
        <v>16</v>
      </c>
      <c r="AK67" s="367">
        <f t="shared" si="55"/>
        <v>7078.8</v>
      </c>
      <c r="AL67" s="366">
        <f t="shared" si="56"/>
        <v>16</v>
      </c>
      <c r="AM67" s="367">
        <f t="shared" si="57"/>
        <v>60523.740000000005</v>
      </c>
      <c r="AN67" s="366" t="str">
        <f t="shared" si="58"/>
        <v>Педагог-шебер</v>
      </c>
      <c r="AO67" s="367">
        <f t="shared" si="59"/>
        <v>100872.90000000001</v>
      </c>
      <c r="AP67" s="367" t="str">
        <f t="shared" si="60"/>
        <v>0</v>
      </c>
      <c r="AQ67" s="367" t="str">
        <f t="shared" si="61"/>
        <v>0</v>
      </c>
      <c r="AR67" s="367" t="str">
        <f t="shared" si="62"/>
        <v>0</v>
      </c>
      <c r="AS67" s="366"/>
      <c r="AT67" s="367"/>
      <c r="AU67" s="380"/>
      <c r="AV67" s="367"/>
      <c r="AW67" s="371">
        <f t="shared" ref="AW67:AW83" si="78">G67</f>
        <v>0</v>
      </c>
      <c r="AX67" s="372"/>
      <c r="AY67" s="367"/>
      <c r="AZ67" s="367">
        <f t="shared" si="63"/>
        <v>198383.37</v>
      </c>
      <c r="BA67" s="373">
        <f t="shared" si="64"/>
        <v>400129.17000000004</v>
      </c>
      <c r="BB67" s="374">
        <f t="shared" si="65"/>
        <v>40012.917000000009</v>
      </c>
      <c r="BC67" s="374">
        <f t="shared" si="66"/>
        <v>8002.5834000000013</v>
      </c>
      <c r="BD67" s="374">
        <f t="shared" si="67"/>
        <v>29142.366960000003</v>
      </c>
      <c r="BE67" s="374">
        <f t="shared" si="68"/>
        <v>322971.30264000001</v>
      </c>
      <c r="BF67" s="374">
        <f t="shared" si="69"/>
        <v>4801550.040000001</v>
      </c>
      <c r="BG67" s="374">
        <f t="shared" si="70"/>
        <v>403491.60000000003</v>
      </c>
      <c r="BH67" s="374">
        <f t="shared" si="71"/>
        <v>5205041.6400000006</v>
      </c>
      <c r="BI67" s="374">
        <f t="shared" si="72"/>
        <v>234226.87380000006</v>
      </c>
      <c r="BJ67" s="374">
        <f t="shared" si="73"/>
        <v>144046.50120000003</v>
      </c>
      <c r="BK67" s="374">
        <f t="shared" si="74"/>
        <v>270508.83847200009</v>
      </c>
      <c r="BL67" s="374">
        <f t="shared" ref="BL67:BL83" si="79">BH67*4.5%</f>
        <v>234226.87380000003</v>
      </c>
      <c r="BM67" s="373">
        <f t="shared" si="75"/>
        <v>6088050.7272720011</v>
      </c>
      <c r="BN67" s="375"/>
      <c r="BO67" s="377"/>
      <c r="BP67" s="377"/>
      <c r="BQ67" s="377"/>
      <c r="BR67" s="377"/>
      <c r="BS67" s="377"/>
      <c r="BT67" s="377"/>
      <c r="BU67" s="377"/>
      <c r="BV67" s="377"/>
      <c r="BW67" s="377"/>
      <c r="BX67" s="377"/>
      <c r="BY67" s="377"/>
      <c r="BZ67" s="377"/>
      <c r="CA67" s="377"/>
      <c r="CB67" s="377"/>
      <c r="CC67" s="377"/>
      <c r="CD67" s="377"/>
      <c r="CE67" s="377"/>
      <c r="CF67" s="377"/>
      <c r="CG67" s="377"/>
      <c r="CH67" s="377"/>
      <c r="CI67" s="377"/>
    </row>
    <row r="68" spans="1:87" ht="90">
      <c r="A68" s="366">
        <f t="shared" si="76"/>
        <v>30</v>
      </c>
      <c r="B68" s="366">
        <f t="shared" si="76"/>
        <v>3</v>
      </c>
      <c r="C68" s="409" t="s">
        <v>914</v>
      </c>
      <c r="D68" s="412" t="s">
        <v>1074</v>
      </c>
      <c r="E68" s="366" t="s">
        <v>998</v>
      </c>
      <c r="F68" s="366" t="s">
        <v>254</v>
      </c>
      <c r="G68" s="366" t="s">
        <v>1075</v>
      </c>
      <c r="H68" s="371" t="s">
        <v>1403</v>
      </c>
      <c r="I68" s="366">
        <v>17697</v>
      </c>
      <c r="J68" s="367">
        <v>9.5</v>
      </c>
      <c r="K68" s="367">
        <f t="shared" si="46"/>
        <v>168121.5</v>
      </c>
      <c r="L68" s="380"/>
      <c r="M68" s="380"/>
      <c r="N68" s="380">
        <v>4</v>
      </c>
      <c r="O68" s="380">
        <v>8</v>
      </c>
      <c r="P68" s="380"/>
      <c r="Q68" s="368">
        <f t="shared" si="47"/>
        <v>12</v>
      </c>
      <c r="R68" s="411"/>
      <c r="S68" s="411"/>
      <c r="T68" s="411">
        <v>1</v>
      </c>
      <c r="U68" s="411">
        <v>20</v>
      </c>
      <c r="V68" s="411"/>
      <c r="W68" s="381">
        <f t="shared" ref="W68" si="80">SUM(R68:V68)</f>
        <v>21</v>
      </c>
      <c r="X68" s="370">
        <f t="shared" si="49"/>
        <v>33</v>
      </c>
      <c r="Y68" s="367">
        <f t="shared" si="50"/>
        <v>346750.59375</v>
      </c>
      <c r="Z68" s="367">
        <f t="shared" si="51"/>
        <v>34675.059375000004</v>
      </c>
      <c r="AA68" s="366">
        <v>13</v>
      </c>
      <c r="AB68" s="367">
        <f t="shared" si="52"/>
        <v>5751.5250000000005</v>
      </c>
      <c r="AC68" s="366">
        <v>0</v>
      </c>
      <c r="AD68" s="367">
        <f t="shared" si="53"/>
        <v>0</v>
      </c>
      <c r="AE68" s="380"/>
      <c r="AF68" s="366"/>
      <c r="AG68" s="367"/>
      <c r="AH68" s="366"/>
      <c r="AI68" s="367"/>
      <c r="AJ68" s="366">
        <f t="shared" si="54"/>
        <v>33</v>
      </c>
      <c r="AK68" s="367">
        <f t="shared" si="55"/>
        <v>14600.025000000001</v>
      </c>
      <c r="AL68" s="366">
        <f t="shared" si="56"/>
        <v>33</v>
      </c>
      <c r="AM68" s="367">
        <f t="shared" si="57"/>
        <v>104025.17812499999</v>
      </c>
      <c r="AN68" s="366" t="str">
        <f t="shared" si="58"/>
        <v>Педагог-модератор</v>
      </c>
      <c r="AO68" s="367" t="str">
        <f t="shared" si="59"/>
        <v>0</v>
      </c>
      <c r="AP68" s="367" t="str">
        <f t="shared" si="60"/>
        <v>0</v>
      </c>
      <c r="AQ68" s="367" t="str">
        <f t="shared" si="61"/>
        <v>0</v>
      </c>
      <c r="AR68" s="367">
        <f t="shared" si="62"/>
        <v>104025.17812499999</v>
      </c>
      <c r="AS68" s="366"/>
      <c r="AT68" s="367"/>
      <c r="AU68" s="380"/>
      <c r="AV68" s="367"/>
      <c r="AW68" s="371" t="str">
        <f t="shared" si="78"/>
        <v>Магистр физика, кандидат доктора естест. Наук</v>
      </c>
      <c r="AX68" s="372">
        <f>(10*4335)+(17*4335)</f>
        <v>117045</v>
      </c>
      <c r="AY68" s="367"/>
      <c r="AZ68" s="367">
        <f t="shared" si="63"/>
        <v>380121.96562500001</v>
      </c>
      <c r="BA68" s="373">
        <f t="shared" si="64"/>
        <v>726872.55937499995</v>
      </c>
      <c r="BB68" s="374">
        <f t="shared" si="65"/>
        <v>72687.255937499998</v>
      </c>
      <c r="BC68" s="374">
        <f t="shared" si="66"/>
        <v>14537.451187499999</v>
      </c>
      <c r="BD68" s="374">
        <f t="shared" si="67"/>
        <v>57895.785224999992</v>
      </c>
      <c r="BE68" s="374">
        <f t="shared" si="68"/>
        <v>581752.06702499988</v>
      </c>
      <c r="BF68" s="374">
        <f t="shared" si="69"/>
        <v>8722470.7124999985</v>
      </c>
      <c r="BG68" s="374">
        <f t="shared" si="70"/>
        <v>693501.1875</v>
      </c>
      <c r="BH68" s="374">
        <f t="shared" si="71"/>
        <v>9415971.8999999985</v>
      </c>
      <c r="BI68" s="374">
        <f t="shared" si="72"/>
        <v>423718.73549999995</v>
      </c>
      <c r="BJ68" s="374">
        <f t="shared" si="73"/>
        <v>261674.12137499996</v>
      </c>
      <c r="BK68" s="374">
        <f t="shared" si="74"/>
        <v>489273.04703249992</v>
      </c>
      <c r="BL68" s="374">
        <f t="shared" si="79"/>
        <v>423718.73549999989</v>
      </c>
      <c r="BM68" s="373">
        <f t="shared" si="75"/>
        <v>11014356.539407499</v>
      </c>
      <c r="BN68" s="375">
        <v>0.5</v>
      </c>
      <c r="BO68" s="377"/>
      <c r="BP68" s="377"/>
      <c r="BQ68" s="377"/>
      <c r="BR68" s="377"/>
      <c r="BS68" s="377"/>
      <c r="BT68" s="377"/>
      <c r="BU68" s="377"/>
      <c r="BV68" s="377"/>
      <c r="BW68" s="377"/>
      <c r="BX68" s="377"/>
      <c r="BY68" s="377"/>
      <c r="BZ68" s="377"/>
      <c r="CA68" s="377"/>
      <c r="CB68" s="377"/>
      <c r="CC68" s="377"/>
      <c r="CD68" s="377"/>
      <c r="CE68" s="377"/>
      <c r="CF68" s="377"/>
      <c r="CG68" s="377"/>
      <c r="CH68" s="377"/>
      <c r="CI68" s="377"/>
    </row>
    <row r="69" spans="1:87" ht="63" customHeight="1">
      <c r="A69" s="366">
        <f t="shared" si="76"/>
        <v>31</v>
      </c>
      <c r="B69" s="366">
        <f t="shared" si="76"/>
        <v>4</v>
      </c>
      <c r="C69" s="413" t="s">
        <v>1076</v>
      </c>
      <c r="D69" s="414" t="s">
        <v>1077</v>
      </c>
      <c r="E69" s="394" t="s">
        <v>998</v>
      </c>
      <c r="F69" s="394" t="s">
        <v>1005</v>
      </c>
      <c r="G69" s="394"/>
      <c r="H69" s="371" t="s">
        <v>1078</v>
      </c>
      <c r="I69" s="366">
        <v>17697</v>
      </c>
      <c r="J69" s="367">
        <v>11.4</v>
      </c>
      <c r="K69" s="367">
        <f t="shared" si="46"/>
        <v>201745.80000000002</v>
      </c>
      <c r="L69" s="380"/>
      <c r="M69" s="380">
        <v>12</v>
      </c>
      <c r="N69" s="380"/>
      <c r="O69" s="380"/>
      <c r="P69" s="380"/>
      <c r="Q69" s="368">
        <f t="shared" si="47"/>
        <v>12</v>
      </c>
      <c r="R69" s="411"/>
      <c r="S69" s="411">
        <v>3</v>
      </c>
      <c r="T69" s="411"/>
      <c r="U69" s="411"/>
      <c r="V69" s="411"/>
      <c r="W69" s="381">
        <f t="shared" si="48"/>
        <v>3</v>
      </c>
      <c r="X69" s="370">
        <f t="shared" si="49"/>
        <v>15</v>
      </c>
      <c r="Y69" s="367">
        <f t="shared" si="50"/>
        <v>189136.68750000003</v>
      </c>
      <c r="Z69" s="367">
        <f t="shared" si="51"/>
        <v>18913.668750000004</v>
      </c>
      <c r="AA69" s="366">
        <v>10</v>
      </c>
      <c r="AB69" s="367">
        <f t="shared" si="52"/>
        <v>4424.25</v>
      </c>
      <c r="AC69" s="366">
        <v>5</v>
      </c>
      <c r="AD69" s="367">
        <f t="shared" si="53"/>
        <v>1106.0625</v>
      </c>
      <c r="AE69" s="380"/>
      <c r="AF69" s="366" t="s">
        <v>275</v>
      </c>
      <c r="AG69" s="367">
        <f t="shared" si="77"/>
        <v>3539.4</v>
      </c>
      <c r="AH69" s="366"/>
      <c r="AI69" s="367"/>
      <c r="AJ69" s="366">
        <f t="shared" si="54"/>
        <v>15</v>
      </c>
      <c r="AK69" s="367">
        <f t="shared" si="55"/>
        <v>6636.375</v>
      </c>
      <c r="AL69" s="366">
        <f t="shared" si="56"/>
        <v>15</v>
      </c>
      <c r="AM69" s="367">
        <f t="shared" si="57"/>
        <v>56741.006250000006</v>
      </c>
      <c r="AN69" s="366" t="str">
        <f t="shared" si="58"/>
        <v>Педагог-зерттеуші</v>
      </c>
      <c r="AO69" s="367" t="str">
        <f t="shared" si="59"/>
        <v>0</v>
      </c>
      <c r="AP69" s="367">
        <f t="shared" si="60"/>
        <v>75654.675000000017</v>
      </c>
      <c r="AQ69" s="367" t="str">
        <f t="shared" si="61"/>
        <v>0</v>
      </c>
      <c r="AR69" s="367" t="str">
        <f t="shared" si="62"/>
        <v>0</v>
      </c>
      <c r="AS69" s="366"/>
      <c r="AT69" s="367"/>
      <c r="AU69" s="371"/>
      <c r="AV69" s="367"/>
      <c r="AW69" s="371">
        <f t="shared" si="78"/>
        <v>0</v>
      </c>
      <c r="AX69" s="372"/>
      <c r="AY69" s="367"/>
      <c r="AZ69" s="367">
        <f t="shared" si="63"/>
        <v>167015.43750000003</v>
      </c>
      <c r="BA69" s="373">
        <f t="shared" si="64"/>
        <v>356152.12500000006</v>
      </c>
      <c r="BB69" s="374">
        <f t="shared" si="65"/>
        <v>35615.212500000009</v>
      </c>
      <c r="BC69" s="374">
        <f t="shared" si="66"/>
        <v>7123.0425000000014</v>
      </c>
      <c r="BD69" s="374">
        <f t="shared" si="67"/>
        <v>25272.387000000006</v>
      </c>
      <c r="BE69" s="374">
        <f t="shared" si="68"/>
        <v>288141.48300000007</v>
      </c>
      <c r="BF69" s="374">
        <f t="shared" si="69"/>
        <v>4273825.5000000009</v>
      </c>
      <c r="BG69" s="374">
        <f t="shared" si="70"/>
        <v>378273.37500000006</v>
      </c>
      <c r="BH69" s="374">
        <f t="shared" si="71"/>
        <v>4652098.8750000009</v>
      </c>
      <c r="BI69" s="374">
        <f t="shared" si="72"/>
        <v>209344.44937500005</v>
      </c>
      <c r="BJ69" s="374">
        <f t="shared" si="73"/>
        <v>128214.76500000003</v>
      </c>
      <c r="BK69" s="374">
        <f t="shared" si="74"/>
        <v>241810.92315000008</v>
      </c>
      <c r="BL69" s="374">
        <f t="shared" si="79"/>
        <v>209344.44937500003</v>
      </c>
      <c r="BM69" s="373">
        <f t="shared" si="75"/>
        <v>5440813.4619000005</v>
      </c>
      <c r="BN69" s="375"/>
      <c r="BO69" s="377"/>
      <c r="BP69" s="377"/>
      <c r="BQ69" s="377"/>
      <c r="BR69" s="377"/>
      <c r="BS69" s="377"/>
      <c r="BT69" s="377"/>
      <c r="BU69" s="377"/>
      <c r="BV69" s="377"/>
      <c r="BW69" s="377"/>
      <c r="BX69" s="377"/>
      <c r="BY69" s="377"/>
      <c r="BZ69" s="377"/>
      <c r="CA69" s="377"/>
      <c r="CB69" s="377"/>
      <c r="CC69" s="377"/>
      <c r="CD69" s="377"/>
      <c r="CE69" s="377"/>
      <c r="CF69" s="377"/>
      <c r="CG69" s="377"/>
      <c r="CH69" s="377"/>
      <c r="CI69" s="377"/>
    </row>
    <row r="70" spans="1:87" ht="30">
      <c r="A70" s="366">
        <f t="shared" si="76"/>
        <v>32</v>
      </c>
      <c r="B70" s="366">
        <f t="shared" si="76"/>
        <v>5</v>
      </c>
      <c r="C70" s="378" t="s">
        <v>1079</v>
      </c>
      <c r="D70" s="379" t="s">
        <v>1080</v>
      </c>
      <c r="E70" s="362" t="s">
        <v>998</v>
      </c>
      <c r="F70" s="362" t="s">
        <v>999</v>
      </c>
      <c r="G70" s="383"/>
      <c r="H70" s="365" t="s">
        <v>1081</v>
      </c>
      <c r="I70" s="366">
        <v>17697</v>
      </c>
      <c r="J70" s="367">
        <v>11.4</v>
      </c>
      <c r="K70" s="367">
        <f t="shared" si="46"/>
        <v>201745.80000000002</v>
      </c>
      <c r="L70" s="380"/>
      <c r="M70" s="380"/>
      <c r="N70" s="380"/>
      <c r="O70" s="380"/>
      <c r="P70" s="380">
        <v>16</v>
      </c>
      <c r="Q70" s="368">
        <f t="shared" si="47"/>
        <v>16</v>
      </c>
      <c r="R70" s="411"/>
      <c r="S70" s="411"/>
      <c r="T70" s="411"/>
      <c r="U70" s="411"/>
      <c r="V70" s="411"/>
      <c r="W70" s="381">
        <f t="shared" si="48"/>
        <v>0</v>
      </c>
      <c r="X70" s="370">
        <f t="shared" si="49"/>
        <v>16</v>
      </c>
      <c r="Y70" s="367">
        <f t="shared" si="50"/>
        <v>201745.80000000002</v>
      </c>
      <c r="Z70" s="367">
        <f t="shared" si="51"/>
        <v>20174.580000000002</v>
      </c>
      <c r="AA70" s="366">
        <v>12</v>
      </c>
      <c r="AB70" s="367">
        <f t="shared" si="52"/>
        <v>5309.1</v>
      </c>
      <c r="AC70" s="366">
        <v>4</v>
      </c>
      <c r="AD70" s="367">
        <f t="shared" si="53"/>
        <v>884.85</v>
      </c>
      <c r="AE70" s="380"/>
      <c r="AF70" s="366" t="s">
        <v>1082</v>
      </c>
      <c r="AG70" s="367">
        <f t="shared" si="77"/>
        <v>3539.4</v>
      </c>
      <c r="AH70" s="366"/>
      <c r="AI70" s="367"/>
      <c r="AJ70" s="366">
        <f t="shared" si="54"/>
        <v>16</v>
      </c>
      <c r="AK70" s="367">
        <f t="shared" si="55"/>
        <v>7078.8</v>
      </c>
      <c r="AL70" s="366">
        <f t="shared" si="56"/>
        <v>16</v>
      </c>
      <c r="AM70" s="367">
        <f t="shared" si="57"/>
        <v>60523.740000000005</v>
      </c>
      <c r="AN70" s="366" t="str">
        <f t="shared" si="58"/>
        <v>Педагог-шебер</v>
      </c>
      <c r="AO70" s="367">
        <f t="shared" si="59"/>
        <v>100872.90000000001</v>
      </c>
      <c r="AP70" s="367" t="str">
        <f t="shared" si="60"/>
        <v>0</v>
      </c>
      <c r="AQ70" s="367" t="str">
        <f t="shared" si="61"/>
        <v>0</v>
      </c>
      <c r="AR70" s="367" t="str">
        <f t="shared" si="62"/>
        <v>0</v>
      </c>
      <c r="AS70" s="366"/>
      <c r="AT70" s="367"/>
      <c r="AU70" s="380"/>
      <c r="AV70" s="367"/>
      <c r="AW70" s="371">
        <f t="shared" si="78"/>
        <v>0</v>
      </c>
      <c r="AX70" s="372"/>
      <c r="AY70" s="367"/>
      <c r="AZ70" s="367">
        <f t="shared" si="63"/>
        <v>198383.37</v>
      </c>
      <c r="BA70" s="373">
        <f t="shared" si="64"/>
        <v>400129.17000000004</v>
      </c>
      <c r="BB70" s="374">
        <f t="shared" si="65"/>
        <v>40012.917000000009</v>
      </c>
      <c r="BC70" s="374">
        <f t="shared" si="66"/>
        <v>8002.5834000000013</v>
      </c>
      <c r="BD70" s="374">
        <f t="shared" si="67"/>
        <v>29142.366960000003</v>
      </c>
      <c r="BE70" s="374">
        <f t="shared" si="68"/>
        <v>322971.30264000001</v>
      </c>
      <c r="BF70" s="374">
        <f t="shared" si="69"/>
        <v>4801550.040000001</v>
      </c>
      <c r="BG70" s="374">
        <f t="shared" si="70"/>
        <v>403491.60000000003</v>
      </c>
      <c r="BH70" s="374">
        <f t="shared" si="71"/>
        <v>5205041.6400000006</v>
      </c>
      <c r="BI70" s="374">
        <f t="shared" si="72"/>
        <v>234226.87380000006</v>
      </c>
      <c r="BJ70" s="374">
        <f t="shared" si="73"/>
        <v>144046.50120000003</v>
      </c>
      <c r="BK70" s="374">
        <f t="shared" si="74"/>
        <v>270508.83847200009</v>
      </c>
      <c r="BL70" s="374">
        <f t="shared" si="79"/>
        <v>234226.87380000003</v>
      </c>
      <c r="BM70" s="373">
        <f t="shared" si="75"/>
        <v>6088050.7272720011</v>
      </c>
      <c r="BN70" s="375"/>
      <c r="BO70" s="377"/>
      <c r="BP70" s="377"/>
      <c r="BQ70" s="377"/>
      <c r="BR70" s="377"/>
      <c r="BS70" s="377"/>
      <c r="BT70" s="377"/>
      <c r="BU70" s="377"/>
      <c r="BV70" s="377"/>
      <c r="BW70" s="377"/>
      <c r="BX70" s="377"/>
      <c r="BY70" s="377"/>
      <c r="BZ70" s="377"/>
      <c r="CA70" s="377"/>
      <c r="CB70" s="377"/>
      <c r="CC70" s="377"/>
      <c r="CD70" s="377"/>
      <c r="CE70" s="377"/>
      <c r="CF70" s="377"/>
      <c r="CG70" s="377"/>
      <c r="CH70" s="377"/>
      <c r="CI70" s="377"/>
    </row>
    <row r="71" spans="1:87" ht="68.25" customHeight="1">
      <c r="A71" s="366">
        <f t="shared" si="76"/>
        <v>33</v>
      </c>
      <c r="B71" s="366">
        <f t="shared" si="76"/>
        <v>6</v>
      </c>
      <c r="C71" s="415" t="s">
        <v>1083</v>
      </c>
      <c r="D71" s="379" t="s">
        <v>1084</v>
      </c>
      <c r="E71" s="362" t="s">
        <v>998</v>
      </c>
      <c r="F71" s="362" t="s">
        <v>254</v>
      </c>
      <c r="G71" s="406" t="s">
        <v>1085</v>
      </c>
      <c r="H71" s="365" t="s">
        <v>1415</v>
      </c>
      <c r="I71" s="366">
        <v>17697</v>
      </c>
      <c r="J71" s="367">
        <v>10</v>
      </c>
      <c r="K71" s="367">
        <f t="shared" si="46"/>
        <v>176970</v>
      </c>
      <c r="L71" s="380"/>
      <c r="M71" s="380"/>
      <c r="N71" s="380">
        <v>16</v>
      </c>
      <c r="O71" s="380">
        <v>12</v>
      </c>
      <c r="P71" s="380"/>
      <c r="Q71" s="368">
        <f t="shared" si="47"/>
        <v>28</v>
      </c>
      <c r="R71" s="411"/>
      <c r="S71" s="411"/>
      <c r="T71" s="411">
        <v>4</v>
      </c>
      <c r="U71" s="411"/>
      <c r="V71" s="411"/>
      <c r="W71" s="381">
        <f t="shared" si="48"/>
        <v>4</v>
      </c>
      <c r="X71" s="370">
        <f t="shared" si="49"/>
        <v>32</v>
      </c>
      <c r="Y71" s="367">
        <f t="shared" si="50"/>
        <v>353940</v>
      </c>
      <c r="Z71" s="367">
        <f t="shared" si="51"/>
        <v>35394</v>
      </c>
      <c r="AA71" s="366">
        <v>32</v>
      </c>
      <c r="AB71" s="367">
        <f t="shared" si="52"/>
        <v>14157.6</v>
      </c>
      <c r="AC71" s="366">
        <v>0</v>
      </c>
      <c r="AD71" s="367">
        <f t="shared" si="53"/>
        <v>0</v>
      </c>
      <c r="AE71" s="416"/>
      <c r="AF71" s="366"/>
      <c r="AG71" s="367"/>
      <c r="AH71" s="366"/>
      <c r="AI71" s="367"/>
      <c r="AJ71" s="366">
        <f t="shared" si="54"/>
        <v>32</v>
      </c>
      <c r="AK71" s="367">
        <f t="shared" si="55"/>
        <v>14157.6</v>
      </c>
      <c r="AL71" s="366">
        <f t="shared" si="56"/>
        <v>32</v>
      </c>
      <c r="AM71" s="367">
        <f t="shared" si="57"/>
        <v>106182</v>
      </c>
      <c r="AN71" s="366" t="str">
        <f t="shared" si="58"/>
        <v>Педагог-модератор</v>
      </c>
      <c r="AO71" s="367" t="str">
        <f t="shared" si="59"/>
        <v>0</v>
      </c>
      <c r="AP71" s="367" t="str">
        <f t="shared" si="60"/>
        <v>0</v>
      </c>
      <c r="AQ71" s="367" t="str">
        <f t="shared" si="61"/>
        <v>0</v>
      </c>
      <c r="AR71" s="367">
        <f t="shared" si="62"/>
        <v>106182</v>
      </c>
      <c r="AS71" s="366"/>
      <c r="AT71" s="367"/>
      <c r="AU71" s="371"/>
      <c r="AV71" s="367"/>
      <c r="AW71" s="371" t="str">
        <f t="shared" si="78"/>
        <v>Магистр материаловедение</v>
      </c>
      <c r="AX71" s="372">
        <f>10*4335</f>
        <v>43350</v>
      </c>
      <c r="AY71" s="367"/>
      <c r="AZ71" s="367">
        <f t="shared" si="63"/>
        <v>319423.2</v>
      </c>
      <c r="BA71" s="373">
        <f t="shared" si="64"/>
        <v>673363.2</v>
      </c>
      <c r="BB71" s="374">
        <f t="shared" si="65"/>
        <v>67336.319999999992</v>
      </c>
      <c r="BC71" s="374">
        <f t="shared" si="66"/>
        <v>13467.263999999999</v>
      </c>
      <c r="BD71" s="374">
        <f t="shared" si="67"/>
        <v>53186.96160000001</v>
      </c>
      <c r="BE71" s="374">
        <f t="shared" si="68"/>
        <v>539372.6544</v>
      </c>
      <c r="BF71" s="374">
        <f t="shared" si="69"/>
        <v>8080358.3999999994</v>
      </c>
      <c r="BG71" s="374">
        <f t="shared" si="70"/>
        <v>707880</v>
      </c>
      <c r="BH71" s="374">
        <f t="shared" si="71"/>
        <v>8788238.3999999985</v>
      </c>
      <c r="BI71" s="374">
        <f t="shared" si="72"/>
        <v>395470.72799999994</v>
      </c>
      <c r="BJ71" s="374">
        <f t="shared" si="73"/>
        <v>242410.75199999998</v>
      </c>
      <c r="BK71" s="374">
        <f t="shared" si="74"/>
        <v>456788.08512</v>
      </c>
      <c r="BL71" s="374">
        <f t="shared" si="79"/>
        <v>395470.72799999994</v>
      </c>
      <c r="BM71" s="373">
        <f t="shared" si="75"/>
        <v>10278378.693119999</v>
      </c>
      <c r="BN71" s="375"/>
      <c r="BO71" s="377"/>
      <c r="BP71" s="377"/>
      <c r="BQ71" s="377"/>
      <c r="BR71" s="377"/>
      <c r="BS71" s="377"/>
      <c r="BT71" s="377"/>
      <c r="BU71" s="377"/>
      <c r="BV71" s="377"/>
      <c r="BW71" s="377"/>
      <c r="BX71" s="377"/>
      <c r="BY71" s="377"/>
      <c r="BZ71" s="377"/>
      <c r="CA71" s="377"/>
      <c r="CB71" s="377"/>
      <c r="CC71" s="377"/>
      <c r="CD71" s="377"/>
      <c r="CE71" s="377"/>
      <c r="CF71" s="377"/>
      <c r="CG71" s="377"/>
      <c r="CH71" s="377"/>
      <c r="CI71" s="377"/>
    </row>
    <row r="72" spans="1:87" ht="47.25">
      <c r="A72" s="366">
        <f t="shared" si="76"/>
        <v>34</v>
      </c>
      <c r="B72" s="366">
        <f t="shared" si="76"/>
        <v>7</v>
      </c>
      <c r="C72" s="417" t="s">
        <v>1086</v>
      </c>
      <c r="D72" s="379" t="s">
        <v>1087</v>
      </c>
      <c r="E72" s="362" t="s">
        <v>998</v>
      </c>
      <c r="F72" s="362"/>
      <c r="G72" s="362"/>
      <c r="H72" s="365" t="s">
        <v>1088</v>
      </c>
      <c r="I72" s="366">
        <v>17697</v>
      </c>
      <c r="J72" s="367">
        <v>11.4</v>
      </c>
      <c r="K72" s="367">
        <f t="shared" si="46"/>
        <v>201745.80000000002</v>
      </c>
      <c r="L72" s="380"/>
      <c r="M72" s="380">
        <v>20</v>
      </c>
      <c r="N72" s="380"/>
      <c r="O72" s="380"/>
      <c r="P72" s="380"/>
      <c r="Q72" s="368">
        <f t="shared" si="47"/>
        <v>20</v>
      </c>
      <c r="R72" s="411"/>
      <c r="S72" s="411">
        <v>5</v>
      </c>
      <c r="T72" s="411"/>
      <c r="U72" s="411"/>
      <c r="V72" s="411"/>
      <c r="W72" s="381">
        <f t="shared" si="48"/>
        <v>5</v>
      </c>
      <c r="X72" s="370">
        <f t="shared" si="49"/>
        <v>25</v>
      </c>
      <c r="Y72" s="367">
        <f t="shared" si="50"/>
        <v>315227.8125</v>
      </c>
      <c r="Z72" s="367">
        <f t="shared" si="51"/>
        <v>31522.78125</v>
      </c>
      <c r="AA72" s="366">
        <v>5</v>
      </c>
      <c r="AB72" s="367">
        <f t="shared" si="52"/>
        <v>2212.125</v>
      </c>
      <c r="AC72" s="366">
        <v>20</v>
      </c>
      <c r="AD72" s="367">
        <f t="shared" si="53"/>
        <v>4424.25</v>
      </c>
      <c r="AE72" s="380"/>
      <c r="AF72" s="366"/>
      <c r="AG72" s="367"/>
      <c r="AH72" s="366"/>
      <c r="AI72" s="367"/>
      <c r="AJ72" s="366">
        <f t="shared" si="54"/>
        <v>25</v>
      </c>
      <c r="AK72" s="367">
        <f t="shared" si="55"/>
        <v>11060.625</v>
      </c>
      <c r="AL72" s="366">
        <f t="shared" si="56"/>
        <v>25</v>
      </c>
      <c r="AM72" s="367">
        <f t="shared" si="57"/>
        <v>94568.34375</v>
      </c>
      <c r="AN72" s="366">
        <f t="shared" si="58"/>
        <v>0</v>
      </c>
      <c r="AO72" s="367" t="str">
        <f t="shared" si="59"/>
        <v>0</v>
      </c>
      <c r="AP72" s="367" t="str">
        <f t="shared" si="60"/>
        <v>0</v>
      </c>
      <c r="AQ72" s="367" t="str">
        <f t="shared" si="61"/>
        <v>0</v>
      </c>
      <c r="AR72" s="367" t="str">
        <f t="shared" si="62"/>
        <v>0</v>
      </c>
      <c r="AS72" s="366"/>
      <c r="AT72" s="367"/>
      <c r="AU72" s="371"/>
      <c r="AV72" s="367"/>
      <c r="AW72" s="371">
        <f t="shared" si="78"/>
        <v>0</v>
      </c>
      <c r="AX72" s="372"/>
      <c r="AY72" s="367"/>
      <c r="AZ72" s="367">
        <f t="shared" si="63"/>
        <v>143788.125</v>
      </c>
      <c r="BA72" s="373">
        <f t="shared" si="64"/>
        <v>459015.9375</v>
      </c>
      <c r="BB72" s="374">
        <f t="shared" si="65"/>
        <v>45901.59375</v>
      </c>
      <c r="BC72" s="374">
        <f t="shared" si="66"/>
        <v>9180.3187500000004</v>
      </c>
      <c r="BD72" s="374">
        <f t="shared" si="67"/>
        <v>34324.402500000004</v>
      </c>
      <c r="BE72" s="374">
        <f t="shared" si="68"/>
        <v>369609.6225</v>
      </c>
      <c r="BF72" s="374">
        <f t="shared" si="69"/>
        <v>5508191.25</v>
      </c>
      <c r="BG72" s="374">
        <f t="shared" si="70"/>
        <v>630455.625</v>
      </c>
      <c r="BH72" s="374">
        <f t="shared" si="71"/>
        <v>6138646.875</v>
      </c>
      <c r="BI72" s="374">
        <f t="shared" si="72"/>
        <v>276239.109375</v>
      </c>
      <c r="BJ72" s="374">
        <f t="shared" si="73"/>
        <v>165245.73749999999</v>
      </c>
      <c r="BK72" s="374">
        <f t="shared" si="74"/>
        <v>319368.9105</v>
      </c>
      <c r="BL72" s="374">
        <f t="shared" si="79"/>
        <v>276239.109375</v>
      </c>
      <c r="BM72" s="373">
        <f t="shared" si="75"/>
        <v>7175739.74175</v>
      </c>
      <c r="BN72" s="375"/>
      <c r="BO72" s="377"/>
      <c r="BP72" s="377"/>
      <c r="BQ72" s="377"/>
      <c r="BR72" s="377"/>
      <c r="BS72" s="377"/>
      <c r="BT72" s="377"/>
      <c r="BU72" s="377"/>
      <c r="BV72" s="377"/>
      <c r="BW72" s="377"/>
      <c r="BX72" s="377"/>
      <c r="BY72" s="377"/>
      <c r="BZ72" s="377"/>
      <c r="CA72" s="377"/>
      <c r="CB72" s="377"/>
      <c r="CC72" s="377"/>
      <c r="CD72" s="377"/>
      <c r="CE72" s="377"/>
      <c r="CF72" s="377"/>
      <c r="CG72" s="377"/>
      <c r="CH72" s="377"/>
      <c r="CI72" s="377"/>
    </row>
    <row r="73" spans="1:87" ht="47.25">
      <c r="A73" s="366">
        <f t="shared" si="76"/>
        <v>35</v>
      </c>
      <c r="B73" s="366">
        <f t="shared" si="76"/>
        <v>8</v>
      </c>
      <c r="C73" s="417" t="s">
        <v>1089</v>
      </c>
      <c r="D73" s="379" t="s">
        <v>1090</v>
      </c>
      <c r="E73" s="362" t="s">
        <v>998</v>
      </c>
      <c r="F73" s="394" t="s">
        <v>1005</v>
      </c>
      <c r="G73" s="362"/>
      <c r="H73" s="365" t="s">
        <v>1416</v>
      </c>
      <c r="I73" s="366">
        <v>17697</v>
      </c>
      <c r="J73" s="367">
        <v>11.02</v>
      </c>
      <c r="K73" s="367">
        <f t="shared" si="46"/>
        <v>195020.94</v>
      </c>
      <c r="L73" s="380"/>
      <c r="M73" s="380">
        <v>4</v>
      </c>
      <c r="N73" s="380">
        <v>12</v>
      </c>
      <c r="O73" s="380"/>
      <c r="P73" s="380"/>
      <c r="Q73" s="368">
        <f t="shared" si="47"/>
        <v>16</v>
      </c>
      <c r="R73" s="411"/>
      <c r="S73" s="411">
        <v>1</v>
      </c>
      <c r="T73" s="411">
        <v>3</v>
      </c>
      <c r="U73" s="411"/>
      <c r="V73" s="411"/>
      <c r="W73" s="381">
        <f t="shared" si="48"/>
        <v>4</v>
      </c>
      <c r="X73" s="370">
        <f t="shared" si="49"/>
        <v>20</v>
      </c>
      <c r="Y73" s="367">
        <f t="shared" si="50"/>
        <v>243776.17499999999</v>
      </c>
      <c r="Z73" s="367">
        <f t="shared" si="51"/>
        <v>24377.6175</v>
      </c>
      <c r="AA73" s="366">
        <v>15</v>
      </c>
      <c r="AB73" s="367">
        <f t="shared" si="52"/>
        <v>6636.375</v>
      </c>
      <c r="AC73" s="366">
        <v>5</v>
      </c>
      <c r="AD73" s="367">
        <f t="shared" si="53"/>
        <v>1106.0625</v>
      </c>
      <c r="AE73" s="380"/>
      <c r="AF73" s="366"/>
      <c r="AG73" s="367"/>
      <c r="AH73" s="366"/>
      <c r="AI73" s="367"/>
      <c r="AJ73" s="366">
        <f t="shared" si="54"/>
        <v>20</v>
      </c>
      <c r="AK73" s="367">
        <f t="shared" si="55"/>
        <v>8848.5</v>
      </c>
      <c r="AL73" s="366">
        <f t="shared" si="56"/>
        <v>20</v>
      </c>
      <c r="AM73" s="367">
        <f t="shared" si="57"/>
        <v>73132.852499999994</v>
      </c>
      <c r="AN73" s="366" t="str">
        <f t="shared" si="58"/>
        <v>Педагог-зерттеуші</v>
      </c>
      <c r="AO73" s="367" t="str">
        <f t="shared" si="59"/>
        <v>0</v>
      </c>
      <c r="AP73" s="367">
        <f t="shared" si="60"/>
        <v>97510.47</v>
      </c>
      <c r="AQ73" s="367" t="str">
        <f t="shared" si="61"/>
        <v>0</v>
      </c>
      <c r="AR73" s="367" t="str">
        <f t="shared" si="62"/>
        <v>0</v>
      </c>
      <c r="AS73" s="366"/>
      <c r="AT73" s="367"/>
      <c r="AU73" s="371"/>
      <c r="AV73" s="367"/>
      <c r="AW73" s="371">
        <f t="shared" si="78"/>
        <v>0</v>
      </c>
      <c r="AX73" s="372"/>
      <c r="AY73" s="367"/>
      <c r="AZ73" s="367">
        <f t="shared" si="63"/>
        <v>211611.8775</v>
      </c>
      <c r="BA73" s="373">
        <f t="shared" si="64"/>
        <v>455388.05249999999</v>
      </c>
      <c r="BB73" s="374">
        <f t="shared" si="65"/>
        <v>45538.805250000005</v>
      </c>
      <c r="BC73" s="374">
        <f t="shared" si="66"/>
        <v>9107.7610499999992</v>
      </c>
      <c r="BD73" s="374">
        <f t="shared" si="67"/>
        <v>34005.148620000007</v>
      </c>
      <c r="BE73" s="374">
        <f t="shared" si="68"/>
        <v>366736.33758000005</v>
      </c>
      <c r="BF73" s="374">
        <f t="shared" si="69"/>
        <v>5464656.6299999999</v>
      </c>
      <c r="BG73" s="374">
        <f t="shared" si="70"/>
        <v>487552.35</v>
      </c>
      <c r="BH73" s="374">
        <f t="shared" si="71"/>
        <v>5952208.9799999995</v>
      </c>
      <c r="BI73" s="374">
        <f t="shared" si="72"/>
        <v>267849.40409999999</v>
      </c>
      <c r="BJ73" s="374">
        <f t="shared" si="73"/>
        <v>163939.69889999999</v>
      </c>
      <c r="BK73" s="374">
        <f t="shared" si="74"/>
        <v>309397.04033399996</v>
      </c>
      <c r="BL73" s="374">
        <f t="shared" si="79"/>
        <v>267849.40409999999</v>
      </c>
      <c r="BM73" s="373">
        <f t="shared" si="75"/>
        <v>6961244.5274339998</v>
      </c>
      <c r="BN73" s="375"/>
      <c r="BO73" s="377"/>
      <c r="BP73" s="377"/>
      <c r="BQ73" s="377"/>
      <c r="BR73" s="377"/>
      <c r="BS73" s="377"/>
      <c r="BT73" s="377"/>
      <c r="BU73" s="377"/>
      <c r="BV73" s="377"/>
      <c r="BW73" s="377"/>
      <c r="BX73" s="377"/>
      <c r="BY73" s="377"/>
      <c r="BZ73" s="377"/>
      <c r="CA73" s="377"/>
      <c r="CB73" s="377"/>
      <c r="CC73" s="377"/>
      <c r="CD73" s="377"/>
      <c r="CE73" s="377"/>
      <c r="CF73" s="377"/>
      <c r="CG73" s="377"/>
      <c r="CH73" s="377"/>
      <c r="CI73" s="377"/>
    </row>
    <row r="74" spans="1:87" ht="47.25">
      <c r="A74" s="366">
        <f t="shared" si="76"/>
        <v>36</v>
      </c>
      <c r="B74" s="366">
        <f t="shared" si="76"/>
        <v>9</v>
      </c>
      <c r="C74" s="378" t="s">
        <v>1091</v>
      </c>
      <c r="D74" s="379" t="s">
        <v>1092</v>
      </c>
      <c r="E74" s="362" t="s">
        <v>998</v>
      </c>
      <c r="F74" s="362" t="s">
        <v>1005</v>
      </c>
      <c r="G74" s="362" t="s">
        <v>1093</v>
      </c>
      <c r="H74" s="365" t="s">
        <v>1417</v>
      </c>
      <c r="I74" s="366">
        <v>17697</v>
      </c>
      <c r="J74" s="367">
        <v>10.82</v>
      </c>
      <c r="K74" s="367">
        <f t="shared" si="46"/>
        <v>191481.54</v>
      </c>
      <c r="L74" s="380">
        <v>20</v>
      </c>
      <c r="M74" s="380"/>
      <c r="N74" s="380">
        <v>4</v>
      </c>
      <c r="O74" s="380"/>
      <c r="P74" s="380"/>
      <c r="Q74" s="368">
        <f t="shared" ref="Q74" si="81">SUM(L74:P74)</f>
        <v>24</v>
      </c>
      <c r="R74" s="411">
        <v>5</v>
      </c>
      <c r="S74" s="411"/>
      <c r="T74" s="411">
        <v>1</v>
      </c>
      <c r="U74" s="411"/>
      <c r="V74" s="411"/>
      <c r="W74" s="381">
        <f t="shared" ref="W74" si="82">SUM(R74:V74)</f>
        <v>6</v>
      </c>
      <c r="X74" s="370">
        <f t="shared" si="49"/>
        <v>30</v>
      </c>
      <c r="Y74" s="367">
        <f t="shared" si="50"/>
        <v>359027.88750000001</v>
      </c>
      <c r="Z74" s="367">
        <f t="shared" si="51"/>
        <v>35902.78875</v>
      </c>
      <c r="AA74" s="366">
        <v>5</v>
      </c>
      <c r="AB74" s="367">
        <f t="shared" si="52"/>
        <v>2212.125</v>
      </c>
      <c r="AC74" s="366">
        <v>25</v>
      </c>
      <c r="AD74" s="367">
        <f t="shared" si="53"/>
        <v>5530.3125</v>
      </c>
      <c r="AE74" s="380"/>
      <c r="AF74" s="366" t="s">
        <v>1094</v>
      </c>
      <c r="AG74" s="367">
        <f t="shared" ref="AG74:AG78" si="83">17697*20%</f>
        <v>3539.4</v>
      </c>
      <c r="AH74" s="366"/>
      <c r="AI74" s="367"/>
      <c r="AJ74" s="366">
        <f t="shared" si="54"/>
        <v>30</v>
      </c>
      <c r="AK74" s="367">
        <f t="shared" si="55"/>
        <v>13272.75</v>
      </c>
      <c r="AL74" s="366">
        <f t="shared" si="56"/>
        <v>30</v>
      </c>
      <c r="AM74" s="367">
        <f t="shared" si="57"/>
        <v>107708.36625000001</v>
      </c>
      <c r="AN74" s="366" t="str">
        <f t="shared" si="58"/>
        <v>Педагог-зерттеуші</v>
      </c>
      <c r="AO74" s="367" t="str">
        <f t="shared" si="59"/>
        <v>0</v>
      </c>
      <c r="AP74" s="367">
        <f t="shared" si="60"/>
        <v>143611.155</v>
      </c>
      <c r="AQ74" s="367" t="str">
        <f t="shared" si="61"/>
        <v>0</v>
      </c>
      <c r="AR74" s="367" t="str">
        <f t="shared" si="62"/>
        <v>0</v>
      </c>
      <c r="AS74" s="366"/>
      <c r="AT74" s="367"/>
      <c r="AU74" s="371"/>
      <c r="AV74" s="367"/>
      <c r="AW74" s="371" t="str">
        <f t="shared" si="78"/>
        <v>Магистр-физика</v>
      </c>
      <c r="AX74" s="372">
        <f>10*4335</f>
        <v>43350</v>
      </c>
      <c r="AY74" s="367"/>
      <c r="AZ74" s="367">
        <f t="shared" si="63"/>
        <v>355126.89749999996</v>
      </c>
      <c r="BA74" s="373">
        <f t="shared" si="64"/>
        <v>714154.78499999992</v>
      </c>
      <c r="BB74" s="374">
        <f t="shared" si="65"/>
        <v>71415.478499999997</v>
      </c>
      <c r="BC74" s="374">
        <f t="shared" si="66"/>
        <v>14283.095699999998</v>
      </c>
      <c r="BD74" s="374">
        <f t="shared" si="67"/>
        <v>56776.621080000004</v>
      </c>
      <c r="BE74" s="374">
        <f t="shared" si="68"/>
        <v>571679.58972000005</v>
      </c>
      <c r="BF74" s="374">
        <f t="shared" si="69"/>
        <v>8569857.4199999981</v>
      </c>
      <c r="BG74" s="374">
        <f t="shared" si="70"/>
        <v>718055.77500000002</v>
      </c>
      <c r="BH74" s="374">
        <f t="shared" si="71"/>
        <v>9287913.1949999984</v>
      </c>
      <c r="BI74" s="374">
        <f t="shared" si="72"/>
        <v>417956.09377499996</v>
      </c>
      <c r="BJ74" s="374">
        <f t="shared" si="73"/>
        <v>257095.72259999992</v>
      </c>
      <c r="BK74" s="374">
        <f t="shared" si="74"/>
        <v>482693.62620599987</v>
      </c>
      <c r="BL74" s="374">
        <f t="shared" si="79"/>
        <v>417956.0937749999</v>
      </c>
      <c r="BM74" s="373">
        <f t="shared" si="75"/>
        <v>10863614.731355999</v>
      </c>
      <c r="BN74" s="375"/>
      <c r="BO74" s="377"/>
      <c r="BP74" s="377"/>
      <c r="BQ74" s="377"/>
      <c r="BR74" s="377"/>
      <c r="BS74" s="377"/>
      <c r="BT74" s="377"/>
      <c r="BU74" s="377"/>
      <c r="BV74" s="377"/>
      <c r="BW74" s="377"/>
      <c r="BX74" s="377"/>
      <c r="BY74" s="377"/>
      <c r="BZ74" s="377"/>
      <c r="CA74" s="377"/>
      <c r="CB74" s="377"/>
      <c r="CC74" s="377"/>
      <c r="CD74" s="377"/>
      <c r="CE74" s="377"/>
      <c r="CF74" s="377"/>
      <c r="CG74" s="377"/>
      <c r="CH74" s="377"/>
      <c r="CI74" s="377"/>
    </row>
    <row r="75" spans="1:87" ht="96.6" customHeight="1">
      <c r="A75" s="366">
        <f t="shared" si="76"/>
        <v>37</v>
      </c>
      <c r="B75" s="366">
        <f t="shared" si="76"/>
        <v>10</v>
      </c>
      <c r="C75" s="418" t="s">
        <v>1095</v>
      </c>
      <c r="D75" s="412" t="s">
        <v>1096</v>
      </c>
      <c r="E75" s="390" t="s">
        <v>998</v>
      </c>
      <c r="F75" s="390" t="s">
        <v>1005</v>
      </c>
      <c r="G75" s="390" t="s">
        <v>1097</v>
      </c>
      <c r="H75" s="371" t="s">
        <v>1418</v>
      </c>
      <c r="I75" s="366">
        <v>17697</v>
      </c>
      <c r="J75" s="367">
        <v>10.6</v>
      </c>
      <c r="K75" s="367">
        <f t="shared" si="46"/>
        <v>187588.19999999998</v>
      </c>
      <c r="L75" s="380"/>
      <c r="M75" s="380"/>
      <c r="N75" s="380">
        <v>8</v>
      </c>
      <c r="O75" s="380"/>
      <c r="P75" s="380">
        <v>20</v>
      </c>
      <c r="Q75" s="368">
        <f t="shared" si="47"/>
        <v>28</v>
      </c>
      <c r="R75" s="380"/>
      <c r="S75" s="380">
        <v>3</v>
      </c>
      <c r="T75" s="380">
        <v>6</v>
      </c>
      <c r="U75" s="380"/>
      <c r="V75" s="380"/>
      <c r="W75" s="381">
        <f t="shared" si="48"/>
        <v>9</v>
      </c>
      <c r="X75" s="370">
        <f t="shared" si="49"/>
        <v>37</v>
      </c>
      <c r="Y75" s="367">
        <f t="shared" si="50"/>
        <v>433797.71249999997</v>
      </c>
      <c r="Z75" s="367">
        <f t="shared" si="51"/>
        <v>43379.771249999998</v>
      </c>
      <c r="AA75" s="366">
        <v>10</v>
      </c>
      <c r="AB75" s="367">
        <f t="shared" si="52"/>
        <v>4424.25</v>
      </c>
      <c r="AC75" s="366">
        <v>20</v>
      </c>
      <c r="AD75" s="367">
        <f t="shared" si="53"/>
        <v>4424.25</v>
      </c>
      <c r="AE75" s="380"/>
      <c r="AF75" s="366"/>
      <c r="AG75" s="367"/>
      <c r="AH75" s="366"/>
      <c r="AI75" s="367"/>
      <c r="AJ75" s="366">
        <f t="shared" si="54"/>
        <v>37</v>
      </c>
      <c r="AK75" s="367">
        <f t="shared" si="55"/>
        <v>16369.725</v>
      </c>
      <c r="AL75" s="366">
        <f t="shared" si="56"/>
        <v>37</v>
      </c>
      <c r="AM75" s="367">
        <f t="shared" si="57"/>
        <v>130139.31374999999</v>
      </c>
      <c r="AN75" s="366" t="str">
        <f t="shared" si="58"/>
        <v>Педагог-зерттеуші</v>
      </c>
      <c r="AO75" s="367" t="str">
        <f t="shared" si="59"/>
        <v>0</v>
      </c>
      <c r="AP75" s="367">
        <f t="shared" si="60"/>
        <v>173519.08499999999</v>
      </c>
      <c r="AQ75" s="367" t="str">
        <f t="shared" si="61"/>
        <v>0</v>
      </c>
      <c r="AR75" s="367" t="str">
        <f t="shared" si="62"/>
        <v>0</v>
      </c>
      <c r="AS75" s="366"/>
      <c r="AT75" s="367"/>
      <c r="AU75" s="366"/>
      <c r="AV75" s="367"/>
      <c r="AW75" s="371" t="str">
        <f t="shared" si="78"/>
        <v>Магистр- физика</v>
      </c>
      <c r="AX75" s="372">
        <f>10*4335</f>
        <v>43350</v>
      </c>
      <c r="AY75" s="367"/>
      <c r="AZ75" s="367">
        <f t="shared" si="63"/>
        <v>415606.39500000002</v>
      </c>
      <c r="BA75" s="373">
        <f t="shared" si="64"/>
        <v>849404.10749999993</v>
      </c>
      <c r="BB75" s="374">
        <f t="shared" si="65"/>
        <v>84940.410749999995</v>
      </c>
      <c r="BC75" s="374">
        <f t="shared" si="66"/>
        <v>16988.082149999998</v>
      </c>
      <c r="BD75" s="374">
        <f t="shared" si="67"/>
        <v>68678.561459999983</v>
      </c>
      <c r="BE75" s="374">
        <f t="shared" si="68"/>
        <v>678797.05313999986</v>
      </c>
      <c r="BF75" s="374">
        <f t="shared" si="69"/>
        <v>10192849.289999999</v>
      </c>
      <c r="BG75" s="374">
        <f t="shared" si="70"/>
        <v>867595.42499999993</v>
      </c>
      <c r="BH75" s="374">
        <f t="shared" si="71"/>
        <v>11060444.715</v>
      </c>
      <c r="BI75" s="374">
        <f t="shared" si="72"/>
        <v>497720.01217500004</v>
      </c>
      <c r="BJ75" s="374">
        <f t="shared" si="73"/>
        <v>305785.47869999998</v>
      </c>
      <c r="BK75" s="374">
        <f t="shared" si="74"/>
        <v>574839.74617199996</v>
      </c>
      <c r="BL75" s="374">
        <f t="shared" si="79"/>
        <v>497720.01217499998</v>
      </c>
      <c r="BM75" s="373">
        <f t="shared" si="75"/>
        <v>12936509.964221999</v>
      </c>
      <c r="BN75" s="375"/>
      <c r="BO75" s="377"/>
      <c r="BP75" s="377"/>
      <c r="BQ75" s="377"/>
      <c r="BR75" s="377"/>
      <c r="BS75" s="377"/>
      <c r="BT75" s="377"/>
      <c r="BU75" s="377"/>
      <c r="BV75" s="377"/>
      <c r="BW75" s="377"/>
      <c r="BX75" s="377"/>
      <c r="BY75" s="377"/>
      <c r="BZ75" s="377"/>
      <c r="CA75" s="377"/>
      <c r="CB75" s="377"/>
      <c r="CC75" s="377"/>
      <c r="CD75" s="377"/>
      <c r="CE75" s="377"/>
      <c r="CF75" s="377"/>
      <c r="CG75" s="377"/>
      <c r="CH75" s="377"/>
      <c r="CI75" s="377"/>
    </row>
    <row r="76" spans="1:87" ht="48" customHeight="1">
      <c r="A76" s="366">
        <f t="shared" si="76"/>
        <v>38</v>
      </c>
      <c r="B76" s="366">
        <f t="shared" si="76"/>
        <v>11</v>
      </c>
      <c r="C76" s="418" t="s">
        <v>1098</v>
      </c>
      <c r="D76" s="412" t="s">
        <v>1099</v>
      </c>
      <c r="E76" s="390" t="s">
        <v>998</v>
      </c>
      <c r="F76" s="362" t="s">
        <v>999</v>
      </c>
      <c r="G76" s="390" t="s">
        <v>1097</v>
      </c>
      <c r="H76" s="371" t="s">
        <v>1100</v>
      </c>
      <c r="I76" s="366">
        <v>17697</v>
      </c>
      <c r="J76" s="367">
        <v>11.4</v>
      </c>
      <c r="K76" s="367">
        <f t="shared" si="46"/>
        <v>201745.80000000002</v>
      </c>
      <c r="L76" s="380">
        <v>20</v>
      </c>
      <c r="M76" s="380"/>
      <c r="N76" s="380"/>
      <c r="O76" s="380"/>
      <c r="P76" s="380"/>
      <c r="Q76" s="368">
        <f t="shared" si="47"/>
        <v>20</v>
      </c>
      <c r="R76" s="380">
        <v>5</v>
      </c>
      <c r="S76" s="380"/>
      <c r="T76" s="380"/>
      <c r="U76" s="380"/>
      <c r="V76" s="380"/>
      <c r="W76" s="381">
        <f t="shared" ref="W76" si="84">SUM(R76:V76)</f>
        <v>5</v>
      </c>
      <c r="X76" s="370">
        <f t="shared" si="49"/>
        <v>25</v>
      </c>
      <c r="Y76" s="367">
        <f t="shared" si="50"/>
        <v>315227.8125</v>
      </c>
      <c r="Z76" s="367">
        <f t="shared" si="51"/>
        <v>31522.78125</v>
      </c>
      <c r="AA76" s="366">
        <v>0</v>
      </c>
      <c r="AB76" s="367">
        <f t="shared" si="52"/>
        <v>0</v>
      </c>
      <c r="AC76" s="366">
        <v>25</v>
      </c>
      <c r="AD76" s="367">
        <f t="shared" si="53"/>
        <v>5530.3125</v>
      </c>
      <c r="AE76" s="380"/>
      <c r="AF76" s="366"/>
      <c r="AG76" s="367"/>
      <c r="AH76" s="366"/>
      <c r="AI76" s="367"/>
      <c r="AJ76" s="366">
        <f t="shared" si="54"/>
        <v>25</v>
      </c>
      <c r="AK76" s="367">
        <f t="shared" si="55"/>
        <v>11060.625</v>
      </c>
      <c r="AL76" s="366">
        <f t="shared" si="56"/>
        <v>25</v>
      </c>
      <c r="AM76" s="367">
        <f t="shared" si="57"/>
        <v>94568.34375</v>
      </c>
      <c r="AN76" s="366" t="str">
        <f t="shared" si="58"/>
        <v>Педагог-шебер</v>
      </c>
      <c r="AO76" s="367">
        <f t="shared" si="59"/>
        <v>157613.90625</v>
      </c>
      <c r="AP76" s="367" t="str">
        <f t="shared" si="60"/>
        <v>0</v>
      </c>
      <c r="AQ76" s="367" t="str">
        <f t="shared" si="61"/>
        <v>0</v>
      </c>
      <c r="AR76" s="367" t="str">
        <f t="shared" si="62"/>
        <v>0</v>
      </c>
      <c r="AS76" s="366"/>
      <c r="AT76" s="367"/>
      <c r="AU76" s="366"/>
      <c r="AV76" s="367"/>
      <c r="AW76" s="371" t="str">
        <f t="shared" si="78"/>
        <v>Магистр- физика</v>
      </c>
      <c r="AX76" s="372">
        <f>10*4335</f>
        <v>43350</v>
      </c>
      <c r="AY76" s="367"/>
      <c r="AZ76" s="367">
        <f t="shared" si="63"/>
        <v>343645.96875</v>
      </c>
      <c r="BA76" s="373">
        <f t="shared" si="64"/>
        <v>658873.78125</v>
      </c>
      <c r="BB76" s="374">
        <f t="shared" si="65"/>
        <v>65887.378125000003</v>
      </c>
      <c r="BC76" s="374">
        <f t="shared" si="66"/>
        <v>13177.475625000001</v>
      </c>
      <c r="BD76" s="374">
        <f t="shared" si="67"/>
        <v>51911.892749999999</v>
      </c>
      <c r="BE76" s="374">
        <f t="shared" si="68"/>
        <v>527897.03474999999</v>
      </c>
      <c r="BF76" s="374">
        <f t="shared" si="69"/>
        <v>7906485.375</v>
      </c>
      <c r="BG76" s="374">
        <f t="shared" si="70"/>
        <v>630455.625</v>
      </c>
      <c r="BH76" s="374">
        <f t="shared" si="71"/>
        <v>8536941</v>
      </c>
      <c r="BI76" s="374">
        <f t="shared" si="72"/>
        <v>384162.34500000003</v>
      </c>
      <c r="BJ76" s="374">
        <f t="shared" si="73"/>
        <v>237194.56125</v>
      </c>
      <c r="BK76" s="374">
        <f t="shared" si="74"/>
        <v>443600.54617500008</v>
      </c>
      <c r="BL76" s="374">
        <f t="shared" si="79"/>
        <v>384162.34499999997</v>
      </c>
      <c r="BM76" s="373">
        <f t="shared" si="75"/>
        <v>9986060.797425</v>
      </c>
      <c r="BN76" s="375"/>
      <c r="BO76" s="377"/>
      <c r="BP76" s="377"/>
      <c r="BQ76" s="377"/>
      <c r="BR76" s="377"/>
      <c r="BS76" s="377"/>
      <c r="BT76" s="377"/>
      <c r="BU76" s="377"/>
      <c r="BV76" s="377"/>
      <c r="BW76" s="377"/>
      <c r="BX76" s="377"/>
      <c r="BY76" s="377"/>
      <c r="BZ76" s="377"/>
      <c r="CA76" s="377"/>
      <c r="CB76" s="377"/>
      <c r="CC76" s="377"/>
      <c r="CD76" s="377"/>
      <c r="CE76" s="377"/>
      <c r="CF76" s="377"/>
      <c r="CG76" s="377"/>
      <c r="CH76" s="377"/>
      <c r="CI76" s="377"/>
    </row>
    <row r="77" spans="1:87" ht="63.75" customHeight="1">
      <c r="A77" s="366">
        <f t="shared" si="76"/>
        <v>39</v>
      </c>
      <c r="B77" s="366">
        <f t="shared" si="76"/>
        <v>12</v>
      </c>
      <c r="C77" s="409" t="s">
        <v>1101</v>
      </c>
      <c r="D77" s="412" t="s">
        <v>1102</v>
      </c>
      <c r="E77" s="366" t="s">
        <v>998</v>
      </c>
      <c r="F77" s="366" t="s">
        <v>1005</v>
      </c>
      <c r="G77" s="366" t="s">
        <v>227</v>
      </c>
      <c r="H77" s="371" t="s">
        <v>1402</v>
      </c>
      <c r="I77" s="366">
        <v>17697</v>
      </c>
      <c r="J77" s="367">
        <v>10.4</v>
      </c>
      <c r="K77" s="367">
        <f t="shared" si="46"/>
        <v>184048.80000000002</v>
      </c>
      <c r="L77" s="380"/>
      <c r="M77" s="380"/>
      <c r="N77" s="380">
        <v>12</v>
      </c>
      <c r="O77" s="380">
        <v>16</v>
      </c>
      <c r="P77" s="380"/>
      <c r="Q77" s="368">
        <f t="shared" si="47"/>
        <v>28</v>
      </c>
      <c r="R77" s="411"/>
      <c r="S77" s="411"/>
      <c r="T77" s="411">
        <v>3</v>
      </c>
      <c r="U77" s="411"/>
      <c r="V77" s="411"/>
      <c r="W77" s="381">
        <f t="shared" si="48"/>
        <v>3</v>
      </c>
      <c r="X77" s="370">
        <f t="shared" si="49"/>
        <v>31</v>
      </c>
      <c r="Y77" s="367">
        <f t="shared" si="50"/>
        <v>356594.55000000005</v>
      </c>
      <c r="Z77" s="367">
        <f t="shared" si="51"/>
        <v>35659.455000000009</v>
      </c>
      <c r="AA77" s="366">
        <v>23</v>
      </c>
      <c r="AB77" s="367">
        <f t="shared" si="52"/>
        <v>10175.775000000001</v>
      </c>
      <c r="AC77" s="366">
        <v>8</v>
      </c>
      <c r="AD77" s="367">
        <f t="shared" si="53"/>
        <v>1769.7</v>
      </c>
      <c r="AE77" s="416"/>
      <c r="AF77" s="366" t="s">
        <v>1103</v>
      </c>
      <c r="AG77" s="367">
        <f t="shared" si="83"/>
        <v>3539.4</v>
      </c>
      <c r="AH77" s="366"/>
      <c r="AI77" s="367"/>
      <c r="AJ77" s="366">
        <f t="shared" si="54"/>
        <v>31</v>
      </c>
      <c r="AK77" s="367">
        <f t="shared" si="55"/>
        <v>13715.175000000001</v>
      </c>
      <c r="AL77" s="366">
        <f t="shared" si="56"/>
        <v>31</v>
      </c>
      <c r="AM77" s="367">
        <f t="shared" si="57"/>
        <v>106978.36500000001</v>
      </c>
      <c r="AN77" s="366" t="str">
        <f t="shared" si="58"/>
        <v>Педагог-зерттеуші</v>
      </c>
      <c r="AO77" s="367" t="str">
        <f t="shared" si="59"/>
        <v>0</v>
      </c>
      <c r="AP77" s="367">
        <f t="shared" si="60"/>
        <v>142637.82000000004</v>
      </c>
      <c r="AQ77" s="367" t="str">
        <f t="shared" si="61"/>
        <v>0</v>
      </c>
      <c r="AR77" s="367" t="str">
        <f t="shared" si="62"/>
        <v>0</v>
      </c>
      <c r="AS77" s="366"/>
      <c r="AT77" s="367"/>
      <c r="AU77" s="371"/>
      <c r="AV77" s="367"/>
      <c r="AW77" s="371" t="str">
        <f t="shared" si="78"/>
        <v>Магистр-техническая физика</v>
      </c>
      <c r="AX77" s="372">
        <f>10*4335</f>
        <v>43350</v>
      </c>
      <c r="AY77" s="367"/>
      <c r="AZ77" s="367">
        <f t="shared" si="63"/>
        <v>357825.69000000006</v>
      </c>
      <c r="BA77" s="373">
        <f t="shared" si="64"/>
        <v>714420.24000000011</v>
      </c>
      <c r="BB77" s="374">
        <f t="shared" si="65"/>
        <v>71442.024000000019</v>
      </c>
      <c r="BC77" s="374">
        <f t="shared" si="66"/>
        <v>14288.404800000002</v>
      </c>
      <c r="BD77" s="374">
        <f t="shared" si="67"/>
        <v>56799.981120000011</v>
      </c>
      <c r="BE77" s="374">
        <f t="shared" si="68"/>
        <v>571889.8300800001</v>
      </c>
      <c r="BF77" s="374">
        <f t="shared" si="69"/>
        <v>8573042.8800000008</v>
      </c>
      <c r="BG77" s="374">
        <f t="shared" si="70"/>
        <v>713189.10000000009</v>
      </c>
      <c r="BH77" s="374">
        <f t="shared" si="71"/>
        <v>9286231.9800000004</v>
      </c>
      <c r="BI77" s="374">
        <f t="shared" si="72"/>
        <v>417880.43910000008</v>
      </c>
      <c r="BJ77" s="374">
        <f t="shared" si="73"/>
        <v>257191.28640000001</v>
      </c>
      <c r="BK77" s="374">
        <f t="shared" si="74"/>
        <v>482595.83258400008</v>
      </c>
      <c r="BL77" s="374">
        <f t="shared" si="79"/>
        <v>417880.43910000002</v>
      </c>
      <c r="BM77" s="373">
        <f t="shared" si="75"/>
        <v>10861779.977183999</v>
      </c>
      <c r="BN77" s="375"/>
      <c r="BO77" s="377"/>
      <c r="BP77" s="377"/>
      <c r="BQ77" s="377"/>
      <c r="BR77" s="377"/>
      <c r="BS77" s="377"/>
      <c r="BT77" s="377"/>
      <c r="BU77" s="377"/>
      <c r="BV77" s="377"/>
      <c r="BW77" s="377"/>
      <c r="BX77" s="377"/>
      <c r="BY77" s="377"/>
      <c r="BZ77" s="377"/>
      <c r="CA77" s="377"/>
      <c r="CB77" s="377"/>
      <c r="CC77" s="377"/>
      <c r="CD77" s="377"/>
      <c r="CE77" s="377"/>
      <c r="CF77" s="377"/>
      <c r="CG77" s="377"/>
      <c r="CH77" s="377"/>
      <c r="CI77" s="377"/>
    </row>
    <row r="78" spans="1:87" ht="126">
      <c r="A78" s="366">
        <f t="shared" si="76"/>
        <v>40</v>
      </c>
      <c r="B78" s="366">
        <f t="shared" si="76"/>
        <v>13</v>
      </c>
      <c r="C78" s="409" t="s">
        <v>915</v>
      </c>
      <c r="D78" s="412" t="s">
        <v>1104</v>
      </c>
      <c r="E78" s="366" t="s">
        <v>998</v>
      </c>
      <c r="F78" s="366" t="s">
        <v>999</v>
      </c>
      <c r="G78" s="366" t="s">
        <v>1093</v>
      </c>
      <c r="H78" s="371" t="s">
        <v>1105</v>
      </c>
      <c r="I78" s="366">
        <v>17697</v>
      </c>
      <c r="J78" s="367">
        <v>11.4</v>
      </c>
      <c r="K78" s="367">
        <f t="shared" si="46"/>
        <v>201745.80000000002</v>
      </c>
      <c r="L78" s="380"/>
      <c r="M78" s="380">
        <v>16</v>
      </c>
      <c r="N78" s="380"/>
      <c r="O78" s="380"/>
      <c r="P78" s="380"/>
      <c r="Q78" s="368">
        <f t="shared" si="47"/>
        <v>16</v>
      </c>
      <c r="R78" s="411">
        <v>2</v>
      </c>
      <c r="S78" s="411">
        <v>4</v>
      </c>
      <c r="T78" s="411">
        <v>14</v>
      </c>
      <c r="U78" s="411"/>
      <c r="V78" s="411"/>
      <c r="W78" s="381">
        <f t="shared" si="48"/>
        <v>20</v>
      </c>
      <c r="X78" s="370">
        <f t="shared" si="49"/>
        <v>36</v>
      </c>
      <c r="Y78" s="367">
        <f t="shared" si="50"/>
        <v>453928.05000000005</v>
      </c>
      <c r="Z78" s="367">
        <f t="shared" si="51"/>
        <v>45392.805000000008</v>
      </c>
      <c r="AA78" s="366">
        <v>15</v>
      </c>
      <c r="AB78" s="367">
        <f t="shared" si="52"/>
        <v>6636.375</v>
      </c>
      <c r="AC78" s="366">
        <v>5</v>
      </c>
      <c r="AD78" s="367">
        <f t="shared" si="53"/>
        <v>1106.0625</v>
      </c>
      <c r="AE78" s="416"/>
      <c r="AF78" s="366" t="s">
        <v>1106</v>
      </c>
      <c r="AG78" s="367">
        <f t="shared" si="83"/>
        <v>3539.4</v>
      </c>
      <c r="AH78" s="366"/>
      <c r="AI78" s="367"/>
      <c r="AJ78" s="366">
        <f t="shared" si="54"/>
        <v>36</v>
      </c>
      <c r="AK78" s="367">
        <f t="shared" si="55"/>
        <v>15927.300000000001</v>
      </c>
      <c r="AL78" s="366">
        <f t="shared" si="56"/>
        <v>36</v>
      </c>
      <c r="AM78" s="367">
        <f t="shared" si="57"/>
        <v>136178.41500000001</v>
      </c>
      <c r="AN78" s="366" t="str">
        <f t="shared" si="58"/>
        <v>Педагог-шебер</v>
      </c>
      <c r="AO78" s="367">
        <f t="shared" si="59"/>
        <v>226964.02500000002</v>
      </c>
      <c r="AP78" s="367" t="str">
        <f t="shared" si="60"/>
        <v>0</v>
      </c>
      <c r="AQ78" s="367" t="str">
        <f t="shared" si="61"/>
        <v>0</v>
      </c>
      <c r="AR78" s="367" t="str">
        <f t="shared" si="62"/>
        <v>0</v>
      </c>
      <c r="AS78" s="366"/>
      <c r="AT78" s="367"/>
      <c r="AU78" s="371"/>
      <c r="AV78" s="367"/>
      <c r="AW78" s="371" t="str">
        <f t="shared" si="78"/>
        <v>Магистр-физика</v>
      </c>
      <c r="AX78" s="372">
        <f>10*4335</f>
        <v>43350</v>
      </c>
      <c r="AY78" s="367"/>
      <c r="AZ78" s="367">
        <f t="shared" si="63"/>
        <v>479094.38250000007</v>
      </c>
      <c r="BA78" s="373">
        <f t="shared" si="64"/>
        <v>933022.43250000011</v>
      </c>
      <c r="BB78" s="374">
        <f t="shared" si="65"/>
        <v>93302.243250000014</v>
      </c>
      <c r="BC78" s="374">
        <f t="shared" si="66"/>
        <v>18660.448650000002</v>
      </c>
      <c r="BD78" s="374">
        <f t="shared" si="67"/>
        <v>76036.974060000008</v>
      </c>
      <c r="BE78" s="374">
        <f t="shared" si="68"/>
        <v>745022.76653999998</v>
      </c>
      <c r="BF78" s="374">
        <f t="shared" si="69"/>
        <v>11196269.190000001</v>
      </c>
      <c r="BG78" s="374">
        <f t="shared" si="70"/>
        <v>907856.10000000009</v>
      </c>
      <c r="BH78" s="374">
        <f t="shared" si="71"/>
        <v>12104125.290000001</v>
      </c>
      <c r="BI78" s="374">
        <f t="shared" si="72"/>
        <v>544685.63805000007</v>
      </c>
      <c r="BJ78" s="374">
        <f t="shared" si="73"/>
        <v>335888.07570000004</v>
      </c>
      <c r="BK78" s="374">
        <f t="shared" si="74"/>
        <v>628990.97344200022</v>
      </c>
      <c r="BL78" s="374">
        <f t="shared" si="79"/>
        <v>544685.63805000007</v>
      </c>
      <c r="BM78" s="373">
        <f t="shared" si="75"/>
        <v>14158375.615241999</v>
      </c>
      <c r="BN78" s="375"/>
      <c r="BO78" s="377"/>
      <c r="BP78" s="377"/>
      <c r="BQ78" s="377"/>
      <c r="BR78" s="377"/>
      <c r="BS78" s="377"/>
      <c r="BT78" s="377"/>
      <c r="BU78" s="377"/>
      <c r="BV78" s="377"/>
      <c r="BW78" s="377"/>
      <c r="BX78" s="377"/>
      <c r="BY78" s="377"/>
      <c r="BZ78" s="377"/>
      <c r="CA78" s="377"/>
      <c r="CB78" s="377"/>
      <c r="CC78" s="377"/>
      <c r="CD78" s="377"/>
      <c r="CE78" s="377"/>
      <c r="CF78" s="377"/>
      <c r="CG78" s="377"/>
      <c r="CH78" s="377"/>
      <c r="CI78" s="377"/>
    </row>
    <row r="79" spans="1:87" ht="47.25">
      <c r="A79" s="366">
        <f t="shared" si="76"/>
        <v>41</v>
      </c>
      <c r="B79" s="366">
        <f t="shared" si="76"/>
        <v>14</v>
      </c>
      <c r="C79" s="409" t="s">
        <v>1107</v>
      </c>
      <c r="D79" s="412" t="s">
        <v>1099</v>
      </c>
      <c r="E79" s="366" t="s">
        <v>998</v>
      </c>
      <c r="F79" s="366"/>
      <c r="G79" s="366"/>
      <c r="H79" s="371" t="s">
        <v>1403</v>
      </c>
      <c r="I79" s="366">
        <v>17697</v>
      </c>
      <c r="J79" s="367">
        <v>9.5</v>
      </c>
      <c r="K79" s="367">
        <f t="shared" si="46"/>
        <v>168121.5</v>
      </c>
      <c r="L79" s="380">
        <v>20</v>
      </c>
      <c r="M79" s="380"/>
      <c r="N79" s="380"/>
      <c r="O79" s="380"/>
      <c r="P79" s="380"/>
      <c r="Q79" s="368">
        <f t="shared" si="47"/>
        <v>20</v>
      </c>
      <c r="R79" s="411">
        <v>5</v>
      </c>
      <c r="S79" s="411"/>
      <c r="T79" s="411"/>
      <c r="U79" s="411"/>
      <c r="V79" s="411"/>
      <c r="W79" s="381">
        <f t="shared" ref="W79:W81" si="85">SUM(R79:V79)</f>
        <v>5</v>
      </c>
      <c r="X79" s="370">
        <f t="shared" si="49"/>
        <v>25</v>
      </c>
      <c r="Y79" s="367">
        <f t="shared" si="50"/>
        <v>262689.84375</v>
      </c>
      <c r="Z79" s="367">
        <f t="shared" si="51"/>
        <v>26268.984375</v>
      </c>
      <c r="AA79" s="366">
        <v>0</v>
      </c>
      <c r="AB79" s="367">
        <f t="shared" si="52"/>
        <v>0</v>
      </c>
      <c r="AC79" s="366">
        <v>25</v>
      </c>
      <c r="AD79" s="367">
        <f t="shared" si="53"/>
        <v>5530.3125</v>
      </c>
      <c r="AE79" s="416"/>
      <c r="AF79" s="366"/>
      <c r="AG79" s="367"/>
      <c r="AH79" s="366"/>
      <c r="AI79" s="367"/>
      <c r="AJ79" s="366">
        <f t="shared" si="54"/>
        <v>25</v>
      </c>
      <c r="AK79" s="367">
        <f t="shared" si="55"/>
        <v>11060.625</v>
      </c>
      <c r="AL79" s="366">
        <f t="shared" si="56"/>
        <v>25</v>
      </c>
      <c r="AM79" s="367">
        <f t="shared" si="57"/>
        <v>78806.953125</v>
      </c>
      <c r="AN79" s="366">
        <f t="shared" si="58"/>
        <v>0</v>
      </c>
      <c r="AO79" s="367" t="str">
        <f t="shared" si="59"/>
        <v>0</v>
      </c>
      <c r="AP79" s="367" t="str">
        <f t="shared" si="60"/>
        <v>0</v>
      </c>
      <c r="AQ79" s="367" t="str">
        <f t="shared" si="61"/>
        <v>0</v>
      </c>
      <c r="AR79" s="367" t="str">
        <f t="shared" si="62"/>
        <v>0</v>
      </c>
      <c r="AS79" s="366"/>
      <c r="AT79" s="367"/>
      <c r="AU79" s="371"/>
      <c r="AV79" s="367"/>
      <c r="AW79" s="371">
        <f t="shared" si="78"/>
        <v>0</v>
      </c>
      <c r="AX79" s="372"/>
      <c r="AY79" s="367"/>
      <c r="AZ79" s="367">
        <f t="shared" si="63"/>
        <v>121666.875</v>
      </c>
      <c r="BA79" s="373">
        <f t="shared" si="64"/>
        <v>384356.71875</v>
      </c>
      <c r="BB79" s="374">
        <f t="shared" si="65"/>
        <v>38435.671875</v>
      </c>
      <c r="BC79" s="374">
        <f t="shared" si="66"/>
        <v>7687.1343750000005</v>
      </c>
      <c r="BD79" s="374">
        <f t="shared" si="67"/>
        <v>27754.391250000001</v>
      </c>
      <c r="BE79" s="374">
        <f t="shared" si="68"/>
        <v>310479.52124999999</v>
      </c>
      <c r="BF79" s="374">
        <f t="shared" si="69"/>
        <v>4612280.625</v>
      </c>
      <c r="BG79" s="374">
        <f t="shared" si="70"/>
        <v>525379.6875</v>
      </c>
      <c r="BH79" s="374">
        <f t="shared" si="71"/>
        <v>5137660.3125</v>
      </c>
      <c r="BI79" s="374">
        <f t="shared" si="72"/>
        <v>231194.71406250002</v>
      </c>
      <c r="BJ79" s="374">
        <f t="shared" si="73"/>
        <v>138368.41874999998</v>
      </c>
      <c r="BK79" s="374">
        <f t="shared" si="74"/>
        <v>267286.63950000005</v>
      </c>
      <c r="BL79" s="374">
        <f t="shared" si="79"/>
        <v>231194.71406249999</v>
      </c>
      <c r="BM79" s="373">
        <f t="shared" si="75"/>
        <v>6005704.7988749994</v>
      </c>
      <c r="BN79" s="375"/>
      <c r="BO79" s="377"/>
      <c r="BP79" s="377"/>
      <c r="BQ79" s="377"/>
      <c r="BR79" s="377"/>
      <c r="BS79" s="377"/>
      <c r="BT79" s="377"/>
      <c r="BU79" s="377"/>
      <c r="BV79" s="377"/>
      <c r="BW79" s="377"/>
      <c r="BX79" s="377"/>
      <c r="BY79" s="377"/>
      <c r="BZ79" s="377"/>
      <c r="CA79" s="377"/>
      <c r="CB79" s="377"/>
      <c r="CC79" s="377"/>
      <c r="CD79" s="377"/>
      <c r="CE79" s="377"/>
      <c r="CF79" s="377"/>
      <c r="CG79" s="377"/>
      <c r="CH79" s="377"/>
      <c r="CI79" s="377"/>
    </row>
    <row r="80" spans="1:87" ht="47.25">
      <c r="A80" s="366">
        <f t="shared" si="76"/>
        <v>42</v>
      </c>
      <c r="B80" s="366">
        <f t="shared" si="76"/>
        <v>15</v>
      </c>
      <c r="C80" s="409" t="s">
        <v>228</v>
      </c>
      <c r="D80" s="412" t="s">
        <v>1092</v>
      </c>
      <c r="E80" s="366" t="s">
        <v>998</v>
      </c>
      <c r="F80" s="366"/>
      <c r="G80" s="366"/>
      <c r="H80" s="371" t="s">
        <v>398</v>
      </c>
      <c r="I80" s="366">
        <v>17697</v>
      </c>
      <c r="J80" s="367">
        <v>11.18</v>
      </c>
      <c r="K80" s="367">
        <f t="shared" si="46"/>
        <v>197852.46</v>
      </c>
      <c r="L80" s="380">
        <v>20</v>
      </c>
      <c r="M80" s="380"/>
      <c r="N80" s="380">
        <v>4</v>
      </c>
      <c r="O80" s="380"/>
      <c r="P80" s="380"/>
      <c r="Q80" s="368">
        <f t="shared" si="47"/>
        <v>24</v>
      </c>
      <c r="R80" s="411">
        <v>5</v>
      </c>
      <c r="S80" s="411"/>
      <c r="T80" s="411">
        <v>1</v>
      </c>
      <c r="U80" s="411"/>
      <c r="V80" s="411"/>
      <c r="W80" s="381">
        <f t="shared" si="85"/>
        <v>6</v>
      </c>
      <c r="X80" s="370">
        <f t="shared" si="49"/>
        <v>30</v>
      </c>
      <c r="Y80" s="367">
        <f t="shared" si="50"/>
        <v>370973.36249999999</v>
      </c>
      <c r="Z80" s="367">
        <f t="shared" si="51"/>
        <v>37097.33625</v>
      </c>
      <c r="AA80" s="366">
        <v>5</v>
      </c>
      <c r="AB80" s="367">
        <f t="shared" si="52"/>
        <v>2212.125</v>
      </c>
      <c r="AC80" s="366">
        <v>25</v>
      </c>
      <c r="AD80" s="367">
        <f t="shared" si="53"/>
        <v>5530.3125</v>
      </c>
      <c r="AE80" s="372"/>
      <c r="AF80" s="366" t="s">
        <v>1108</v>
      </c>
      <c r="AG80" s="367">
        <f>17697*20%</f>
        <v>3539.4</v>
      </c>
      <c r="AH80" s="366" t="s">
        <v>1109</v>
      </c>
      <c r="AI80" s="367">
        <f>I80*200%</f>
        <v>35394</v>
      </c>
      <c r="AJ80" s="366">
        <f t="shared" si="54"/>
        <v>30</v>
      </c>
      <c r="AK80" s="367">
        <f t="shared" si="55"/>
        <v>13272.75</v>
      </c>
      <c r="AL80" s="366">
        <f t="shared" si="56"/>
        <v>30</v>
      </c>
      <c r="AM80" s="367">
        <f t="shared" si="57"/>
        <v>111292.00874999999</v>
      </c>
      <c r="AN80" s="366">
        <f t="shared" si="58"/>
        <v>0</v>
      </c>
      <c r="AO80" s="367" t="str">
        <f t="shared" si="59"/>
        <v>0</v>
      </c>
      <c r="AP80" s="367" t="str">
        <f t="shared" si="60"/>
        <v>0</v>
      </c>
      <c r="AQ80" s="367" t="str">
        <f t="shared" si="61"/>
        <v>0</v>
      </c>
      <c r="AR80" s="367" t="str">
        <f t="shared" si="62"/>
        <v>0</v>
      </c>
      <c r="AS80" s="366"/>
      <c r="AT80" s="367"/>
      <c r="AU80" s="371"/>
      <c r="AV80" s="367"/>
      <c r="AW80" s="371">
        <f t="shared" si="78"/>
        <v>0</v>
      </c>
      <c r="AX80" s="367"/>
      <c r="AY80" s="367"/>
      <c r="AZ80" s="367">
        <f t="shared" si="63"/>
        <v>208337.9325</v>
      </c>
      <c r="BA80" s="373">
        <f t="shared" si="64"/>
        <v>579311.29499999993</v>
      </c>
      <c r="BB80" s="374">
        <f t="shared" si="65"/>
        <v>57931.129499999995</v>
      </c>
      <c r="BC80" s="374">
        <f t="shared" si="66"/>
        <v>11586.225899999999</v>
      </c>
      <c r="BD80" s="374">
        <f t="shared" si="67"/>
        <v>44910.393959999994</v>
      </c>
      <c r="BE80" s="374">
        <f t="shared" si="68"/>
        <v>464883.54563999991</v>
      </c>
      <c r="BF80" s="374">
        <f t="shared" si="69"/>
        <v>6951735.5399999991</v>
      </c>
      <c r="BG80" s="374">
        <f t="shared" si="70"/>
        <v>741946.72499999998</v>
      </c>
      <c r="BH80" s="374">
        <f t="shared" si="71"/>
        <v>7693682.2649999987</v>
      </c>
      <c r="BI80" s="374">
        <f t="shared" si="72"/>
        <v>346215.70192499994</v>
      </c>
      <c r="BJ80" s="374">
        <f t="shared" si="73"/>
        <v>208552.06619999997</v>
      </c>
      <c r="BK80" s="374">
        <f t="shared" si="74"/>
        <v>400165.02412199986</v>
      </c>
      <c r="BL80" s="374">
        <f t="shared" si="79"/>
        <v>346215.70192499994</v>
      </c>
      <c r="BM80" s="373">
        <f t="shared" si="75"/>
        <v>8994830.759172</v>
      </c>
      <c r="BN80" s="375"/>
      <c r="BO80" s="377"/>
      <c r="BP80" s="377"/>
      <c r="BQ80" s="377"/>
      <c r="BR80" s="377"/>
      <c r="BS80" s="377"/>
      <c r="BT80" s="377"/>
      <c r="BU80" s="377"/>
      <c r="BV80" s="377"/>
      <c r="BW80" s="377"/>
      <c r="BX80" s="377"/>
      <c r="BY80" s="377"/>
      <c r="BZ80" s="377"/>
      <c r="CA80" s="377"/>
      <c r="CB80" s="377"/>
      <c r="CC80" s="377"/>
      <c r="CD80" s="377"/>
      <c r="CE80" s="377"/>
      <c r="CF80" s="377"/>
      <c r="CG80" s="377"/>
      <c r="CH80" s="377"/>
      <c r="CI80" s="377"/>
    </row>
    <row r="81" spans="1:87" ht="30">
      <c r="A81" s="366">
        <f t="shared" si="76"/>
        <v>43</v>
      </c>
      <c r="B81" s="366">
        <f t="shared" si="76"/>
        <v>16</v>
      </c>
      <c r="C81" s="409" t="s">
        <v>1110</v>
      </c>
      <c r="D81" s="412" t="s">
        <v>1111</v>
      </c>
      <c r="E81" s="366" t="s">
        <v>998</v>
      </c>
      <c r="F81" s="366" t="s">
        <v>999</v>
      </c>
      <c r="G81" s="366"/>
      <c r="H81" s="371" t="s">
        <v>1112</v>
      </c>
      <c r="I81" s="366">
        <v>17697</v>
      </c>
      <c r="J81" s="367">
        <v>11.4</v>
      </c>
      <c r="K81" s="367">
        <f t="shared" si="46"/>
        <v>201745.80000000002</v>
      </c>
      <c r="L81" s="380"/>
      <c r="M81" s="380"/>
      <c r="N81" s="380"/>
      <c r="O81" s="380"/>
      <c r="P81" s="380">
        <v>16</v>
      </c>
      <c r="Q81" s="368">
        <f t="shared" si="47"/>
        <v>16</v>
      </c>
      <c r="R81" s="411"/>
      <c r="S81" s="411"/>
      <c r="T81" s="411"/>
      <c r="U81" s="411"/>
      <c r="V81" s="411"/>
      <c r="W81" s="381">
        <f t="shared" si="85"/>
        <v>0</v>
      </c>
      <c r="X81" s="370">
        <f t="shared" si="49"/>
        <v>16</v>
      </c>
      <c r="Y81" s="367">
        <f t="shared" si="50"/>
        <v>201745.80000000002</v>
      </c>
      <c r="Z81" s="367">
        <f t="shared" si="51"/>
        <v>20174.580000000002</v>
      </c>
      <c r="AA81" s="366"/>
      <c r="AB81" s="367">
        <f t="shared" si="52"/>
        <v>0</v>
      </c>
      <c r="AC81" s="366">
        <v>16</v>
      </c>
      <c r="AD81" s="367">
        <f t="shared" si="53"/>
        <v>3539.4</v>
      </c>
      <c r="AE81" s="416"/>
      <c r="AF81" s="366" t="s">
        <v>264</v>
      </c>
      <c r="AG81" s="367">
        <f t="shared" ref="AG81" si="86">17697*20%</f>
        <v>3539.4</v>
      </c>
      <c r="AH81" s="366"/>
      <c r="AI81" s="367"/>
      <c r="AJ81" s="366">
        <f t="shared" si="54"/>
        <v>16</v>
      </c>
      <c r="AK81" s="367">
        <f t="shared" si="55"/>
        <v>7078.8</v>
      </c>
      <c r="AL81" s="366">
        <f t="shared" si="56"/>
        <v>16</v>
      </c>
      <c r="AM81" s="367">
        <f t="shared" si="57"/>
        <v>60523.740000000005</v>
      </c>
      <c r="AN81" s="366" t="str">
        <f>F81</f>
        <v>Педагог-шебер</v>
      </c>
      <c r="AO81" s="367">
        <f t="shared" si="59"/>
        <v>100872.90000000001</v>
      </c>
      <c r="AP81" s="367" t="str">
        <f t="shared" si="60"/>
        <v>0</v>
      </c>
      <c r="AQ81" s="367" t="str">
        <f t="shared" si="61"/>
        <v>0</v>
      </c>
      <c r="AR81" s="367" t="str">
        <f t="shared" si="62"/>
        <v>0</v>
      </c>
      <c r="AS81" s="366"/>
      <c r="AT81" s="367"/>
      <c r="AU81" s="371"/>
      <c r="AV81" s="367"/>
      <c r="AW81" s="371">
        <f t="shared" si="78"/>
        <v>0</v>
      </c>
      <c r="AX81" s="367"/>
      <c r="AY81" s="367"/>
      <c r="AZ81" s="367">
        <f t="shared" si="63"/>
        <v>195728.82</v>
      </c>
      <c r="BA81" s="373">
        <f t="shared" si="64"/>
        <v>397474.62</v>
      </c>
      <c r="BB81" s="374">
        <f t="shared" si="65"/>
        <v>39747.462</v>
      </c>
      <c r="BC81" s="374">
        <f t="shared" si="66"/>
        <v>7949.4924000000001</v>
      </c>
      <c r="BD81" s="374">
        <f t="shared" si="67"/>
        <v>28908.766560000004</v>
      </c>
      <c r="BE81" s="374">
        <f t="shared" si="68"/>
        <v>320868.89903999999</v>
      </c>
      <c r="BF81" s="374">
        <f t="shared" si="69"/>
        <v>4769695.4399999995</v>
      </c>
      <c r="BG81" s="374">
        <f t="shared" si="70"/>
        <v>403491.60000000003</v>
      </c>
      <c r="BH81" s="374">
        <f t="shared" si="71"/>
        <v>5173187.0399999991</v>
      </c>
      <c r="BI81" s="374">
        <f t="shared" si="72"/>
        <v>232793.41679999998</v>
      </c>
      <c r="BJ81" s="374">
        <f t="shared" si="73"/>
        <v>143090.86319999999</v>
      </c>
      <c r="BK81" s="374">
        <f t="shared" si="74"/>
        <v>268858.77019199985</v>
      </c>
      <c r="BL81" s="374">
        <f t="shared" si="79"/>
        <v>232793.41679999995</v>
      </c>
      <c r="BM81" s="373">
        <f t="shared" si="75"/>
        <v>6050723.5069919983</v>
      </c>
      <c r="BN81" s="375"/>
      <c r="BO81" s="377"/>
      <c r="BP81" s="377"/>
      <c r="BQ81" s="377"/>
      <c r="BR81" s="377"/>
      <c r="BS81" s="377"/>
      <c r="BT81" s="377"/>
      <c r="BU81" s="377"/>
      <c r="BV81" s="377"/>
      <c r="BW81" s="377"/>
      <c r="BX81" s="377"/>
      <c r="BY81" s="377"/>
      <c r="BZ81" s="377"/>
      <c r="CA81" s="377"/>
      <c r="CB81" s="377"/>
      <c r="CC81" s="377"/>
      <c r="CD81" s="377"/>
      <c r="CE81" s="377"/>
      <c r="CF81" s="377"/>
      <c r="CG81" s="377"/>
      <c r="CH81" s="377"/>
      <c r="CI81" s="377"/>
    </row>
    <row r="82" spans="1:87" ht="63">
      <c r="A82" s="366">
        <f t="shared" si="76"/>
        <v>44</v>
      </c>
      <c r="B82" s="366">
        <f t="shared" si="76"/>
        <v>17</v>
      </c>
      <c r="C82" s="413" t="s">
        <v>919</v>
      </c>
      <c r="D82" s="410" t="s">
        <v>1115</v>
      </c>
      <c r="E82" s="366" t="s">
        <v>998</v>
      </c>
      <c r="F82" s="394" t="s">
        <v>1005</v>
      </c>
      <c r="G82" s="394" t="s">
        <v>1116</v>
      </c>
      <c r="H82" s="395" t="s">
        <v>1420</v>
      </c>
      <c r="I82" s="394">
        <v>17697</v>
      </c>
      <c r="J82" s="367">
        <v>10.4</v>
      </c>
      <c r="K82" s="367">
        <f t="shared" si="46"/>
        <v>184048.80000000002</v>
      </c>
      <c r="L82" s="380"/>
      <c r="M82" s="380"/>
      <c r="N82" s="380"/>
      <c r="O82" s="380">
        <v>20</v>
      </c>
      <c r="P82" s="380">
        <v>4</v>
      </c>
      <c r="Q82" s="368">
        <f t="shared" si="47"/>
        <v>24</v>
      </c>
      <c r="R82" s="411">
        <v>10</v>
      </c>
      <c r="S82" s="411">
        <v>4</v>
      </c>
      <c r="T82" s="411"/>
      <c r="U82" s="411"/>
      <c r="V82" s="411"/>
      <c r="W82" s="381">
        <f t="shared" si="48"/>
        <v>14</v>
      </c>
      <c r="X82" s="370">
        <f t="shared" si="49"/>
        <v>38</v>
      </c>
      <c r="Y82" s="367">
        <f t="shared" si="50"/>
        <v>437115.9</v>
      </c>
      <c r="Z82" s="367">
        <f t="shared" si="51"/>
        <v>43711.590000000004</v>
      </c>
      <c r="AA82" s="366">
        <v>12</v>
      </c>
      <c r="AB82" s="367">
        <f t="shared" si="52"/>
        <v>5309.1</v>
      </c>
      <c r="AC82" s="366">
        <v>12</v>
      </c>
      <c r="AD82" s="367">
        <f t="shared" si="53"/>
        <v>2654.55</v>
      </c>
      <c r="AE82" s="416"/>
      <c r="AF82" s="366"/>
      <c r="AG82" s="367"/>
      <c r="AH82" s="366"/>
      <c r="AI82" s="367"/>
      <c r="AJ82" s="366">
        <f t="shared" si="54"/>
        <v>38</v>
      </c>
      <c r="AK82" s="367">
        <f t="shared" si="55"/>
        <v>16812.150000000001</v>
      </c>
      <c r="AL82" s="366">
        <f t="shared" si="56"/>
        <v>38</v>
      </c>
      <c r="AM82" s="367">
        <f t="shared" si="57"/>
        <v>131134.76999999999</v>
      </c>
      <c r="AN82" s="366" t="str">
        <f>F82</f>
        <v>Педагог-зерттеуші</v>
      </c>
      <c r="AO82" s="367" t="str">
        <f t="shared" si="59"/>
        <v>0</v>
      </c>
      <c r="AP82" s="367">
        <f t="shared" si="60"/>
        <v>174846.36000000002</v>
      </c>
      <c r="AQ82" s="367" t="str">
        <f t="shared" si="61"/>
        <v>0</v>
      </c>
      <c r="AR82" s="367" t="str">
        <f t="shared" si="62"/>
        <v>0</v>
      </c>
      <c r="AS82" s="366"/>
      <c r="AT82" s="367"/>
      <c r="AU82" s="420"/>
      <c r="AV82" s="367"/>
      <c r="AW82" s="371" t="str">
        <f t="shared" si="78"/>
        <v>Магистр-ядерная физика</v>
      </c>
      <c r="AX82" s="372">
        <f>10*4335</f>
        <v>43350</v>
      </c>
      <c r="AY82" s="367"/>
      <c r="AZ82" s="367">
        <f t="shared" si="63"/>
        <v>417818.52</v>
      </c>
      <c r="BA82" s="373">
        <f t="shared" si="64"/>
        <v>854934.42</v>
      </c>
      <c r="BB82" s="374">
        <f t="shared" si="65"/>
        <v>85493.44200000001</v>
      </c>
      <c r="BC82" s="374">
        <f t="shared" si="66"/>
        <v>17098.688400000003</v>
      </c>
      <c r="BD82" s="374">
        <f t="shared" si="67"/>
        <v>69165.228960000008</v>
      </c>
      <c r="BE82" s="374">
        <f t="shared" si="68"/>
        <v>683177.06064000004</v>
      </c>
      <c r="BF82" s="374">
        <f t="shared" si="69"/>
        <v>10259213.040000001</v>
      </c>
      <c r="BG82" s="374">
        <f t="shared" si="70"/>
        <v>874231.8</v>
      </c>
      <c r="BH82" s="374">
        <f t="shared" si="71"/>
        <v>11133444.840000002</v>
      </c>
      <c r="BI82" s="374">
        <f t="shared" si="72"/>
        <v>501005.01780000015</v>
      </c>
      <c r="BJ82" s="374">
        <f t="shared" si="73"/>
        <v>307776.39120000001</v>
      </c>
      <c r="BK82" s="374">
        <f t="shared" si="74"/>
        <v>578635.75267200021</v>
      </c>
      <c r="BL82" s="374">
        <f t="shared" si="79"/>
        <v>501005.01780000003</v>
      </c>
      <c r="BM82" s="373">
        <f t="shared" si="75"/>
        <v>13021867.019472001</v>
      </c>
      <c r="BN82" s="385">
        <v>0.25</v>
      </c>
      <c r="BO82" s="377"/>
      <c r="BP82" s="377"/>
      <c r="BQ82" s="377"/>
      <c r="BR82" s="377"/>
      <c r="BS82" s="377"/>
      <c r="BT82" s="377"/>
      <c r="BU82" s="377"/>
      <c r="BV82" s="377"/>
      <c r="BW82" s="377"/>
      <c r="BX82" s="377"/>
      <c r="BY82" s="377"/>
      <c r="BZ82" s="377"/>
      <c r="CA82" s="377"/>
      <c r="CB82" s="377"/>
      <c r="CC82" s="377"/>
      <c r="CD82" s="377"/>
      <c r="CE82" s="377"/>
      <c r="CF82" s="377"/>
      <c r="CG82" s="377"/>
      <c r="CH82" s="377"/>
      <c r="CI82" s="377"/>
    </row>
    <row r="83" spans="1:87" ht="47.25">
      <c r="A83" s="366">
        <f t="shared" ref="A83:B83" si="87">A82+1</f>
        <v>45</v>
      </c>
      <c r="B83" s="366">
        <f t="shared" si="87"/>
        <v>18</v>
      </c>
      <c r="C83" s="378" t="s">
        <v>930</v>
      </c>
      <c r="D83" s="421" t="s">
        <v>1117</v>
      </c>
      <c r="E83" s="366" t="s">
        <v>998</v>
      </c>
      <c r="F83" s="362"/>
      <c r="G83" s="362"/>
      <c r="H83" s="397" t="s">
        <v>279</v>
      </c>
      <c r="I83" s="394">
        <v>17697</v>
      </c>
      <c r="J83" s="398">
        <v>9.66</v>
      </c>
      <c r="K83" s="367">
        <f t="shared" si="46"/>
        <v>170953.02</v>
      </c>
      <c r="L83" s="380"/>
      <c r="M83" s="380">
        <v>8</v>
      </c>
      <c r="N83" s="380">
        <v>8</v>
      </c>
      <c r="O83" s="380"/>
      <c r="P83" s="380"/>
      <c r="Q83" s="368">
        <f t="shared" si="47"/>
        <v>16</v>
      </c>
      <c r="R83" s="411"/>
      <c r="S83" s="411">
        <v>2</v>
      </c>
      <c r="T83" s="411">
        <v>2</v>
      </c>
      <c r="U83" s="411"/>
      <c r="V83" s="411"/>
      <c r="W83" s="381">
        <f t="shared" si="48"/>
        <v>4</v>
      </c>
      <c r="X83" s="370">
        <f t="shared" si="49"/>
        <v>20</v>
      </c>
      <c r="Y83" s="367">
        <f t="shared" si="50"/>
        <v>213691.27499999999</v>
      </c>
      <c r="Z83" s="367">
        <f t="shared" si="51"/>
        <v>21369.127500000002</v>
      </c>
      <c r="AA83" s="366">
        <v>20</v>
      </c>
      <c r="AB83" s="367">
        <f t="shared" si="52"/>
        <v>8848.5</v>
      </c>
      <c r="AC83" s="366"/>
      <c r="AD83" s="367">
        <f t="shared" si="53"/>
        <v>0</v>
      </c>
      <c r="AE83" s="416"/>
      <c r="AF83" s="366"/>
      <c r="AG83" s="367"/>
      <c r="AH83" s="366"/>
      <c r="AI83" s="367"/>
      <c r="AJ83" s="366">
        <f t="shared" si="54"/>
        <v>20</v>
      </c>
      <c r="AK83" s="367">
        <f t="shared" si="55"/>
        <v>8848.5</v>
      </c>
      <c r="AL83" s="366">
        <f t="shared" si="56"/>
        <v>20</v>
      </c>
      <c r="AM83" s="367">
        <f t="shared" si="57"/>
        <v>64107.382499999992</v>
      </c>
      <c r="AN83" s="366">
        <f>F83</f>
        <v>0</v>
      </c>
      <c r="AO83" s="367" t="str">
        <f t="shared" si="59"/>
        <v>0</v>
      </c>
      <c r="AP83" s="367" t="str">
        <f t="shared" si="60"/>
        <v>0</v>
      </c>
      <c r="AQ83" s="367" t="str">
        <f t="shared" si="61"/>
        <v>0</v>
      </c>
      <c r="AR83" s="367" t="str">
        <f t="shared" si="62"/>
        <v>0</v>
      </c>
      <c r="AS83" s="366"/>
      <c r="AT83" s="367"/>
      <c r="AU83" s="371"/>
      <c r="AV83" s="367"/>
      <c r="AW83" s="371">
        <f t="shared" si="78"/>
        <v>0</v>
      </c>
      <c r="AX83" s="372"/>
      <c r="AY83" s="367"/>
      <c r="AZ83" s="367">
        <f t="shared" si="63"/>
        <v>103173.51</v>
      </c>
      <c r="BA83" s="373">
        <f t="shared" si="64"/>
        <v>316864.78499999997</v>
      </c>
      <c r="BB83" s="374">
        <f t="shared" si="65"/>
        <v>31686.478499999997</v>
      </c>
      <c r="BC83" s="374">
        <f t="shared" si="66"/>
        <v>6337.2956999999997</v>
      </c>
      <c r="BD83" s="374">
        <f t="shared" si="67"/>
        <v>21815.101079999993</v>
      </c>
      <c r="BE83" s="374">
        <f t="shared" si="68"/>
        <v>257025.90971999994</v>
      </c>
      <c r="BF83" s="374">
        <f t="shared" si="69"/>
        <v>3802377.42</v>
      </c>
      <c r="BG83" s="374">
        <f t="shared" si="70"/>
        <v>427382.55</v>
      </c>
      <c r="BH83" s="374">
        <f t="shared" si="71"/>
        <v>4229759.97</v>
      </c>
      <c r="BI83" s="374">
        <f t="shared" si="72"/>
        <v>190339.19865000001</v>
      </c>
      <c r="BJ83" s="374">
        <f t="shared" si="73"/>
        <v>114071.3226</v>
      </c>
      <c r="BK83" s="374">
        <f t="shared" si="74"/>
        <v>220041.80805599995</v>
      </c>
      <c r="BL83" s="374">
        <f t="shared" si="79"/>
        <v>190339.19864999998</v>
      </c>
      <c r="BM83" s="373">
        <f t="shared" si="75"/>
        <v>4944551.4979559984</v>
      </c>
      <c r="BN83" s="375"/>
      <c r="BO83" s="377"/>
      <c r="BP83" s="377"/>
      <c r="BQ83" s="377"/>
      <c r="BR83" s="377"/>
      <c r="BS83" s="377"/>
      <c r="BT83" s="377"/>
      <c r="BU83" s="377"/>
      <c r="BV83" s="377"/>
      <c r="BW83" s="377"/>
      <c r="BX83" s="377"/>
      <c r="BY83" s="377"/>
      <c r="BZ83" s="377"/>
      <c r="CA83" s="377"/>
      <c r="CB83" s="377"/>
      <c r="CC83" s="377"/>
      <c r="CD83" s="377"/>
      <c r="CE83" s="377"/>
      <c r="CF83" s="377"/>
      <c r="CG83" s="377"/>
      <c r="CH83" s="377"/>
      <c r="CI83" s="377"/>
    </row>
    <row r="84" spans="1:87" ht="15">
      <c r="A84" s="1529"/>
      <c r="B84" s="1521"/>
      <c r="C84" s="1520" t="s">
        <v>2</v>
      </c>
      <c r="D84" s="1507"/>
      <c r="E84" s="1507"/>
      <c r="F84" s="1507"/>
      <c r="G84" s="1522"/>
      <c r="H84" s="1522"/>
      <c r="I84" s="1507"/>
      <c r="J84" s="1508"/>
      <c r="K84" s="422">
        <f t="shared" ref="K84:AE84" si="88">SUM(K66:K83)</f>
        <v>3427908.8999999994</v>
      </c>
      <c r="L84" s="422">
        <f t="shared" si="88"/>
        <v>80</v>
      </c>
      <c r="M84" s="422">
        <f t="shared" si="88"/>
        <v>60</v>
      </c>
      <c r="N84" s="422">
        <f t="shared" si="88"/>
        <v>72</v>
      </c>
      <c r="O84" s="422">
        <f t="shared" si="88"/>
        <v>72</v>
      </c>
      <c r="P84" s="422">
        <f t="shared" si="88"/>
        <v>72</v>
      </c>
      <c r="Q84" s="422">
        <f t="shared" si="88"/>
        <v>356</v>
      </c>
      <c r="R84" s="422">
        <f t="shared" si="88"/>
        <v>38</v>
      </c>
      <c r="S84" s="422">
        <f t="shared" si="88"/>
        <v>22</v>
      </c>
      <c r="T84" s="422">
        <f t="shared" si="88"/>
        <v>45</v>
      </c>
      <c r="U84" s="422">
        <f t="shared" si="88"/>
        <v>20</v>
      </c>
      <c r="V84" s="422">
        <f t="shared" si="88"/>
        <v>0</v>
      </c>
      <c r="W84" s="422">
        <f t="shared" si="88"/>
        <v>125</v>
      </c>
      <c r="X84" s="422">
        <f t="shared" si="88"/>
        <v>481</v>
      </c>
      <c r="Y84" s="423">
        <f t="shared" si="88"/>
        <v>5687948.5275000008</v>
      </c>
      <c r="Z84" s="422">
        <f t="shared" si="88"/>
        <v>568794.85275000008</v>
      </c>
      <c r="AA84" s="422">
        <f t="shared" si="88"/>
        <v>210</v>
      </c>
      <c r="AB84" s="422">
        <f t="shared" si="88"/>
        <v>92909.25</v>
      </c>
      <c r="AC84" s="422">
        <f t="shared" si="88"/>
        <v>199</v>
      </c>
      <c r="AD84" s="422">
        <f t="shared" si="88"/>
        <v>44021.287500000006</v>
      </c>
      <c r="AE84" s="422">
        <f t="shared" si="88"/>
        <v>196600</v>
      </c>
      <c r="AF84" s="422">
        <v>8</v>
      </c>
      <c r="AG84" s="422">
        <f>SUM(AG66:AG83)</f>
        <v>28315.200000000004</v>
      </c>
      <c r="AH84" s="422">
        <v>1</v>
      </c>
      <c r="AI84" s="422">
        <f t="shared" ref="AI84:BN84" si="89">SUM(AI66:AI83)</f>
        <v>35394</v>
      </c>
      <c r="AJ84" s="422">
        <f t="shared" si="89"/>
        <v>481</v>
      </c>
      <c r="AK84" s="422">
        <f t="shared" si="89"/>
        <v>212806.42499999996</v>
      </c>
      <c r="AL84" s="422">
        <f t="shared" si="89"/>
        <v>481</v>
      </c>
      <c r="AM84" s="422">
        <f t="shared" si="89"/>
        <v>1706384.5582500002</v>
      </c>
      <c r="AN84" s="422">
        <f t="shared" si="89"/>
        <v>0</v>
      </c>
      <c r="AO84" s="422">
        <f t="shared" si="89"/>
        <v>687196.63125000009</v>
      </c>
      <c r="AP84" s="422">
        <f t="shared" si="89"/>
        <v>807779.56500000006</v>
      </c>
      <c r="AQ84" s="422">
        <f t="shared" si="89"/>
        <v>0</v>
      </c>
      <c r="AR84" s="422">
        <f t="shared" si="89"/>
        <v>339457.21762499999</v>
      </c>
      <c r="AS84" s="422">
        <f t="shared" si="89"/>
        <v>0</v>
      </c>
      <c r="AT84" s="422">
        <f t="shared" si="89"/>
        <v>0</v>
      </c>
      <c r="AU84" s="422">
        <f t="shared" si="89"/>
        <v>0</v>
      </c>
      <c r="AV84" s="422">
        <f t="shared" si="89"/>
        <v>0</v>
      </c>
      <c r="AW84" s="422">
        <f t="shared" si="89"/>
        <v>0</v>
      </c>
      <c r="AX84" s="422">
        <f t="shared" si="89"/>
        <v>463845</v>
      </c>
      <c r="AY84" s="422">
        <f t="shared" si="89"/>
        <v>0</v>
      </c>
      <c r="AZ84" s="422">
        <f t="shared" si="89"/>
        <v>5183503.9873750005</v>
      </c>
      <c r="BA84" s="422">
        <f t="shared" si="89"/>
        <v>10871452.514875</v>
      </c>
      <c r="BB84" s="422">
        <f t="shared" si="89"/>
        <v>1087145.2514875003</v>
      </c>
      <c r="BC84" s="422">
        <f t="shared" si="89"/>
        <v>217429.05029749998</v>
      </c>
      <c r="BD84" s="422">
        <f t="shared" si="89"/>
        <v>847445.82130900002</v>
      </c>
      <c r="BE84" s="422">
        <f t="shared" si="89"/>
        <v>8719432.3917809986</v>
      </c>
      <c r="BF84" s="422">
        <f t="shared" si="89"/>
        <v>130457430.1785</v>
      </c>
      <c r="BG84" s="422">
        <f t="shared" si="89"/>
        <v>11375897.055000002</v>
      </c>
      <c r="BH84" s="422">
        <f t="shared" si="89"/>
        <v>141833327.2335</v>
      </c>
      <c r="BI84" s="422">
        <f t="shared" si="89"/>
        <v>6382499.7255074997</v>
      </c>
      <c r="BJ84" s="422">
        <f t="shared" si="89"/>
        <v>3913722.9053549999</v>
      </c>
      <c r="BK84" s="422">
        <f t="shared" si="89"/>
        <v>7371993.3242163006</v>
      </c>
      <c r="BL84" s="422">
        <f t="shared" si="89"/>
        <v>6382499.7255074987</v>
      </c>
      <c r="BM84" s="422">
        <f t="shared" si="89"/>
        <v>165884042.91408634</v>
      </c>
      <c r="BN84" s="422">
        <f t="shared" si="89"/>
        <v>1</v>
      </c>
      <c r="BO84" s="408"/>
      <c r="BP84" s="355"/>
      <c r="BQ84" s="355"/>
      <c r="BR84" s="355"/>
      <c r="BS84" s="355"/>
      <c r="BT84" s="355"/>
      <c r="BU84" s="355"/>
      <c r="BV84" s="355"/>
      <c r="BW84" s="355"/>
      <c r="BX84" s="355"/>
      <c r="BY84" s="355"/>
      <c r="BZ84" s="355"/>
      <c r="CA84" s="355"/>
      <c r="CB84" s="355"/>
      <c r="CC84" s="355"/>
      <c r="CD84" s="355"/>
      <c r="CE84" s="355"/>
      <c r="CF84" s="355"/>
      <c r="CG84" s="355"/>
      <c r="CH84" s="355"/>
      <c r="CI84" s="356"/>
    </row>
    <row r="85" spans="1:87" ht="24" customHeight="1">
      <c r="A85" s="369">
        <f>A83+1</f>
        <v>46</v>
      </c>
      <c r="B85" s="416">
        <v>1</v>
      </c>
      <c r="C85" s="409" t="s">
        <v>1118</v>
      </c>
      <c r="D85" s="414" t="s">
        <v>1119</v>
      </c>
      <c r="E85" s="366" t="s">
        <v>998</v>
      </c>
      <c r="F85" s="366"/>
      <c r="G85" s="366"/>
      <c r="H85" s="371" t="s">
        <v>1120</v>
      </c>
      <c r="I85" s="366">
        <v>17697</v>
      </c>
      <c r="J85" s="367">
        <v>11.4</v>
      </c>
      <c r="K85" s="367">
        <f t="shared" ref="K85:K101" si="90">I85*J85</f>
        <v>201745.80000000002</v>
      </c>
      <c r="L85" s="380"/>
      <c r="M85" s="380">
        <v>9</v>
      </c>
      <c r="N85" s="380"/>
      <c r="O85" s="380"/>
      <c r="P85" s="380"/>
      <c r="Q85" s="368">
        <f t="shared" ref="Q85:Q101" si="91">SUM(L85:P85)</f>
        <v>9</v>
      </c>
      <c r="R85" s="380"/>
      <c r="S85" s="380"/>
      <c r="T85" s="380"/>
      <c r="U85" s="380"/>
      <c r="V85" s="380"/>
      <c r="W85" s="381">
        <f t="shared" ref="W85:W97" si="92">SUM(R85:V85)</f>
        <v>0</v>
      </c>
      <c r="X85" s="424">
        <f t="shared" ref="X85:X101" si="93">Q85+W85</f>
        <v>9</v>
      </c>
      <c r="Y85" s="400">
        <f t="shared" ref="Y85:Y101" si="94">K85/16*X85</f>
        <v>113482.01250000001</v>
      </c>
      <c r="Z85" s="398">
        <f t="shared" ref="Z85:Z101" si="95">Y85*10%</f>
        <v>11348.201250000002</v>
      </c>
      <c r="AA85" s="366"/>
      <c r="AB85" s="367">
        <f t="shared" ref="AB85:AB101" si="96">I85/16*AA85*40%</f>
        <v>0</v>
      </c>
      <c r="AC85" s="366"/>
      <c r="AD85" s="367">
        <f t="shared" ref="AD85:AD101" si="97">I85/16*AC85*40%*50%</f>
        <v>0</v>
      </c>
      <c r="AE85" s="367"/>
      <c r="AF85" s="366"/>
      <c r="AG85" s="367"/>
      <c r="AH85" s="366"/>
      <c r="AI85" s="367"/>
      <c r="AJ85" s="366">
        <f t="shared" ref="AJ85:AJ101" si="98">X85</f>
        <v>9</v>
      </c>
      <c r="AK85" s="367">
        <f t="shared" ref="AK85:AK101" si="99">I85/16*AJ85*40%</f>
        <v>3981.8250000000003</v>
      </c>
      <c r="AL85" s="366">
        <f t="shared" ref="AL85:AL101" si="100">X85</f>
        <v>9</v>
      </c>
      <c r="AM85" s="367">
        <f t="shared" ref="AM85:AM101" si="101">K85/16*AL85*30%</f>
        <v>34044.603750000002</v>
      </c>
      <c r="AN85" s="366">
        <f t="shared" ref="AN85:AN101" si="102">F85</f>
        <v>0</v>
      </c>
      <c r="AO85" s="367" t="str">
        <f t="shared" ref="AO85:AO101" si="103">IF(AN85="Педагог-зерттеуші", "0", IF(AN85="Педагог-шебер",K85/16*X85*50%, IF(AN85="Педагог-сарапшы", "0", IF(AN85="Педагог-модератор", "0", "0"))))</f>
        <v>0</v>
      </c>
      <c r="AP85" s="367" t="str">
        <f t="shared" ref="AP85:AP101" si="104">IF(AN85="Педагог-шебер", "0", IF(AN85="Педагог-зерттеуші",K85/16*X85*40%, IF(AN85="Педагог-сарапшы", "0", IF(AN85="Педагог-модератор", "0", "0"))))</f>
        <v>0</v>
      </c>
      <c r="AQ85" s="367" t="str">
        <f t="shared" ref="AQ85:AQ101" si="105">IF(AN85="Педагог-шебер", "0", IF(AN85="Педагог-сарапшы",K85/16*X85*35%, IF(AN85="Педагог-зерттеуші", "0", IF(AN85="Педагог-модератор", "0", "0"))))</f>
        <v>0</v>
      </c>
      <c r="AR85" s="367" t="str">
        <f t="shared" ref="AR85:AR101" si="106">IF(AN85="Педагог-шебер", "0", IF(AN85="Педагог-модератор",K85/16*X85*30%, IF(AN85="Педагог-зерттеуші", "0", IF(AN85="Педагог-сарапшы", "0", "0"))))</f>
        <v>0</v>
      </c>
      <c r="AS85" s="366"/>
      <c r="AT85" s="367"/>
      <c r="AU85" s="366"/>
      <c r="AV85" s="367"/>
      <c r="AW85" s="371">
        <f>G85</f>
        <v>0</v>
      </c>
      <c r="AX85" s="367"/>
      <c r="AY85" s="367"/>
      <c r="AZ85" s="367">
        <f t="shared" ref="AZ85:AZ101" si="107">Z85+AB85+AD85+AE85+AG85+AI85+AK85+AM85+AO85+AP85+AQ85++AR85+AT85+AV85+AX85+AY85</f>
        <v>49374.630000000005</v>
      </c>
      <c r="BA85" s="373">
        <f t="shared" ref="BA85:BA101" si="108">Y85+AZ85</f>
        <v>162856.64250000002</v>
      </c>
      <c r="BB85" s="374">
        <f t="shared" si="65"/>
        <v>16285.664250000002</v>
      </c>
      <c r="BC85" s="374">
        <f t="shared" si="66"/>
        <v>3257.1328500000004</v>
      </c>
      <c r="BD85" s="374">
        <f t="shared" ref="BD85:BD101" si="109">(BA85-BB85-BC85-(14*4335))*10%</f>
        <v>8262.3845400000027</v>
      </c>
      <c r="BE85" s="374">
        <f t="shared" si="68"/>
        <v>135051.46086000002</v>
      </c>
      <c r="BF85" s="374">
        <f t="shared" si="69"/>
        <v>1954279.7100000002</v>
      </c>
      <c r="BG85" s="374">
        <f t="shared" ref="BG85:BG101" si="110">Y85*2</f>
        <v>226964.02500000002</v>
      </c>
      <c r="BH85" s="374">
        <f t="shared" si="71"/>
        <v>2181243.7350000003</v>
      </c>
      <c r="BI85" s="374">
        <f t="shared" si="72"/>
        <v>98155.968075000026</v>
      </c>
      <c r="BJ85" s="374">
        <f t="shared" si="73"/>
        <v>58628.391300000003</v>
      </c>
      <c r="BK85" s="374">
        <f t="shared" si="74"/>
        <v>113487.74632800002</v>
      </c>
      <c r="BL85" s="374">
        <f>BH85*4.5%</f>
        <v>98155.968075000012</v>
      </c>
      <c r="BM85" s="373">
        <f t="shared" si="75"/>
        <v>2549671.8087780005</v>
      </c>
      <c r="BN85" s="375"/>
      <c r="BO85" s="377"/>
      <c r="BP85" s="377"/>
      <c r="BQ85" s="377"/>
      <c r="BR85" s="377"/>
      <c r="BS85" s="377"/>
      <c r="BT85" s="377"/>
      <c r="BU85" s="377"/>
      <c r="BV85" s="377"/>
      <c r="BW85" s="377"/>
      <c r="BX85" s="377"/>
      <c r="BY85" s="377"/>
      <c r="BZ85" s="377"/>
      <c r="CA85" s="377"/>
      <c r="CB85" s="377"/>
      <c r="CC85" s="377"/>
      <c r="CD85" s="377"/>
      <c r="CE85" s="377"/>
      <c r="CF85" s="377"/>
      <c r="CG85" s="377"/>
      <c r="CH85" s="377"/>
      <c r="CI85" s="377"/>
    </row>
    <row r="86" spans="1:87" ht="45">
      <c r="A86" s="369">
        <f t="shared" ref="A86:B101" si="111">A85+1</f>
        <v>47</v>
      </c>
      <c r="B86" s="416">
        <f t="shared" si="111"/>
        <v>2</v>
      </c>
      <c r="C86" s="425" t="s">
        <v>1121</v>
      </c>
      <c r="D86" s="695" t="s">
        <v>1122</v>
      </c>
      <c r="E86" s="392" t="s">
        <v>998</v>
      </c>
      <c r="F86" s="366" t="s">
        <v>1005</v>
      </c>
      <c r="G86" s="366" t="s">
        <v>1123</v>
      </c>
      <c r="H86" s="371" t="s">
        <v>1421</v>
      </c>
      <c r="I86" s="366">
        <v>17697</v>
      </c>
      <c r="J86" s="367">
        <v>10.82</v>
      </c>
      <c r="K86" s="367">
        <f t="shared" si="90"/>
        <v>191481.54</v>
      </c>
      <c r="L86" s="380"/>
      <c r="M86" s="380"/>
      <c r="N86" s="380">
        <v>15</v>
      </c>
      <c r="O86" s="380">
        <v>12</v>
      </c>
      <c r="P86" s="380">
        <v>6</v>
      </c>
      <c r="Q86" s="368">
        <f t="shared" si="91"/>
        <v>33</v>
      </c>
      <c r="R86" s="380"/>
      <c r="S86" s="380"/>
      <c r="T86" s="380"/>
      <c r="U86" s="380"/>
      <c r="V86" s="380"/>
      <c r="W86" s="381">
        <f t="shared" si="92"/>
        <v>0</v>
      </c>
      <c r="X86" s="424">
        <f t="shared" si="93"/>
        <v>33</v>
      </c>
      <c r="Y86" s="400">
        <f t="shared" si="94"/>
        <v>394930.67625000002</v>
      </c>
      <c r="Z86" s="398">
        <f t="shared" si="95"/>
        <v>39493.067625000003</v>
      </c>
      <c r="AA86" s="366"/>
      <c r="AB86" s="367">
        <f t="shared" si="96"/>
        <v>0</v>
      </c>
      <c r="AC86" s="366"/>
      <c r="AD86" s="367">
        <f t="shared" si="97"/>
        <v>0</v>
      </c>
      <c r="AE86" s="366">
        <v>196600</v>
      </c>
      <c r="AF86" s="366" t="s">
        <v>1124</v>
      </c>
      <c r="AG86" s="367">
        <f t="shared" ref="AG86:AG88" si="112">17697*20%</f>
        <v>3539.4</v>
      </c>
      <c r="AH86" s="366"/>
      <c r="AI86" s="367"/>
      <c r="AJ86" s="366">
        <f t="shared" si="98"/>
        <v>33</v>
      </c>
      <c r="AK86" s="367">
        <f t="shared" si="99"/>
        <v>14600.025000000001</v>
      </c>
      <c r="AL86" s="366">
        <f t="shared" si="100"/>
        <v>33</v>
      </c>
      <c r="AM86" s="367">
        <f t="shared" si="101"/>
        <v>118479.202875</v>
      </c>
      <c r="AN86" s="366" t="str">
        <f t="shared" si="102"/>
        <v>Педагог-зерттеуші</v>
      </c>
      <c r="AO86" s="367" t="str">
        <f t="shared" si="103"/>
        <v>0</v>
      </c>
      <c r="AP86" s="367">
        <f t="shared" si="104"/>
        <v>157972.27050000001</v>
      </c>
      <c r="AQ86" s="367" t="str">
        <f t="shared" si="105"/>
        <v>0</v>
      </c>
      <c r="AR86" s="367" t="str">
        <f t="shared" si="106"/>
        <v>0</v>
      </c>
      <c r="AS86" s="366"/>
      <c r="AT86" s="367"/>
      <c r="AU86" s="372"/>
      <c r="AV86" s="367"/>
      <c r="AW86" s="371" t="str">
        <f>G86</f>
        <v>Магистр-информатики</v>
      </c>
      <c r="AX86" s="372">
        <f>10*4335</f>
        <v>43350</v>
      </c>
      <c r="AY86" s="367"/>
      <c r="AZ86" s="367">
        <f t="shared" si="107"/>
        <v>574033.96600000001</v>
      </c>
      <c r="BA86" s="373">
        <f t="shared" si="108"/>
        <v>968964.64225000003</v>
      </c>
      <c r="BB86" s="374">
        <f t="shared" si="65"/>
        <v>96896.464225000003</v>
      </c>
      <c r="BC86" s="374">
        <f t="shared" si="66"/>
        <v>19379.292845</v>
      </c>
      <c r="BD86" s="374">
        <f t="shared" si="109"/>
        <v>79199.888518000007</v>
      </c>
      <c r="BE86" s="374">
        <f t="shared" si="68"/>
        <v>773488.99666199996</v>
      </c>
      <c r="BF86" s="374">
        <f t="shared" si="69"/>
        <v>11627575.707</v>
      </c>
      <c r="BG86" s="374">
        <f t="shared" si="110"/>
        <v>789861.35250000004</v>
      </c>
      <c r="BH86" s="374">
        <f t="shared" si="71"/>
        <v>12417437.059500001</v>
      </c>
      <c r="BI86" s="374">
        <f t="shared" si="72"/>
        <v>558784.66767750017</v>
      </c>
      <c r="BJ86" s="374">
        <f t="shared" si="73"/>
        <v>348827.27120999998</v>
      </c>
      <c r="BK86" s="374">
        <f t="shared" si="74"/>
        <v>644960.93465759989</v>
      </c>
      <c r="BL86" s="374">
        <f t="shared" ref="BL86:BL101" si="113">BH86*4.5%</f>
        <v>558784.66767750005</v>
      </c>
      <c r="BM86" s="373">
        <f t="shared" si="75"/>
        <v>14528794.6007226</v>
      </c>
      <c r="BN86" s="375">
        <v>0.5</v>
      </c>
      <c r="BO86" s="377"/>
      <c r="BP86" s="377"/>
      <c r="BQ86" s="377"/>
      <c r="BR86" s="377"/>
      <c r="BS86" s="377"/>
      <c r="BT86" s="377"/>
      <c r="BU86" s="377"/>
      <c r="BV86" s="377"/>
      <c r="BW86" s="377"/>
      <c r="BX86" s="377"/>
      <c r="BY86" s="377"/>
      <c r="BZ86" s="377"/>
      <c r="CA86" s="377"/>
      <c r="CB86" s="377"/>
      <c r="CC86" s="377"/>
      <c r="CD86" s="377"/>
      <c r="CE86" s="377"/>
      <c r="CF86" s="377"/>
      <c r="CG86" s="377"/>
      <c r="CH86" s="377"/>
      <c r="CI86" s="377"/>
    </row>
    <row r="87" spans="1:87" ht="60">
      <c r="A87" s="369">
        <f t="shared" si="111"/>
        <v>48</v>
      </c>
      <c r="B87" s="416">
        <f t="shared" si="111"/>
        <v>3</v>
      </c>
      <c r="C87" s="378" t="s">
        <v>116</v>
      </c>
      <c r="D87" s="406" t="s">
        <v>1125</v>
      </c>
      <c r="E87" s="392" t="s">
        <v>998</v>
      </c>
      <c r="F87" s="366" t="s">
        <v>1126</v>
      </c>
      <c r="G87" s="366" t="s">
        <v>229</v>
      </c>
      <c r="H87" s="371" t="s">
        <v>1127</v>
      </c>
      <c r="I87" s="366">
        <v>17697</v>
      </c>
      <c r="J87" s="367">
        <v>11.4</v>
      </c>
      <c r="K87" s="367">
        <f t="shared" si="90"/>
        <v>201745.80000000002</v>
      </c>
      <c r="L87" s="380"/>
      <c r="M87" s="380"/>
      <c r="N87" s="380"/>
      <c r="O87" s="380">
        <v>2</v>
      </c>
      <c r="P87" s="380">
        <v>8</v>
      </c>
      <c r="Q87" s="368">
        <f t="shared" si="91"/>
        <v>10</v>
      </c>
      <c r="R87" s="380"/>
      <c r="S87" s="380"/>
      <c r="T87" s="380"/>
      <c r="U87" s="380"/>
      <c r="V87" s="380"/>
      <c r="W87" s="381">
        <f t="shared" si="92"/>
        <v>0</v>
      </c>
      <c r="X87" s="424">
        <f t="shared" si="93"/>
        <v>10</v>
      </c>
      <c r="Y87" s="400">
        <f t="shared" si="94"/>
        <v>126091.12500000001</v>
      </c>
      <c r="Z87" s="398"/>
      <c r="AA87" s="366"/>
      <c r="AB87" s="367">
        <f t="shared" si="96"/>
        <v>0</v>
      </c>
      <c r="AC87" s="366"/>
      <c r="AD87" s="367">
        <f t="shared" si="97"/>
        <v>0</v>
      </c>
      <c r="AE87" s="372"/>
      <c r="AF87" s="366"/>
      <c r="AG87" s="367"/>
      <c r="AH87" s="366"/>
      <c r="AI87" s="367"/>
      <c r="AJ87" s="366">
        <f t="shared" si="98"/>
        <v>10</v>
      </c>
      <c r="AK87" s="367">
        <f t="shared" si="99"/>
        <v>4424.25</v>
      </c>
      <c r="AL87" s="366">
        <f t="shared" si="100"/>
        <v>10</v>
      </c>
      <c r="AM87" s="367">
        <f t="shared" si="101"/>
        <v>37827.337500000001</v>
      </c>
      <c r="AN87" s="366" t="str">
        <f t="shared" si="102"/>
        <v>педагог-шебер</v>
      </c>
      <c r="AO87" s="367">
        <f t="shared" si="103"/>
        <v>63045.562500000007</v>
      </c>
      <c r="AP87" s="367" t="str">
        <f t="shared" si="104"/>
        <v>0</v>
      </c>
      <c r="AQ87" s="367" t="str">
        <f t="shared" si="105"/>
        <v>0</v>
      </c>
      <c r="AR87" s="367" t="str">
        <f t="shared" si="106"/>
        <v>0</v>
      </c>
      <c r="AS87" s="366"/>
      <c r="AT87" s="367"/>
      <c r="AU87" s="372"/>
      <c r="AV87" s="367"/>
      <c r="AW87" s="371" t="str">
        <f>G87</f>
        <v>Магистр-информационные системы</v>
      </c>
      <c r="AX87" s="372">
        <f>10*4335</f>
        <v>43350</v>
      </c>
      <c r="AY87" s="367"/>
      <c r="AZ87" s="367">
        <f t="shared" si="107"/>
        <v>148647.15000000002</v>
      </c>
      <c r="BA87" s="373">
        <f t="shared" si="108"/>
        <v>274738.27500000002</v>
      </c>
      <c r="BB87" s="374">
        <f t="shared" si="65"/>
        <v>27473.827500000003</v>
      </c>
      <c r="BC87" s="374">
        <f t="shared" si="66"/>
        <v>5494.7655000000004</v>
      </c>
      <c r="BD87" s="374">
        <f t="shared" si="109"/>
        <v>18107.968199999999</v>
      </c>
      <c r="BE87" s="374">
        <f t="shared" si="68"/>
        <v>223661.7138</v>
      </c>
      <c r="BF87" s="374">
        <f t="shared" si="69"/>
        <v>3296859.3000000003</v>
      </c>
      <c r="BG87" s="374">
        <f t="shared" si="110"/>
        <v>252182.25000000003</v>
      </c>
      <c r="BH87" s="374">
        <f t="shared" si="71"/>
        <v>3549041.5500000003</v>
      </c>
      <c r="BI87" s="374">
        <f t="shared" si="72"/>
        <v>159706.86975000004</v>
      </c>
      <c r="BJ87" s="374">
        <f t="shared" si="73"/>
        <v>98905.77900000001</v>
      </c>
      <c r="BK87" s="374">
        <f t="shared" si="74"/>
        <v>184395.15323999999</v>
      </c>
      <c r="BL87" s="374">
        <f t="shared" si="113"/>
        <v>159706.86975000001</v>
      </c>
      <c r="BM87" s="373">
        <f t="shared" si="75"/>
        <v>4151756.2217400004</v>
      </c>
      <c r="BN87" s="375">
        <v>1</v>
      </c>
      <c r="BO87" s="377"/>
      <c r="BP87" s="377"/>
      <c r="BQ87" s="377"/>
      <c r="BR87" s="377"/>
      <c r="BS87" s="377"/>
      <c r="BT87" s="377"/>
      <c r="BU87" s="377"/>
      <c r="BV87" s="377"/>
      <c r="BW87" s="377"/>
      <c r="BX87" s="377"/>
      <c r="BY87" s="377"/>
      <c r="BZ87" s="377"/>
      <c r="CA87" s="377"/>
      <c r="CB87" s="377"/>
      <c r="CC87" s="377"/>
      <c r="CD87" s="377"/>
      <c r="CE87" s="377"/>
      <c r="CF87" s="377"/>
      <c r="CG87" s="377"/>
      <c r="CH87" s="377"/>
      <c r="CI87" s="377"/>
    </row>
    <row r="88" spans="1:87" ht="42" customHeight="1">
      <c r="A88" s="369">
        <f t="shared" si="111"/>
        <v>49</v>
      </c>
      <c r="B88" s="416">
        <f t="shared" si="111"/>
        <v>4</v>
      </c>
      <c r="C88" s="378" t="s">
        <v>1128</v>
      </c>
      <c r="D88" s="379" t="s">
        <v>1129</v>
      </c>
      <c r="E88" s="392" t="s">
        <v>998</v>
      </c>
      <c r="F88" s="366" t="s">
        <v>999</v>
      </c>
      <c r="G88" s="366" t="s">
        <v>1123</v>
      </c>
      <c r="H88" s="371" t="s">
        <v>1130</v>
      </c>
      <c r="I88" s="366">
        <v>17697</v>
      </c>
      <c r="J88" s="367">
        <v>11.4</v>
      </c>
      <c r="K88" s="367">
        <f t="shared" si="90"/>
        <v>201745.80000000002</v>
      </c>
      <c r="L88" s="380"/>
      <c r="M88" s="380">
        <v>9</v>
      </c>
      <c r="N88" s="380">
        <v>12</v>
      </c>
      <c r="O88" s="380">
        <v>6</v>
      </c>
      <c r="P88" s="380"/>
      <c r="Q88" s="368">
        <f t="shared" si="91"/>
        <v>27</v>
      </c>
      <c r="R88" s="380"/>
      <c r="S88" s="380"/>
      <c r="T88" s="380"/>
      <c r="U88" s="380"/>
      <c r="V88" s="380"/>
      <c r="W88" s="381">
        <f t="shared" si="92"/>
        <v>0</v>
      </c>
      <c r="X88" s="424">
        <f t="shared" si="93"/>
        <v>27</v>
      </c>
      <c r="Y88" s="400">
        <f t="shared" si="94"/>
        <v>340446.03750000003</v>
      </c>
      <c r="Z88" s="398">
        <f t="shared" si="95"/>
        <v>34044.603750000002</v>
      </c>
      <c r="AA88" s="366"/>
      <c r="AB88" s="367">
        <f t="shared" si="96"/>
        <v>0</v>
      </c>
      <c r="AC88" s="366"/>
      <c r="AD88" s="367">
        <f t="shared" si="97"/>
        <v>0</v>
      </c>
      <c r="AE88" s="366"/>
      <c r="AF88" s="366" t="s">
        <v>1131</v>
      </c>
      <c r="AG88" s="367">
        <f t="shared" si="112"/>
        <v>3539.4</v>
      </c>
      <c r="AH88" s="366"/>
      <c r="AI88" s="367"/>
      <c r="AJ88" s="366">
        <f t="shared" si="98"/>
        <v>27</v>
      </c>
      <c r="AK88" s="367">
        <f t="shared" si="99"/>
        <v>11945.475</v>
      </c>
      <c r="AL88" s="366">
        <f t="shared" si="100"/>
        <v>27</v>
      </c>
      <c r="AM88" s="367">
        <f t="shared" si="101"/>
        <v>102133.81125000001</v>
      </c>
      <c r="AN88" s="366" t="str">
        <f t="shared" si="102"/>
        <v>Педагог-шебер</v>
      </c>
      <c r="AO88" s="367">
        <f t="shared" si="103"/>
        <v>170223.01875000002</v>
      </c>
      <c r="AP88" s="367" t="str">
        <f t="shared" si="104"/>
        <v>0</v>
      </c>
      <c r="AQ88" s="367" t="str">
        <f t="shared" si="105"/>
        <v>0</v>
      </c>
      <c r="AR88" s="367" t="str">
        <f t="shared" si="106"/>
        <v>0</v>
      </c>
      <c r="AS88" s="366"/>
      <c r="AT88" s="367"/>
      <c r="AU88" s="366"/>
      <c r="AV88" s="367"/>
      <c r="AW88" s="371" t="str">
        <f>G88</f>
        <v>Магистр-информатики</v>
      </c>
      <c r="AX88" s="372">
        <f>10*4335</f>
        <v>43350</v>
      </c>
      <c r="AY88" s="367">
        <v>17697</v>
      </c>
      <c r="AZ88" s="367">
        <f t="shared" si="107"/>
        <v>382933.30875000003</v>
      </c>
      <c r="BA88" s="373">
        <f t="shared" si="108"/>
        <v>723379.34625000006</v>
      </c>
      <c r="BB88" s="374">
        <f t="shared" si="65"/>
        <v>72337.934625000009</v>
      </c>
      <c r="BC88" s="374">
        <f t="shared" si="66"/>
        <v>14467.586925000001</v>
      </c>
      <c r="BD88" s="374">
        <f t="shared" si="109"/>
        <v>57588.382470000011</v>
      </c>
      <c r="BE88" s="374">
        <f t="shared" si="68"/>
        <v>578985.44223000016</v>
      </c>
      <c r="BF88" s="374">
        <f t="shared" si="69"/>
        <v>8680552.1550000012</v>
      </c>
      <c r="BG88" s="374">
        <f t="shared" si="110"/>
        <v>680892.07500000007</v>
      </c>
      <c r="BH88" s="374">
        <f t="shared" si="71"/>
        <v>9361444.2300000004</v>
      </c>
      <c r="BI88" s="374">
        <f t="shared" si="72"/>
        <v>421264.99035000004</v>
      </c>
      <c r="BJ88" s="374">
        <f t="shared" si="73"/>
        <v>260416.56465000001</v>
      </c>
      <c r="BK88" s="374">
        <f t="shared" si="74"/>
        <v>486420.77367899992</v>
      </c>
      <c r="BL88" s="374">
        <f t="shared" si="113"/>
        <v>421264.99034999998</v>
      </c>
      <c r="BM88" s="373">
        <f t="shared" si="75"/>
        <v>10950811.549029</v>
      </c>
      <c r="BN88" s="375"/>
      <c r="BO88" s="377"/>
      <c r="BP88" s="377"/>
      <c r="BQ88" s="377"/>
      <c r="BR88" s="377"/>
      <c r="BS88" s="377"/>
      <c r="BT88" s="377"/>
      <c r="BU88" s="377"/>
      <c r="BV88" s="377"/>
      <c r="BW88" s="377"/>
      <c r="BX88" s="377"/>
      <c r="BY88" s="377"/>
      <c r="BZ88" s="377"/>
      <c r="CA88" s="377"/>
      <c r="CB88" s="377"/>
      <c r="CC88" s="377"/>
      <c r="CD88" s="377"/>
      <c r="CE88" s="377"/>
      <c r="CF88" s="377"/>
      <c r="CG88" s="377"/>
      <c r="CH88" s="377"/>
      <c r="CI88" s="377"/>
    </row>
    <row r="89" spans="1:87" ht="45.75" customHeight="1">
      <c r="A89" s="369">
        <f t="shared" si="111"/>
        <v>50</v>
      </c>
      <c r="B89" s="416">
        <f t="shared" si="111"/>
        <v>5</v>
      </c>
      <c r="C89" s="418" t="s">
        <v>1132</v>
      </c>
      <c r="D89" s="421" t="s">
        <v>1133</v>
      </c>
      <c r="E89" s="366" t="s">
        <v>998</v>
      </c>
      <c r="F89" s="366"/>
      <c r="G89" s="366" t="s">
        <v>1046</v>
      </c>
      <c r="H89" s="371" t="s">
        <v>1422</v>
      </c>
      <c r="I89" s="366">
        <v>17697</v>
      </c>
      <c r="J89" s="367">
        <v>9.84</v>
      </c>
      <c r="K89" s="367">
        <f t="shared" si="90"/>
        <v>174138.48</v>
      </c>
      <c r="L89" s="380">
        <v>15</v>
      </c>
      <c r="M89" s="380">
        <v>6</v>
      </c>
      <c r="N89" s="380"/>
      <c r="O89" s="380"/>
      <c r="P89" s="380"/>
      <c r="Q89" s="368">
        <f t="shared" si="91"/>
        <v>21</v>
      </c>
      <c r="R89" s="380"/>
      <c r="S89" s="380"/>
      <c r="T89" s="380"/>
      <c r="U89" s="380"/>
      <c r="V89" s="380"/>
      <c r="W89" s="381">
        <f t="shared" si="92"/>
        <v>0</v>
      </c>
      <c r="X89" s="424">
        <f t="shared" si="93"/>
        <v>21</v>
      </c>
      <c r="Y89" s="400">
        <f t="shared" si="94"/>
        <v>228556.755</v>
      </c>
      <c r="Z89" s="398">
        <f t="shared" si="95"/>
        <v>22855.675500000001</v>
      </c>
      <c r="AA89" s="366"/>
      <c r="AB89" s="367">
        <f t="shared" si="96"/>
        <v>0</v>
      </c>
      <c r="AC89" s="366"/>
      <c r="AD89" s="367">
        <f t="shared" si="97"/>
        <v>0</v>
      </c>
      <c r="AE89" s="366"/>
      <c r="AF89" s="366"/>
      <c r="AG89" s="367"/>
      <c r="AH89" s="366"/>
      <c r="AI89" s="367"/>
      <c r="AJ89" s="366">
        <f t="shared" si="98"/>
        <v>21</v>
      </c>
      <c r="AK89" s="367">
        <f t="shared" si="99"/>
        <v>9290.9250000000011</v>
      </c>
      <c r="AL89" s="366">
        <f t="shared" si="100"/>
        <v>21</v>
      </c>
      <c r="AM89" s="367">
        <f t="shared" si="101"/>
        <v>68567.026499999993</v>
      </c>
      <c r="AN89" s="366">
        <f t="shared" si="102"/>
        <v>0</v>
      </c>
      <c r="AO89" s="367" t="str">
        <f t="shared" si="103"/>
        <v>0</v>
      </c>
      <c r="AP89" s="367" t="str">
        <f t="shared" si="104"/>
        <v>0</v>
      </c>
      <c r="AQ89" s="367" t="str">
        <f t="shared" si="105"/>
        <v>0</v>
      </c>
      <c r="AR89" s="367" t="str">
        <f t="shared" si="106"/>
        <v>0</v>
      </c>
      <c r="AS89" s="366"/>
      <c r="AT89" s="367"/>
      <c r="AU89" s="366"/>
      <c r="AV89" s="367"/>
      <c r="AW89" s="371" t="str">
        <f t="shared" ref="AW89:AW101" si="114">G89</f>
        <v>Магистр педагогических наук</v>
      </c>
      <c r="AX89" s="372">
        <f>10*4335</f>
        <v>43350</v>
      </c>
      <c r="AY89" s="367"/>
      <c r="AZ89" s="367">
        <f t="shared" si="107"/>
        <v>144063.62699999998</v>
      </c>
      <c r="BA89" s="373">
        <f t="shared" si="108"/>
        <v>372620.38199999998</v>
      </c>
      <c r="BB89" s="374">
        <f t="shared" si="65"/>
        <v>37262.038200000003</v>
      </c>
      <c r="BC89" s="374">
        <f t="shared" si="66"/>
        <v>7452.4076399999994</v>
      </c>
      <c r="BD89" s="374">
        <f t="shared" si="109"/>
        <v>26721.593615999998</v>
      </c>
      <c r="BE89" s="374">
        <f t="shared" si="68"/>
        <v>301184.34254400001</v>
      </c>
      <c r="BF89" s="374">
        <f t="shared" si="69"/>
        <v>4471444.5839999998</v>
      </c>
      <c r="BG89" s="374">
        <f t="shared" si="110"/>
        <v>457113.51</v>
      </c>
      <c r="BH89" s="374">
        <f t="shared" si="71"/>
        <v>4928558.0939999996</v>
      </c>
      <c r="BI89" s="374">
        <f t="shared" si="72"/>
        <v>221785.11423000001</v>
      </c>
      <c r="BJ89" s="374">
        <f t="shared" si="73"/>
        <v>134143.33752</v>
      </c>
      <c r="BK89" s="374">
        <f t="shared" si="74"/>
        <v>256304.95899119996</v>
      </c>
      <c r="BL89" s="374">
        <f t="shared" si="113"/>
        <v>221785.11422999998</v>
      </c>
      <c r="BM89" s="373">
        <f t="shared" si="75"/>
        <v>5762576.6189711997</v>
      </c>
      <c r="BN89" s="375"/>
      <c r="BO89" s="377"/>
      <c r="BP89" s="377"/>
      <c r="BQ89" s="377"/>
      <c r="BR89" s="377"/>
      <c r="BS89" s="377"/>
      <c r="BT89" s="377"/>
      <c r="BU89" s="377"/>
      <c r="BV89" s="377"/>
      <c r="BW89" s="377"/>
      <c r="BX89" s="377"/>
      <c r="BY89" s="377"/>
      <c r="BZ89" s="377"/>
      <c r="CA89" s="377"/>
      <c r="CB89" s="377"/>
      <c r="CC89" s="377"/>
      <c r="CD89" s="377"/>
      <c r="CE89" s="377"/>
      <c r="CF89" s="377"/>
      <c r="CG89" s="377"/>
      <c r="CH89" s="377"/>
      <c r="CI89" s="377"/>
    </row>
    <row r="90" spans="1:87" ht="42.75" customHeight="1">
      <c r="A90" s="369">
        <f t="shared" si="111"/>
        <v>51</v>
      </c>
      <c r="B90" s="416">
        <f t="shared" si="111"/>
        <v>6</v>
      </c>
      <c r="C90" s="409" t="s">
        <v>1135</v>
      </c>
      <c r="D90" s="412" t="s">
        <v>1136</v>
      </c>
      <c r="E90" s="366" t="s">
        <v>998</v>
      </c>
      <c r="F90" s="366" t="s">
        <v>1005</v>
      </c>
      <c r="G90" s="366" t="s">
        <v>1123</v>
      </c>
      <c r="H90" s="371" t="s">
        <v>1423</v>
      </c>
      <c r="I90" s="366">
        <v>17697</v>
      </c>
      <c r="J90" s="367">
        <v>10.82</v>
      </c>
      <c r="K90" s="367">
        <f t="shared" si="90"/>
        <v>191481.54</v>
      </c>
      <c r="L90" s="380"/>
      <c r="M90" s="380">
        <v>15</v>
      </c>
      <c r="N90" s="426"/>
      <c r="O90" s="380"/>
      <c r="P90" s="380">
        <v>10</v>
      </c>
      <c r="Q90" s="368">
        <f t="shared" si="91"/>
        <v>25</v>
      </c>
      <c r="R90" s="380"/>
      <c r="S90" s="380"/>
      <c r="T90" s="380"/>
      <c r="U90" s="380"/>
      <c r="V90" s="380"/>
      <c r="W90" s="381">
        <f t="shared" si="92"/>
        <v>0</v>
      </c>
      <c r="X90" s="424">
        <f t="shared" si="93"/>
        <v>25</v>
      </c>
      <c r="Y90" s="400">
        <f t="shared" si="94"/>
        <v>299189.90625</v>
      </c>
      <c r="Z90" s="398">
        <f t="shared" si="95"/>
        <v>29918.990625000002</v>
      </c>
      <c r="AA90" s="366"/>
      <c r="AB90" s="367">
        <f t="shared" si="96"/>
        <v>0</v>
      </c>
      <c r="AC90" s="366"/>
      <c r="AD90" s="367">
        <f t="shared" si="97"/>
        <v>0</v>
      </c>
      <c r="AE90" s="420"/>
      <c r="AF90" s="366" t="s">
        <v>1138</v>
      </c>
      <c r="AG90" s="367">
        <f t="shared" ref="AG90:AG91" si="115">17697*20%</f>
        <v>3539.4</v>
      </c>
      <c r="AH90" s="366" t="s">
        <v>1139</v>
      </c>
      <c r="AI90" s="367">
        <f>I90*200%</f>
        <v>35394</v>
      </c>
      <c r="AJ90" s="366">
        <f t="shared" si="98"/>
        <v>25</v>
      </c>
      <c r="AK90" s="367">
        <f t="shared" si="99"/>
        <v>11060.625</v>
      </c>
      <c r="AL90" s="366">
        <f t="shared" si="100"/>
        <v>25</v>
      </c>
      <c r="AM90" s="367">
        <f t="shared" si="101"/>
        <v>89756.971875000003</v>
      </c>
      <c r="AN90" s="366" t="str">
        <f t="shared" si="102"/>
        <v>Педагог-зерттеуші</v>
      </c>
      <c r="AO90" s="367" t="str">
        <f t="shared" si="103"/>
        <v>0</v>
      </c>
      <c r="AP90" s="367">
        <f t="shared" si="104"/>
        <v>119675.96250000001</v>
      </c>
      <c r="AQ90" s="367" t="str">
        <f t="shared" si="105"/>
        <v>0</v>
      </c>
      <c r="AR90" s="367" t="str">
        <f t="shared" si="106"/>
        <v>0</v>
      </c>
      <c r="AS90" s="366"/>
      <c r="AT90" s="367"/>
      <c r="AU90" s="420"/>
      <c r="AV90" s="367"/>
      <c r="AW90" s="371" t="str">
        <f t="shared" si="114"/>
        <v>Магистр-информатики</v>
      </c>
      <c r="AX90" s="372">
        <f>10*4335</f>
        <v>43350</v>
      </c>
      <c r="AY90" s="367"/>
      <c r="AZ90" s="367">
        <f t="shared" si="107"/>
        <v>332695.95</v>
      </c>
      <c r="BA90" s="373">
        <f t="shared" si="108"/>
        <v>631885.85624999995</v>
      </c>
      <c r="BB90" s="374">
        <f t="shared" si="65"/>
        <v>63188.585625</v>
      </c>
      <c r="BC90" s="374">
        <f t="shared" si="66"/>
        <v>12637.717124999999</v>
      </c>
      <c r="BD90" s="374">
        <f t="shared" si="109"/>
        <v>49536.955350000004</v>
      </c>
      <c r="BE90" s="374">
        <f t="shared" si="68"/>
        <v>506522.59815000003</v>
      </c>
      <c r="BF90" s="374">
        <f t="shared" si="69"/>
        <v>7582630.2749999994</v>
      </c>
      <c r="BG90" s="374">
        <f t="shared" si="110"/>
        <v>598379.8125</v>
      </c>
      <c r="BH90" s="374">
        <f t="shared" si="71"/>
        <v>8181010.0874999994</v>
      </c>
      <c r="BI90" s="374">
        <f t="shared" si="72"/>
        <v>368145.45393750002</v>
      </c>
      <c r="BJ90" s="374">
        <f t="shared" si="73"/>
        <v>227478.90824999998</v>
      </c>
      <c r="BK90" s="374">
        <f t="shared" si="74"/>
        <v>425092.75812000001</v>
      </c>
      <c r="BL90" s="374">
        <f t="shared" si="113"/>
        <v>368145.45393749996</v>
      </c>
      <c r="BM90" s="373">
        <f t="shared" si="75"/>
        <v>9569872.6617450006</v>
      </c>
      <c r="BN90" s="375"/>
      <c r="BO90" s="377"/>
      <c r="BP90" s="377"/>
      <c r="BQ90" s="377"/>
      <c r="BR90" s="377"/>
      <c r="BS90" s="377"/>
      <c r="BT90" s="377"/>
      <c r="BU90" s="377"/>
      <c r="BV90" s="377"/>
      <c r="BW90" s="377"/>
      <c r="BX90" s="377"/>
      <c r="BY90" s="377"/>
      <c r="BZ90" s="377"/>
      <c r="CA90" s="377"/>
      <c r="CB90" s="377"/>
      <c r="CC90" s="377"/>
      <c r="CD90" s="377"/>
      <c r="CE90" s="377"/>
      <c r="CF90" s="377"/>
      <c r="CG90" s="377"/>
      <c r="CH90" s="377"/>
      <c r="CI90" s="377"/>
    </row>
    <row r="91" spans="1:87" ht="42.75" customHeight="1">
      <c r="A91" s="369">
        <f t="shared" si="111"/>
        <v>52</v>
      </c>
      <c r="B91" s="416">
        <f t="shared" si="111"/>
        <v>7</v>
      </c>
      <c r="C91" s="413" t="s">
        <v>1140</v>
      </c>
      <c r="D91" s="414" t="s">
        <v>1141</v>
      </c>
      <c r="E91" s="394" t="s">
        <v>998</v>
      </c>
      <c r="F91" s="394" t="s">
        <v>999</v>
      </c>
      <c r="G91" s="394"/>
      <c r="H91" s="395" t="s">
        <v>397</v>
      </c>
      <c r="I91" s="394">
        <v>17697</v>
      </c>
      <c r="J91" s="427">
        <v>11.4</v>
      </c>
      <c r="K91" s="427">
        <f t="shared" si="90"/>
        <v>201745.80000000002</v>
      </c>
      <c r="L91" s="380"/>
      <c r="M91" s="380"/>
      <c r="N91" s="380">
        <v>15</v>
      </c>
      <c r="O91" s="380">
        <v>8</v>
      </c>
      <c r="P91" s="380">
        <v>4</v>
      </c>
      <c r="Q91" s="368">
        <f t="shared" si="91"/>
        <v>27</v>
      </c>
      <c r="R91" s="380"/>
      <c r="S91" s="380"/>
      <c r="T91" s="380"/>
      <c r="U91" s="380"/>
      <c r="V91" s="380"/>
      <c r="W91" s="381">
        <f t="shared" si="92"/>
        <v>0</v>
      </c>
      <c r="X91" s="424">
        <f t="shared" si="93"/>
        <v>27</v>
      </c>
      <c r="Y91" s="400">
        <f t="shared" si="94"/>
        <v>340446.03750000003</v>
      </c>
      <c r="Z91" s="398">
        <f t="shared" si="95"/>
        <v>34044.603750000002</v>
      </c>
      <c r="AA91" s="366"/>
      <c r="AB91" s="367">
        <f t="shared" si="96"/>
        <v>0</v>
      </c>
      <c r="AC91" s="366"/>
      <c r="AD91" s="367">
        <f t="shared" si="97"/>
        <v>0</v>
      </c>
      <c r="AE91" s="372"/>
      <c r="AF91" s="366" t="s">
        <v>1142</v>
      </c>
      <c r="AG91" s="367">
        <f t="shared" si="115"/>
        <v>3539.4</v>
      </c>
      <c r="AH91" s="366"/>
      <c r="AI91" s="367"/>
      <c r="AJ91" s="366">
        <f t="shared" si="98"/>
        <v>27</v>
      </c>
      <c r="AK91" s="367">
        <f t="shared" si="99"/>
        <v>11945.475</v>
      </c>
      <c r="AL91" s="366">
        <f t="shared" si="100"/>
        <v>27</v>
      </c>
      <c r="AM91" s="367">
        <f t="shared" si="101"/>
        <v>102133.81125000001</v>
      </c>
      <c r="AN91" s="366" t="str">
        <f t="shared" si="102"/>
        <v>Педагог-шебер</v>
      </c>
      <c r="AO91" s="367">
        <f t="shared" si="103"/>
        <v>170223.01875000002</v>
      </c>
      <c r="AP91" s="367" t="str">
        <f t="shared" si="104"/>
        <v>0</v>
      </c>
      <c r="AQ91" s="367" t="str">
        <f t="shared" si="105"/>
        <v>0</v>
      </c>
      <c r="AR91" s="367" t="str">
        <f t="shared" si="106"/>
        <v>0</v>
      </c>
      <c r="AS91" s="366"/>
      <c r="AT91" s="367"/>
      <c r="AU91" s="371"/>
      <c r="AV91" s="367"/>
      <c r="AW91" s="371">
        <f t="shared" si="114"/>
        <v>0</v>
      </c>
      <c r="AX91" s="367"/>
      <c r="AY91" s="367">
        <v>17697</v>
      </c>
      <c r="AZ91" s="367">
        <f t="shared" si="107"/>
        <v>339583.30875000003</v>
      </c>
      <c r="BA91" s="373">
        <f t="shared" si="108"/>
        <v>680029.34625000006</v>
      </c>
      <c r="BB91" s="374">
        <f t="shared" si="65"/>
        <v>68002.934625000009</v>
      </c>
      <c r="BC91" s="374">
        <f t="shared" si="66"/>
        <v>13600.586925000001</v>
      </c>
      <c r="BD91" s="374">
        <f t="shared" si="109"/>
        <v>53773.582470000016</v>
      </c>
      <c r="BE91" s="374">
        <f t="shared" si="68"/>
        <v>544652.24223000009</v>
      </c>
      <c r="BF91" s="374">
        <f t="shared" si="69"/>
        <v>8160352.1550000012</v>
      </c>
      <c r="BG91" s="374">
        <f t="shared" si="110"/>
        <v>680892.07500000007</v>
      </c>
      <c r="BH91" s="374">
        <f t="shared" si="71"/>
        <v>8841244.2300000004</v>
      </c>
      <c r="BI91" s="374">
        <f t="shared" si="72"/>
        <v>397855.99035000009</v>
      </c>
      <c r="BJ91" s="374">
        <f t="shared" si="73"/>
        <v>244810.56465000001</v>
      </c>
      <c r="BK91" s="374">
        <f t="shared" si="74"/>
        <v>459474.41367899999</v>
      </c>
      <c r="BL91" s="374">
        <f t="shared" si="113"/>
        <v>397855.99034999998</v>
      </c>
      <c r="BM91" s="373">
        <f t="shared" si="75"/>
        <v>10341241.189029001</v>
      </c>
      <c r="BN91" s="375"/>
      <c r="BO91" s="377"/>
      <c r="BP91" s="377"/>
      <c r="BQ91" s="377"/>
      <c r="BR91" s="377"/>
      <c r="BS91" s="377"/>
      <c r="BT91" s="377"/>
      <c r="BU91" s="377"/>
      <c r="BV91" s="377"/>
      <c r="BW91" s="377"/>
      <c r="BX91" s="377"/>
      <c r="BY91" s="377"/>
      <c r="BZ91" s="377"/>
      <c r="CA91" s="377"/>
      <c r="CB91" s="377"/>
      <c r="CC91" s="377"/>
      <c r="CD91" s="377"/>
      <c r="CE91" s="377"/>
      <c r="CF91" s="377"/>
      <c r="CG91" s="377"/>
      <c r="CH91" s="377"/>
      <c r="CI91" s="377"/>
    </row>
    <row r="92" spans="1:87" ht="45" customHeight="1">
      <c r="A92" s="369">
        <f t="shared" si="111"/>
        <v>53</v>
      </c>
      <c r="B92" s="428">
        <f t="shared" si="111"/>
        <v>8</v>
      </c>
      <c r="C92" s="387" t="s">
        <v>1143</v>
      </c>
      <c r="D92" s="429" t="s">
        <v>1144</v>
      </c>
      <c r="E92" s="362" t="s">
        <v>998</v>
      </c>
      <c r="F92" s="362" t="s">
        <v>1005</v>
      </c>
      <c r="G92" s="362" t="s">
        <v>1123</v>
      </c>
      <c r="H92" s="397" t="s">
        <v>1424</v>
      </c>
      <c r="I92" s="362">
        <v>17697</v>
      </c>
      <c r="J92" s="400">
        <v>10.6</v>
      </c>
      <c r="K92" s="400">
        <f t="shared" si="90"/>
        <v>187588.19999999998</v>
      </c>
      <c r="L92" s="401"/>
      <c r="M92" s="380"/>
      <c r="N92" s="380">
        <v>12</v>
      </c>
      <c r="O92" s="380"/>
      <c r="P92" s="380">
        <v>8</v>
      </c>
      <c r="Q92" s="368">
        <f t="shared" si="91"/>
        <v>20</v>
      </c>
      <c r="R92" s="426"/>
      <c r="S92" s="380"/>
      <c r="T92" s="380"/>
      <c r="U92" s="380"/>
      <c r="V92" s="430"/>
      <c r="W92" s="381">
        <f t="shared" si="92"/>
        <v>0</v>
      </c>
      <c r="X92" s="424">
        <f t="shared" si="93"/>
        <v>20</v>
      </c>
      <c r="Y92" s="400">
        <f t="shared" si="94"/>
        <v>234485.24999999997</v>
      </c>
      <c r="Z92" s="398">
        <f t="shared" si="95"/>
        <v>23448.524999999998</v>
      </c>
      <c r="AA92" s="366"/>
      <c r="AB92" s="367">
        <f t="shared" si="96"/>
        <v>0</v>
      </c>
      <c r="AC92" s="366"/>
      <c r="AD92" s="367">
        <f t="shared" si="97"/>
        <v>0</v>
      </c>
      <c r="AE92" s="366"/>
      <c r="AF92" s="366" t="s">
        <v>1146</v>
      </c>
      <c r="AG92" s="367">
        <f>17697*20%</f>
        <v>3539.4</v>
      </c>
      <c r="AH92" s="366"/>
      <c r="AI92" s="367"/>
      <c r="AJ92" s="366">
        <f t="shared" si="98"/>
        <v>20</v>
      </c>
      <c r="AK92" s="367">
        <f t="shared" si="99"/>
        <v>8848.5</v>
      </c>
      <c r="AL92" s="366">
        <f t="shared" si="100"/>
        <v>20</v>
      </c>
      <c r="AM92" s="367">
        <f t="shared" si="101"/>
        <v>70345.574999999983</v>
      </c>
      <c r="AN92" s="366" t="str">
        <f t="shared" si="102"/>
        <v>Педагог-зерттеуші</v>
      </c>
      <c r="AO92" s="367" t="str">
        <f t="shared" si="103"/>
        <v>0</v>
      </c>
      <c r="AP92" s="367">
        <f t="shared" si="104"/>
        <v>93794.099999999991</v>
      </c>
      <c r="AQ92" s="367" t="str">
        <f t="shared" si="105"/>
        <v>0</v>
      </c>
      <c r="AR92" s="367" t="str">
        <f t="shared" si="106"/>
        <v>0</v>
      </c>
      <c r="AS92" s="366"/>
      <c r="AT92" s="367"/>
      <c r="AU92" s="371"/>
      <c r="AV92" s="367"/>
      <c r="AW92" s="371" t="str">
        <f t="shared" si="114"/>
        <v>Магистр-информатики</v>
      </c>
      <c r="AX92" s="372">
        <f>10*4335</f>
        <v>43350</v>
      </c>
      <c r="AY92" s="367"/>
      <c r="AZ92" s="367">
        <f t="shared" si="107"/>
        <v>243326.09999999998</v>
      </c>
      <c r="BA92" s="373">
        <f t="shared" si="108"/>
        <v>477811.35</v>
      </c>
      <c r="BB92" s="374">
        <f t="shared" si="65"/>
        <v>47781.135000000002</v>
      </c>
      <c r="BC92" s="374">
        <f t="shared" si="66"/>
        <v>9556.226999999999</v>
      </c>
      <c r="BD92" s="374">
        <f t="shared" si="109"/>
        <v>35978.398799999995</v>
      </c>
      <c r="BE92" s="374">
        <f t="shared" si="68"/>
        <v>384495.58919999993</v>
      </c>
      <c r="BF92" s="374">
        <f t="shared" si="69"/>
        <v>5733736.1999999993</v>
      </c>
      <c r="BG92" s="374">
        <f t="shared" si="110"/>
        <v>468970.49999999994</v>
      </c>
      <c r="BH92" s="374">
        <f t="shared" si="71"/>
        <v>6202706.6999999993</v>
      </c>
      <c r="BI92" s="374">
        <f t="shared" si="72"/>
        <v>279121.8015</v>
      </c>
      <c r="BJ92" s="374">
        <f t="shared" si="73"/>
        <v>172012.08599999998</v>
      </c>
      <c r="BK92" s="374">
        <f t="shared" si="74"/>
        <v>322331.94215999992</v>
      </c>
      <c r="BL92" s="374">
        <f t="shared" si="113"/>
        <v>279121.80149999994</v>
      </c>
      <c r="BM92" s="373">
        <f t="shared" si="75"/>
        <v>7255294.3311599996</v>
      </c>
      <c r="BN92" s="375"/>
      <c r="BO92" s="377"/>
      <c r="BP92" s="377"/>
      <c r="BQ92" s="377"/>
      <c r="BR92" s="377"/>
      <c r="BS92" s="377"/>
      <c r="BT92" s="377"/>
      <c r="BU92" s="377"/>
      <c r="BV92" s="377"/>
      <c r="BW92" s="377"/>
      <c r="BX92" s="377"/>
      <c r="BY92" s="377"/>
      <c r="BZ92" s="377"/>
      <c r="CA92" s="377"/>
      <c r="CB92" s="377"/>
      <c r="CC92" s="377"/>
      <c r="CD92" s="377"/>
      <c r="CE92" s="377"/>
      <c r="CF92" s="377"/>
      <c r="CG92" s="377"/>
      <c r="CH92" s="377"/>
      <c r="CI92" s="377"/>
    </row>
    <row r="93" spans="1:87" ht="45" customHeight="1">
      <c r="A93" s="369">
        <f t="shared" si="111"/>
        <v>54</v>
      </c>
      <c r="B93" s="428">
        <f t="shared" si="111"/>
        <v>9</v>
      </c>
      <c r="C93" s="387" t="s">
        <v>1147</v>
      </c>
      <c r="D93" s="379" t="s">
        <v>1148</v>
      </c>
      <c r="E93" s="362" t="s">
        <v>1022</v>
      </c>
      <c r="F93" s="362"/>
      <c r="G93" s="362"/>
      <c r="H93" s="397" t="s">
        <v>1403</v>
      </c>
      <c r="I93" s="362">
        <v>17697</v>
      </c>
      <c r="J93" s="400">
        <v>7.98</v>
      </c>
      <c r="K93" s="400">
        <f t="shared" si="90"/>
        <v>141222.06</v>
      </c>
      <c r="L93" s="401">
        <v>15</v>
      </c>
      <c r="M93" s="380"/>
      <c r="N93" s="380"/>
      <c r="O93" s="380"/>
      <c r="P93" s="380"/>
      <c r="Q93" s="368">
        <f t="shared" si="91"/>
        <v>15</v>
      </c>
      <c r="R93" s="426"/>
      <c r="S93" s="380"/>
      <c r="T93" s="380"/>
      <c r="U93" s="380"/>
      <c r="V93" s="430"/>
      <c r="W93" s="381">
        <f t="shared" si="92"/>
        <v>0</v>
      </c>
      <c r="X93" s="424">
        <f t="shared" si="93"/>
        <v>15</v>
      </c>
      <c r="Y93" s="400">
        <f t="shared" si="94"/>
        <v>132395.68124999999</v>
      </c>
      <c r="Z93" s="398">
        <f t="shared" si="95"/>
        <v>13239.568125</v>
      </c>
      <c r="AA93" s="366"/>
      <c r="AB93" s="367">
        <f t="shared" si="96"/>
        <v>0</v>
      </c>
      <c r="AC93" s="366"/>
      <c r="AD93" s="367">
        <f t="shared" si="97"/>
        <v>0</v>
      </c>
      <c r="AE93" s="366"/>
      <c r="AF93" s="366"/>
      <c r="AG93" s="367"/>
      <c r="AH93" s="366"/>
      <c r="AI93" s="367"/>
      <c r="AJ93" s="366">
        <f t="shared" si="98"/>
        <v>15</v>
      </c>
      <c r="AK93" s="367">
        <f t="shared" si="99"/>
        <v>6636.375</v>
      </c>
      <c r="AL93" s="366">
        <f t="shared" si="100"/>
        <v>15</v>
      </c>
      <c r="AM93" s="367">
        <f t="shared" si="101"/>
        <v>39718.704374999994</v>
      </c>
      <c r="AN93" s="366">
        <f t="shared" si="102"/>
        <v>0</v>
      </c>
      <c r="AO93" s="367" t="str">
        <f t="shared" si="103"/>
        <v>0</v>
      </c>
      <c r="AP93" s="367" t="str">
        <f t="shared" si="104"/>
        <v>0</v>
      </c>
      <c r="AQ93" s="367" t="str">
        <f t="shared" si="105"/>
        <v>0</v>
      </c>
      <c r="AR93" s="367" t="str">
        <f t="shared" si="106"/>
        <v>0</v>
      </c>
      <c r="AS93" s="366"/>
      <c r="AT93" s="367"/>
      <c r="AU93" s="371"/>
      <c r="AV93" s="367"/>
      <c r="AW93" s="371">
        <f t="shared" si="114"/>
        <v>0</v>
      </c>
      <c r="AX93" s="372"/>
      <c r="AY93" s="367"/>
      <c r="AZ93" s="367">
        <f t="shared" si="107"/>
        <v>59594.647499999992</v>
      </c>
      <c r="BA93" s="373">
        <f t="shared" si="108"/>
        <v>191990.32874999999</v>
      </c>
      <c r="BB93" s="374">
        <f t="shared" si="65"/>
        <v>19199.032875000001</v>
      </c>
      <c r="BC93" s="374">
        <f t="shared" si="66"/>
        <v>3839.8065749999996</v>
      </c>
      <c r="BD93" s="374">
        <f t="shared" si="109"/>
        <v>10826.148929999999</v>
      </c>
      <c r="BE93" s="374">
        <f t="shared" si="68"/>
        <v>158125.34036999999</v>
      </c>
      <c r="BF93" s="374">
        <f t="shared" si="69"/>
        <v>2303883.9449999998</v>
      </c>
      <c r="BG93" s="374">
        <f t="shared" si="110"/>
        <v>264791.36249999999</v>
      </c>
      <c r="BH93" s="374">
        <f t="shared" si="71"/>
        <v>2568675.3074999996</v>
      </c>
      <c r="BI93" s="374">
        <f t="shared" si="72"/>
        <v>115590.3888375</v>
      </c>
      <c r="BJ93" s="374">
        <f t="shared" si="73"/>
        <v>69116.518349999998</v>
      </c>
      <c r="BK93" s="374">
        <f t="shared" si="74"/>
        <v>133639.92192599998</v>
      </c>
      <c r="BL93" s="374">
        <f t="shared" si="113"/>
        <v>115590.38883749998</v>
      </c>
      <c r="BM93" s="373">
        <f t="shared" si="75"/>
        <v>3002612.5254509998</v>
      </c>
      <c r="BN93" s="375"/>
      <c r="BO93" s="377"/>
      <c r="BP93" s="377"/>
      <c r="BQ93" s="377"/>
      <c r="BR93" s="377"/>
      <c r="BS93" s="377"/>
      <c r="BT93" s="377"/>
      <c r="BU93" s="377"/>
      <c r="BV93" s="377"/>
      <c r="BW93" s="377"/>
      <c r="BX93" s="377"/>
      <c r="BY93" s="377"/>
      <c r="BZ93" s="377"/>
      <c r="CA93" s="377"/>
      <c r="CB93" s="377"/>
      <c r="CC93" s="377"/>
      <c r="CD93" s="377"/>
      <c r="CE93" s="377"/>
      <c r="CF93" s="377"/>
      <c r="CG93" s="377"/>
      <c r="CH93" s="377"/>
      <c r="CI93" s="377"/>
    </row>
    <row r="94" spans="1:87" ht="63">
      <c r="A94" s="369">
        <f t="shared" si="111"/>
        <v>55</v>
      </c>
      <c r="B94" s="428">
        <f t="shared" si="111"/>
        <v>10</v>
      </c>
      <c r="C94" s="431" t="s">
        <v>1149</v>
      </c>
      <c r="D94" s="379" t="s">
        <v>1150</v>
      </c>
      <c r="E94" s="362" t="s">
        <v>998</v>
      </c>
      <c r="F94" s="362"/>
      <c r="G94" s="362"/>
      <c r="H94" s="397" t="s">
        <v>1402</v>
      </c>
      <c r="I94" s="362">
        <v>17697</v>
      </c>
      <c r="J94" s="400">
        <v>10.4</v>
      </c>
      <c r="K94" s="400">
        <f t="shared" si="90"/>
        <v>184048.80000000002</v>
      </c>
      <c r="L94" s="401"/>
      <c r="M94" s="380"/>
      <c r="N94" s="380"/>
      <c r="O94" s="380"/>
      <c r="P94" s="380"/>
      <c r="Q94" s="368">
        <f t="shared" si="91"/>
        <v>0</v>
      </c>
      <c r="R94" s="380"/>
      <c r="S94" s="380"/>
      <c r="T94" s="380">
        <v>11</v>
      </c>
      <c r="U94" s="380">
        <v>14</v>
      </c>
      <c r="V94" s="380"/>
      <c r="W94" s="381">
        <f t="shared" si="92"/>
        <v>25</v>
      </c>
      <c r="X94" s="424">
        <f t="shared" si="93"/>
        <v>25</v>
      </c>
      <c r="Y94" s="400">
        <f t="shared" si="94"/>
        <v>287576.25</v>
      </c>
      <c r="Z94" s="398">
        <f t="shared" si="95"/>
        <v>28757.625</v>
      </c>
      <c r="AA94" s="366"/>
      <c r="AB94" s="367">
        <f t="shared" si="96"/>
        <v>0</v>
      </c>
      <c r="AC94" s="366"/>
      <c r="AD94" s="367">
        <f t="shared" si="97"/>
        <v>0</v>
      </c>
      <c r="AE94" s="366"/>
      <c r="AF94" s="366"/>
      <c r="AG94" s="367"/>
      <c r="AH94" s="366"/>
      <c r="AI94" s="367"/>
      <c r="AJ94" s="366">
        <f t="shared" si="98"/>
        <v>25</v>
      </c>
      <c r="AK94" s="367">
        <f t="shared" si="99"/>
        <v>11060.625</v>
      </c>
      <c r="AL94" s="366">
        <f t="shared" si="100"/>
        <v>25</v>
      </c>
      <c r="AM94" s="367">
        <f t="shared" si="101"/>
        <v>86272.875</v>
      </c>
      <c r="AN94" s="366">
        <f t="shared" si="102"/>
        <v>0</v>
      </c>
      <c r="AO94" s="367" t="str">
        <f t="shared" si="103"/>
        <v>0</v>
      </c>
      <c r="AP94" s="367" t="str">
        <f t="shared" si="104"/>
        <v>0</v>
      </c>
      <c r="AQ94" s="367" t="str">
        <f t="shared" si="105"/>
        <v>0</v>
      </c>
      <c r="AR94" s="367" t="str">
        <f t="shared" si="106"/>
        <v>0</v>
      </c>
      <c r="AS94" s="366"/>
      <c r="AT94" s="367"/>
      <c r="AU94" s="366"/>
      <c r="AV94" s="367"/>
      <c r="AW94" s="371">
        <f t="shared" si="114"/>
        <v>0</v>
      </c>
      <c r="AX94" s="367"/>
      <c r="AY94" s="367"/>
      <c r="AZ94" s="367">
        <f t="shared" si="107"/>
        <v>126091.125</v>
      </c>
      <c r="BA94" s="373">
        <f t="shared" si="108"/>
        <v>413667.375</v>
      </c>
      <c r="BB94" s="374">
        <f t="shared" si="65"/>
        <v>41366.737500000003</v>
      </c>
      <c r="BC94" s="374">
        <f t="shared" si="66"/>
        <v>8273.3474999999999</v>
      </c>
      <c r="BD94" s="374">
        <f t="shared" si="109"/>
        <v>30333.729000000007</v>
      </c>
      <c r="BE94" s="374">
        <f t="shared" si="68"/>
        <v>333693.56100000005</v>
      </c>
      <c r="BF94" s="374">
        <f t="shared" si="69"/>
        <v>4964008.5</v>
      </c>
      <c r="BG94" s="374">
        <f t="shared" si="110"/>
        <v>575152.5</v>
      </c>
      <c r="BH94" s="374">
        <f t="shared" si="71"/>
        <v>5539161</v>
      </c>
      <c r="BI94" s="374">
        <f t="shared" si="72"/>
        <v>249262.24500000002</v>
      </c>
      <c r="BJ94" s="374">
        <f t="shared" si="73"/>
        <v>148920.255</v>
      </c>
      <c r="BK94" s="374">
        <f t="shared" si="74"/>
        <v>288193.87530000007</v>
      </c>
      <c r="BL94" s="374">
        <f t="shared" si="113"/>
        <v>249262.245</v>
      </c>
      <c r="BM94" s="373">
        <f t="shared" si="75"/>
        <v>6474799.6203000005</v>
      </c>
      <c r="BN94" s="375"/>
      <c r="BO94" s="377"/>
      <c r="BP94" s="377"/>
      <c r="BQ94" s="377"/>
      <c r="BR94" s="377"/>
      <c r="BS94" s="377"/>
      <c r="BT94" s="377"/>
      <c r="BU94" s="377"/>
      <c r="BV94" s="377"/>
      <c r="BW94" s="377"/>
      <c r="BX94" s="377"/>
      <c r="BY94" s="377"/>
      <c r="BZ94" s="377"/>
      <c r="CA94" s="377"/>
      <c r="CB94" s="377"/>
      <c r="CC94" s="377"/>
      <c r="CD94" s="377"/>
      <c r="CE94" s="377"/>
      <c r="CF94" s="377"/>
      <c r="CG94" s="377"/>
      <c r="CH94" s="377"/>
      <c r="CI94" s="377"/>
    </row>
    <row r="95" spans="1:87" ht="126">
      <c r="A95" s="369">
        <f t="shared" si="111"/>
        <v>56</v>
      </c>
      <c r="B95" s="428">
        <f t="shared" si="111"/>
        <v>11</v>
      </c>
      <c r="C95" s="432" t="s">
        <v>918</v>
      </c>
      <c r="D95" s="433" t="s">
        <v>1151</v>
      </c>
      <c r="E95" s="389" t="s">
        <v>998</v>
      </c>
      <c r="F95" s="390" t="s">
        <v>1011</v>
      </c>
      <c r="G95" s="390" t="s">
        <v>229</v>
      </c>
      <c r="H95" s="402" t="s">
        <v>1425</v>
      </c>
      <c r="I95" s="390">
        <v>17697</v>
      </c>
      <c r="J95" s="434">
        <v>10.82</v>
      </c>
      <c r="K95" s="403">
        <f t="shared" si="90"/>
        <v>191481.54</v>
      </c>
      <c r="L95" s="380"/>
      <c r="M95" s="380"/>
      <c r="N95" s="380"/>
      <c r="O95" s="380"/>
      <c r="P95" s="380"/>
      <c r="Q95" s="368">
        <f t="shared" si="91"/>
        <v>0</v>
      </c>
      <c r="R95" s="380"/>
      <c r="S95" s="380"/>
      <c r="T95" s="380">
        <v>5</v>
      </c>
      <c r="U95" s="380">
        <v>27</v>
      </c>
      <c r="V95" s="430">
        <v>4</v>
      </c>
      <c r="W95" s="381">
        <f t="shared" si="92"/>
        <v>36</v>
      </c>
      <c r="X95" s="424">
        <f t="shared" si="93"/>
        <v>36</v>
      </c>
      <c r="Y95" s="400">
        <f t="shared" si="94"/>
        <v>430833.46500000003</v>
      </c>
      <c r="Z95" s="398">
        <f t="shared" si="95"/>
        <v>43083.346500000007</v>
      </c>
      <c r="AA95" s="366"/>
      <c r="AB95" s="367">
        <f t="shared" si="96"/>
        <v>0</v>
      </c>
      <c r="AC95" s="366"/>
      <c r="AD95" s="367">
        <f t="shared" si="97"/>
        <v>0</v>
      </c>
      <c r="AE95" s="366"/>
      <c r="AF95" s="366"/>
      <c r="AG95" s="367"/>
      <c r="AH95" s="366"/>
      <c r="AI95" s="367"/>
      <c r="AJ95" s="366">
        <f t="shared" si="98"/>
        <v>36</v>
      </c>
      <c r="AK95" s="367">
        <f t="shared" si="99"/>
        <v>15927.300000000001</v>
      </c>
      <c r="AL95" s="366">
        <f t="shared" si="100"/>
        <v>36</v>
      </c>
      <c r="AM95" s="367">
        <f t="shared" si="101"/>
        <v>129250.0395</v>
      </c>
      <c r="AN95" s="366" t="str">
        <f t="shared" si="102"/>
        <v>Педагог-сарапшы</v>
      </c>
      <c r="AO95" s="367" t="str">
        <f t="shared" si="103"/>
        <v>0</v>
      </c>
      <c r="AP95" s="367" t="str">
        <f t="shared" si="104"/>
        <v>0</v>
      </c>
      <c r="AQ95" s="367">
        <f t="shared" si="105"/>
        <v>150791.71275000001</v>
      </c>
      <c r="AR95" s="367" t="str">
        <f t="shared" si="106"/>
        <v>0</v>
      </c>
      <c r="AS95" s="366"/>
      <c r="AT95" s="367"/>
      <c r="AU95" s="366"/>
      <c r="AV95" s="367"/>
      <c r="AW95" s="371" t="str">
        <f t="shared" si="114"/>
        <v>Магистр-информационные системы</v>
      </c>
      <c r="AX95" s="372">
        <f t="shared" ref="AX95:AX101" si="116">10*4335</f>
        <v>43350</v>
      </c>
      <c r="AY95" s="367"/>
      <c r="AZ95" s="367">
        <f t="shared" si="107"/>
        <v>382402.39875000005</v>
      </c>
      <c r="BA95" s="373">
        <f t="shared" si="108"/>
        <v>813235.86375000002</v>
      </c>
      <c r="BB95" s="374">
        <f t="shared" si="65"/>
        <v>81323.586375000014</v>
      </c>
      <c r="BC95" s="374">
        <f t="shared" si="66"/>
        <v>16264.717275000001</v>
      </c>
      <c r="BD95" s="374">
        <f t="shared" si="109"/>
        <v>65495.756010000012</v>
      </c>
      <c r="BE95" s="374">
        <f t="shared" si="68"/>
        <v>650151.80409000011</v>
      </c>
      <c r="BF95" s="374">
        <f t="shared" si="69"/>
        <v>9758830.3650000002</v>
      </c>
      <c r="BG95" s="374">
        <f t="shared" si="110"/>
        <v>861666.93</v>
      </c>
      <c r="BH95" s="374">
        <f t="shared" si="71"/>
        <v>10620497.295</v>
      </c>
      <c r="BI95" s="374">
        <f t="shared" si="72"/>
        <v>477922.37827500002</v>
      </c>
      <c r="BJ95" s="374">
        <f t="shared" si="73"/>
        <v>292764.91094999999</v>
      </c>
      <c r="BK95" s="374">
        <f t="shared" si="74"/>
        <v>552037.42712700006</v>
      </c>
      <c r="BL95" s="374">
        <f t="shared" si="113"/>
        <v>477922.37827499997</v>
      </c>
      <c r="BM95" s="373">
        <f t="shared" si="75"/>
        <v>12421144.389626998</v>
      </c>
      <c r="BN95" s="375"/>
      <c r="BO95" s="377"/>
      <c r="BP95" s="377"/>
      <c r="BQ95" s="377"/>
      <c r="BR95" s="377"/>
      <c r="BS95" s="377"/>
      <c r="BT95" s="377"/>
      <c r="BU95" s="377"/>
      <c r="BV95" s="377"/>
      <c r="BW95" s="377"/>
      <c r="BX95" s="377"/>
      <c r="BY95" s="377"/>
      <c r="BZ95" s="377"/>
      <c r="CA95" s="377"/>
      <c r="CB95" s="377"/>
      <c r="CC95" s="377"/>
      <c r="CD95" s="377"/>
      <c r="CE95" s="377"/>
      <c r="CF95" s="377"/>
      <c r="CG95" s="377"/>
      <c r="CH95" s="377"/>
      <c r="CI95" s="377"/>
    </row>
    <row r="96" spans="1:87" ht="60">
      <c r="A96" s="369">
        <f t="shared" si="111"/>
        <v>57</v>
      </c>
      <c r="B96" s="428">
        <f t="shared" si="111"/>
        <v>12</v>
      </c>
      <c r="C96" s="378" t="s">
        <v>1152</v>
      </c>
      <c r="D96" s="412" t="s">
        <v>1153</v>
      </c>
      <c r="E96" s="392" t="s">
        <v>998</v>
      </c>
      <c r="F96" s="366" t="s">
        <v>1005</v>
      </c>
      <c r="G96" s="366" t="s">
        <v>229</v>
      </c>
      <c r="H96" s="371" t="s">
        <v>1344</v>
      </c>
      <c r="I96" s="366">
        <v>17697</v>
      </c>
      <c r="J96" s="435">
        <v>10.6</v>
      </c>
      <c r="K96" s="367">
        <f t="shared" si="90"/>
        <v>187588.19999999998</v>
      </c>
      <c r="L96" s="380"/>
      <c r="M96" s="380"/>
      <c r="N96" s="380"/>
      <c r="O96" s="380">
        <v>8</v>
      </c>
      <c r="P96" s="380"/>
      <c r="Q96" s="368">
        <f t="shared" si="91"/>
        <v>8</v>
      </c>
      <c r="R96" s="380"/>
      <c r="S96" s="380"/>
      <c r="T96" s="380"/>
      <c r="U96" s="380"/>
      <c r="V96" s="430"/>
      <c r="W96" s="381">
        <f t="shared" si="92"/>
        <v>0</v>
      </c>
      <c r="X96" s="424">
        <f t="shared" si="93"/>
        <v>8</v>
      </c>
      <c r="Y96" s="400">
        <f t="shared" si="94"/>
        <v>93794.099999999991</v>
      </c>
      <c r="Z96" s="398">
        <f t="shared" si="95"/>
        <v>9379.41</v>
      </c>
      <c r="AA96" s="366"/>
      <c r="AB96" s="367">
        <f t="shared" si="96"/>
        <v>0</v>
      </c>
      <c r="AC96" s="366"/>
      <c r="AD96" s="367">
        <f t="shared" si="97"/>
        <v>0</v>
      </c>
      <c r="AE96" s="366"/>
      <c r="AF96" s="366"/>
      <c r="AG96" s="367"/>
      <c r="AH96" s="366"/>
      <c r="AI96" s="367"/>
      <c r="AJ96" s="366">
        <f t="shared" si="98"/>
        <v>8</v>
      </c>
      <c r="AK96" s="367">
        <f t="shared" si="99"/>
        <v>3539.4</v>
      </c>
      <c r="AL96" s="366">
        <f t="shared" si="100"/>
        <v>8</v>
      </c>
      <c r="AM96" s="367">
        <f t="shared" si="101"/>
        <v>28138.229999999996</v>
      </c>
      <c r="AN96" s="366" t="str">
        <f t="shared" si="102"/>
        <v>Педагог-зерттеуші</v>
      </c>
      <c r="AO96" s="367" t="str">
        <f t="shared" si="103"/>
        <v>0</v>
      </c>
      <c r="AP96" s="367">
        <f t="shared" si="104"/>
        <v>37517.64</v>
      </c>
      <c r="AQ96" s="367" t="str">
        <f t="shared" si="105"/>
        <v>0</v>
      </c>
      <c r="AR96" s="367" t="str">
        <f t="shared" si="106"/>
        <v>0</v>
      </c>
      <c r="AS96" s="366"/>
      <c r="AT96" s="367"/>
      <c r="AU96" s="366"/>
      <c r="AV96" s="367"/>
      <c r="AW96" s="371" t="str">
        <f t="shared" si="114"/>
        <v>Магистр-информационные системы</v>
      </c>
      <c r="AX96" s="372">
        <f t="shared" si="116"/>
        <v>43350</v>
      </c>
      <c r="AY96" s="367"/>
      <c r="AZ96" s="367">
        <f t="shared" si="107"/>
        <v>121924.68</v>
      </c>
      <c r="BA96" s="373">
        <f t="shared" si="108"/>
        <v>215718.77999999997</v>
      </c>
      <c r="BB96" s="374">
        <f t="shared" si="65"/>
        <v>21571.877999999997</v>
      </c>
      <c r="BC96" s="374">
        <f t="shared" si="66"/>
        <v>4314.3755999999994</v>
      </c>
      <c r="BD96" s="374">
        <f t="shared" si="109"/>
        <v>12914.252639999999</v>
      </c>
      <c r="BE96" s="374">
        <f t="shared" si="68"/>
        <v>176918.27375999998</v>
      </c>
      <c r="BF96" s="374">
        <f t="shared" si="69"/>
        <v>2588625.3599999994</v>
      </c>
      <c r="BG96" s="374">
        <f t="shared" si="110"/>
        <v>187588.19999999998</v>
      </c>
      <c r="BH96" s="374">
        <f t="shared" si="71"/>
        <v>2776213.5599999996</v>
      </c>
      <c r="BI96" s="374">
        <f t="shared" si="72"/>
        <v>124929.6102</v>
      </c>
      <c r="BJ96" s="374">
        <f t="shared" si="73"/>
        <v>77658.760799999975</v>
      </c>
      <c r="BK96" s="374">
        <f t="shared" si="74"/>
        <v>144220.55644800002</v>
      </c>
      <c r="BL96" s="374">
        <f t="shared" si="113"/>
        <v>124929.61019999998</v>
      </c>
      <c r="BM96" s="373">
        <f t="shared" si="75"/>
        <v>3247952.0976479994</v>
      </c>
      <c r="BN96" s="375"/>
      <c r="BO96" s="377"/>
      <c r="BP96" s="377"/>
      <c r="BQ96" s="377"/>
      <c r="BR96" s="377"/>
      <c r="BS96" s="377"/>
      <c r="BT96" s="377"/>
      <c r="BU96" s="377"/>
      <c r="BV96" s="377"/>
      <c r="BW96" s="377"/>
      <c r="BX96" s="377"/>
      <c r="BY96" s="377"/>
      <c r="BZ96" s="377"/>
      <c r="CA96" s="377"/>
      <c r="CB96" s="377"/>
      <c r="CC96" s="377"/>
      <c r="CD96" s="377"/>
      <c r="CE96" s="377"/>
      <c r="CF96" s="377"/>
      <c r="CG96" s="377"/>
      <c r="CH96" s="377"/>
      <c r="CI96" s="377"/>
    </row>
    <row r="97" spans="1:87" ht="60">
      <c r="A97" s="369">
        <f t="shared" si="111"/>
        <v>58</v>
      </c>
      <c r="B97" s="428">
        <f t="shared" si="111"/>
        <v>13</v>
      </c>
      <c r="C97" s="436" t="s">
        <v>1154</v>
      </c>
      <c r="D97" s="696" t="s">
        <v>1155</v>
      </c>
      <c r="E97" s="392" t="s">
        <v>998</v>
      </c>
      <c r="F97" s="437" t="s">
        <v>1005</v>
      </c>
      <c r="G97" s="437" t="s">
        <v>1156</v>
      </c>
      <c r="H97" s="438" t="s">
        <v>1426</v>
      </c>
      <c r="I97" s="437">
        <v>17697</v>
      </c>
      <c r="J97" s="439">
        <v>10.6</v>
      </c>
      <c r="K97" s="440">
        <f t="shared" si="90"/>
        <v>187588.19999999998</v>
      </c>
      <c r="L97" s="441"/>
      <c r="M97" s="441"/>
      <c r="N97" s="441"/>
      <c r="O97" s="442"/>
      <c r="P97" s="442"/>
      <c r="Q97" s="443">
        <f t="shared" si="91"/>
        <v>0</v>
      </c>
      <c r="R97" s="442"/>
      <c r="S97" s="442">
        <v>6</v>
      </c>
      <c r="T97" s="442"/>
      <c r="U97" s="442">
        <v>14</v>
      </c>
      <c r="V97" s="442"/>
      <c r="W97" s="444">
        <f t="shared" si="92"/>
        <v>20</v>
      </c>
      <c r="X97" s="445">
        <f t="shared" si="93"/>
        <v>20</v>
      </c>
      <c r="Y97" s="446">
        <f t="shared" si="94"/>
        <v>234485.24999999997</v>
      </c>
      <c r="Z97" s="398">
        <f t="shared" si="95"/>
        <v>23448.524999999998</v>
      </c>
      <c r="AA97" s="437"/>
      <c r="AB97" s="447">
        <f t="shared" si="96"/>
        <v>0</v>
      </c>
      <c r="AC97" s="437"/>
      <c r="AD97" s="447">
        <f t="shared" si="97"/>
        <v>0</v>
      </c>
      <c r="AE97" s="437"/>
      <c r="AF97" s="437"/>
      <c r="AG97" s="447"/>
      <c r="AH97" s="437"/>
      <c r="AI97" s="447"/>
      <c r="AJ97" s="437">
        <f t="shared" si="98"/>
        <v>20</v>
      </c>
      <c r="AK97" s="447">
        <f t="shared" si="99"/>
        <v>8848.5</v>
      </c>
      <c r="AL97" s="437">
        <f t="shared" si="100"/>
        <v>20</v>
      </c>
      <c r="AM97" s="447">
        <f t="shared" si="101"/>
        <v>70345.574999999983</v>
      </c>
      <c r="AN97" s="437" t="str">
        <f t="shared" si="102"/>
        <v>Педагог-зерттеуші</v>
      </c>
      <c r="AO97" s="447" t="str">
        <f t="shared" si="103"/>
        <v>0</v>
      </c>
      <c r="AP97" s="447">
        <f t="shared" si="104"/>
        <v>93794.099999999991</v>
      </c>
      <c r="AQ97" s="447" t="str">
        <f t="shared" si="105"/>
        <v>0</v>
      </c>
      <c r="AR97" s="447" t="str">
        <f t="shared" si="106"/>
        <v>0</v>
      </c>
      <c r="AS97" s="366"/>
      <c r="AT97" s="367"/>
      <c r="AU97" s="437"/>
      <c r="AV97" s="447"/>
      <c r="AW97" s="371" t="str">
        <f t="shared" si="114"/>
        <v>Магистр-Управления IT проектами</v>
      </c>
      <c r="AX97" s="372">
        <f t="shared" si="116"/>
        <v>43350</v>
      </c>
      <c r="AY97" s="447"/>
      <c r="AZ97" s="367">
        <f t="shared" si="107"/>
        <v>239786.69999999995</v>
      </c>
      <c r="BA97" s="373">
        <f t="shared" si="108"/>
        <v>474271.94999999995</v>
      </c>
      <c r="BB97" s="374">
        <f t="shared" si="65"/>
        <v>47427.195</v>
      </c>
      <c r="BC97" s="374">
        <f t="shared" si="66"/>
        <v>9485.4389999999985</v>
      </c>
      <c r="BD97" s="374">
        <f t="shared" si="109"/>
        <v>35666.931599999996</v>
      </c>
      <c r="BE97" s="374">
        <f t="shared" si="68"/>
        <v>381692.38439999992</v>
      </c>
      <c r="BF97" s="374">
        <f t="shared" si="69"/>
        <v>5691263.3999999994</v>
      </c>
      <c r="BG97" s="374">
        <f t="shared" si="110"/>
        <v>468970.49999999994</v>
      </c>
      <c r="BH97" s="374">
        <f t="shared" si="71"/>
        <v>6160233.8999999994</v>
      </c>
      <c r="BI97" s="374">
        <f t="shared" si="72"/>
        <v>277210.52549999999</v>
      </c>
      <c r="BJ97" s="374">
        <f t="shared" si="73"/>
        <v>170737.90199999997</v>
      </c>
      <c r="BK97" s="374">
        <f t="shared" si="74"/>
        <v>320131.85112000001</v>
      </c>
      <c r="BL97" s="374">
        <f t="shared" si="113"/>
        <v>277210.52549999999</v>
      </c>
      <c r="BM97" s="373">
        <f t="shared" si="75"/>
        <v>7205524.704119999</v>
      </c>
      <c r="BN97" s="448"/>
      <c r="BO97" s="449"/>
      <c r="BP97" s="449"/>
      <c r="BQ97" s="449"/>
      <c r="BR97" s="449"/>
      <c r="BS97" s="449"/>
      <c r="BT97" s="449"/>
      <c r="BU97" s="449"/>
      <c r="BV97" s="449"/>
      <c r="BW97" s="449"/>
      <c r="BX97" s="449"/>
      <c r="BY97" s="449"/>
      <c r="BZ97" s="449"/>
      <c r="CA97" s="449"/>
      <c r="CB97" s="449"/>
      <c r="CC97" s="449"/>
      <c r="CD97" s="449"/>
      <c r="CE97" s="449"/>
      <c r="CF97" s="449"/>
      <c r="CG97" s="449"/>
      <c r="CH97" s="449"/>
      <c r="CI97" s="450"/>
    </row>
    <row r="98" spans="1:87" ht="47.25">
      <c r="A98" s="369">
        <f t="shared" si="111"/>
        <v>59</v>
      </c>
      <c r="B98" s="416">
        <f t="shared" si="111"/>
        <v>14</v>
      </c>
      <c r="C98" s="378" t="s">
        <v>1152</v>
      </c>
      <c r="D98" s="1000" t="s">
        <v>1157</v>
      </c>
      <c r="E98" s="394" t="s">
        <v>998</v>
      </c>
      <c r="F98" s="691" t="s">
        <v>999</v>
      </c>
      <c r="G98" s="691" t="s">
        <v>1158</v>
      </c>
      <c r="H98" s="1001" t="s">
        <v>273</v>
      </c>
      <c r="I98" s="691">
        <v>17697</v>
      </c>
      <c r="J98" s="693">
        <v>11.4</v>
      </c>
      <c r="K98" s="400">
        <f t="shared" si="90"/>
        <v>201745.80000000002</v>
      </c>
      <c r="L98" s="1002">
        <v>30</v>
      </c>
      <c r="M98" s="1002">
        <v>21</v>
      </c>
      <c r="N98" s="1002"/>
      <c r="O98" s="401"/>
      <c r="P98" s="380"/>
      <c r="Q98" s="443">
        <f t="shared" si="91"/>
        <v>51</v>
      </c>
      <c r="R98" s="380"/>
      <c r="S98" s="380"/>
      <c r="T98" s="380"/>
      <c r="U98" s="380"/>
      <c r="V98" s="380"/>
      <c r="W98" s="444">
        <f t="shared" ref="W98:W101" si="117">SUM(R98:V98)</f>
        <v>0</v>
      </c>
      <c r="X98" s="445">
        <f t="shared" si="93"/>
        <v>51</v>
      </c>
      <c r="Y98" s="403">
        <f t="shared" si="94"/>
        <v>643064.73750000005</v>
      </c>
      <c r="Z98" s="367">
        <f t="shared" si="95"/>
        <v>64306.473750000005</v>
      </c>
      <c r="AA98" s="366"/>
      <c r="AB98" s="367">
        <f t="shared" si="96"/>
        <v>0</v>
      </c>
      <c r="AC98" s="366"/>
      <c r="AD98" s="367">
        <f t="shared" si="97"/>
        <v>0</v>
      </c>
      <c r="AE98" s="366"/>
      <c r="AF98" s="366"/>
      <c r="AG98" s="367"/>
      <c r="AH98" s="366"/>
      <c r="AI98" s="367"/>
      <c r="AJ98" s="366">
        <f t="shared" si="98"/>
        <v>51</v>
      </c>
      <c r="AK98" s="367">
        <f t="shared" si="99"/>
        <v>22563.675000000003</v>
      </c>
      <c r="AL98" s="366">
        <f t="shared" si="100"/>
        <v>51</v>
      </c>
      <c r="AM98" s="367">
        <f t="shared" si="101"/>
        <v>192919.42125000001</v>
      </c>
      <c r="AN98" s="366" t="str">
        <f t="shared" si="102"/>
        <v>Педагог-шебер</v>
      </c>
      <c r="AO98" s="367">
        <f t="shared" si="103"/>
        <v>321532.36875000002</v>
      </c>
      <c r="AP98" s="367" t="str">
        <f t="shared" si="104"/>
        <v>0</v>
      </c>
      <c r="AQ98" s="367" t="str">
        <f t="shared" si="105"/>
        <v>0</v>
      </c>
      <c r="AR98" s="367" t="str">
        <f t="shared" si="106"/>
        <v>0</v>
      </c>
      <c r="AS98" s="366"/>
      <c r="AT98" s="367"/>
      <c r="AU98" s="366"/>
      <c r="AV98" s="367"/>
      <c r="AW98" s="371" t="str">
        <f t="shared" si="114"/>
        <v>Магистр</v>
      </c>
      <c r="AX98" s="372">
        <f t="shared" si="116"/>
        <v>43350</v>
      </c>
      <c r="AY98" s="367"/>
      <c r="AZ98" s="367">
        <f t="shared" si="107"/>
        <v>644671.93874999997</v>
      </c>
      <c r="BA98" s="373">
        <f t="shared" si="108"/>
        <v>1287736.67625</v>
      </c>
      <c r="BB98" s="374">
        <f t="shared" si="65"/>
        <v>128773.667625</v>
      </c>
      <c r="BC98" s="374">
        <f t="shared" si="66"/>
        <v>25754.733525</v>
      </c>
      <c r="BD98" s="374">
        <f t="shared" si="109"/>
        <v>107251.82751</v>
      </c>
      <c r="BE98" s="374">
        <f t="shared" si="68"/>
        <v>1025956.44759</v>
      </c>
      <c r="BF98" s="374">
        <f t="shared" si="69"/>
        <v>15452840.115</v>
      </c>
      <c r="BG98" s="374">
        <f t="shared" si="110"/>
        <v>1286129.4750000001</v>
      </c>
      <c r="BH98" s="374">
        <f t="shared" si="71"/>
        <v>16738969.59</v>
      </c>
      <c r="BI98" s="374">
        <f t="shared" si="72"/>
        <v>753253.63155000005</v>
      </c>
      <c r="BJ98" s="374">
        <f t="shared" si="73"/>
        <v>463585.20344999997</v>
      </c>
      <c r="BK98" s="374">
        <f t="shared" si="74"/>
        <v>869908.1096069999</v>
      </c>
      <c r="BL98" s="374">
        <f t="shared" si="113"/>
        <v>753253.63154999993</v>
      </c>
      <c r="BM98" s="373">
        <f t="shared" si="75"/>
        <v>19578970.166157</v>
      </c>
      <c r="BN98" s="375"/>
      <c r="BO98" s="466"/>
      <c r="BP98" s="466"/>
      <c r="BQ98" s="466"/>
      <c r="BR98" s="466"/>
      <c r="BS98" s="466"/>
      <c r="BT98" s="466"/>
      <c r="BU98" s="466"/>
      <c r="BV98" s="466"/>
      <c r="BW98" s="466"/>
      <c r="BX98" s="466"/>
      <c r="BY98" s="466"/>
      <c r="BZ98" s="466"/>
      <c r="CA98" s="466"/>
      <c r="CB98" s="466"/>
      <c r="CC98" s="466"/>
      <c r="CD98" s="466"/>
      <c r="CE98" s="466"/>
      <c r="CF98" s="466"/>
      <c r="CG98" s="466"/>
      <c r="CH98" s="466"/>
      <c r="CI98" s="466"/>
    </row>
    <row r="99" spans="1:87" ht="141.75">
      <c r="A99" s="369">
        <f t="shared" si="111"/>
        <v>60</v>
      </c>
      <c r="B99" s="416">
        <f t="shared" si="111"/>
        <v>15</v>
      </c>
      <c r="C99" s="436" t="s">
        <v>1154</v>
      </c>
      <c r="D99" s="429" t="s">
        <v>1159</v>
      </c>
      <c r="E99" s="394" t="s">
        <v>998</v>
      </c>
      <c r="F99" s="691" t="s">
        <v>999</v>
      </c>
      <c r="G99" s="691" t="s">
        <v>1158</v>
      </c>
      <c r="H99" s="1001" t="s">
        <v>273</v>
      </c>
      <c r="I99" s="691">
        <v>17697</v>
      </c>
      <c r="J99" s="693">
        <v>11.4</v>
      </c>
      <c r="K99" s="400">
        <f t="shared" si="90"/>
        <v>201745.80000000002</v>
      </c>
      <c r="L99" s="1002"/>
      <c r="M99" s="1002"/>
      <c r="N99" s="1002"/>
      <c r="O99" s="401"/>
      <c r="P99" s="380"/>
      <c r="Q99" s="443">
        <f t="shared" si="91"/>
        <v>0</v>
      </c>
      <c r="R99" s="380">
        <v>8</v>
      </c>
      <c r="S99" s="380">
        <v>10</v>
      </c>
      <c r="T99" s="380"/>
      <c r="U99" s="380">
        <v>15</v>
      </c>
      <c r="V99" s="380">
        <v>3</v>
      </c>
      <c r="W99" s="444">
        <f t="shared" si="117"/>
        <v>36</v>
      </c>
      <c r="X99" s="445">
        <f t="shared" si="93"/>
        <v>36</v>
      </c>
      <c r="Y99" s="403">
        <f t="shared" si="94"/>
        <v>453928.05000000005</v>
      </c>
      <c r="Z99" s="367">
        <f t="shared" si="95"/>
        <v>45392.805000000008</v>
      </c>
      <c r="AA99" s="366"/>
      <c r="AB99" s="367">
        <f t="shared" si="96"/>
        <v>0</v>
      </c>
      <c r="AC99" s="366"/>
      <c r="AD99" s="367">
        <f t="shared" si="97"/>
        <v>0</v>
      </c>
      <c r="AE99" s="366"/>
      <c r="AF99" s="366"/>
      <c r="AG99" s="367"/>
      <c r="AH99" s="366"/>
      <c r="AI99" s="367"/>
      <c r="AJ99" s="366">
        <f t="shared" si="98"/>
        <v>36</v>
      </c>
      <c r="AK99" s="367">
        <f t="shared" si="99"/>
        <v>15927.300000000001</v>
      </c>
      <c r="AL99" s="366">
        <f t="shared" si="100"/>
        <v>36</v>
      </c>
      <c r="AM99" s="367">
        <f t="shared" si="101"/>
        <v>136178.41500000001</v>
      </c>
      <c r="AN99" s="366" t="str">
        <f t="shared" si="102"/>
        <v>Педагог-шебер</v>
      </c>
      <c r="AO99" s="367">
        <f t="shared" si="103"/>
        <v>226964.02500000002</v>
      </c>
      <c r="AP99" s="367" t="str">
        <f t="shared" si="104"/>
        <v>0</v>
      </c>
      <c r="AQ99" s="367" t="str">
        <f t="shared" si="105"/>
        <v>0</v>
      </c>
      <c r="AR99" s="367" t="str">
        <f t="shared" si="106"/>
        <v>0</v>
      </c>
      <c r="AS99" s="366"/>
      <c r="AT99" s="367"/>
      <c r="AU99" s="366"/>
      <c r="AV99" s="367"/>
      <c r="AW99" s="371" t="str">
        <f t="shared" si="114"/>
        <v>Магистр</v>
      </c>
      <c r="AX99" s="372">
        <f t="shared" si="116"/>
        <v>43350</v>
      </c>
      <c r="AY99" s="367"/>
      <c r="AZ99" s="367">
        <f t="shared" si="107"/>
        <v>467812.54500000004</v>
      </c>
      <c r="BA99" s="373">
        <f t="shared" si="108"/>
        <v>921740.59500000009</v>
      </c>
      <c r="BB99" s="374">
        <f t="shared" si="65"/>
        <v>92174.059500000018</v>
      </c>
      <c r="BC99" s="374">
        <f t="shared" si="66"/>
        <v>18434.811900000001</v>
      </c>
      <c r="BD99" s="374">
        <f t="shared" si="109"/>
        <v>75044.172360000011</v>
      </c>
      <c r="BE99" s="374">
        <f t="shared" si="68"/>
        <v>736087.55124000018</v>
      </c>
      <c r="BF99" s="374">
        <f t="shared" si="69"/>
        <v>11060887.140000001</v>
      </c>
      <c r="BG99" s="374">
        <f t="shared" si="110"/>
        <v>907856.10000000009</v>
      </c>
      <c r="BH99" s="374">
        <f t="shared" si="71"/>
        <v>11968743.24</v>
      </c>
      <c r="BI99" s="374">
        <f t="shared" si="72"/>
        <v>538593.4458000001</v>
      </c>
      <c r="BJ99" s="374">
        <f t="shared" si="73"/>
        <v>331826.61420000001</v>
      </c>
      <c r="BK99" s="374">
        <f t="shared" si="74"/>
        <v>621978.18325200002</v>
      </c>
      <c r="BL99" s="374">
        <f t="shared" si="113"/>
        <v>538593.44579999999</v>
      </c>
      <c r="BM99" s="373">
        <f t="shared" si="75"/>
        <v>13999734.929052001</v>
      </c>
      <c r="BN99" s="375"/>
      <c r="BO99" s="466"/>
      <c r="BP99" s="466"/>
      <c r="BQ99" s="466"/>
      <c r="BR99" s="466"/>
      <c r="BS99" s="466"/>
      <c r="BT99" s="466"/>
      <c r="BU99" s="466"/>
      <c r="BV99" s="466"/>
      <c r="BW99" s="466"/>
      <c r="BX99" s="466"/>
      <c r="BY99" s="466"/>
      <c r="BZ99" s="466"/>
      <c r="CA99" s="466"/>
      <c r="CB99" s="466"/>
      <c r="CC99" s="466"/>
      <c r="CD99" s="466"/>
      <c r="CE99" s="466"/>
      <c r="CF99" s="466"/>
      <c r="CG99" s="466"/>
      <c r="CH99" s="466"/>
      <c r="CI99" s="466"/>
    </row>
    <row r="100" spans="1:87" ht="63">
      <c r="A100" s="369">
        <f t="shared" si="111"/>
        <v>61</v>
      </c>
      <c r="B100" s="416">
        <f t="shared" si="111"/>
        <v>16</v>
      </c>
      <c r="C100" s="409" t="s">
        <v>1118</v>
      </c>
      <c r="D100" s="429" t="s">
        <v>1160</v>
      </c>
      <c r="E100" s="394" t="s">
        <v>998</v>
      </c>
      <c r="F100" s="691" t="s">
        <v>999</v>
      </c>
      <c r="G100" s="691" t="s">
        <v>1158</v>
      </c>
      <c r="H100" s="1001" t="s">
        <v>273</v>
      </c>
      <c r="I100" s="691">
        <v>17697</v>
      </c>
      <c r="J100" s="693">
        <v>11.4</v>
      </c>
      <c r="K100" s="400">
        <f t="shared" si="90"/>
        <v>201745.80000000002</v>
      </c>
      <c r="L100" s="1002"/>
      <c r="M100" s="1002"/>
      <c r="N100" s="1002"/>
      <c r="O100" s="401"/>
      <c r="P100" s="380"/>
      <c r="Q100" s="443">
        <f t="shared" si="91"/>
        <v>0</v>
      </c>
      <c r="R100" s="380"/>
      <c r="S100" s="380"/>
      <c r="T100" s="380"/>
      <c r="U100" s="380"/>
      <c r="V100" s="380">
        <v>14</v>
      </c>
      <c r="W100" s="444">
        <f t="shared" si="117"/>
        <v>14</v>
      </c>
      <c r="X100" s="445">
        <f t="shared" si="93"/>
        <v>14</v>
      </c>
      <c r="Y100" s="403">
        <f t="shared" si="94"/>
        <v>176527.57500000001</v>
      </c>
      <c r="Z100" s="367">
        <f t="shared" si="95"/>
        <v>17652.757500000003</v>
      </c>
      <c r="AA100" s="366"/>
      <c r="AB100" s="367">
        <f t="shared" si="96"/>
        <v>0</v>
      </c>
      <c r="AC100" s="366"/>
      <c r="AD100" s="367">
        <f t="shared" si="97"/>
        <v>0</v>
      </c>
      <c r="AE100" s="366"/>
      <c r="AF100" s="366"/>
      <c r="AG100" s="367"/>
      <c r="AH100" s="366"/>
      <c r="AI100" s="367"/>
      <c r="AJ100" s="366">
        <f t="shared" si="98"/>
        <v>14</v>
      </c>
      <c r="AK100" s="367">
        <f t="shared" si="99"/>
        <v>6193.9500000000007</v>
      </c>
      <c r="AL100" s="366">
        <f t="shared" si="100"/>
        <v>14</v>
      </c>
      <c r="AM100" s="367">
        <f t="shared" si="101"/>
        <v>52958.272499999999</v>
      </c>
      <c r="AN100" s="366" t="str">
        <f t="shared" si="102"/>
        <v>Педагог-шебер</v>
      </c>
      <c r="AO100" s="367">
        <f t="shared" si="103"/>
        <v>88263.787500000006</v>
      </c>
      <c r="AP100" s="367" t="str">
        <f t="shared" si="104"/>
        <v>0</v>
      </c>
      <c r="AQ100" s="367" t="str">
        <f t="shared" si="105"/>
        <v>0</v>
      </c>
      <c r="AR100" s="367" t="str">
        <f t="shared" si="106"/>
        <v>0</v>
      </c>
      <c r="AS100" s="366"/>
      <c r="AT100" s="367"/>
      <c r="AU100" s="366"/>
      <c r="AV100" s="367"/>
      <c r="AW100" s="371" t="str">
        <f t="shared" si="114"/>
        <v>Магистр</v>
      </c>
      <c r="AX100" s="372">
        <f t="shared" si="116"/>
        <v>43350</v>
      </c>
      <c r="AY100" s="367"/>
      <c r="AZ100" s="367">
        <f t="shared" si="107"/>
        <v>208418.76750000002</v>
      </c>
      <c r="BA100" s="373">
        <f t="shared" si="108"/>
        <v>384946.34250000003</v>
      </c>
      <c r="BB100" s="374">
        <f t="shared" si="65"/>
        <v>38494.634250000003</v>
      </c>
      <c r="BC100" s="374">
        <f t="shared" si="66"/>
        <v>7698.9268500000007</v>
      </c>
      <c r="BD100" s="374">
        <f t="shared" si="109"/>
        <v>27806.278140000006</v>
      </c>
      <c r="BE100" s="374">
        <f t="shared" si="68"/>
        <v>310946.50326000003</v>
      </c>
      <c r="BF100" s="374">
        <f t="shared" si="69"/>
        <v>4619356.1100000003</v>
      </c>
      <c r="BG100" s="374">
        <f t="shared" si="110"/>
        <v>353055.15</v>
      </c>
      <c r="BH100" s="374">
        <f t="shared" si="71"/>
        <v>4972411.2600000007</v>
      </c>
      <c r="BI100" s="374">
        <f t="shared" si="72"/>
        <v>223758.50670000003</v>
      </c>
      <c r="BJ100" s="374">
        <f t="shared" si="73"/>
        <v>138580.6833</v>
      </c>
      <c r="BK100" s="374">
        <f t="shared" si="74"/>
        <v>258347.62459800002</v>
      </c>
      <c r="BL100" s="374">
        <f t="shared" si="113"/>
        <v>223758.50670000003</v>
      </c>
      <c r="BM100" s="373">
        <f t="shared" si="75"/>
        <v>5816856.5812980002</v>
      </c>
      <c r="BN100" s="375"/>
      <c r="BO100" s="466"/>
      <c r="BP100" s="466"/>
      <c r="BQ100" s="466"/>
      <c r="BR100" s="466"/>
      <c r="BS100" s="466"/>
      <c r="BT100" s="466"/>
      <c r="BU100" s="466"/>
      <c r="BV100" s="466"/>
      <c r="BW100" s="466"/>
      <c r="BX100" s="466"/>
      <c r="BY100" s="466"/>
      <c r="BZ100" s="466"/>
      <c r="CA100" s="466"/>
      <c r="CB100" s="466"/>
      <c r="CC100" s="466"/>
      <c r="CD100" s="466"/>
      <c r="CE100" s="466"/>
      <c r="CF100" s="466"/>
      <c r="CG100" s="466"/>
      <c r="CH100" s="466"/>
      <c r="CI100" s="466"/>
    </row>
    <row r="101" spans="1:87" ht="47.25">
      <c r="A101" s="369">
        <f t="shared" si="111"/>
        <v>62</v>
      </c>
      <c r="B101" s="416">
        <f t="shared" si="111"/>
        <v>17</v>
      </c>
      <c r="C101" s="387" t="s">
        <v>1147</v>
      </c>
      <c r="D101" s="429" t="s">
        <v>1161</v>
      </c>
      <c r="E101" s="394" t="s">
        <v>998</v>
      </c>
      <c r="F101" s="691" t="s">
        <v>999</v>
      </c>
      <c r="G101" s="691" t="s">
        <v>1158</v>
      </c>
      <c r="H101" s="1001" t="s">
        <v>273</v>
      </c>
      <c r="I101" s="691">
        <v>17697</v>
      </c>
      <c r="J101" s="693">
        <v>11.4</v>
      </c>
      <c r="K101" s="400">
        <f t="shared" si="90"/>
        <v>201745.80000000002</v>
      </c>
      <c r="L101" s="1002"/>
      <c r="M101" s="1002"/>
      <c r="N101" s="1002"/>
      <c r="O101" s="401"/>
      <c r="P101" s="380"/>
      <c r="Q101" s="443">
        <f t="shared" si="91"/>
        <v>0</v>
      </c>
      <c r="R101" s="380"/>
      <c r="S101" s="380"/>
      <c r="T101" s="380"/>
      <c r="U101" s="380">
        <v>7</v>
      </c>
      <c r="V101" s="380">
        <v>9</v>
      </c>
      <c r="W101" s="444">
        <f t="shared" si="117"/>
        <v>16</v>
      </c>
      <c r="X101" s="445">
        <f t="shared" si="93"/>
        <v>16</v>
      </c>
      <c r="Y101" s="403">
        <f t="shared" si="94"/>
        <v>201745.80000000002</v>
      </c>
      <c r="Z101" s="367">
        <f t="shared" si="95"/>
        <v>20174.580000000002</v>
      </c>
      <c r="AA101" s="366"/>
      <c r="AB101" s="367">
        <f t="shared" si="96"/>
        <v>0</v>
      </c>
      <c r="AC101" s="366"/>
      <c r="AD101" s="367">
        <f t="shared" si="97"/>
        <v>0</v>
      </c>
      <c r="AE101" s="366"/>
      <c r="AF101" s="366" t="s">
        <v>2409</v>
      </c>
      <c r="AG101" s="367">
        <f>17697*20%</f>
        <v>3539.4</v>
      </c>
      <c r="AH101" s="366"/>
      <c r="AI101" s="367"/>
      <c r="AJ101" s="366">
        <f t="shared" si="98"/>
        <v>16</v>
      </c>
      <c r="AK101" s="367">
        <f t="shared" si="99"/>
        <v>7078.8</v>
      </c>
      <c r="AL101" s="366">
        <f t="shared" si="100"/>
        <v>16</v>
      </c>
      <c r="AM101" s="367">
        <f t="shared" si="101"/>
        <v>60523.740000000005</v>
      </c>
      <c r="AN101" s="366" t="str">
        <f t="shared" si="102"/>
        <v>Педагог-шебер</v>
      </c>
      <c r="AO101" s="367">
        <f t="shared" si="103"/>
        <v>100872.90000000001</v>
      </c>
      <c r="AP101" s="367" t="str">
        <f t="shared" si="104"/>
        <v>0</v>
      </c>
      <c r="AQ101" s="367" t="str">
        <f t="shared" si="105"/>
        <v>0</v>
      </c>
      <c r="AR101" s="367" t="str">
        <f t="shared" si="106"/>
        <v>0</v>
      </c>
      <c r="AS101" s="366"/>
      <c r="AT101" s="367"/>
      <c r="AU101" s="366"/>
      <c r="AV101" s="367"/>
      <c r="AW101" s="371" t="str">
        <f t="shared" si="114"/>
        <v>Магистр</v>
      </c>
      <c r="AX101" s="372">
        <f t="shared" si="116"/>
        <v>43350</v>
      </c>
      <c r="AY101" s="367"/>
      <c r="AZ101" s="367">
        <f t="shared" si="107"/>
        <v>235539.42</v>
      </c>
      <c r="BA101" s="373">
        <f t="shared" si="108"/>
        <v>437285.22000000003</v>
      </c>
      <c r="BB101" s="374">
        <f t="shared" si="65"/>
        <v>43728.522000000004</v>
      </c>
      <c r="BC101" s="374">
        <f t="shared" si="66"/>
        <v>8745.7044000000005</v>
      </c>
      <c r="BD101" s="374">
        <f t="shared" si="109"/>
        <v>32412.099360000007</v>
      </c>
      <c r="BE101" s="374">
        <f t="shared" si="68"/>
        <v>352398.89424000005</v>
      </c>
      <c r="BF101" s="374">
        <f t="shared" si="69"/>
        <v>5247422.6400000006</v>
      </c>
      <c r="BG101" s="374">
        <f t="shared" si="110"/>
        <v>403491.60000000003</v>
      </c>
      <c r="BH101" s="374">
        <f t="shared" si="71"/>
        <v>5650914.2400000002</v>
      </c>
      <c r="BI101" s="374">
        <f t="shared" si="72"/>
        <v>254291.14080000005</v>
      </c>
      <c r="BJ101" s="374">
        <f t="shared" si="73"/>
        <v>157422.67920000001</v>
      </c>
      <c r="BK101" s="374">
        <f t="shared" si="74"/>
        <v>293605.03915199998</v>
      </c>
      <c r="BL101" s="374">
        <f t="shared" si="113"/>
        <v>254291.14079999999</v>
      </c>
      <c r="BM101" s="373">
        <f t="shared" si="75"/>
        <v>6610524.2399520008</v>
      </c>
      <c r="BN101" s="375"/>
      <c r="BO101" s="466"/>
      <c r="BP101" s="466"/>
      <c r="BQ101" s="466"/>
      <c r="BR101" s="466"/>
      <c r="BS101" s="466"/>
      <c r="BT101" s="466"/>
      <c r="BU101" s="466"/>
      <c r="BV101" s="466"/>
      <c r="BW101" s="466"/>
      <c r="BX101" s="466"/>
      <c r="BY101" s="466"/>
      <c r="BZ101" s="466"/>
      <c r="CA101" s="466"/>
      <c r="CB101" s="466"/>
      <c r="CC101" s="466"/>
      <c r="CD101" s="466"/>
      <c r="CE101" s="466"/>
      <c r="CF101" s="466"/>
      <c r="CG101" s="466"/>
      <c r="CH101" s="466"/>
      <c r="CI101" s="466"/>
    </row>
    <row r="102" spans="1:87" ht="15">
      <c r="A102" s="1530"/>
      <c r="B102" s="1531"/>
      <c r="C102" s="1532" t="s">
        <v>1162</v>
      </c>
      <c r="D102" s="1531"/>
      <c r="E102" s="1531"/>
      <c r="F102" s="1531"/>
      <c r="G102" s="1531"/>
      <c r="H102" s="1531"/>
      <c r="I102" s="1531"/>
      <c r="J102" s="1531"/>
      <c r="K102" s="468">
        <f t="shared" ref="K102:AE102" si="118">SUM(K85:K101)</f>
        <v>3250584.9599999995</v>
      </c>
      <c r="L102" s="468">
        <f t="shared" si="118"/>
        <v>60</v>
      </c>
      <c r="M102" s="468">
        <f t="shared" si="118"/>
        <v>60</v>
      </c>
      <c r="N102" s="468">
        <f t="shared" si="118"/>
        <v>54</v>
      </c>
      <c r="O102" s="468">
        <f t="shared" si="118"/>
        <v>36</v>
      </c>
      <c r="P102" s="468">
        <f t="shared" si="118"/>
        <v>36</v>
      </c>
      <c r="Q102" s="468">
        <f t="shared" si="118"/>
        <v>246</v>
      </c>
      <c r="R102" s="468">
        <f t="shared" si="118"/>
        <v>8</v>
      </c>
      <c r="S102" s="468">
        <f t="shared" si="118"/>
        <v>16</v>
      </c>
      <c r="T102" s="468">
        <f t="shared" si="118"/>
        <v>16</v>
      </c>
      <c r="U102" s="468">
        <f t="shared" si="118"/>
        <v>77</v>
      </c>
      <c r="V102" s="468">
        <f t="shared" si="118"/>
        <v>30</v>
      </c>
      <c r="W102" s="468">
        <f t="shared" si="118"/>
        <v>147</v>
      </c>
      <c r="X102" s="468">
        <f t="shared" si="118"/>
        <v>393</v>
      </c>
      <c r="Y102" s="468">
        <f t="shared" si="118"/>
        <v>4731978.7087500002</v>
      </c>
      <c r="Z102" s="468">
        <f t="shared" si="118"/>
        <v>460588.75837500003</v>
      </c>
      <c r="AA102" s="468">
        <f t="shared" si="118"/>
        <v>0</v>
      </c>
      <c r="AB102" s="468">
        <f t="shared" si="118"/>
        <v>0</v>
      </c>
      <c r="AC102" s="468">
        <f t="shared" si="118"/>
        <v>0</v>
      </c>
      <c r="AD102" s="468">
        <f t="shared" si="118"/>
        <v>0</v>
      </c>
      <c r="AE102" s="468">
        <f t="shared" si="118"/>
        <v>196600</v>
      </c>
      <c r="AF102" s="468">
        <v>5</v>
      </c>
      <c r="AG102" s="468">
        <f>SUM(AG85:AG101)</f>
        <v>21236.400000000001</v>
      </c>
      <c r="AH102" s="468">
        <v>1</v>
      </c>
      <c r="AI102" s="468">
        <f t="shared" ref="AI102:BN102" si="119">SUM(AI85:AI101)</f>
        <v>35394</v>
      </c>
      <c r="AJ102" s="468">
        <f t="shared" si="119"/>
        <v>393</v>
      </c>
      <c r="AK102" s="468">
        <f t="shared" si="119"/>
        <v>173873.02499999999</v>
      </c>
      <c r="AL102" s="468">
        <f t="shared" si="119"/>
        <v>393</v>
      </c>
      <c r="AM102" s="468">
        <f t="shared" si="119"/>
        <v>1419593.6126249998</v>
      </c>
      <c r="AN102" s="468">
        <f t="shared" si="119"/>
        <v>0</v>
      </c>
      <c r="AO102" s="468">
        <f t="shared" si="119"/>
        <v>1141124.6812499999</v>
      </c>
      <c r="AP102" s="468">
        <f t="shared" si="119"/>
        <v>502754.07299999997</v>
      </c>
      <c r="AQ102" s="468">
        <f t="shared" si="119"/>
        <v>150791.71275000001</v>
      </c>
      <c r="AR102" s="468">
        <f t="shared" si="119"/>
        <v>0</v>
      </c>
      <c r="AS102" s="468">
        <f t="shared" si="119"/>
        <v>0</v>
      </c>
      <c r="AT102" s="468">
        <f t="shared" si="119"/>
        <v>0</v>
      </c>
      <c r="AU102" s="468">
        <f t="shared" si="119"/>
        <v>0</v>
      </c>
      <c r="AV102" s="468">
        <f t="shared" si="119"/>
        <v>0</v>
      </c>
      <c r="AW102" s="468">
        <f t="shared" si="119"/>
        <v>0</v>
      </c>
      <c r="AX102" s="468">
        <f t="shared" si="119"/>
        <v>563550</v>
      </c>
      <c r="AY102" s="468">
        <f t="shared" si="119"/>
        <v>35394</v>
      </c>
      <c r="AZ102" s="468">
        <f t="shared" si="119"/>
        <v>4700900.2630000003</v>
      </c>
      <c r="BA102" s="468">
        <f t="shared" si="119"/>
        <v>9432878.9717500005</v>
      </c>
      <c r="BB102" s="468">
        <f t="shared" si="119"/>
        <v>943287.89717499993</v>
      </c>
      <c r="BC102" s="468">
        <f t="shared" si="119"/>
        <v>188657.57943499996</v>
      </c>
      <c r="BD102" s="468">
        <f t="shared" si="119"/>
        <v>726920.349514</v>
      </c>
      <c r="BE102" s="468">
        <f t="shared" si="119"/>
        <v>7574013.1456260001</v>
      </c>
      <c r="BF102" s="468">
        <f t="shared" si="119"/>
        <v>113194547.661</v>
      </c>
      <c r="BG102" s="468">
        <f t="shared" si="119"/>
        <v>9463957.4175000004</v>
      </c>
      <c r="BH102" s="468">
        <f t="shared" si="119"/>
        <v>122658505.0785</v>
      </c>
      <c r="BI102" s="468">
        <f t="shared" si="119"/>
        <v>5519632.7285325006</v>
      </c>
      <c r="BJ102" s="468">
        <f t="shared" si="119"/>
        <v>3395836.4298300003</v>
      </c>
      <c r="BK102" s="468">
        <f t="shared" si="119"/>
        <v>6374531.2693848005</v>
      </c>
      <c r="BL102" s="468">
        <f t="shared" si="119"/>
        <v>5519632.7285324996</v>
      </c>
      <c r="BM102" s="468">
        <f t="shared" si="119"/>
        <v>143468138.23477978</v>
      </c>
      <c r="BN102" s="468">
        <f t="shared" si="119"/>
        <v>1.5</v>
      </c>
      <c r="BO102" s="355"/>
      <c r="BP102" s="355"/>
      <c r="BQ102" s="355"/>
      <c r="BR102" s="355"/>
      <c r="BS102" s="355"/>
      <c r="BT102" s="355"/>
      <c r="BU102" s="355"/>
      <c r="BV102" s="355"/>
      <c r="BW102" s="355"/>
      <c r="BX102" s="355"/>
      <c r="BY102" s="355"/>
      <c r="BZ102" s="355"/>
      <c r="CA102" s="355"/>
      <c r="CB102" s="355"/>
      <c r="CC102" s="355"/>
      <c r="CD102" s="355"/>
      <c r="CE102" s="355"/>
      <c r="CF102" s="355"/>
      <c r="CG102" s="355"/>
      <c r="CH102" s="355"/>
      <c r="CI102" s="356"/>
    </row>
    <row r="103" spans="1:87" ht="94.5">
      <c r="A103" s="469">
        <f>A101+1</f>
        <v>63</v>
      </c>
      <c r="B103" s="470">
        <v>1</v>
      </c>
      <c r="C103" s="418" t="s">
        <v>1163</v>
      </c>
      <c r="D103" s="471" t="s">
        <v>1164</v>
      </c>
      <c r="E103" s="390" t="s">
        <v>998</v>
      </c>
      <c r="F103" s="472" t="s">
        <v>1005</v>
      </c>
      <c r="G103" s="390" t="s">
        <v>1165</v>
      </c>
      <c r="H103" s="402" t="s">
        <v>1427</v>
      </c>
      <c r="I103" s="390">
        <v>17697</v>
      </c>
      <c r="J103" s="403">
        <v>11.18</v>
      </c>
      <c r="K103" s="367">
        <f t="shared" ref="K103:K122" si="120">I103*J103</f>
        <v>197852.46</v>
      </c>
      <c r="L103" s="380"/>
      <c r="M103" s="380"/>
      <c r="N103" s="380">
        <v>9</v>
      </c>
      <c r="O103" s="380"/>
      <c r="P103" s="380">
        <v>12</v>
      </c>
      <c r="Q103" s="368">
        <f t="shared" ref="Q103:Q122" si="121">SUM(L103:P103)</f>
        <v>21</v>
      </c>
      <c r="R103" s="380"/>
      <c r="S103" s="380"/>
      <c r="T103" s="380">
        <v>6</v>
      </c>
      <c r="U103" s="380"/>
      <c r="V103" s="380">
        <v>8</v>
      </c>
      <c r="W103" s="381">
        <f t="shared" ref="W103:W121" si="122">SUM(R103:V103)</f>
        <v>14</v>
      </c>
      <c r="X103" s="370">
        <f t="shared" ref="X103:X122" si="123">Q103+W103</f>
        <v>35</v>
      </c>
      <c r="Y103" s="367">
        <f t="shared" ref="Y103:Y122" si="124">K103/16*X103</f>
        <v>432802.25624999998</v>
      </c>
      <c r="Z103" s="367">
        <f t="shared" ref="Z103:Z122" si="125">Y103*10%</f>
        <v>43280.225624999999</v>
      </c>
      <c r="AA103" s="366">
        <v>15</v>
      </c>
      <c r="AB103" s="367">
        <f>I103/16*AA103*50%</f>
        <v>8295.46875</v>
      </c>
      <c r="AC103" s="366">
        <v>16</v>
      </c>
      <c r="AD103" s="367">
        <f>I103/16*AC103*50%*50%</f>
        <v>4424.25</v>
      </c>
      <c r="AE103" s="366">
        <v>196600</v>
      </c>
      <c r="AF103" s="366" t="s">
        <v>1167</v>
      </c>
      <c r="AG103" s="367">
        <f>17697*20%</f>
        <v>3539.4</v>
      </c>
      <c r="AH103" s="366" t="s">
        <v>1168</v>
      </c>
      <c r="AI103" s="367">
        <f>I103*200%</f>
        <v>35394</v>
      </c>
      <c r="AJ103" s="366">
        <f>X103</f>
        <v>35</v>
      </c>
      <c r="AK103" s="367">
        <f t="shared" ref="AK103:AK122" si="126">I103/16*AJ103*40%</f>
        <v>15484.875</v>
      </c>
      <c r="AL103" s="366">
        <f t="shared" ref="AL103:AL122" si="127">X103</f>
        <v>35</v>
      </c>
      <c r="AM103" s="367">
        <f t="shared" ref="AM103:AM122" si="128">K103/16*AL103*30%</f>
        <v>129840.67687499999</v>
      </c>
      <c r="AN103" s="366" t="str">
        <f>F103</f>
        <v>Педагог-зерттеуші</v>
      </c>
      <c r="AO103" s="367" t="str">
        <f t="shared" ref="AO103:AO122" si="129">IF(AN103="Педагог-зерттеуші", "0", IF(AN103="Педагог-шебер",K103/16*X103*50%, IF(AN103="Педагог-сарапшы", "0", IF(AN103="Педагог-модератор", "0", "0"))))</f>
        <v>0</v>
      </c>
      <c r="AP103" s="367">
        <f t="shared" ref="AP103:AP122" si="130">IF(AN103="Педагог-шебер", "0", IF(AN103="Педагог-зерттеуші",K103/16*X103*40%, IF(AN103="Педагог-сарапшы", "0", IF(AN103="Педагог-модератор", "0", "0"))))</f>
        <v>173120.9025</v>
      </c>
      <c r="AQ103" s="367" t="str">
        <f t="shared" ref="AQ103:AQ122" si="131">IF(AN103="Педагог-шебер", "0", IF(AN103="Педагог-сарапшы",K103/16*X103*35%, IF(AN103="Педагог-зерттеуші", "0", IF(AN103="Педагог-модератор", "0", "0"))))</f>
        <v>0</v>
      </c>
      <c r="AR103" s="367" t="str">
        <f t="shared" ref="AR103:AR122" si="132">IF(AN103="Педагог-шебер", "0", IF(AN103="Педагог-модератор",K103/16*X103*30%, IF(AN103="Педагог-зерттеуші", "0", IF(AN103="Педагог-сарапшы", "0", "0"))))</f>
        <v>0</v>
      </c>
      <c r="AS103" s="366"/>
      <c r="AT103" s="367"/>
      <c r="AU103" s="371"/>
      <c r="AV103" s="367"/>
      <c r="AW103" s="371" t="str">
        <f>G103</f>
        <v>Магистр-лингвистика</v>
      </c>
      <c r="AX103" s="372">
        <f>10*4335</f>
        <v>43350</v>
      </c>
      <c r="AY103" s="367"/>
      <c r="AZ103" s="367">
        <f t="shared" ref="AZ103:AZ122" si="133">Z103+AB103+AD103+AE103+AG103+AI103+AK103+AM103+AO103+AP103+AQ103++AR103+AT103+AV103+AX103+AY103</f>
        <v>653329.79874999996</v>
      </c>
      <c r="BA103" s="373">
        <f t="shared" ref="BA103:BA122" si="134">Y103+AZ103</f>
        <v>1086132.0549999999</v>
      </c>
      <c r="BB103" s="374">
        <f t="shared" si="65"/>
        <v>108613.2055</v>
      </c>
      <c r="BC103" s="374">
        <f t="shared" si="66"/>
        <v>21722.641100000001</v>
      </c>
      <c r="BD103" s="374">
        <f t="shared" ref="BD103:BD122" si="135">(BA103-BB103-BC103-(14*4335))*10%</f>
        <v>89510.620839999989</v>
      </c>
      <c r="BE103" s="374">
        <f t="shared" si="68"/>
        <v>866285.5875599999</v>
      </c>
      <c r="BF103" s="374">
        <f t="shared" si="69"/>
        <v>13033584.66</v>
      </c>
      <c r="BG103" s="374">
        <f t="shared" ref="BG103:BG122" si="136">Y103*2</f>
        <v>865604.51249999995</v>
      </c>
      <c r="BH103" s="374">
        <f t="shared" si="71"/>
        <v>13899189.172499999</v>
      </c>
      <c r="BI103" s="374">
        <f t="shared" si="72"/>
        <v>625463.51276249997</v>
      </c>
      <c r="BJ103" s="374">
        <f t="shared" si="73"/>
        <v>391007.53979999997</v>
      </c>
      <c r="BK103" s="374">
        <f t="shared" si="74"/>
        <v>721882.32906299992</v>
      </c>
      <c r="BL103" s="374">
        <f>BH103*4.5%</f>
        <v>625463.51276249997</v>
      </c>
      <c r="BM103" s="373">
        <f t="shared" si="75"/>
        <v>16263006.066887999</v>
      </c>
      <c r="BN103" s="375"/>
      <c r="BO103" s="376"/>
      <c r="BP103" s="377"/>
      <c r="BQ103" s="377"/>
      <c r="BR103" s="377"/>
      <c r="BS103" s="377"/>
      <c r="BT103" s="377"/>
      <c r="BU103" s="377"/>
      <c r="BV103" s="377"/>
      <c r="BW103" s="377"/>
      <c r="BX103" s="377"/>
      <c r="BY103" s="377"/>
      <c r="BZ103" s="377"/>
      <c r="CA103" s="377"/>
      <c r="CB103" s="377"/>
      <c r="CC103" s="377"/>
      <c r="CD103" s="377"/>
      <c r="CE103" s="377"/>
      <c r="CF103" s="377"/>
      <c r="CG103" s="377"/>
      <c r="CH103" s="377"/>
      <c r="CI103" s="377"/>
    </row>
    <row r="104" spans="1:87" ht="31.5">
      <c r="A104" s="369">
        <f t="shared" ref="A104:B119" si="137">A103+1</f>
        <v>64</v>
      </c>
      <c r="B104" s="416">
        <f t="shared" si="137"/>
        <v>2</v>
      </c>
      <c r="C104" s="473" t="s">
        <v>1169</v>
      </c>
      <c r="D104" s="474" t="s">
        <v>1170</v>
      </c>
      <c r="E104" s="366" t="s">
        <v>998</v>
      </c>
      <c r="F104" s="366" t="s">
        <v>1011</v>
      </c>
      <c r="G104" s="393"/>
      <c r="H104" s="371" t="s">
        <v>1171</v>
      </c>
      <c r="I104" s="366">
        <v>17697</v>
      </c>
      <c r="J104" s="367">
        <v>11.4</v>
      </c>
      <c r="K104" s="367">
        <f t="shared" si="120"/>
        <v>201745.80000000002</v>
      </c>
      <c r="L104" s="380"/>
      <c r="M104" s="380">
        <v>3</v>
      </c>
      <c r="N104" s="380"/>
      <c r="O104" s="380"/>
      <c r="P104" s="380"/>
      <c r="Q104" s="368">
        <f t="shared" si="121"/>
        <v>3</v>
      </c>
      <c r="R104" s="380"/>
      <c r="S104" s="380">
        <v>2</v>
      </c>
      <c r="T104" s="380"/>
      <c r="U104" s="380"/>
      <c r="V104" s="380"/>
      <c r="W104" s="381">
        <f t="shared" si="122"/>
        <v>2</v>
      </c>
      <c r="X104" s="370">
        <f t="shared" si="123"/>
        <v>5</v>
      </c>
      <c r="Y104" s="367">
        <f t="shared" si="124"/>
        <v>63045.562500000007</v>
      </c>
      <c r="Z104" s="367">
        <f t="shared" si="125"/>
        <v>6304.5562500000015</v>
      </c>
      <c r="AA104" s="366">
        <v>0</v>
      </c>
      <c r="AB104" s="367">
        <f t="shared" ref="AB104:AB122" si="138">I104/16*AA104*50%</f>
        <v>0</v>
      </c>
      <c r="AC104" s="372">
        <v>5</v>
      </c>
      <c r="AD104" s="367">
        <f t="shared" ref="AD104:AD122" si="139">I104/16*AC104*50%*50%</f>
        <v>1382.578125</v>
      </c>
      <c r="AE104" s="366"/>
      <c r="AF104" s="366"/>
      <c r="AG104" s="367"/>
      <c r="AH104" s="366"/>
      <c r="AI104" s="367"/>
      <c r="AJ104" s="366">
        <f t="shared" ref="AJ104:AJ122" si="140">X104</f>
        <v>5</v>
      </c>
      <c r="AK104" s="367">
        <f t="shared" si="126"/>
        <v>2212.125</v>
      </c>
      <c r="AL104" s="366">
        <f t="shared" si="127"/>
        <v>5</v>
      </c>
      <c r="AM104" s="367">
        <f t="shared" si="128"/>
        <v>18913.668750000001</v>
      </c>
      <c r="AN104" s="366" t="str">
        <f>F104</f>
        <v>Педагог-сарапшы</v>
      </c>
      <c r="AO104" s="367" t="str">
        <f t="shared" si="129"/>
        <v>0</v>
      </c>
      <c r="AP104" s="367" t="str">
        <f t="shared" si="130"/>
        <v>0</v>
      </c>
      <c r="AQ104" s="367">
        <f t="shared" si="131"/>
        <v>22065.946875000001</v>
      </c>
      <c r="AR104" s="367" t="str">
        <f t="shared" si="132"/>
        <v>0</v>
      </c>
      <c r="AS104" s="366"/>
      <c r="AT104" s="367"/>
      <c r="AU104" s="371"/>
      <c r="AV104" s="367"/>
      <c r="AW104" s="371"/>
      <c r="AX104" s="372"/>
      <c r="AY104" s="367"/>
      <c r="AZ104" s="367">
        <f t="shared" si="133"/>
        <v>50878.875</v>
      </c>
      <c r="BA104" s="373">
        <f t="shared" si="134"/>
        <v>113924.4375</v>
      </c>
      <c r="BB104" s="374">
        <f t="shared" si="65"/>
        <v>11392.44375</v>
      </c>
      <c r="BC104" s="374">
        <f t="shared" si="66"/>
        <v>2278.48875</v>
      </c>
      <c r="BD104" s="374">
        <f t="shared" si="135"/>
        <v>3956.3504999999991</v>
      </c>
      <c r="BE104" s="374">
        <f t="shared" si="68"/>
        <v>96297.15449999999</v>
      </c>
      <c r="BF104" s="374">
        <f t="shared" si="69"/>
        <v>1367093.25</v>
      </c>
      <c r="BG104" s="374">
        <f t="shared" si="136"/>
        <v>126091.12500000001</v>
      </c>
      <c r="BH104" s="374">
        <f t="shared" si="71"/>
        <v>1493184.375</v>
      </c>
      <c r="BI104" s="374">
        <f t="shared" si="72"/>
        <v>67193.296875</v>
      </c>
      <c r="BJ104" s="374">
        <f t="shared" si="73"/>
        <v>41012.797500000001</v>
      </c>
      <c r="BK104" s="374">
        <f t="shared" si="74"/>
        <v>77624.3511</v>
      </c>
      <c r="BL104" s="374">
        <f t="shared" ref="BL104:BL122" si="141">BH104*4.5%</f>
        <v>67193.296875</v>
      </c>
      <c r="BM104" s="373">
        <f t="shared" si="75"/>
        <v>1746208.1173500002</v>
      </c>
      <c r="BN104" s="375"/>
      <c r="BO104" s="377"/>
      <c r="BP104" s="377"/>
      <c r="BQ104" s="377"/>
      <c r="BR104" s="377"/>
      <c r="BS104" s="377"/>
      <c r="BT104" s="377"/>
      <c r="BU104" s="377"/>
      <c r="BV104" s="377"/>
      <c r="BW104" s="377"/>
      <c r="BX104" s="377"/>
      <c r="BY104" s="377"/>
      <c r="BZ104" s="377"/>
      <c r="CA104" s="377"/>
      <c r="CB104" s="377"/>
      <c r="CC104" s="377"/>
      <c r="CD104" s="377"/>
      <c r="CE104" s="377"/>
      <c r="CF104" s="377"/>
      <c r="CG104" s="377"/>
      <c r="CH104" s="377"/>
      <c r="CI104" s="377"/>
    </row>
    <row r="105" spans="1:87" ht="45">
      <c r="A105" s="369">
        <f t="shared" si="137"/>
        <v>65</v>
      </c>
      <c r="B105" s="416">
        <f t="shared" si="137"/>
        <v>3</v>
      </c>
      <c r="C105" s="473" t="s">
        <v>1172</v>
      </c>
      <c r="D105" s="475" t="s">
        <v>1173</v>
      </c>
      <c r="E105" s="366" t="s">
        <v>998</v>
      </c>
      <c r="F105" s="366"/>
      <c r="G105" s="393" t="s">
        <v>1174</v>
      </c>
      <c r="H105" s="371" t="s">
        <v>1428</v>
      </c>
      <c r="I105" s="366">
        <v>17697</v>
      </c>
      <c r="J105" s="367">
        <v>11.4</v>
      </c>
      <c r="K105" s="367">
        <f>I105*J105</f>
        <v>201745.80000000002</v>
      </c>
      <c r="L105" s="380"/>
      <c r="M105" s="380">
        <v>15</v>
      </c>
      <c r="N105" s="380">
        <v>6</v>
      </c>
      <c r="O105" s="380"/>
      <c r="P105" s="380"/>
      <c r="Q105" s="368">
        <f>SUM(L105:P105)</f>
        <v>21</v>
      </c>
      <c r="R105" s="380"/>
      <c r="S105" s="380">
        <v>10</v>
      </c>
      <c r="T105" s="380">
        <v>4</v>
      </c>
      <c r="U105" s="380"/>
      <c r="V105" s="380"/>
      <c r="W105" s="381">
        <f>SUM(R105:V105)</f>
        <v>14</v>
      </c>
      <c r="X105" s="370">
        <f>Q105+W105</f>
        <v>35</v>
      </c>
      <c r="Y105" s="367">
        <f>K105/16*X105</f>
        <v>441318.93750000006</v>
      </c>
      <c r="Z105" s="367">
        <f>Y105*10%</f>
        <v>44131.89375000001</v>
      </c>
      <c r="AA105" s="366">
        <v>25</v>
      </c>
      <c r="AB105" s="367">
        <f t="shared" si="138"/>
        <v>13825.78125</v>
      </c>
      <c r="AC105" s="372">
        <v>10</v>
      </c>
      <c r="AD105" s="367">
        <f t="shared" si="139"/>
        <v>2765.15625</v>
      </c>
      <c r="AE105" s="366"/>
      <c r="AF105" s="366" t="s">
        <v>1175</v>
      </c>
      <c r="AG105" s="367">
        <f>17697*20%</f>
        <v>3539.4</v>
      </c>
      <c r="AH105" s="366"/>
      <c r="AI105" s="367"/>
      <c r="AJ105" s="366">
        <f>X105</f>
        <v>35</v>
      </c>
      <c r="AK105" s="367">
        <f>I105/16*AJ105*40%</f>
        <v>15484.875</v>
      </c>
      <c r="AL105" s="366">
        <f>X105</f>
        <v>35</v>
      </c>
      <c r="AM105" s="367">
        <f>K105/16*AL105*30%</f>
        <v>132395.68125000002</v>
      </c>
      <c r="AN105" s="366">
        <f>F105</f>
        <v>0</v>
      </c>
      <c r="AO105" s="367" t="str">
        <f t="shared" si="129"/>
        <v>0</v>
      </c>
      <c r="AP105" s="367" t="str">
        <f t="shared" si="130"/>
        <v>0</v>
      </c>
      <c r="AQ105" s="367" t="str">
        <f t="shared" si="131"/>
        <v>0</v>
      </c>
      <c r="AR105" s="367" t="str">
        <f t="shared" si="132"/>
        <v>0</v>
      </c>
      <c r="AS105" s="366"/>
      <c r="AT105" s="367"/>
      <c r="AU105" s="371"/>
      <c r="AV105" s="367"/>
      <c r="AW105" s="371" t="str">
        <f>G105</f>
        <v>Магистр образования (ин.язык)</v>
      </c>
      <c r="AX105" s="372">
        <f>10*4335</f>
        <v>43350</v>
      </c>
      <c r="AY105" s="367"/>
      <c r="AZ105" s="367">
        <f t="shared" si="133"/>
        <v>255492.78750000003</v>
      </c>
      <c r="BA105" s="373">
        <f t="shared" si="134"/>
        <v>696811.72500000009</v>
      </c>
      <c r="BB105" s="374">
        <f>BA105*10%</f>
        <v>69681.172500000015</v>
      </c>
      <c r="BC105" s="374">
        <f>BA105*2%</f>
        <v>13936.234500000002</v>
      </c>
      <c r="BD105" s="374">
        <f t="shared" si="135"/>
        <v>55250.431800000013</v>
      </c>
      <c r="BE105" s="374">
        <f>BA105-BB105-BC105-BD105</f>
        <v>557943.88620000007</v>
      </c>
      <c r="BF105" s="374">
        <f>BA105*12</f>
        <v>8361740.7000000011</v>
      </c>
      <c r="BG105" s="374">
        <f t="shared" si="136"/>
        <v>882637.87500000012</v>
      </c>
      <c r="BH105" s="374">
        <f>BF105+BG105</f>
        <v>9244378.5750000011</v>
      </c>
      <c r="BI105" s="374">
        <f t="shared" si="72"/>
        <v>415997.03587500006</v>
      </c>
      <c r="BJ105" s="374">
        <f>BF105*3%</f>
        <v>250852.22100000002</v>
      </c>
      <c r="BK105" s="374">
        <f t="shared" si="74"/>
        <v>480800.61351000005</v>
      </c>
      <c r="BL105" s="374">
        <f t="shared" si="141"/>
        <v>415997.03587500006</v>
      </c>
      <c r="BM105" s="373">
        <f>BH105+BI105+BJ105+BK105+BL105</f>
        <v>10808025.481260002</v>
      </c>
      <c r="BN105" s="375"/>
      <c r="BO105" s="377"/>
      <c r="BP105" s="377"/>
      <c r="BQ105" s="377"/>
      <c r="BR105" s="377"/>
      <c r="BS105" s="377"/>
      <c r="BT105" s="377"/>
      <c r="BU105" s="377"/>
      <c r="BV105" s="377"/>
      <c r="BW105" s="377"/>
      <c r="BX105" s="377"/>
      <c r="BY105" s="377"/>
      <c r="BZ105" s="377"/>
      <c r="CA105" s="377"/>
      <c r="CB105" s="377"/>
      <c r="CC105" s="377"/>
      <c r="CD105" s="377"/>
      <c r="CE105" s="377"/>
      <c r="CF105" s="377"/>
      <c r="CG105" s="377"/>
      <c r="CH105" s="377"/>
      <c r="CI105" s="377"/>
    </row>
    <row r="106" spans="1:87" ht="94.5">
      <c r="A106" s="369">
        <f t="shared" si="137"/>
        <v>66</v>
      </c>
      <c r="B106" s="416">
        <f t="shared" si="137"/>
        <v>4</v>
      </c>
      <c r="C106" s="473" t="s">
        <v>910</v>
      </c>
      <c r="D106" s="419" t="s">
        <v>1176</v>
      </c>
      <c r="E106" s="366" t="s">
        <v>998</v>
      </c>
      <c r="F106" s="366"/>
      <c r="G106" s="393"/>
      <c r="H106" s="371" t="s">
        <v>279</v>
      </c>
      <c r="I106" s="366">
        <v>17697</v>
      </c>
      <c r="J106" s="367">
        <v>9.66</v>
      </c>
      <c r="K106" s="367">
        <f>I106*J106</f>
        <v>170953.02</v>
      </c>
      <c r="L106" s="380"/>
      <c r="M106" s="380"/>
      <c r="N106" s="380">
        <v>9</v>
      </c>
      <c r="O106" s="380">
        <v>12</v>
      </c>
      <c r="P106" s="380"/>
      <c r="Q106" s="368">
        <f>SUM(L106:P106)</f>
        <v>21</v>
      </c>
      <c r="R106" s="380"/>
      <c r="S106" s="380"/>
      <c r="T106" s="380">
        <v>6</v>
      </c>
      <c r="U106" s="380">
        <v>6</v>
      </c>
      <c r="V106" s="380"/>
      <c r="W106" s="381">
        <f>SUM(R106:V106)</f>
        <v>12</v>
      </c>
      <c r="X106" s="370">
        <f>Q106+W106</f>
        <v>33</v>
      </c>
      <c r="Y106" s="367">
        <f>K106/16*X106</f>
        <v>352590.60374999995</v>
      </c>
      <c r="Z106" s="367">
        <f>Y106*10%</f>
        <v>35259.060374999994</v>
      </c>
      <c r="AA106" s="366">
        <v>30</v>
      </c>
      <c r="AB106" s="367">
        <f t="shared" si="138"/>
        <v>16590.9375</v>
      </c>
      <c r="AC106" s="372"/>
      <c r="AD106" s="367">
        <f t="shared" si="139"/>
        <v>0</v>
      </c>
      <c r="AE106" s="366"/>
      <c r="AF106" s="366"/>
      <c r="AG106" s="367"/>
      <c r="AH106" s="366"/>
      <c r="AI106" s="367"/>
      <c r="AJ106" s="366">
        <f>X106</f>
        <v>33</v>
      </c>
      <c r="AK106" s="367">
        <f>I106/16*AJ106*40%</f>
        <v>14600.025000000001</v>
      </c>
      <c r="AL106" s="366">
        <f>X106</f>
        <v>33</v>
      </c>
      <c r="AM106" s="367">
        <f>K106/16*AL106*30%</f>
        <v>105777.18112499999</v>
      </c>
      <c r="AN106" s="366">
        <f>F106</f>
        <v>0</v>
      </c>
      <c r="AO106" s="367" t="str">
        <f t="shared" si="129"/>
        <v>0</v>
      </c>
      <c r="AP106" s="367" t="str">
        <f t="shared" si="130"/>
        <v>0</v>
      </c>
      <c r="AQ106" s="367" t="str">
        <f t="shared" si="131"/>
        <v>0</v>
      </c>
      <c r="AR106" s="367" t="str">
        <f t="shared" si="132"/>
        <v>0</v>
      </c>
      <c r="AS106" s="366"/>
      <c r="AT106" s="367"/>
      <c r="AU106" s="371"/>
      <c r="AV106" s="367"/>
      <c r="AW106" s="371"/>
      <c r="AX106" s="372"/>
      <c r="AY106" s="367"/>
      <c r="AZ106" s="367">
        <f t="shared" si="133"/>
        <v>172227.20399999997</v>
      </c>
      <c r="BA106" s="373">
        <f t="shared" si="134"/>
        <v>524817.80774999992</v>
      </c>
      <c r="BB106" s="374">
        <f>BA106*10%</f>
        <v>52481.780774999992</v>
      </c>
      <c r="BC106" s="374">
        <f>BA106*2%</f>
        <v>10496.356154999999</v>
      </c>
      <c r="BD106" s="374">
        <f t="shared" si="135"/>
        <v>40114.967081999996</v>
      </c>
      <c r="BE106" s="374">
        <f>BA106-BB106-BC106-BD106</f>
        <v>421724.70373799995</v>
      </c>
      <c r="BF106" s="374">
        <f>BA106*12</f>
        <v>6297813.692999999</v>
      </c>
      <c r="BG106" s="374">
        <f t="shared" si="136"/>
        <v>705181.2074999999</v>
      </c>
      <c r="BH106" s="374">
        <f>BF106+BG106</f>
        <v>7002994.9004999986</v>
      </c>
      <c r="BI106" s="374">
        <f t="shared" si="72"/>
        <v>315134.77052249992</v>
      </c>
      <c r="BJ106" s="374">
        <f>BF106*3%</f>
        <v>188934.41078999997</v>
      </c>
      <c r="BK106" s="374">
        <f t="shared" si="74"/>
        <v>364306.53450239985</v>
      </c>
      <c r="BL106" s="374">
        <f t="shared" si="141"/>
        <v>315134.77052249992</v>
      </c>
      <c r="BM106" s="373">
        <f>BH106+BI106+BJ106+BK106+BL106</f>
        <v>8186505.3868373986</v>
      </c>
      <c r="BN106" s="375"/>
      <c r="BO106" s="377"/>
      <c r="BP106" s="377"/>
      <c r="BQ106" s="377"/>
      <c r="BR106" s="377"/>
      <c r="BS106" s="377"/>
      <c r="BT106" s="377"/>
      <c r="BU106" s="377"/>
      <c r="BV106" s="377"/>
      <c r="BW106" s="377"/>
      <c r="BX106" s="377"/>
      <c r="BY106" s="377"/>
      <c r="BZ106" s="377"/>
      <c r="CA106" s="377"/>
      <c r="CB106" s="377"/>
      <c r="CC106" s="377"/>
      <c r="CD106" s="377"/>
      <c r="CE106" s="377"/>
      <c r="CF106" s="377"/>
      <c r="CG106" s="377"/>
      <c r="CH106" s="377"/>
      <c r="CI106" s="377"/>
    </row>
    <row r="107" spans="1:87" ht="47.25">
      <c r="A107" s="369">
        <f t="shared" si="137"/>
        <v>67</v>
      </c>
      <c r="B107" s="416">
        <f t="shared" si="137"/>
        <v>5</v>
      </c>
      <c r="C107" s="409" t="s">
        <v>1177</v>
      </c>
      <c r="D107" s="476" t="s">
        <v>1178</v>
      </c>
      <c r="E107" s="366" t="s">
        <v>998</v>
      </c>
      <c r="F107" s="366" t="s">
        <v>254</v>
      </c>
      <c r="G107" s="366" t="s">
        <v>1174</v>
      </c>
      <c r="H107" s="371" t="s">
        <v>845</v>
      </c>
      <c r="I107" s="366">
        <v>17697</v>
      </c>
      <c r="J107" s="367">
        <v>10.220000000000001</v>
      </c>
      <c r="K107" s="367">
        <f t="shared" si="120"/>
        <v>180863.34000000003</v>
      </c>
      <c r="L107" s="380"/>
      <c r="M107" s="380">
        <v>3</v>
      </c>
      <c r="N107" s="380"/>
      <c r="O107" s="380"/>
      <c r="P107" s="380"/>
      <c r="Q107" s="368">
        <f t="shared" si="121"/>
        <v>3</v>
      </c>
      <c r="R107" s="380"/>
      <c r="S107" s="380">
        <v>5</v>
      </c>
      <c r="T107" s="380"/>
      <c r="U107" s="380"/>
      <c r="V107" s="380"/>
      <c r="W107" s="381">
        <f t="shared" si="122"/>
        <v>5</v>
      </c>
      <c r="X107" s="370">
        <f t="shared" si="123"/>
        <v>8</v>
      </c>
      <c r="Y107" s="367">
        <f t="shared" si="124"/>
        <v>90431.670000000013</v>
      </c>
      <c r="Z107" s="367"/>
      <c r="AA107" s="366">
        <v>5</v>
      </c>
      <c r="AB107" s="367">
        <f t="shared" si="138"/>
        <v>2765.15625</v>
      </c>
      <c r="AC107" s="366"/>
      <c r="AD107" s="367">
        <f t="shared" si="139"/>
        <v>0</v>
      </c>
      <c r="AE107" s="367"/>
      <c r="AF107" s="366"/>
      <c r="AG107" s="367"/>
      <c r="AH107" s="366"/>
      <c r="AI107" s="367"/>
      <c r="AJ107" s="366">
        <f t="shared" si="140"/>
        <v>8</v>
      </c>
      <c r="AK107" s="367">
        <f t="shared" si="126"/>
        <v>3539.4</v>
      </c>
      <c r="AL107" s="366">
        <f t="shared" si="127"/>
        <v>8</v>
      </c>
      <c r="AM107" s="367">
        <f t="shared" si="128"/>
        <v>27129.501000000004</v>
      </c>
      <c r="AN107" s="366" t="str">
        <f t="shared" ref="AN107:AN122" si="142">F107</f>
        <v>Педагог-модератор</v>
      </c>
      <c r="AO107" s="367" t="str">
        <f t="shared" si="129"/>
        <v>0</v>
      </c>
      <c r="AP107" s="367" t="str">
        <f t="shared" si="130"/>
        <v>0</v>
      </c>
      <c r="AQ107" s="367" t="str">
        <f t="shared" si="131"/>
        <v>0</v>
      </c>
      <c r="AR107" s="367">
        <f t="shared" si="132"/>
        <v>27129.501000000004</v>
      </c>
      <c r="AS107" s="366"/>
      <c r="AT107" s="367"/>
      <c r="AU107" s="371"/>
      <c r="AV107" s="367"/>
      <c r="AW107" s="371" t="str">
        <f>G107</f>
        <v>Магистр образования (ин.язык)</v>
      </c>
      <c r="AX107" s="372">
        <f>10*4335</f>
        <v>43350</v>
      </c>
      <c r="AY107" s="367"/>
      <c r="AZ107" s="367">
        <f t="shared" si="133"/>
        <v>103913.55825</v>
      </c>
      <c r="BA107" s="373">
        <f t="shared" si="134"/>
        <v>194345.22825000001</v>
      </c>
      <c r="BB107" s="374">
        <f t="shared" si="65"/>
        <v>19434.522825000004</v>
      </c>
      <c r="BC107" s="374">
        <f t="shared" si="66"/>
        <v>3886.9045650000003</v>
      </c>
      <c r="BD107" s="374">
        <f t="shared" si="135"/>
        <v>11033.380086000003</v>
      </c>
      <c r="BE107" s="374">
        <f t="shared" si="68"/>
        <v>159990.42077400003</v>
      </c>
      <c r="BF107" s="374">
        <f t="shared" si="69"/>
        <v>2332142.7390000001</v>
      </c>
      <c r="BG107" s="374">
        <f t="shared" si="136"/>
        <v>180863.34000000003</v>
      </c>
      <c r="BH107" s="374">
        <f t="shared" si="71"/>
        <v>2513006.0789999999</v>
      </c>
      <c r="BI107" s="374">
        <f t="shared" si="72"/>
        <v>113085.27355500002</v>
      </c>
      <c r="BJ107" s="374">
        <f t="shared" si="73"/>
        <v>69964.282170000006</v>
      </c>
      <c r="BK107" s="374">
        <f t="shared" si="74"/>
        <v>130571.6142402</v>
      </c>
      <c r="BL107" s="374">
        <f t="shared" si="141"/>
        <v>113085.27355499999</v>
      </c>
      <c r="BM107" s="373">
        <f t="shared" si="75"/>
        <v>2939712.5225201994</v>
      </c>
      <c r="BN107" s="375">
        <v>1</v>
      </c>
      <c r="BO107" s="377"/>
      <c r="BP107" s="377"/>
      <c r="BQ107" s="377"/>
      <c r="BR107" s="377"/>
      <c r="BS107" s="377"/>
      <c r="BT107" s="377"/>
      <c r="BU107" s="377"/>
      <c r="BV107" s="377"/>
      <c r="BW107" s="377"/>
      <c r="BX107" s="377"/>
      <c r="BY107" s="377"/>
      <c r="BZ107" s="377"/>
      <c r="CA107" s="377"/>
      <c r="CB107" s="377"/>
      <c r="CC107" s="377"/>
      <c r="CD107" s="377"/>
      <c r="CE107" s="377"/>
      <c r="CF107" s="377"/>
      <c r="CG107" s="377"/>
      <c r="CH107" s="377"/>
      <c r="CI107" s="377"/>
    </row>
    <row r="108" spans="1:87" ht="94.5">
      <c r="A108" s="369">
        <f t="shared" si="137"/>
        <v>68</v>
      </c>
      <c r="B108" s="416">
        <f t="shared" si="137"/>
        <v>6</v>
      </c>
      <c r="C108" s="477" t="s">
        <v>1179</v>
      </c>
      <c r="D108" s="412" t="s">
        <v>1180</v>
      </c>
      <c r="E108" s="366" t="s">
        <v>998</v>
      </c>
      <c r="F108" s="366" t="s">
        <v>254</v>
      </c>
      <c r="G108" s="366" t="s">
        <v>1174</v>
      </c>
      <c r="H108" s="371" t="s">
        <v>278</v>
      </c>
      <c r="I108" s="366">
        <v>17697</v>
      </c>
      <c r="J108" s="367">
        <v>10</v>
      </c>
      <c r="K108" s="367">
        <f t="shared" si="120"/>
        <v>176970</v>
      </c>
      <c r="L108" s="380"/>
      <c r="M108" s="380">
        <v>12</v>
      </c>
      <c r="N108" s="380"/>
      <c r="O108" s="380">
        <v>9</v>
      </c>
      <c r="P108" s="380"/>
      <c r="Q108" s="368">
        <f t="shared" si="121"/>
        <v>21</v>
      </c>
      <c r="R108" s="380"/>
      <c r="S108" s="380">
        <v>8</v>
      </c>
      <c r="T108" s="380"/>
      <c r="U108" s="380">
        <v>6</v>
      </c>
      <c r="V108" s="380"/>
      <c r="W108" s="381">
        <f t="shared" si="122"/>
        <v>14</v>
      </c>
      <c r="X108" s="370">
        <f t="shared" si="123"/>
        <v>35</v>
      </c>
      <c r="Y108" s="367">
        <f t="shared" si="124"/>
        <v>387121.875</v>
      </c>
      <c r="Z108" s="367">
        <f t="shared" si="125"/>
        <v>38712.1875</v>
      </c>
      <c r="AA108" s="366">
        <v>29</v>
      </c>
      <c r="AB108" s="367">
        <f t="shared" si="138"/>
        <v>16037.90625</v>
      </c>
      <c r="AC108" s="372">
        <v>3</v>
      </c>
      <c r="AD108" s="367">
        <f t="shared" si="139"/>
        <v>829.546875</v>
      </c>
      <c r="AE108" s="366"/>
      <c r="AF108" s="366"/>
      <c r="AG108" s="367"/>
      <c r="AH108" s="366"/>
      <c r="AI108" s="367"/>
      <c r="AJ108" s="366">
        <f t="shared" si="140"/>
        <v>35</v>
      </c>
      <c r="AK108" s="367">
        <f t="shared" si="126"/>
        <v>15484.875</v>
      </c>
      <c r="AL108" s="366">
        <f t="shared" si="127"/>
        <v>35</v>
      </c>
      <c r="AM108" s="367">
        <f t="shared" si="128"/>
        <v>116136.5625</v>
      </c>
      <c r="AN108" s="366" t="str">
        <f t="shared" si="142"/>
        <v>Педагог-модератор</v>
      </c>
      <c r="AO108" s="367" t="str">
        <f t="shared" si="129"/>
        <v>0</v>
      </c>
      <c r="AP108" s="367" t="str">
        <f t="shared" si="130"/>
        <v>0</v>
      </c>
      <c r="AQ108" s="367" t="str">
        <f t="shared" si="131"/>
        <v>0</v>
      </c>
      <c r="AR108" s="367">
        <f t="shared" si="132"/>
        <v>116136.5625</v>
      </c>
      <c r="AS108" s="366"/>
      <c r="AT108" s="367"/>
      <c r="AU108" s="371"/>
      <c r="AV108" s="367"/>
      <c r="AW108" s="371" t="str">
        <f>G108</f>
        <v>Магистр образования (ин.язык)</v>
      </c>
      <c r="AX108" s="372">
        <f>10*4335</f>
        <v>43350</v>
      </c>
      <c r="AY108" s="367"/>
      <c r="AZ108" s="367">
        <f t="shared" si="133"/>
        <v>346687.640625</v>
      </c>
      <c r="BA108" s="373">
        <f t="shared" si="134"/>
        <v>733809.515625</v>
      </c>
      <c r="BB108" s="374">
        <f t="shared" si="65"/>
        <v>73380.951562500006</v>
      </c>
      <c r="BC108" s="374">
        <f t="shared" si="66"/>
        <v>14676.190312500001</v>
      </c>
      <c r="BD108" s="374">
        <f t="shared" si="135"/>
        <v>58506.237375000004</v>
      </c>
      <c r="BE108" s="374">
        <f t="shared" si="68"/>
        <v>587246.136375</v>
      </c>
      <c r="BF108" s="374">
        <f t="shared" si="69"/>
        <v>8805714.1875</v>
      </c>
      <c r="BG108" s="374">
        <f t="shared" si="136"/>
        <v>774243.75</v>
      </c>
      <c r="BH108" s="374">
        <f t="shared" si="71"/>
        <v>9579957.9375</v>
      </c>
      <c r="BI108" s="374">
        <f t="shared" si="72"/>
        <v>431098.10718750005</v>
      </c>
      <c r="BJ108" s="374">
        <f t="shared" si="73"/>
        <v>264171.42562499997</v>
      </c>
      <c r="BK108" s="374">
        <f t="shared" si="74"/>
        <v>497945.15741250006</v>
      </c>
      <c r="BL108" s="374">
        <f t="shared" si="141"/>
        <v>431098.10718749999</v>
      </c>
      <c r="BM108" s="373">
        <f t="shared" si="75"/>
        <v>11204270.7349125</v>
      </c>
      <c r="BN108" s="375"/>
      <c r="BO108" s="377"/>
      <c r="BP108" s="377"/>
      <c r="BQ108" s="377"/>
      <c r="BR108" s="377"/>
      <c r="BS108" s="377"/>
      <c r="BT108" s="377"/>
      <c r="BU108" s="377"/>
      <c r="BV108" s="377"/>
      <c r="BW108" s="377"/>
      <c r="BX108" s="377"/>
      <c r="BY108" s="377"/>
      <c r="BZ108" s="377"/>
      <c r="CA108" s="377"/>
      <c r="CB108" s="377"/>
      <c r="CC108" s="377"/>
      <c r="CD108" s="377"/>
      <c r="CE108" s="377"/>
      <c r="CF108" s="377"/>
      <c r="CG108" s="377"/>
      <c r="CH108" s="377"/>
      <c r="CI108" s="377"/>
    </row>
    <row r="109" spans="1:87" ht="45">
      <c r="A109" s="369">
        <f t="shared" si="137"/>
        <v>69</v>
      </c>
      <c r="B109" s="416">
        <f t="shared" si="137"/>
        <v>7</v>
      </c>
      <c r="C109" s="477" t="s">
        <v>1181</v>
      </c>
      <c r="D109" s="412" t="s">
        <v>1182</v>
      </c>
      <c r="E109" s="366" t="s">
        <v>998</v>
      </c>
      <c r="F109" s="366"/>
      <c r="G109" s="366" t="s">
        <v>1046</v>
      </c>
      <c r="H109" s="371" t="s">
        <v>1429</v>
      </c>
      <c r="I109" s="366">
        <v>17697</v>
      </c>
      <c r="J109" s="367">
        <v>9.5</v>
      </c>
      <c r="K109" s="367">
        <f t="shared" si="120"/>
        <v>168121.5</v>
      </c>
      <c r="L109" s="380">
        <v>15</v>
      </c>
      <c r="M109" s="380"/>
      <c r="N109" s="380"/>
      <c r="O109" s="380"/>
      <c r="P109" s="380"/>
      <c r="Q109" s="368">
        <f t="shared" si="121"/>
        <v>15</v>
      </c>
      <c r="R109" s="380">
        <v>10</v>
      </c>
      <c r="S109" s="380"/>
      <c r="T109" s="380"/>
      <c r="U109" s="380"/>
      <c r="V109" s="380"/>
      <c r="W109" s="381">
        <f t="shared" ref="W109:W110" si="143">SUM(R109:V109)</f>
        <v>10</v>
      </c>
      <c r="X109" s="370">
        <f t="shared" si="123"/>
        <v>25</v>
      </c>
      <c r="Y109" s="367">
        <f t="shared" si="124"/>
        <v>262689.84375</v>
      </c>
      <c r="Z109" s="367">
        <f t="shared" si="125"/>
        <v>26268.984375</v>
      </c>
      <c r="AA109" s="366">
        <v>0</v>
      </c>
      <c r="AB109" s="367">
        <f t="shared" si="138"/>
        <v>0</v>
      </c>
      <c r="AC109" s="372">
        <v>25</v>
      </c>
      <c r="AD109" s="367">
        <f t="shared" si="139"/>
        <v>6912.890625</v>
      </c>
      <c r="AE109" s="366"/>
      <c r="AF109" s="366"/>
      <c r="AG109" s="367"/>
      <c r="AH109" s="366"/>
      <c r="AI109" s="367"/>
      <c r="AJ109" s="366">
        <f t="shared" si="140"/>
        <v>25</v>
      </c>
      <c r="AK109" s="367">
        <f t="shared" si="126"/>
        <v>11060.625</v>
      </c>
      <c r="AL109" s="366">
        <f t="shared" si="127"/>
        <v>25</v>
      </c>
      <c r="AM109" s="367">
        <f t="shared" si="128"/>
        <v>78806.953125</v>
      </c>
      <c r="AN109" s="366">
        <f t="shared" si="142"/>
        <v>0</v>
      </c>
      <c r="AO109" s="367" t="str">
        <f t="shared" si="129"/>
        <v>0</v>
      </c>
      <c r="AP109" s="367" t="str">
        <f t="shared" si="130"/>
        <v>0</v>
      </c>
      <c r="AQ109" s="367" t="str">
        <f t="shared" si="131"/>
        <v>0</v>
      </c>
      <c r="AR109" s="367" t="str">
        <f t="shared" si="132"/>
        <v>0</v>
      </c>
      <c r="AS109" s="366"/>
      <c r="AT109" s="367"/>
      <c r="AU109" s="371"/>
      <c r="AV109" s="367"/>
      <c r="AW109" s="371" t="str">
        <f t="shared" ref="AW109" si="144">G109</f>
        <v>Магистр педагогических наук</v>
      </c>
      <c r="AX109" s="372">
        <f>10*4335</f>
        <v>43350</v>
      </c>
      <c r="AY109" s="367"/>
      <c r="AZ109" s="367">
        <f t="shared" si="133"/>
        <v>166399.453125</v>
      </c>
      <c r="BA109" s="373">
        <f t="shared" si="134"/>
        <v>429089.296875</v>
      </c>
      <c r="BB109" s="374">
        <f t="shared" si="65"/>
        <v>42908.9296875</v>
      </c>
      <c r="BC109" s="374">
        <f t="shared" si="66"/>
        <v>8581.7859375000007</v>
      </c>
      <c r="BD109" s="374">
        <f t="shared" si="135"/>
        <v>31690.858124999999</v>
      </c>
      <c r="BE109" s="374">
        <f t="shared" si="68"/>
        <v>345907.72312500002</v>
      </c>
      <c r="BF109" s="374">
        <f t="shared" si="69"/>
        <v>5149071.5625</v>
      </c>
      <c r="BG109" s="374">
        <f t="shared" si="136"/>
        <v>525379.6875</v>
      </c>
      <c r="BH109" s="374">
        <f t="shared" si="71"/>
        <v>5674451.25</v>
      </c>
      <c r="BI109" s="374">
        <f t="shared" si="72"/>
        <v>255350.30625000002</v>
      </c>
      <c r="BJ109" s="374">
        <f t="shared" si="73"/>
        <v>154472.14687500001</v>
      </c>
      <c r="BK109" s="374">
        <f t="shared" si="74"/>
        <v>295092.41006249993</v>
      </c>
      <c r="BL109" s="374">
        <f t="shared" si="141"/>
        <v>255350.30624999999</v>
      </c>
      <c r="BM109" s="373">
        <f t="shared" si="75"/>
        <v>6634716.4194375006</v>
      </c>
      <c r="BN109" s="375"/>
      <c r="BO109" s="377"/>
      <c r="BP109" s="377"/>
      <c r="BQ109" s="377"/>
      <c r="BR109" s="377"/>
      <c r="BS109" s="377"/>
      <c r="BT109" s="377"/>
      <c r="BU109" s="377"/>
      <c r="BV109" s="377"/>
      <c r="BW109" s="377"/>
      <c r="BX109" s="377"/>
      <c r="BY109" s="377"/>
      <c r="BZ109" s="377"/>
      <c r="CA109" s="377"/>
      <c r="CB109" s="377"/>
      <c r="CC109" s="377"/>
      <c r="CD109" s="377"/>
      <c r="CE109" s="377"/>
      <c r="CF109" s="377"/>
      <c r="CG109" s="377"/>
      <c r="CH109" s="377"/>
      <c r="CI109" s="377"/>
    </row>
    <row r="110" spans="1:87" ht="31.5">
      <c r="A110" s="369">
        <f t="shared" si="137"/>
        <v>70</v>
      </c>
      <c r="B110" s="416">
        <f t="shared" si="137"/>
        <v>8</v>
      </c>
      <c r="C110" s="477" t="s">
        <v>1183</v>
      </c>
      <c r="D110" s="412" t="s">
        <v>1184</v>
      </c>
      <c r="E110" s="366" t="s">
        <v>998</v>
      </c>
      <c r="F110" s="366" t="s">
        <v>254</v>
      </c>
      <c r="G110" s="366"/>
      <c r="H110" s="371" t="s">
        <v>1430</v>
      </c>
      <c r="I110" s="366">
        <v>17697</v>
      </c>
      <c r="J110" s="367">
        <v>10</v>
      </c>
      <c r="K110" s="367">
        <f t="shared" si="120"/>
        <v>176970</v>
      </c>
      <c r="L110" s="380">
        <v>15</v>
      </c>
      <c r="M110" s="380">
        <v>6</v>
      </c>
      <c r="N110" s="380"/>
      <c r="O110" s="380"/>
      <c r="P110" s="380"/>
      <c r="Q110" s="368">
        <f t="shared" si="121"/>
        <v>21</v>
      </c>
      <c r="R110" s="380">
        <v>10</v>
      </c>
      <c r="S110" s="380">
        <v>4</v>
      </c>
      <c r="T110" s="380"/>
      <c r="U110" s="380"/>
      <c r="V110" s="380"/>
      <c r="W110" s="381">
        <f t="shared" si="143"/>
        <v>14</v>
      </c>
      <c r="X110" s="370">
        <f t="shared" si="123"/>
        <v>35</v>
      </c>
      <c r="Y110" s="367">
        <f t="shared" si="124"/>
        <v>387121.875</v>
      </c>
      <c r="Z110" s="367">
        <f t="shared" si="125"/>
        <v>38712.1875</v>
      </c>
      <c r="AA110" s="366">
        <v>0</v>
      </c>
      <c r="AB110" s="367">
        <f t="shared" si="138"/>
        <v>0</v>
      </c>
      <c r="AC110" s="372">
        <v>35</v>
      </c>
      <c r="AD110" s="367">
        <f t="shared" si="139"/>
        <v>9678.046875</v>
      </c>
      <c r="AE110" s="366"/>
      <c r="AF110" s="366"/>
      <c r="AG110" s="367"/>
      <c r="AH110" s="366"/>
      <c r="AI110" s="367"/>
      <c r="AJ110" s="366">
        <f t="shared" si="140"/>
        <v>35</v>
      </c>
      <c r="AK110" s="367">
        <f t="shared" si="126"/>
        <v>15484.875</v>
      </c>
      <c r="AL110" s="366">
        <f t="shared" si="127"/>
        <v>35</v>
      </c>
      <c r="AM110" s="367">
        <f t="shared" si="128"/>
        <v>116136.5625</v>
      </c>
      <c r="AN110" s="366" t="str">
        <f t="shared" si="142"/>
        <v>Педагог-модератор</v>
      </c>
      <c r="AO110" s="367" t="str">
        <f t="shared" si="129"/>
        <v>0</v>
      </c>
      <c r="AP110" s="367" t="str">
        <f t="shared" si="130"/>
        <v>0</v>
      </c>
      <c r="AQ110" s="367" t="str">
        <f t="shared" si="131"/>
        <v>0</v>
      </c>
      <c r="AR110" s="367">
        <f t="shared" si="132"/>
        <v>116136.5625</v>
      </c>
      <c r="AS110" s="366"/>
      <c r="AT110" s="367"/>
      <c r="AU110" s="371"/>
      <c r="AV110" s="367"/>
      <c r="AW110" s="371"/>
      <c r="AX110" s="372"/>
      <c r="AY110" s="367"/>
      <c r="AZ110" s="367">
        <f t="shared" si="133"/>
        <v>296148.234375</v>
      </c>
      <c r="BA110" s="373">
        <f t="shared" si="134"/>
        <v>683270.109375</v>
      </c>
      <c r="BB110" s="374">
        <f t="shared" si="65"/>
        <v>68327.010937500003</v>
      </c>
      <c r="BC110" s="374">
        <f t="shared" si="66"/>
        <v>13665.4021875</v>
      </c>
      <c r="BD110" s="374">
        <f t="shared" si="135"/>
        <v>54058.769624999994</v>
      </c>
      <c r="BE110" s="374">
        <f t="shared" si="68"/>
        <v>547218.92662499996</v>
      </c>
      <c r="BF110" s="374">
        <f t="shared" si="69"/>
        <v>8199241.3125</v>
      </c>
      <c r="BG110" s="374">
        <f t="shared" si="136"/>
        <v>774243.75</v>
      </c>
      <c r="BH110" s="374">
        <f t="shared" si="71"/>
        <v>8973485.0625</v>
      </c>
      <c r="BI110" s="374">
        <f t="shared" si="72"/>
        <v>403806.82781250007</v>
      </c>
      <c r="BJ110" s="374">
        <f t="shared" si="73"/>
        <v>245977.239375</v>
      </c>
      <c r="BK110" s="374">
        <f t="shared" si="74"/>
        <v>466529.86248749995</v>
      </c>
      <c r="BL110" s="374">
        <f t="shared" si="141"/>
        <v>403806.82781250001</v>
      </c>
      <c r="BM110" s="373">
        <f t="shared" si="75"/>
        <v>10493605.819987502</v>
      </c>
      <c r="BN110" s="375"/>
      <c r="BO110" s="377"/>
      <c r="BP110" s="377"/>
      <c r="BQ110" s="377"/>
      <c r="BR110" s="377"/>
      <c r="BS110" s="377"/>
      <c r="BT110" s="377"/>
      <c r="BU110" s="377"/>
      <c r="BV110" s="377"/>
      <c r="BW110" s="377"/>
      <c r="BX110" s="377"/>
      <c r="BY110" s="377"/>
      <c r="BZ110" s="377"/>
      <c r="CA110" s="377"/>
      <c r="CB110" s="377"/>
      <c r="CC110" s="377"/>
      <c r="CD110" s="377"/>
      <c r="CE110" s="377"/>
      <c r="CF110" s="377"/>
      <c r="CG110" s="377"/>
      <c r="CH110" s="377"/>
      <c r="CI110" s="377"/>
    </row>
    <row r="111" spans="1:87" ht="31.5">
      <c r="A111" s="369">
        <f t="shared" si="137"/>
        <v>71</v>
      </c>
      <c r="B111" s="416">
        <f t="shared" si="137"/>
        <v>9</v>
      </c>
      <c r="C111" s="409" t="s">
        <v>1185</v>
      </c>
      <c r="D111" s="412" t="s">
        <v>1186</v>
      </c>
      <c r="E111" s="366" t="s">
        <v>998</v>
      </c>
      <c r="F111" s="366"/>
      <c r="G111" s="366"/>
      <c r="H111" s="371" t="s">
        <v>1187</v>
      </c>
      <c r="I111" s="366">
        <v>17697</v>
      </c>
      <c r="J111" s="367">
        <v>11.4</v>
      </c>
      <c r="K111" s="367">
        <f t="shared" si="120"/>
        <v>201745.80000000002</v>
      </c>
      <c r="L111" s="380"/>
      <c r="M111" s="380">
        <v>3</v>
      </c>
      <c r="N111" s="380"/>
      <c r="O111" s="380"/>
      <c r="P111" s="380"/>
      <c r="Q111" s="368">
        <f t="shared" si="121"/>
        <v>3</v>
      </c>
      <c r="R111" s="380"/>
      <c r="S111" s="380">
        <v>2</v>
      </c>
      <c r="T111" s="380"/>
      <c r="U111" s="380"/>
      <c r="V111" s="380"/>
      <c r="W111" s="381">
        <f t="shared" si="122"/>
        <v>2</v>
      </c>
      <c r="X111" s="370">
        <f t="shared" si="123"/>
        <v>5</v>
      </c>
      <c r="Y111" s="367">
        <f t="shared" si="124"/>
        <v>63045.562500000007</v>
      </c>
      <c r="Z111" s="367">
        <f t="shared" si="125"/>
        <v>6304.5562500000015</v>
      </c>
      <c r="AA111" s="366">
        <v>5</v>
      </c>
      <c r="AB111" s="367">
        <f t="shared" si="138"/>
        <v>2765.15625</v>
      </c>
      <c r="AC111" s="366">
        <v>0</v>
      </c>
      <c r="AD111" s="367">
        <f t="shared" si="139"/>
        <v>0</v>
      </c>
      <c r="AE111" s="366"/>
      <c r="AF111" s="366"/>
      <c r="AG111" s="367"/>
      <c r="AH111" s="366"/>
      <c r="AI111" s="367"/>
      <c r="AJ111" s="366">
        <f t="shared" si="140"/>
        <v>5</v>
      </c>
      <c r="AK111" s="367">
        <f t="shared" si="126"/>
        <v>2212.125</v>
      </c>
      <c r="AL111" s="366">
        <f t="shared" si="127"/>
        <v>5</v>
      </c>
      <c r="AM111" s="367">
        <f t="shared" si="128"/>
        <v>18913.668750000001</v>
      </c>
      <c r="AN111" s="366">
        <f t="shared" si="142"/>
        <v>0</v>
      </c>
      <c r="AO111" s="367" t="str">
        <f t="shared" si="129"/>
        <v>0</v>
      </c>
      <c r="AP111" s="367" t="str">
        <f t="shared" si="130"/>
        <v>0</v>
      </c>
      <c r="AQ111" s="367" t="str">
        <f t="shared" si="131"/>
        <v>0</v>
      </c>
      <c r="AR111" s="367" t="str">
        <f t="shared" si="132"/>
        <v>0</v>
      </c>
      <c r="AS111" s="366"/>
      <c r="AT111" s="367"/>
      <c r="AU111" s="371"/>
      <c r="AV111" s="367"/>
      <c r="AW111" s="371"/>
      <c r="AX111" s="372"/>
      <c r="AY111" s="367"/>
      <c r="AZ111" s="367">
        <f t="shared" si="133"/>
        <v>30195.506250000002</v>
      </c>
      <c r="BA111" s="373">
        <f t="shared" si="134"/>
        <v>93241.068750000006</v>
      </c>
      <c r="BB111" s="374">
        <f t="shared" si="65"/>
        <v>9324.1068750000013</v>
      </c>
      <c r="BC111" s="374">
        <f t="shared" si="66"/>
        <v>1864.8213750000002</v>
      </c>
      <c r="BD111" s="374">
        <f t="shared" si="135"/>
        <v>2136.214050000001</v>
      </c>
      <c r="BE111" s="374">
        <f t="shared" si="68"/>
        <v>79915.926450000014</v>
      </c>
      <c r="BF111" s="374">
        <f t="shared" si="69"/>
        <v>1118892.8250000002</v>
      </c>
      <c r="BG111" s="374">
        <f t="shared" si="136"/>
        <v>126091.12500000001</v>
      </c>
      <c r="BH111" s="374">
        <f t="shared" si="71"/>
        <v>1244983.9500000002</v>
      </c>
      <c r="BI111" s="374">
        <f t="shared" si="72"/>
        <v>56024.277750000008</v>
      </c>
      <c r="BJ111" s="374">
        <f t="shared" si="73"/>
        <v>33566.784750000006</v>
      </c>
      <c r="BK111" s="374">
        <f t="shared" si="74"/>
        <v>64767.56908500001</v>
      </c>
      <c r="BL111" s="374">
        <f t="shared" si="141"/>
        <v>56024.277750000008</v>
      </c>
      <c r="BM111" s="373">
        <f t="shared" si="75"/>
        <v>1455366.8593350002</v>
      </c>
      <c r="BN111" s="375"/>
      <c r="BO111" s="377"/>
      <c r="BP111" s="377"/>
      <c r="BQ111" s="377"/>
      <c r="BR111" s="377"/>
      <c r="BS111" s="377"/>
      <c r="BT111" s="377"/>
      <c r="BU111" s="377"/>
      <c r="BV111" s="377"/>
      <c r="BW111" s="377"/>
      <c r="BX111" s="377"/>
      <c r="BY111" s="377"/>
      <c r="BZ111" s="377"/>
      <c r="CA111" s="377"/>
      <c r="CB111" s="377"/>
      <c r="CC111" s="377"/>
      <c r="CD111" s="377"/>
      <c r="CE111" s="377"/>
      <c r="CF111" s="377"/>
      <c r="CG111" s="377"/>
      <c r="CH111" s="377"/>
      <c r="CI111" s="377"/>
    </row>
    <row r="112" spans="1:87" ht="75">
      <c r="A112" s="369">
        <f t="shared" si="137"/>
        <v>72</v>
      </c>
      <c r="B112" s="416">
        <f t="shared" si="137"/>
        <v>10</v>
      </c>
      <c r="C112" s="409" t="s">
        <v>1188</v>
      </c>
      <c r="D112" s="412" t="s">
        <v>1189</v>
      </c>
      <c r="E112" s="366" t="s">
        <v>998</v>
      </c>
      <c r="F112" s="366" t="s">
        <v>1005</v>
      </c>
      <c r="G112" s="366" t="s">
        <v>1190</v>
      </c>
      <c r="H112" s="371" t="s">
        <v>1431</v>
      </c>
      <c r="I112" s="366">
        <v>17697</v>
      </c>
      <c r="J112" s="367">
        <v>10.82</v>
      </c>
      <c r="K112" s="367">
        <f t="shared" si="120"/>
        <v>191481.54</v>
      </c>
      <c r="L112" s="380"/>
      <c r="M112" s="380"/>
      <c r="N112" s="380">
        <v>21</v>
      </c>
      <c r="O112" s="380"/>
      <c r="P112" s="380"/>
      <c r="Q112" s="368">
        <f t="shared" si="121"/>
        <v>21</v>
      </c>
      <c r="R112" s="380"/>
      <c r="S112" s="380"/>
      <c r="T112" s="380">
        <v>14</v>
      </c>
      <c r="U112" s="380"/>
      <c r="V112" s="380"/>
      <c r="W112" s="381">
        <f t="shared" si="122"/>
        <v>14</v>
      </c>
      <c r="X112" s="370">
        <f t="shared" si="123"/>
        <v>35</v>
      </c>
      <c r="Y112" s="367">
        <f t="shared" si="124"/>
        <v>418865.86875000002</v>
      </c>
      <c r="Z112" s="367">
        <f t="shared" si="125"/>
        <v>41886.586875000008</v>
      </c>
      <c r="AA112" s="366">
        <v>35</v>
      </c>
      <c r="AB112" s="367">
        <f t="shared" si="138"/>
        <v>19356.09375</v>
      </c>
      <c r="AC112" s="366">
        <v>0</v>
      </c>
      <c r="AD112" s="367">
        <f t="shared" si="139"/>
        <v>0</v>
      </c>
      <c r="AE112" s="366"/>
      <c r="AF112" s="366" t="s">
        <v>260</v>
      </c>
      <c r="AG112" s="367">
        <f>17697*20%</f>
        <v>3539.4</v>
      </c>
      <c r="AH112" s="366"/>
      <c r="AI112" s="367"/>
      <c r="AJ112" s="366">
        <f t="shared" si="140"/>
        <v>35</v>
      </c>
      <c r="AK112" s="367">
        <f t="shared" si="126"/>
        <v>15484.875</v>
      </c>
      <c r="AL112" s="366">
        <f t="shared" si="127"/>
        <v>35</v>
      </c>
      <c r="AM112" s="367">
        <f t="shared" si="128"/>
        <v>125659.760625</v>
      </c>
      <c r="AN112" s="366" t="str">
        <f t="shared" si="142"/>
        <v>Педагог-зерттеуші</v>
      </c>
      <c r="AO112" s="367" t="str">
        <f t="shared" si="129"/>
        <v>0</v>
      </c>
      <c r="AP112" s="367">
        <f t="shared" si="130"/>
        <v>167546.34750000003</v>
      </c>
      <c r="AQ112" s="367" t="str">
        <f t="shared" si="131"/>
        <v>0</v>
      </c>
      <c r="AR112" s="367" t="str">
        <f t="shared" si="132"/>
        <v>0</v>
      </c>
      <c r="AS112" s="366"/>
      <c r="AT112" s="367"/>
      <c r="AU112" s="371"/>
      <c r="AV112" s="367"/>
      <c r="AW112" s="371" t="str">
        <f>G112</f>
        <v>Магистр-иностранный язык (два инностранных языка)</v>
      </c>
      <c r="AX112" s="372">
        <f>10*4335</f>
        <v>43350</v>
      </c>
      <c r="AY112" s="367"/>
      <c r="AZ112" s="367">
        <f t="shared" si="133"/>
        <v>416823.06375000003</v>
      </c>
      <c r="BA112" s="373">
        <f t="shared" si="134"/>
        <v>835688.93250000011</v>
      </c>
      <c r="BB112" s="374">
        <f t="shared" si="65"/>
        <v>83568.893250000023</v>
      </c>
      <c r="BC112" s="374">
        <f t="shared" si="66"/>
        <v>16713.778650000004</v>
      </c>
      <c r="BD112" s="374">
        <f t="shared" si="135"/>
        <v>67471.626060000024</v>
      </c>
      <c r="BE112" s="374">
        <f t="shared" si="68"/>
        <v>667934.63454000012</v>
      </c>
      <c r="BF112" s="374">
        <f t="shared" si="69"/>
        <v>10028267.190000001</v>
      </c>
      <c r="BG112" s="374">
        <f t="shared" si="136"/>
        <v>837731.73750000005</v>
      </c>
      <c r="BH112" s="374">
        <f t="shared" si="71"/>
        <v>10865998.927500002</v>
      </c>
      <c r="BI112" s="374">
        <f t="shared" si="72"/>
        <v>488969.95173750009</v>
      </c>
      <c r="BJ112" s="374">
        <f t="shared" si="73"/>
        <v>300848.01570000005</v>
      </c>
      <c r="BK112" s="374">
        <f t="shared" si="74"/>
        <v>564701.75426700013</v>
      </c>
      <c r="BL112" s="374">
        <f t="shared" si="141"/>
        <v>488969.95173750009</v>
      </c>
      <c r="BM112" s="373">
        <f t="shared" si="75"/>
        <v>12709488.600942003</v>
      </c>
      <c r="BN112" s="375"/>
      <c r="BO112" s="377"/>
      <c r="BP112" s="377"/>
      <c r="BQ112" s="377"/>
      <c r="BR112" s="377"/>
      <c r="BS112" s="377"/>
      <c r="BT112" s="377"/>
      <c r="BU112" s="377"/>
      <c r="BV112" s="377"/>
      <c r="BW112" s="377"/>
      <c r="BX112" s="377"/>
      <c r="BY112" s="377"/>
      <c r="BZ112" s="377"/>
      <c r="CA112" s="377"/>
      <c r="CB112" s="377"/>
      <c r="CC112" s="377"/>
      <c r="CD112" s="377"/>
      <c r="CE112" s="377"/>
      <c r="CF112" s="377"/>
      <c r="CG112" s="377"/>
      <c r="CH112" s="377"/>
      <c r="CI112" s="377"/>
    </row>
    <row r="113" spans="1:87" ht="31.5">
      <c r="A113" s="369">
        <f t="shared" si="137"/>
        <v>73</v>
      </c>
      <c r="B113" s="416">
        <f t="shared" si="137"/>
        <v>11</v>
      </c>
      <c r="C113" s="409" t="s">
        <v>1191</v>
      </c>
      <c r="D113" s="412" t="s">
        <v>1192</v>
      </c>
      <c r="E113" s="366" t="s">
        <v>998</v>
      </c>
      <c r="F113" s="366" t="s">
        <v>1011</v>
      </c>
      <c r="G113" s="366"/>
      <c r="H113" s="371" t="s">
        <v>1432</v>
      </c>
      <c r="I113" s="366">
        <v>17697</v>
      </c>
      <c r="J113" s="367">
        <v>11.4</v>
      </c>
      <c r="K113" s="367">
        <f t="shared" si="120"/>
        <v>201745.80000000002</v>
      </c>
      <c r="L113" s="380">
        <v>15</v>
      </c>
      <c r="M113" s="380">
        <v>6</v>
      </c>
      <c r="N113" s="380"/>
      <c r="O113" s="380"/>
      <c r="P113" s="380"/>
      <c r="Q113" s="368">
        <f t="shared" si="121"/>
        <v>21</v>
      </c>
      <c r="R113" s="380">
        <v>10</v>
      </c>
      <c r="S113" s="380">
        <v>4</v>
      </c>
      <c r="T113" s="380"/>
      <c r="U113" s="380"/>
      <c r="V113" s="380"/>
      <c r="W113" s="381">
        <f t="shared" si="122"/>
        <v>14</v>
      </c>
      <c r="X113" s="370">
        <f t="shared" si="123"/>
        <v>35</v>
      </c>
      <c r="Y113" s="367">
        <f t="shared" si="124"/>
        <v>441318.93750000006</v>
      </c>
      <c r="Z113" s="367">
        <f t="shared" si="125"/>
        <v>44131.89375000001</v>
      </c>
      <c r="AA113" s="366">
        <v>10</v>
      </c>
      <c r="AB113" s="367">
        <f t="shared" si="138"/>
        <v>5530.3125</v>
      </c>
      <c r="AC113" s="366">
        <v>25</v>
      </c>
      <c r="AD113" s="367">
        <f t="shared" si="139"/>
        <v>6912.890625</v>
      </c>
      <c r="AE113" s="366"/>
      <c r="AF113" s="366"/>
      <c r="AG113" s="367"/>
      <c r="AH113" s="366"/>
      <c r="AI113" s="367"/>
      <c r="AJ113" s="366">
        <f t="shared" si="140"/>
        <v>35</v>
      </c>
      <c r="AK113" s="367">
        <f t="shared" si="126"/>
        <v>15484.875</v>
      </c>
      <c r="AL113" s="366">
        <f t="shared" si="127"/>
        <v>35</v>
      </c>
      <c r="AM113" s="367">
        <f t="shared" si="128"/>
        <v>132395.68125000002</v>
      </c>
      <c r="AN113" s="366" t="str">
        <f t="shared" si="142"/>
        <v>Педагог-сарапшы</v>
      </c>
      <c r="AO113" s="367" t="str">
        <f t="shared" si="129"/>
        <v>0</v>
      </c>
      <c r="AP113" s="367" t="str">
        <f t="shared" si="130"/>
        <v>0</v>
      </c>
      <c r="AQ113" s="367">
        <f t="shared" si="131"/>
        <v>154461.62812500002</v>
      </c>
      <c r="AR113" s="367" t="str">
        <f t="shared" si="132"/>
        <v>0</v>
      </c>
      <c r="AS113" s="366"/>
      <c r="AT113" s="367"/>
      <c r="AU113" s="371"/>
      <c r="AV113" s="367"/>
      <c r="AW113" s="371"/>
      <c r="AX113" s="372"/>
      <c r="AY113" s="367"/>
      <c r="AZ113" s="367">
        <f t="shared" si="133"/>
        <v>358917.28125000006</v>
      </c>
      <c r="BA113" s="373">
        <f t="shared" si="134"/>
        <v>800236.21875000012</v>
      </c>
      <c r="BB113" s="374">
        <f t="shared" si="65"/>
        <v>80023.621875000012</v>
      </c>
      <c r="BC113" s="374">
        <f t="shared" si="66"/>
        <v>16004.724375000003</v>
      </c>
      <c r="BD113" s="374">
        <f t="shared" si="135"/>
        <v>64351.787250000008</v>
      </c>
      <c r="BE113" s="374">
        <f t="shared" si="68"/>
        <v>639856.08525</v>
      </c>
      <c r="BF113" s="374">
        <f t="shared" si="69"/>
        <v>9602834.6250000019</v>
      </c>
      <c r="BG113" s="374">
        <f t="shared" si="136"/>
        <v>882637.87500000012</v>
      </c>
      <c r="BH113" s="374">
        <f t="shared" si="71"/>
        <v>10485472.500000002</v>
      </c>
      <c r="BI113" s="374">
        <f t="shared" si="72"/>
        <v>471846.26250000013</v>
      </c>
      <c r="BJ113" s="374">
        <f t="shared" si="73"/>
        <v>288085.03875000007</v>
      </c>
      <c r="BK113" s="374">
        <f t="shared" si="74"/>
        <v>545089.27882499993</v>
      </c>
      <c r="BL113" s="374">
        <f t="shared" si="141"/>
        <v>471846.26250000007</v>
      </c>
      <c r="BM113" s="373">
        <f t="shared" si="75"/>
        <v>12262339.342575001</v>
      </c>
      <c r="BN113" s="375"/>
      <c r="BO113" s="377"/>
      <c r="BP113" s="377"/>
      <c r="BQ113" s="377"/>
      <c r="BR113" s="377"/>
      <c r="BS113" s="377"/>
      <c r="BT113" s="377"/>
      <c r="BU113" s="377"/>
      <c r="BV113" s="377"/>
      <c r="BW113" s="377"/>
      <c r="BX113" s="377"/>
      <c r="BY113" s="377"/>
      <c r="BZ113" s="377"/>
      <c r="CA113" s="377"/>
      <c r="CB113" s="377"/>
      <c r="CC113" s="377"/>
      <c r="CD113" s="377"/>
      <c r="CE113" s="377"/>
      <c r="CF113" s="377"/>
      <c r="CG113" s="377"/>
      <c r="CH113" s="377"/>
      <c r="CI113" s="377"/>
    </row>
    <row r="114" spans="1:87" ht="94.5">
      <c r="A114" s="369">
        <f t="shared" si="137"/>
        <v>74</v>
      </c>
      <c r="B114" s="416">
        <f t="shared" si="137"/>
        <v>12</v>
      </c>
      <c r="C114" s="473" t="s">
        <v>912</v>
      </c>
      <c r="D114" s="421" t="s">
        <v>1193</v>
      </c>
      <c r="E114" s="366" t="s">
        <v>998</v>
      </c>
      <c r="F114" s="366" t="s">
        <v>254</v>
      </c>
      <c r="G114" s="393" t="s">
        <v>1190</v>
      </c>
      <c r="H114" s="478" t="s">
        <v>278</v>
      </c>
      <c r="I114" s="393">
        <v>17697</v>
      </c>
      <c r="J114" s="479">
        <v>10</v>
      </c>
      <c r="K114" s="479">
        <f t="shared" si="120"/>
        <v>176970</v>
      </c>
      <c r="L114" s="430"/>
      <c r="M114" s="430"/>
      <c r="N114" s="430">
        <v>6</v>
      </c>
      <c r="O114" s="430">
        <v>15</v>
      </c>
      <c r="P114" s="430"/>
      <c r="Q114" s="368">
        <f t="shared" si="121"/>
        <v>21</v>
      </c>
      <c r="R114" s="430"/>
      <c r="S114" s="430"/>
      <c r="T114" s="430">
        <v>4</v>
      </c>
      <c r="U114" s="430">
        <v>8</v>
      </c>
      <c r="V114" s="430"/>
      <c r="W114" s="381">
        <f t="shared" si="122"/>
        <v>12</v>
      </c>
      <c r="X114" s="370">
        <f t="shared" si="123"/>
        <v>33</v>
      </c>
      <c r="Y114" s="479">
        <f t="shared" si="124"/>
        <v>365000.625</v>
      </c>
      <c r="Z114" s="367">
        <f t="shared" si="125"/>
        <v>36500.0625</v>
      </c>
      <c r="AA114" s="366">
        <v>25</v>
      </c>
      <c r="AB114" s="367">
        <f t="shared" si="138"/>
        <v>13825.78125</v>
      </c>
      <c r="AC114" s="366">
        <v>4</v>
      </c>
      <c r="AD114" s="367">
        <f t="shared" si="139"/>
        <v>1106.0625</v>
      </c>
      <c r="AE114" s="393"/>
      <c r="AF114" s="366" t="s">
        <v>1194</v>
      </c>
      <c r="AG114" s="367">
        <f>17697*20%</f>
        <v>3539.4</v>
      </c>
      <c r="AH114" s="393"/>
      <c r="AI114" s="479"/>
      <c r="AJ114" s="366">
        <f t="shared" si="140"/>
        <v>33</v>
      </c>
      <c r="AK114" s="479">
        <f t="shared" si="126"/>
        <v>14600.025000000001</v>
      </c>
      <c r="AL114" s="393">
        <f t="shared" si="127"/>
        <v>33</v>
      </c>
      <c r="AM114" s="479">
        <f t="shared" si="128"/>
        <v>109500.1875</v>
      </c>
      <c r="AN114" s="393" t="str">
        <f t="shared" si="142"/>
        <v>Педагог-модератор</v>
      </c>
      <c r="AO114" s="479" t="str">
        <f t="shared" si="129"/>
        <v>0</v>
      </c>
      <c r="AP114" s="479" t="str">
        <f t="shared" si="130"/>
        <v>0</v>
      </c>
      <c r="AQ114" s="479" t="str">
        <f t="shared" si="131"/>
        <v>0</v>
      </c>
      <c r="AR114" s="479">
        <f t="shared" si="132"/>
        <v>109500.1875</v>
      </c>
      <c r="AS114" s="393"/>
      <c r="AT114" s="479"/>
      <c r="AU114" s="478"/>
      <c r="AV114" s="479"/>
      <c r="AW114" s="478" t="str">
        <f>G114</f>
        <v>Магистр-иностранный язык (два инностранных языка)</v>
      </c>
      <c r="AX114" s="372">
        <f>10*4335</f>
        <v>43350</v>
      </c>
      <c r="AY114" s="479"/>
      <c r="AZ114" s="367">
        <f t="shared" si="133"/>
        <v>331921.70624999999</v>
      </c>
      <c r="BA114" s="373">
        <f t="shared" si="134"/>
        <v>696922.33125000005</v>
      </c>
      <c r="BB114" s="374">
        <f t="shared" si="65"/>
        <v>69692.233125000013</v>
      </c>
      <c r="BC114" s="374">
        <f t="shared" si="66"/>
        <v>13938.446625</v>
      </c>
      <c r="BD114" s="374">
        <f t="shared" si="135"/>
        <v>55260.165150000008</v>
      </c>
      <c r="BE114" s="374">
        <f t="shared" si="68"/>
        <v>558031.48635000002</v>
      </c>
      <c r="BF114" s="374">
        <f t="shared" si="69"/>
        <v>8363067.9750000006</v>
      </c>
      <c r="BG114" s="374">
        <f t="shared" si="136"/>
        <v>730001.25</v>
      </c>
      <c r="BH114" s="374">
        <f t="shared" si="71"/>
        <v>9093069.2250000015</v>
      </c>
      <c r="BI114" s="374">
        <f t="shared" si="72"/>
        <v>409188.11512500007</v>
      </c>
      <c r="BJ114" s="374">
        <f t="shared" si="73"/>
        <v>250892.03925</v>
      </c>
      <c r="BK114" s="374">
        <f t="shared" si="74"/>
        <v>472626.98860500002</v>
      </c>
      <c r="BL114" s="374">
        <f t="shared" si="141"/>
        <v>409188.11512500007</v>
      </c>
      <c r="BM114" s="373">
        <f t="shared" si="75"/>
        <v>10634964.483105002</v>
      </c>
      <c r="BN114" s="480"/>
      <c r="BO114" s="481"/>
      <c r="BP114" s="481"/>
      <c r="BQ114" s="481"/>
      <c r="BR114" s="481"/>
      <c r="BS114" s="481"/>
      <c r="BT114" s="481"/>
      <c r="BU114" s="481"/>
      <c r="BV114" s="481"/>
      <c r="BW114" s="481"/>
      <c r="BX114" s="481"/>
      <c r="BY114" s="481"/>
      <c r="BZ114" s="481"/>
      <c r="CA114" s="481"/>
      <c r="CB114" s="481"/>
      <c r="CC114" s="481"/>
      <c r="CD114" s="481"/>
      <c r="CE114" s="481"/>
      <c r="CF114" s="481"/>
      <c r="CG114" s="481"/>
      <c r="CH114" s="481"/>
      <c r="CI114" s="481"/>
    </row>
    <row r="115" spans="1:87" ht="78.75">
      <c r="A115" s="369">
        <f t="shared" si="137"/>
        <v>75</v>
      </c>
      <c r="B115" s="416">
        <f t="shared" si="137"/>
        <v>13</v>
      </c>
      <c r="C115" s="473" t="s">
        <v>913</v>
      </c>
      <c r="D115" s="421" t="s">
        <v>1195</v>
      </c>
      <c r="E115" s="366" t="s">
        <v>998</v>
      </c>
      <c r="F115" s="366" t="s">
        <v>254</v>
      </c>
      <c r="G115" s="393" t="s">
        <v>1196</v>
      </c>
      <c r="H115" s="478" t="s">
        <v>1433</v>
      </c>
      <c r="I115" s="393">
        <v>17697</v>
      </c>
      <c r="J115" s="479">
        <v>9.5</v>
      </c>
      <c r="K115" s="479">
        <f t="shared" si="120"/>
        <v>168121.5</v>
      </c>
      <c r="L115" s="430"/>
      <c r="M115" s="430">
        <v>12</v>
      </c>
      <c r="N115" s="430"/>
      <c r="O115" s="430">
        <v>6</v>
      </c>
      <c r="P115" s="430"/>
      <c r="Q115" s="368">
        <f t="shared" si="121"/>
        <v>18</v>
      </c>
      <c r="R115" s="430"/>
      <c r="S115" s="430">
        <v>8</v>
      </c>
      <c r="T115" s="430"/>
      <c r="U115" s="380">
        <v>2</v>
      </c>
      <c r="V115" s="430"/>
      <c r="W115" s="381">
        <f t="shared" si="122"/>
        <v>10</v>
      </c>
      <c r="X115" s="370">
        <f t="shared" si="123"/>
        <v>28</v>
      </c>
      <c r="Y115" s="479">
        <f t="shared" si="124"/>
        <v>294212.625</v>
      </c>
      <c r="Z115" s="367">
        <f t="shared" si="125"/>
        <v>29421.262500000001</v>
      </c>
      <c r="AA115" s="366">
        <v>17</v>
      </c>
      <c r="AB115" s="367">
        <f t="shared" si="138"/>
        <v>9401.53125</v>
      </c>
      <c r="AC115" s="366">
        <v>10</v>
      </c>
      <c r="AD115" s="367">
        <f t="shared" si="139"/>
        <v>2765.15625</v>
      </c>
      <c r="AE115" s="393"/>
      <c r="AF115" s="366"/>
      <c r="AG115" s="367"/>
      <c r="AH115" s="366" t="s">
        <v>258</v>
      </c>
      <c r="AI115" s="367">
        <f>I115*200%</f>
        <v>35394</v>
      </c>
      <c r="AJ115" s="366">
        <f t="shared" si="140"/>
        <v>28</v>
      </c>
      <c r="AK115" s="479">
        <f t="shared" si="126"/>
        <v>12387.900000000001</v>
      </c>
      <c r="AL115" s="393">
        <f t="shared" si="127"/>
        <v>28</v>
      </c>
      <c r="AM115" s="479">
        <f t="shared" si="128"/>
        <v>88263.787499999991</v>
      </c>
      <c r="AN115" s="393" t="str">
        <f t="shared" si="142"/>
        <v>Педагог-модератор</v>
      </c>
      <c r="AO115" s="479" t="str">
        <f t="shared" si="129"/>
        <v>0</v>
      </c>
      <c r="AP115" s="479" t="str">
        <f t="shared" si="130"/>
        <v>0</v>
      </c>
      <c r="AQ115" s="479" t="str">
        <f t="shared" si="131"/>
        <v>0</v>
      </c>
      <c r="AR115" s="479">
        <f t="shared" si="132"/>
        <v>88263.787499999991</v>
      </c>
      <c r="AS115" s="393"/>
      <c r="AT115" s="479"/>
      <c r="AU115" s="478"/>
      <c r="AV115" s="479"/>
      <c r="AW115" s="478" t="str">
        <f>G115</f>
        <v>Магистр по спец.управлении образованием</v>
      </c>
      <c r="AX115" s="372">
        <f>10*4335</f>
        <v>43350</v>
      </c>
      <c r="AY115" s="479"/>
      <c r="AZ115" s="367">
        <f t="shared" si="133"/>
        <v>309247.42499999999</v>
      </c>
      <c r="BA115" s="373">
        <f t="shared" si="134"/>
        <v>603460.05000000005</v>
      </c>
      <c r="BB115" s="374">
        <f t="shared" si="65"/>
        <v>60346.005000000005</v>
      </c>
      <c r="BC115" s="374">
        <f t="shared" si="66"/>
        <v>12069.201000000001</v>
      </c>
      <c r="BD115" s="374">
        <f t="shared" si="135"/>
        <v>47035.484400000008</v>
      </c>
      <c r="BE115" s="374">
        <f t="shared" si="68"/>
        <v>484009.35960000003</v>
      </c>
      <c r="BF115" s="374">
        <f t="shared" si="69"/>
        <v>7241520.6000000006</v>
      </c>
      <c r="BG115" s="374">
        <f t="shared" si="136"/>
        <v>588425.25</v>
      </c>
      <c r="BH115" s="374">
        <f t="shared" si="71"/>
        <v>7829945.8500000006</v>
      </c>
      <c r="BI115" s="374">
        <f t="shared" si="72"/>
        <v>352347.56325000006</v>
      </c>
      <c r="BJ115" s="374">
        <f t="shared" si="73"/>
        <v>217245.61800000002</v>
      </c>
      <c r="BK115" s="374">
        <f t="shared" si="74"/>
        <v>406885.73057999992</v>
      </c>
      <c r="BL115" s="374">
        <f t="shared" si="141"/>
        <v>352347.56325000001</v>
      </c>
      <c r="BM115" s="373">
        <f t="shared" si="75"/>
        <v>9158772.3250799999</v>
      </c>
      <c r="BN115" s="482">
        <v>0.25</v>
      </c>
      <c r="BO115" s="481"/>
      <c r="BP115" s="481"/>
      <c r="BQ115" s="481"/>
      <c r="BR115" s="481"/>
      <c r="BS115" s="481"/>
      <c r="BT115" s="481"/>
      <c r="BU115" s="481"/>
      <c r="BV115" s="481"/>
      <c r="BW115" s="481"/>
      <c r="BX115" s="481"/>
      <c r="BY115" s="481"/>
      <c r="BZ115" s="481"/>
      <c r="CA115" s="481"/>
      <c r="CB115" s="481"/>
      <c r="CC115" s="481"/>
      <c r="CD115" s="481"/>
      <c r="CE115" s="481"/>
      <c r="CF115" s="481"/>
      <c r="CG115" s="481"/>
      <c r="CH115" s="481"/>
      <c r="CI115" s="481"/>
    </row>
    <row r="116" spans="1:87" ht="31.5">
      <c r="A116" s="369">
        <f t="shared" si="137"/>
        <v>76</v>
      </c>
      <c r="B116" s="416">
        <f t="shared" si="137"/>
        <v>14</v>
      </c>
      <c r="C116" s="409" t="s">
        <v>1197</v>
      </c>
      <c r="D116" s="410" t="s">
        <v>1198</v>
      </c>
      <c r="E116" s="366" t="s">
        <v>998</v>
      </c>
      <c r="F116" s="366" t="s">
        <v>1005</v>
      </c>
      <c r="G116" s="366"/>
      <c r="H116" s="371" t="s">
        <v>1199</v>
      </c>
      <c r="I116" s="366">
        <v>17697</v>
      </c>
      <c r="J116" s="367">
        <v>11.4</v>
      </c>
      <c r="K116" s="367">
        <f t="shared" si="120"/>
        <v>201745.80000000002</v>
      </c>
      <c r="L116" s="380"/>
      <c r="M116" s="380"/>
      <c r="N116" s="380">
        <v>3</v>
      </c>
      <c r="O116" s="380"/>
      <c r="P116" s="380"/>
      <c r="Q116" s="368">
        <f t="shared" si="121"/>
        <v>3</v>
      </c>
      <c r="R116" s="380"/>
      <c r="S116" s="380"/>
      <c r="T116" s="380">
        <v>2</v>
      </c>
      <c r="U116" s="380"/>
      <c r="V116" s="380"/>
      <c r="W116" s="381">
        <f t="shared" si="122"/>
        <v>2</v>
      </c>
      <c r="X116" s="370">
        <f t="shared" si="123"/>
        <v>5</v>
      </c>
      <c r="Y116" s="367">
        <f t="shared" si="124"/>
        <v>63045.562500000007</v>
      </c>
      <c r="Z116" s="367">
        <f t="shared" si="125"/>
        <v>6304.5562500000015</v>
      </c>
      <c r="AA116" s="366">
        <v>5</v>
      </c>
      <c r="AB116" s="367">
        <f t="shared" si="138"/>
        <v>2765.15625</v>
      </c>
      <c r="AC116" s="366">
        <v>0</v>
      </c>
      <c r="AD116" s="367">
        <f t="shared" si="139"/>
        <v>0</v>
      </c>
      <c r="AE116" s="366"/>
      <c r="AF116" s="366"/>
      <c r="AG116" s="367"/>
      <c r="AH116" s="366"/>
      <c r="AI116" s="367"/>
      <c r="AJ116" s="366">
        <f t="shared" si="140"/>
        <v>5</v>
      </c>
      <c r="AK116" s="367">
        <f t="shared" si="126"/>
        <v>2212.125</v>
      </c>
      <c r="AL116" s="366">
        <f t="shared" si="127"/>
        <v>5</v>
      </c>
      <c r="AM116" s="367">
        <f t="shared" si="128"/>
        <v>18913.668750000001</v>
      </c>
      <c r="AN116" s="366" t="str">
        <f t="shared" si="142"/>
        <v>Педагог-зерттеуші</v>
      </c>
      <c r="AO116" s="367" t="str">
        <f t="shared" si="129"/>
        <v>0</v>
      </c>
      <c r="AP116" s="367">
        <f t="shared" si="130"/>
        <v>25218.225000000006</v>
      </c>
      <c r="AQ116" s="367" t="str">
        <f t="shared" si="131"/>
        <v>0</v>
      </c>
      <c r="AR116" s="367" t="str">
        <f t="shared" si="132"/>
        <v>0</v>
      </c>
      <c r="AS116" s="366"/>
      <c r="AT116" s="367"/>
      <c r="AU116" s="371"/>
      <c r="AV116" s="367"/>
      <c r="AW116" s="478"/>
      <c r="AX116" s="372"/>
      <c r="AY116" s="367"/>
      <c r="AZ116" s="367">
        <f t="shared" si="133"/>
        <v>55413.731250000012</v>
      </c>
      <c r="BA116" s="373">
        <f t="shared" si="134"/>
        <v>118459.29375000001</v>
      </c>
      <c r="BB116" s="374">
        <f t="shared" si="65"/>
        <v>11845.929375000002</v>
      </c>
      <c r="BC116" s="374">
        <f t="shared" si="66"/>
        <v>2369.1858750000001</v>
      </c>
      <c r="BD116" s="374">
        <f t="shared" si="135"/>
        <v>4355.4178500000007</v>
      </c>
      <c r="BE116" s="374">
        <f t="shared" si="68"/>
        <v>99888.760650000011</v>
      </c>
      <c r="BF116" s="374">
        <f t="shared" si="69"/>
        <v>1421511.5250000001</v>
      </c>
      <c r="BG116" s="374">
        <f t="shared" si="136"/>
        <v>126091.12500000001</v>
      </c>
      <c r="BH116" s="374">
        <f t="shared" si="71"/>
        <v>1547602.6500000001</v>
      </c>
      <c r="BI116" s="374">
        <f t="shared" si="72"/>
        <v>69642.119250000018</v>
      </c>
      <c r="BJ116" s="374">
        <f t="shared" si="73"/>
        <v>42645.34575</v>
      </c>
      <c r="BK116" s="374">
        <f t="shared" si="74"/>
        <v>80443.217745000002</v>
      </c>
      <c r="BL116" s="374">
        <f t="shared" si="141"/>
        <v>69642.119250000003</v>
      </c>
      <c r="BM116" s="373">
        <f t="shared" si="75"/>
        <v>1809975.4519950002</v>
      </c>
      <c r="BN116" s="385"/>
      <c r="BO116" s="377"/>
      <c r="BP116" s="377"/>
      <c r="BQ116" s="377"/>
      <c r="BR116" s="377"/>
      <c r="BS116" s="377"/>
      <c r="BT116" s="377"/>
      <c r="BU116" s="377"/>
      <c r="BV116" s="377"/>
      <c r="BW116" s="377"/>
      <c r="BX116" s="377"/>
      <c r="BY116" s="377"/>
      <c r="BZ116" s="377"/>
      <c r="CA116" s="377"/>
      <c r="CB116" s="377"/>
      <c r="CC116" s="377"/>
      <c r="CD116" s="377"/>
      <c r="CE116" s="377"/>
      <c r="CF116" s="377"/>
      <c r="CG116" s="377"/>
      <c r="CH116" s="377"/>
      <c r="CI116" s="377"/>
    </row>
    <row r="117" spans="1:87" ht="60">
      <c r="A117" s="369">
        <f t="shared" si="137"/>
        <v>77</v>
      </c>
      <c r="B117" s="416">
        <f t="shared" si="137"/>
        <v>15</v>
      </c>
      <c r="C117" s="409" t="s">
        <v>1200</v>
      </c>
      <c r="D117" s="412" t="s">
        <v>1201</v>
      </c>
      <c r="E117" s="366" t="s">
        <v>998</v>
      </c>
      <c r="F117" s="366" t="s">
        <v>1005</v>
      </c>
      <c r="G117" s="366" t="s">
        <v>1202</v>
      </c>
      <c r="H117" s="371" t="s">
        <v>1402</v>
      </c>
      <c r="I117" s="366">
        <v>17697</v>
      </c>
      <c r="J117" s="367">
        <v>10.4</v>
      </c>
      <c r="K117" s="367">
        <f t="shared" si="120"/>
        <v>184048.80000000002</v>
      </c>
      <c r="L117" s="380"/>
      <c r="M117" s="380"/>
      <c r="N117" s="380"/>
      <c r="O117" s="380">
        <v>3</v>
      </c>
      <c r="P117" s="380"/>
      <c r="Q117" s="368">
        <f t="shared" si="121"/>
        <v>3</v>
      </c>
      <c r="R117" s="380"/>
      <c r="S117" s="380"/>
      <c r="T117" s="380"/>
      <c r="U117" s="380"/>
      <c r="V117" s="380"/>
      <c r="W117" s="381">
        <f t="shared" si="122"/>
        <v>0</v>
      </c>
      <c r="X117" s="370">
        <f t="shared" si="123"/>
        <v>3</v>
      </c>
      <c r="Y117" s="367">
        <f t="shared" si="124"/>
        <v>34509.15</v>
      </c>
      <c r="Z117" s="367"/>
      <c r="AA117" s="393">
        <v>3</v>
      </c>
      <c r="AB117" s="367">
        <f t="shared" si="138"/>
        <v>1659.09375</v>
      </c>
      <c r="AC117" s="393"/>
      <c r="AD117" s="367">
        <f t="shared" si="139"/>
        <v>0</v>
      </c>
      <c r="AE117" s="366"/>
      <c r="AF117" s="366"/>
      <c r="AG117" s="367"/>
      <c r="AH117" s="366"/>
      <c r="AI117" s="367"/>
      <c r="AJ117" s="366">
        <f t="shared" si="140"/>
        <v>3</v>
      </c>
      <c r="AK117" s="367">
        <f t="shared" si="126"/>
        <v>1327.2750000000001</v>
      </c>
      <c r="AL117" s="366">
        <f t="shared" si="127"/>
        <v>3</v>
      </c>
      <c r="AM117" s="367">
        <f t="shared" si="128"/>
        <v>10352.745000000001</v>
      </c>
      <c r="AN117" s="366" t="str">
        <f t="shared" si="142"/>
        <v>Педагог-зерттеуші</v>
      </c>
      <c r="AO117" s="367" t="str">
        <f t="shared" si="129"/>
        <v>0</v>
      </c>
      <c r="AP117" s="367">
        <f t="shared" si="130"/>
        <v>13803.660000000002</v>
      </c>
      <c r="AQ117" s="367" t="str">
        <f t="shared" si="131"/>
        <v>0</v>
      </c>
      <c r="AR117" s="367" t="str">
        <f t="shared" si="132"/>
        <v>0</v>
      </c>
      <c r="AS117" s="366"/>
      <c r="AT117" s="367"/>
      <c r="AU117" s="371"/>
      <c r="AV117" s="367"/>
      <c r="AW117" s="478" t="str">
        <f t="shared" ref="AW117:AW119" si="145">G117</f>
        <v>Магистр наук в области лингвистики</v>
      </c>
      <c r="AX117" s="372">
        <f>10*4335</f>
        <v>43350</v>
      </c>
      <c r="AY117" s="367"/>
      <c r="AZ117" s="367">
        <f t="shared" si="133"/>
        <v>70492.773749999993</v>
      </c>
      <c r="BA117" s="373">
        <f t="shared" si="134"/>
        <v>105001.92374999999</v>
      </c>
      <c r="BB117" s="374">
        <f t="shared" si="65"/>
        <v>10500.192374999999</v>
      </c>
      <c r="BC117" s="374">
        <f t="shared" si="66"/>
        <v>2100.0384749999998</v>
      </c>
      <c r="BD117" s="374">
        <f t="shared" si="135"/>
        <v>3171.1692899999998</v>
      </c>
      <c r="BE117" s="374">
        <f t="shared" si="68"/>
        <v>89230.523609999989</v>
      </c>
      <c r="BF117" s="374">
        <f t="shared" si="69"/>
        <v>1260023.085</v>
      </c>
      <c r="BG117" s="374">
        <f t="shared" si="136"/>
        <v>69018.3</v>
      </c>
      <c r="BH117" s="374">
        <f t="shared" si="71"/>
        <v>1329041.385</v>
      </c>
      <c r="BI117" s="374">
        <f t="shared" si="72"/>
        <v>59806.862325000009</v>
      </c>
      <c r="BJ117" s="374">
        <f t="shared" si="73"/>
        <v>37800.69255</v>
      </c>
      <c r="BK117" s="374">
        <f t="shared" si="74"/>
        <v>68996.184002999988</v>
      </c>
      <c r="BL117" s="374">
        <f t="shared" si="141"/>
        <v>59806.862324999995</v>
      </c>
      <c r="BM117" s="373">
        <f t="shared" si="75"/>
        <v>1555451.9862029999</v>
      </c>
      <c r="BN117" s="385">
        <v>1.25</v>
      </c>
      <c r="BO117" s="377"/>
      <c r="BP117" s="377"/>
      <c r="BQ117" s="377"/>
      <c r="BR117" s="377"/>
      <c r="BS117" s="377"/>
      <c r="BT117" s="377"/>
      <c r="BU117" s="377"/>
      <c r="BV117" s="377"/>
      <c r="BW117" s="377"/>
      <c r="BX117" s="377"/>
      <c r="BY117" s="377"/>
      <c r="BZ117" s="377"/>
      <c r="CA117" s="377"/>
      <c r="CB117" s="377"/>
      <c r="CC117" s="377"/>
      <c r="CD117" s="377"/>
      <c r="CE117" s="377"/>
      <c r="CF117" s="377"/>
      <c r="CG117" s="377"/>
      <c r="CH117" s="377"/>
      <c r="CI117" s="377"/>
    </row>
    <row r="118" spans="1:87" ht="47.25">
      <c r="A118" s="369">
        <f t="shared" si="137"/>
        <v>78</v>
      </c>
      <c r="B118" s="416">
        <f t="shared" si="137"/>
        <v>16</v>
      </c>
      <c r="C118" s="409" t="s">
        <v>1203</v>
      </c>
      <c r="D118" s="412" t="s">
        <v>1204</v>
      </c>
      <c r="E118" s="366" t="s">
        <v>998</v>
      </c>
      <c r="F118" s="366"/>
      <c r="G118" s="366"/>
      <c r="H118" s="371" t="s">
        <v>1434</v>
      </c>
      <c r="I118" s="366">
        <v>17697</v>
      </c>
      <c r="J118" s="367">
        <v>11.18</v>
      </c>
      <c r="K118" s="367">
        <f t="shared" si="120"/>
        <v>197852.46</v>
      </c>
      <c r="L118" s="380"/>
      <c r="M118" s="380"/>
      <c r="N118" s="380"/>
      <c r="O118" s="380">
        <v>6</v>
      </c>
      <c r="P118" s="380"/>
      <c r="Q118" s="368">
        <f t="shared" si="121"/>
        <v>6</v>
      </c>
      <c r="R118" s="380"/>
      <c r="S118" s="380"/>
      <c r="T118" s="380"/>
      <c r="U118" s="380">
        <v>4</v>
      </c>
      <c r="V118" s="380"/>
      <c r="W118" s="381">
        <f t="shared" si="122"/>
        <v>4</v>
      </c>
      <c r="X118" s="370">
        <f t="shared" si="123"/>
        <v>10</v>
      </c>
      <c r="Y118" s="367">
        <f t="shared" si="124"/>
        <v>123657.78749999999</v>
      </c>
      <c r="Z118" s="367">
        <f t="shared" si="125"/>
        <v>12365.778749999999</v>
      </c>
      <c r="AA118" s="366">
        <v>5</v>
      </c>
      <c r="AB118" s="367">
        <f t="shared" si="138"/>
        <v>2765.15625</v>
      </c>
      <c r="AC118" s="366">
        <v>5</v>
      </c>
      <c r="AD118" s="367">
        <f t="shared" si="139"/>
        <v>1382.578125</v>
      </c>
      <c r="AE118" s="366"/>
      <c r="AF118" s="366"/>
      <c r="AG118" s="367"/>
      <c r="AH118" s="366"/>
      <c r="AI118" s="367"/>
      <c r="AJ118" s="366">
        <f t="shared" si="140"/>
        <v>10</v>
      </c>
      <c r="AK118" s="367">
        <f>I118/16*AJ118*40%</f>
        <v>4424.25</v>
      </c>
      <c r="AL118" s="366">
        <f t="shared" si="127"/>
        <v>10</v>
      </c>
      <c r="AM118" s="367">
        <f t="shared" si="128"/>
        <v>37097.336249999993</v>
      </c>
      <c r="AN118" s="366">
        <f t="shared" si="142"/>
        <v>0</v>
      </c>
      <c r="AO118" s="367" t="str">
        <f t="shared" si="129"/>
        <v>0</v>
      </c>
      <c r="AP118" s="367" t="str">
        <f t="shared" si="130"/>
        <v>0</v>
      </c>
      <c r="AQ118" s="367" t="str">
        <f t="shared" si="131"/>
        <v>0</v>
      </c>
      <c r="AR118" s="367" t="str">
        <f t="shared" si="132"/>
        <v>0</v>
      </c>
      <c r="AS118" s="366"/>
      <c r="AT118" s="367"/>
      <c r="AU118" s="371"/>
      <c r="AV118" s="367"/>
      <c r="AW118" s="478"/>
      <c r="AX118" s="372"/>
      <c r="AY118" s="367"/>
      <c r="AZ118" s="367">
        <f t="shared" si="133"/>
        <v>58035.099374999991</v>
      </c>
      <c r="BA118" s="373">
        <f t="shared" si="134"/>
        <v>181692.88687499997</v>
      </c>
      <c r="BB118" s="374">
        <f t="shared" si="65"/>
        <v>18169.288687499997</v>
      </c>
      <c r="BC118" s="374">
        <f t="shared" si="66"/>
        <v>3633.8577374999995</v>
      </c>
      <c r="BD118" s="374">
        <f t="shared" si="135"/>
        <v>9919.974044999999</v>
      </c>
      <c r="BE118" s="374">
        <f t="shared" si="68"/>
        <v>149969.76640499997</v>
      </c>
      <c r="BF118" s="374">
        <f t="shared" si="69"/>
        <v>2180314.6424999996</v>
      </c>
      <c r="BG118" s="374">
        <f t="shared" si="136"/>
        <v>247315.57499999998</v>
      </c>
      <c r="BH118" s="374">
        <f t="shared" si="71"/>
        <v>2427630.2174999998</v>
      </c>
      <c r="BI118" s="374">
        <f t="shared" si="72"/>
        <v>109243.3597875</v>
      </c>
      <c r="BJ118" s="374">
        <f t="shared" si="73"/>
        <v>65409.439274999982</v>
      </c>
      <c r="BK118" s="374">
        <f t="shared" si="74"/>
        <v>126295.33953150001</v>
      </c>
      <c r="BL118" s="374">
        <f t="shared" si="141"/>
        <v>109243.35978749998</v>
      </c>
      <c r="BM118" s="373">
        <f t="shared" si="75"/>
        <v>2837821.7158814995</v>
      </c>
      <c r="BN118" s="375"/>
      <c r="BO118" s="377"/>
      <c r="BP118" s="377"/>
      <c r="BQ118" s="377"/>
      <c r="BR118" s="377"/>
      <c r="BS118" s="377"/>
      <c r="BT118" s="377"/>
      <c r="BU118" s="377"/>
      <c r="BV118" s="377"/>
      <c r="BW118" s="377"/>
      <c r="BX118" s="377"/>
      <c r="BY118" s="377"/>
      <c r="BZ118" s="377"/>
      <c r="CA118" s="377"/>
      <c r="CB118" s="377"/>
      <c r="CC118" s="377"/>
      <c r="CD118" s="377"/>
      <c r="CE118" s="377"/>
      <c r="CF118" s="377"/>
      <c r="CG118" s="377"/>
      <c r="CH118" s="377"/>
      <c r="CI118" s="377"/>
    </row>
    <row r="119" spans="1:87" ht="45">
      <c r="A119" s="369">
        <f t="shared" si="137"/>
        <v>79</v>
      </c>
      <c r="B119" s="416">
        <f t="shared" si="137"/>
        <v>17</v>
      </c>
      <c r="C119" s="409" t="s">
        <v>1205</v>
      </c>
      <c r="D119" s="412" t="s">
        <v>1182</v>
      </c>
      <c r="E119" s="366" t="s">
        <v>998</v>
      </c>
      <c r="F119" s="366"/>
      <c r="G119" s="366" t="s">
        <v>1046</v>
      </c>
      <c r="H119" s="371" t="s">
        <v>1403</v>
      </c>
      <c r="I119" s="366">
        <v>17697</v>
      </c>
      <c r="J119" s="367">
        <v>9.5</v>
      </c>
      <c r="K119" s="367">
        <f t="shared" si="120"/>
        <v>168121.5</v>
      </c>
      <c r="L119" s="380">
        <v>15</v>
      </c>
      <c r="M119" s="380"/>
      <c r="N119" s="380"/>
      <c r="O119" s="380"/>
      <c r="P119" s="380"/>
      <c r="Q119" s="368">
        <f t="shared" si="121"/>
        <v>15</v>
      </c>
      <c r="R119" s="380">
        <v>10</v>
      </c>
      <c r="S119" s="380"/>
      <c r="T119" s="380"/>
      <c r="U119" s="380"/>
      <c r="V119" s="380"/>
      <c r="W119" s="381">
        <f t="shared" si="122"/>
        <v>10</v>
      </c>
      <c r="X119" s="370">
        <f t="shared" si="123"/>
        <v>25</v>
      </c>
      <c r="Y119" s="367">
        <f t="shared" si="124"/>
        <v>262689.84375</v>
      </c>
      <c r="Z119" s="367">
        <f t="shared" si="125"/>
        <v>26268.984375</v>
      </c>
      <c r="AA119" s="366">
        <v>0</v>
      </c>
      <c r="AB119" s="367">
        <f t="shared" si="138"/>
        <v>0</v>
      </c>
      <c r="AC119" s="366">
        <v>25</v>
      </c>
      <c r="AD119" s="367">
        <f t="shared" si="139"/>
        <v>6912.890625</v>
      </c>
      <c r="AE119" s="366"/>
      <c r="AF119" s="366"/>
      <c r="AG119" s="367"/>
      <c r="AH119" s="366"/>
      <c r="AI119" s="367"/>
      <c r="AJ119" s="366">
        <f t="shared" si="140"/>
        <v>25</v>
      </c>
      <c r="AK119" s="367">
        <f>I119/16*AJ119*40%</f>
        <v>11060.625</v>
      </c>
      <c r="AL119" s="366">
        <f t="shared" si="127"/>
        <v>25</v>
      </c>
      <c r="AM119" s="367">
        <f t="shared" si="128"/>
        <v>78806.953125</v>
      </c>
      <c r="AN119" s="366">
        <f t="shared" si="142"/>
        <v>0</v>
      </c>
      <c r="AO119" s="367" t="str">
        <f t="shared" si="129"/>
        <v>0</v>
      </c>
      <c r="AP119" s="367" t="str">
        <f t="shared" si="130"/>
        <v>0</v>
      </c>
      <c r="AQ119" s="367" t="str">
        <f t="shared" si="131"/>
        <v>0</v>
      </c>
      <c r="AR119" s="367" t="str">
        <f t="shared" si="132"/>
        <v>0</v>
      </c>
      <c r="AS119" s="366"/>
      <c r="AT119" s="367"/>
      <c r="AU119" s="371"/>
      <c r="AV119" s="367"/>
      <c r="AW119" s="478" t="str">
        <f t="shared" si="145"/>
        <v>Магистр педагогических наук</v>
      </c>
      <c r="AX119" s="372">
        <f>10*4335</f>
        <v>43350</v>
      </c>
      <c r="AY119" s="367"/>
      <c r="AZ119" s="367">
        <f t="shared" si="133"/>
        <v>166399.453125</v>
      </c>
      <c r="BA119" s="373">
        <f t="shared" si="134"/>
        <v>429089.296875</v>
      </c>
      <c r="BB119" s="374">
        <f t="shared" si="65"/>
        <v>42908.9296875</v>
      </c>
      <c r="BC119" s="374">
        <f t="shared" si="66"/>
        <v>8581.7859375000007</v>
      </c>
      <c r="BD119" s="374">
        <f t="shared" si="135"/>
        <v>31690.858124999999</v>
      </c>
      <c r="BE119" s="374">
        <f t="shared" si="68"/>
        <v>345907.72312500002</v>
      </c>
      <c r="BF119" s="374">
        <f t="shared" si="69"/>
        <v>5149071.5625</v>
      </c>
      <c r="BG119" s="374">
        <f t="shared" si="136"/>
        <v>525379.6875</v>
      </c>
      <c r="BH119" s="374">
        <f t="shared" si="71"/>
        <v>5674451.25</v>
      </c>
      <c r="BI119" s="374">
        <f t="shared" si="72"/>
        <v>255350.30625000002</v>
      </c>
      <c r="BJ119" s="374">
        <f t="shared" si="73"/>
        <v>154472.14687500001</v>
      </c>
      <c r="BK119" s="374">
        <f t="shared" si="74"/>
        <v>295092.41006249993</v>
      </c>
      <c r="BL119" s="374">
        <f t="shared" si="141"/>
        <v>255350.30624999999</v>
      </c>
      <c r="BM119" s="373">
        <f t="shared" si="75"/>
        <v>6634716.4194375006</v>
      </c>
      <c r="BN119" s="375"/>
      <c r="BO119" s="377"/>
      <c r="BP119" s="377"/>
      <c r="BQ119" s="377"/>
      <c r="BR119" s="377"/>
      <c r="BS119" s="377"/>
      <c r="BT119" s="377"/>
      <c r="BU119" s="377"/>
      <c r="BV119" s="377"/>
      <c r="BW119" s="377"/>
      <c r="BX119" s="377"/>
      <c r="BY119" s="377"/>
      <c r="BZ119" s="377"/>
      <c r="CA119" s="377"/>
      <c r="CB119" s="377"/>
      <c r="CC119" s="377"/>
      <c r="CD119" s="377"/>
      <c r="CE119" s="377"/>
      <c r="CF119" s="377"/>
      <c r="CG119" s="377"/>
      <c r="CH119" s="377"/>
      <c r="CI119" s="377"/>
    </row>
    <row r="120" spans="1:87" ht="63">
      <c r="A120" s="369">
        <f t="shared" ref="A120:B122" si="146">A119+1</f>
        <v>80</v>
      </c>
      <c r="B120" s="416">
        <f t="shared" si="146"/>
        <v>18</v>
      </c>
      <c r="C120" s="409" t="s">
        <v>1206</v>
      </c>
      <c r="D120" s="475" t="s">
        <v>1207</v>
      </c>
      <c r="E120" s="366" t="s">
        <v>998</v>
      </c>
      <c r="F120" s="366"/>
      <c r="G120" s="366" t="s">
        <v>1208</v>
      </c>
      <c r="H120" s="371" t="s">
        <v>1435</v>
      </c>
      <c r="I120" s="366">
        <v>17697</v>
      </c>
      <c r="J120" s="367">
        <v>10.82</v>
      </c>
      <c r="K120" s="367">
        <f t="shared" si="120"/>
        <v>191481.54</v>
      </c>
      <c r="L120" s="380"/>
      <c r="M120" s="380"/>
      <c r="N120" s="380"/>
      <c r="O120" s="380"/>
      <c r="P120" s="380">
        <v>21</v>
      </c>
      <c r="Q120" s="368">
        <f t="shared" si="121"/>
        <v>21</v>
      </c>
      <c r="R120" s="380"/>
      <c r="S120" s="380"/>
      <c r="T120" s="380"/>
      <c r="U120" s="380"/>
      <c r="V120" s="380">
        <v>14</v>
      </c>
      <c r="W120" s="381">
        <f t="shared" si="122"/>
        <v>14</v>
      </c>
      <c r="X120" s="370">
        <f t="shared" si="123"/>
        <v>35</v>
      </c>
      <c r="Y120" s="367">
        <f t="shared" si="124"/>
        <v>418865.86875000002</v>
      </c>
      <c r="Z120" s="367">
        <f t="shared" si="125"/>
        <v>41886.586875000008</v>
      </c>
      <c r="AA120" s="366">
        <v>16</v>
      </c>
      <c r="AB120" s="367">
        <f t="shared" si="138"/>
        <v>8848.5</v>
      </c>
      <c r="AC120" s="366">
        <v>12</v>
      </c>
      <c r="AD120" s="367">
        <f t="shared" si="139"/>
        <v>3318.1875</v>
      </c>
      <c r="AE120" s="366"/>
      <c r="AF120" s="366" t="s">
        <v>1209</v>
      </c>
      <c r="AG120" s="367">
        <f t="shared" ref="AG120" si="147">17697*20%</f>
        <v>3539.4</v>
      </c>
      <c r="AH120" s="366"/>
      <c r="AI120" s="367"/>
      <c r="AJ120" s="366">
        <f t="shared" si="140"/>
        <v>35</v>
      </c>
      <c r="AK120" s="367">
        <f t="shared" si="126"/>
        <v>15484.875</v>
      </c>
      <c r="AL120" s="366">
        <f t="shared" si="127"/>
        <v>35</v>
      </c>
      <c r="AM120" s="367">
        <f t="shared" si="128"/>
        <v>125659.760625</v>
      </c>
      <c r="AN120" s="366">
        <f t="shared" si="142"/>
        <v>0</v>
      </c>
      <c r="AO120" s="367" t="str">
        <f t="shared" si="129"/>
        <v>0</v>
      </c>
      <c r="AP120" s="367" t="str">
        <f t="shared" si="130"/>
        <v>0</v>
      </c>
      <c r="AQ120" s="367" t="str">
        <f t="shared" si="131"/>
        <v>0</v>
      </c>
      <c r="AR120" s="367" t="str">
        <f t="shared" si="132"/>
        <v>0</v>
      </c>
      <c r="AS120" s="366"/>
      <c r="AT120" s="367"/>
      <c r="AU120" s="371"/>
      <c r="AV120" s="367"/>
      <c r="AW120" s="371" t="str">
        <f>G120</f>
        <v>Магистр-лингвистика и препод. англ. яз.</v>
      </c>
      <c r="AX120" s="372">
        <f>10*4335</f>
        <v>43350</v>
      </c>
      <c r="AY120" s="367"/>
      <c r="AZ120" s="367">
        <f t="shared" si="133"/>
        <v>242087.31</v>
      </c>
      <c r="BA120" s="373">
        <f t="shared" si="134"/>
        <v>660953.17874999996</v>
      </c>
      <c r="BB120" s="374">
        <f t="shared" si="65"/>
        <v>66095.317874999993</v>
      </c>
      <c r="BC120" s="374">
        <f t="shared" si="66"/>
        <v>13219.063575</v>
      </c>
      <c r="BD120" s="374">
        <f t="shared" si="135"/>
        <v>52094.879730000001</v>
      </c>
      <c r="BE120" s="374">
        <f t="shared" si="68"/>
        <v>529543.91756999993</v>
      </c>
      <c r="BF120" s="374">
        <f t="shared" si="69"/>
        <v>7931438.1449999996</v>
      </c>
      <c r="BG120" s="374">
        <f t="shared" si="136"/>
        <v>837731.73750000005</v>
      </c>
      <c r="BH120" s="374">
        <f t="shared" si="71"/>
        <v>8769169.8825000003</v>
      </c>
      <c r="BI120" s="374">
        <f t="shared" si="72"/>
        <v>394612.64471250004</v>
      </c>
      <c r="BJ120" s="374">
        <f t="shared" si="73"/>
        <v>237943.14434999999</v>
      </c>
      <c r="BK120" s="374">
        <f t="shared" si="74"/>
        <v>456086.00973599998</v>
      </c>
      <c r="BL120" s="374">
        <f t="shared" si="141"/>
        <v>394612.64471249998</v>
      </c>
      <c r="BM120" s="373">
        <f t="shared" si="75"/>
        <v>10252424.326011</v>
      </c>
      <c r="BN120" s="375"/>
      <c r="BO120" s="377"/>
      <c r="BP120" s="377"/>
      <c r="BQ120" s="377"/>
      <c r="BR120" s="377"/>
      <c r="BS120" s="377"/>
      <c r="BT120" s="377"/>
      <c r="BU120" s="377"/>
      <c r="BV120" s="377"/>
      <c r="BW120" s="377"/>
      <c r="BX120" s="377"/>
      <c r="BY120" s="377"/>
      <c r="BZ120" s="377"/>
      <c r="CA120" s="377"/>
      <c r="CB120" s="377"/>
      <c r="CC120" s="377"/>
      <c r="CD120" s="377"/>
      <c r="CE120" s="377"/>
      <c r="CF120" s="377"/>
      <c r="CG120" s="377"/>
      <c r="CH120" s="377"/>
      <c r="CI120" s="377"/>
    </row>
    <row r="121" spans="1:87" ht="90.75" customHeight="1">
      <c r="A121" s="369">
        <f t="shared" si="146"/>
        <v>81</v>
      </c>
      <c r="B121" s="416">
        <f t="shared" si="146"/>
        <v>19</v>
      </c>
      <c r="C121" s="409" t="s">
        <v>1210</v>
      </c>
      <c r="D121" s="475" t="s">
        <v>1211</v>
      </c>
      <c r="E121" s="366" t="s">
        <v>998</v>
      </c>
      <c r="F121" s="366" t="s">
        <v>254</v>
      </c>
      <c r="G121" s="366"/>
      <c r="H121" s="371" t="s">
        <v>278</v>
      </c>
      <c r="I121" s="366">
        <v>17697</v>
      </c>
      <c r="J121" s="367">
        <v>10</v>
      </c>
      <c r="K121" s="367">
        <f t="shared" si="120"/>
        <v>176970</v>
      </c>
      <c r="L121" s="380"/>
      <c r="M121" s="380"/>
      <c r="N121" s="380"/>
      <c r="O121" s="380"/>
      <c r="P121" s="380">
        <v>21</v>
      </c>
      <c r="Q121" s="368">
        <f t="shared" si="121"/>
        <v>21</v>
      </c>
      <c r="R121" s="380"/>
      <c r="S121" s="380">
        <v>3</v>
      </c>
      <c r="T121" s="380"/>
      <c r="U121" s="380"/>
      <c r="V121" s="380">
        <v>14</v>
      </c>
      <c r="W121" s="381">
        <f t="shared" si="122"/>
        <v>17</v>
      </c>
      <c r="X121" s="370">
        <f t="shared" si="123"/>
        <v>38</v>
      </c>
      <c r="Y121" s="367">
        <f t="shared" si="124"/>
        <v>420303.75</v>
      </c>
      <c r="Z121" s="367">
        <f t="shared" si="125"/>
        <v>42030.375</v>
      </c>
      <c r="AA121" s="393">
        <v>12</v>
      </c>
      <c r="AB121" s="367">
        <f t="shared" si="138"/>
        <v>6636.375</v>
      </c>
      <c r="AC121" s="366">
        <v>16</v>
      </c>
      <c r="AD121" s="367">
        <f t="shared" si="139"/>
        <v>4424.25</v>
      </c>
      <c r="AE121" s="366"/>
      <c r="AF121" s="366"/>
      <c r="AG121" s="367"/>
      <c r="AH121" s="366"/>
      <c r="AI121" s="367"/>
      <c r="AJ121" s="366">
        <f t="shared" si="140"/>
        <v>38</v>
      </c>
      <c r="AK121" s="367">
        <f t="shared" si="126"/>
        <v>16812.150000000001</v>
      </c>
      <c r="AL121" s="366">
        <f t="shared" si="127"/>
        <v>38</v>
      </c>
      <c r="AM121" s="367">
        <f t="shared" si="128"/>
        <v>126091.125</v>
      </c>
      <c r="AN121" s="366" t="str">
        <f t="shared" si="142"/>
        <v>Педагог-модератор</v>
      </c>
      <c r="AO121" s="367" t="str">
        <f t="shared" si="129"/>
        <v>0</v>
      </c>
      <c r="AP121" s="367" t="str">
        <f t="shared" si="130"/>
        <v>0</v>
      </c>
      <c r="AQ121" s="367" t="str">
        <f t="shared" si="131"/>
        <v>0</v>
      </c>
      <c r="AR121" s="367">
        <f t="shared" si="132"/>
        <v>126091.125</v>
      </c>
      <c r="AS121" s="366"/>
      <c r="AT121" s="367"/>
      <c r="AU121" s="371"/>
      <c r="AV121" s="367"/>
      <c r="AW121" s="371"/>
      <c r="AX121" s="372"/>
      <c r="AY121" s="367"/>
      <c r="AZ121" s="367">
        <f t="shared" si="133"/>
        <v>322085.40000000002</v>
      </c>
      <c r="BA121" s="373">
        <f t="shared" si="134"/>
        <v>742389.15</v>
      </c>
      <c r="BB121" s="374">
        <f t="shared" si="65"/>
        <v>74238.915000000008</v>
      </c>
      <c r="BC121" s="374">
        <f t="shared" si="66"/>
        <v>14847.783000000001</v>
      </c>
      <c r="BD121" s="374">
        <f t="shared" si="135"/>
        <v>59261.245199999998</v>
      </c>
      <c r="BE121" s="374">
        <f t="shared" si="68"/>
        <v>594041.20679999993</v>
      </c>
      <c r="BF121" s="374">
        <f t="shared" si="69"/>
        <v>8908669.8000000007</v>
      </c>
      <c r="BG121" s="374">
        <f t="shared" si="136"/>
        <v>840607.5</v>
      </c>
      <c r="BH121" s="374">
        <f t="shared" si="71"/>
        <v>9749277.3000000007</v>
      </c>
      <c r="BI121" s="374">
        <f t="shared" si="72"/>
        <v>438717.47850000003</v>
      </c>
      <c r="BJ121" s="374">
        <f t="shared" si="73"/>
        <v>267260.09400000004</v>
      </c>
      <c r="BK121" s="374">
        <f t="shared" si="74"/>
        <v>506861.90064000007</v>
      </c>
      <c r="BL121" s="374">
        <f t="shared" si="141"/>
        <v>438717.47850000003</v>
      </c>
      <c r="BM121" s="373">
        <f t="shared" si="75"/>
        <v>11400834.251639999</v>
      </c>
      <c r="BN121" s="483"/>
      <c r="BO121" s="481"/>
      <c r="BP121" s="481"/>
      <c r="BQ121" s="481"/>
      <c r="BR121" s="481"/>
      <c r="BS121" s="481"/>
      <c r="BT121" s="481"/>
      <c r="BU121" s="481"/>
      <c r="BV121" s="481"/>
      <c r="BW121" s="481"/>
      <c r="BX121" s="481"/>
      <c r="BY121" s="481"/>
      <c r="BZ121" s="481"/>
      <c r="CA121" s="481"/>
      <c r="CB121" s="481"/>
      <c r="CC121" s="481"/>
      <c r="CD121" s="481"/>
      <c r="CE121" s="481"/>
      <c r="CF121" s="481"/>
      <c r="CG121" s="481"/>
      <c r="CH121" s="481"/>
      <c r="CI121" s="484"/>
    </row>
    <row r="122" spans="1:87" ht="90.75" customHeight="1">
      <c r="A122" s="369">
        <f t="shared" si="146"/>
        <v>82</v>
      </c>
      <c r="B122" s="416">
        <f t="shared" si="146"/>
        <v>20</v>
      </c>
      <c r="C122" s="409" t="s">
        <v>1200</v>
      </c>
      <c r="D122" s="419" t="s">
        <v>1212</v>
      </c>
      <c r="E122" s="394" t="s">
        <v>998</v>
      </c>
      <c r="F122" s="691" t="s">
        <v>999</v>
      </c>
      <c r="G122" s="691" t="s">
        <v>1158</v>
      </c>
      <c r="H122" s="1001" t="s">
        <v>273</v>
      </c>
      <c r="I122" s="691">
        <v>17697</v>
      </c>
      <c r="J122" s="693">
        <v>11.4</v>
      </c>
      <c r="K122" s="367">
        <f t="shared" si="120"/>
        <v>201745.80000000002</v>
      </c>
      <c r="L122" s="380"/>
      <c r="M122" s="380"/>
      <c r="N122" s="380"/>
      <c r="O122" s="380">
        <v>3</v>
      </c>
      <c r="P122" s="380"/>
      <c r="Q122" s="368">
        <f t="shared" si="121"/>
        <v>3</v>
      </c>
      <c r="R122" s="380"/>
      <c r="S122" s="380"/>
      <c r="T122" s="380"/>
      <c r="U122" s="380">
        <v>2</v>
      </c>
      <c r="V122" s="380"/>
      <c r="W122" s="381">
        <f t="shared" ref="W122" si="148">SUM(R122:V122)</f>
        <v>2</v>
      </c>
      <c r="X122" s="370">
        <f t="shared" si="123"/>
        <v>5</v>
      </c>
      <c r="Y122" s="367">
        <f t="shared" si="124"/>
        <v>63045.562500000007</v>
      </c>
      <c r="Z122" s="367">
        <f t="shared" si="125"/>
        <v>6304.5562500000015</v>
      </c>
      <c r="AA122" s="366">
        <v>0</v>
      </c>
      <c r="AB122" s="367">
        <f t="shared" si="138"/>
        <v>0</v>
      </c>
      <c r="AC122" s="366">
        <v>4</v>
      </c>
      <c r="AD122" s="367">
        <f t="shared" si="139"/>
        <v>1106.0625</v>
      </c>
      <c r="AE122" s="366"/>
      <c r="AF122" s="366"/>
      <c r="AG122" s="367"/>
      <c r="AH122" s="366"/>
      <c r="AI122" s="367"/>
      <c r="AJ122" s="366">
        <f t="shared" si="140"/>
        <v>5</v>
      </c>
      <c r="AK122" s="367">
        <f t="shared" si="126"/>
        <v>2212.125</v>
      </c>
      <c r="AL122" s="366">
        <f t="shared" si="127"/>
        <v>5</v>
      </c>
      <c r="AM122" s="367">
        <f t="shared" si="128"/>
        <v>18913.668750000001</v>
      </c>
      <c r="AN122" s="366" t="str">
        <f t="shared" si="142"/>
        <v>Педагог-шебер</v>
      </c>
      <c r="AO122" s="367">
        <f t="shared" si="129"/>
        <v>31522.781250000004</v>
      </c>
      <c r="AP122" s="367" t="str">
        <f t="shared" si="130"/>
        <v>0</v>
      </c>
      <c r="AQ122" s="367" t="str">
        <f t="shared" si="131"/>
        <v>0</v>
      </c>
      <c r="AR122" s="367" t="str">
        <f t="shared" si="132"/>
        <v>0</v>
      </c>
      <c r="AS122" s="366"/>
      <c r="AT122" s="367"/>
      <c r="AU122" s="371"/>
      <c r="AV122" s="367"/>
      <c r="AW122" s="371" t="str">
        <f t="shared" ref="AW122" si="149">G122</f>
        <v>Магистр</v>
      </c>
      <c r="AX122" s="372">
        <f>10*4335</f>
        <v>43350</v>
      </c>
      <c r="AY122" s="367"/>
      <c r="AZ122" s="367">
        <f t="shared" si="133"/>
        <v>103409.19375000001</v>
      </c>
      <c r="BA122" s="373">
        <f t="shared" si="134"/>
        <v>166454.75625000001</v>
      </c>
      <c r="BB122" s="374">
        <f t="shared" si="65"/>
        <v>16645.475625000003</v>
      </c>
      <c r="BC122" s="374">
        <f t="shared" si="66"/>
        <v>3329.0951250000003</v>
      </c>
      <c r="BD122" s="374">
        <f t="shared" si="135"/>
        <v>8579.0185500000025</v>
      </c>
      <c r="BE122" s="374">
        <f t="shared" si="68"/>
        <v>137901.16695000001</v>
      </c>
      <c r="BF122" s="374">
        <f t="shared" si="69"/>
        <v>1997457.0750000002</v>
      </c>
      <c r="BG122" s="374">
        <f t="shared" si="136"/>
        <v>126091.12500000001</v>
      </c>
      <c r="BH122" s="374">
        <f t="shared" si="71"/>
        <v>2123548.2000000002</v>
      </c>
      <c r="BI122" s="374">
        <f t="shared" si="72"/>
        <v>95559.669000000009</v>
      </c>
      <c r="BJ122" s="374">
        <f t="shared" si="73"/>
        <v>59923.712250000004</v>
      </c>
      <c r="BK122" s="374">
        <f t="shared" si="74"/>
        <v>110277.19723500001</v>
      </c>
      <c r="BL122" s="374">
        <f t="shared" si="141"/>
        <v>95559.669000000009</v>
      </c>
      <c r="BM122" s="373">
        <f t="shared" si="75"/>
        <v>2484868.4474850004</v>
      </c>
      <c r="BN122" s="483"/>
      <c r="BO122" s="484"/>
      <c r="BP122" s="484"/>
      <c r="BQ122" s="484"/>
      <c r="BR122" s="484"/>
      <c r="BS122" s="484"/>
      <c r="BT122" s="484"/>
      <c r="BU122" s="484"/>
      <c r="BV122" s="484"/>
      <c r="BW122" s="484"/>
      <c r="BX122" s="484"/>
      <c r="BY122" s="484"/>
      <c r="BZ122" s="484"/>
      <c r="CA122" s="484"/>
      <c r="CB122" s="484"/>
      <c r="CC122" s="484"/>
      <c r="CD122" s="484"/>
      <c r="CE122" s="484"/>
      <c r="CF122" s="484"/>
      <c r="CG122" s="484"/>
      <c r="CH122" s="484"/>
      <c r="CI122" s="484"/>
    </row>
    <row r="123" spans="1:87" ht="20.100000000000001" customHeight="1">
      <c r="A123" s="489"/>
      <c r="B123" s="489"/>
      <c r="C123" s="490" t="s">
        <v>1162</v>
      </c>
      <c r="D123" s="490"/>
      <c r="E123" s="490"/>
      <c r="F123" s="490"/>
      <c r="G123" s="490"/>
      <c r="H123" s="491"/>
      <c r="I123" s="490"/>
      <c r="J123" s="490"/>
      <c r="K123" s="407">
        <f>SUM(K103:K122)</f>
        <v>3737252.46</v>
      </c>
      <c r="L123" s="407">
        <f t="shared" ref="L123:BN123" si="150">SUM(L103:L122)</f>
        <v>60</v>
      </c>
      <c r="M123" s="407">
        <f t="shared" si="150"/>
        <v>60</v>
      </c>
      <c r="N123" s="407">
        <f t="shared" si="150"/>
        <v>54</v>
      </c>
      <c r="O123" s="407">
        <f t="shared" si="150"/>
        <v>54</v>
      </c>
      <c r="P123" s="407">
        <f t="shared" si="150"/>
        <v>54</v>
      </c>
      <c r="Q123" s="407">
        <f t="shared" si="150"/>
        <v>282</v>
      </c>
      <c r="R123" s="407">
        <f t="shared" si="150"/>
        <v>40</v>
      </c>
      <c r="S123" s="407">
        <f t="shared" si="150"/>
        <v>46</v>
      </c>
      <c r="T123" s="407">
        <f t="shared" si="150"/>
        <v>36</v>
      </c>
      <c r="U123" s="407">
        <f t="shared" si="150"/>
        <v>28</v>
      </c>
      <c r="V123" s="407">
        <f t="shared" si="150"/>
        <v>36</v>
      </c>
      <c r="W123" s="407">
        <f t="shared" si="150"/>
        <v>186</v>
      </c>
      <c r="X123" s="407">
        <f t="shared" si="150"/>
        <v>468</v>
      </c>
      <c r="Y123" s="407">
        <f t="shared" si="150"/>
        <v>5385683.7675000001</v>
      </c>
      <c r="Z123" s="407">
        <f t="shared" si="150"/>
        <v>526074.29475</v>
      </c>
      <c r="AA123" s="407">
        <f t="shared" si="150"/>
        <v>237</v>
      </c>
      <c r="AB123" s="407">
        <f t="shared" si="150"/>
        <v>131068.40625</v>
      </c>
      <c r="AC123" s="407">
        <f t="shared" si="150"/>
        <v>195</v>
      </c>
      <c r="AD123" s="407">
        <f t="shared" si="150"/>
        <v>53920.546875</v>
      </c>
      <c r="AE123" s="407">
        <f t="shared" si="150"/>
        <v>196600</v>
      </c>
      <c r="AF123" s="407">
        <v>5</v>
      </c>
      <c r="AG123" s="407">
        <f t="shared" si="150"/>
        <v>17697</v>
      </c>
      <c r="AH123" s="407">
        <v>2</v>
      </c>
      <c r="AI123" s="407">
        <f t="shared" si="150"/>
        <v>70788</v>
      </c>
      <c r="AJ123" s="407">
        <f t="shared" si="150"/>
        <v>468</v>
      </c>
      <c r="AK123" s="407">
        <f t="shared" si="150"/>
        <v>207054.9</v>
      </c>
      <c r="AL123" s="407">
        <f t="shared" si="150"/>
        <v>468</v>
      </c>
      <c r="AM123" s="407">
        <f t="shared" si="150"/>
        <v>1615705.1302500002</v>
      </c>
      <c r="AN123" s="407">
        <f t="shared" si="150"/>
        <v>0</v>
      </c>
      <c r="AO123" s="407">
        <f t="shared" si="150"/>
        <v>31522.781250000004</v>
      </c>
      <c r="AP123" s="407">
        <f t="shared" si="150"/>
        <v>379689.13499999995</v>
      </c>
      <c r="AQ123" s="407">
        <f t="shared" si="150"/>
        <v>176527.57500000001</v>
      </c>
      <c r="AR123" s="407">
        <f t="shared" si="150"/>
        <v>583257.72600000002</v>
      </c>
      <c r="AS123" s="407">
        <f t="shared" si="150"/>
        <v>0</v>
      </c>
      <c r="AT123" s="407">
        <f t="shared" si="150"/>
        <v>0</v>
      </c>
      <c r="AU123" s="407">
        <f t="shared" si="150"/>
        <v>0</v>
      </c>
      <c r="AV123" s="407">
        <f t="shared" si="150"/>
        <v>0</v>
      </c>
      <c r="AW123" s="407">
        <f t="shared" si="150"/>
        <v>0</v>
      </c>
      <c r="AX123" s="407">
        <f t="shared" si="150"/>
        <v>520200</v>
      </c>
      <c r="AY123" s="407">
        <f t="shared" si="150"/>
        <v>0</v>
      </c>
      <c r="AZ123" s="407">
        <f t="shared" si="150"/>
        <v>4510105.4953749999</v>
      </c>
      <c r="BA123" s="407">
        <f t="shared" si="150"/>
        <v>9895789.2628749982</v>
      </c>
      <c r="BB123" s="407">
        <f t="shared" si="150"/>
        <v>989578.92628749995</v>
      </c>
      <c r="BC123" s="407">
        <f t="shared" si="150"/>
        <v>197915.78525750001</v>
      </c>
      <c r="BD123" s="407">
        <f t="shared" si="150"/>
        <v>749449.45513300004</v>
      </c>
      <c r="BE123" s="407">
        <f t="shared" si="150"/>
        <v>7958845.0961969998</v>
      </c>
      <c r="BF123" s="407">
        <f t="shared" si="150"/>
        <v>118749471.15449998</v>
      </c>
      <c r="BG123" s="407">
        <f t="shared" si="150"/>
        <v>10771367.535</v>
      </c>
      <c r="BH123" s="407">
        <f t="shared" si="150"/>
        <v>129520838.6895</v>
      </c>
      <c r="BI123" s="407">
        <f t="shared" si="150"/>
        <v>5828437.7410275014</v>
      </c>
      <c r="BJ123" s="407">
        <f t="shared" si="150"/>
        <v>3562484.134635</v>
      </c>
      <c r="BK123" s="407">
        <f t="shared" si="150"/>
        <v>6732876.4526930992</v>
      </c>
      <c r="BL123" s="407">
        <f t="shared" si="150"/>
        <v>5828437.7410275005</v>
      </c>
      <c r="BM123" s="407">
        <f t="shared" si="150"/>
        <v>151473074.75888309</v>
      </c>
      <c r="BN123" s="407">
        <f t="shared" si="150"/>
        <v>2.5</v>
      </c>
      <c r="BO123" s="355"/>
      <c r="BP123" s="355"/>
      <c r="BQ123" s="355"/>
      <c r="BR123" s="355"/>
      <c r="BS123" s="355"/>
      <c r="BT123" s="355"/>
      <c r="BU123" s="355"/>
      <c r="BV123" s="355"/>
      <c r="BW123" s="355"/>
      <c r="BX123" s="355"/>
      <c r="BY123" s="355"/>
      <c r="BZ123" s="355"/>
      <c r="CA123" s="355"/>
      <c r="CB123" s="355"/>
      <c r="CC123" s="355"/>
      <c r="CD123" s="355"/>
      <c r="CE123" s="355"/>
      <c r="CF123" s="355"/>
      <c r="CG123" s="355"/>
      <c r="CH123" s="355"/>
      <c r="CI123" s="356"/>
    </row>
    <row r="124" spans="1:87" ht="20.100000000000001" customHeight="1">
      <c r="A124" s="492"/>
      <c r="B124" s="492"/>
      <c r="C124" s="493" t="s">
        <v>1213</v>
      </c>
      <c r="D124" s="493"/>
      <c r="E124" s="493"/>
      <c r="F124" s="493"/>
      <c r="G124" s="493"/>
      <c r="H124" s="494"/>
      <c r="I124" s="493"/>
      <c r="J124" s="493"/>
      <c r="K124" s="495">
        <f>K65+K84+K102+K123</f>
        <v>19985576.039999992</v>
      </c>
      <c r="L124" s="495">
        <f t="shared" ref="L124:BN124" si="151">L123+L102+L84+L65</f>
        <v>440</v>
      </c>
      <c r="M124" s="495">
        <f t="shared" si="151"/>
        <v>424</v>
      </c>
      <c r="N124" s="495">
        <f t="shared" si="151"/>
        <v>396</v>
      </c>
      <c r="O124" s="495">
        <f t="shared" si="151"/>
        <v>481</v>
      </c>
      <c r="P124" s="495">
        <f t="shared" si="151"/>
        <v>432</v>
      </c>
      <c r="Q124" s="495">
        <f t="shared" si="151"/>
        <v>2173</v>
      </c>
      <c r="R124" s="495">
        <f t="shared" si="151"/>
        <v>161</v>
      </c>
      <c r="S124" s="495">
        <f t="shared" si="151"/>
        <v>130</v>
      </c>
      <c r="T124" s="495">
        <f t="shared" si="151"/>
        <v>126</v>
      </c>
      <c r="U124" s="495">
        <f t="shared" si="151"/>
        <v>162</v>
      </c>
      <c r="V124" s="495">
        <f t="shared" si="151"/>
        <v>73</v>
      </c>
      <c r="W124" s="495">
        <f t="shared" si="151"/>
        <v>652</v>
      </c>
      <c r="X124" s="495">
        <f t="shared" si="151"/>
        <v>2825</v>
      </c>
      <c r="Y124" s="495">
        <f t="shared" si="151"/>
        <v>33174796.200000003</v>
      </c>
      <c r="Z124" s="495">
        <f t="shared" si="151"/>
        <v>3292376.4254999999</v>
      </c>
      <c r="AA124" s="495">
        <f t="shared" si="151"/>
        <v>1278</v>
      </c>
      <c r="AB124" s="495">
        <f t="shared" si="151"/>
        <v>591632.83125000005</v>
      </c>
      <c r="AC124" s="495">
        <f t="shared" si="151"/>
        <v>961</v>
      </c>
      <c r="AD124" s="495">
        <f t="shared" si="151"/>
        <v>223369.32187499999</v>
      </c>
      <c r="AE124" s="495">
        <f t="shared" si="151"/>
        <v>836400</v>
      </c>
      <c r="AF124" s="495">
        <f t="shared" si="151"/>
        <v>2065</v>
      </c>
      <c r="AG124" s="495">
        <f t="shared" si="151"/>
        <v>152194.20000000001</v>
      </c>
      <c r="AH124" s="495">
        <f t="shared" si="151"/>
        <v>4</v>
      </c>
      <c r="AI124" s="495">
        <f t="shared" si="151"/>
        <v>389334</v>
      </c>
      <c r="AJ124" s="495">
        <f t="shared" si="151"/>
        <v>2150</v>
      </c>
      <c r="AK124" s="495">
        <f t="shared" si="151"/>
        <v>951213.74999999988</v>
      </c>
      <c r="AL124" s="495">
        <f t="shared" si="151"/>
        <v>2825</v>
      </c>
      <c r="AM124" s="495">
        <f t="shared" si="151"/>
        <v>9952438.8599999994</v>
      </c>
      <c r="AN124" s="495">
        <f t="shared" si="151"/>
        <v>0</v>
      </c>
      <c r="AO124" s="495">
        <f t="shared" si="151"/>
        <v>4598167.2675000001</v>
      </c>
      <c r="AP124" s="495">
        <f t="shared" si="151"/>
        <v>2893530.2880000002</v>
      </c>
      <c r="AQ124" s="495">
        <f t="shared" si="151"/>
        <v>862708.84087499999</v>
      </c>
      <c r="AR124" s="495">
        <f t="shared" si="151"/>
        <v>1981495.4838750004</v>
      </c>
      <c r="AS124" s="495">
        <f t="shared" si="151"/>
        <v>0</v>
      </c>
      <c r="AT124" s="495">
        <f t="shared" si="151"/>
        <v>0</v>
      </c>
      <c r="AU124" s="495">
        <f t="shared" si="151"/>
        <v>0</v>
      </c>
      <c r="AV124" s="495">
        <f t="shared" si="151"/>
        <v>0</v>
      </c>
      <c r="AW124" s="495">
        <f t="shared" si="151"/>
        <v>0</v>
      </c>
      <c r="AX124" s="495">
        <f t="shared" si="151"/>
        <v>2284545</v>
      </c>
      <c r="AY124" s="495">
        <f t="shared" si="151"/>
        <v>88485</v>
      </c>
      <c r="AZ124" s="495">
        <f t="shared" si="151"/>
        <v>29097891.268875003</v>
      </c>
      <c r="BA124" s="495">
        <f t="shared" si="151"/>
        <v>62272687.468875006</v>
      </c>
      <c r="BB124" s="495">
        <f t="shared" si="151"/>
        <v>6227268.7468874995</v>
      </c>
      <c r="BC124" s="495">
        <f t="shared" si="151"/>
        <v>1245453.7493774998</v>
      </c>
      <c r="BD124" s="495">
        <f t="shared" si="151"/>
        <v>4836682.4972610008</v>
      </c>
      <c r="BE124" s="495">
        <f t="shared" si="151"/>
        <v>49963282.475349009</v>
      </c>
      <c r="BF124" s="495">
        <f t="shared" si="151"/>
        <v>747272249.62650001</v>
      </c>
      <c r="BG124" s="495">
        <f t="shared" si="151"/>
        <v>58410342.138750009</v>
      </c>
      <c r="BH124" s="495">
        <f t="shared" si="151"/>
        <v>805682591.76524997</v>
      </c>
      <c r="BI124" s="495">
        <f t="shared" si="151"/>
        <v>36255716.629436255</v>
      </c>
      <c r="BJ124" s="495">
        <f t="shared" si="151"/>
        <v>22418167.488795001</v>
      </c>
      <c r="BK124" s="495">
        <f t="shared" si="151"/>
        <v>41862861.006145194</v>
      </c>
      <c r="BL124" s="495">
        <f t="shared" si="151"/>
        <v>36255716.629436255</v>
      </c>
      <c r="BM124" s="495">
        <f t="shared" si="151"/>
        <v>942475053.51906276</v>
      </c>
      <c r="BN124" s="495">
        <f t="shared" si="151"/>
        <v>5.75</v>
      </c>
      <c r="BO124" s="355"/>
      <c r="BP124" s="355"/>
      <c r="BQ124" s="355"/>
      <c r="BR124" s="355"/>
      <c r="BS124" s="355"/>
      <c r="BT124" s="355"/>
      <c r="BU124" s="355"/>
      <c r="BV124" s="355"/>
      <c r="BW124" s="355"/>
      <c r="BX124" s="355"/>
      <c r="BY124" s="355"/>
      <c r="BZ124" s="355"/>
      <c r="CA124" s="355"/>
      <c r="CB124" s="355"/>
      <c r="CC124" s="355"/>
      <c r="CD124" s="355"/>
      <c r="CE124" s="355"/>
      <c r="CF124" s="355"/>
      <c r="CG124" s="355"/>
      <c r="CH124" s="355"/>
      <c r="CI124" s="356"/>
    </row>
    <row r="125" spans="1:87" ht="31.5">
      <c r="A125" s="369">
        <f>A122+1</f>
        <v>83</v>
      </c>
      <c r="B125" s="416">
        <v>1</v>
      </c>
      <c r="C125" s="409" t="s">
        <v>1214</v>
      </c>
      <c r="D125" s="412" t="s">
        <v>1215</v>
      </c>
      <c r="E125" s="366" t="s">
        <v>998</v>
      </c>
      <c r="F125" s="366" t="s">
        <v>1005</v>
      </c>
      <c r="G125" s="366"/>
      <c r="H125" s="371" t="s">
        <v>1216</v>
      </c>
      <c r="I125" s="366">
        <v>17697</v>
      </c>
      <c r="J125" s="367">
        <v>11.4</v>
      </c>
      <c r="K125" s="367">
        <f t="shared" ref="K125:K134" si="152">I125*J125</f>
        <v>201745.80000000002</v>
      </c>
      <c r="L125" s="496"/>
      <c r="M125" s="496">
        <v>3</v>
      </c>
      <c r="N125" s="496"/>
      <c r="O125" s="496">
        <v>12</v>
      </c>
      <c r="P125" s="496">
        <v>12</v>
      </c>
      <c r="Q125" s="368">
        <f t="shared" ref="Q125:Q134" si="153">SUM(L125:P125)</f>
        <v>27</v>
      </c>
      <c r="R125" s="496"/>
      <c r="S125" s="496"/>
      <c r="T125" s="496"/>
      <c r="U125" s="496"/>
      <c r="V125" s="496"/>
      <c r="W125" s="381">
        <f t="shared" ref="W125:W134" si="154">SUM(R125:V125)</f>
        <v>0</v>
      </c>
      <c r="X125" s="370">
        <f t="shared" ref="X125:X134" si="155">Q125+W125</f>
        <v>27</v>
      </c>
      <c r="Y125" s="367">
        <f t="shared" ref="Y125:Y134" si="156">K125/16*X125</f>
        <v>340446.03750000003</v>
      </c>
      <c r="Z125" s="367">
        <f t="shared" ref="Z125:Z134" si="157">Y125*10%</f>
        <v>34044.603750000002</v>
      </c>
      <c r="AA125" s="497">
        <v>24</v>
      </c>
      <c r="AB125" s="367">
        <f t="shared" ref="AB125:AB134" si="158">I125/16*AA125*50%</f>
        <v>13272.75</v>
      </c>
      <c r="AC125" s="497">
        <v>3</v>
      </c>
      <c r="AD125" s="367">
        <f t="shared" ref="AD125:AD134" si="159">I125/16*AC125*50%*50%</f>
        <v>829.546875</v>
      </c>
      <c r="AE125" s="366">
        <v>196600</v>
      </c>
      <c r="AF125" s="497"/>
      <c r="AG125" s="367"/>
      <c r="AH125" s="497"/>
      <c r="AI125" s="367"/>
      <c r="AJ125" s="372"/>
      <c r="AK125" s="367"/>
      <c r="AL125" s="366">
        <f t="shared" ref="AL125:AL134" si="160">X125</f>
        <v>27</v>
      </c>
      <c r="AM125" s="367">
        <f t="shared" ref="AM125:AM134" si="161">K125/16*AL125*30%</f>
        <v>102133.81125000001</v>
      </c>
      <c r="AN125" s="366" t="str">
        <f t="shared" ref="AN125:AN134" si="162">F125</f>
        <v>Педагог-зерттеуші</v>
      </c>
      <c r="AO125" s="367" t="str">
        <f t="shared" ref="AO125:AO134" si="163">IF(AN125="Педагог-зерттеуші", "0", IF(AN125="Педагог-шебер",K125/16*X125*50%, IF(AN125="Педагог-сарапшы", "0", IF(AN125="Педагог-модератор", "0", "0"))))</f>
        <v>0</v>
      </c>
      <c r="AP125" s="367">
        <f t="shared" ref="AP125:AP134" si="164">IF(AN125="Педагог-шебер", "0", IF(AN125="Педагог-зерттеуші",K125/16*X125*40%, IF(AN125="Педагог-сарапшы", "0", IF(AN125="Педагог-модератор", "0", "0"))))</f>
        <v>136178.41500000001</v>
      </c>
      <c r="AQ125" s="367" t="str">
        <f t="shared" ref="AQ125:AQ134" si="165">IF(AN125="Педагог-шебер", "0", IF(AN125="Педагог-сарапшы",K125/16*X125*35%, IF(AN125="Педагог-зерттеуші", "0", IF(AN125="Педагог-модератор", "0", "0"))))</f>
        <v>0</v>
      </c>
      <c r="AR125" s="367" t="str">
        <f t="shared" ref="AR125:AR134" si="166">IF(AN125="Педагог-шебер", "0", IF(AN125="Педагог-модератор",K125/16*X125*30%, IF(AN125="Педагог-зерттеуші", "0", IF(AN125="Педагог-сарапшы", "0", "0"))))</f>
        <v>0</v>
      </c>
      <c r="AS125" s="497"/>
      <c r="AT125" s="374"/>
      <c r="AU125" s="499"/>
      <c r="AV125" s="374"/>
      <c r="AW125" s="371"/>
      <c r="AX125" s="367"/>
      <c r="AY125" s="374"/>
      <c r="AZ125" s="367">
        <f t="shared" ref="AZ125:AZ134" si="167">Z125+AB125+AD125+AE125+AG125+AI125+AK125+AM125+AO125+AP125+AQ125++AR125+AT125+AV125+AX125+AY125</f>
        <v>483059.12687500007</v>
      </c>
      <c r="BA125" s="373">
        <f t="shared" ref="BA125:BA134" si="168">Y125+AZ125</f>
        <v>823505.16437500017</v>
      </c>
      <c r="BB125" s="374">
        <f t="shared" ref="BB125:BB197" si="169">BA125*10%</f>
        <v>82350.516437500017</v>
      </c>
      <c r="BC125" s="374">
        <f t="shared" ref="BC125:BC197" si="170">BA125*2%</f>
        <v>16470.103287500002</v>
      </c>
      <c r="BD125" s="374">
        <f t="shared" ref="BD125:BD134" si="171">(BA125-BB125-BC125-(14*4335))*10%</f>
        <v>66399.454465000017</v>
      </c>
      <c r="BE125" s="374">
        <f t="shared" ref="BE125:BE197" si="172">BA125-BB125-BC125-BD125</f>
        <v>658285.0901850001</v>
      </c>
      <c r="BF125" s="374">
        <f t="shared" ref="BF125:BF197" si="173">BA125*12</f>
        <v>9882061.972500002</v>
      </c>
      <c r="BG125" s="374">
        <f t="shared" ref="BG125:BG134" si="174">Y125*2</f>
        <v>680892.07500000007</v>
      </c>
      <c r="BH125" s="374">
        <f t="shared" ref="BH125:BH197" si="175">BF125+BG125</f>
        <v>10562954.047500001</v>
      </c>
      <c r="BI125" s="374">
        <f t="shared" ref="BI125:BI194" si="176">BH125*0.9*5%</f>
        <v>475332.93213750003</v>
      </c>
      <c r="BJ125" s="374">
        <f t="shared" ref="BJ125:BJ197" si="177">BF125*3%</f>
        <v>296461.85917500005</v>
      </c>
      <c r="BK125" s="374">
        <f t="shared" ref="BK125:BK194" si="178">(BH125*0.9-(BC125*12))*11%-BI125</f>
        <v>548658.98222550005</v>
      </c>
      <c r="BL125" s="374">
        <f>BH125*4.5%</f>
        <v>475332.93213750003</v>
      </c>
      <c r="BM125" s="373">
        <f t="shared" si="75"/>
        <v>12358740.753175503</v>
      </c>
      <c r="BN125" s="375"/>
      <c r="BO125" s="376"/>
      <c r="BP125" s="377"/>
      <c r="BQ125" s="377"/>
      <c r="BR125" s="377"/>
      <c r="BS125" s="377"/>
      <c r="BT125" s="377"/>
      <c r="BU125" s="377"/>
      <c r="BV125" s="377"/>
      <c r="BW125" s="377"/>
      <c r="BX125" s="377"/>
      <c r="BY125" s="377"/>
      <c r="BZ125" s="377"/>
      <c r="CA125" s="377"/>
      <c r="CB125" s="377"/>
      <c r="CC125" s="377"/>
      <c r="CD125" s="377"/>
      <c r="CE125" s="377"/>
      <c r="CF125" s="377"/>
      <c r="CG125" s="377"/>
      <c r="CH125" s="377"/>
      <c r="CI125" s="377"/>
    </row>
    <row r="126" spans="1:87" ht="63">
      <c r="A126" s="369">
        <f t="shared" ref="A126:B134" si="179">A125+1</f>
        <v>84</v>
      </c>
      <c r="B126" s="416">
        <f t="shared" si="179"/>
        <v>2</v>
      </c>
      <c r="C126" s="409" t="s">
        <v>1217</v>
      </c>
      <c r="D126" s="412" t="s">
        <v>1218</v>
      </c>
      <c r="E126" s="366" t="s">
        <v>998</v>
      </c>
      <c r="F126" s="366" t="s">
        <v>1005</v>
      </c>
      <c r="G126" s="366"/>
      <c r="H126" s="371" t="s">
        <v>1219</v>
      </c>
      <c r="I126" s="366">
        <v>17697</v>
      </c>
      <c r="J126" s="367">
        <v>11.4</v>
      </c>
      <c r="K126" s="367">
        <f t="shared" si="152"/>
        <v>201745.80000000002</v>
      </c>
      <c r="L126" s="496"/>
      <c r="M126" s="496">
        <v>3</v>
      </c>
      <c r="N126" s="496"/>
      <c r="O126" s="496">
        <v>12</v>
      </c>
      <c r="P126" s="496">
        <v>12</v>
      </c>
      <c r="Q126" s="368">
        <f t="shared" si="153"/>
        <v>27</v>
      </c>
      <c r="R126" s="496"/>
      <c r="S126" s="496"/>
      <c r="T126" s="496"/>
      <c r="U126" s="496"/>
      <c r="V126" s="496">
        <v>6</v>
      </c>
      <c r="W126" s="381">
        <f t="shared" si="154"/>
        <v>6</v>
      </c>
      <c r="X126" s="370">
        <f t="shared" si="155"/>
        <v>33</v>
      </c>
      <c r="Y126" s="367">
        <f t="shared" si="156"/>
        <v>416100.71250000002</v>
      </c>
      <c r="Z126" s="367">
        <f t="shared" si="157"/>
        <v>41610.071250000008</v>
      </c>
      <c r="AA126" s="497">
        <v>21</v>
      </c>
      <c r="AB126" s="367">
        <f t="shared" si="158"/>
        <v>11613.65625</v>
      </c>
      <c r="AC126" s="497">
        <v>6</v>
      </c>
      <c r="AD126" s="367">
        <f t="shared" si="159"/>
        <v>1659.09375</v>
      </c>
      <c r="AE126" s="497"/>
      <c r="AF126" s="497"/>
      <c r="AG126" s="367"/>
      <c r="AH126" s="497"/>
      <c r="AI126" s="374"/>
      <c r="AJ126" s="372"/>
      <c r="AK126" s="367"/>
      <c r="AL126" s="366">
        <f t="shared" si="160"/>
        <v>33</v>
      </c>
      <c r="AM126" s="367">
        <f t="shared" si="161"/>
        <v>124830.21375</v>
      </c>
      <c r="AN126" s="366" t="str">
        <f t="shared" si="162"/>
        <v>Педагог-зерттеуші</v>
      </c>
      <c r="AO126" s="367" t="str">
        <f t="shared" si="163"/>
        <v>0</v>
      </c>
      <c r="AP126" s="367">
        <f t="shared" si="164"/>
        <v>166440.28500000003</v>
      </c>
      <c r="AQ126" s="367" t="str">
        <f t="shared" si="165"/>
        <v>0</v>
      </c>
      <c r="AR126" s="367" t="str">
        <f t="shared" si="166"/>
        <v>0</v>
      </c>
      <c r="AS126" s="497"/>
      <c r="AT126" s="374"/>
      <c r="AU126" s="499"/>
      <c r="AV126" s="374"/>
      <c r="AW126" s="371"/>
      <c r="AX126" s="367"/>
      <c r="AY126" s="374"/>
      <c r="AZ126" s="367">
        <f t="shared" si="167"/>
        <v>346153.32000000007</v>
      </c>
      <c r="BA126" s="373">
        <f t="shared" si="168"/>
        <v>762254.03250000009</v>
      </c>
      <c r="BB126" s="374">
        <f t="shared" si="169"/>
        <v>76225.403250000018</v>
      </c>
      <c r="BC126" s="374">
        <f t="shared" si="170"/>
        <v>15245.080650000002</v>
      </c>
      <c r="BD126" s="374">
        <f t="shared" si="171"/>
        <v>61009.354860000014</v>
      </c>
      <c r="BE126" s="374">
        <f t="shared" si="172"/>
        <v>609774.19374000013</v>
      </c>
      <c r="BF126" s="374">
        <f t="shared" si="173"/>
        <v>9147048.3900000006</v>
      </c>
      <c r="BG126" s="374">
        <f t="shared" si="174"/>
        <v>832201.42500000005</v>
      </c>
      <c r="BH126" s="374">
        <f t="shared" si="175"/>
        <v>9979249.8150000013</v>
      </c>
      <c r="BI126" s="374">
        <f t="shared" si="176"/>
        <v>449066.24167500011</v>
      </c>
      <c r="BJ126" s="374">
        <f t="shared" si="177"/>
        <v>274411.45170000003</v>
      </c>
      <c r="BK126" s="374">
        <f t="shared" si="178"/>
        <v>518755.98355199996</v>
      </c>
      <c r="BL126" s="374">
        <f t="shared" ref="BL126:BL134" si="180">BH126*4.5%</f>
        <v>449066.24167500006</v>
      </c>
      <c r="BM126" s="373">
        <f t="shared" si="75"/>
        <v>11670549.733602002</v>
      </c>
      <c r="BN126" s="375"/>
      <c r="BO126" s="377"/>
      <c r="BP126" s="377"/>
      <c r="BQ126" s="377"/>
      <c r="BR126" s="377"/>
      <c r="BS126" s="377"/>
      <c r="BT126" s="377"/>
      <c r="BU126" s="377"/>
      <c r="BV126" s="377"/>
      <c r="BW126" s="377"/>
      <c r="BX126" s="377"/>
      <c r="BY126" s="377"/>
      <c r="BZ126" s="377"/>
      <c r="CA126" s="377"/>
      <c r="CB126" s="377"/>
      <c r="CC126" s="377"/>
      <c r="CD126" s="377"/>
      <c r="CE126" s="377"/>
      <c r="CF126" s="377"/>
      <c r="CG126" s="377"/>
      <c r="CH126" s="377"/>
      <c r="CI126" s="377"/>
    </row>
    <row r="127" spans="1:87" ht="31.5">
      <c r="A127" s="369">
        <f t="shared" si="179"/>
        <v>85</v>
      </c>
      <c r="B127" s="416">
        <f t="shared" si="179"/>
        <v>3</v>
      </c>
      <c r="C127" s="409" t="s">
        <v>1220</v>
      </c>
      <c r="D127" s="412" t="s">
        <v>1221</v>
      </c>
      <c r="E127" s="366" t="s">
        <v>998</v>
      </c>
      <c r="F127" s="366"/>
      <c r="G127" s="500"/>
      <c r="H127" s="371" t="s">
        <v>1222</v>
      </c>
      <c r="I127" s="366">
        <v>17697</v>
      </c>
      <c r="J127" s="367">
        <v>11.4</v>
      </c>
      <c r="K127" s="367">
        <f t="shared" si="152"/>
        <v>201745.80000000002</v>
      </c>
      <c r="L127" s="496">
        <v>15</v>
      </c>
      <c r="M127" s="496">
        <v>3</v>
      </c>
      <c r="N127" s="496"/>
      <c r="O127" s="496"/>
      <c r="P127" s="496"/>
      <c r="Q127" s="368">
        <f t="shared" si="153"/>
        <v>18</v>
      </c>
      <c r="R127" s="496"/>
      <c r="S127" s="496"/>
      <c r="T127" s="496"/>
      <c r="U127" s="496"/>
      <c r="V127" s="496"/>
      <c r="W127" s="381">
        <f t="shared" si="154"/>
        <v>0</v>
      </c>
      <c r="X127" s="370">
        <f t="shared" si="155"/>
        <v>18</v>
      </c>
      <c r="Y127" s="367">
        <f t="shared" si="156"/>
        <v>226964.02500000002</v>
      </c>
      <c r="Z127" s="367">
        <f t="shared" si="157"/>
        <v>22696.402500000004</v>
      </c>
      <c r="AA127" s="497">
        <v>3</v>
      </c>
      <c r="AB127" s="367">
        <f t="shared" si="158"/>
        <v>1659.09375</v>
      </c>
      <c r="AC127" s="497">
        <v>15</v>
      </c>
      <c r="AD127" s="367">
        <f t="shared" si="159"/>
        <v>4147.734375</v>
      </c>
      <c r="AE127" s="497"/>
      <c r="AF127" s="497" t="s">
        <v>1223</v>
      </c>
      <c r="AG127" s="367">
        <f t="shared" ref="AG127" si="181">17697*20%</f>
        <v>3539.4</v>
      </c>
      <c r="AH127" s="497"/>
      <c r="AI127" s="367"/>
      <c r="AJ127" s="372"/>
      <c r="AK127" s="367"/>
      <c r="AL127" s="366">
        <f t="shared" si="160"/>
        <v>18</v>
      </c>
      <c r="AM127" s="367">
        <f t="shared" si="161"/>
        <v>68089.207500000004</v>
      </c>
      <c r="AN127" s="366">
        <f t="shared" si="162"/>
        <v>0</v>
      </c>
      <c r="AO127" s="367" t="str">
        <f t="shared" si="163"/>
        <v>0</v>
      </c>
      <c r="AP127" s="367" t="str">
        <f t="shared" si="164"/>
        <v>0</v>
      </c>
      <c r="AQ127" s="367" t="str">
        <f t="shared" si="165"/>
        <v>0</v>
      </c>
      <c r="AR127" s="367" t="str">
        <f t="shared" si="166"/>
        <v>0</v>
      </c>
      <c r="AS127" s="497"/>
      <c r="AT127" s="374"/>
      <c r="AU127" s="499"/>
      <c r="AV127" s="374"/>
      <c r="AW127" s="371"/>
      <c r="AX127" s="367"/>
      <c r="AY127" s="374"/>
      <c r="AZ127" s="367">
        <f t="shared" si="167"/>
        <v>100131.83812500001</v>
      </c>
      <c r="BA127" s="373">
        <f t="shared" si="168"/>
        <v>327095.86312500003</v>
      </c>
      <c r="BB127" s="374">
        <f t="shared" si="169"/>
        <v>32709.586312500003</v>
      </c>
      <c r="BC127" s="374">
        <f t="shared" si="170"/>
        <v>6541.917262500001</v>
      </c>
      <c r="BD127" s="374">
        <f t="shared" si="171"/>
        <v>22715.435955000008</v>
      </c>
      <c r="BE127" s="374">
        <f t="shared" si="172"/>
        <v>265128.92359500006</v>
      </c>
      <c r="BF127" s="374">
        <f t="shared" si="173"/>
        <v>3925150.3575000004</v>
      </c>
      <c r="BG127" s="374">
        <f t="shared" si="174"/>
        <v>453928.05000000005</v>
      </c>
      <c r="BH127" s="374">
        <f t="shared" si="175"/>
        <v>4379078.4075000007</v>
      </c>
      <c r="BI127" s="374">
        <f t="shared" si="176"/>
        <v>197058.52833750006</v>
      </c>
      <c r="BJ127" s="374">
        <f t="shared" si="177"/>
        <v>117754.51072500001</v>
      </c>
      <c r="BK127" s="374">
        <f t="shared" si="178"/>
        <v>227834.90321850003</v>
      </c>
      <c r="BL127" s="374">
        <f t="shared" si="180"/>
        <v>197058.52833750003</v>
      </c>
      <c r="BM127" s="373">
        <f t="shared" si="75"/>
        <v>5118784.878118501</v>
      </c>
      <c r="BN127" s="375"/>
      <c r="BO127" s="377"/>
      <c r="BP127" s="377"/>
      <c r="BQ127" s="377"/>
      <c r="BR127" s="377"/>
      <c r="BS127" s="377"/>
      <c r="BT127" s="377"/>
      <c r="BU127" s="377"/>
      <c r="BV127" s="377"/>
      <c r="BW127" s="377"/>
      <c r="BX127" s="377"/>
      <c r="BY127" s="377"/>
      <c r="BZ127" s="377"/>
      <c r="CA127" s="377"/>
      <c r="CB127" s="377"/>
      <c r="CC127" s="377"/>
      <c r="CD127" s="377"/>
      <c r="CE127" s="377"/>
      <c r="CF127" s="377"/>
      <c r="CG127" s="377"/>
      <c r="CH127" s="377"/>
      <c r="CI127" s="377"/>
    </row>
    <row r="128" spans="1:87" ht="110.25">
      <c r="A128" s="369">
        <f t="shared" si="179"/>
        <v>86</v>
      </c>
      <c r="B128" s="416">
        <f t="shared" si="179"/>
        <v>4</v>
      </c>
      <c r="C128" s="409" t="s">
        <v>1224</v>
      </c>
      <c r="D128" s="412" t="s">
        <v>1225</v>
      </c>
      <c r="E128" s="366" t="s">
        <v>998</v>
      </c>
      <c r="F128" s="366" t="s">
        <v>999</v>
      </c>
      <c r="G128" s="366" t="s">
        <v>1226</v>
      </c>
      <c r="H128" s="371" t="s">
        <v>1227</v>
      </c>
      <c r="I128" s="366">
        <v>17697</v>
      </c>
      <c r="J128" s="367">
        <v>11.4</v>
      </c>
      <c r="K128" s="367">
        <f t="shared" si="152"/>
        <v>201745.80000000002</v>
      </c>
      <c r="L128" s="496">
        <v>20</v>
      </c>
      <c r="M128" s="496"/>
      <c r="N128" s="496"/>
      <c r="O128" s="496">
        <v>9</v>
      </c>
      <c r="P128" s="496"/>
      <c r="Q128" s="368">
        <f t="shared" si="153"/>
        <v>29</v>
      </c>
      <c r="R128" s="496"/>
      <c r="S128" s="496">
        <v>1</v>
      </c>
      <c r="T128" s="496"/>
      <c r="U128" s="496"/>
      <c r="V128" s="496">
        <v>5</v>
      </c>
      <c r="W128" s="381">
        <f t="shared" si="154"/>
        <v>6</v>
      </c>
      <c r="X128" s="370">
        <f t="shared" si="155"/>
        <v>35</v>
      </c>
      <c r="Y128" s="367">
        <f t="shared" si="156"/>
        <v>441318.93750000006</v>
      </c>
      <c r="Z128" s="367">
        <f t="shared" si="157"/>
        <v>44131.89375000001</v>
      </c>
      <c r="AA128" s="501">
        <v>29</v>
      </c>
      <c r="AB128" s="367">
        <f t="shared" si="158"/>
        <v>16037.90625</v>
      </c>
      <c r="AC128" s="497"/>
      <c r="AD128" s="367">
        <f t="shared" si="159"/>
        <v>0</v>
      </c>
      <c r="AE128" s="497"/>
      <c r="AF128" s="497"/>
      <c r="AG128" s="367"/>
      <c r="AH128" s="497" t="s">
        <v>1228</v>
      </c>
      <c r="AI128" s="367">
        <f t="shared" ref="AI128:AI134" si="182">I128*200%</f>
        <v>35394</v>
      </c>
      <c r="AJ128" s="372"/>
      <c r="AK128" s="367"/>
      <c r="AL128" s="366">
        <f t="shared" si="160"/>
        <v>35</v>
      </c>
      <c r="AM128" s="367">
        <f t="shared" si="161"/>
        <v>132395.68125000002</v>
      </c>
      <c r="AN128" s="366" t="str">
        <f t="shared" si="162"/>
        <v>Педагог-шебер</v>
      </c>
      <c r="AO128" s="367">
        <f t="shared" si="163"/>
        <v>220659.46875000003</v>
      </c>
      <c r="AP128" s="367" t="str">
        <f t="shared" si="164"/>
        <v>0</v>
      </c>
      <c r="AQ128" s="367" t="str">
        <f t="shared" si="165"/>
        <v>0</v>
      </c>
      <c r="AR128" s="367" t="str">
        <f t="shared" si="166"/>
        <v>0</v>
      </c>
      <c r="AS128" s="497"/>
      <c r="AT128" s="374"/>
      <c r="AU128" s="499"/>
      <c r="AV128" s="374"/>
      <c r="AW128" s="371" t="str">
        <f>G128</f>
        <v>Магистр-педагогика</v>
      </c>
      <c r="AX128" s="372">
        <f>10*4335</f>
        <v>43350</v>
      </c>
      <c r="AY128" s="374"/>
      <c r="AZ128" s="367">
        <f t="shared" si="167"/>
        <v>491968.95000000007</v>
      </c>
      <c r="BA128" s="373">
        <f t="shared" si="168"/>
        <v>933287.88750000019</v>
      </c>
      <c r="BB128" s="374">
        <f t="shared" si="169"/>
        <v>93328.788750000022</v>
      </c>
      <c r="BC128" s="374">
        <f t="shared" si="170"/>
        <v>18665.757750000004</v>
      </c>
      <c r="BD128" s="374">
        <f t="shared" si="171"/>
        <v>76060.334100000022</v>
      </c>
      <c r="BE128" s="374">
        <f t="shared" si="172"/>
        <v>745233.00690000015</v>
      </c>
      <c r="BF128" s="374">
        <f t="shared" si="173"/>
        <v>11199454.650000002</v>
      </c>
      <c r="BG128" s="374">
        <f t="shared" si="174"/>
        <v>882637.87500000012</v>
      </c>
      <c r="BH128" s="374">
        <f t="shared" si="175"/>
        <v>12082092.525000002</v>
      </c>
      <c r="BI128" s="374">
        <f t="shared" si="176"/>
        <v>543694.16362500016</v>
      </c>
      <c r="BJ128" s="374">
        <f t="shared" si="177"/>
        <v>335983.63950000005</v>
      </c>
      <c r="BK128" s="374">
        <f t="shared" si="178"/>
        <v>627794.1961200001</v>
      </c>
      <c r="BL128" s="374">
        <f t="shared" si="180"/>
        <v>543694.16362500004</v>
      </c>
      <c r="BM128" s="373">
        <f t="shared" si="75"/>
        <v>14133258.687870001</v>
      </c>
      <c r="BN128" s="375"/>
      <c r="BO128" s="377"/>
      <c r="BP128" s="377"/>
      <c r="BQ128" s="377"/>
      <c r="BR128" s="377"/>
      <c r="BS128" s="377"/>
      <c r="BT128" s="377"/>
      <c r="BU128" s="377"/>
      <c r="BV128" s="377"/>
      <c r="BW128" s="377"/>
      <c r="BX128" s="377"/>
      <c r="BY128" s="377"/>
      <c r="BZ128" s="377"/>
      <c r="CA128" s="377"/>
      <c r="CB128" s="377"/>
      <c r="CC128" s="377"/>
      <c r="CD128" s="377"/>
      <c r="CE128" s="377"/>
      <c r="CF128" s="377"/>
      <c r="CG128" s="377"/>
      <c r="CH128" s="377"/>
      <c r="CI128" s="377"/>
    </row>
    <row r="129" spans="1:87" ht="30">
      <c r="A129" s="369">
        <f t="shared" si="179"/>
        <v>87</v>
      </c>
      <c r="B129" s="416">
        <f t="shared" si="179"/>
        <v>5</v>
      </c>
      <c r="C129" s="409" t="s">
        <v>511</v>
      </c>
      <c r="D129" s="412" t="s">
        <v>1229</v>
      </c>
      <c r="E129" s="366" t="s">
        <v>998</v>
      </c>
      <c r="F129" s="366" t="s">
        <v>1005</v>
      </c>
      <c r="G129" s="366"/>
      <c r="H129" s="371" t="s">
        <v>1436</v>
      </c>
      <c r="I129" s="366">
        <v>17697</v>
      </c>
      <c r="J129" s="367">
        <v>11.18</v>
      </c>
      <c r="K129" s="367">
        <f t="shared" si="152"/>
        <v>197852.46</v>
      </c>
      <c r="L129" s="496"/>
      <c r="M129" s="496">
        <v>6</v>
      </c>
      <c r="N129" s="496"/>
      <c r="O129" s="496"/>
      <c r="P129" s="496"/>
      <c r="Q129" s="368">
        <f t="shared" si="153"/>
        <v>6</v>
      </c>
      <c r="R129" s="496"/>
      <c r="S129" s="496"/>
      <c r="T129" s="496"/>
      <c r="U129" s="496"/>
      <c r="V129" s="496"/>
      <c r="W129" s="381">
        <f t="shared" si="154"/>
        <v>0</v>
      </c>
      <c r="X129" s="370">
        <f t="shared" si="155"/>
        <v>6</v>
      </c>
      <c r="Y129" s="367">
        <f t="shared" si="156"/>
        <v>74194.672500000001</v>
      </c>
      <c r="Z129" s="367"/>
      <c r="AA129" s="497">
        <v>3</v>
      </c>
      <c r="AB129" s="367">
        <f t="shared" si="158"/>
        <v>1659.09375</v>
      </c>
      <c r="AC129" s="497">
        <v>3</v>
      </c>
      <c r="AD129" s="367">
        <f t="shared" si="159"/>
        <v>829.546875</v>
      </c>
      <c r="AE129" s="497"/>
      <c r="AF129" s="497"/>
      <c r="AG129" s="367"/>
      <c r="AH129" s="501" t="s">
        <v>1230</v>
      </c>
      <c r="AI129" s="479">
        <f t="shared" si="182"/>
        <v>35394</v>
      </c>
      <c r="AJ129" s="372"/>
      <c r="AK129" s="367"/>
      <c r="AL129" s="366">
        <f t="shared" si="160"/>
        <v>6</v>
      </c>
      <c r="AM129" s="367">
        <f t="shared" si="161"/>
        <v>22258.401750000001</v>
      </c>
      <c r="AN129" s="366" t="str">
        <f t="shared" si="162"/>
        <v>Педагог-зерттеуші</v>
      </c>
      <c r="AO129" s="367" t="str">
        <f t="shared" si="163"/>
        <v>0</v>
      </c>
      <c r="AP129" s="367">
        <f t="shared" si="164"/>
        <v>29677.869000000002</v>
      </c>
      <c r="AQ129" s="367" t="str">
        <f t="shared" si="165"/>
        <v>0</v>
      </c>
      <c r="AR129" s="367" t="str">
        <f t="shared" si="166"/>
        <v>0</v>
      </c>
      <c r="AS129" s="497"/>
      <c r="AT129" s="374"/>
      <c r="AU129" s="499"/>
      <c r="AV129" s="374"/>
      <c r="AW129" s="371"/>
      <c r="AX129" s="367"/>
      <c r="AY129" s="374"/>
      <c r="AZ129" s="367">
        <f t="shared" si="167"/>
        <v>89818.911375000011</v>
      </c>
      <c r="BA129" s="373">
        <f t="shared" si="168"/>
        <v>164013.58387500001</v>
      </c>
      <c r="BB129" s="374">
        <f t="shared" si="169"/>
        <v>16401.3583875</v>
      </c>
      <c r="BC129" s="374">
        <f t="shared" si="170"/>
        <v>3280.2716775000004</v>
      </c>
      <c r="BD129" s="374">
        <f t="shared" si="171"/>
        <v>8364.1953810000032</v>
      </c>
      <c r="BE129" s="374">
        <f t="shared" si="172"/>
        <v>135967.75842900004</v>
      </c>
      <c r="BF129" s="374">
        <f t="shared" si="173"/>
        <v>1968163.0065000001</v>
      </c>
      <c r="BG129" s="374">
        <f t="shared" si="174"/>
        <v>148389.345</v>
      </c>
      <c r="BH129" s="374">
        <f t="shared" si="175"/>
        <v>2116552.3515000003</v>
      </c>
      <c r="BI129" s="374">
        <f t="shared" si="176"/>
        <v>95244.855817500022</v>
      </c>
      <c r="BJ129" s="374">
        <f t="shared" si="177"/>
        <v>59044.890195</v>
      </c>
      <c r="BK129" s="374">
        <f t="shared" si="178"/>
        <v>109963.8683667</v>
      </c>
      <c r="BL129" s="374">
        <f t="shared" si="180"/>
        <v>95244.855817500007</v>
      </c>
      <c r="BM129" s="373">
        <f t="shared" si="75"/>
        <v>2476050.8216967005</v>
      </c>
      <c r="BN129" s="375">
        <v>1</v>
      </c>
      <c r="BO129" s="377"/>
      <c r="BP129" s="377"/>
      <c r="BQ129" s="377"/>
      <c r="BR129" s="377"/>
      <c r="BS129" s="377"/>
      <c r="BT129" s="377"/>
      <c r="BU129" s="377"/>
      <c r="BV129" s="377"/>
      <c r="BW129" s="377"/>
      <c r="BX129" s="377"/>
      <c r="BY129" s="377"/>
      <c r="BZ129" s="377"/>
      <c r="CA129" s="377"/>
      <c r="CB129" s="377"/>
      <c r="CC129" s="377"/>
      <c r="CD129" s="377"/>
      <c r="CE129" s="377"/>
      <c r="CF129" s="377"/>
      <c r="CG129" s="377"/>
      <c r="CH129" s="377"/>
      <c r="CI129" s="377"/>
    </row>
    <row r="130" spans="1:87" ht="47.25">
      <c r="A130" s="369">
        <f t="shared" si="179"/>
        <v>88</v>
      </c>
      <c r="B130" s="416">
        <f t="shared" si="179"/>
        <v>6</v>
      </c>
      <c r="C130" s="409" t="s">
        <v>1231</v>
      </c>
      <c r="D130" s="412" t="s">
        <v>1232</v>
      </c>
      <c r="E130" s="366" t="s">
        <v>998</v>
      </c>
      <c r="F130" s="366"/>
      <c r="G130" s="366"/>
      <c r="H130" s="371" t="s">
        <v>1437</v>
      </c>
      <c r="I130" s="366">
        <v>17697</v>
      </c>
      <c r="J130" s="367">
        <v>9.66</v>
      </c>
      <c r="K130" s="367">
        <f t="shared" si="152"/>
        <v>170953.02</v>
      </c>
      <c r="L130" s="496"/>
      <c r="M130" s="496">
        <v>7</v>
      </c>
      <c r="N130" s="496">
        <v>3</v>
      </c>
      <c r="O130" s="496">
        <v>6</v>
      </c>
      <c r="P130" s="496"/>
      <c r="Q130" s="368">
        <f t="shared" si="153"/>
        <v>16</v>
      </c>
      <c r="R130" s="496"/>
      <c r="S130" s="496"/>
      <c r="T130" s="496"/>
      <c r="U130" s="496"/>
      <c r="V130" s="496"/>
      <c r="W130" s="381">
        <f t="shared" si="154"/>
        <v>0</v>
      </c>
      <c r="X130" s="370">
        <f t="shared" si="155"/>
        <v>16</v>
      </c>
      <c r="Y130" s="367">
        <f t="shared" si="156"/>
        <v>170953.02</v>
      </c>
      <c r="Z130" s="367">
        <f t="shared" si="157"/>
        <v>17095.302</v>
      </c>
      <c r="AA130" s="497">
        <v>16</v>
      </c>
      <c r="AB130" s="367">
        <f t="shared" si="158"/>
        <v>8848.5</v>
      </c>
      <c r="AC130" s="497"/>
      <c r="AD130" s="367">
        <f t="shared" si="159"/>
        <v>0</v>
      </c>
      <c r="AE130" s="497"/>
      <c r="AF130" s="497"/>
      <c r="AG130" s="367"/>
      <c r="AH130" s="501"/>
      <c r="AI130" s="479"/>
      <c r="AJ130" s="372"/>
      <c r="AK130" s="367"/>
      <c r="AL130" s="366">
        <f t="shared" si="160"/>
        <v>16</v>
      </c>
      <c r="AM130" s="367">
        <f t="shared" si="161"/>
        <v>51285.905999999995</v>
      </c>
      <c r="AN130" s="366">
        <f t="shared" si="162"/>
        <v>0</v>
      </c>
      <c r="AO130" s="367" t="str">
        <f t="shared" si="163"/>
        <v>0</v>
      </c>
      <c r="AP130" s="367" t="str">
        <f t="shared" si="164"/>
        <v>0</v>
      </c>
      <c r="AQ130" s="367" t="str">
        <f t="shared" si="165"/>
        <v>0</v>
      </c>
      <c r="AR130" s="367" t="str">
        <f t="shared" si="166"/>
        <v>0</v>
      </c>
      <c r="AS130" s="497"/>
      <c r="AT130" s="374"/>
      <c r="AU130" s="499"/>
      <c r="AV130" s="374"/>
      <c r="AW130" s="371"/>
      <c r="AX130" s="367"/>
      <c r="AY130" s="374"/>
      <c r="AZ130" s="367">
        <f t="shared" si="167"/>
        <v>77229.707999999999</v>
      </c>
      <c r="BA130" s="373">
        <f t="shared" si="168"/>
        <v>248182.728</v>
      </c>
      <c r="BB130" s="374">
        <f t="shared" si="169"/>
        <v>24818.272800000002</v>
      </c>
      <c r="BC130" s="374">
        <f t="shared" si="170"/>
        <v>4963.6545599999999</v>
      </c>
      <c r="BD130" s="374">
        <f t="shared" si="171"/>
        <v>15771.080064000002</v>
      </c>
      <c r="BE130" s="374">
        <f t="shared" si="172"/>
        <v>202629.72057599999</v>
      </c>
      <c r="BF130" s="374">
        <f t="shared" si="173"/>
        <v>2978192.736</v>
      </c>
      <c r="BG130" s="374">
        <f t="shared" si="174"/>
        <v>341906.04</v>
      </c>
      <c r="BH130" s="374">
        <f t="shared" si="175"/>
        <v>3320098.7760000001</v>
      </c>
      <c r="BI130" s="374">
        <f t="shared" si="176"/>
        <v>149404.44492000001</v>
      </c>
      <c r="BJ130" s="374">
        <f t="shared" si="177"/>
        <v>89345.782080000004</v>
      </c>
      <c r="BK130" s="374">
        <f t="shared" si="178"/>
        <v>172733.30988480002</v>
      </c>
      <c r="BL130" s="374">
        <f t="shared" si="180"/>
        <v>149404.44492000001</v>
      </c>
      <c r="BM130" s="373">
        <f t="shared" ref="BM130:BM165" si="183">BH130+BI130+BJ130+BK130+BL130</f>
        <v>3880986.7578048003</v>
      </c>
      <c r="BN130" s="375"/>
      <c r="BO130" s="377"/>
      <c r="BP130" s="377"/>
      <c r="BQ130" s="377"/>
      <c r="BR130" s="377"/>
      <c r="BS130" s="377"/>
      <c r="BT130" s="377"/>
      <c r="BU130" s="377"/>
      <c r="BV130" s="377"/>
      <c r="BW130" s="377"/>
      <c r="BX130" s="377"/>
      <c r="BY130" s="377"/>
      <c r="BZ130" s="377"/>
      <c r="CA130" s="377"/>
      <c r="CB130" s="377"/>
      <c r="CC130" s="377"/>
      <c r="CD130" s="377"/>
      <c r="CE130" s="377"/>
      <c r="CF130" s="377"/>
      <c r="CG130" s="377"/>
      <c r="CH130" s="377"/>
      <c r="CI130" s="377"/>
    </row>
    <row r="131" spans="1:87" ht="31.5">
      <c r="A131" s="369">
        <f t="shared" si="179"/>
        <v>89</v>
      </c>
      <c r="B131" s="416">
        <f t="shared" si="179"/>
        <v>7</v>
      </c>
      <c r="C131" s="409" t="s">
        <v>1233</v>
      </c>
      <c r="D131" s="502" t="s">
        <v>1234</v>
      </c>
      <c r="E131" s="366" t="s">
        <v>998</v>
      </c>
      <c r="F131" s="366" t="s">
        <v>1005</v>
      </c>
      <c r="G131" s="366"/>
      <c r="H131" s="371" t="s">
        <v>1438</v>
      </c>
      <c r="I131" s="366">
        <v>17697</v>
      </c>
      <c r="J131" s="367">
        <v>11.18</v>
      </c>
      <c r="K131" s="367">
        <f t="shared" si="152"/>
        <v>197852.46</v>
      </c>
      <c r="L131" s="496">
        <v>15</v>
      </c>
      <c r="M131" s="496"/>
      <c r="N131" s="496">
        <v>12</v>
      </c>
      <c r="O131" s="496"/>
      <c r="P131" s="496"/>
      <c r="Q131" s="368">
        <f t="shared" si="153"/>
        <v>27</v>
      </c>
      <c r="R131" s="496"/>
      <c r="S131" s="496"/>
      <c r="T131" s="496"/>
      <c r="U131" s="496"/>
      <c r="V131" s="496"/>
      <c r="W131" s="381">
        <f t="shared" si="154"/>
        <v>0</v>
      </c>
      <c r="X131" s="370">
        <f t="shared" si="155"/>
        <v>27</v>
      </c>
      <c r="Y131" s="367">
        <f t="shared" si="156"/>
        <v>333876.02625</v>
      </c>
      <c r="Z131" s="367">
        <f t="shared" si="157"/>
        <v>33387.602625</v>
      </c>
      <c r="AA131" s="497">
        <v>12</v>
      </c>
      <c r="AB131" s="367">
        <f t="shared" si="158"/>
        <v>6636.375</v>
      </c>
      <c r="AC131" s="497">
        <v>15</v>
      </c>
      <c r="AD131" s="367">
        <f t="shared" si="159"/>
        <v>4147.734375</v>
      </c>
      <c r="AE131" s="497"/>
      <c r="AF131" s="497" t="s">
        <v>1235</v>
      </c>
      <c r="AG131" s="367">
        <f t="shared" ref="AG131:AG134" si="184">17697*20%</f>
        <v>3539.4</v>
      </c>
      <c r="AH131" s="497" t="s">
        <v>545</v>
      </c>
      <c r="AI131" s="479">
        <f t="shared" si="182"/>
        <v>35394</v>
      </c>
      <c r="AJ131" s="372"/>
      <c r="AK131" s="367"/>
      <c r="AL131" s="366">
        <f t="shared" si="160"/>
        <v>27</v>
      </c>
      <c r="AM131" s="367">
        <f t="shared" si="161"/>
        <v>100162.807875</v>
      </c>
      <c r="AN131" s="366" t="str">
        <f t="shared" si="162"/>
        <v>Педагог-зерттеуші</v>
      </c>
      <c r="AO131" s="367" t="str">
        <f t="shared" si="163"/>
        <v>0</v>
      </c>
      <c r="AP131" s="367">
        <f t="shared" si="164"/>
        <v>133550.4105</v>
      </c>
      <c r="AQ131" s="367" t="str">
        <f t="shared" si="165"/>
        <v>0</v>
      </c>
      <c r="AR131" s="367" t="str">
        <f t="shared" si="166"/>
        <v>0</v>
      </c>
      <c r="AS131" s="497"/>
      <c r="AT131" s="374"/>
      <c r="AU131" s="499"/>
      <c r="AV131" s="374"/>
      <c r="AW131" s="371"/>
      <c r="AX131" s="367"/>
      <c r="AY131" s="374"/>
      <c r="AZ131" s="367">
        <f t="shared" si="167"/>
        <v>316818.33037500002</v>
      </c>
      <c r="BA131" s="373">
        <f t="shared" si="168"/>
        <v>650694.35662500001</v>
      </c>
      <c r="BB131" s="374">
        <f t="shared" si="169"/>
        <v>65069.435662500007</v>
      </c>
      <c r="BC131" s="374">
        <f t="shared" si="170"/>
        <v>13013.8871325</v>
      </c>
      <c r="BD131" s="374">
        <f t="shared" si="171"/>
        <v>51192.103383000009</v>
      </c>
      <c r="BE131" s="374">
        <f t="shared" si="172"/>
        <v>521418.93044700008</v>
      </c>
      <c r="BF131" s="374">
        <f t="shared" si="173"/>
        <v>7808332.2795000002</v>
      </c>
      <c r="BG131" s="374">
        <f t="shared" si="174"/>
        <v>667752.05249999999</v>
      </c>
      <c r="BH131" s="374">
        <f t="shared" si="175"/>
        <v>8476084.3320000004</v>
      </c>
      <c r="BI131" s="374">
        <f t="shared" si="176"/>
        <v>381423.79494000005</v>
      </c>
      <c r="BJ131" s="374">
        <f t="shared" si="177"/>
        <v>234249.96838499999</v>
      </c>
      <c r="BK131" s="374">
        <f t="shared" si="178"/>
        <v>440530.22291310003</v>
      </c>
      <c r="BL131" s="374">
        <f t="shared" si="180"/>
        <v>381423.79493999999</v>
      </c>
      <c r="BM131" s="373">
        <f t="shared" si="183"/>
        <v>9913712.1131781004</v>
      </c>
      <c r="BN131" s="375"/>
      <c r="BO131" s="377"/>
      <c r="BP131" s="377"/>
      <c r="BQ131" s="377"/>
      <c r="BR131" s="377"/>
      <c r="BS131" s="377"/>
      <c r="BT131" s="377"/>
      <c r="BU131" s="377"/>
      <c r="BV131" s="377"/>
      <c r="BW131" s="377"/>
      <c r="BX131" s="377"/>
      <c r="BY131" s="377"/>
      <c r="BZ131" s="377"/>
      <c r="CA131" s="377"/>
      <c r="CB131" s="377"/>
      <c r="CC131" s="377"/>
      <c r="CD131" s="377"/>
      <c r="CE131" s="377"/>
      <c r="CF131" s="377"/>
      <c r="CG131" s="377"/>
      <c r="CH131" s="377"/>
      <c r="CI131" s="377"/>
    </row>
    <row r="132" spans="1:87" ht="45">
      <c r="A132" s="369">
        <f t="shared" si="179"/>
        <v>90</v>
      </c>
      <c r="B132" s="416">
        <f t="shared" si="179"/>
        <v>8</v>
      </c>
      <c r="C132" s="503" t="s">
        <v>904</v>
      </c>
      <c r="D132" s="502" t="s">
        <v>1236</v>
      </c>
      <c r="E132" s="366" t="s">
        <v>998</v>
      </c>
      <c r="F132" s="366" t="s">
        <v>254</v>
      </c>
      <c r="G132" s="366" t="s">
        <v>1237</v>
      </c>
      <c r="H132" s="504" t="s">
        <v>1439</v>
      </c>
      <c r="I132" s="366">
        <v>17697</v>
      </c>
      <c r="J132" s="367">
        <v>10</v>
      </c>
      <c r="K132" s="367">
        <f t="shared" si="152"/>
        <v>176970</v>
      </c>
      <c r="L132" s="496"/>
      <c r="M132" s="496">
        <v>12</v>
      </c>
      <c r="N132" s="496">
        <v>12</v>
      </c>
      <c r="O132" s="496"/>
      <c r="P132" s="496"/>
      <c r="Q132" s="368">
        <f t="shared" si="153"/>
        <v>24</v>
      </c>
      <c r="R132" s="496"/>
      <c r="S132" s="496"/>
      <c r="T132" s="496"/>
      <c r="U132" s="496"/>
      <c r="V132" s="496"/>
      <c r="W132" s="381">
        <f t="shared" si="154"/>
        <v>0</v>
      </c>
      <c r="X132" s="370">
        <f t="shared" si="155"/>
        <v>24</v>
      </c>
      <c r="Y132" s="367">
        <f t="shared" si="156"/>
        <v>265455</v>
      </c>
      <c r="Z132" s="367">
        <f t="shared" si="157"/>
        <v>26545.5</v>
      </c>
      <c r="AA132" s="497">
        <v>21</v>
      </c>
      <c r="AB132" s="367">
        <f t="shared" si="158"/>
        <v>11613.65625</v>
      </c>
      <c r="AC132" s="497">
        <v>3</v>
      </c>
      <c r="AD132" s="367">
        <f t="shared" si="159"/>
        <v>829.546875</v>
      </c>
      <c r="AE132" s="497"/>
      <c r="AF132" s="497"/>
      <c r="AG132" s="367"/>
      <c r="AH132" s="497" t="s">
        <v>115</v>
      </c>
      <c r="AI132" s="479">
        <f t="shared" si="182"/>
        <v>35394</v>
      </c>
      <c r="AJ132" s="372"/>
      <c r="AK132" s="367"/>
      <c r="AL132" s="366">
        <f t="shared" si="160"/>
        <v>24</v>
      </c>
      <c r="AM132" s="367">
        <f t="shared" si="161"/>
        <v>79636.5</v>
      </c>
      <c r="AN132" s="366" t="str">
        <f t="shared" si="162"/>
        <v>Педагог-модератор</v>
      </c>
      <c r="AO132" s="367" t="str">
        <f t="shared" si="163"/>
        <v>0</v>
      </c>
      <c r="AP132" s="367" t="str">
        <f t="shared" si="164"/>
        <v>0</v>
      </c>
      <c r="AQ132" s="367" t="str">
        <f t="shared" si="165"/>
        <v>0</v>
      </c>
      <c r="AR132" s="367">
        <f t="shared" si="166"/>
        <v>79636.5</v>
      </c>
      <c r="AS132" s="497"/>
      <c r="AT132" s="374"/>
      <c r="AU132" s="499"/>
      <c r="AV132" s="374"/>
      <c r="AW132" s="371" t="str">
        <f>G132</f>
        <v>Магистр каз.филологии</v>
      </c>
      <c r="AX132" s="372">
        <f>10*4335</f>
        <v>43350</v>
      </c>
      <c r="AY132" s="374"/>
      <c r="AZ132" s="367">
        <f t="shared" si="167"/>
        <v>277005.703125</v>
      </c>
      <c r="BA132" s="373">
        <f t="shared" si="168"/>
        <v>542460.703125</v>
      </c>
      <c r="BB132" s="374">
        <f t="shared" si="169"/>
        <v>54246.0703125</v>
      </c>
      <c r="BC132" s="374">
        <f t="shared" si="170"/>
        <v>10849.214062500001</v>
      </c>
      <c r="BD132" s="374">
        <f t="shared" si="171"/>
        <v>41667.541875000003</v>
      </c>
      <c r="BE132" s="374">
        <f t="shared" si="172"/>
        <v>435697.87687500002</v>
      </c>
      <c r="BF132" s="374">
        <f t="shared" si="173"/>
        <v>6509528.4375</v>
      </c>
      <c r="BG132" s="374">
        <f t="shared" si="174"/>
        <v>530910</v>
      </c>
      <c r="BH132" s="374">
        <f t="shared" si="175"/>
        <v>7040438.4375</v>
      </c>
      <c r="BI132" s="374">
        <f t="shared" si="176"/>
        <v>316819.72968750005</v>
      </c>
      <c r="BJ132" s="374">
        <f t="shared" si="177"/>
        <v>195285.85312499999</v>
      </c>
      <c r="BK132" s="374">
        <f t="shared" si="178"/>
        <v>365862.7130625</v>
      </c>
      <c r="BL132" s="374">
        <f t="shared" si="180"/>
        <v>316819.72968749999</v>
      </c>
      <c r="BM132" s="373">
        <f t="shared" si="183"/>
        <v>8235226.4630624996</v>
      </c>
      <c r="BN132" s="375"/>
      <c r="BO132" s="377"/>
      <c r="BP132" s="377"/>
      <c r="BQ132" s="377"/>
      <c r="BR132" s="377"/>
      <c r="BS132" s="377"/>
      <c r="BT132" s="377"/>
      <c r="BU132" s="377"/>
      <c r="BV132" s="377"/>
      <c r="BW132" s="377"/>
      <c r="BX132" s="377"/>
      <c r="BY132" s="377"/>
      <c r="BZ132" s="377"/>
      <c r="CA132" s="377"/>
      <c r="CB132" s="377"/>
      <c r="CC132" s="377"/>
      <c r="CD132" s="377"/>
      <c r="CE132" s="377"/>
      <c r="CF132" s="377"/>
      <c r="CG132" s="377"/>
      <c r="CH132" s="377"/>
      <c r="CI132" s="377"/>
    </row>
    <row r="133" spans="1:87" ht="31.5">
      <c r="A133" s="369">
        <f t="shared" si="179"/>
        <v>91</v>
      </c>
      <c r="B133" s="416">
        <f t="shared" si="179"/>
        <v>9</v>
      </c>
      <c r="C133" s="409" t="s">
        <v>1238</v>
      </c>
      <c r="D133" s="475" t="s">
        <v>1239</v>
      </c>
      <c r="E133" s="366" t="s">
        <v>998</v>
      </c>
      <c r="F133" s="366"/>
      <c r="G133" s="366"/>
      <c r="H133" s="371" t="s">
        <v>1240</v>
      </c>
      <c r="I133" s="366">
        <v>17697</v>
      </c>
      <c r="J133" s="367">
        <v>11.4</v>
      </c>
      <c r="K133" s="367">
        <f t="shared" si="152"/>
        <v>201745.80000000002</v>
      </c>
      <c r="L133" s="496"/>
      <c r="M133" s="496">
        <v>16</v>
      </c>
      <c r="N133" s="496"/>
      <c r="O133" s="496"/>
      <c r="P133" s="496"/>
      <c r="Q133" s="368">
        <f t="shared" si="153"/>
        <v>16</v>
      </c>
      <c r="R133" s="496"/>
      <c r="S133" s="496"/>
      <c r="T133" s="496"/>
      <c r="U133" s="496"/>
      <c r="V133" s="496"/>
      <c r="W133" s="381">
        <f t="shared" si="154"/>
        <v>0</v>
      </c>
      <c r="X133" s="370">
        <f t="shared" si="155"/>
        <v>16</v>
      </c>
      <c r="Y133" s="367">
        <f t="shared" si="156"/>
        <v>201745.80000000002</v>
      </c>
      <c r="Z133" s="367">
        <f t="shared" si="157"/>
        <v>20174.580000000002</v>
      </c>
      <c r="AA133" s="497">
        <v>16</v>
      </c>
      <c r="AB133" s="367">
        <f t="shared" si="158"/>
        <v>8848.5</v>
      </c>
      <c r="AC133" s="497"/>
      <c r="AD133" s="367">
        <f t="shared" si="159"/>
        <v>0</v>
      </c>
      <c r="AE133" s="497"/>
      <c r="AF133" s="497" t="s">
        <v>1241</v>
      </c>
      <c r="AG133" s="367">
        <f t="shared" si="184"/>
        <v>3539.4</v>
      </c>
      <c r="AH133" s="497" t="s">
        <v>117</v>
      </c>
      <c r="AI133" s="479">
        <f t="shared" si="182"/>
        <v>35394</v>
      </c>
      <c r="AJ133" s="372"/>
      <c r="AK133" s="367"/>
      <c r="AL133" s="366">
        <f t="shared" si="160"/>
        <v>16</v>
      </c>
      <c r="AM133" s="367">
        <f t="shared" si="161"/>
        <v>60523.740000000005</v>
      </c>
      <c r="AN133" s="366">
        <f t="shared" si="162"/>
        <v>0</v>
      </c>
      <c r="AO133" s="367" t="str">
        <f t="shared" si="163"/>
        <v>0</v>
      </c>
      <c r="AP133" s="367" t="str">
        <f t="shared" si="164"/>
        <v>0</v>
      </c>
      <c r="AQ133" s="367" t="str">
        <f t="shared" si="165"/>
        <v>0</v>
      </c>
      <c r="AR133" s="367" t="str">
        <f t="shared" si="166"/>
        <v>0</v>
      </c>
      <c r="AS133" s="497"/>
      <c r="AT133" s="374"/>
      <c r="AU133" s="499"/>
      <c r="AV133" s="374"/>
      <c r="AW133" s="371"/>
      <c r="AX133" s="372"/>
      <c r="AY133" s="374"/>
      <c r="AZ133" s="367">
        <f t="shared" si="167"/>
        <v>128480.22000000002</v>
      </c>
      <c r="BA133" s="373">
        <f t="shared" si="168"/>
        <v>330226.02</v>
      </c>
      <c r="BB133" s="374">
        <f t="shared" si="169"/>
        <v>33022.602000000006</v>
      </c>
      <c r="BC133" s="374">
        <f t="shared" si="170"/>
        <v>6604.5204000000003</v>
      </c>
      <c r="BD133" s="374">
        <f t="shared" si="171"/>
        <v>22990.889760000005</v>
      </c>
      <c r="BE133" s="374">
        <f t="shared" si="172"/>
        <v>267608.00784000003</v>
      </c>
      <c r="BF133" s="374">
        <f t="shared" si="173"/>
        <v>3962712.24</v>
      </c>
      <c r="BG133" s="374">
        <f t="shared" si="174"/>
        <v>403491.60000000003</v>
      </c>
      <c r="BH133" s="374">
        <f t="shared" si="175"/>
        <v>4366203.84</v>
      </c>
      <c r="BI133" s="374">
        <f t="shared" si="176"/>
        <v>196479.1728</v>
      </c>
      <c r="BJ133" s="374">
        <f t="shared" si="177"/>
        <v>118881.36720000001</v>
      </c>
      <c r="BK133" s="374">
        <f t="shared" si="178"/>
        <v>227057.04043199995</v>
      </c>
      <c r="BL133" s="374">
        <f t="shared" si="180"/>
        <v>196479.1728</v>
      </c>
      <c r="BM133" s="373">
        <f t="shared" si="183"/>
        <v>5105100.5932319993</v>
      </c>
      <c r="BN133" s="375"/>
      <c r="BO133" s="377"/>
      <c r="BP133" s="377"/>
      <c r="BQ133" s="377"/>
      <c r="BR133" s="377"/>
      <c r="BS133" s="377"/>
      <c r="BT133" s="377"/>
      <c r="BU133" s="377"/>
      <c r="BV133" s="377"/>
      <c r="BW133" s="377"/>
      <c r="BX133" s="377"/>
      <c r="BY133" s="377"/>
      <c r="BZ133" s="377"/>
      <c r="CA133" s="377"/>
      <c r="CB133" s="377"/>
      <c r="CC133" s="377"/>
      <c r="CD133" s="377"/>
      <c r="CE133" s="377"/>
      <c r="CF133" s="377"/>
      <c r="CG133" s="377"/>
      <c r="CH133" s="377"/>
      <c r="CI133" s="377"/>
    </row>
    <row r="134" spans="1:87" ht="63">
      <c r="A134" s="369">
        <f t="shared" si="179"/>
        <v>92</v>
      </c>
      <c r="B134" s="416">
        <f t="shared" si="179"/>
        <v>10</v>
      </c>
      <c r="C134" s="409" t="s">
        <v>1242</v>
      </c>
      <c r="D134" s="475" t="s">
        <v>1243</v>
      </c>
      <c r="E134" s="366" t="s">
        <v>998</v>
      </c>
      <c r="F134" s="366"/>
      <c r="G134" s="366" t="s">
        <v>1244</v>
      </c>
      <c r="H134" s="371" t="s">
        <v>1440</v>
      </c>
      <c r="I134" s="366">
        <v>17697</v>
      </c>
      <c r="J134" s="367">
        <v>11.18</v>
      </c>
      <c r="K134" s="367">
        <f t="shared" si="152"/>
        <v>197852.46</v>
      </c>
      <c r="L134" s="496"/>
      <c r="M134" s="496"/>
      <c r="N134" s="496">
        <v>12</v>
      </c>
      <c r="O134" s="496"/>
      <c r="P134" s="496">
        <v>15</v>
      </c>
      <c r="Q134" s="368">
        <f t="shared" si="153"/>
        <v>27</v>
      </c>
      <c r="R134" s="496"/>
      <c r="S134" s="496"/>
      <c r="T134" s="496"/>
      <c r="U134" s="496"/>
      <c r="V134" s="496">
        <v>6</v>
      </c>
      <c r="W134" s="381">
        <f t="shared" si="154"/>
        <v>6</v>
      </c>
      <c r="X134" s="370">
        <f t="shared" si="155"/>
        <v>33</v>
      </c>
      <c r="Y134" s="367">
        <f t="shared" si="156"/>
        <v>408070.69874999998</v>
      </c>
      <c r="Z134" s="367">
        <f t="shared" si="157"/>
        <v>40807.069875000001</v>
      </c>
      <c r="AA134" s="497">
        <v>27</v>
      </c>
      <c r="AB134" s="367">
        <f t="shared" si="158"/>
        <v>14931.84375</v>
      </c>
      <c r="AC134" s="497"/>
      <c r="AD134" s="367">
        <f t="shared" si="159"/>
        <v>0</v>
      </c>
      <c r="AE134" s="497"/>
      <c r="AF134" s="497" t="s">
        <v>1245</v>
      </c>
      <c r="AG134" s="367">
        <f t="shared" si="184"/>
        <v>3539.4</v>
      </c>
      <c r="AH134" s="501" t="s">
        <v>1246</v>
      </c>
      <c r="AI134" s="479">
        <f t="shared" si="182"/>
        <v>35394</v>
      </c>
      <c r="AJ134" s="372"/>
      <c r="AK134" s="367"/>
      <c r="AL134" s="366">
        <f t="shared" si="160"/>
        <v>33</v>
      </c>
      <c r="AM134" s="367">
        <f t="shared" si="161"/>
        <v>122421.20962499999</v>
      </c>
      <c r="AN134" s="366">
        <f t="shared" si="162"/>
        <v>0</v>
      </c>
      <c r="AO134" s="367" t="str">
        <f t="shared" si="163"/>
        <v>0</v>
      </c>
      <c r="AP134" s="367" t="str">
        <f t="shared" si="164"/>
        <v>0</v>
      </c>
      <c r="AQ134" s="367" t="str">
        <f t="shared" si="165"/>
        <v>0</v>
      </c>
      <c r="AR134" s="367" t="str">
        <f t="shared" si="166"/>
        <v>0</v>
      </c>
      <c r="AS134" s="497"/>
      <c r="AT134" s="374"/>
      <c r="AU134" s="499"/>
      <c r="AV134" s="374"/>
      <c r="AW134" s="371" t="str">
        <f>G134</f>
        <v>Магистр-филология</v>
      </c>
      <c r="AX134" s="372">
        <f>10*4335</f>
        <v>43350</v>
      </c>
      <c r="AY134" s="374"/>
      <c r="AZ134" s="367">
        <f t="shared" si="167"/>
        <v>260443.52325</v>
      </c>
      <c r="BA134" s="373">
        <f t="shared" si="168"/>
        <v>668514.22199999995</v>
      </c>
      <c r="BB134" s="374">
        <f t="shared" si="169"/>
        <v>66851.422200000001</v>
      </c>
      <c r="BC134" s="374">
        <f t="shared" si="170"/>
        <v>13370.284439999999</v>
      </c>
      <c r="BD134" s="374">
        <f t="shared" si="171"/>
        <v>52760.251535999996</v>
      </c>
      <c r="BE134" s="374">
        <f t="shared" si="172"/>
        <v>535532.26382400002</v>
      </c>
      <c r="BF134" s="374">
        <f t="shared" si="173"/>
        <v>8022170.6639999989</v>
      </c>
      <c r="BG134" s="374">
        <f t="shared" si="174"/>
        <v>816141.39749999996</v>
      </c>
      <c r="BH134" s="374">
        <f t="shared" si="175"/>
        <v>8838312.061499998</v>
      </c>
      <c r="BI134" s="374">
        <f t="shared" si="176"/>
        <v>397724.04276749992</v>
      </c>
      <c r="BJ134" s="374">
        <f t="shared" si="177"/>
        <v>240665.11991999997</v>
      </c>
      <c r="BK134" s="374">
        <f t="shared" si="178"/>
        <v>459620.07586019987</v>
      </c>
      <c r="BL134" s="374">
        <f t="shared" si="180"/>
        <v>397724.04276749992</v>
      </c>
      <c r="BM134" s="373">
        <f t="shared" si="183"/>
        <v>10334045.3428152</v>
      </c>
      <c r="BN134" s="375"/>
      <c r="BO134" s="377"/>
      <c r="BP134" s="377"/>
      <c r="BQ134" s="377"/>
      <c r="BR134" s="377"/>
      <c r="BS134" s="377"/>
      <c r="BT134" s="377"/>
      <c r="BU134" s="377"/>
      <c r="BV134" s="377"/>
      <c r="BW134" s="377"/>
      <c r="BX134" s="377"/>
      <c r="BY134" s="377"/>
      <c r="BZ134" s="377"/>
      <c r="CA134" s="377"/>
      <c r="CB134" s="377"/>
      <c r="CC134" s="377"/>
      <c r="CD134" s="377"/>
      <c r="CE134" s="377"/>
      <c r="CF134" s="377"/>
      <c r="CG134" s="377"/>
      <c r="CH134" s="377"/>
      <c r="CI134" s="377"/>
    </row>
    <row r="135" spans="1:87" ht="15">
      <c r="A135" s="1515"/>
      <c r="B135" s="1508"/>
      <c r="C135" s="490" t="s">
        <v>1162</v>
      </c>
      <c r="D135" s="490"/>
      <c r="E135" s="490"/>
      <c r="F135" s="490"/>
      <c r="G135" s="490"/>
      <c r="H135" s="491"/>
      <c r="I135" s="490"/>
      <c r="J135" s="490"/>
      <c r="K135" s="407">
        <f t="shared" ref="K135:AE135" si="185">SUM(K125:K134)</f>
        <v>1950209.4</v>
      </c>
      <c r="L135" s="407">
        <f t="shared" si="185"/>
        <v>50</v>
      </c>
      <c r="M135" s="407">
        <f t="shared" si="185"/>
        <v>50</v>
      </c>
      <c r="N135" s="407">
        <f t="shared" si="185"/>
        <v>39</v>
      </c>
      <c r="O135" s="407">
        <f t="shared" si="185"/>
        <v>39</v>
      </c>
      <c r="P135" s="407">
        <f t="shared" si="185"/>
        <v>39</v>
      </c>
      <c r="Q135" s="407">
        <f t="shared" si="185"/>
        <v>217</v>
      </c>
      <c r="R135" s="407">
        <f t="shared" si="185"/>
        <v>0</v>
      </c>
      <c r="S135" s="407">
        <f t="shared" si="185"/>
        <v>1</v>
      </c>
      <c r="T135" s="407">
        <f t="shared" si="185"/>
        <v>0</v>
      </c>
      <c r="U135" s="407">
        <f t="shared" si="185"/>
        <v>0</v>
      </c>
      <c r="V135" s="407">
        <f t="shared" si="185"/>
        <v>17</v>
      </c>
      <c r="W135" s="407">
        <f t="shared" si="185"/>
        <v>18</v>
      </c>
      <c r="X135" s="505">
        <f t="shared" si="185"/>
        <v>235</v>
      </c>
      <c r="Y135" s="422">
        <f t="shared" si="185"/>
        <v>2879124.93</v>
      </c>
      <c r="Z135" s="422">
        <f t="shared" si="185"/>
        <v>280493.02575000003</v>
      </c>
      <c r="AA135" s="422">
        <f t="shared" si="185"/>
        <v>172</v>
      </c>
      <c r="AB135" s="422">
        <f t="shared" si="185"/>
        <v>95121.375</v>
      </c>
      <c r="AC135" s="422">
        <f t="shared" si="185"/>
        <v>45</v>
      </c>
      <c r="AD135" s="422">
        <f t="shared" si="185"/>
        <v>12443.203125</v>
      </c>
      <c r="AE135" s="422">
        <f t="shared" si="185"/>
        <v>196600</v>
      </c>
      <c r="AF135" s="505">
        <v>4</v>
      </c>
      <c r="AG135" s="422">
        <f>SUM(AG125:AG134)</f>
        <v>14157.6</v>
      </c>
      <c r="AH135" s="505">
        <v>6</v>
      </c>
      <c r="AI135" s="422">
        <f>SUM(AI125:AI134)</f>
        <v>212364</v>
      </c>
      <c r="AJ135" s="422">
        <f>SUM(AJ125:AJ134)</f>
        <v>0</v>
      </c>
      <c r="AK135" s="422">
        <f>SUM(AK125:AK134)</f>
        <v>0</v>
      </c>
      <c r="AL135" s="505">
        <f>SUM(AL125:AL134)</f>
        <v>235</v>
      </c>
      <c r="AM135" s="422">
        <f>SUM(AM125:AM134)</f>
        <v>863737.47900000017</v>
      </c>
      <c r="AN135" s="422"/>
      <c r="AO135" s="422">
        <f t="shared" ref="AO135:AV135" si="186">SUM(AO125:AO134)</f>
        <v>220659.46875000003</v>
      </c>
      <c r="AP135" s="422">
        <f t="shared" si="186"/>
        <v>465846.97950000007</v>
      </c>
      <c r="AQ135" s="422">
        <f t="shared" si="186"/>
        <v>0</v>
      </c>
      <c r="AR135" s="422">
        <f t="shared" si="186"/>
        <v>79636.5</v>
      </c>
      <c r="AS135" s="422">
        <f t="shared" si="186"/>
        <v>0</v>
      </c>
      <c r="AT135" s="422">
        <f t="shared" si="186"/>
        <v>0</v>
      </c>
      <c r="AU135" s="422">
        <f t="shared" si="186"/>
        <v>0</v>
      </c>
      <c r="AV135" s="422">
        <f t="shared" si="186"/>
        <v>0</v>
      </c>
      <c r="AW135" s="506"/>
      <c r="AX135" s="422">
        <f t="shared" ref="AX135:BN135" si="187">SUM(AX125:AX134)</f>
        <v>130050</v>
      </c>
      <c r="AY135" s="422">
        <f t="shared" si="187"/>
        <v>0</v>
      </c>
      <c r="AZ135" s="422">
        <f t="shared" si="187"/>
        <v>2571109.6311250008</v>
      </c>
      <c r="BA135" s="422">
        <f t="shared" si="187"/>
        <v>5450234.561125</v>
      </c>
      <c r="BB135" s="422">
        <f t="shared" si="187"/>
        <v>545023.45611250005</v>
      </c>
      <c r="BC135" s="422">
        <f t="shared" si="187"/>
        <v>109004.69122250001</v>
      </c>
      <c r="BD135" s="422">
        <f t="shared" si="187"/>
        <v>418930.64137900004</v>
      </c>
      <c r="BE135" s="422">
        <f t="shared" si="187"/>
        <v>4377275.772411</v>
      </c>
      <c r="BF135" s="422">
        <f t="shared" si="187"/>
        <v>65402814.733500004</v>
      </c>
      <c r="BG135" s="422">
        <f t="shared" si="187"/>
        <v>5758249.8600000003</v>
      </c>
      <c r="BH135" s="422">
        <f t="shared" si="187"/>
        <v>71161064.593500003</v>
      </c>
      <c r="BI135" s="422">
        <f t="shared" si="187"/>
        <v>3202247.9067075006</v>
      </c>
      <c r="BJ135" s="422">
        <f t="shared" si="187"/>
        <v>1962084.4420050001</v>
      </c>
      <c r="BK135" s="422">
        <f t="shared" si="187"/>
        <v>3698811.2956353002</v>
      </c>
      <c r="BL135" s="422">
        <f t="shared" si="187"/>
        <v>3202247.9067074996</v>
      </c>
      <c r="BM135" s="422">
        <f t="shared" si="187"/>
        <v>83226456.144555315</v>
      </c>
      <c r="BN135" s="422">
        <f t="shared" si="187"/>
        <v>1</v>
      </c>
      <c r="BO135" s="355"/>
      <c r="BP135" s="355"/>
      <c r="BQ135" s="355"/>
      <c r="BR135" s="355"/>
      <c r="BS135" s="355"/>
      <c r="BT135" s="355"/>
      <c r="BU135" s="355"/>
      <c r="BV135" s="355"/>
      <c r="BW135" s="355"/>
      <c r="BX135" s="355"/>
      <c r="BY135" s="355"/>
      <c r="BZ135" s="355"/>
      <c r="CA135" s="355"/>
      <c r="CB135" s="355"/>
      <c r="CC135" s="355"/>
      <c r="CD135" s="355"/>
      <c r="CE135" s="355"/>
      <c r="CF135" s="355"/>
      <c r="CG135" s="355"/>
      <c r="CH135" s="355"/>
      <c r="CI135" s="356"/>
    </row>
    <row r="136" spans="1:87" ht="31.5">
      <c r="A136" s="369">
        <f>A134+1</f>
        <v>93</v>
      </c>
      <c r="B136" s="416">
        <f>1</f>
        <v>1</v>
      </c>
      <c r="C136" s="409" t="s">
        <v>1247</v>
      </c>
      <c r="D136" s="412" t="s">
        <v>1248</v>
      </c>
      <c r="E136" s="366" t="s">
        <v>998</v>
      </c>
      <c r="F136" s="366"/>
      <c r="G136" s="366"/>
      <c r="H136" s="371" t="s">
        <v>1249</v>
      </c>
      <c r="I136" s="366">
        <v>17697</v>
      </c>
      <c r="J136" s="367">
        <v>11.4</v>
      </c>
      <c r="K136" s="367">
        <f t="shared" ref="K136:K142" si="188">I136*J136</f>
        <v>201745.80000000002</v>
      </c>
      <c r="L136" s="496">
        <v>15</v>
      </c>
      <c r="M136" s="496">
        <v>15</v>
      </c>
      <c r="N136" s="496"/>
      <c r="O136" s="496"/>
      <c r="P136" s="496"/>
      <c r="Q136" s="368">
        <f t="shared" ref="Q136:Q141" si="189">SUM(L136:P136)</f>
        <v>30</v>
      </c>
      <c r="R136" s="496"/>
      <c r="S136" s="496"/>
      <c r="T136" s="496"/>
      <c r="U136" s="496"/>
      <c r="V136" s="496"/>
      <c r="W136" s="381">
        <f t="shared" ref="W136:W142" si="190">SUM(R136:V136)</f>
        <v>0</v>
      </c>
      <c r="X136" s="370">
        <f t="shared" ref="X136:X142" si="191">Q136+W136</f>
        <v>30</v>
      </c>
      <c r="Y136" s="367">
        <f t="shared" ref="Y136:Y142" si="192">K136/16*X136</f>
        <v>378273.37500000006</v>
      </c>
      <c r="Z136" s="367">
        <f t="shared" ref="Z136:Z142" si="193">Y136*10%</f>
        <v>37827.337500000009</v>
      </c>
      <c r="AA136" s="497">
        <v>30</v>
      </c>
      <c r="AB136" s="367">
        <f t="shared" ref="AB136:AB142" si="194">I136/16*AA136*50%</f>
        <v>16590.9375</v>
      </c>
      <c r="AC136" s="497"/>
      <c r="AD136" s="367">
        <f t="shared" ref="AD136:AD142" si="195">I136/16*AC136*50%*50%</f>
        <v>0</v>
      </c>
      <c r="AE136" s="374"/>
      <c r="AF136" s="497" t="s">
        <v>1250</v>
      </c>
      <c r="AG136" s="367">
        <f t="shared" ref="AG136:AG137" si="196">17697*20%</f>
        <v>3539.4</v>
      </c>
      <c r="AH136" s="497" t="s">
        <v>119</v>
      </c>
      <c r="AI136" s="367">
        <f>I136*200%</f>
        <v>35394</v>
      </c>
      <c r="AJ136" s="372"/>
      <c r="AK136" s="367"/>
      <c r="AL136" s="366">
        <f t="shared" ref="AL136:AL142" si="197">X136</f>
        <v>30</v>
      </c>
      <c r="AM136" s="367">
        <f t="shared" ref="AM136:AM142" si="198">K136/16*AL136*30%</f>
        <v>113482.01250000001</v>
      </c>
      <c r="AN136" s="366">
        <f t="shared" ref="AN136:AN142" si="199">F136</f>
        <v>0</v>
      </c>
      <c r="AO136" s="367" t="str">
        <f t="shared" ref="AO136:AO142" si="200">IF(AN136="Педагог-зерттеуші", "0", IF(AN136="Педагог-шебер",K136/16*X136*50%, IF(AN136="Педагог-сарапшы", "0", IF(AN136="Педагог-модератор", "0", "0"))))</f>
        <v>0</v>
      </c>
      <c r="AP136" s="367" t="str">
        <f t="shared" ref="AP136:AP142" si="201">IF(AN136="Педагог-шебер", "0", IF(AN136="Педагог-зерттеуші",K136/16*X136*40%, IF(AN136="Педагог-сарапшы", "0", IF(AN136="Педагог-модератор", "0", "0"))))</f>
        <v>0</v>
      </c>
      <c r="AQ136" s="367" t="str">
        <f t="shared" ref="AQ136:AQ142" si="202">IF(AN136="Педагог-шебер", "0", IF(AN136="Педагог-сарапшы",K136/16*X136*35%, IF(AN136="Педагог-зерттеуші", "0", IF(AN136="Педагог-модератор", "0", "0"))))</f>
        <v>0</v>
      </c>
      <c r="AR136" s="367" t="str">
        <f t="shared" ref="AR136:AR142" si="203">IF(AN136="Педагог-шебер", "0", IF(AN136="Педагог-модератор",K136/16*X136*30%, IF(AN136="Педагог-зерттеуші", "0", IF(AN136="Педагог-сарапшы", "0", "0"))))</f>
        <v>0</v>
      </c>
      <c r="AS136" s="497"/>
      <c r="AT136" s="374"/>
      <c r="AU136" s="499"/>
      <c r="AV136" s="374"/>
      <c r="AW136" s="371"/>
      <c r="AX136" s="367"/>
      <c r="AY136" s="374"/>
      <c r="AZ136" s="367">
        <f t="shared" ref="AZ136:AZ142" si="204">Z136+AB136+AD136+AE136+AG136+AI136+AK136+AM136+AO136+AP136+AQ136++AR136+AT136+AV136+AX136+AY136</f>
        <v>206833.68750000003</v>
      </c>
      <c r="BA136" s="373">
        <f t="shared" ref="BA136:BA142" si="205">Y136+AZ136</f>
        <v>585107.06250000012</v>
      </c>
      <c r="BB136" s="374">
        <f t="shared" si="169"/>
        <v>58510.706250000017</v>
      </c>
      <c r="BC136" s="374">
        <f t="shared" si="170"/>
        <v>11702.141250000002</v>
      </c>
      <c r="BD136" s="374">
        <f t="shared" ref="BD136:BD142" si="206">(BA136-BB136-BC136-(14*4335))*10%</f>
        <v>45420.421500000011</v>
      </c>
      <c r="BE136" s="374">
        <f t="shared" si="172"/>
        <v>469473.79350000009</v>
      </c>
      <c r="BF136" s="374">
        <f t="shared" si="173"/>
        <v>7021284.7500000019</v>
      </c>
      <c r="BG136" s="374">
        <f t="shared" ref="BG136:BG142" si="207">Y136*2</f>
        <v>756546.75000000012</v>
      </c>
      <c r="BH136" s="374">
        <f t="shared" si="175"/>
        <v>7777831.5000000019</v>
      </c>
      <c r="BI136" s="374">
        <f t="shared" si="176"/>
        <v>350002.4175000001</v>
      </c>
      <c r="BJ136" s="374">
        <f t="shared" si="177"/>
        <v>210638.54250000004</v>
      </c>
      <c r="BK136" s="374">
        <f t="shared" si="178"/>
        <v>404556.07455000002</v>
      </c>
      <c r="BL136" s="374">
        <f>BH136*4.5%</f>
        <v>350002.4175000001</v>
      </c>
      <c r="BM136" s="373">
        <f t="shared" si="183"/>
        <v>9093030.9520500042</v>
      </c>
      <c r="BN136" s="375"/>
      <c r="BO136" s="376"/>
      <c r="BP136" s="377"/>
      <c r="BQ136" s="377"/>
      <c r="BR136" s="377"/>
      <c r="BS136" s="377"/>
      <c r="BT136" s="377"/>
      <c r="BU136" s="377"/>
      <c r="BV136" s="377"/>
      <c r="BW136" s="377"/>
      <c r="BX136" s="377"/>
      <c r="BY136" s="377"/>
      <c r="BZ136" s="377"/>
      <c r="CA136" s="377"/>
      <c r="CB136" s="377"/>
      <c r="CC136" s="377"/>
      <c r="CD136" s="377"/>
      <c r="CE136" s="377"/>
      <c r="CF136" s="377"/>
      <c r="CG136" s="377"/>
      <c r="CH136" s="377"/>
      <c r="CI136" s="377"/>
    </row>
    <row r="137" spans="1:87" ht="47.25">
      <c r="A137" s="369">
        <f>A136+1</f>
        <v>94</v>
      </c>
      <c r="B137" s="416">
        <f>B136+1</f>
        <v>2</v>
      </c>
      <c r="C137" s="409" t="s">
        <v>1251</v>
      </c>
      <c r="D137" s="412" t="s">
        <v>1252</v>
      </c>
      <c r="E137" s="366" t="s">
        <v>998</v>
      </c>
      <c r="F137" s="366" t="s">
        <v>1005</v>
      </c>
      <c r="G137" s="366"/>
      <c r="H137" s="371" t="s">
        <v>1253</v>
      </c>
      <c r="I137" s="366">
        <v>17697</v>
      </c>
      <c r="J137" s="367">
        <v>11.4</v>
      </c>
      <c r="K137" s="367">
        <f t="shared" si="188"/>
        <v>201745.80000000002</v>
      </c>
      <c r="L137" s="496"/>
      <c r="M137" s="496"/>
      <c r="N137" s="496"/>
      <c r="O137" s="496">
        <v>15</v>
      </c>
      <c r="P137" s="496">
        <v>15</v>
      </c>
      <c r="Q137" s="368">
        <f t="shared" si="189"/>
        <v>30</v>
      </c>
      <c r="R137" s="496"/>
      <c r="S137" s="496"/>
      <c r="T137" s="496"/>
      <c r="U137" s="496"/>
      <c r="V137" s="496">
        <v>4</v>
      </c>
      <c r="W137" s="381">
        <f>SUM(R137:V137)</f>
        <v>4</v>
      </c>
      <c r="X137" s="370">
        <f t="shared" si="191"/>
        <v>34</v>
      </c>
      <c r="Y137" s="367">
        <f t="shared" si="192"/>
        <v>428709.82500000001</v>
      </c>
      <c r="Z137" s="367">
        <f t="shared" si="193"/>
        <v>42870.982500000006</v>
      </c>
      <c r="AA137" s="501">
        <v>30</v>
      </c>
      <c r="AB137" s="367">
        <f t="shared" si="194"/>
        <v>16590.9375</v>
      </c>
      <c r="AC137" s="497"/>
      <c r="AD137" s="367">
        <f t="shared" si="195"/>
        <v>0</v>
      </c>
      <c r="AE137" s="497"/>
      <c r="AF137" s="497" t="s">
        <v>1254</v>
      </c>
      <c r="AG137" s="367">
        <f t="shared" si="196"/>
        <v>3539.4</v>
      </c>
      <c r="AH137" s="497" t="s">
        <v>1255</v>
      </c>
      <c r="AI137" s="367">
        <f t="shared" ref="AI137" si="208">I137*200%</f>
        <v>35394</v>
      </c>
      <c r="AJ137" s="372"/>
      <c r="AK137" s="367"/>
      <c r="AL137" s="366">
        <f t="shared" si="197"/>
        <v>34</v>
      </c>
      <c r="AM137" s="367">
        <f t="shared" si="198"/>
        <v>128612.94749999999</v>
      </c>
      <c r="AN137" s="366" t="str">
        <f t="shared" si="199"/>
        <v>Педагог-зерттеуші</v>
      </c>
      <c r="AO137" s="367" t="str">
        <f t="shared" si="200"/>
        <v>0</v>
      </c>
      <c r="AP137" s="367">
        <f t="shared" si="201"/>
        <v>171483.93000000002</v>
      </c>
      <c r="AQ137" s="367" t="str">
        <f t="shared" si="202"/>
        <v>0</v>
      </c>
      <c r="AR137" s="367" t="str">
        <f t="shared" si="203"/>
        <v>0</v>
      </c>
      <c r="AS137" s="497"/>
      <c r="AT137" s="374"/>
      <c r="AU137" s="499"/>
      <c r="AV137" s="374"/>
      <c r="AW137" s="371"/>
      <c r="AX137" s="367"/>
      <c r="AY137" s="374"/>
      <c r="AZ137" s="367">
        <f t="shared" si="204"/>
        <v>398492.19750000001</v>
      </c>
      <c r="BA137" s="373">
        <f t="shared" si="205"/>
        <v>827202.02249999996</v>
      </c>
      <c r="BB137" s="374">
        <f t="shared" si="169"/>
        <v>82720.202250000002</v>
      </c>
      <c r="BC137" s="374">
        <f t="shared" si="170"/>
        <v>16544.04045</v>
      </c>
      <c r="BD137" s="374">
        <f t="shared" si="206"/>
        <v>66724.777979999999</v>
      </c>
      <c r="BE137" s="374">
        <f t="shared" si="172"/>
        <v>661213.00182</v>
      </c>
      <c r="BF137" s="374">
        <f t="shared" si="173"/>
        <v>9926424.2699999996</v>
      </c>
      <c r="BG137" s="374">
        <f t="shared" si="207"/>
        <v>857419.65</v>
      </c>
      <c r="BH137" s="374">
        <f t="shared" si="175"/>
        <v>10783843.92</v>
      </c>
      <c r="BI137" s="374">
        <f t="shared" si="176"/>
        <v>485272.97640000004</v>
      </c>
      <c r="BJ137" s="374">
        <f t="shared" si="177"/>
        <v>297792.72809999995</v>
      </c>
      <c r="BK137" s="374">
        <f t="shared" si="178"/>
        <v>560489.43828600005</v>
      </c>
      <c r="BL137" s="374">
        <f t="shared" ref="BL137:BL142" si="209">BH137*4.5%</f>
        <v>485272.97639999999</v>
      </c>
      <c r="BM137" s="373">
        <f t="shared" si="183"/>
        <v>12612672.039186001</v>
      </c>
      <c r="BN137" s="375"/>
      <c r="BO137" s="377"/>
      <c r="BP137" s="377"/>
      <c r="BQ137" s="377"/>
      <c r="BR137" s="377"/>
      <c r="BS137" s="377"/>
      <c r="BT137" s="377"/>
      <c r="BU137" s="377"/>
      <c r="BV137" s="377"/>
      <c r="BW137" s="377"/>
      <c r="BX137" s="377"/>
      <c r="BY137" s="377"/>
      <c r="BZ137" s="377"/>
      <c r="CA137" s="377"/>
      <c r="CB137" s="377"/>
      <c r="CC137" s="377"/>
      <c r="CD137" s="377"/>
      <c r="CE137" s="377"/>
      <c r="CF137" s="377"/>
      <c r="CG137" s="377"/>
      <c r="CH137" s="377"/>
      <c r="CI137" s="377"/>
    </row>
    <row r="138" spans="1:87" ht="31.5">
      <c r="A138" s="369">
        <f>A137+1</f>
        <v>95</v>
      </c>
      <c r="B138" s="416">
        <f>B137+1</f>
        <v>3</v>
      </c>
      <c r="C138" s="409" t="s">
        <v>1256</v>
      </c>
      <c r="D138" s="410" t="s">
        <v>1257</v>
      </c>
      <c r="E138" s="366" t="s">
        <v>998</v>
      </c>
      <c r="F138" s="366"/>
      <c r="G138" s="366"/>
      <c r="H138" s="371" t="s">
        <v>1258</v>
      </c>
      <c r="I138" s="366">
        <v>17697</v>
      </c>
      <c r="J138" s="367">
        <v>11.4</v>
      </c>
      <c r="K138" s="367">
        <f t="shared" si="188"/>
        <v>201745.80000000002</v>
      </c>
      <c r="L138" s="496"/>
      <c r="M138" s="496"/>
      <c r="N138" s="496">
        <v>12</v>
      </c>
      <c r="O138" s="496"/>
      <c r="P138" s="496"/>
      <c r="Q138" s="368">
        <f t="shared" si="189"/>
        <v>12</v>
      </c>
      <c r="R138" s="496"/>
      <c r="S138" s="496"/>
      <c r="T138" s="496"/>
      <c r="U138" s="496"/>
      <c r="V138" s="496"/>
      <c r="W138" s="381">
        <f t="shared" si="190"/>
        <v>0</v>
      </c>
      <c r="X138" s="370">
        <f t="shared" si="191"/>
        <v>12</v>
      </c>
      <c r="Y138" s="367">
        <f t="shared" si="192"/>
        <v>151309.35</v>
      </c>
      <c r="Z138" s="367">
        <f t="shared" si="193"/>
        <v>15130.935000000001</v>
      </c>
      <c r="AA138" s="497">
        <v>12</v>
      </c>
      <c r="AB138" s="367">
        <f t="shared" si="194"/>
        <v>6636.375</v>
      </c>
      <c r="AC138" s="497"/>
      <c r="AD138" s="367">
        <f t="shared" si="195"/>
        <v>0</v>
      </c>
      <c r="AE138" s="497"/>
      <c r="AF138" s="497"/>
      <c r="AG138" s="367"/>
      <c r="AH138" s="497"/>
      <c r="AI138" s="367"/>
      <c r="AJ138" s="372"/>
      <c r="AK138" s="367"/>
      <c r="AL138" s="366">
        <f t="shared" si="197"/>
        <v>12</v>
      </c>
      <c r="AM138" s="367">
        <f t="shared" si="198"/>
        <v>45392.805</v>
      </c>
      <c r="AN138" s="366">
        <f t="shared" si="199"/>
        <v>0</v>
      </c>
      <c r="AO138" s="367" t="str">
        <f t="shared" si="200"/>
        <v>0</v>
      </c>
      <c r="AP138" s="367" t="str">
        <f t="shared" si="201"/>
        <v>0</v>
      </c>
      <c r="AQ138" s="367" t="str">
        <f t="shared" si="202"/>
        <v>0</v>
      </c>
      <c r="AR138" s="367" t="str">
        <f t="shared" si="203"/>
        <v>0</v>
      </c>
      <c r="AS138" s="497"/>
      <c r="AT138" s="374"/>
      <c r="AU138" s="499"/>
      <c r="AV138" s="374"/>
      <c r="AW138" s="371"/>
      <c r="AX138" s="367"/>
      <c r="AY138" s="374"/>
      <c r="AZ138" s="367">
        <f t="shared" si="204"/>
        <v>67160.115000000005</v>
      </c>
      <c r="BA138" s="373">
        <f t="shared" si="205"/>
        <v>218469.46500000003</v>
      </c>
      <c r="BB138" s="374">
        <f t="shared" si="169"/>
        <v>21846.946500000005</v>
      </c>
      <c r="BC138" s="374">
        <f t="shared" si="170"/>
        <v>4369.3893000000007</v>
      </c>
      <c r="BD138" s="374">
        <f t="shared" si="206"/>
        <v>13156.31292</v>
      </c>
      <c r="BE138" s="374">
        <f t="shared" si="172"/>
        <v>179096.81628</v>
      </c>
      <c r="BF138" s="374">
        <f t="shared" si="173"/>
        <v>2621633.58</v>
      </c>
      <c r="BG138" s="374">
        <f t="shared" si="207"/>
        <v>302618.7</v>
      </c>
      <c r="BH138" s="374">
        <f t="shared" si="175"/>
        <v>2924252.2800000003</v>
      </c>
      <c r="BI138" s="374">
        <f t="shared" si="176"/>
        <v>131591.35260000001</v>
      </c>
      <c r="BJ138" s="374">
        <f t="shared" si="177"/>
        <v>78649.007400000002</v>
      </c>
      <c r="BK138" s="374">
        <f t="shared" si="178"/>
        <v>152142.029244</v>
      </c>
      <c r="BL138" s="374">
        <f t="shared" si="209"/>
        <v>131591.35260000001</v>
      </c>
      <c r="BM138" s="373">
        <f t="shared" si="183"/>
        <v>3418226.0218440001</v>
      </c>
      <c r="BN138" s="375"/>
      <c r="BO138" s="377"/>
      <c r="BP138" s="377"/>
      <c r="BQ138" s="377"/>
      <c r="BR138" s="377"/>
      <c r="BS138" s="377"/>
      <c r="BT138" s="377"/>
      <c r="BU138" s="377"/>
      <c r="BV138" s="377"/>
      <c r="BW138" s="377"/>
      <c r="BX138" s="377"/>
      <c r="BY138" s="377"/>
      <c r="BZ138" s="377"/>
      <c r="CA138" s="377"/>
      <c r="CB138" s="377"/>
      <c r="CC138" s="377"/>
      <c r="CD138" s="377"/>
      <c r="CE138" s="377"/>
      <c r="CF138" s="377"/>
      <c r="CG138" s="377"/>
      <c r="CH138" s="377"/>
      <c r="CI138" s="377"/>
    </row>
    <row r="139" spans="1:87" ht="31.5">
      <c r="A139" s="369">
        <f t="shared" ref="A139:B142" si="210">A138+1</f>
        <v>96</v>
      </c>
      <c r="B139" s="416">
        <f t="shared" si="210"/>
        <v>4</v>
      </c>
      <c r="C139" s="409" t="s">
        <v>1259</v>
      </c>
      <c r="D139" s="410" t="s">
        <v>1260</v>
      </c>
      <c r="E139" s="366" t="s">
        <v>998</v>
      </c>
      <c r="F139" s="366"/>
      <c r="G139" s="366"/>
      <c r="H139" s="371" t="s">
        <v>1261</v>
      </c>
      <c r="I139" s="366">
        <v>17697</v>
      </c>
      <c r="J139" s="367">
        <v>11.4</v>
      </c>
      <c r="K139" s="367">
        <f t="shared" si="188"/>
        <v>201745.80000000002</v>
      </c>
      <c r="L139" s="496"/>
      <c r="M139" s="496">
        <v>12</v>
      </c>
      <c r="N139" s="496"/>
      <c r="O139" s="496"/>
      <c r="P139" s="496">
        <v>6</v>
      </c>
      <c r="Q139" s="368">
        <f t="shared" si="189"/>
        <v>18</v>
      </c>
      <c r="R139" s="496"/>
      <c r="S139" s="496"/>
      <c r="T139" s="496"/>
      <c r="U139" s="496"/>
      <c r="V139" s="496"/>
      <c r="W139" s="381">
        <f t="shared" si="190"/>
        <v>0</v>
      </c>
      <c r="X139" s="370">
        <f t="shared" si="191"/>
        <v>18</v>
      </c>
      <c r="Y139" s="367">
        <f t="shared" si="192"/>
        <v>226964.02500000002</v>
      </c>
      <c r="Z139" s="367">
        <f t="shared" si="193"/>
        <v>22696.402500000004</v>
      </c>
      <c r="AA139" s="497">
        <v>18</v>
      </c>
      <c r="AB139" s="367">
        <f t="shared" si="194"/>
        <v>9954.5625</v>
      </c>
      <c r="AC139" s="497"/>
      <c r="AD139" s="367">
        <f t="shared" si="195"/>
        <v>0</v>
      </c>
      <c r="AE139" s="497"/>
      <c r="AF139" s="497" t="s">
        <v>1262</v>
      </c>
      <c r="AG139" s="367">
        <f t="shared" ref="AG139:AG141" si="211">17697*20%</f>
        <v>3539.4</v>
      </c>
      <c r="AH139" s="497"/>
      <c r="AI139" s="367"/>
      <c r="AJ139" s="372"/>
      <c r="AK139" s="367"/>
      <c r="AL139" s="366">
        <f t="shared" si="197"/>
        <v>18</v>
      </c>
      <c r="AM139" s="367">
        <f t="shared" si="198"/>
        <v>68089.207500000004</v>
      </c>
      <c r="AN139" s="366">
        <f t="shared" si="199"/>
        <v>0</v>
      </c>
      <c r="AO139" s="367" t="str">
        <f t="shared" si="200"/>
        <v>0</v>
      </c>
      <c r="AP139" s="367" t="str">
        <f t="shared" si="201"/>
        <v>0</v>
      </c>
      <c r="AQ139" s="367" t="str">
        <f t="shared" si="202"/>
        <v>0</v>
      </c>
      <c r="AR139" s="367" t="str">
        <f t="shared" si="203"/>
        <v>0</v>
      </c>
      <c r="AS139" s="497"/>
      <c r="AT139" s="374"/>
      <c r="AU139" s="499"/>
      <c r="AV139" s="374"/>
      <c r="AW139" s="371"/>
      <c r="AX139" s="367"/>
      <c r="AY139" s="374"/>
      <c r="AZ139" s="367">
        <f t="shared" si="204"/>
        <v>104279.57250000001</v>
      </c>
      <c r="BA139" s="373">
        <f t="shared" si="205"/>
        <v>331243.59750000003</v>
      </c>
      <c r="BB139" s="374">
        <f t="shared" si="169"/>
        <v>33124.359750000003</v>
      </c>
      <c r="BC139" s="374">
        <f t="shared" si="170"/>
        <v>6624.8719500000007</v>
      </c>
      <c r="BD139" s="374">
        <f t="shared" si="206"/>
        <v>23080.436580000005</v>
      </c>
      <c r="BE139" s="374">
        <f t="shared" si="172"/>
        <v>268413.92922000005</v>
      </c>
      <c r="BF139" s="374">
        <f t="shared" si="173"/>
        <v>3974923.1700000004</v>
      </c>
      <c r="BG139" s="374">
        <f t="shared" si="207"/>
        <v>453928.05000000005</v>
      </c>
      <c r="BH139" s="374">
        <f t="shared" si="175"/>
        <v>4428851.2200000007</v>
      </c>
      <c r="BI139" s="374">
        <f t="shared" si="176"/>
        <v>199298.30490000005</v>
      </c>
      <c r="BJ139" s="374">
        <f t="shared" si="177"/>
        <v>119247.69510000001</v>
      </c>
      <c r="BK139" s="374">
        <f t="shared" si="178"/>
        <v>230413.13490599999</v>
      </c>
      <c r="BL139" s="374">
        <f t="shared" si="209"/>
        <v>199298.30490000002</v>
      </c>
      <c r="BM139" s="373">
        <f t="shared" si="183"/>
        <v>5177108.6598060001</v>
      </c>
      <c r="BN139" s="375"/>
      <c r="BO139" s="377"/>
      <c r="BP139" s="377"/>
      <c r="BQ139" s="377"/>
      <c r="BR139" s="377"/>
      <c r="BS139" s="377"/>
      <c r="BT139" s="377"/>
      <c r="BU139" s="377"/>
      <c r="BV139" s="377"/>
      <c r="BW139" s="377"/>
      <c r="BX139" s="377"/>
      <c r="BY139" s="377"/>
      <c r="BZ139" s="377"/>
      <c r="CA139" s="377"/>
      <c r="CB139" s="377"/>
      <c r="CC139" s="377"/>
      <c r="CD139" s="377"/>
      <c r="CE139" s="377"/>
      <c r="CF139" s="377"/>
      <c r="CG139" s="377"/>
      <c r="CH139" s="377"/>
      <c r="CI139" s="377"/>
    </row>
    <row r="140" spans="1:87" ht="45">
      <c r="A140" s="369">
        <f t="shared" si="210"/>
        <v>97</v>
      </c>
      <c r="B140" s="416">
        <f t="shared" si="210"/>
        <v>5</v>
      </c>
      <c r="C140" s="409" t="s">
        <v>1263</v>
      </c>
      <c r="D140" s="410" t="s">
        <v>1264</v>
      </c>
      <c r="E140" s="366" t="s">
        <v>998</v>
      </c>
      <c r="F140" s="366" t="s">
        <v>254</v>
      </c>
      <c r="G140" s="366" t="s">
        <v>1265</v>
      </c>
      <c r="H140" s="371" t="s">
        <v>1403</v>
      </c>
      <c r="I140" s="366">
        <v>17697</v>
      </c>
      <c r="J140" s="367">
        <v>9.5</v>
      </c>
      <c r="K140" s="367">
        <f t="shared" si="188"/>
        <v>168121.5</v>
      </c>
      <c r="L140" s="496">
        <v>20</v>
      </c>
      <c r="M140" s="496">
        <v>8</v>
      </c>
      <c r="N140" s="496"/>
      <c r="O140" s="496"/>
      <c r="P140" s="496"/>
      <c r="Q140" s="368">
        <f t="shared" si="189"/>
        <v>28</v>
      </c>
      <c r="R140" s="496"/>
      <c r="S140" s="496"/>
      <c r="T140" s="496"/>
      <c r="U140" s="496"/>
      <c r="V140" s="496"/>
      <c r="W140" s="381">
        <f t="shared" si="190"/>
        <v>0</v>
      </c>
      <c r="X140" s="370">
        <f t="shared" si="191"/>
        <v>28</v>
      </c>
      <c r="Y140" s="367">
        <f t="shared" si="192"/>
        <v>294212.625</v>
      </c>
      <c r="Z140" s="367">
        <f t="shared" si="193"/>
        <v>29421.262500000001</v>
      </c>
      <c r="AA140" s="497">
        <v>28</v>
      </c>
      <c r="AB140" s="367">
        <f t="shared" si="194"/>
        <v>15484.875</v>
      </c>
      <c r="AC140" s="497"/>
      <c r="AD140" s="367">
        <f t="shared" si="195"/>
        <v>0</v>
      </c>
      <c r="AE140" s="497"/>
      <c r="AF140" s="497"/>
      <c r="AG140" s="367"/>
      <c r="AH140" s="497" t="s">
        <v>1266</v>
      </c>
      <c r="AI140" s="367">
        <f>I140*200%</f>
        <v>35394</v>
      </c>
      <c r="AJ140" s="372"/>
      <c r="AK140" s="367"/>
      <c r="AL140" s="366">
        <f t="shared" si="197"/>
        <v>28</v>
      </c>
      <c r="AM140" s="367">
        <f t="shared" si="198"/>
        <v>88263.787499999991</v>
      </c>
      <c r="AN140" s="366" t="str">
        <f t="shared" si="199"/>
        <v>Педагог-модератор</v>
      </c>
      <c r="AO140" s="367" t="str">
        <f t="shared" si="200"/>
        <v>0</v>
      </c>
      <c r="AP140" s="367" t="str">
        <f t="shared" si="201"/>
        <v>0</v>
      </c>
      <c r="AQ140" s="367" t="str">
        <f t="shared" si="202"/>
        <v>0</v>
      </c>
      <c r="AR140" s="367">
        <f t="shared" si="203"/>
        <v>88263.787499999991</v>
      </c>
      <c r="AS140" s="497"/>
      <c r="AT140" s="374"/>
      <c r="AU140" s="499"/>
      <c r="AV140" s="374"/>
      <c r="AW140" s="371" t="str">
        <f t="shared" ref="AW140" si="212">G140</f>
        <v>Магистр филологических наук</v>
      </c>
      <c r="AX140" s="372">
        <f>10*4335</f>
        <v>43350</v>
      </c>
      <c r="AY140" s="374"/>
      <c r="AZ140" s="367">
        <f t="shared" si="204"/>
        <v>300177.71249999997</v>
      </c>
      <c r="BA140" s="373">
        <f t="shared" si="205"/>
        <v>594390.33749999991</v>
      </c>
      <c r="BB140" s="374">
        <f t="shared" si="169"/>
        <v>59439.033749999995</v>
      </c>
      <c r="BC140" s="374">
        <f t="shared" si="170"/>
        <v>11887.806749999998</v>
      </c>
      <c r="BD140" s="374">
        <f t="shared" si="206"/>
        <v>46237.349699999999</v>
      </c>
      <c r="BE140" s="374">
        <f t="shared" si="172"/>
        <v>476826.14729999995</v>
      </c>
      <c r="BF140" s="374">
        <f t="shared" si="173"/>
        <v>7132684.0499999989</v>
      </c>
      <c r="BG140" s="374">
        <f t="shared" si="207"/>
        <v>588425.25</v>
      </c>
      <c r="BH140" s="374">
        <f t="shared" si="175"/>
        <v>7721109.2999999989</v>
      </c>
      <c r="BI140" s="374">
        <f t="shared" si="176"/>
        <v>347449.91849999997</v>
      </c>
      <c r="BJ140" s="374">
        <f t="shared" si="177"/>
        <v>213980.52149999994</v>
      </c>
      <c r="BK140" s="374">
        <f t="shared" si="178"/>
        <v>401247.99728999991</v>
      </c>
      <c r="BL140" s="374">
        <f t="shared" si="209"/>
        <v>347449.91849999991</v>
      </c>
      <c r="BM140" s="373">
        <f t="shared" si="183"/>
        <v>9031237.6557899993</v>
      </c>
      <c r="BN140" s="375"/>
      <c r="BO140" s="377"/>
      <c r="BP140" s="377"/>
      <c r="BQ140" s="377"/>
      <c r="BR140" s="377"/>
      <c r="BS140" s="377"/>
      <c r="BT140" s="377"/>
      <c r="BU140" s="377"/>
      <c r="BV140" s="377"/>
      <c r="BW140" s="377"/>
      <c r="BX140" s="377"/>
      <c r="BY140" s="377"/>
      <c r="BZ140" s="377"/>
      <c r="CA140" s="377"/>
      <c r="CB140" s="377"/>
      <c r="CC140" s="377"/>
      <c r="CD140" s="377"/>
      <c r="CE140" s="377"/>
      <c r="CF140" s="377"/>
      <c r="CG140" s="377"/>
      <c r="CH140" s="377"/>
      <c r="CI140" s="377"/>
    </row>
    <row r="141" spans="1:87" ht="63">
      <c r="A141" s="369">
        <f t="shared" si="210"/>
        <v>98</v>
      </c>
      <c r="B141" s="416">
        <f t="shared" si="210"/>
        <v>6</v>
      </c>
      <c r="C141" s="409" t="s">
        <v>1267</v>
      </c>
      <c r="D141" s="410" t="s">
        <v>1268</v>
      </c>
      <c r="E141" s="366" t="s">
        <v>998</v>
      </c>
      <c r="F141" s="366" t="s">
        <v>1005</v>
      </c>
      <c r="G141" s="366"/>
      <c r="H141" s="371" t="s">
        <v>1269</v>
      </c>
      <c r="I141" s="366">
        <v>17697</v>
      </c>
      <c r="J141" s="367">
        <v>11.4</v>
      </c>
      <c r="K141" s="367">
        <f t="shared" si="188"/>
        <v>201745.80000000002</v>
      </c>
      <c r="L141" s="496"/>
      <c r="M141" s="496"/>
      <c r="N141" s="496">
        <v>3</v>
      </c>
      <c r="O141" s="496"/>
      <c r="P141" s="496">
        <v>6</v>
      </c>
      <c r="Q141" s="368">
        <f t="shared" si="189"/>
        <v>9</v>
      </c>
      <c r="R141" s="496"/>
      <c r="S141" s="496"/>
      <c r="T141" s="496"/>
      <c r="U141" s="496"/>
      <c r="V141" s="496">
        <v>4</v>
      </c>
      <c r="W141" s="381">
        <f t="shared" si="190"/>
        <v>4</v>
      </c>
      <c r="X141" s="370">
        <f t="shared" si="191"/>
        <v>13</v>
      </c>
      <c r="Y141" s="367">
        <f t="shared" si="192"/>
        <v>163918.46250000002</v>
      </c>
      <c r="Z141" s="367">
        <f t="shared" si="193"/>
        <v>16391.846250000002</v>
      </c>
      <c r="AA141" s="497">
        <v>9</v>
      </c>
      <c r="AB141" s="367">
        <f t="shared" si="194"/>
        <v>4977.28125</v>
      </c>
      <c r="AC141" s="497"/>
      <c r="AD141" s="367">
        <f t="shared" si="195"/>
        <v>0</v>
      </c>
      <c r="AE141" s="497"/>
      <c r="AF141" s="497" t="s">
        <v>1270</v>
      </c>
      <c r="AG141" s="367">
        <f t="shared" si="211"/>
        <v>3539.4</v>
      </c>
      <c r="AH141" s="497"/>
      <c r="AI141" s="367"/>
      <c r="AJ141" s="372"/>
      <c r="AK141" s="367"/>
      <c r="AL141" s="366">
        <f t="shared" si="197"/>
        <v>13</v>
      </c>
      <c r="AM141" s="367">
        <f t="shared" si="198"/>
        <v>49175.538750000007</v>
      </c>
      <c r="AN141" s="366" t="str">
        <f t="shared" si="199"/>
        <v>Педагог-зерттеуші</v>
      </c>
      <c r="AO141" s="367" t="str">
        <f t="shared" si="200"/>
        <v>0</v>
      </c>
      <c r="AP141" s="367">
        <f t="shared" si="201"/>
        <v>65567.385000000009</v>
      </c>
      <c r="AQ141" s="367" t="str">
        <f t="shared" si="202"/>
        <v>0</v>
      </c>
      <c r="AR141" s="367" t="str">
        <f t="shared" si="203"/>
        <v>0</v>
      </c>
      <c r="AS141" s="497"/>
      <c r="AT141" s="374"/>
      <c r="AU141" s="499"/>
      <c r="AV141" s="374"/>
      <c r="AW141" s="371"/>
      <c r="AX141" s="367"/>
      <c r="AY141" s="374"/>
      <c r="AZ141" s="367">
        <f t="shared" si="204"/>
        <v>139651.45125000001</v>
      </c>
      <c r="BA141" s="373">
        <f t="shared" si="205"/>
        <v>303569.91375000007</v>
      </c>
      <c r="BB141" s="374">
        <f t="shared" si="169"/>
        <v>30356.991375000009</v>
      </c>
      <c r="BC141" s="374">
        <f t="shared" si="170"/>
        <v>6071.3982750000014</v>
      </c>
      <c r="BD141" s="374">
        <f t="shared" si="206"/>
        <v>20645.15241000001</v>
      </c>
      <c r="BE141" s="374">
        <f t="shared" si="172"/>
        <v>246496.37169000009</v>
      </c>
      <c r="BF141" s="374">
        <f t="shared" si="173"/>
        <v>3642838.9650000008</v>
      </c>
      <c r="BG141" s="374">
        <f t="shared" si="207"/>
        <v>327836.92500000005</v>
      </c>
      <c r="BH141" s="374">
        <f t="shared" si="175"/>
        <v>3970675.8900000006</v>
      </c>
      <c r="BI141" s="374">
        <f t="shared" si="176"/>
        <v>178680.41505000004</v>
      </c>
      <c r="BJ141" s="374">
        <f t="shared" si="177"/>
        <v>109285.16895000002</v>
      </c>
      <c r="BK141" s="374">
        <f t="shared" si="178"/>
        <v>206402.25233700001</v>
      </c>
      <c r="BL141" s="374">
        <f t="shared" si="209"/>
        <v>178680.41505000001</v>
      </c>
      <c r="BM141" s="373">
        <f t="shared" si="183"/>
        <v>4643724.1413870007</v>
      </c>
      <c r="BN141" s="375"/>
      <c r="BO141" s="377"/>
      <c r="BP141" s="377"/>
      <c r="BQ141" s="377"/>
      <c r="BR141" s="377"/>
      <c r="BS141" s="377"/>
      <c r="BT141" s="377"/>
      <c r="BU141" s="377"/>
      <c r="BV141" s="377"/>
      <c r="BW141" s="377"/>
      <c r="BX141" s="377"/>
      <c r="BY141" s="377"/>
      <c r="BZ141" s="377"/>
      <c r="CA141" s="377"/>
      <c r="CB141" s="377"/>
      <c r="CC141" s="377"/>
      <c r="CD141" s="377"/>
      <c r="CE141" s="377"/>
      <c r="CF141" s="377"/>
      <c r="CG141" s="377"/>
      <c r="CH141" s="377"/>
      <c r="CI141" s="377"/>
    </row>
    <row r="142" spans="1:87" ht="45">
      <c r="A142" s="369">
        <f t="shared" si="210"/>
        <v>99</v>
      </c>
      <c r="B142" s="416">
        <f t="shared" si="210"/>
        <v>7</v>
      </c>
      <c r="C142" s="409" t="s">
        <v>1271</v>
      </c>
      <c r="D142" s="410" t="s">
        <v>1272</v>
      </c>
      <c r="E142" s="366" t="s">
        <v>998</v>
      </c>
      <c r="F142" s="366" t="s">
        <v>1011</v>
      </c>
      <c r="G142" s="366" t="s">
        <v>1273</v>
      </c>
      <c r="H142" s="371" t="s">
        <v>1274</v>
      </c>
      <c r="I142" s="366">
        <v>17697</v>
      </c>
      <c r="J142" s="367">
        <v>11.4</v>
      </c>
      <c r="K142" s="367">
        <f t="shared" si="188"/>
        <v>201745.80000000002</v>
      </c>
      <c r="L142" s="496"/>
      <c r="M142" s="496"/>
      <c r="N142" s="496">
        <v>12</v>
      </c>
      <c r="O142" s="496">
        <v>12</v>
      </c>
      <c r="P142" s="496"/>
      <c r="Q142" s="368">
        <f>SUM(L142:P142)</f>
        <v>24</v>
      </c>
      <c r="R142" s="496"/>
      <c r="S142" s="496"/>
      <c r="T142" s="496"/>
      <c r="U142" s="496"/>
      <c r="V142" s="496"/>
      <c r="W142" s="381">
        <f t="shared" si="190"/>
        <v>0</v>
      </c>
      <c r="X142" s="370">
        <f t="shared" si="191"/>
        <v>24</v>
      </c>
      <c r="Y142" s="367">
        <f t="shared" si="192"/>
        <v>302618.7</v>
      </c>
      <c r="Z142" s="367">
        <f t="shared" si="193"/>
        <v>30261.870000000003</v>
      </c>
      <c r="AA142" s="497">
        <v>24</v>
      </c>
      <c r="AB142" s="367">
        <f t="shared" si="194"/>
        <v>13272.75</v>
      </c>
      <c r="AC142" s="497"/>
      <c r="AD142" s="367">
        <f t="shared" si="195"/>
        <v>0</v>
      </c>
      <c r="AE142" s="497"/>
      <c r="AF142" s="497"/>
      <c r="AG142" s="367"/>
      <c r="AH142" s="497"/>
      <c r="AI142" s="367"/>
      <c r="AJ142" s="372"/>
      <c r="AK142" s="367"/>
      <c r="AL142" s="366">
        <f t="shared" si="197"/>
        <v>24</v>
      </c>
      <c r="AM142" s="367">
        <f t="shared" si="198"/>
        <v>90785.61</v>
      </c>
      <c r="AN142" s="366" t="str">
        <f t="shared" si="199"/>
        <v>Педагог-сарапшы</v>
      </c>
      <c r="AO142" s="367" t="str">
        <f t="shared" si="200"/>
        <v>0</v>
      </c>
      <c r="AP142" s="367" t="str">
        <f t="shared" si="201"/>
        <v>0</v>
      </c>
      <c r="AQ142" s="367">
        <f t="shared" si="202"/>
        <v>105916.545</v>
      </c>
      <c r="AR142" s="367" t="str">
        <f t="shared" si="203"/>
        <v>0</v>
      </c>
      <c r="AS142" s="497"/>
      <c r="AT142" s="374"/>
      <c r="AU142" s="499"/>
      <c r="AV142" s="374"/>
      <c r="AW142" s="371" t="str">
        <f>G142</f>
        <v>Магистр педагогика и психология</v>
      </c>
      <c r="AX142" s="372">
        <f>10*4335</f>
        <v>43350</v>
      </c>
      <c r="AY142" s="367"/>
      <c r="AZ142" s="367">
        <f t="shared" si="204"/>
        <v>283586.77500000002</v>
      </c>
      <c r="BA142" s="373">
        <f t="shared" si="205"/>
        <v>586205.47500000009</v>
      </c>
      <c r="BB142" s="374">
        <f t="shared" si="169"/>
        <v>58620.547500000015</v>
      </c>
      <c r="BC142" s="374">
        <f t="shared" si="170"/>
        <v>11724.109500000002</v>
      </c>
      <c r="BD142" s="374">
        <f t="shared" si="206"/>
        <v>45517.081800000014</v>
      </c>
      <c r="BE142" s="374">
        <f t="shared" si="172"/>
        <v>470343.73620000004</v>
      </c>
      <c r="BF142" s="374">
        <f t="shared" si="173"/>
        <v>7034465.7000000011</v>
      </c>
      <c r="BG142" s="374">
        <f t="shared" si="207"/>
        <v>605237.4</v>
      </c>
      <c r="BH142" s="374">
        <f t="shared" si="175"/>
        <v>7639703.1000000015</v>
      </c>
      <c r="BI142" s="374">
        <f t="shared" si="176"/>
        <v>343786.63950000011</v>
      </c>
      <c r="BJ142" s="374">
        <f t="shared" si="177"/>
        <v>211033.97100000002</v>
      </c>
      <c r="BK142" s="374">
        <f t="shared" si="178"/>
        <v>397068.14286000008</v>
      </c>
      <c r="BL142" s="374">
        <f t="shared" si="209"/>
        <v>343786.63950000005</v>
      </c>
      <c r="BM142" s="373">
        <f t="shared" si="183"/>
        <v>8935378.4928600024</v>
      </c>
      <c r="BN142" s="375"/>
      <c r="BO142" s="377"/>
      <c r="BP142" s="377"/>
      <c r="BQ142" s="377"/>
      <c r="BR142" s="377"/>
      <c r="BS142" s="377"/>
      <c r="BT142" s="377"/>
      <c r="BU142" s="377"/>
      <c r="BV142" s="377"/>
      <c r="BW142" s="377"/>
      <c r="BX142" s="377"/>
      <c r="BY142" s="377"/>
      <c r="BZ142" s="377"/>
      <c r="CA142" s="377"/>
      <c r="CB142" s="377"/>
      <c r="CC142" s="377"/>
      <c r="CD142" s="377"/>
      <c r="CE142" s="377"/>
      <c r="CF142" s="377"/>
      <c r="CG142" s="377"/>
      <c r="CH142" s="377"/>
      <c r="CI142" s="377"/>
    </row>
    <row r="143" spans="1:87" ht="15">
      <c r="A143" s="1515"/>
      <c r="B143" s="1508"/>
      <c r="C143" s="490" t="s">
        <v>1162</v>
      </c>
      <c r="D143" s="490"/>
      <c r="E143" s="490"/>
      <c r="F143" s="490"/>
      <c r="G143" s="490"/>
      <c r="H143" s="491"/>
      <c r="I143" s="490"/>
      <c r="J143" s="490"/>
      <c r="K143" s="422">
        <f t="shared" ref="K143:AE143" si="213">SUM(K136:K142)</f>
        <v>1378596.3</v>
      </c>
      <c r="L143" s="407">
        <f t="shared" si="213"/>
        <v>35</v>
      </c>
      <c r="M143" s="407">
        <f t="shared" si="213"/>
        <v>35</v>
      </c>
      <c r="N143" s="407">
        <f t="shared" si="213"/>
        <v>27</v>
      </c>
      <c r="O143" s="407">
        <f t="shared" si="213"/>
        <v>27</v>
      </c>
      <c r="P143" s="407">
        <f t="shared" si="213"/>
        <v>27</v>
      </c>
      <c r="Q143" s="407">
        <f t="shared" si="213"/>
        <v>151</v>
      </c>
      <c r="R143" s="407">
        <f t="shared" si="213"/>
        <v>0</v>
      </c>
      <c r="S143" s="407">
        <f t="shared" si="213"/>
        <v>0</v>
      </c>
      <c r="T143" s="407">
        <f t="shared" si="213"/>
        <v>0</v>
      </c>
      <c r="U143" s="407">
        <f t="shared" si="213"/>
        <v>0</v>
      </c>
      <c r="V143" s="407">
        <f t="shared" si="213"/>
        <v>8</v>
      </c>
      <c r="W143" s="407">
        <f t="shared" si="213"/>
        <v>8</v>
      </c>
      <c r="X143" s="407">
        <f t="shared" si="213"/>
        <v>159</v>
      </c>
      <c r="Y143" s="407">
        <f t="shared" si="213"/>
        <v>1946006.3625</v>
      </c>
      <c r="Z143" s="407">
        <f t="shared" si="213"/>
        <v>194600.63625000001</v>
      </c>
      <c r="AA143" s="407">
        <f t="shared" si="213"/>
        <v>151</v>
      </c>
      <c r="AB143" s="407">
        <f t="shared" si="213"/>
        <v>83507.71875</v>
      </c>
      <c r="AC143" s="407">
        <f t="shared" si="213"/>
        <v>0</v>
      </c>
      <c r="AD143" s="407">
        <f t="shared" si="213"/>
        <v>0</v>
      </c>
      <c r="AE143" s="407">
        <f t="shared" si="213"/>
        <v>0</v>
      </c>
      <c r="AF143" s="407">
        <v>4</v>
      </c>
      <c r="AG143" s="407">
        <f>SUM(AG136:AG142)</f>
        <v>14157.6</v>
      </c>
      <c r="AH143" s="407">
        <v>3</v>
      </c>
      <c r="AI143" s="407">
        <f t="shared" ref="AI143:BN143" si="214">SUM(AI136:AI142)</f>
        <v>106182</v>
      </c>
      <c r="AJ143" s="407">
        <f t="shared" si="214"/>
        <v>0</v>
      </c>
      <c r="AK143" s="407">
        <f t="shared" si="214"/>
        <v>0</v>
      </c>
      <c r="AL143" s="407">
        <f t="shared" si="214"/>
        <v>159</v>
      </c>
      <c r="AM143" s="407">
        <f t="shared" si="214"/>
        <v>583801.90875000006</v>
      </c>
      <c r="AN143" s="407">
        <f t="shared" si="214"/>
        <v>0</v>
      </c>
      <c r="AO143" s="407">
        <f t="shared" si="214"/>
        <v>0</v>
      </c>
      <c r="AP143" s="407">
        <f t="shared" si="214"/>
        <v>237051.31500000003</v>
      </c>
      <c r="AQ143" s="407">
        <f t="shared" si="214"/>
        <v>105916.545</v>
      </c>
      <c r="AR143" s="407">
        <f t="shared" si="214"/>
        <v>88263.787499999991</v>
      </c>
      <c r="AS143" s="407">
        <f t="shared" si="214"/>
        <v>0</v>
      </c>
      <c r="AT143" s="407">
        <f t="shared" si="214"/>
        <v>0</v>
      </c>
      <c r="AU143" s="407">
        <f t="shared" si="214"/>
        <v>0</v>
      </c>
      <c r="AV143" s="407">
        <f t="shared" si="214"/>
        <v>0</v>
      </c>
      <c r="AW143" s="407">
        <f t="shared" si="214"/>
        <v>0</v>
      </c>
      <c r="AX143" s="407">
        <f t="shared" si="214"/>
        <v>86700</v>
      </c>
      <c r="AY143" s="407">
        <f t="shared" si="214"/>
        <v>0</v>
      </c>
      <c r="AZ143" s="407">
        <f t="shared" si="214"/>
        <v>1500181.51125</v>
      </c>
      <c r="BA143" s="407">
        <f t="shared" si="214"/>
        <v>3446187.8737499998</v>
      </c>
      <c r="BB143" s="407">
        <f t="shared" si="214"/>
        <v>344618.78737500007</v>
      </c>
      <c r="BC143" s="407">
        <f t="shared" si="214"/>
        <v>68923.757475000006</v>
      </c>
      <c r="BD143" s="407">
        <f t="shared" si="214"/>
        <v>260781.53289000003</v>
      </c>
      <c r="BE143" s="407">
        <f t="shared" si="214"/>
        <v>2771863.7960100002</v>
      </c>
      <c r="BF143" s="407">
        <f t="shared" si="214"/>
        <v>41354254.485000007</v>
      </c>
      <c r="BG143" s="407">
        <f t="shared" si="214"/>
        <v>3892012.7250000001</v>
      </c>
      <c r="BH143" s="407">
        <f t="shared" si="214"/>
        <v>45246267.210000001</v>
      </c>
      <c r="BI143" s="407">
        <f t="shared" si="214"/>
        <v>2036082.0244500001</v>
      </c>
      <c r="BJ143" s="407">
        <f t="shared" si="214"/>
        <v>1240627.6345500001</v>
      </c>
      <c r="BK143" s="407">
        <f t="shared" si="214"/>
        <v>2352319.0694730002</v>
      </c>
      <c r="BL143" s="407">
        <f t="shared" si="214"/>
        <v>2036082.0244499999</v>
      </c>
      <c r="BM143" s="407">
        <f t="shared" si="214"/>
        <v>52911377.962923013</v>
      </c>
      <c r="BN143" s="407">
        <f t="shared" si="214"/>
        <v>0</v>
      </c>
      <c r="BO143" s="355"/>
      <c r="BP143" s="355"/>
      <c r="BQ143" s="355"/>
      <c r="BR143" s="355"/>
      <c r="BS143" s="355"/>
      <c r="BT143" s="355"/>
      <c r="BU143" s="355"/>
      <c r="BV143" s="355"/>
      <c r="BW143" s="355"/>
      <c r="BX143" s="355"/>
      <c r="BY143" s="355"/>
      <c r="BZ143" s="355"/>
      <c r="CA143" s="355"/>
      <c r="CB143" s="355"/>
      <c r="CC143" s="355"/>
      <c r="CD143" s="355"/>
      <c r="CE143" s="355"/>
      <c r="CF143" s="355"/>
      <c r="CG143" s="355"/>
      <c r="CH143" s="355"/>
      <c r="CI143" s="356"/>
    </row>
    <row r="144" spans="1:87" ht="78.75">
      <c r="A144" s="369">
        <f>A142+1</f>
        <v>100</v>
      </c>
      <c r="B144" s="416">
        <v>1</v>
      </c>
      <c r="C144" s="409" t="s">
        <v>1275</v>
      </c>
      <c r="D144" s="412" t="s">
        <v>1276</v>
      </c>
      <c r="E144" s="366" t="s">
        <v>998</v>
      </c>
      <c r="F144" s="366" t="s">
        <v>254</v>
      </c>
      <c r="G144" s="366" t="s">
        <v>1277</v>
      </c>
      <c r="H144" s="371" t="s">
        <v>1441</v>
      </c>
      <c r="I144" s="366">
        <v>17697</v>
      </c>
      <c r="J144" s="367">
        <v>11.18</v>
      </c>
      <c r="K144" s="367">
        <f t="shared" ref="K144:K151" si="215">I144*J144</f>
        <v>197852.46</v>
      </c>
      <c r="L144" s="380">
        <v>3</v>
      </c>
      <c r="M144" s="380"/>
      <c r="N144" s="380">
        <v>20</v>
      </c>
      <c r="O144" s="380"/>
      <c r="P144" s="380">
        <v>8</v>
      </c>
      <c r="Q144" s="368">
        <f t="shared" ref="Q144:Q151" si="216">SUM(L144:P144)</f>
        <v>31</v>
      </c>
      <c r="R144" s="380"/>
      <c r="S144" s="380"/>
      <c r="T144" s="380"/>
      <c r="U144" s="380"/>
      <c r="V144" s="380"/>
      <c r="W144" s="381">
        <f t="shared" ref="W144:W151" si="217">SUM(R144:V144)</f>
        <v>0</v>
      </c>
      <c r="X144" s="370">
        <f t="shared" ref="X144:X151" si="218">Q144+W144</f>
        <v>31</v>
      </c>
      <c r="Y144" s="367">
        <f t="shared" ref="Y144:Y151" si="219">K144/16*X144</f>
        <v>383339.14124999999</v>
      </c>
      <c r="Z144" s="367">
        <f t="shared" ref="Z144:Z150" si="220">Y144*10%</f>
        <v>38333.914125000003</v>
      </c>
      <c r="AA144" s="497"/>
      <c r="AB144" s="367">
        <f t="shared" ref="AB144:AB151" si="221">I144/16*AA144*40%</f>
        <v>0</v>
      </c>
      <c r="AC144" s="497"/>
      <c r="AD144" s="367">
        <f t="shared" ref="AD144:AD151" si="222">I144/16*AC144*40%*50%</f>
        <v>0</v>
      </c>
      <c r="AE144" s="497"/>
      <c r="AF144" s="497" t="s">
        <v>1278</v>
      </c>
      <c r="AG144" s="367">
        <f t="shared" ref="AG144:AG150" si="223">17697*20%</f>
        <v>3539.4</v>
      </c>
      <c r="AH144" s="497" t="s">
        <v>1279</v>
      </c>
      <c r="AI144" s="367">
        <f>I144*200%</f>
        <v>35394</v>
      </c>
      <c r="AJ144" s="372"/>
      <c r="AK144" s="367"/>
      <c r="AL144" s="366">
        <f t="shared" ref="AL144:AL151" si="224">X144</f>
        <v>31</v>
      </c>
      <c r="AM144" s="367">
        <f t="shared" ref="AM144:AM151" si="225">K144/16*AL144*30%</f>
        <v>115001.74237499999</v>
      </c>
      <c r="AN144" s="366" t="str">
        <f t="shared" ref="AN144:AN151" si="226">F144</f>
        <v>Педагог-модератор</v>
      </c>
      <c r="AO144" s="367" t="str">
        <f t="shared" ref="AO144:AO151" si="227">IF(AN144="Педагог-зерттеуші", "0", IF(AN144="Педагог-шебер",K144/16*X144*50%, IF(AN144="Педагог-сарапшы", "0", IF(AN144="Педагог-модератор", "0", "0"))))</f>
        <v>0</v>
      </c>
      <c r="AP144" s="367" t="str">
        <f t="shared" ref="AP144:AP151" si="228">IF(AN144="Педагог-шебер", "0", IF(AN144="Педагог-зерттеуші",K144/16*X144*40%, IF(AN144="Педагог-сарапшы", "0", IF(AN144="Педагог-модератор", "0", "0"))))</f>
        <v>0</v>
      </c>
      <c r="AQ144" s="367" t="str">
        <f t="shared" ref="AQ144:AQ151" si="229">IF(AN144="Педагог-шебер", "0", IF(AN144="Педагог-сарапшы",K144/16*X144*35%, IF(AN144="Педагог-зерттеуші", "0", IF(AN144="Педагог-модератор", "0", "0"))))</f>
        <v>0</v>
      </c>
      <c r="AR144" s="367">
        <f t="shared" ref="AR144:AR151" si="230">IF(AN144="Педагог-шебер", "0", IF(AN144="Педагог-модератор",K144/16*X144*30%, IF(AN144="Педагог-зерттеуші", "0", IF(AN144="Педагог-сарапшы", "0", "0"))))</f>
        <v>115001.74237499999</v>
      </c>
      <c r="AS144" s="497"/>
      <c r="AT144" s="374"/>
      <c r="AU144" s="499"/>
      <c r="AV144" s="374"/>
      <c r="AW144" s="371" t="str">
        <f>G144</f>
        <v>Магистр-история</v>
      </c>
      <c r="AX144" s="372">
        <f>10*4335</f>
        <v>43350</v>
      </c>
      <c r="AY144" s="367"/>
      <c r="AZ144" s="367">
        <f t="shared" ref="AZ144:AZ151" si="231">Z144+AB144+AD144+AE144+AG144+AI144+AK144+AM144+AO144+AP144+AQ144++AR144+AT144+AV144+AX144+AY144</f>
        <v>350620.79887499998</v>
      </c>
      <c r="BA144" s="373">
        <f t="shared" ref="BA144:BA151" si="232">Y144+AZ144</f>
        <v>733959.94012499996</v>
      </c>
      <c r="BB144" s="374">
        <f t="shared" si="169"/>
        <v>73395.994012499999</v>
      </c>
      <c r="BC144" s="374">
        <f t="shared" si="170"/>
        <v>14679.198802499999</v>
      </c>
      <c r="BD144" s="374">
        <f t="shared" ref="BD144:BD151" si="233">(BA144-BB144-BC144-(14*4335))*10%</f>
        <v>58519.474730999995</v>
      </c>
      <c r="BE144" s="374">
        <f t="shared" si="172"/>
        <v>587365.27257899987</v>
      </c>
      <c r="BF144" s="374">
        <f t="shared" si="173"/>
        <v>8807519.2815000005</v>
      </c>
      <c r="BG144" s="374">
        <f t="shared" ref="BG144:BG151" si="234">Y144*2</f>
        <v>766678.28249999997</v>
      </c>
      <c r="BH144" s="374">
        <f t="shared" si="175"/>
        <v>9574197.5640000012</v>
      </c>
      <c r="BI144" s="374">
        <f t="shared" si="176"/>
        <v>430838.89038000006</v>
      </c>
      <c r="BJ144" s="374">
        <f t="shared" si="177"/>
        <v>264225.57844499999</v>
      </c>
      <c r="BK144" s="374">
        <f t="shared" si="178"/>
        <v>497630.12603670004</v>
      </c>
      <c r="BL144" s="374">
        <f>BH144*4.5%</f>
        <v>430838.89038000006</v>
      </c>
      <c r="BM144" s="373">
        <f t="shared" si="183"/>
        <v>11197731.049241703</v>
      </c>
      <c r="BN144" s="375"/>
      <c r="BO144" s="377"/>
      <c r="BP144" s="377"/>
      <c r="BQ144" s="377"/>
      <c r="BR144" s="377"/>
      <c r="BS144" s="377"/>
      <c r="BT144" s="377"/>
      <c r="BU144" s="377"/>
      <c r="BV144" s="377"/>
      <c r="BW144" s="377"/>
      <c r="BX144" s="377"/>
      <c r="BY144" s="377"/>
      <c r="BZ144" s="377"/>
      <c r="CA144" s="377"/>
      <c r="CB144" s="377"/>
      <c r="CC144" s="377"/>
      <c r="CD144" s="377"/>
      <c r="CE144" s="377"/>
      <c r="CF144" s="377"/>
      <c r="CG144" s="377"/>
      <c r="CH144" s="377"/>
      <c r="CI144" s="377"/>
    </row>
    <row r="145" spans="1:87" ht="78.75">
      <c r="A145" s="369">
        <f>A144+1</f>
        <v>101</v>
      </c>
      <c r="B145" s="416">
        <f>B144+1</f>
        <v>2</v>
      </c>
      <c r="C145" s="409" t="s">
        <v>1280</v>
      </c>
      <c r="D145" s="412" t="s">
        <v>1281</v>
      </c>
      <c r="E145" s="366" t="s">
        <v>998</v>
      </c>
      <c r="F145" s="366" t="s">
        <v>999</v>
      </c>
      <c r="G145" s="366"/>
      <c r="H145" s="371" t="s">
        <v>1282</v>
      </c>
      <c r="I145" s="366">
        <v>17697</v>
      </c>
      <c r="J145" s="367">
        <v>11.4</v>
      </c>
      <c r="K145" s="367">
        <f t="shared" si="215"/>
        <v>201745.80000000002</v>
      </c>
      <c r="L145" s="380"/>
      <c r="M145" s="380"/>
      <c r="N145" s="380"/>
      <c r="O145" s="380">
        <v>20</v>
      </c>
      <c r="P145" s="380">
        <v>12</v>
      </c>
      <c r="Q145" s="368">
        <f t="shared" si="216"/>
        <v>32</v>
      </c>
      <c r="R145" s="380"/>
      <c r="S145" s="380"/>
      <c r="T145" s="380"/>
      <c r="U145" s="380"/>
      <c r="V145" s="380">
        <v>4</v>
      </c>
      <c r="W145" s="381">
        <f t="shared" si="217"/>
        <v>4</v>
      </c>
      <c r="X145" s="370">
        <f t="shared" si="218"/>
        <v>36</v>
      </c>
      <c r="Y145" s="367">
        <f t="shared" si="219"/>
        <v>453928.05000000005</v>
      </c>
      <c r="Z145" s="367">
        <f t="shared" si="220"/>
        <v>45392.805000000008</v>
      </c>
      <c r="AA145" s="497"/>
      <c r="AB145" s="367">
        <f t="shared" si="221"/>
        <v>0</v>
      </c>
      <c r="AC145" s="497"/>
      <c r="AD145" s="367">
        <f t="shared" si="222"/>
        <v>0</v>
      </c>
      <c r="AE145" s="498"/>
      <c r="AF145" s="497" t="s">
        <v>1283</v>
      </c>
      <c r="AG145" s="367">
        <f t="shared" si="223"/>
        <v>3539.4</v>
      </c>
      <c r="AH145" s="497" t="s">
        <v>1284</v>
      </c>
      <c r="AI145" s="367">
        <f>I145*200%</f>
        <v>35394</v>
      </c>
      <c r="AJ145" s="372"/>
      <c r="AK145" s="367"/>
      <c r="AL145" s="366">
        <f t="shared" si="224"/>
        <v>36</v>
      </c>
      <c r="AM145" s="367">
        <f t="shared" si="225"/>
        <v>136178.41500000001</v>
      </c>
      <c r="AN145" s="366" t="str">
        <f t="shared" si="226"/>
        <v>Педагог-шебер</v>
      </c>
      <c r="AO145" s="367">
        <f t="shared" si="227"/>
        <v>226964.02500000002</v>
      </c>
      <c r="AP145" s="367" t="str">
        <f t="shared" si="228"/>
        <v>0</v>
      </c>
      <c r="AQ145" s="367" t="str">
        <f t="shared" si="229"/>
        <v>0</v>
      </c>
      <c r="AR145" s="367" t="str">
        <f t="shared" si="230"/>
        <v>0</v>
      </c>
      <c r="AS145" s="497"/>
      <c r="AT145" s="374"/>
      <c r="AU145" s="499"/>
      <c r="AV145" s="374"/>
      <c r="AW145" s="371">
        <f t="shared" ref="AW145:AW151" si="235">G145</f>
        <v>0</v>
      </c>
      <c r="AX145" s="367"/>
      <c r="AY145" s="367"/>
      <c r="AZ145" s="367">
        <f t="shared" si="231"/>
        <v>447468.64500000002</v>
      </c>
      <c r="BA145" s="373">
        <f t="shared" si="232"/>
        <v>901396.69500000007</v>
      </c>
      <c r="BB145" s="374">
        <f t="shared" si="169"/>
        <v>90139.669500000018</v>
      </c>
      <c r="BC145" s="374">
        <f t="shared" si="170"/>
        <v>18027.9339</v>
      </c>
      <c r="BD145" s="374">
        <f t="shared" si="233"/>
        <v>73253.90916000001</v>
      </c>
      <c r="BE145" s="374">
        <f t="shared" si="172"/>
        <v>719975.18244</v>
      </c>
      <c r="BF145" s="374">
        <f t="shared" si="173"/>
        <v>10816760.34</v>
      </c>
      <c r="BG145" s="374">
        <f t="shared" si="234"/>
        <v>907856.10000000009</v>
      </c>
      <c r="BH145" s="374">
        <f t="shared" si="175"/>
        <v>11724616.439999999</v>
      </c>
      <c r="BI145" s="374">
        <f t="shared" si="176"/>
        <v>527607.73979999998</v>
      </c>
      <c r="BJ145" s="374">
        <f t="shared" si="177"/>
        <v>324502.81020000001</v>
      </c>
      <c r="BK145" s="374">
        <f t="shared" si="178"/>
        <v>609332.41501200001</v>
      </c>
      <c r="BL145" s="374">
        <f t="shared" ref="BL145:BL151" si="236">BH145*4.5%</f>
        <v>527607.73979999998</v>
      </c>
      <c r="BM145" s="373">
        <f t="shared" si="183"/>
        <v>13713667.144812001</v>
      </c>
      <c r="BN145" s="375"/>
      <c r="BO145" s="377"/>
      <c r="BP145" s="377"/>
      <c r="BQ145" s="377"/>
      <c r="BR145" s="377"/>
      <c r="BS145" s="377"/>
      <c r="BT145" s="377"/>
      <c r="BU145" s="377"/>
      <c r="BV145" s="377"/>
      <c r="BW145" s="377"/>
      <c r="BX145" s="377"/>
      <c r="BY145" s="377"/>
      <c r="BZ145" s="377"/>
      <c r="CA145" s="377"/>
      <c r="CB145" s="377"/>
      <c r="CC145" s="377"/>
      <c r="CD145" s="377"/>
      <c r="CE145" s="377"/>
      <c r="CF145" s="377"/>
      <c r="CG145" s="377"/>
      <c r="CH145" s="377"/>
      <c r="CI145" s="377"/>
    </row>
    <row r="146" spans="1:87" ht="78.75">
      <c r="A146" s="369">
        <f t="shared" ref="A146:B151" si="237">A145+1</f>
        <v>102</v>
      </c>
      <c r="B146" s="416">
        <f t="shared" si="237"/>
        <v>3</v>
      </c>
      <c r="C146" s="409" t="s">
        <v>1285</v>
      </c>
      <c r="D146" s="412" t="s">
        <v>1286</v>
      </c>
      <c r="E146" s="366" t="s">
        <v>998</v>
      </c>
      <c r="F146" s="366" t="s">
        <v>1005</v>
      </c>
      <c r="G146" s="366" t="s">
        <v>1226</v>
      </c>
      <c r="H146" s="371" t="s">
        <v>1442</v>
      </c>
      <c r="I146" s="366">
        <v>17697</v>
      </c>
      <c r="J146" s="367">
        <v>11.18</v>
      </c>
      <c r="K146" s="367">
        <f t="shared" si="215"/>
        <v>197852.46</v>
      </c>
      <c r="L146" s="380"/>
      <c r="M146" s="380"/>
      <c r="N146" s="380">
        <v>16</v>
      </c>
      <c r="O146" s="380">
        <v>16</v>
      </c>
      <c r="P146" s="380"/>
      <c r="Q146" s="368">
        <f t="shared" si="216"/>
        <v>32</v>
      </c>
      <c r="R146" s="380"/>
      <c r="S146" s="380"/>
      <c r="T146" s="380"/>
      <c r="U146" s="380"/>
      <c r="V146" s="380">
        <v>4</v>
      </c>
      <c r="W146" s="381">
        <f t="shared" si="217"/>
        <v>4</v>
      </c>
      <c r="X146" s="370">
        <f t="shared" si="218"/>
        <v>36</v>
      </c>
      <c r="Y146" s="367">
        <f t="shared" si="219"/>
        <v>445168.03499999997</v>
      </c>
      <c r="Z146" s="367">
        <f t="shared" si="220"/>
        <v>44516.803500000002</v>
      </c>
      <c r="AA146" s="497"/>
      <c r="AB146" s="367">
        <f t="shared" si="221"/>
        <v>0</v>
      </c>
      <c r="AC146" s="497"/>
      <c r="AD146" s="367">
        <f t="shared" si="222"/>
        <v>0</v>
      </c>
      <c r="AE146" s="497"/>
      <c r="AF146" s="497" t="s">
        <v>1287</v>
      </c>
      <c r="AG146" s="367">
        <f t="shared" si="223"/>
        <v>3539.4</v>
      </c>
      <c r="AH146" s="497"/>
      <c r="AI146" s="367"/>
      <c r="AJ146" s="372"/>
      <c r="AK146" s="367"/>
      <c r="AL146" s="366">
        <f t="shared" si="224"/>
        <v>36</v>
      </c>
      <c r="AM146" s="367">
        <f t="shared" si="225"/>
        <v>133550.4105</v>
      </c>
      <c r="AN146" s="366" t="str">
        <f t="shared" si="226"/>
        <v>Педагог-зерттеуші</v>
      </c>
      <c r="AO146" s="367" t="str">
        <f t="shared" si="227"/>
        <v>0</v>
      </c>
      <c r="AP146" s="367">
        <f t="shared" si="228"/>
        <v>178067.21400000001</v>
      </c>
      <c r="AQ146" s="367" t="str">
        <f t="shared" si="229"/>
        <v>0</v>
      </c>
      <c r="AR146" s="367" t="str">
        <f t="shared" si="230"/>
        <v>0</v>
      </c>
      <c r="AS146" s="497"/>
      <c r="AT146" s="374"/>
      <c r="AU146" s="499"/>
      <c r="AV146" s="374"/>
      <c r="AW146" s="371" t="str">
        <f t="shared" si="235"/>
        <v>Магистр-педагогика</v>
      </c>
      <c r="AX146" s="372">
        <f>10*4335</f>
        <v>43350</v>
      </c>
      <c r="AY146" s="367"/>
      <c r="AZ146" s="367">
        <f t="shared" si="231"/>
        <v>403023.82799999998</v>
      </c>
      <c r="BA146" s="373">
        <f t="shared" si="232"/>
        <v>848191.8629999999</v>
      </c>
      <c r="BB146" s="374">
        <f t="shared" si="169"/>
        <v>84819.186300000001</v>
      </c>
      <c r="BC146" s="374">
        <f t="shared" si="170"/>
        <v>16963.837259999997</v>
      </c>
      <c r="BD146" s="374">
        <f t="shared" si="233"/>
        <v>68571.883944000001</v>
      </c>
      <c r="BE146" s="374">
        <f t="shared" si="172"/>
        <v>677836.95549600001</v>
      </c>
      <c r="BF146" s="374">
        <f t="shared" si="173"/>
        <v>10178302.355999999</v>
      </c>
      <c r="BG146" s="374">
        <f t="shared" si="234"/>
        <v>890336.07</v>
      </c>
      <c r="BH146" s="374">
        <f t="shared" si="175"/>
        <v>11068638.425999999</v>
      </c>
      <c r="BI146" s="374">
        <f t="shared" si="176"/>
        <v>498088.72917000001</v>
      </c>
      <c r="BJ146" s="374">
        <f t="shared" si="177"/>
        <v>305349.07067999995</v>
      </c>
      <c r="BK146" s="374">
        <f t="shared" si="178"/>
        <v>575314.20982080023</v>
      </c>
      <c r="BL146" s="374">
        <f t="shared" si="236"/>
        <v>498088.72916999995</v>
      </c>
      <c r="BM146" s="373">
        <f t="shared" si="183"/>
        <v>12945479.164840799</v>
      </c>
      <c r="BN146" s="375"/>
      <c r="BO146" s="377"/>
      <c r="BP146" s="377"/>
      <c r="BQ146" s="377"/>
      <c r="BR146" s="377"/>
      <c r="BS146" s="377"/>
      <c r="BT146" s="377"/>
      <c r="BU146" s="377"/>
      <c r="BV146" s="377"/>
      <c r="BW146" s="377"/>
      <c r="BX146" s="377"/>
      <c r="BY146" s="377"/>
      <c r="BZ146" s="377"/>
      <c r="CA146" s="377"/>
      <c r="CB146" s="377"/>
      <c r="CC146" s="377"/>
      <c r="CD146" s="377"/>
      <c r="CE146" s="377"/>
      <c r="CF146" s="377"/>
      <c r="CG146" s="377"/>
      <c r="CH146" s="377"/>
      <c r="CI146" s="377"/>
    </row>
    <row r="147" spans="1:87" ht="47.25">
      <c r="A147" s="369">
        <f t="shared" si="237"/>
        <v>103</v>
      </c>
      <c r="B147" s="416">
        <f t="shared" si="237"/>
        <v>4</v>
      </c>
      <c r="C147" s="409" t="s">
        <v>1288</v>
      </c>
      <c r="D147" s="502" t="s">
        <v>1289</v>
      </c>
      <c r="E147" s="366" t="s">
        <v>998</v>
      </c>
      <c r="F147" s="366" t="s">
        <v>1005</v>
      </c>
      <c r="G147" s="366"/>
      <c r="H147" s="371" t="s">
        <v>1443</v>
      </c>
      <c r="I147" s="366">
        <v>17697</v>
      </c>
      <c r="J147" s="367">
        <v>10.6</v>
      </c>
      <c r="K147" s="367">
        <f t="shared" si="215"/>
        <v>187588.19999999998</v>
      </c>
      <c r="L147" s="380">
        <v>3</v>
      </c>
      <c r="M147" s="380">
        <v>15</v>
      </c>
      <c r="N147" s="380"/>
      <c r="O147" s="380"/>
      <c r="P147" s="380"/>
      <c r="Q147" s="368">
        <f t="shared" si="216"/>
        <v>18</v>
      </c>
      <c r="R147" s="380"/>
      <c r="S147" s="380"/>
      <c r="T147" s="380"/>
      <c r="U147" s="380"/>
      <c r="V147" s="380"/>
      <c r="W147" s="381">
        <f t="shared" si="217"/>
        <v>0</v>
      </c>
      <c r="X147" s="370">
        <f t="shared" si="218"/>
        <v>18</v>
      </c>
      <c r="Y147" s="367">
        <f t="shared" si="219"/>
        <v>211036.72499999998</v>
      </c>
      <c r="Z147" s="367">
        <f t="shared" si="220"/>
        <v>21103.672500000001</v>
      </c>
      <c r="AA147" s="497"/>
      <c r="AB147" s="367">
        <f t="shared" si="221"/>
        <v>0</v>
      </c>
      <c r="AC147" s="497"/>
      <c r="AD147" s="367">
        <f t="shared" si="222"/>
        <v>0</v>
      </c>
      <c r="AE147" s="497"/>
      <c r="AF147" s="497"/>
      <c r="AG147" s="367"/>
      <c r="AH147" s="497" t="s">
        <v>1290</v>
      </c>
      <c r="AI147" s="367">
        <f>I147*200%</f>
        <v>35394</v>
      </c>
      <c r="AJ147" s="372"/>
      <c r="AK147" s="367"/>
      <c r="AL147" s="366">
        <f t="shared" si="224"/>
        <v>18</v>
      </c>
      <c r="AM147" s="367">
        <f t="shared" si="225"/>
        <v>63311.017499999987</v>
      </c>
      <c r="AN147" s="366" t="str">
        <f t="shared" si="226"/>
        <v>Педагог-зерттеуші</v>
      </c>
      <c r="AO147" s="367" t="str">
        <f t="shared" si="227"/>
        <v>0</v>
      </c>
      <c r="AP147" s="367">
        <f t="shared" si="228"/>
        <v>84414.69</v>
      </c>
      <c r="AQ147" s="367" t="str">
        <f t="shared" si="229"/>
        <v>0</v>
      </c>
      <c r="AR147" s="367" t="str">
        <f t="shared" si="230"/>
        <v>0</v>
      </c>
      <c r="AS147" s="497"/>
      <c r="AT147" s="374"/>
      <c r="AU147" s="499"/>
      <c r="AV147" s="374"/>
      <c r="AW147" s="371">
        <f t="shared" si="235"/>
        <v>0</v>
      </c>
      <c r="AX147" s="372"/>
      <c r="AY147" s="367"/>
      <c r="AZ147" s="367">
        <f t="shared" si="231"/>
        <v>204223.38</v>
      </c>
      <c r="BA147" s="373">
        <f t="shared" si="232"/>
        <v>415260.10499999998</v>
      </c>
      <c r="BB147" s="374">
        <f t="shared" si="169"/>
        <v>41526.010500000004</v>
      </c>
      <c r="BC147" s="374">
        <f t="shared" si="170"/>
        <v>8305.2021000000004</v>
      </c>
      <c r="BD147" s="374">
        <f t="shared" si="233"/>
        <v>30473.889240000004</v>
      </c>
      <c r="BE147" s="374">
        <f t="shared" si="172"/>
        <v>334955.00316000002</v>
      </c>
      <c r="BF147" s="374">
        <f t="shared" si="173"/>
        <v>4983121.26</v>
      </c>
      <c r="BG147" s="374">
        <f t="shared" si="234"/>
        <v>422073.44999999995</v>
      </c>
      <c r="BH147" s="374">
        <f t="shared" si="175"/>
        <v>5405194.71</v>
      </c>
      <c r="BI147" s="374">
        <f t="shared" si="176"/>
        <v>243233.76195000001</v>
      </c>
      <c r="BJ147" s="374">
        <f t="shared" si="177"/>
        <v>149493.6378</v>
      </c>
      <c r="BK147" s="374">
        <f t="shared" si="178"/>
        <v>280917.64756799996</v>
      </c>
      <c r="BL147" s="374">
        <f t="shared" si="236"/>
        <v>243233.76194999999</v>
      </c>
      <c r="BM147" s="373">
        <f t="shared" si="183"/>
        <v>6322073.5192679996</v>
      </c>
      <c r="BN147" s="375"/>
      <c r="BO147" s="377"/>
      <c r="BP147" s="377"/>
      <c r="BQ147" s="377"/>
      <c r="BR147" s="377"/>
      <c r="BS147" s="377"/>
      <c r="BT147" s="377"/>
      <c r="BU147" s="377"/>
      <c r="BV147" s="377"/>
      <c r="BW147" s="377"/>
      <c r="BX147" s="377"/>
      <c r="BY147" s="377"/>
      <c r="BZ147" s="377"/>
      <c r="CA147" s="377"/>
      <c r="CB147" s="377"/>
      <c r="CC147" s="377"/>
      <c r="CD147" s="377"/>
      <c r="CE147" s="377"/>
      <c r="CF147" s="377"/>
      <c r="CG147" s="377"/>
      <c r="CH147" s="377"/>
      <c r="CI147" s="377"/>
    </row>
    <row r="148" spans="1:87" ht="47.25">
      <c r="A148" s="369">
        <f t="shared" si="237"/>
        <v>104</v>
      </c>
      <c r="B148" s="416">
        <f t="shared" si="237"/>
        <v>5</v>
      </c>
      <c r="C148" s="409" t="s">
        <v>1291</v>
      </c>
      <c r="D148" s="502" t="s">
        <v>1292</v>
      </c>
      <c r="E148" s="366" t="s">
        <v>998</v>
      </c>
      <c r="F148" s="366" t="s">
        <v>254</v>
      </c>
      <c r="G148" s="366"/>
      <c r="H148" s="371" t="s">
        <v>1444</v>
      </c>
      <c r="I148" s="366">
        <v>17697</v>
      </c>
      <c r="J148" s="367">
        <v>11.02</v>
      </c>
      <c r="K148" s="367">
        <f t="shared" si="215"/>
        <v>195020.94</v>
      </c>
      <c r="L148" s="380"/>
      <c r="M148" s="380">
        <v>9</v>
      </c>
      <c r="N148" s="380"/>
      <c r="O148" s="380"/>
      <c r="P148" s="380"/>
      <c r="Q148" s="368">
        <f t="shared" si="216"/>
        <v>9</v>
      </c>
      <c r="R148" s="380"/>
      <c r="S148" s="380"/>
      <c r="T148" s="380"/>
      <c r="U148" s="380"/>
      <c r="V148" s="380"/>
      <c r="W148" s="381">
        <f t="shared" si="217"/>
        <v>0</v>
      </c>
      <c r="X148" s="370">
        <f t="shared" si="218"/>
        <v>9</v>
      </c>
      <c r="Y148" s="367">
        <f t="shared" si="219"/>
        <v>109699.27875</v>
      </c>
      <c r="Z148" s="367">
        <f t="shared" si="220"/>
        <v>10969.927875000001</v>
      </c>
      <c r="AA148" s="497"/>
      <c r="AB148" s="367">
        <f t="shared" si="221"/>
        <v>0</v>
      </c>
      <c r="AC148" s="497"/>
      <c r="AD148" s="367">
        <f t="shared" si="222"/>
        <v>0</v>
      </c>
      <c r="AE148" s="497"/>
      <c r="AF148" s="497"/>
      <c r="AG148" s="367"/>
      <c r="AH148" s="497"/>
      <c r="AI148" s="367"/>
      <c r="AJ148" s="372"/>
      <c r="AK148" s="367"/>
      <c r="AL148" s="366">
        <f t="shared" si="224"/>
        <v>9</v>
      </c>
      <c r="AM148" s="367">
        <f t="shared" si="225"/>
        <v>32909.783624999996</v>
      </c>
      <c r="AN148" s="366" t="str">
        <f t="shared" si="226"/>
        <v>Педагог-модератор</v>
      </c>
      <c r="AO148" s="367" t="str">
        <f t="shared" si="227"/>
        <v>0</v>
      </c>
      <c r="AP148" s="367" t="str">
        <f t="shared" si="228"/>
        <v>0</v>
      </c>
      <c r="AQ148" s="367" t="str">
        <f t="shared" si="229"/>
        <v>0</v>
      </c>
      <c r="AR148" s="367">
        <f t="shared" si="230"/>
        <v>32909.783624999996</v>
      </c>
      <c r="AS148" s="497"/>
      <c r="AT148" s="374"/>
      <c r="AU148" s="499"/>
      <c r="AV148" s="374"/>
      <c r="AW148" s="371">
        <f t="shared" si="235"/>
        <v>0</v>
      </c>
      <c r="AX148" s="372"/>
      <c r="AY148" s="367"/>
      <c r="AZ148" s="367">
        <f t="shared" si="231"/>
        <v>76789.495124999987</v>
      </c>
      <c r="BA148" s="373">
        <f t="shared" si="232"/>
        <v>186488.77387499998</v>
      </c>
      <c r="BB148" s="374">
        <f t="shared" si="169"/>
        <v>18648.877387500001</v>
      </c>
      <c r="BC148" s="374">
        <f t="shared" si="170"/>
        <v>3729.7754774999999</v>
      </c>
      <c r="BD148" s="374">
        <f t="shared" si="233"/>
        <v>10342.012101</v>
      </c>
      <c r="BE148" s="374">
        <f t="shared" si="172"/>
        <v>153768.108909</v>
      </c>
      <c r="BF148" s="374">
        <f t="shared" si="173"/>
        <v>2237865.2864999999</v>
      </c>
      <c r="BG148" s="374">
        <f t="shared" si="234"/>
        <v>219398.5575</v>
      </c>
      <c r="BH148" s="374">
        <f t="shared" si="175"/>
        <v>2457263.844</v>
      </c>
      <c r="BI148" s="374">
        <f t="shared" si="176"/>
        <v>110576.87298000001</v>
      </c>
      <c r="BJ148" s="374">
        <f t="shared" si="177"/>
        <v>67135.958594999989</v>
      </c>
      <c r="BK148" s="374">
        <f t="shared" si="178"/>
        <v>127768.94394569998</v>
      </c>
      <c r="BL148" s="374">
        <f t="shared" si="236"/>
        <v>110576.87298</v>
      </c>
      <c r="BM148" s="373">
        <f t="shared" si="183"/>
        <v>2873322.4925007001</v>
      </c>
      <c r="BN148" s="375"/>
      <c r="BO148" s="377"/>
      <c r="BP148" s="377"/>
      <c r="BQ148" s="377"/>
      <c r="BR148" s="377"/>
      <c r="BS148" s="377"/>
      <c r="BT148" s="377"/>
      <c r="BU148" s="377"/>
      <c r="BV148" s="377"/>
      <c r="BW148" s="377"/>
      <c r="BX148" s="377"/>
      <c r="BY148" s="377"/>
      <c r="BZ148" s="377"/>
      <c r="CA148" s="377"/>
      <c r="CB148" s="377"/>
      <c r="CC148" s="377"/>
      <c r="CD148" s="377"/>
      <c r="CE148" s="377"/>
      <c r="CF148" s="377"/>
      <c r="CG148" s="377"/>
      <c r="CH148" s="377"/>
      <c r="CI148" s="377"/>
    </row>
    <row r="149" spans="1:87" ht="31.5">
      <c r="A149" s="369">
        <f t="shared" si="237"/>
        <v>105</v>
      </c>
      <c r="B149" s="416">
        <f t="shared" si="237"/>
        <v>6</v>
      </c>
      <c r="C149" s="409" t="s">
        <v>1293</v>
      </c>
      <c r="D149" s="412" t="s">
        <v>1294</v>
      </c>
      <c r="E149" s="366" t="s">
        <v>998</v>
      </c>
      <c r="F149" s="366" t="s">
        <v>1011</v>
      </c>
      <c r="G149" s="366"/>
      <c r="H149" s="371" t="s">
        <v>121</v>
      </c>
      <c r="I149" s="366">
        <v>17697</v>
      </c>
      <c r="J149" s="367">
        <v>11.18</v>
      </c>
      <c r="K149" s="367">
        <v>195020.94</v>
      </c>
      <c r="L149" s="380">
        <v>9</v>
      </c>
      <c r="M149" s="380"/>
      <c r="N149" s="380"/>
      <c r="O149" s="380"/>
      <c r="P149" s="380"/>
      <c r="Q149" s="368">
        <v>9</v>
      </c>
      <c r="R149" s="380"/>
      <c r="S149" s="380"/>
      <c r="T149" s="380"/>
      <c r="U149" s="380"/>
      <c r="V149" s="380"/>
      <c r="W149" s="381">
        <v>0</v>
      </c>
      <c r="X149" s="370">
        <v>9</v>
      </c>
      <c r="Y149" s="367">
        <v>109699.27875</v>
      </c>
      <c r="Z149" s="367">
        <v>10969.927875000001</v>
      </c>
      <c r="AA149" s="497"/>
      <c r="AB149" s="367">
        <v>0</v>
      </c>
      <c r="AC149" s="497"/>
      <c r="AD149" s="367">
        <v>0</v>
      </c>
      <c r="AE149" s="497"/>
      <c r="AF149" s="497"/>
      <c r="AG149" s="367"/>
      <c r="AH149" s="497"/>
      <c r="AI149" s="367"/>
      <c r="AJ149" s="372"/>
      <c r="AK149" s="367"/>
      <c r="AL149" s="366">
        <v>9</v>
      </c>
      <c r="AM149" s="367">
        <v>32909.783624999996</v>
      </c>
      <c r="AN149" s="366" t="str">
        <f t="shared" si="226"/>
        <v>Педагог-сарапшы</v>
      </c>
      <c r="AO149" s="367" t="str">
        <f t="shared" si="227"/>
        <v>0</v>
      </c>
      <c r="AP149" s="367" t="str">
        <f t="shared" si="228"/>
        <v>0</v>
      </c>
      <c r="AQ149" s="367">
        <f t="shared" si="229"/>
        <v>38394.747562499993</v>
      </c>
      <c r="AR149" s="367" t="str">
        <f t="shared" si="230"/>
        <v>0</v>
      </c>
      <c r="AS149" s="497"/>
      <c r="AT149" s="374"/>
      <c r="AU149" s="499"/>
      <c r="AV149" s="374"/>
      <c r="AW149" s="371">
        <f t="shared" si="235"/>
        <v>0</v>
      </c>
      <c r="AX149" s="372"/>
      <c r="AY149" s="367"/>
      <c r="AZ149" s="367">
        <f t="shared" si="231"/>
        <v>82274.459062499984</v>
      </c>
      <c r="BA149" s="373">
        <f t="shared" si="232"/>
        <v>191973.73781249998</v>
      </c>
      <c r="BB149" s="374">
        <f t="shared" si="169"/>
        <v>19197.37378125</v>
      </c>
      <c r="BC149" s="374">
        <f t="shared" si="170"/>
        <v>3839.4747562499997</v>
      </c>
      <c r="BD149" s="374">
        <f t="shared" si="233"/>
        <v>10824.688927499998</v>
      </c>
      <c r="BE149" s="374">
        <f t="shared" si="172"/>
        <v>158112.20034749998</v>
      </c>
      <c r="BF149" s="374">
        <f t="shared" si="173"/>
        <v>2303684.8537499998</v>
      </c>
      <c r="BG149" s="374">
        <f t="shared" si="234"/>
        <v>219398.5575</v>
      </c>
      <c r="BH149" s="374">
        <f t="shared" si="175"/>
        <v>2523083.4112499999</v>
      </c>
      <c r="BI149" s="374">
        <f t="shared" si="176"/>
        <v>113538.75350625001</v>
      </c>
      <c r="BJ149" s="374">
        <f t="shared" si="177"/>
        <v>69110.545612499991</v>
      </c>
      <c r="BK149" s="374">
        <f t="shared" si="178"/>
        <v>131178.39752925001</v>
      </c>
      <c r="BL149" s="374">
        <f t="shared" si="236"/>
        <v>113538.75350625</v>
      </c>
      <c r="BM149" s="373">
        <f t="shared" si="183"/>
        <v>2950449.8614042504</v>
      </c>
      <c r="BN149" s="375"/>
      <c r="BO149" s="377"/>
      <c r="BP149" s="377"/>
      <c r="BQ149" s="377"/>
      <c r="BR149" s="377"/>
      <c r="BS149" s="377"/>
      <c r="BT149" s="377"/>
      <c r="BU149" s="377"/>
      <c r="BV149" s="377"/>
      <c r="BW149" s="377"/>
      <c r="BX149" s="377"/>
      <c r="BY149" s="377"/>
      <c r="BZ149" s="377"/>
      <c r="CA149" s="377"/>
      <c r="CB149" s="377"/>
      <c r="CC149" s="377"/>
      <c r="CD149" s="377"/>
      <c r="CE149" s="377"/>
      <c r="CF149" s="377"/>
      <c r="CG149" s="377"/>
      <c r="CH149" s="377"/>
      <c r="CI149" s="377"/>
    </row>
    <row r="150" spans="1:87" ht="78.75">
      <c r="A150" s="369">
        <f t="shared" si="237"/>
        <v>106</v>
      </c>
      <c r="B150" s="416">
        <f t="shared" si="237"/>
        <v>7</v>
      </c>
      <c r="C150" s="409" t="s">
        <v>1295</v>
      </c>
      <c r="D150" s="410" t="s">
        <v>1296</v>
      </c>
      <c r="E150" s="366" t="s">
        <v>998</v>
      </c>
      <c r="F150" s="366"/>
      <c r="G150" s="366"/>
      <c r="H150" s="507" t="s">
        <v>1297</v>
      </c>
      <c r="I150" s="508">
        <v>17697</v>
      </c>
      <c r="J150" s="509">
        <v>11.4</v>
      </c>
      <c r="K150" s="367">
        <f t="shared" si="215"/>
        <v>201745.80000000002</v>
      </c>
      <c r="L150" s="380">
        <v>15</v>
      </c>
      <c r="M150" s="380"/>
      <c r="N150" s="380"/>
      <c r="O150" s="380"/>
      <c r="P150" s="380">
        <v>16</v>
      </c>
      <c r="Q150" s="368">
        <f t="shared" si="216"/>
        <v>31</v>
      </c>
      <c r="R150" s="380"/>
      <c r="S150" s="380"/>
      <c r="T150" s="380"/>
      <c r="U150" s="380"/>
      <c r="V150" s="380"/>
      <c r="W150" s="381">
        <f t="shared" si="217"/>
        <v>0</v>
      </c>
      <c r="X150" s="370">
        <f t="shared" si="218"/>
        <v>31</v>
      </c>
      <c r="Y150" s="367">
        <f t="shared" si="219"/>
        <v>390882.48750000005</v>
      </c>
      <c r="Z150" s="367">
        <f t="shared" si="220"/>
        <v>39088.248750000006</v>
      </c>
      <c r="AA150" s="497"/>
      <c r="AB150" s="367">
        <f t="shared" si="221"/>
        <v>0</v>
      </c>
      <c r="AC150" s="497"/>
      <c r="AD150" s="367">
        <f t="shared" si="222"/>
        <v>0</v>
      </c>
      <c r="AE150" s="497"/>
      <c r="AF150" s="497" t="s">
        <v>1298</v>
      </c>
      <c r="AG150" s="367">
        <f t="shared" si="223"/>
        <v>3539.4</v>
      </c>
      <c r="AH150" s="497" t="s">
        <v>1299</v>
      </c>
      <c r="AI150" s="367">
        <f>I150*200%</f>
        <v>35394</v>
      </c>
      <c r="AJ150" s="372"/>
      <c r="AK150" s="367"/>
      <c r="AL150" s="366">
        <f t="shared" si="224"/>
        <v>31</v>
      </c>
      <c r="AM150" s="367">
        <f t="shared" si="225"/>
        <v>117264.74625000001</v>
      </c>
      <c r="AN150" s="366">
        <f t="shared" si="226"/>
        <v>0</v>
      </c>
      <c r="AO150" s="367" t="str">
        <f t="shared" si="227"/>
        <v>0</v>
      </c>
      <c r="AP150" s="367" t="str">
        <f t="shared" si="228"/>
        <v>0</v>
      </c>
      <c r="AQ150" s="367" t="str">
        <f t="shared" si="229"/>
        <v>0</v>
      </c>
      <c r="AR150" s="367" t="str">
        <f t="shared" si="230"/>
        <v>0</v>
      </c>
      <c r="AS150" s="497"/>
      <c r="AT150" s="374"/>
      <c r="AU150" s="499"/>
      <c r="AV150" s="374"/>
      <c r="AW150" s="371">
        <f t="shared" si="235"/>
        <v>0</v>
      </c>
      <c r="AX150" s="367"/>
      <c r="AY150" s="367"/>
      <c r="AZ150" s="367">
        <f t="shared" si="231"/>
        <v>195286.39500000002</v>
      </c>
      <c r="BA150" s="373">
        <f t="shared" si="232"/>
        <v>586168.88250000007</v>
      </c>
      <c r="BB150" s="374">
        <f t="shared" si="169"/>
        <v>58616.888250000011</v>
      </c>
      <c r="BC150" s="374">
        <f t="shared" si="170"/>
        <v>11723.377650000002</v>
      </c>
      <c r="BD150" s="374">
        <f t="shared" si="233"/>
        <v>45513.861660000017</v>
      </c>
      <c r="BE150" s="374">
        <f t="shared" si="172"/>
        <v>470314.75494000013</v>
      </c>
      <c r="BF150" s="374">
        <f t="shared" si="173"/>
        <v>7034026.5900000008</v>
      </c>
      <c r="BG150" s="374">
        <f t="shared" si="234"/>
        <v>781764.97500000009</v>
      </c>
      <c r="BH150" s="374">
        <f t="shared" si="175"/>
        <v>7815791.5650000013</v>
      </c>
      <c r="BI150" s="374">
        <f t="shared" si="176"/>
        <v>351710.62042500009</v>
      </c>
      <c r="BJ150" s="374">
        <f t="shared" si="177"/>
        <v>211020.79770000002</v>
      </c>
      <c r="BK150" s="374">
        <f t="shared" si="178"/>
        <v>406577.88601200015</v>
      </c>
      <c r="BL150" s="374">
        <f t="shared" si="236"/>
        <v>351710.62042500003</v>
      </c>
      <c r="BM150" s="373">
        <f t="shared" si="183"/>
        <v>9136811.4895620029</v>
      </c>
      <c r="BN150" s="375"/>
      <c r="BO150" s="377"/>
      <c r="BP150" s="377"/>
      <c r="BQ150" s="377"/>
      <c r="BR150" s="377"/>
      <c r="BS150" s="377"/>
      <c r="BT150" s="377"/>
      <c r="BU150" s="377"/>
      <c r="BV150" s="377"/>
      <c r="BW150" s="377"/>
      <c r="BX150" s="377"/>
      <c r="BY150" s="377"/>
      <c r="BZ150" s="377"/>
      <c r="CA150" s="377"/>
      <c r="CB150" s="377"/>
      <c r="CC150" s="377"/>
      <c r="CD150" s="377"/>
      <c r="CE150" s="377"/>
      <c r="CF150" s="377"/>
      <c r="CG150" s="377"/>
      <c r="CH150" s="377"/>
      <c r="CI150" s="377"/>
    </row>
    <row r="151" spans="1:87" ht="45">
      <c r="A151" s="369">
        <f t="shared" si="237"/>
        <v>107</v>
      </c>
      <c r="B151" s="416">
        <f t="shared" si="237"/>
        <v>8</v>
      </c>
      <c r="C151" s="409" t="s">
        <v>1300</v>
      </c>
      <c r="D151" s="412" t="s">
        <v>1301</v>
      </c>
      <c r="E151" s="366" t="s">
        <v>998</v>
      </c>
      <c r="F151" s="366" t="s">
        <v>254</v>
      </c>
      <c r="G151" s="366" t="s">
        <v>1302</v>
      </c>
      <c r="H151" s="371" t="s">
        <v>1445</v>
      </c>
      <c r="I151" s="366">
        <v>17697</v>
      </c>
      <c r="J151" s="367">
        <v>10.4</v>
      </c>
      <c r="K151" s="367">
        <f t="shared" si="215"/>
        <v>184048.80000000002</v>
      </c>
      <c r="L151" s="380"/>
      <c r="M151" s="380">
        <v>6</v>
      </c>
      <c r="N151" s="380"/>
      <c r="O151" s="380"/>
      <c r="P151" s="380"/>
      <c r="Q151" s="368">
        <f t="shared" si="216"/>
        <v>6</v>
      </c>
      <c r="R151" s="380"/>
      <c r="S151" s="380"/>
      <c r="T151" s="380"/>
      <c r="U151" s="380"/>
      <c r="V151" s="380"/>
      <c r="W151" s="381">
        <f t="shared" si="217"/>
        <v>0</v>
      </c>
      <c r="X151" s="370">
        <f t="shared" si="218"/>
        <v>6</v>
      </c>
      <c r="Y151" s="367">
        <f t="shared" si="219"/>
        <v>69018.3</v>
      </c>
      <c r="Z151" s="367"/>
      <c r="AA151" s="497"/>
      <c r="AB151" s="367">
        <f t="shared" si="221"/>
        <v>0</v>
      </c>
      <c r="AC151" s="497"/>
      <c r="AD151" s="367">
        <f t="shared" si="222"/>
        <v>0</v>
      </c>
      <c r="AE151" s="497"/>
      <c r="AF151" s="497"/>
      <c r="AG151" s="367"/>
      <c r="AH151" s="497"/>
      <c r="AI151" s="367"/>
      <c r="AJ151" s="372"/>
      <c r="AK151" s="367"/>
      <c r="AL151" s="366">
        <f t="shared" si="224"/>
        <v>6</v>
      </c>
      <c r="AM151" s="367">
        <f t="shared" si="225"/>
        <v>20705.490000000002</v>
      </c>
      <c r="AN151" s="366" t="str">
        <f t="shared" si="226"/>
        <v>Педагог-модератор</v>
      </c>
      <c r="AO151" s="367" t="str">
        <f t="shared" si="227"/>
        <v>0</v>
      </c>
      <c r="AP151" s="367" t="str">
        <f t="shared" si="228"/>
        <v>0</v>
      </c>
      <c r="AQ151" s="367" t="str">
        <f t="shared" si="229"/>
        <v>0</v>
      </c>
      <c r="AR151" s="367">
        <f t="shared" si="230"/>
        <v>20705.490000000002</v>
      </c>
      <c r="AS151" s="497"/>
      <c r="AT151" s="374"/>
      <c r="AU151" s="499"/>
      <c r="AV151" s="374"/>
      <c r="AW151" s="371" t="str">
        <f t="shared" si="235"/>
        <v>Магистр археология и этнология</v>
      </c>
      <c r="AX151" s="372">
        <f>10*4335</f>
        <v>43350</v>
      </c>
      <c r="AY151" s="367"/>
      <c r="AZ151" s="367">
        <f t="shared" si="231"/>
        <v>84760.98000000001</v>
      </c>
      <c r="BA151" s="373">
        <f t="shared" si="232"/>
        <v>153779.28000000003</v>
      </c>
      <c r="BB151" s="374">
        <f t="shared" si="169"/>
        <v>15377.928000000004</v>
      </c>
      <c r="BC151" s="374">
        <f t="shared" si="170"/>
        <v>3075.5856000000008</v>
      </c>
      <c r="BD151" s="374">
        <f t="shared" si="233"/>
        <v>7463.576640000003</v>
      </c>
      <c r="BE151" s="374">
        <f t="shared" si="172"/>
        <v>127862.18976000002</v>
      </c>
      <c r="BF151" s="374">
        <f t="shared" si="173"/>
        <v>1845351.3600000003</v>
      </c>
      <c r="BG151" s="374">
        <f t="shared" si="234"/>
        <v>138036.6</v>
      </c>
      <c r="BH151" s="374">
        <f t="shared" si="175"/>
        <v>1983387.9600000004</v>
      </c>
      <c r="BI151" s="374">
        <f t="shared" si="176"/>
        <v>89252.458200000023</v>
      </c>
      <c r="BJ151" s="374">
        <f t="shared" si="177"/>
        <v>55360.54080000001</v>
      </c>
      <c r="BK151" s="374">
        <f t="shared" si="178"/>
        <v>103043.17684800003</v>
      </c>
      <c r="BL151" s="374">
        <f t="shared" si="236"/>
        <v>89252.458200000023</v>
      </c>
      <c r="BM151" s="373">
        <f t="shared" si="183"/>
        <v>2320296.5940480004</v>
      </c>
      <c r="BN151" s="375">
        <v>1</v>
      </c>
      <c r="BO151" s="377"/>
      <c r="BP151" s="377"/>
      <c r="BQ151" s="377"/>
      <c r="BR151" s="377"/>
      <c r="BS151" s="377"/>
      <c r="BT151" s="377"/>
      <c r="BU151" s="377"/>
      <c r="BV151" s="377"/>
      <c r="BW151" s="377"/>
      <c r="BX151" s="377"/>
      <c r="BY151" s="377"/>
      <c r="BZ151" s="377"/>
      <c r="CA151" s="377"/>
      <c r="CB151" s="377"/>
      <c r="CC151" s="377"/>
      <c r="CD151" s="377"/>
      <c r="CE151" s="377"/>
      <c r="CF151" s="377"/>
      <c r="CG151" s="377"/>
      <c r="CH151" s="377"/>
      <c r="CI151" s="377"/>
    </row>
    <row r="152" spans="1:87" ht="14.25">
      <c r="A152" s="489"/>
      <c r="B152" s="489"/>
      <c r="C152" s="490" t="s">
        <v>1162</v>
      </c>
      <c r="D152" s="490"/>
      <c r="E152" s="490"/>
      <c r="F152" s="490"/>
      <c r="G152" s="490"/>
      <c r="H152" s="491"/>
      <c r="I152" s="490"/>
      <c r="J152" s="490"/>
      <c r="K152" s="422">
        <f t="shared" ref="K152:AE152" si="238">SUM(K144:K151)</f>
        <v>1560875.4</v>
      </c>
      <c r="L152" s="407">
        <f t="shared" si="238"/>
        <v>30</v>
      </c>
      <c r="M152" s="407">
        <f t="shared" si="238"/>
        <v>30</v>
      </c>
      <c r="N152" s="407">
        <f t="shared" si="238"/>
        <v>36</v>
      </c>
      <c r="O152" s="407">
        <f t="shared" si="238"/>
        <v>36</v>
      </c>
      <c r="P152" s="407">
        <f t="shared" si="238"/>
        <v>36</v>
      </c>
      <c r="Q152" s="407">
        <f t="shared" si="238"/>
        <v>168</v>
      </c>
      <c r="R152" s="407">
        <f t="shared" si="238"/>
        <v>0</v>
      </c>
      <c r="S152" s="407">
        <f t="shared" si="238"/>
        <v>0</v>
      </c>
      <c r="T152" s="407">
        <f t="shared" si="238"/>
        <v>0</v>
      </c>
      <c r="U152" s="407">
        <f t="shared" si="238"/>
        <v>0</v>
      </c>
      <c r="V152" s="407">
        <f t="shared" si="238"/>
        <v>8</v>
      </c>
      <c r="W152" s="407">
        <f t="shared" si="238"/>
        <v>8</v>
      </c>
      <c r="X152" s="505">
        <f t="shared" si="238"/>
        <v>176</v>
      </c>
      <c r="Y152" s="422">
        <f t="shared" si="238"/>
        <v>2172771.2962499997</v>
      </c>
      <c r="Z152" s="422">
        <f t="shared" si="238"/>
        <v>210375.29962500001</v>
      </c>
      <c r="AA152" s="422">
        <f t="shared" si="238"/>
        <v>0</v>
      </c>
      <c r="AB152" s="422">
        <f t="shared" si="238"/>
        <v>0</v>
      </c>
      <c r="AC152" s="422">
        <f t="shared" si="238"/>
        <v>0</v>
      </c>
      <c r="AD152" s="422">
        <f t="shared" si="238"/>
        <v>0</v>
      </c>
      <c r="AE152" s="422">
        <f t="shared" si="238"/>
        <v>0</v>
      </c>
      <c r="AF152" s="505">
        <v>4</v>
      </c>
      <c r="AG152" s="422">
        <f>SUM(AG144:AG151)</f>
        <v>14157.6</v>
      </c>
      <c r="AH152" s="505">
        <v>4</v>
      </c>
      <c r="AI152" s="422">
        <f>SUM(AI144:AI151)</f>
        <v>141576</v>
      </c>
      <c r="AJ152" s="422">
        <f>SUM(AJ144:AJ151)</f>
        <v>0</v>
      </c>
      <c r="AK152" s="422">
        <f>SUM(AK144:AK151)</f>
        <v>0</v>
      </c>
      <c r="AL152" s="505">
        <f>SUM(AL144:AL151)</f>
        <v>176</v>
      </c>
      <c r="AM152" s="422">
        <f>SUM(AM144:AM151)</f>
        <v>651831.38887499995</v>
      </c>
      <c r="AN152" s="422"/>
      <c r="AO152" s="422">
        <f t="shared" ref="AO152:AV152" si="239">SUM(AO144:AO151)</f>
        <v>226964.02500000002</v>
      </c>
      <c r="AP152" s="422">
        <f t="shared" si="239"/>
        <v>262481.90399999998</v>
      </c>
      <c r="AQ152" s="422">
        <f t="shared" si="239"/>
        <v>38394.747562499993</v>
      </c>
      <c r="AR152" s="422">
        <f t="shared" si="239"/>
        <v>168617.01599999997</v>
      </c>
      <c r="AS152" s="422">
        <f t="shared" si="239"/>
        <v>0</v>
      </c>
      <c r="AT152" s="422">
        <f t="shared" si="239"/>
        <v>0</v>
      </c>
      <c r="AU152" s="422">
        <f t="shared" si="239"/>
        <v>0</v>
      </c>
      <c r="AV152" s="422">
        <f t="shared" si="239"/>
        <v>0</v>
      </c>
      <c r="AW152" s="506"/>
      <c r="AX152" s="422">
        <f t="shared" ref="AX152:BN152" si="240">SUM(AX144:AX151)</f>
        <v>130050</v>
      </c>
      <c r="AY152" s="422">
        <f t="shared" si="240"/>
        <v>0</v>
      </c>
      <c r="AZ152" s="422">
        <f t="shared" si="240"/>
        <v>1844447.9810624998</v>
      </c>
      <c r="BA152" s="422">
        <f t="shared" si="240"/>
        <v>4017219.2773125004</v>
      </c>
      <c r="BB152" s="422">
        <f t="shared" si="240"/>
        <v>401721.92773125006</v>
      </c>
      <c r="BC152" s="422">
        <f t="shared" si="240"/>
        <v>80344.385546249992</v>
      </c>
      <c r="BD152" s="422">
        <f t="shared" si="240"/>
        <v>304963.29640349996</v>
      </c>
      <c r="BE152" s="422">
        <f t="shared" si="240"/>
        <v>3230189.6676314999</v>
      </c>
      <c r="BF152" s="422">
        <f t="shared" si="240"/>
        <v>48206631.327749997</v>
      </c>
      <c r="BG152" s="422">
        <f t="shared" si="240"/>
        <v>4345542.5924999993</v>
      </c>
      <c r="BH152" s="422">
        <f t="shared" si="240"/>
        <v>52552173.920250006</v>
      </c>
      <c r="BI152" s="422">
        <f t="shared" si="240"/>
        <v>2364847.82641125</v>
      </c>
      <c r="BJ152" s="422">
        <f t="shared" si="240"/>
        <v>1446198.9398325002</v>
      </c>
      <c r="BK152" s="422">
        <f t="shared" si="240"/>
        <v>2731762.8027724503</v>
      </c>
      <c r="BL152" s="422">
        <f t="shared" si="240"/>
        <v>2364847.82641125</v>
      </c>
      <c r="BM152" s="422">
        <f t="shared" si="240"/>
        <v>61459831.315677449</v>
      </c>
      <c r="BN152" s="422">
        <f t="shared" si="240"/>
        <v>1</v>
      </c>
      <c r="BO152" s="355"/>
      <c r="BP152" s="355"/>
      <c r="BQ152" s="355"/>
      <c r="BR152" s="355"/>
      <c r="BS152" s="355"/>
      <c r="BT152" s="355"/>
      <c r="BU152" s="355"/>
      <c r="BV152" s="355"/>
      <c r="BW152" s="355"/>
      <c r="BX152" s="355"/>
      <c r="BY152" s="355"/>
      <c r="BZ152" s="355"/>
      <c r="CA152" s="355"/>
      <c r="CB152" s="355"/>
      <c r="CC152" s="355"/>
      <c r="CD152" s="355"/>
      <c r="CE152" s="355"/>
      <c r="CF152" s="355"/>
      <c r="CG152" s="355"/>
      <c r="CH152" s="355"/>
      <c r="CI152" s="356"/>
    </row>
    <row r="153" spans="1:87" ht="94.5">
      <c r="A153" s="369">
        <f>A151+1</f>
        <v>108</v>
      </c>
      <c r="B153" s="416">
        <f>1</f>
        <v>1</v>
      </c>
      <c r="C153" s="409" t="s">
        <v>1293</v>
      </c>
      <c r="D153" s="502" t="s">
        <v>1303</v>
      </c>
      <c r="E153" s="366" t="s">
        <v>998</v>
      </c>
      <c r="F153" s="366" t="s">
        <v>1011</v>
      </c>
      <c r="G153" s="366" t="s">
        <v>270</v>
      </c>
      <c r="H153" s="371" t="s">
        <v>121</v>
      </c>
      <c r="I153" s="366">
        <v>17697</v>
      </c>
      <c r="J153" s="367">
        <v>11.18</v>
      </c>
      <c r="K153" s="367">
        <f t="shared" ref="K153:K155" si="241">I153*J153</f>
        <v>197852.46</v>
      </c>
      <c r="L153" s="380">
        <v>5</v>
      </c>
      <c r="M153" s="380">
        <v>5</v>
      </c>
      <c r="N153" s="380">
        <v>5</v>
      </c>
      <c r="O153" s="380">
        <v>5</v>
      </c>
      <c r="P153" s="380">
        <v>5</v>
      </c>
      <c r="Q153" s="368">
        <f t="shared" ref="Q153:Q155" si="242">SUM(L153:P153)</f>
        <v>25</v>
      </c>
      <c r="R153" s="380"/>
      <c r="S153" s="380"/>
      <c r="T153" s="380"/>
      <c r="U153" s="380"/>
      <c r="V153" s="380">
        <v>4</v>
      </c>
      <c r="W153" s="381">
        <f t="shared" ref="W153:W154" si="243">SUM(R153:V153)</f>
        <v>4</v>
      </c>
      <c r="X153" s="370">
        <f t="shared" ref="X153:X155" si="244">Q153+W153</f>
        <v>29</v>
      </c>
      <c r="Y153" s="367">
        <f t="shared" ref="Y153:Y155" si="245">K153/16*X153</f>
        <v>358607.58374999999</v>
      </c>
      <c r="Z153" s="367">
        <f t="shared" ref="Z153:Z155" si="246">Y153*10%</f>
        <v>35860.758374999998</v>
      </c>
      <c r="AA153" s="372"/>
      <c r="AB153" s="367">
        <f t="shared" ref="AB153:AB155" si="247">I153/16*AA153*40%</f>
        <v>0</v>
      </c>
      <c r="AC153" s="372"/>
      <c r="AD153" s="367">
        <f t="shared" ref="AD153:AD155" si="248">I153/16*AC153*40%*50%</f>
        <v>0</v>
      </c>
      <c r="AE153" s="366">
        <v>196600</v>
      </c>
      <c r="AF153" s="366" t="s">
        <v>1304</v>
      </c>
      <c r="AG153" s="367">
        <f t="shared" ref="AG153:AG154" si="249">17697*20%</f>
        <v>3539.4</v>
      </c>
      <c r="AH153" s="372" t="s">
        <v>1305</v>
      </c>
      <c r="AI153" s="367">
        <f>I153*200%</f>
        <v>35394</v>
      </c>
      <c r="AJ153" s="372"/>
      <c r="AK153" s="367"/>
      <c r="AL153" s="366">
        <f t="shared" ref="AL153:AL155" si="250">X153</f>
        <v>29</v>
      </c>
      <c r="AM153" s="367">
        <f t="shared" ref="AM153:AM155" si="251">K153/16*AL153*30%</f>
        <v>107582.275125</v>
      </c>
      <c r="AN153" s="366" t="str">
        <f>F153</f>
        <v>Педагог-сарапшы</v>
      </c>
      <c r="AO153" s="367" t="str">
        <f>IF(AN153="Педагог-зерттеуші", "0", IF(AN153="Педагог-шебер",K153/16*X153*50%, IF(AN153="Педагог-сарапшы", "0", IF(AN153="Педагог-модератор", "0", "0"))))</f>
        <v>0</v>
      </c>
      <c r="AP153" s="367" t="str">
        <f>IF(AN153="Педагог-шебер", "0", IF(AN153="Педагог-зерттеуші",K153/16*X153*40%, IF(AN153="Педагог-сарапшы", "0", IF(AN153="Педагог-модератор", "0", "0"))))</f>
        <v>0</v>
      </c>
      <c r="AQ153" s="367">
        <f>IF(AN153="Педагог-шебер", "0", IF(AN153="Педагог-сарапшы",K153/16*X153*35%, IF(AN153="Педагог-зерттеуші", "0", IF(AN153="Педагог-модератор", "0", "0"))))</f>
        <v>125512.65431249999</v>
      </c>
      <c r="AR153" s="367" t="str">
        <f>IF(AN153="Педагог-шебер", "0", IF(AN153="Педагог-модератор",K153/16*X153*30%, IF(AN153="Педагог-зерттеуші", "0", IF(AN153="Педагог-сарапшы", "0", "0"))))</f>
        <v>0</v>
      </c>
      <c r="AS153" s="366"/>
      <c r="AT153" s="367"/>
      <c r="AU153" s="372"/>
      <c r="AV153" s="367"/>
      <c r="AW153" s="371" t="str">
        <f>G153</f>
        <v>Магистр-естественных наук</v>
      </c>
      <c r="AX153" s="372">
        <f>10*4335</f>
        <v>43350</v>
      </c>
      <c r="AY153" s="367"/>
      <c r="AZ153" s="367">
        <f>Z153+AB153+AD153+AE153+AG153+AI153+AK153+AM153+AO153+AP153+AQ153++AR153+AT153+AV153+AX153+AY153</f>
        <v>547839.08781249996</v>
      </c>
      <c r="BA153" s="373">
        <f>Y153+AZ153</f>
        <v>906446.67156249995</v>
      </c>
      <c r="BB153" s="374">
        <f t="shared" si="169"/>
        <v>90644.667156249998</v>
      </c>
      <c r="BC153" s="374">
        <f t="shared" si="170"/>
        <v>18128.93343125</v>
      </c>
      <c r="BD153" s="374">
        <f>(BA153-BB153-BC153-(14*4335))*10%</f>
        <v>73698.307097500001</v>
      </c>
      <c r="BE153" s="374">
        <f t="shared" si="172"/>
        <v>723974.76387749997</v>
      </c>
      <c r="BF153" s="374">
        <f t="shared" si="173"/>
        <v>10877360.05875</v>
      </c>
      <c r="BG153" s="374">
        <f>Y153*2</f>
        <v>717215.16749999998</v>
      </c>
      <c r="BH153" s="374">
        <f t="shared" si="175"/>
        <v>11594575.22625</v>
      </c>
      <c r="BI153" s="374">
        <f t="shared" si="176"/>
        <v>521755.88518125005</v>
      </c>
      <c r="BJ153" s="374">
        <f t="shared" si="177"/>
        <v>326320.80176249996</v>
      </c>
      <c r="BK153" s="374">
        <f t="shared" si="178"/>
        <v>602176.87008824991</v>
      </c>
      <c r="BL153" s="374">
        <f>BH153*4.5%</f>
        <v>521755.88518124999</v>
      </c>
      <c r="BM153" s="373">
        <f t="shared" si="183"/>
        <v>13566584.668463251</v>
      </c>
      <c r="BN153" s="375"/>
      <c r="BO153" s="377"/>
      <c r="BP153" s="377"/>
      <c r="BQ153" s="377"/>
      <c r="BR153" s="377"/>
      <c r="BS153" s="377"/>
      <c r="BT153" s="377"/>
      <c r="BU153" s="377"/>
      <c r="BV153" s="377"/>
      <c r="BW153" s="377"/>
      <c r="BX153" s="377"/>
      <c r="BY153" s="377"/>
      <c r="BZ153" s="377"/>
      <c r="CA153" s="377"/>
      <c r="CB153" s="377"/>
      <c r="CC153" s="377"/>
      <c r="CD153" s="377"/>
      <c r="CE153" s="377"/>
      <c r="CF153" s="377"/>
      <c r="CG153" s="377"/>
      <c r="CH153" s="377"/>
      <c r="CI153" s="377"/>
    </row>
    <row r="154" spans="1:87" ht="47.25">
      <c r="A154" s="369">
        <f t="shared" ref="A154:B155" si="252">A153+1</f>
        <v>109</v>
      </c>
      <c r="B154" s="416">
        <f t="shared" si="252"/>
        <v>2</v>
      </c>
      <c r="C154" s="409" t="s">
        <v>1306</v>
      </c>
      <c r="D154" s="502" t="s">
        <v>1307</v>
      </c>
      <c r="E154" s="366" t="s">
        <v>998</v>
      </c>
      <c r="F154" s="366" t="s">
        <v>1005</v>
      </c>
      <c r="G154" s="366"/>
      <c r="H154" s="371" t="s">
        <v>1308</v>
      </c>
      <c r="I154" s="366">
        <v>17697</v>
      </c>
      <c r="J154" s="367">
        <v>11.4</v>
      </c>
      <c r="K154" s="367">
        <f t="shared" si="241"/>
        <v>201745.80000000002</v>
      </c>
      <c r="L154" s="380">
        <v>5</v>
      </c>
      <c r="M154" s="380">
        <v>5</v>
      </c>
      <c r="N154" s="380">
        <v>4</v>
      </c>
      <c r="O154" s="380">
        <v>4</v>
      </c>
      <c r="P154" s="380">
        <v>4</v>
      </c>
      <c r="Q154" s="368">
        <f t="shared" si="242"/>
        <v>22</v>
      </c>
      <c r="R154" s="380"/>
      <c r="S154" s="380"/>
      <c r="T154" s="380"/>
      <c r="U154" s="380"/>
      <c r="V154" s="380"/>
      <c r="W154" s="381">
        <f t="shared" si="243"/>
        <v>0</v>
      </c>
      <c r="X154" s="370">
        <f t="shared" si="244"/>
        <v>22</v>
      </c>
      <c r="Y154" s="367">
        <f t="shared" si="245"/>
        <v>277400.47500000003</v>
      </c>
      <c r="Z154" s="367">
        <f t="shared" si="246"/>
        <v>27740.047500000004</v>
      </c>
      <c r="AA154" s="372"/>
      <c r="AB154" s="367">
        <f t="shared" si="247"/>
        <v>0</v>
      </c>
      <c r="AC154" s="372"/>
      <c r="AD154" s="367">
        <f t="shared" si="248"/>
        <v>0</v>
      </c>
      <c r="AE154" s="366"/>
      <c r="AF154" s="366" t="s">
        <v>1309</v>
      </c>
      <c r="AG154" s="367">
        <f t="shared" si="249"/>
        <v>3539.4</v>
      </c>
      <c r="AH154" s="372" t="s">
        <v>1310</v>
      </c>
      <c r="AI154" s="367">
        <f>I154*200%</f>
        <v>35394</v>
      </c>
      <c r="AJ154" s="372"/>
      <c r="AK154" s="367"/>
      <c r="AL154" s="366">
        <f t="shared" si="250"/>
        <v>22</v>
      </c>
      <c r="AM154" s="367">
        <f t="shared" si="251"/>
        <v>83220.142500000002</v>
      </c>
      <c r="AN154" s="366" t="str">
        <f>F154</f>
        <v>Педагог-зерттеуші</v>
      </c>
      <c r="AO154" s="367" t="str">
        <f>IF(AN154="Педагог-зерттеуші", "0", IF(AN154="Педагог-шебер",K154/16*X154*50%, IF(AN154="Педагог-сарапшы", "0", IF(AN154="Педагог-модератор", "0", "0"))))</f>
        <v>0</v>
      </c>
      <c r="AP154" s="367">
        <f>IF(AN154="Педагог-шебер", "0", IF(AN154="Педагог-зерттеуші",K154/16*X154*40%, IF(AN154="Педагог-сарапшы", "0", IF(AN154="Педагог-модератор", "0", "0"))))</f>
        <v>110960.19000000002</v>
      </c>
      <c r="AQ154" s="367" t="str">
        <f>IF(AN154="Педагог-шебер", "0", IF(AN154="Педагог-сарапшы",K154/16*X154*35%, IF(AN154="Педагог-зерттеуші", "0", IF(AN154="Педагог-модератор", "0", "0"))))</f>
        <v>0</v>
      </c>
      <c r="AR154" s="367" t="str">
        <f>IF(AN154="Педагог-шебер", "0", IF(AN154="Педагог-модератор",K154/16*X154*30%, IF(AN154="Педагог-зерттеуші", "0", IF(AN154="Педагог-сарапшы", "0", "0"))))</f>
        <v>0</v>
      </c>
      <c r="AS154" s="366"/>
      <c r="AT154" s="367"/>
      <c r="AU154" s="372"/>
      <c r="AV154" s="367"/>
      <c r="AW154" s="371"/>
      <c r="AX154" s="367"/>
      <c r="AY154" s="367"/>
      <c r="AZ154" s="367">
        <f>Z154+AB154+AD154+AE154+AG154+AI154+AK154+AM154+AO154+AP154+AQ154++AR154+AT154+AV154+AX154+AY154</f>
        <v>260853.78000000003</v>
      </c>
      <c r="BA154" s="373">
        <f>Y154+AZ154</f>
        <v>538254.25500000012</v>
      </c>
      <c r="BB154" s="374">
        <f t="shared" si="169"/>
        <v>53825.425500000012</v>
      </c>
      <c r="BC154" s="374">
        <f t="shared" si="170"/>
        <v>10765.085100000002</v>
      </c>
      <c r="BD154" s="374">
        <f>(BA154-BB154-BC154-(14*4335))*10%</f>
        <v>41297.374440000014</v>
      </c>
      <c r="BE154" s="374">
        <f t="shared" si="172"/>
        <v>432366.36996000004</v>
      </c>
      <c r="BF154" s="374">
        <f t="shared" si="173"/>
        <v>6459051.0600000015</v>
      </c>
      <c r="BG154" s="374">
        <f>Y154*2</f>
        <v>554800.95000000007</v>
      </c>
      <c r="BH154" s="374">
        <f t="shared" si="175"/>
        <v>7013852.0100000016</v>
      </c>
      <c r="BI154" s="374">
        <f t="shared" si="176"/>
        <v>315623.34045000008</v>
      </c>
      <c r="BJ154" s="374">
        <f t="shared" si="177"/>
        <v>193771.53180000003</v>
      </c>
      <c r="BK154" s="374">
        <f t="shared" si="178"/>
        <v>364538.09620800003</v>
      </c>
      <c r="BL154" s="374">
        <f t="shared" ref="BL154:BL155" si="253">BH154*4.5%</f>
        <v>315623.34045000008</v>
      </c>
      <c r="BM154" s="373">
        <f t="shared" si="183"/>
        <v>8203408.3189080013</v>
      </c>
      <c r="BN154" s="375"/>
      <c r="BO154" s="377"/>
      <c r="BP154" s="377"/>
      <c r="BQ154" s="377"/>
      <c r="BR154" s="377"/>
      <c r="BS154" s="377"/>
      <c r="BT154" s="377"/>
      <c r="BU154" s="377"/>
      <c r="BV154" s="377"/>
      <c r="BW154" s="377"/>
      <c r="BX154" s="377"/>
      <c r="BY154" s="377"/>
      <c r="BZ154" s="377"/>
      <c r="CA154" s="377"/>
      <c r="CB154" s="377"/>
      <c r="CC154" s="377"/>
      <c r="CD154" s="377"/>
      <c r="CE154" s="377"/>
      <c r="CF154" s="377"/>
      <c r="CG154" s="377"/>
      <c r="CH154" s="377"/>
      <c r="CI154" s="377"/>
    </row>
    <row r="155" spans="1:87" ht="47.25">
      <c r="A155" s="369">
        <f t="shared" si="252"/>
        <v>110</v>
      </c>
      <c r="B155" s="416">
        <f t="shared" si="252"/>
        <v>3</v>
      </c>
      <c r="C155" s="409" t="s">
        <v>1306</v>
      </c>
      <c r="D155" s="1012" t="s">
        <v>1311</v>
      </c>
      <c r="E155" s="366" t="s">
        <v>998</v>
      </c>
      <c r="F155" s="691" t="s">
        <v>999</v>
      </c>
      <c r="G155" s="691" t="s">
        <v>1158</v>
      </c>
      <c r="H155" s="1001" t="s">
        <v>273</v>
      </c>
      <c r="I155" s="691">
        <v>17697</v>
      </c>
      <c r="J155" s="693">
        <v>11.4</v>
      </c>
      <c r="K155" s="367">
        <f t="shared" si="241"/>
        <v>201745.80000000002</v>
      </c>
      <c r="L155" s="380"/>
      <c r="M155" s="380"/>
      <c r="N155" s="380"/>
      <c r="O155" s="380"/>
      <c r="P155" s="380"/>
      <c r="Q155" s="368">
        <f t="shared" si="242"/>
        <v>0</v>
      </c>
      <c r="R155" s="380"/>
      <c r="S155" s="380"/>
      <c r="T155" s="380"/>
      <c r="U155" s="380"/>
      <c r="V155" s="380">
        <v>4</v>
      </c>
      <c r="W155" s="381">
        <f t="shared" ref="W155" si="254">SUM(R155:V155)</f>
        <v>4</v>
      </c>
      <c r="X155" s="370">
        <f t="shared" si="244"/>
        <v>4</v>
      </c>
      <c r="Y155" s="367">
        <f t="shared" si="245"/>
        <v>50436.450000000004</v>
      </c>
      <c r="Z155" s="367">
        <f t="shared" si="246"/>
        <v>5043.6450000000004</v>
      </c>
      <c r="AA155" s="372"/>
      <c r="AB155" s="367">
        <f t="shared" si="247"/>
        <v>0</v>
      </c>
      <c r="AC155" s="372"/>
      <c r="AD155" s="367">
        <f t="shared" si="248"/>
        <v>0</v>
      </c>
      <c r="AE155" s="366"/>
      <c r="AF155" s="366"/>
      <c r="AG155" s="367"/>
      <c r="AH155" s="372"/>
      <c r="AI155" s="367"/>
      <c r="AJ155" s="372"/>
      <c r="AK155" s="367"/>
      <c r="AL155" s="366">
        <f t="shared" si="250"/>
        <v>4</v>
      </c>
      <c r="AM155" s="367">
        <f t="shared" si="251"/>
        <v>15130.935000000001</v>
      </c>
      <c r="AN155" s="366" t="str">
        <f>F155</f>
        <v>Педагог-шебер</v>
      </c>
      <c r="AO155" s="367">
        <f>IF(AN155="Педагог-зерттеуші", "0", IF(AN155="Педагог-шебер",K155/16*X155*50%, IF(AN155="Педагог-сарапшы", "0", IF(AN155="Педагог-модератор", "0", "0"))))</f>
        <v>25218.225000000002</v>
      </c>
      <c r="AP155" s="367" t="str">
        <f>IF(AN155="Педагог-шебер", "0", IF(AN155="Педагог-зерттеуші",K155/16*X155*40%, IF(AN155="Педагог-сарапшы", "0", IF(AN155="Педагог-модератор", "0", "0"))))</f>
        <v>0</v>
      </c>
      <c r="AQ155" s="367" t="str">
        <f>IF(AN155="Педагог-шебер", "0", IF(AN155="Педагог-сарапшы",K155/16*X155*35%, IF(AN155="Педагог-зерттеуші", "0", IF(AN155="Педагог-модератор", "0", "0"))))</f>
        <v>0</v>
      </c>
      <c r="AR155" s="367" t="str">
        <f>IF(AN155="Педагог-шебер", "0", IF(AN155="Педагог-модератор",K155/16*X155*30%, IF(AN155="Педагог-зерттеуші", "0", IF(AN155="Педагог-сарапшы", "0", "0"))))</f>
        <v>0</v>
      </c>
      <c r="AS155" s="366"/>
      <c r="AT155" s="367"/>
      <c r="AU155" s="372"/>
      <c r="AV155" s="367"/>
      <c r="AW155" s="371" t="str">
        <f t="shared" ref="AW155" si="255">G155</f>
        <v>Магистр</v>
      </c>
      <c r="AX155" s="372">
        <f>10*4335</f>
        <v>43350</v>
      </c>
      <c r="AY155" s="367"/>
      <c r="AZ155" s="367">
        <f>Z155+AB155+AD155+AE155+AG155+AI155+AK155+AM155+AO155+AP155+AQ155++AR155+AT155+AV155+AX155+AY155</f>
        <v>88742.805000000008</v>
      </c>
      <c r="BA155" s="373">
        <f>Y155+AZ155</f>
        <v>139179.255</v>
      </c>
      <c r="BB155" s="374">
        <f t="shared" si="169"/>
        <v>13917.925500000001</v>
      </c>
      <c r="BC155" s="374">
        <f t="shared" si="170"/>
        <v>2783.5851000000002</v>
      </c>
      <c r="BD155" s="374">
        <f>(BA155-BB155-BC155-(14*4335))*10%</f>
        <v>6178.7744400000011</v>
      </c>
      <c r="BE155" s="374">
        <f t="shared" si="172"/>
        <v>116298.96996000002</v>
      </c>
      <c r="BF155" s="374">
        <f t="shared" si="173"/>
        <v>1670151.06</v>
      </c>
      <c r="BG155" s="374">
        <f>Y155*2</f>
        <v>100872.90000000001</v>
      </c>
      <c r="BH155" s="374">
        <f t="shared" si="175"/>
        <v>1771023.96</v>
      </c>
      <c r="BI155" s="374">
        <f t="shared" si="176"/>
        <v>79696.078200000004</v>
      </c>
      <c r="BJ155" s="374">
        <f t="shared" si="177"/>
        <v>50104.531799999997</v>
      </c>
      <c r="BK155" s="374">
        <f t="shared" si="178"/>
        <v>91960.961507999993</v>
      </c>
      <c r="BL155" s="374">
        <f t="shared" si="253"/>
        <v>79696.078199999989</v>
      </c>
      <c r="BM155" s="373">
        <f t="shared" si="183"/>
        <v>2072481.609708</v>
      </c>
      <c r="BN155" s="375"/>
      <c r="BO155" s="466"/>
      <c r="BP155" s="466"/>
      <c r="BQ155" s="466"/>
      <c r="BR155" s="466"/>
      <c r="BS155" s="466"/>
      <c r="BT155" s="466"/>
      <c r="BU155" s="466"/>
      <c r="BV155" s="466"/>
      <c r="BW155" s="466"/>
      <c r="BX155" s="466"/>
      <c r="BY155" s="466"/>
      <c r="BZ155" s="466"/>
      <c r="CA155" s="466"/>
      <c r="CB155" s="466"/>
      <c r="CC155" s="466"/>
      <c r="CD155" s="466"/>
      <c r="CE155" s="466"/>
      <c r="CF155" s="466"/>
      <c r="CG155" s="466"/>
      <c r="CH155" s="466"/>
      <c r="CI155" s="466"/>
    </row>
    <row r="156" spans="1:87" ht="14.25">
      <c r="A156" s="489"/>
      <c r="B156" s="489"/>
      <c r="C156" s="490" t="s">
        <v>1162</v>
      </c>
      <c r="D156" s="490"/>
      <c r="E156" s="490"/>
      <c r="F156" s="490"/>
      <c r="G156" s="490"/>
      <c r="H156" s="491"/>
      <c r="I156" s="490"/>
      <c r="J156" s="490"/>
      <c r="K156" s="422">
        <f>SUM(K153:K155)</f>
        <v>601344.06000000006</v>
      </c>
      <c r="L156" s="422">
        <f t="shared" ref="L156:BN156" si="256">SUM(L153:L155)</f>
        <v>10</v>
      </c>
      <c r="M156" s="422">
        <f t="shared" si="256"/>
        <v>10</v>
      </c>
      <c r="N156" s="422">
        <f t="shared" si="256"/>
        <v>9</v>
      </c>
      <c r="O156" s="422">
        <f t="shared" si="256"/>
        <v>9</v>
      </c>
      <c r="P156" s="422">
        <f t="shared" si="256"/>
        <v>9</v>
      </c>
      <c r="Q156" s="422">
        <f t="shared" si="256"/>
        <v>47</v>
      </c>
      <c r="R156" s="422">
        <f t="shared" si="256"/>
        <v>0</v>
      </c>
      <c r="S156" s="422">
        <f t="shared" si="256"/>
        <v>0</v>
      </c>
      <c r="T156" s="422">
        <f t="shared" si="256"/>
        <v>0</v>
      </c>
      <c r="U156" s="422">
        <f t="shared" si="256"/>
        <v>0</v>
      </c>
      <c r="V156" s="422">
        <f t="shared" si="256"/>
        <v>8</v>
      </c>
      <c r="W156" s="422">
        <f t="shared" si="256"/>
        <v>8</v>
      </c>
      <c r="X156" s="422">
        <f t="shared" si="256"/>
        <v>55</v>
      </c>
      <c r="Y156" s="422">
        <f t="shared" si="256"/>
        <v>686444.50875000004</v>
      </c>
      <c r="Z156" s="422">
        <f t="shared" si="256"/>
        <v>68644.45087500001</v>
      </c>
      <c r="AA156" s="422">
        <f t="shared" si="256"/>
        <v>0</v>
      </c>
      <c r="AB156" s="422">
        <f t="shared" si="256"/>
        <v>0</v>
      </c>
      <c r="AC156" s="422">
        <f t="shared" si="256"/>
        <v>0</v>
      </c>
      <c r="AD156" s="422">
        <f t="shared" si="256"/>
        <v>0</v>
      </c>
      <c r="AE156" s="422">
        <f t="shared" si="256"/>
        <v>196600</v>
      </c>
      <c r="AF156" s="422">
        <v>2</v>
      </c>
      <c r="AG156" s="422">
        <f t="shared" si="256"/>
        <v>7078.8</v>
      </c>
      <c r="AH156" s="422">
        <v>2</v>
      </c>
      <c r="AI156" s="422">
        <f t="shared" si="256"/>
        <v>70788</v>
      </c>
      <c r="AJ156" s="422">
        <f t="shared" si="256"/>
        <v>0</v>
      </c>
      <c r="AK156" s="422">
        <f t="shared" si="256"/>
        <v>0</v>
      </c>
      <c r="AL156" s="422">
        <f t="shared" si="256"/>
        <v>55</v>
      </c>
      <c r="AM156" s="422">
        <f t="shared" si="256"/>
        <v>205933.352625</v>
      </c>
      <c r="AN156" s="422">
        <f t="shared" si="256"/>
        <v>0</v>
      </c>
      <c r="AO156" s="422">
        <f t="shared" si="256"/>
        <v>25218.225000000002</v>
      </c>
      <c r="AP156" s="422">
        <f t="shared" si="256"/>
        <v>110960.19000000002</v>
      </c>
      <c r="AQ156" s="422">
        <f t="shared" si="256"/>
        <v>125512.65431249999</v>
      </c>
      <c r="AR156" s="422">
        <f t="shared" si="256"/>
        <v>0</v>
      </c>
      <c r="AS156" s="422">
        <f t="shared" si="256"/>
        <v>0</v>
      </c>
      <c r="AT156" s="422">
        <f t="shared" si="256"/>
        <v>0</v>
      </c>
      <c r="AU156" s="422">
        <f t="shared" si="256"/>
        <v>0</v>
      </c>
      <c r="AV156" s="422">
        <f t="shared" si="256"/>
        <v>0</v>
      </c>
      <c r="AW156" s="422">
        <f t="shared" si="256"/>
        <v>0</v>
      </c>
      <c r="AX156" s="422">
        <f t="shared" si="256"/>
        <v>86700</v>
      </c>
      <c r="AY156" s="422">
        <f t="shared" si="256"/>
        <v>0</v>
      </c>
      <c r="AZ156" s="422">
        <f t="shared" si="256"/>
        <v>897435.67281250004</v>
      </c>
      <c r="BA156" s="422">
        <f t="shared" si="256"/>
        <v>1583880.1815625001</v>
      </c>
      <c r="BB156" s="422">
        <f t="shared" si="256"/>
        <v>158388.01815625001</v>
      </c>
      <c r="BC156" s="422">
        <f t="shared" si="256"/>
        <v>31677.603631250004</v>
      </c>
      <c r="BD156" s="422">
        <f t="shared" si="256"/>
        <v>121174.45597750001</v>
      </c>
      <c r="BE156" s="422">
        <f t="shared" si="256"/>
        <v>1272640.1037975</v>
      </c>
      <c r="BF156" s="422">
        <f t="shared" si="256"/>
        <v>19006562.178750001</v>
      </c>
      <c r="BG156" s="422">
        <f t="shared" si="256"/>
        <v>1372889.0175000001</v>
      </c>
      <c r="BH156" s="422">
        <f t="shared" si="256"/>
        <v>20379451.196250003</v>
      </c>
      <c r="BI156" s="422">
        <f t="shared" si="256"/>
        <v>917075.30383125006</v>
      </c>
      <c r="BJ156" s="422">
        <f t="shared" si="256"/>
        <v>570196.86536249996</v>
      </c>
      <c r="BK156" s="422">
        <f t="shared" si="256"/>
        <v>1058675.92780425</v>
      </c>
      <c r="BL156" s="422">
        <f t="shared" si="256"/>
        <v>917075.30383125006</v>
      </c>
      <c r="BM156" s="422">
        <f t="shared" si="256"/>
        <v>23842474.597079251</v>
      </c>
      <c r="BN156" s="422">
        <f t="shared" si="256"/>
        <v>0</v>
      </c>
      <c r="BO156" s="511"/>
      <c r="BP156" s="355"/>
      <c r="BQ156" s="355"/>
      <c r="BR156" s="355"/>
      <c r="BS156" s="355"/>
      <c r="BT156" s="355"/>
      <c r="BU156" s="355"/>
      <c r="BV156" s="355"/>
      <c r="BW156" s="355"/>
      <c r="BX156" s="355"/>
      <c r="BY156" s="355"/>
      <c r="BZ156" s="355"/>
      <c r="CA156" s="355"/>
      <c r="CB156" s="355"/>
      <c r="CC156" s="355"/>
      <c r="CD156" s="355"/>
      <c r="CE156" s="355"/>
      <c r="CF156" s="355"/>
      <c r="CG156" s="355"/>
      <c r="CH156" s="355"/>
      <c r="CI156" s="356"/>
    </row>
    <row r="157" spans="1:87" ht="31.5">
      <c r="A157" s="369">
        <f>A155+1</f>
        <v>111</v>
      </c>
      <c r="B157" s="416">
        <v>1</v>
      </c>
      <c r="C157" s="512" t="s">
        <v>188</v>
      </c>
      <c r="D157" s="412" t="s">
        <v>1312</v>
      </c>
      <c r="E157" s="366" t="s">
        <v>998</v>
      </c>
      <c r="F157" s="366"/>
      <c r="G157" s="366"/>
      <c r="H157" s="371" t="s">
        <v>1313</v>
      </c>
      <c r="I157" s="366">
        <v>17697</v>
      </c>
      <c r="J157" s="367">
        <v>11.4</v>
      </c>
      <c r="K157" s="367">
        <f t="shared" ref="K157:K160" si="257">I157*J157</f>
        <v>201745.80000000002</v>
      </c>
      <c r="L157" s="380"/>
      <c r="M157" s="380"/>
      <c r="N157" s="380"/>
      <c r="O157" s="380">
        <v>5</v>
      </c>
      <c r="P157" s="380">
        <v>5</v>
      </c>
      <c r="Q157" s="368">
        <f t="shared" ref="Q157:Q160" si="258">SUM(L157:P157)</f>
        <v>10</v>
      </c>
      <c r="R157" s="380"/>
      <c r="S157" s="380"/>
      <c r="T157" s="380"/>
      <c r="U157" s="380"/>
      <c r="V157" s="380"/>
      <c r="W157" s="381">
        <f t="shared" ref="W157:W159" si="259">SUM(R157:V157)</f>
        <v>0</v>
      </c>
      <c r="X157" s="370">
        <f t="shared" ref="X157:X160" si="260">Q157+W157</f>
        <v>10</v>
      </c>
      <c r="Y157" s="367">
        <f t="shared" ref="Y157:Y160" si="261">K157/16*X157</f>
        <v>126091.12500000001</v>
      </c>
      <c r="Z157" s="367"/>
      <c r="AA157" s="366">
        <v>10</v>
      </c>
      <c r="AB157" s="367">
        <f t="shared" ref="AB157:AB160" si="262">I157/16*AA157*40%</f>
        <v>4424.25</v>
      </c>
      <c r="AC157" s="366"/>
      <c r="AD157" s="367">
        <f t="shared" ref="AD157:AD160" si="263">I157/16*AC157*40%*50%</f>
        <v>0</v>
      </c>
      <c r="AE157" s="366"/>
      <c r="AF157" s="366"/>
      <c r="AG157" s="367"/>
      <c r="AH157" s="372"/>
      <c r="AI157" s="367"/>
      <c r="AJ157" s="372"/>
      <c r="AK157" s="367"/>
      <c r="AL157" s="366">
        <f t="shared" ref="AL157:AL160" si="264">X157</f>
        <v>10</v>
      </c>
      <c r="AM157" s="367">
        <f t="shared" ref="AM157:AM160" si="265">K157/16*AL157*30%</f>
        <v>37827.337500000001</v>
      </c>
      <c r="AN157" s="366">
        <f>F157</f>
        <v>0</v>
      </c>
      <c r="AO157" s="367" t="str">
        <f>IF(AN157="Педагог-зерттеуші", "0", IF(AN157="Педагог-шебер",K157/16*X157*50%, IF(AN157="Педагог-сарапшы", "0", IF(AN157="Педагог-модератор", "0", "0"))))</f>
        <v>0</v>
      </c>
      <c r="AP157" s="367" t="str">
        <f>IF(AN157="Педагог-шебер", "0", IF(AN157="Педагог-зерттеуші",K157/16*X157*40%, IF(AN157="Педагог-сарапшы", "0", IF(AN157="Педагог-модератор", "0", "0"))))</f>
        <v>0</v>
      </c>
      <c r="AQ157" s="367" t="str">
        <f>IF(AN157="Педагог-шебер", "0", IF(AN157="Педагог-сарапшы",K157/16*X157*35%, IF(AN157="Педагог-зерттеуші", "0", IF(AN157="Педагог-модератор", "0", "0"))))</f>
        <v>0</v>
      </c>
      <c r="AR157" s="367" t="str">
        <f>IF(AN157="Педагог-шебер", "0", IF(AN157="Педагог-модератор",K157/16*X157*30%, IF(AN157="Педагог-зерттеуші", "0", IF(AN157="Педагог-сарапшы", "0", "0"))))</f>
        <v>0</v>
      </c>
      <c r="AS157" s="366"/>
      <c r="AT157" s="367"/>
      <c r="AU157" s="366"/>
      <c r="AV157" s="367"/>
      <c r="AW157" s="371"/>
      <c r="AX157" s="367"/>
      <c r="AY157" s="367"/>
      <c r="AZ157" s="367">
        <f>Z157+AB157+AD157+AE157+AG157+AI157+AK157+AM157+AO157+AP157+AQ157++AR157+AT157+AV157+AX157+AY157</f>
        <v>42251.587500000001</v>
      </c>
      <c r="BA157" s="373">
        <f>Y157+AZ157</f>
        <v>168342.71250000002</v>
      </c>
      <c r="BB157" s="374">
        <f t="shared" si="169"/>
        <v>16834.271250000002</v>
      </c>
      <c r="BC157" s="374">
        <f t="shared" si="170"/>
        <v>3366.8542500000003</v>
      </c>
      <c r="BD157" s="374">
        <f>(BA157-BB157-BC157-(14*4335))*10%</f>
        <v>8745.1587000000036</v>
      </c>
      <c r="BE157" s="374">
        <f t="shared" si="172"/>
        <v>139396.42830000003</v>
      </c>
      <c r="BF157" s="374">
        <f t="shared" si="173"/>
        <v>2020112.5500000003</v>
      </c>
      <c r="BG157" s="374">
        <f>Y157*2</f>
        <v>252182.25000000003</v>
      </c>
      <c r="BH157" s="374">
        <f t="shared" si="175"/>
        <v>2272294.8000000003</v>
      </c>
      <c r="BI157" s="374">
        <f t="shared" si="176"/>
        <v>102253.26600000002</v>
      </c>
      <c r="BJ157" s="374">
        <f t="shared" si="177"/>
        <v>60603.376500000006</v>
      </c>
      <c r="BK157" s="374">
        <f t="shared" si="178"/>
        <v>118259.67159000003</v>
      </c>
      <c r="BL157" s="374">
        <f>BH157*4.5%</f>
        <v>102253.266</v>
      </c>
      <c r="BM157" s="373">
        <f t="shared" si="183"/>
        <v>2655664.3800899996</v>
      </c>
      <c r="BN157" s="375">
        <v>1</v>
      </c>
      <c r="BO157" s="377"/>
      <c r="BP157" s="377"/>
      <c r="BQ157" s="377"/>
      <c r="BR157" s="377"/>
      <c r="BS157" s="377"/>
      <c r="BT157" s="377"/>
      <c r="BU157" s="377"/>
      <c r="BV157" s="377"/>
      <c r="BW157" s="377"/>
      <c r="BX157" s="377"/>
      <c r="BY157" s="377"/>
      <c r="BZ157" s="377"/>
      <c r="CA157" s="377"/>
      <c r="CB157" s="377"/>
      <c r="CC157" s="377"/>
      <c r="CD157" s="377"/>
      <c r="CE157" s="377"/>
      <c r="CF157" s="377"/>
      <c r="CG157" s="377"/>
      <c r="CH157" s="377"/>
      <c r="CI157" s="377"/>
    </row>
    <row r="158" spans="1:87" ht="30">
      <c r="A158" s="369">
        <f t="shared" ref="A158:B160" si="266">A157+1</f>
        <v>112</v>
      </c>
      <c r="B158" s="416">
        <f t="shared" si="266"/>
        <v>2</v>
      </c>
      <c r="C158" s="409" t="s">
        <v>1306</v>
      </c>
      <c r="D158" s="414" t="s">
        <v>1314</v>
      </c>
      <c r="E158" s="366" t="s">
        <v>998</v>
      </c>
      <c r="F158" s="366" t="s">
        <v>1005</v>
      </c>
      <c r="G158" s="366"/>
      <c r="H158" s="371" t="s">
        <v>1308</v>
      </c>
      <c r="I158" s="366">
        <v>17697</v>
      </c>
      <c r="J158" s="367">
        <v>11.4</v>
      </c>
      <c r="K158" s="367">
        <f t="shared" si="257"/>
        <v>201745.80000000002</v>
      </c>
      <c r="L158" s="380">
        <v>5</v>
      </c>
      <c r="M158" s="380">
        <v>5</v>
      </c>
      <c r="N158" s="380"/>
      <c r="O158" s="380"/>
      <c r="P158" s="380"/>
      <c r="Q158" s="368">
        <f t="shared" si="258"/>
        <v>10</v>
      </c>
      <c r="R158" s="380"/>
      <c r="S158" s="380"/>
      <c r="T158" s="380"/>
      <c r="U158" s="380"/>
      <c r="V158" s="380"/>
      <c r="W158" s="381">
        <f t="shared" si="259"/>
        <v>0</v>
      </c>
      <c r="X158" s="370">
        <f t="shared" si="260"/>
        <v>10</v>
      </c>
      <c r="Y158" s="367">
        <f t="shared" si="261"/>
        <v>126091.12500000001</v>
      </c>
      <c r="Z158" s="367">
        <f t="shared" ref="Z158:Z160" si="267">Y158*10%</f>
        <v>12609.112500000003</v>
      </c>
      <c r="AA158" s="366">
        <v>10</v>
      </c>
      <c r="AB158" s="367">
        <f t="shared" si="262"/>
        <v>4424.25</v>
      </c>
      <c r="AC158" s="366"/>
      <c r="AD158" s="367">
        <f t="shared" si="263"/>
        <v>0</v>
      </c>
      <c r="AE158" s="366"/>
      <c r="AF158" s="366"/>
      <c r="AG158" s="367"/>
      <c r="AH158" s="372"/>
      <c r="AI158" s="367"/>
      <c r="AJ158" s="372"/>
      <c r="AK158" s="367"/>
      <c r="AL158" s="366">
        <f t="shared" si="264"/>
        <v>10</v>
      </c>
      <c r="AM158" s="367">
        <f t="shared" si="265"/>
        <v>37827.337500000001</v>
      </c>
      <c r="AN158" s="366" t="str">
        <f>F158</f>
        <v>Педагог-зерттеуші</v>
      </c>
      <c r="AO158" s="367" t="str">
        <f>IF(AN158="Педагог-зерттеуші", "0", IF(AN158="Педагог-шебер",K158/16*X158*50%, IF(AN158="Педагог-сарапшы", "0", IF(AN158="Педагог-модератор", "0", "0"))))</f>
        <v>0</v>
      </c>
      <c r="AP158" s="367">
        <f>IF(AN158="Педагог-шебер", "0", IF(AN158="Педагог-зерттеуші",K158/16*X158*40%, IF(AN158="Педагог-сарапшы", "0", IF(AN158="Педагог-модератор", "0", "0"))))</f>
        <v>50436.450000000012</v>
      </c>
      <c r="AQ158" s="367" t="str">
        <f>IF(AN158="Педагог-шебер", "0", IF(AN158="Педагог-сарапшы",K158/16*X158*35%, IF(AN158="Педагог-зерттеуші", "0", IF(AN158="Педагог-модератор", "0", "0"))))</f>
        <v>0</v>
      </c>
      <c r="AR158" s="367" t="str">
        <f>IF(AN158="Педагог-шебер", "0", IF(AN158="Педагог-модератор",K158/16*X158*30%, IF(AN158="Педагог-зерттеуші", "0", IF(AN158="Педагог-сарапшы", "0", "0"))))</f>
        <v>0</v>
      </c>
      <c r="AS158" s="366"/>
      <c r="AT158" s="367"/>
      <c r="AU158" s="366"/>
      <c r="AV158" s="367"/>
      <c r="AW158" s="371"/>
      <c r="AX158" s="367"/>
      <c r="AY158" s="367"/>
      <c r="AZ158" s="367">
        <f>Z158+AB158+AD158+AE158+AG158+AI158+AK158+AM158+AO158+AP158+AQ158++AR158+AT158+AV158+AX158+AY158</f>
        <v>105297.15000000002</v>
      </c>
      <c r="BA158" s="373">
        <f>Y158+AZ158</f>
        <v>231388.27500000002</v>
      </c>
      <c r="BB158" s="374">
        <f t="shared" si="169"/>
        <v>23138.827500000003</v>
      </c>
      <c r="BC158" s="374">
        <f t="shared" si="170"/>
        <v>4627.7655000000004</v>
      </c>
      <c r="BD158" s="374">
        <f>(BA158-BB158-BC158-(14*4335))*10%</f>
        <v>14293.1682</v>
      </c>
      <c r="BE158" s="374">
        <f t="shared" si="172"/>
        <v>189328.51380000002</v>
      </c>
      <c r="BF158" s="374">
        <f t="shared" si="173"/>
        <v>2776659.3000000003</v>
      </c>
      <c r="BG158" s="374">
        <f>Y158*2</f>
        <v>252182.25000000003</v>
      </c>
      <c r="BH158" s="374">
        <f t="shared" si="175"/>
        <v>3028841.5500000003</v>
      </c>
      <c r="BI158" s="374">
        <f t="shared" si="176"/>
        <v>136297.86975000004</v>
      </c>
      <c r="BJ158" s="374">
        <f t="shared" si="177"/>
        <v>83299.77900000001</v>
      </c>
      <c r="BK158" s="374">
        <f t="shared" si="178"/>
        <v>157448.79324</v>
      </c>
      <c r="BL158" s="374">
        <f t="shared" ref="BL158:BL160" si="268">BH158*4.5%</f>
        <v>136297.86975000001</v>
      </c>
      <c r="BM158" s="373">
        <f t="shared" si="183"/>
        <v>3542185.8617400005</v>
      </c>
      <c r="BN158" s="375"/>
      <c r="BO158" s="377"/>
      <c r="BP158" s="377"/>
      <c r="BQ158" s="377"/>
      <c r="BR158" s="377"/>
      <c r="BS158" s="377"/>
      <c r="BT158" s="377"/>
      <c r="BU158" s="377"/>
      <c r="BV158" s="377"/>
      <c r="BW158" s="377"/>
      <c r="BX158" s="377"/>
      <c r="BY158" s="377"/>
      <c r="BZ158" s="377"/>
      <c r="CA158" s="377"/>
      <c r="CB158" s="377"/>
      <c r="CC158" s="377"/>
      <c r="CD158" s="377"/>
      <c r="CE158" s="377"/>
      <c r="CF158" s="377"/>
      <c r="CG158" s="377"/>
      <c r="CH158" s="377"/>
      <c r="CI158" s="377"/>
    </row>
    <row r="159" spans="1:87" ht="110.25">
      <c r="A159" s="369">
        <f t="shared" si="266"/>
        <v>113</v>
      </c>
      <c r="B159" s="416">
        <f t="shared" si="266"/>
        <v>3</v>
      </c>
      <c r="C159" s="513" t="s">
        <v>917</v>
      </c>
      <c r="D159" s="514" t="s">
        <v>1315</v>
      </c>
      <c r="E159" s="392" t="s">
        <v>998</v>
      </c>
      <c r="F159" s="366" t="s">
        <v>1005</v>
      </c>
      <c r="G159" s="366" t="s">
        <v>1316</v>
      </c>
      <c r="H159" s="371" t="s">
        <v>1446</v>
      </c>
      <c r="I159" s="366">
        <v>17697</v>
      </c>
      <c r="J159" s="367">
        <v>10.4</v>
      </c>
      <c r="K159" s="367">
        <f t="shared" si="257"/>
        <v>184048.80000000002</v>
      </c>
      <c r="L159" s="380"/>
      <c r="M159" s="380"/>
      <c r="N159" s="380">
        <v>4</v>
      </c>
      <c r="O159" s="380">
        <v>4</v>
      </c>
      <c r="P159" s="380">
        <v>4</v>
      </c>
      <c r="Q159" s="368">
        <f t="shared" si="258"/>
        <v>12</v>
      </c>
      <c r="R159" s="380"/>
      <c r="S159" s="380">
        <v>9</v>
      </c>
      <c r="T159" s="380"/>
      <c r="U159" s="380"/>
      <c r="V159" s="380">
        <v>15</v>
      </c>
      <c r="W159" s="381">
        <f t="shared" si="259"/>
        <v>24</v>
      </c>
      <c r="X159" s="370">
        <f t="shared" si="260"/>
        <v>36</v>
      </c>
      <c r="Y159" s="367">
        <f t="shared" si="261"/>
        <v>414109.80000000005</v>
      </c>
      <c r="Z159" s="367">
        <f t="shared" si="267"/>
        <v>41410.98000000001</v>
      </c>
      <c r="AA159" s="366">
        <v>12</v>
      </c>
      <c r="AB159" s="367">
        <f t="shared" si="262"/>
        <v>5309.1</v>
      </c>
      <c r="AC159" s="366"/>
      <c r="AD159" s="367">
        <f t="shared" si="263"/>
        <v>0</v>
      </c>
      <c r="AE159" s="366"/>
      <c r="AF159" s="366" t="s">
        <v>1317</v>
      </c>
      <c r="AG159" s="367">
        <f>17697*20%</f>
        <v>3539.4</v>
      </c>
      <c r="AH159" s="366"/>
      <c r="AI159" s="367"/>
      <c r="AJ159" s="372"/>
      <c r="AK159" s="367"/>
      <c r="AL159" s="366">
        <f t="shared" si="264"/>
        <v>36</v>
      </c>
      <c r="AM159" s="367">
        <f t="shared" si="265"/>
        <v>124232.94</v>
      </c>
      <c r="AN159" s="366" t="str">
        <f>F159</f>
        <v>Педагог-зерттеуші</v>
      </c>
      <c r="AO159" s="367" t="str">
        <f>IF(AN159="Педагог-зерттеуші", "0", IF(AN159="Педагог-шебер",K159/16*X159*50%, IF(AN159="Педагог-сарапшы", "0", IF(AN159="Педагог-модератор", "0", "0"))))</f>
        <v>0</v>
      </c>
      <c r="AP159" s="367">
        <f>IF(AN159="Педагог-шебер", "0", IF(AN159="Педагог-зерттеуші",K159/16*X159*40%, IF(AN159="Педагог-сарапшы", "0", IF(AN159="Педагог-модератор", "0", "0"))))</f>
        <v>165643.92000000004</v>
      </c>
      <c r="AQ159" s="367" t="str">
        <f>IF(AN159="Педагог-шебер", "0", IF(AN159="Педагог-сарапшы",K159/16*X159*35%, IF(AN159="Педагог-зерттеуші", "0", IF(AN159="Педагог-модератор", "0", "0"))))</f>
        <v>0</v>
      </c>
      <c r="AR159" s="367" t="str">
        <f>IF(AN159="Педагог-шебер", "0", IF(AN159="Педагог-модератор",K159/16*X159*30%, IF(AN159="Педагог-зерттеуші", "0", IF(AN159="Педагог-сарапшы", "0", "0"))))</f>
        <v>0</v>
      </c>
      <c r="AS159" s="366"/>
      <c r="AT159" s="367"/>
      <c r="AU159" s="366"/>
      <c r="AV159" s="367"/>
      <c r="AW159" s="371" t="str">
        <f>G159</f>
        <v>Магистр-биотехнология</v>
      </c>
      <c r="AX159" s="372">
        <f>10*4335</f>
        <v>43350</v>
      </c>
      <c r="AY159" s="367"/>
      <c r="AZ159" s="367">
        <f>Z159+AB159+AD159+AE159+AG159+AI159+AK159+AM159+AO159+AP159+AQ159++AR159+AT159+AV159+AX159+AY159</f>
        <v>383486.34000000008</v>
      </c>
      <c r="BA159" s="373">
        <f>Y159+AZ159</f>
        <v>797596.14000000013</v>
      </c>
      <c r="BB159" s="374">
        <f t="shared" si="169"/>
        <v>79759.614000000016</v>
      </c>
      <c r="BC159" s="374">
        <f t="shared" si="170"/>
        <v>15951.922800000002</v>
      </c>
      <c r="BD159" s="374">
        <f>(BA159-BB159-BC159-(14*4335))*10%</f>
        <v>64119.460320000006</v>
      </c>
      <c r="BE159" s="374">
        <f t="shared" si="172"/>
        <v>637765.14288000006</v>
      </c>
      <c r="BF159" s="374">
        <f t="shared" si="173"/>
        <v>9571153.6800000016</v>
      </c>
      <c r="BG159" s="374">
        <f>Y159*2</f>
        <v>828219.60000000009</v>
      </c>
      <c r="BH159" s="374">
        <f t="shared" si="175"/>
        <v>10399373.280000001</v>
      </c>
      <c r="BI159" s="374">
        <f t="shared" si="176"/>
        <v>467971.79760000011</v>
      </c>
      <c r="BJ159" s="374">
        <f t="shared" si="177"/>
        <v>287134.61040000006</v>
      </c>
      <c r="BK159" s="374">
        <f t="shared" si="178"/>
        <v>540509.61902400013</v>
      </c>
      <c r="BL159" s="374">
        <f t="shared" si="268"/>
        <v>467971.79760000005</v>
      </c>
      <c r="BM159" s="373">
        <f t="shared" si="183"/>
        <v>12162961.104624001</v>
      </c>
      <c r="BN159" s="375"/>
      <c r="BO159" s="377"/>
      <c r="BP159" s="377"/>
      <c r="BQ159" s="377"/>
      <c r="BR159" s="377"/>
      <c r="BS159" s="377"/>
      <c r="BT159" s="377"/>
      <c r="BU159" s="377"/>
      <c r="BV159" s="377"/>
      <c r="BW159" s="377"/>
      <c r="BX159" s="377"/>
      <c r="BY159" s="377"/>
      <c r="BZ159" s="377"/>
      <c r="CA159" s="377"/>
      <c r="CB159" s="377"/>
      <c r="CC159" s="377"/>
      <c r="CD159" s="377"/>
      <c r="CE159" s="377"/>
      <c r="CF159" s="377"/>
      <c r="CG159" s="377"/>
      <c r="CH159" s="377"/>
      <c r="CI159" s="377"/>
    </row>
    <row r="160" spans="1:87" ht="31.5">
      <c r="A160" s="369">
        <f t="shared" si="266"/>
        <v>114</v>
      </c>
      <c r="B160" s="416">
        <f t="shared" si="266"/>
        <v>4</v>
      </c>
      <c r="C160" s="409" t="s">
        <v>1306</v>
      </c>
      <c r="D160" s="514" t="s">
        <v>1318</v>
      </c>
      <c r="E160" s="366" t="s">
        <v>998</v>
      </c>
      <c r="F160" s="691" t="s">
        <v>999</v>
      </c>
      <c r="G160" s="691" t="s">
        <v>1158</v>
      </c>
      <c r="H160" s="1001" t="s">
        <v>273</v>
      </c>
      <c r="I160" s="691">
        <v>17697</v>
      </c>
      <c r="J160" s="693">
        <v>11.4</v>
      </c>
      <c r="K160" s="367">
        <f t="shared" si="257"/>
        <v>201745.80000000002</v>
      </c>
      <c r="L160" s="380">
        <v>5</v>
      </c>
      <c r="M160" s="380">
        <v>5</v>
      </c>
      <c r="N160" s="380">
        <v>5</v>
      </c>
      <c r="O160" s="380"/>
      <c r="P160" s="380"/>
      <c r="Q160" s="368">
        <f t="shared" si="258"/>
        <v>15</v>
      </c>
      <c r="R160" s="380"/>
      <c r="S160" s="380"/>
      <c r="T160" s="380"/>
      <c r="U160" s="380"/>
      <c r="V160" s="380"/>
      <c r="W160" s="381">
        <f t="shared" ref="W160" si="269">SUM(R160:V160)</f>
        <v>0</v>
      </c>
      <c r="X160" s="370">
        <f t="shared" si="260"/>
        <v>15</v>
      </c>
      <c r="Y160" s="367">
        <f t="shared" si="261"/>
        <v>189136.68750000003</v>
      </c>
      <c r="Z160" s="367">
        <f t="shared" si="267"/>
        <v>18913.668750000004</v>
      </c>
      <c r="AA160" s="366">
        <v>15</v>
      </c>
      <c r="AB160" s="367">
        <f t="shared" si="262"/>
        <v>6636.375</v>
      </c>
      <c r="AC160" s="366"/>
      <c r="AD160" s="367">
        <f t="shared" si="263"/>
        <v>0</v>
      </c>
      <c r="AE160" s="366"/>
      <c r="AF160" s="366"/>
      <c r="AG160" s="367"/>
      <c r="AH160" s="366"/>
      <c r="AI160" s="367"/>
      <c r="AJ160" s="372"/>
      <c r="AK160" s="367"/>
      <c r="AL160" s="366">
        <f t="shared" si="264"/>
        <v>15</v>
      </c>
      <c r="AM160" s="367">
        <f t="shared" si="265"/>
        <v>56741.006250000006</v>
      </c>
      <c r="AN160" s="366" t="str">
        <f>F160</f>
        <v>Педагог-шебер</v>
      </c>
      <c r="AO160" s="367">
        <f>IF(AN160="Педагог-зерттеуші", "0", IF(AN160="Педагог-шебер",K160/16*X160*50%, IF(AN160="Педагог-сарапшы", "0", IF(AN160="Педагог-модератор", "0", "0"))))</f>
        <v>94568.343750000015</v>
      </c>
      <c r="AP160" s="367" t="str">
        <f>IF(AN160="Педагог-шебер", "0", IF(AN160="Педагог-зерттеуші",K160/16*X160*40%, IF(AN160="Педагог-сарапшы", "0", IF(AN160="Педагог-модератор", "0", "0"))))</f>
        <v>0</v>
      </c>
      <c r="AQ160" s="367" t="str">
        <f>IF(AN160="Педагог-шебер", "0", IF(AN160="Педагог-сарапшы",K160/16*X160*35%, IF(AN160="Педагог-зерттеуші", "0", IF(AN160="Педагог-модератор", "0", "0"))))</f>
        <v>0</v>
      </c>
      <c r="AR160" s="367" t="str">
        <f>IF(AN160="Педагог-шебер", "0", IF(AN160="Педагог-модератор",K160/16*X160*30%, IF(AN160="Педагог-зерттеуші", "0", IF(AN160="Педагог-сарапшы", "0", "0"))))</f>
        <v>0</v>
      </c>
      <c r="AS160" s="366"/>
      <c r="AT160" s="367"/>
      <c r="AU160" s="366"/>
      <c r="AV160" s="367"/>
      <c r="AW160" s="371" t="str">
        <f>G160</f>
        <v>Магистр</v>
      </c>
      <c r="AX160" s="372">
        <f>10*4335</f>
        <v>43350</v>
      </c>
      <c r="AY160" s="367"/>
      <c r="AZ160" s="367">
        <f>Z160+AB160+AD160+AE160+AG160+AI160+AK160+AM160+AO160+AP160+AQ160++AR160+AT160+AV160+AX160+AY160</f>
        <v>220209.39375000005</v>
      </c>
      <c r="BA160" s="373">
        <f>Y160+AZ160</f>
        <v>409346.08125000005</v>
      </c>
      <c r="BB160" s="374">
        <f t="shared" si="169"/>
        <v>40934.608125000006</v>
      </c>
      <c r="BC160" s="374">
        <f t="shared" si="170"/>
        <v>8186.9216250000009</v>
      </c>
      <c r="BD160" s="374">
        <f>(BA160-BB160-BC160-(14*4335))*10%</f>
        <v>29953.455150000002</v>
      </c>
      <c r="BE160" s="374">
        <f t="shared" si="172"/>
        <v>330271.09635000001</v>
      </c>
      <c r="BF160" s="374">
        <f t="shared" si="173"/>
        <v>4912152.9750000006</v>
      </c>
      <c r="BG160" s="374">
        <f>Y160*2</f>
        <v>378273.37500000006</v>
      </c>
      <c r="BH160" s="374">
        <f t="shared" si="175"/>
        <v>5290426.3500000006</v>
      </c>
      <c r="BI160" s="374">
        <f t="shared" si="176"/>
        <v>238069.18575000006</v>
      </c>
      <c r="BJ160" s="374">
        <f t="shared" si="177"/>
        <v>147364.58925000002</v>
      </c>
      <c r="BK160" s="374">
        <f t="shared" si="178"/>
        <v>274876.28635499999</v>
      </c>
      <c r="BL160" s="374">
        <f t="shared" si="268"/>
        <v>238069.18575</v>
      </c>
      <c r="BM160" s="373">
        <f t="shared" si="183"/>
        <v>6188805.5971050011</v>
      </c>
      <c r="BN160" s="375"/>
      <c r="BO160" s="466"/>
      <c r="BP160" s="466"/>
      <c r="BQ160" s="466"/>
      <c r="BR160" s="466"/>
      <c r="BS160" s="466"/>
      <c r="BT160" s="466"/>
      <c r="BU160" s="466"/>
      <c r="BV160" s="466"/>
      <c r="BW160" s="466"/>
      <c r="BX160" s="466"/>
      <c r="BY160" s="466"/>
      <c r="BZ160" s="466"/>
      <c r="CA160" s="466"/>
      <c r="CB160" s="466"/>
      <c r="CC160" s="466"/>
      <c r="CD160" s="466"/>
      <c r="CE160" s="466"/>
      <c r="CF160" s="466"/>
      <c r="CG160" s="466"/>
      <c r="CH160" s="466"/>
      <c r="CI160" s="466"/>
    </row>
    <row r="161" spans="1:87" ht="14.25">
      <c r="A161" s="489"/>
      <c r="B161" s="489"/>
      <c r="C161" s="516" t="s">
        <v>1162</v>
      </c>
      <c r="D161" s="517" t="s">
        <v>549</v>
      </c>
      <c r="E161" s="490"/>
      <c r="F161" s="490"/>
      <c r="G161" s="490"/>
      <c r="H161" s="491"/>
      <c r="I161" s="490"/>
      <c r="J161" s="490"/>
      <c r="K161" s="422">
        <f>SUM(K157:K160)</f>
        <v>789286.20000000007</v>
      </c>
      <c r="L161" s="422">
        <f t="shared" ref="L161:BN161" si="270">SUM(L157:L160)</f>
        <v>10</v>
      </c>
      <c r="M161" s="422">
        <f t="shared" si="270"/>
        <v>10</v>
      </c>
      <c r="N161" s="422">
        <f t="shared" si="270"/>
        <v>9</v>
      </c>
      <c r="O161" s="422">
        <f t="shared" si="270"/>
        <v>9</v>
      </c>
      <c r="P161" s="422">
        <f t="shared" si="270"/>
        <v>9</v>
      </c>
      <c r="Q161" s="422">
        <f t="shared" si="270"/>
        <v>47</v>
      </c>
      <c r="R161" s="422">
        <f t="shared" si="270"/>
        <v>0</v>
      </c>
      <c r="S161" s="422">
        <f t="shared" si="270"/>
        <v>9</v>
      </c>
      <c r="T161" s="422">
        <f t="shared" si="270"/>
        <v>0</v>
      </c>
      <c r="U161" s="422">
        <f t="shared" si="270"/>
        <v>0</v>
      </c>
      <c r="V161" s="422">
        <f t="shared" si="270"/>
        <v>15</v>
      </c>
      <c r="W161" s="422">
        <f t="shared" si="270"/>
        <v>24</v>
      </c>
      <c r="X161" s="422">
        <f t="shared" si="270"/>
        <v>71</v>
      </c>
      <c r="Y161" s="422">
        <f t="shared" si="270"/>
        <v>855428.73750000005</v>
      </c>
      <c r="Z161" s="422">
        <f t="shared" si="270"/>
        <v>72933.76125000001</v>
      </c>
      <c r="AA161" s="422">
        <f t="shared" si="270"/>
        <v>47</v>
      </c>
      <c r="AB161" s="422">
        <f t="shared" si="270"/>
        <v>20793.974999999999</v>
      </c>
      <c r="AC161" s="422">
        <f t="shared" si="270"/>
        <v>0</v>
      </c>
      <c r="AD161" s="422">
        <f t="shared" si="270"/>
        <v>0</v>
      </c>
      <c r="AE161" s="422">
        <f t="shared" si="270"/>
        <v>0</v>
      </c>
      <c r="AF161" s="422">
        <v>1</v>
      </c>
      <c r="AG161" s="422">
        <f t="shared" si="270"/>
        <v>3539.4</v>
      </c>
      <c r="AH161" s="422">
        <f t="shared" si="270"/>
        <v>0</v>
      </c>
      <c r="AI161" s="422">
        <f t="shared" si="270"/>
        <v>0</v>
      </c>
      <c r="AJ161" s="422">
        <f t="shared" si="270"/>
        <v>0</v>
      </c>
      <c r="AK161" s="422">
        <f t="shared" si="270"/>
        <v>0</v>
      </c>
      <c r="AL161" s="422">
        <f t="shared" si="270"/>
        <v>71</v>
      </c>
      <c r="AM161" s="422">
        <f t="shared" si="270"/>
        <v>256628.62125</v>
      </c>
      <c r="AN161" s="422">
        <f t="shared" si="270"/>
        <v>0</v>
      </c>
      <c r="AO161" s="422">
        <f t="shared" si="270"/>
        <v>94568.343750000015</v>
      </c>
      <c r="AP161" s="422">
        <f t="shared" si="270"/>
        <v>216080.37000000005</v>
      </c>
      <c r="AQ161" s="422">
        <f t="shared" si="270"/>
        <v>0</v>
      </c>
      <c r="AR161" s="422">
        <f t="shared" si="270"/>
        <v>0</v>
      </c>
      <c r="AS161" s="422">
        <f t="shared" si="270"/>
        <v>0</v>
      </c>
      <c r="AT161" s="422">
        <f t="shared" si="270"/>
        <v>0</v>
      </c>
      <c r="AU161" s="422">
        <f t="shared" si="270"/>
        <v>0</v>
      </c>
      <c r="AV161" s="422">
        <f t="shared" si="270"/>
        <v>0</v>
      </c>
      <c r="AW161" s="422">
        <f t="shared" si="270"/>
        <v>0</v>
      </c>
      <c r="AX161" s="422">
        <f t="shared" si="270"/>
        <v>86700</v>
      </c>
      <c r="AY161" s="422">
        <f t="shared" si="270"/>
        <v>0</v>
      </c>
      <c r="AZ161" s="422">
        <f t="shared" si="270"/>
        <v>751244.47125000018</v>
      </c>
      <c r="BA161" s="422">
        <f t="shared" si="270"/>
        <v>1606673.2087500002</v>
      </c>
      <c r="BB161" s="422">
        <f t="shared" si="270"/>
        <v>160667.32087500003</v>
      </c>
      <c r="BC161" s="422">
        <f t="shared" si="270"/>
        <v>32133.464175000001</v>
      </c>
      <c r="BD161" s="422">
        <f t="shared" si="270"/>
        <v>117111.24237000002</v>
      </c>
      <c r="BE161" s="422">
        <f t="shared" si="270"/>
        <v>1296761.1813300001</v>
      </c>
      <c r="BF161" s="422">
        <f t="shared" si="270"/>
        <v>19280078.505000003</v>
      </c>
      <c r="BG161" s="422">
        <f t="shared" si="270"/>
        <v>1710857.4750000001</v>
      </c>
      <c r="BH161" s="422">
        <f t="shared" si="270"/>
        <v>20990935.980000004</v>
      </c>
      <c r="BI161" s="422">
        <f t="shared" si="270"/>
        <v>944592.11910000024</v>
      </c>
      <c r="BJ161" s="422">
        <f t="shared" si="270"/>
        <v>578402.35515000019</v>
      </c>
      <c r="BK161" s="422">
        <f t="shared" si="270"/>
        <v>1091094.3702090001</v>
      </c>
      <c r="BL161" s="422">
        <f t="shared" si="270"/>
        <v>944592.11910000001</v>
      </c>
      <c r="BM161" s="422">
        <f t="shared" si="270"/>
        <v>24549616.943559002</v>
      </c>
      <c r="BN161" s="422">
        <f t="shared" si="270"/>
        <v>1</v>
      </c>
      <c r="BO161" s="355"/>
      <c r="BP161" s="355"/>
      <c r="BQ161" s="355"/>
      <c r="BR161" s="355"/>
      <c r="BS161" s="355"/>
      <c r="BT161" s="355"/>
      <c r="BU161" s="355"/>
      <c r="BV161" s="355"/>
      <c r="BW161" s="355"/>
      <c r="BX161" s="355"/>
      <c r="BY161" s="355"/>
      <c r="BZ161" s="355"/>
      <c r="CA161" s="355"/>
      <c r="CB161" s="355"/>
      <c r="CC161" s="355"/>
      <c r="CD161" s="355"/>
      <c r="CE161" s="355"/>
      <c r="CF161" s="355"/>
      <c r="CG161" s="355"/>
      <c r="CH161" s="355"/>
      <c r="CI161" s="356"/>
    </row>
    <row r="162" spans="1:87" ht="47.25">
      <c r="A162" s="369">
        <f>A160+1</f>
        <v>115</v>
      </c>
      <c r="B162" s="428">
        <v>1</v>
      </c>
      <c r="C162" s="415" t="s">
        <v>1319</v>
      </c>
      <c r="D162" s="382" t="s">
        <v>1320</v>
      </c>
      <c r="E162" s="392" t="s">
        <v>998</v>
      </c>
      <c r="F162" s="366" t="s">
        <v>1005</v>
      </c>
      <c r="G162" s="366" t="s">
        <v>1321</v>
      </c>
      <c r="H162" s="371" t="s">
        <v>1447</v>
      </c>
      <c r="I162" s="366">
        <v>17697</v>
      </c>
      <c r="J162" s="367">
        <v>10.4</v>
      </c>
      <c r="K162" s="367">
        <f t="shared" ref="K162:K165" si="271">I162*J162</f>
        <v>184048.80000000002</v>
      </c>
      <c r="L162" s="380"/>
      <c r="M162" s="380">
        <v>8</v>
      </c>
      <c r="N162" s="380">
        <v>8</v>
      </c>
      <c r="O162" s="380">
        <v>4</v>
      </c>
      <c r="P162" s="380">
        <v>4</v>
      </c>
      <c r="Q162" s="368">
        <f t="shared" ref="Q162:Q165" si="272">SUM(L162:P162)</f>
        <v>24</v>
      </c>
      <c r="R162" s="380"/>
      <c r="S162" s="380"/>
      <c r="T162" s="380"/>
      <c r="U162" s="380"/>
      <c r="V162" s="380"/>
      <c r="W162" s="381">
        <f t="shared" ref="W162:W164" si="273">SUM(R162:V162)</f>
        <v>0</v>
      </c>
      <c r="X162" s="370">
        <f t="shared" ref="X162:X165" si="274">Q162+W162</f>
        <v>24</v>
      </c>
      <c r="Y162" s="367">
        <f t="shared" ref="Y162:Y165" si="275">K162/16*X162</f>
        <v>276073.2</v>
      </c>
      <c r="Z162" s="367">
        <f t="shared" ref="Z162:Z165" si="276">Y162*10%</f>
        <v>27607.320000000003</v>
      </c>
      <c r="AA162" s="366">
        <v>24</v>
      </c>
      <c r="AB162" s="367">
        <f t="shared" ref="AB162:AB165" si="277">I162/16*AA162*40%</f>
        <v>10618.2</v>
      </c>
      <c r="AC162" s="372"/>
      <c r="AD162" s="367">
        <f t="shared" ref="AD162:AD165" si="278">I162/16*AC162*40%*50%</f>
        <v>0</v>
      </c>
      <c r="AE162" s="367"/>
      <c r="AF162" s="366" t="s">
        <v>1322</v>
      </c>
      <c r="AG162" s="367">
        <f t="shared" ref="AG162:AG163" si="279">17697*20%</f>
        <v>3539.4</v>
      </c>
      <c r="AH162" s="372"/>
      <c r="AI162" s="367"/>
      <c r="AJ162" s="372"/>
      <c r="AK162" s="367"/>
      <c r="AL162" s="366">
        <f t="shared" ref="AL162:AL165" si="280">X162</f>
        <v>24</v>
      </c>
      <c r="AM162" s="367">
        <f t="shared" ref="AM162:AM165" si="281">K162/16*AL162*30%</f>
        <v>82821.960000000006</v>
      </c>
      <c r="AN162" s="366" t="str">
        <f>F162</f>
        <v>Педагог-зерттеуші</v>
      </c>
      <c r="AO162" s="367" t="str">
        <f>IF(AN162="Педагог-зерттеуші", "0", IF(AN162="Педагог-шебер",K162/16*X162*50%, IF(AN162="Педагог-сарапшы", "0", IF(AN162="Педагог-модератор", "0", "0"))))</f>
        <v>0</v>
      </c>
      <c r="AP162" s="367">
        <f>IF(AN162="Педагог-шебер", "0", IF(AN162="Педагог-зерттеуші",K162/16*X162*40%, IF(AN162="Педагог-сарапшы", "0", IF(AN162="Педагог-модератор", "0", "0"))))</f>
        <v>110429.28000000001</v>
      </c>
      <c r="AQ162" s="367" t="str">
        <f>IF(AN162="Педагог-шебер", "0", IF(AN162="Педагог-сарапшы",K162/16*X162*35%, IF(AN162="Педагог-зерттеуші", "0", IF(AN162="Педагог-модератор", "0", "0"))))</f>
        <v>0</v>
      </c>
      <c r="AR162" s="367" t="str">
        <f>IF(AN162="Педагог-шебер", "0", IF(AN162="Педагог-модератор",K162/16*X162*30%, IF(AN162="Педагог-зерттеуші", "0", IF(AN162="Педагог-сарапшы", "0", "0"))))</f>
        <v>0</v>
      </c>
      <c r="AS162" s="366"/>
      <c r="AT162" s="367"/>
      <c r="AU162" s="372"/>
      <c r="AV162" s="367"/>
      <c r="AW162" s="366" t="str">
        <f>G162</f>
        <v>Магистр-химия, доктор PhD</v>
      </c>
      <c r="AX162" s="372">
        <f>(10*4335)+(17*4335)</f>
        <v>117045</v>
      </c>
      <c r="AY162" s="427"/>
      <c r="AZ162" s="367">
        <f>Z162+AB162+AD162+AE162+AG162+AI162+AK162+AM162+AO162+AP162+AQ162++AR162+AT162+AV162+AX162+AY162</f>
        <v>352061.16000000003</v>
      </c>
      <c r="BA162" s="373">
        <f>Y162+AZ162</f>
        <v>628134.3600000001</v>
      </c>
      <c r="BB162" s="374">
        <f t="shared" si="169"/>
        <v>62813.436000000016</v>
      </c>
      <c r="BC162" s="374">
        <f t="shared" si="170"/>
        <v>12562.687200000002</v>
      </c>
      <c r="BD162" s="374">
        <f>(BA162-BB162-BC162-(14*4335))*10%</f>
        <v>49206.823680000009</v>
      </c>
      <c r="BE162" s="374">
        <f t="shared" si="172"/>
        <v>503551.41312000004</v>
      </c>
      <c r="BF162" s="374">
        <f t="shared" si="173"/>
        <v>7537612.3200000012</v>
      </c>
      <c r="BG162" s="374">
        <f>Y162*2</f>
        <v>552146.4</v>
      </c>
      <c r="BH162" s="374">
        <f t="shared" si="175"/>
        <v>8089758.7200000016</v>
      </c>
      <c r="BI162" s="374">
        <f t="shared" si="176"/>
        <v>364039.14240000007</v>
      </c>
      <c r="BJ162" s="374">
        <f t="shared" si="177"/>
        <v>226128.36960000003</v>
      </c>
      <c r="BK162" s="374">
        <f t="shared" si="178"/>
        <v>420264.22377600014</v>
      </c>
      <c r="BL162" s="374">
        <f>BH162*4.5%</f>
        <v>364039.14240000007</v>
      </c>
      <c r="BM162" s="373">
        <f t="shared" si="183"/>
        <v>9464229.5981760006</v>
      </c>
      <c r="BN162" s="375"/>
      <c r="BO162" s="377"/>
      <c r="BP162" s="377"/>
      <c r="BQ162" s="377"/>
      <c r="BR162" s="377"/>
      <c r="BS162" s="377"/>
      <c r="BT162" s="377"/>
      <c r="BU162" s="377"/>
      <c r="BV162" s="377"/>
      <c r="BW162" s="377"/>
      <c r="BX162" s="377"/>
      <c r="BY162" s="377"/>
      <c r="BZ162" s="377"/>
      <c r="CA162" s="377"/>
      <c r="CB162" s="377"/>
      <c r="CC162" s="377"/>
      <c r="CD162" s="377"/>
      <c r="CE162" s="377"/>
      <c r="CF162" s="377"/>
      <c r="CG162" s="377"/>
      <c r="CH162" s="377"/>
      <c r="CI162" s="377"/>
    </row>
    <row r="163" spans="1:87" ht="47.25">
      <c r="A163" s="369">
        <f t="shared" ref="A163:B165" si="282">A162+1</f>
        <v>116</v>
      </c>
      <c r="B163" s="416">
        <f t="shared" si="282"/>
        <v>2</v>
      </c>
      <c r="C163" s="518" t="s">
        <v>1323</v>
      </c>
      <c r="D163" s="519" t="s">
        <v>1324</v>
      </c>
      <c r="E163" s="366" t="s">
        <v>998</v>
      </c>
      <c r="F163" s="366" t="s">
        <v>1005</v>
      </c>
      <c r="G163" s="366" t="s">
        <v>1325</v>
      </c>
      <c r="H163" s="371" t="s">
        <v>1448</v>
      </c>
      <c r="I163" s="366">
        <v>17697</v>
      </c>
      <c r="J163" s="367">
        <v>10.82</v>
      </c>
      <c r="K163" s="367">
        <f t="shared" si="271"/>
        <v>191481.54</v>
      </c>
      <c r="L163" s="380"/>
      <c r="M163" s="380"/>
      <c r="N163" s="380">
        <v>8</v>
      </c>
      <c r="O163" s="380">
        <v>5</v>
      </c>
      <c r="P163" s="380">
        <v>5</v>
      </c>
      <c r="Q163" s="368">
        <f t="shared" si="272"/>
        <v>18</v>
      </c>
      <c r="R163" s="380"/>
      <c r="S163" s="380"/>
      <c r="T163" s="380"/>
      <c r="U163" s="380"/>
      <c r="V163" s="380"/>
      <c r="W163" s="381">
        <f t="shared" si="273"/>
        <v>0</v>
      </c>
      <c r="X163" s="370">
        <f t="shared" si="274"/>
        <v>18</v>
      </c>
      <c r="Y163" s="367">
        <f t="shared" si="275"/>
        <v>215416.73250000001</v>
      </c>
      <c r="Z163" s="367">
        <f t="shared" si="276"/>
        <v>21541.673250000003</v>
      </c>
      <c r="AA163" s="366">
        <v>18</v>
      </c>
      <c r="AB163" s="367">
        <f t="shared" si="277"/>
        <v>7963.6500000000005</v>
      </c>
      <c r="AC163" s="366"/>
      <c r="AD163" s="367">
        <f t="shared" si="278"/>
        <v>0</v>
      </c>
      <c r="AE163" s="366"/>
      <c r="AF163" s="366" t="s">
        <v>1326</v>
      </c>
      <c r="AG163" s="367">
        <f t="shared" si="279"/>
        <v>3539.4</v>
      </c>
      <c r="AH163" s="366"/>
      <c r="AI163" s="367"/>
      <c r="AJ163" s="372"/>
      <c r="AK163" s="367"/>
      <c r="AL163" s="366">
        <f t="shared" si="280"/>
        <v>18</v>
      </c>
      <c r="AM163" s="367">
        <f t="shared" si="281"/>
        <v>64625.019749999999</v>
      </c>
      <c r="AN163" s="366" t="str">
        <f>F163</f>
        <v>Педагог-зерттеуші</v>
      </c>
      <c r="AO163" s="367" t="str">
        <f>IF(AN163="Педагог-зерттеуші", "0", IF(AN163="Педагог-шебер",K163/16*X163*50%, IF(AN163="Педагог-сарапшы", "0", IF(AN163="Педагог-модератор", "0", "0"))))</f>
        <v>0</v>
      </c>
      <c r="AP163" s="367">
        <f>IF(AN163="Педагог-шебер", "0", IF(AN163="Педагог-зерттеуші",K163/16*X163*40%, IF(AN163="Педагог-сарапшы", "0", IF(AN163="Педагог-модератор", "0", "0"))))</f>
        <v>86166.693000000014</v>
      </c>
      <c r="AQ163" s="367" t="str">
        <f>IF(AN163="Педагог-шебер", "0", IF(AN163="Педагог-сарапшы",K163/16*X163*35%, IF(AN163="Педагог-зерттеуші", "0", IF(AN163="Педагог-модератор", "0", "0"))))</f>
        <v>0</v>
      </c>
      <c r="AR163" s="367" t="str">
        <f>IF(AN163="Педагог-шебер", "0", IF(AN163="Педагог-модератор",K163/16*X163*30%, IF(AN163="Педагог-зерттеуші", "0", IF(AN163="Педагог-сарапшы", "0", "0"))))</f>
        <v>0</v>
      </c>
      <c r="AS163" s="366"/>
      <c r="AT163" s="367"/>
      <c r="AU163" s="371"/>
      <c r="AV163" s="367"/>
      <c r="AW163" s="366" t="str">
        <f>G163</f>
        <v>Магистр-химия</v>
      </c>
      <c r="AX163" s="520">
        <f>10*4335</f>
        <v>43350</v>
      </c>
      <c r="AY163" s="521"/>
      <c r="AZ163" s="367">
        <f>Z163+AB163+AD163+AE163+AG163+AI163+AK163+AM163+AO163+AP163+AQ163++AR163+AT163+AV163+AX163+AY163</f>
        <v>227186.43600000002</v>
      </c>
      <c r="BA163" s="373">
        <f>Y163+AZ163</f>
        <v>442603.16850000003</v>
      </c>
      <c r="BB163" s="374">
        <f t="shared" si="169"/>
        <v>44260.316850000003</v>
      </c>
      <c r="BC163" s="374">
        <f t="shared" si="170"/>
        <v>8852.0633700000017</v>
      </c>
      <c r="BD163" s="374">
        <f>(BA163-BB163-BC163-(14*4335))*10%</f>
        <v>32880.078828000005</v>
      </c>
      <c r="BE163" s="374">
        <f t="shared" si="172"/>
        <v>356610.70945200004</v>
      </c>
      <c r="BF163" s="374">
        <f t="shared" si="173"/>
        <v>5311238.0219999999</v>
      </c>
      <c r="BG163" s="374">
        <f>Y163*2</f>
        <v>430833.46500000003</v>
      </c>
      <c r="BH163" s="374">
        <f t="shared" si="175"/>
        <v>5742071.4869999997</v>
      </c>
      <c r="BI163" s="374">
        <f t="shared" si="176"/>
        <v>258393.216915</v>
      </c>
      <c r="BJ163" s="374">
        <f t="shared" si="177"/>
        <v>159337.14066</v>
      </c>
      <c r="BK163" s="374">
        <f t="shared" si="178"/>
        <v>298387.1366496</v>
      </c>
      <c r="BL163" s="374">
        <f t="shared" ref="BL163:BL165" si="283">BH163*4.5%</f>
        <v>258393.21691499997</v>
      </c>
      <c r="BM163" s="373">
        <f t="shared" si="183"/>
        <v>6716582.1981396005</v>
      </c>
      <c r="BN163" s="375"/>
      <c r="BO163" s="377"/>
      <c r="BP163" s="377"/>
      <c r="BQ163" s="377"/>
      <c r="BR163" s="377"/>
      <c r="BS163" s="377"/>
      <c r="BT163" s="377"/>
      <c r="BU163" s="377"/>
      <c r="BV163" s="377"/>
      <c r="BW163" s="377"/>
      <c r="BX163" s="377"/>
      <c r="BY163" s="377"/>
      <c r="BZ163" s="377"/>
      <c r="CA163" s="377"/>
      <c r="CB163" s="377"/>
      <c r="CC163" s="377"/>
      <c r="CD163" s="377"/>
      <c r="CE163" s="377"/>
      <c r="CF163" s="377"/>
      <c r="CG163" s="377"/>
      <c r="CH163" s="377"/>
      <c r="CI163" s="377"/>
    </row>
    <row r="164" spans="1:87" ht="94.5">
      <c r="A164" s="369">
        <f t="shared" si="282"/>
        <v>117</v>
      </c>
      <c r="B164" s="416">
        <f t="shared" si="282"/>
        <v>3</v>
      </c>
      <c r="C164" s="702" t="s">
        <v>1327</v>
      </c>
      <c r="D164" s="522" t="s">
        <v>1328</v>
      </c>
      <c r="E164" s="392" t="s">
        <v>998</v>
      </c>
      <c r="F164" s="366" t="s">
        <v>254</v>
      </c>
      <c r="G164" s="366" t="s">
        <v>1325</v>
      </c>
      <c r="H164" s="371" t="s">
        <v>1449</v>
      </c>
      <c r="I164" s="366">
        <v>17697</v>
      </c>
      <c r="J164" s="367">
        <v>9.66</v>
      </c>
      <c r="K164" s="367">
        <f t="shared" si="271"/>
        <v>170953.02</v>
      </c>
      <c r="L164" s="380"/>
      <c r="M164" s="380">
        <v>8</v>
      </c>
      <c r="N164" s="380"/>
      <c r="O164" s="380"/>
      <c r="P164" s="380"/>
      <c r="Q164" s="368">
        <f t="shared" si="272"/>
        <v>8</v>
      </c>
      <c r="R164" s="380"/>
      <c r="S164" s="380">
        <v>1</v>
      </c>
      <c r="T164" s="380"/>
      <c r="U164" s="380"/>
      <c r="V164" s="380">
        <v>15</v>
      </c>
      <c r="W164" s="381">
        <f t="shared" si="273"/>
        <v>16</v>
      </c>
      <c r="X164" s="370">
        <f t="shared" si="274"/>
        <v>24</v>
      </c>
      <c r="Y164" s="367">
        <f t="shared" si="275"/>
        <v>256429.52999999997</v>
      </c>
      <c r="Z164" s="367">
        <f t="shared" si="276"/>
        <v>25642.952999999998</v>
      </c>
      <c r="AA164" s="366">
        <v>24</v>
      </c>
      <c r="AB164" s="367">
        <f t="shared" si="277"/>
        <v>10618.2</v>
      </c>
      <c r="AC164" s="366"/>
      <c r="AD164" s="367">
        <f t="shared" si="278"/>
        <v>0</v>
      </c>
      <c r="AE164" s="366"/>
      <c r="AF164" s="366"/>
      <c r="AG164" s="367"/>
      <c r="AH164" s="366"/>
      <c r="AI164" s="367"/>
      <c r="AJ164" s="372"/>
      <c r="AK164" s="367"/>
      <c r="AL164" s="366">
        <f t="shared" si="280"/>
        <v>24</v>
      </c>
      <c r="AM164" s="367">
        <f t="shared" si="281"/>
        <v>76928.858999999982</v>
      </c>
      <c r="AN164" s="366" t="str">
        <f>F164</f>
        <v>Педагог-модератор</v>
      </c>
      <c r="AO164" s="367" t="str">
        <f>IF(AN164="Педагог-зерттеуші", "0", IF(AN164="Педагог-шебер",K164/16*X164*50%, IF(AN164="Педагог-сарапшы", "0", IF(AN164="Педагог-модератор", "0", "0"))))</f>
        <v>0</v>
      </c>
      <c r="AP164" s="367" t="str">
        <f>IF(AN164="Педагог-шебер", "0", IF(AN164="Педагог-зерттеуші",K164/16*X164*40%, IF(AN164="Педагог-сарапшы", "0", IF(AN164="Педагог-модератор", "0", "0"))))</f>
        <v>0</v>
      </c>
      <c r="AQ164" s="367" t="str">
        <f>IF(AN164="Педагог-шебер", "0", IF(AN164="Педагог-сарапшы",K164/16*X164*35%, IF(AN164="Педагог-зерттеуші", "0", IF(AN164="Педагог-модератор", "0", "0"))))</f>
        <v>0</v>
      </c>
      <c r="AR164" s="367">
        <f>IF(AN164="Педагог-шебер", "0", IF(AN164="Педагог-модератор",K164/16*X164*30%, IF(AN164="Педагог-зерттеуші", "0", IF(AN164="Педагог-сарапшы", "0", "0"))))</f>
        <v>76928.858999999982</v>
      </c>
      <c r="AS164" s="366"/>
      <c r="AT164" s="367"/>
      <c r="AU164" s="366"/>
      <c r="AV164" s="367"/>
      <c r="AW164" s="366" t="str">
        <f>G164</f>
        <v>Магистр-химия</v>
      </c>
      <c r="AX164" s="520">
        <f>10*4335</f>
        <v>43350</v>
      </c>
      <c r="AY164" s="521"/>
      <c r="AZ164" s="367">
        <f>Z164+AB164+AD164+AE164+AG164+AI164+AK164+AM164+AO164+AP164+AQ164++AR164+AT164+AV164+AX164+AY164</f>
        <v>233468.87099999998</v>
      </c>
      <c r="BA164" s="373">
        <f>Y164+AZ164</f>
        <v>489898.40099999995</v>
      </c>
      <c r="BB164" s="374">
        <f t="shared" si="169"/>
        <v>48989.840100000001</v>
      </c>
      <c r="BC164" s="374">
        <f t="shared" si="170"/>
        <v>9797.9680199999984</v>
      </c>
      <c r="BD164" s="374">
        <f>(BA164-BB164-BC164-(14*4335))*10%</f>
        <v>37042.059287999997</v>
      </c>
      <c r="BE164" s="374">
        <f t="shared" si="172"/>
        <v>394068.53359199996</v>
      </c>
      <c r="BF164" s="374">
        <f t="shared" si="173"/>
        <v>5878780.811999999</v>
      </c>
      <c r="BG164" s="374">
        <f>Y164*2</f>
        <v>512859.05999999994</v>
      </c>
      <c r="BH164" s="374">
        <f t="shared" si="175"/>
        <v>6391639.8719999986</v>
      </c>
      <c r="BI164" s="374">
        <f t="shared" si="176"/>
        <v>287623.79423999996</v>
      </c>
      <c r="BJ164" s="374">
        <f t="shared" si="177"/>
        <v>176363.42435999998</v>
      </c>
      <c r="BK164" s="374">
        <f t="shared" si="178"/>
        <v>332215.23530159995</v>
      </c>
      <c r="BL164" s="374">
        <f t="shared" si="283"/>
        <v>287623.7942399999</v>
      </c>
      <c r="BM164" s="373">
        <f t="shared" si="183"/>
        <v>7475466.1201415975</v>
      </c>
      <c r="BN164" s="375"/>
      <c r="BO164" s="377"/>
      <c r="BP164" s="377"/>
      <c r="BQ164" s="377"/>
      <c r="BR164" s="377"/>
      <c r="BS164" s="377"/>
      <c r="BT164" s="377"/>
      <c r="BU164" s="377"/>
      <c r="BV164" s="377"/>
      <c r="BW164" s="377"/>
      <c r="BX164" s="377"/>
      <c r="BY164" s="377"/>
      <c r="BZ164" s="377"/>
      <c r="CA164" s="377"/>
      <c r="CB164" s="377"/>
      <c r="CC164" s="377"/>
      <c r="CD164" s="377"/>
      <c r="CE164" s="377"/>
      <c r="CF164" s="377"/>
      <c r="CG164" s="377"/>
      <c r="CH164" s="377"/>
      <c r="CI164" s="377"/>
    </row>
    <row r="165" spans="1:87" ht="47.25">
      <c r="A165" s="369">
        <f t="shared" si="282"/>
        <v>118</v>
      </c>
      <c r="B165" s="416">
        <f t="shared" si="282"/>
        <v>4</v>
      </c>
      <c r="C165" s="518" t="s">
        <v>1323</v>
      </c>
      <c r="D165" s="514" t="s">
        <v>1329</v>
      </c>
      <c r="E165" s="366" t="s">
        <v>998</v>
      </c>
      <c r="F165" s="691" t="s">
        <v>999</v>
      </c>
      <c r="G165" s="691" t="s">
        <v>1158</v>
      </c>
      <c r="H165" s="1001" t="s">
        <v>273</v>
      </c>
      <c r="I165" s="691">
        <v>17697</v>
      </c>
      <c r="J165" s="693">
        <v>11.4</v>
      </c>
      <c r="K165" s="367">
        <f t="shared" si="271"/>
        <v>201745.80000000002</v>
      </c>
      <c r="L165" s="380">
        <v>10</v>
      </c>
      <c r="M165" s="380">
        <v>4</v>
      </c>
      <c r="N165" s="380">
        <v>2</v>
      </c>
      <c r="O165" s="380"/>
      <c r="P165" s="380"/>
      <c r="Q165" s="368">
        <f t="shared" si="272"/>
        <v>16</v>
      </c>
      <c r="R165" s="380"/>
      <c r="S165" s="380"/>
      <c r="T165" s="380"/>
      <c r="U165" s="380"/>
      <c r="V165" s="380"/>
      <c r="W165" s="381">
        <f t="shared" ref="W165" si="284">SUM(R165:V165)</f>
        <v>0</v>
      </c>
      <c r="X165" s="370">
        <f t="shared" si="274"/>
        <v>16</v>
      </c>
      <c r="Y165" s="367">
        <f t="shared" si="275"/>
        <v>201745.80000000002</v>
      </c>
      <c r="Z165" s="367">
        <f t="shared" si="276"/>
        <v>20174.580000000002</v>
      </c>
      <c r="AA165" s="366">
        <v>16</v>
      </c>
      <c r="AB165" s="367">
        <f t="shared" si="277"/>
        <v>7078.8</v>
      </c>
      <c r="AC165" s="366"/>
      <c r="AD165" s="367">
        <f t="shared" si="278"/>
        <v>0</v>
      </c>
      <c r="AE165" s="366"/>
      <c r="AF165" s="366" t="s">
        <v>2410</v>
      </c>
      <c r="AG165" s="367">
        <f t="shared" ref="AG165" si="285">17697*20%</f>
        <v>3539.4</v>
      </c>
      <c r="AH165" s="366"/>
      <c r="AI165" s="367"/>
      <c r="AJ165" s="372"/>
      <c r="AK165" s="367"/>
      <c r="AL165" s="366">
        <f t="shared" si="280"/>
        <v>16</v>
      </c>
      <c r="AM165" s="367">
        <f t="shared" si="281"/>
        <v>60523.740000000005</v>
      </c>
      <c r="AN165" s="366" t="str">
        <f>F165</f>
        <v>Педагог-шебер</v>
      </c>
      <c r="AO165" s="367">
        <f>IF(AN165="Педагог-зерттеуші", "0", IF(AN165="Педагог-шебер",K165/16*X165*50%, IF(AN165="Педагог-сарапшы", "0", IF(AN165="Педагог-модератор", "0", "0"))))</f>
        <v>100872.90000000001</v>
      </c>
      <c r="AP165" s="367" t="str">
        <f>IF(AN165="Педагог-шебер", "0", IF(AN165="Педагог-зерттеуші",K165/16*X165*40%, IF(AN165="Педагог-сарапшы", "0", IF(AN165="Педагог-модератор", "0", "0"))))</f>
        <v>0</v>
      </c>
      <c r="AQ165" s="367" t="str">
        <f>IF(AN165="Педагог-шебер", "0", IF(AN165="Педагог-сарапшы",K165/16*X165*35%, IF(AN165="Педагог-зерттеуші", "0", IF(AN165="Педагог-модератор", "0", "0"))))</f>
        <v>0</v>
      </c>
      <c r="AR165" s="367" t="str">
        <f>IF(AN165="Педагог-шебер", "0", IF(AN165="Педагог-модератор",K165/16*X165*30%, IF(AN165="Педагог-зерттеуші", "0", IF(AN165="Педагог-сарапшы", "0", "0"))))</f>
        <v>0</v>
      </c>
      <c r="AS165" s="366"/>
      <c r="AT165" s="367"/>
      <c r="AU165" s="366"/>
      <c r="AV165" s="367"/>
      <c r="AW165" s="366" t="str">
        <f>G165</f>
        <v>Магистр</v>
      </c>
      <c r="AX165" s="520">
        <f>10*4335</f>
        <v>43350</v>
      </c>
      <c r="AY165" s="521"/>
      <c r="AZ165" s="367">
        <f>Z165+AB165+AD165+AE165+AG165+AI165+AK165+AM165+AO165+AP165+AQ165++AR165+AT165+AV165+AX165+AY165</f>
        <v>235539.42</v>
      </c>
      <c r="BA165" s="373">
        <f>Y165+AZ165</f>
        <v>437285.22000000003</v>
      </c>
      <c r="BB165" s="374">
        <f t="shared" si="169"/>
        <v>43728.522000000004</v>
      </c>
      <c r="BC165" s="374">
        <f t="shared" si="170"/>
        <v>8745.7044000000005</v>
      </c>
      <c r="BD165" s="374">
        <f>(BA165-BB165-BC165-(14*4335))*10%</f>
        <v>32412.099360000007</v>
      </c>
      <c r="BE165" s="374">
        <f t="shared" si="172"/>
        <v>352398.89424000005</v>
      </c>
      <c r="BF165" s="374">
        <f t="shared" si="173"/>
        <v>5247422.6400000006</v>
      </c>
      <c r="BG165" s="374">
        <f>Y165*2</f>
        <v>403491.60000000003</v>
      </c>
      <c r="BH165" s="374">
        <f t="shared" si="175"/>
        <v>5650914.2400000002</v>
      </c>
      <c r="BI165" s="374">
        <f t="shared" si="176"/>
        <v>254291.14080000005</v>
      </c>
      <c r="BJ165" s="374">
        <f t="shared" si="177"/>
        <v>157422.67920000001</v>
      </c>
      <c r="BK165" s="374">
        <f t="shared" si="178"/>
        <v>293605.03915199998</v>
      </c>
      <c r="BL165" s="374">
        <f t="shared" si="283"/>
        <v>254291.14079999999</v>
      </c>
      <c r="BM165" s="373">
        <f t="shared" si="183"/>
        <v>6610524.2399520008</v>
      </c>
      <c r="BN165" s="375"/>
      <c r="BO165" s="466"/>
      <c r="BP165" s="466"/>
      <c r="BQ165" s="466"/>
      <c r="BR165" s="466"/>
      <c r="BS165" s="466"/>
      <c r="BT165" s="466"/>
      <c r="BU165" s="466"/>
      <c r="BV165" s="466"/>
      <c r="BW165" s="466"/>
      <c r="BX165" s="466"/>
      <c r="BY165" s="466"/>
      <c r="BZ165" s="466"/>
      <c r="CA165" s="466"/>
      <c r="CB165" s="466"/>
      <c r="CC165" s="466"/>
      <c r="CD165" s="466"/>
      <c r="CE165" s="466"/>
      <c r="CF165" s="466"/>
      <c r="CG165" s="466"/>
      <c r="CH165" s="466"/>
      <c r="CI165" s="466"/>
    </row>
    <row r="166" spans="1:87" ht="14.25">
      <c r="A166" s="489"/>
      <c r="B166" s="489"/>
      <c r="C166" s="490" t="s">
        <v>1162</v>
      </c>
      <c r="D166" s="524"/>
      <c r="E166" s="490"/>
      <c r="F166" s="490"/>
      <c r="G166" s="490"/>
      <c r="H166" s="491"/>
      <c r="I166" s="490"/>
      <c r="J166" s="490"/>
      <c r="K166" s="422">
        <f>SUM(K162:K165)</f>
        <v>748229.16</v>
      </c>
      <c r="L166" s="422">
        <f t="shared" ref="L166:BN166" si="286">SUM(L162:L165)</f>
        <v>10</v>
      </c>
      <c r="M166" s="422">
        <f t="shared" si="286"/>
        <v>20</v>
      </c>
      <c r="N166" s="422">
        <f t="shared" si="286"/>
        <v>18</v>
      </c>
      <c r="O166" s="422">
        <f t="shared" si="286"/>
        <v>9</v>
      </c>
      <c r="P166" s="422">
        <f t="shared" si="286"/>
        <v>9</v>
      </c>
      <c r="Q166" s="422">
        <f t="shared" si="286"/>
        <v>66</v>
      </c>
      <c r="R166" s="422">
        <f t="shared" si="286"/>
        <v>0</v>
      </c>
      <c r="S166" s="422">
        <f t="shared" si="286"/>
        <v>1</v>
      </c>
      <c r="T166" s="422">
        <f t="shared" si="286"/>
        <v>0</v>
      </c>
      <c r="U166" s="422">
        <f t="shared" si="286"/>
        <v>0</v>
      </c>
      <c r="V166" s="422">
        <f t="shared" si="286"/>
        <v>15</v>
      </c>
      <c r="W166" s="422">
        <f t="shared" si="286"/>
        <v>16</v>
      </c>
      <c r="X166" s="422">
        <f t="shared" si="286"/>
        <v>82</v>
      </c>
      <c r="Y166" s="422">
        <f t="shared" si="286"/>
        <v>949665.26249999995</v>
      </c>
      <c r="Z166" s="422">
        <f t="shared" si="286"/>
        <v>94966.52625000001</v>
      </c>
      <c r="AA166" s="422">
        <f t="shared" si="286"/>
        <v>82</v>
      </c>
      <c r="AB166" s="422">
        <f t="shared" si="286"/>
        <v>36278.850000000006</v>
      </c>
      <c r="AC166" s="422">
        <f t="shared" si="286"/>
        <v>0</v>
      </c>
      <c r="AD166" s="422">
        <f t="shared" si="286"/>
        <v>0</v>
      </c>
      <c r="AE166" s="422">
        <f t="shared" si="286"/>
        <v>0</v>
      </c>
      <c r="AF166" s="422">
        <v>2</v>
      </c>
      <c r="AG166" s="422">
        <f t="shared" si="286"/>
        <v>10618.2</v>
      </c>
      <c r="AH166" s="422">
        <f t="shared" si="286"/>
        <v>0</v>
      </c>
      <c r="AI166" s="422">
        <f t="shared" si="286"/>
        <v>0</v>
      </c>
      <c r="AJ166" s="422">
        <f t="shared" si="286"/>
        <v>0</v>
      </c>
      <c r="AK166" s="422">
        <f t="shared" si="286"/>
        <v>0</v>
      </c>
      <c r="AL166" s="422">
        <f t="shared" si="286"/>
        <v>82</v>
      </c>
      <c r="AM166" s="422">
        <f t="shared" si="286"/>
        <v>284899.57874999999</v>
      </c>
      <c r="AN166" s="422">
        <f t="shared" si="286"/>
        <v>0</v>
      </c>
      <c r="AO166" s="422">
        <f t="shared" si="286"/>
        <v>100872.90000000001</v>
      </c>
      <c r="AP166" s="422">
        <f t="shared" si="286"/>
        <v>196595.97300000003</v>
      </c>
      <c r="AQ166" s="422">
        <f t="shared" si="286"/>
        <v>0</v>
      </c>
      <c r="AR166" s="422">
        <f t="shared" si="286"/>
        <v>76928.858999999982</v>
      </c>
      <c r="AS166" s="422">
        <f t="shared" si="286"/>
        <v>0</v>
      </c>
      <c r="AT166" s="422">
        <f t="shared" si="286"/>
        <v>0</v>
      </c>
      <c r="AU166" s="422">
        <f t="shared" si="286"/>
        <v>0</v>
      </c>
      <c r="AV166" s="422">
        <f t="shared" si="286"/>
        <v>0</v>
      </c>
      <c r="AW166" s="422">
        <f t="shared" si="286"/>
        <v>0</v>
      </c>
      <c r="AX166" s="422">
        <f t="shared" si="286"/>
        <v>247095</v>
      </c>
      <c r="AY166" s="422">
        <f t="shared" si="286"/>
        <v>0</v>
      </c>
      <c r="AZ166" s="422">
        <f t="shared" si="286"/>
        <v>1048255.887</v>
      </c>
      <c r="BA166" s="422">
        <f t="shared" si="286"/>
        <v>1997921.1495000001</v>
      </c>
      <c r="BB166" s="422">
        <f t="shared" si="286"/>
        <v>199792.11495000002</v>
      </c>
      <c r="BC166" s="422">
        <f t="shared" si="286"/>
        <v>39958.422990000006</v>
      </c>
      <c r="BD166" s="422">
        <f t="shared" si="286"/>
        <v>151541.06115600001</v>
      </c>
      <c r="BE166" s="422">
        <f t="shared" si="286"/>
        <v>1606629.5504040001</v>
      </c>
      <c r="BF166" s="422">
        <f t="shared" si="286"/>
        <v>23975053.794</v>
      </c>
      <c r="BG166" s="422">
        <f t="shared" si="286"/>
        <v>1899330.5249999999</v>
      </c>
      <c r="BH166" s="422">
        <f t="shared" si="286"/>
        <v>25874384.318999998</v>
      </c>
      <c r="BI166" s="422">
        <f t="shared" si="286"/>
        <v>1164347.2943549999</v>
      </c>
      <c r="BJ166" s="422">
        <f t="shared" si="286"/>
        <v>719251.61381999997</v>
      </c>
      <c r="BK166" s="422">
        <f t="shared" si="286"/>
        <v>1344471.6348792003</v>
      </c>
      <c r="BL166" s="422">
        <f t="shared" si="286"/>
        <v>1164347.2943549999</v>
      </c>
      <c r="BM166" s="422">
        <f t="shared" si="286"/>
        <v>30266802.1564092</v>
      </c>
      <c r="BN166" s="422">
        <f t="shared" si="286"/>
        <v>0</v>
      </c>
      <c r="BO166" s="355"/>
      <c r="BP166" s="355"/>
      <c r="BQ166" s="355"/>
      <c r="BR166" s="355"/>
      <c r="BS166" s="355"/>
      <c r="BT166" s="355"/>
      <c r="BU166" s="355"/>
      <c r="BV166" s="355"/>
      <c r="BW166" s="355"/>
      <c r="BX166" s="355"/>
      <c r="BY166" s="355"/>
      <c r="BZ166" s="355"/>
      <c r="CA166" s="355"/>
      <c r="CB166" s="355"/>
      <c r="CC166" s="355"/>
      <c r="CD166" s="355"/>
      <c r="CE166" s="355"/>
      <c r="CF166" s="355"/>
      <c r="CG166" s="355"/>
      <c r="CH166" s="355"/>
      <c r="CI166" s="356"/>
    </row>
    <row r="167" spans="1:87" ht="60">
      <c r="A167" s="369">
        <f>A165+1</f>
        <v>119</v>
      </c>
      <c r="B167" s="416">
        <v>1</v>
      </c>
      <c r="C167" s="409" t="s">
        <v>1330</v>
      </c>
      <c r="D167" s="412" t="s">
        <v>1331</v>
      </c>
      <c r="E167" s="366" t="s">
        <v>998</v>
      </c>
      <c r="F167" s="366" t="s">
        <v>1005</v>
      </c>
      <c r="G167" s="366" t="s">
        <v>1332</v>
      </c>
      <c r="H167" s="371" t="s">
        <v>1450</v>
      </c>
      <c r="I167" s="366">
        <v>17697</v>
      </c>
      <c r="J167" s="367">
        <v>10.82</v>
      </c>
      <c r="K167" s="367">
        <f t="shared" ref="K167:K173" si="287">I167*J167</f>
        <v>191481.54</v>
      </c>
      <c r="L167" s="380"/>
      <c r="M167" s="380"/>
      <c r="N167" s="380">
        <v>4</v>
      </c>
      <c r="O167" s="380"/>
      <c r="P167" s="380">
        <v>18</v>
      </c>
      <c r="Q167" s="368">
        <f t="shared" ref="Q167:Q182" si="288">SUM(L167:P167)</f>
        <v>22</v>
      </c>
      <c r="R167" s="380">
        <v>10</v>
      </c>
      <c r="S167" s="380"/>
      <c r="T167" s="380"/>
      <c r="U167" s="380"/>
      <c r="V167" s="380"/>
      <c r="W167" s="381">
        <f t="shared" ref="W167:W182" si="289">SUM(R167:V167)</f>
        <v>10</v>
      </c>
      <c r="X167" s="370">
        <f t="shared" ref="X167:X173" si="290">Q167+W167</f>
        <v>32</v>
      </c>
      <c r="Y167" s="367">
        <f t="shared" ref="Y167:Y173" si="291">K167/16*X167</f>
        <v>382963.08</v>
      </c>
      <c r="Z167" s="367">
        <f t="shared" ref="Z167:Z173" si="292">Y167*10%</f>
        <v>38296.308000000005</v>
      </c>
      <c r="AA167" s="372"/>
      <c r="AB167" s="367">
        <f t="shared" ref="AB167:AB173" si="293">I167/16*AA167*40%</f>
        <v>0</v>
      </c>
      <c r="AC167" s="372"/>
      <c r="AD167" s="367">
        <f t="shared" ref="AD167:AD173" si="294">I167/16*AC167*40%*50%</f>
        <v>0</v>
      </c>
      <c r="AE167" s="366">
        <v>196600</v>
      </c>
      <c r="AF167" s="366"/>
      <c r="AG167" s="367"/>
      <c r="AH167" s="366"/>
      <c r="AI167" s="367"/>
      <c r="AJ167" s="372"/>
      <c r="AK167" s="367"/>
      <c r="AL167" s="366">
        <f t="shared" ref="AL167:AL173" si="295">X167</f>
        <v>32</v>
      </c>
      <c r="AM167" s="367">
        <f t="shared" ref="AM167:AM173" si="296">K167/16*AL167*30%</f>
        <v>114888.924</v>
      </c>
      <c r="AN167" s="366" t="str">
        <f t="shared" ref="AN167:AN173" si="297">F167</f>
        <v>Педагог-зерттеуші</v>
      </c>
      <c r="AO167" s="367" t="str">
        <f t="shared" ref="AO167:AO173" si="298">IF(AN167="Педагог-зерттеуші", "0", IF(AN167="Педагог-шебер",K167/16*X167*50%, IF(AN167="Педагог-сарапшы", "0", IF(AN167="Педагог-модератор", "0", "0"))))</f>
        <v>0</v>
      </c>
      <c r="AP167" s="367">
        <f t="shared" ref="AP167:AP173" si="299">IF(AN167="Педагог-шебер", "0", IF(AN167="Педагог-зерттеуші",K167/16*X167*40%, IF(AN167="Педагог-сарапшы", "0", IF(AN167="Педагог-модератор", "0", "0"))))</f>
        <v>153185.23200000002</v>
      </c>
      <c r="AQ167" s="367" t="str">
        <f t="shared" ref="AQ167:AQ173" si="300">IF(AN167="Педагог-шебер", "0", IF(AN167="Педагог-сарапшы",K167/16*X167*35%, IF(AN167="Педагог-зерттеуші", "0", IF(AN167="Педагог-модератор", "0", "0"))))</f>
        <v>0</v>
      </c>
      <c r="AR167" s="367" t="str">
        <f t="shared" ref="AR167:AR173" si="301">IF(AN167="Педагог-шебер", "0", IF(AN167="Педагог-модератор",K167/16*X167*30%, IF(AN167="Педагог-зерттеуші", "0", IF(AN167="Педагог-сарапшы", "0", "0"))))</f>
        <v>0</v>
      </c>
      <c r="AS167" s="366"/>
      <c r="AT167" s="367"/>
      <c r="AU167" s="371"/>
      <c r="AV167" s="367"/>
      <c r="AW167" s="371" t="str">
        <f>G167</f>
        <v>Магистр-физическая культура и спорт</v>
      </c>
      <c r="AX167" s="372">
        <f>10*4335</f>
        <v>43350</v>
      </c>
      <c r="AY167" s="367"/>
      <c r="AZ167" s="367">
        <f t="shared" ref="AZ167:AZ173" si="302">Z167+AB167+AD167+AE167+AG167+AI167+AK167+AM167+AO167+AP167+AQ167++AR167+AT167+AV167+AX167+AY167</f>
        <v>546320.46400000004</v>
      </c>
      <c r="BA167" s="373">
        <f t="shared" ref="BA167:BA173" si="303">Y167+AZ167</f>
        <v>929283.54399999999</v>
      </c>
      <c r="BB167" s="374">
        <f t="shared" si="169"/>
        <v>92928.354400000011</v>
      </c>
      <c r="BC167" s="374">
        <f t="shared" si="170"/>
        <v>18585.670880000001</v>
      </c>
      <c r="BD167" s="374">
        <f t="shared" ref="BD167:BD173" si="304">(BA167-BB167-BC167-(14*4335))*10%</f>
        <v>75707.951871999991</v>
      </c>
      <c r="BE167" s="374">
        <f t="shared" si="172"/>
        <v>742061.56684799993</v>
      </c>
      <c r="BF167" s="374">
        <f t="shared" si="173"/>
        <v>11151402.528000001</v>
      </c>
      <c r="BG167" s="374">
        <f t="shared" ref="BG167:BG173" si="305">Y167*2</f>
        <v>765926.16</v>
      </c>
      <c r="BH167" s="374">
        <f t="shared" si="175"/>
        <v>11917328.688000001</v>
      </c>
      <c r="BI167" s="374">
        <f t="shared" si="176"/>
        <v>536279.79096000013</v>
      </c>
      <c r="BJ167" s="374">
        <f t="shared" si="177"/>
        <v>334542.07584</v>
      </c>
      <c r="BK167" s="374">
        <f t="shared" si="178"/>
        <v>619002.66359040001</v>
      </c>
      <c r="BL167" s="374">
        <f>BH167*4.5%</f>
        <v>536279.79096000001</v>
      </c>
      <c r="BM167" s="373">
        <f t="shared" ref="BM167:BM199" si="306">BH167+BI167+BJ167+BK167+BL167</f>
        <v>13943433.009350402</v>
      </c>
      <c r="BN167" s="375"/>
      <c r="BO167" s="376"/>
      <c r="BP167" s="377"/>
      <c r="BQ167" s="377"/>
      <c r="BR167" s="377"/>
      <c r="BS167" s="377"/>
      <c r="BT167" s="377"/>
      <c r="BU167" s="377"/>
      <c r="BV167" s="377"/>
      <c r="BW167" s="377"/>
      <c r="BX167" s="377"/>
      <c r="BY167" s="377"/>
      <c r="BZ167" s="377"/>
      <c r="CA167" s="377"/>
      <c r="CB167" s="377"/>
      <c r="CC167" s="377"/>
      <c r="CD167" s="377"/>
      <c r="CE167" s="377"/>
      <c r="CF167" s="377"/>
      <c r="CG167" s="377"/>
      <c r="CH167" s="377"/>
      <c r="CI167" s="377"/>
    </row>
    <row r="168" spans="1:87" ht="75">
      <c r="A168" s="369">
        <f>A167+1</f>
        <v>120</v>
      </c>
      <c r="B168" s="416">
        <f>B167+1</f>
        <v>2</v>
      </c>
      <c r="C168" s="409" t="s">
        <v>923</v>
      </c>
      <c r="D168" s="412" t="s">
        <v>1333</v>
      </c>
      <c r="E168" s="366" t="s">
        <v>998</v>
      </c>
      <c r="F168" s="366"/>
      <c r="G168" s="366" t="s">
        <v>1334</v>
      </c>
      <c r="H168" s="371" t="s">
        <v>1166</v>
      </c>
      <c r="I168" s="366">
        <v>17697</v>
      </c>
      <c r="J168" s="367">
        <v>11.18</v>
      </c>
      <c r="K168" s="367">
        <f t="shared" si="287"/>
        <v>197852.46</v>
      </c>
      <c r="L168" s="380"/>
      <c r="M168" s="380"/>
      <c r="N168" s="380"/>
      <c r="O168" s="380">
        <v>9</v>
      </c>
      <c r="P168" s="380">
        <v>9</v>
      </c>
      <c r="Q168" s="368">
        <f t="shared" si="288"/>
        <v>18</v>
      </c>
      <c r="R168" s="380"/>
      <c r="S168" s="380"/>
      <c r="T168" s="380"/>
      <c r="U168" s="380"/>
      <c r="V168" s="380"/>
      <c r="W168" s="381">
        <f t="shared" si="289"/>
        <v>0</v>
      </c>
      <c r="X168" s="370">
        <f t="shared" si="290"/>
        <v>18</v>
      </c>
      <c r="Y168" s="367">
        <f t="shared" si="291"/>
        <v>222584.01749999999</v>
      </c>
      <c r="Z168" s="367">
        <f t="shared" si="292"/>
        <v>22258.401750000001</v>
      </c>
      <c r="AA168" s="372"/>
      <c r="AB168" s="367">
        <f t="shared" si="293"/>
        <v>0</v>
      </c>
      <c r="AC168" s="372"/>
      <c r="AD168" s="367">
        <f t="shared" si="294"/>
        <v>0</v>
      </c>
      <c r="AE168" s="367"/>
      <c r="AF168" s="366" t="s">
        <v>1335</v>
      </c>
      <c r="AG168" s="367">
        <f t="shared" ref="AG168" si="307">17697*20%</f>
        <v>3539.4</v>
      </c>
      <c r="AH168" s="366"/>
      <c r="AI168" s="367"/>
      <c r="AJ168" s="372"/>
      <c r="AK168" s="367"/>
      <c r="AL168" s="366">
        <f t="shared" si="295"/>
        <v>18</v>
      </c>
      <c r="AM168" s="367">
        <f t="shared" si="296"/>
        <v>66775.205249999999</v>
      </c>
      <c r="AN168" s="366">
        <f t="shared" si="297"/>
        <v>0</v>
      </c>
      <c r="AO168" s="367" t="str">
        <f t="shared" si="298"/>
        <v>0</v>
      </c>
      <c r="AP168" s="367" t="str">
        <f t="shared" si="299"/>
        <v>0</v>
      </c>
      <c r="AQ168" s="367" t="str">
        <f t="shared" si="300"/>
        <v>0</v>
      </c>
      <c r="AR168" s="367" t="str">
        <f t="shared" si="301"/>
        <v>0</v>
      </c>
      <c r="AS168" s="366"/>
      <c r="AT168" s="367"/>
      <c r="AU168" s="371"/>
      <c r="AV168" s="367"/>
      <c r="AW168" s="371" t="str">
        <f>G168</f>
        <v>Магистр военного дела и безопасности</v>
      </c>
      <c r="AX168" s="372">
        <f>10*4335</f>
        <v>43350</v>
      </c>
      <c r="AY168" s="367"/>
      <c r="AZ168" s="367">
        <f t="shared" si="302"/>
        <v>135923.00699999998</v>
      </c>
      <c r="BA168" s="373">
        <f t="shared" si="303"/>
        <v>358507.02449999994</v>
      </c>
      <c r="BB168" s="374">
        <f t="shared" si="169"/>
        <v>35850.702449999997</v>
      </c>
      <c r="BC168" s="374">
        <f t="shared" si="170"/>
        <v>7170.1404899999989</v>
      </c>
      <c r="BD168" s="374">
        <f t="shared" si="304"/>
        <v>25479.618155999997</v>
      </c>
      <c r="BE168" s="374">
        <f t="shared" si="172"/>
        <v>290006.56340399996</v>
      </c>
      <c r="BF168" s="374">
        <f t="shared" si="173"/>
        <v>4302084.2939999998</v>
      </c>
      <c r="BG168" s="374">
        <f t="shared" si="305"/>
        <v>445168.03499999997</v>
      </c>
      <c r="BH168" s="374">
        <f t="shared" si="175"/>
        <v>4747252.3289999999</v>
      </c>
      <c r="BI168" s="374">
        <f t="shared" si="176"/>
        <v>213626.35480500001</v>
      </c>
      <c r="BJ168" s="374">
        <f t="shared" si="177"/>
        <v>129062.52881999999</v>
      </c>
      <c r="BK168" s="374">
        <f t="shared" si="178"/>
        <v>246887.04031919996</v>
      </c>
      <c r="BL168" s="374">
        <f t="shared" ref="BL168:BL173" si="308">BH168*4.5%</f>
        <v>213626.35480499998</v>
      </c>
      <c r="BM168" s="373">
        <f t="shared" si="306"/>
        <v>5550454.6077491995</v>
      </c>
      <c r="BN168" s="375">
        <v>0.5</v>
      </c>
      <c r="BO168" s="376"/>
      <c r="BP168" s="377"/>
      <c r="BQ168" s="377"/>
      <c r="BR168" s="377"/>
      <c r="BS168" s="377"/>
      <c r="BT168" s="377"/>
      <c r="BU168" s="377"/>
      <c r="BV168" s="377"/>
      <c r="BW168" s="377"/>
      <c r="BX168" s="377"/>
      <c r="BY168" s="377"/>
      <c r="BZ168" s="377"/>
      <c r="CA168" s="377"/>
      <c r="CB168" s="377"/>
      <c r="CC168" s="377"/>
      <c r="CD168" s="377"/>
      <c r="CE168" s="377"/>
      <c r="CF168" s="377"/>
      <c r="CG168" s="377"/>
      <c r="CH168" s="377"/>
      <c r="CI168" s="377"/>
    </row>
    <row r="169" spans="1:87" ht="31.5">
      <c r="A169" s="369">
        <f t="shared" ref="A169:B173" si="309">A168+1</f>
        <v>121</v>
      </c>
      <c r="B169" s="416">
        <f t="shared" si="309"/>
        <v>3</v>
      </c>
      <c r="C169" s="525" t="s">
        <v>1336</v>
      </c>
      <c r="D169" s="412" t="s">
        <v>1337</v>
      </c>
      <c r="E169" s="366" t="s">
        <v>998</v>
      </c>
      <c r="F169" s="366"/>
      <c r="G169" s="366"/>
      <c r="H169" s="371" t="s">
        <v>1451</v>
      </c>
      <c r="I169" s="366">
        <v>17697</v>
      </c>
      <c r="J169" s="367">
        <v>10.6</v>
      </c>
      <c r="K169" s="367">
        <f t="shared" si="287"/>
        <v>187588.19999999998</v>
      </c>
      <c r="L169" s="380"/>
      <c r="M169" s="380"/>
      <c r="N169" s="380"/>
      <c r="O169" s="380"/>
      <c r="P169" s="380"/>
      <c r="Q169" s="368">
        <f t="shared" si="288"/>
        <v>0</v>
      </c>
      <c r="R169" s="380"/>
      <c r="S169" s="380"/>
      <c r="T169" s="380"/>
      <c r="U169" s="380"/>
      <c r="V169" s="380">
        <v>8</v>
      </c>
      <c r="W169" s="381">
        <f t="shared" si="289"/>
        <v>8</v>
      </c>
      <c r="X169" s="370">
        <f t="shared" si="290"/>
        <v>8</v>
      </c>
      <c r="Y169" s="367">
        <f t="shared" si="291"/>
        <v>93794.099999999991</v>
      </c>
      <c r="Z169" s="367">
        <f t="shared" si="292"/>
        <v>9379.41</v>
      </c>
      <c r="AA169" s="372"/>
      <c r="AB169" s="367">
        <f t="shared" si="293"/>
        <v>0</v>
      </c>
      <c r="AC169" s="372"/>
      <c r="AD169" s="367">
        <f t="shared" si="294"/>
        <v>0</v>
      </c>
      <c r="AE169" s="366"/>
      <c r="AF169" s="366"/>
      <c r="AG169" s="367"/>
      <c r="AH169" s="366"/>
      <c r="AI169" s="367"/>
      <c r="AJ169" s="372"/>
      <c r="AK169" s="367"/>
      <c r="AL169" s="366">
        <f t="shared" si="295"/>
        <v>8</v>
      </c>
      <c r="AM169" s="367">
        <f t="shared" si="296"/>
        <v>28138.229999999996</v>
      </c>
      <c r="AN169" s="366">
        <f t="shared" si="297"/>
        <v>0</v>
      </c>
      <c r="AO169" s="367" t="str">
        <f t="shared" si="298"/>
        <v>0</v>
      </c>
      <c r="AP169" s="367" t="str">
        <f t="shared" si="299"/>
        <v>0</v>
      </c>
      <c r="AQ169" s="367" t="str">
        <f t="shared" si="300"/>
        <v>0</v>
      </c>
      <c r="AR169" s="367" t="str">
        <f t="shared" si="301"/>
        <v>0</v>
      </c>
      <c r="AS169" s="366"/>
      <c r="AT169" s="367"/>
      <c r="AU169" s="371"/>
      <c r="AV169" s="367"/>
      <c r="AW169" s="371"/>
      <c r="AX169" s="372"/>
      <c r="AY169" s="367"/>
      <c r="AZ169" s="367">
        <f t="shared" si="302"/>
        <v>37517.64</v>
      </c>
      <c r="BA169" s="373">
        <f t="shared" si="303"/>
        <v>131311.74</v>
      </c>
      <c r="BB169" s="374">
        <f t="shared" si="169"/>
        <v>13131.173999999999</v>
      </c>
      <c r="BC169" s="374">
        <f t="shared" si="170"/>
        <v>2626.2347999999997</v>
      </c>
      <c r="BD169" s="374">
        <f t="shared" si="304"/>
        <v>5486.4331199999988</v>
      </c>
      <c r="BE169" s="374">
        <f t="shared" si="172"/>
        <v>110067.89807999998</v>
      </c>
      <c r="BF169" s="374">
        <f t="shared" si="173"/>
        <v>1575740.88</v>
      </c>
      <c r="BG169" s="374">
        <f t="shared" si="305"/>
        <v>187588.19999999998</v>
      </c>
      <c r="BH169" s="374">
        <f t="shared" si="175"/>
        <v>1763329.0799999998</v>
      </c>
      <c r="BI169" s="374">
        <f t="shared" si="176"/>
        <v>79349.808599999989</v>
      </c>
      <c r="BJ169" s="374">
        <f t="shared" si="177"/>
        <v>47272.226399999992</v>
      </c>
      <c r="BK169" s="374">
        <f t="shared" si="178"/>
        <v>91753.140383999998</v>
      </c>
      <c r="BL169" s="374">
        <f t="shared" si="308"/>
        <v>79349.808599999989</v>
      </c>
      <c r="BM169" s="373">
        <f t="shared" si="306"/>
        <v>2061054.0639839997</v>
      </c>
      <c r="BN169" s="375"/>
      <c r="BO169" s="377"/>
      <c r="BP169" s="377"/>
      <c r="BQ169" s="377"/>
      <c r="BR169" s="377"/>
      <c r="BS169" s="377"/>
      <c r="BT169" s="377"/>
      <c r="BU169" s="377"/>
      <c r="BV169" s="377"/>
      <c r="BW169" s="377"/>
      <c r="BX169" s="377"/>
      <c r="BY169" s="377"/>
      <c r="BZ169" s="377"/>
      <c r="CA169" s="377"/>
      <c r="CB169" s="377"/>
      <c r="CC169" s="377"/>
      <c r="CD169" s="377"/>
      <c r="CE169" s="377"/>
      <c r="CF169" s="377"/>
      <c r="CG169" s="377"/>
      <c r="CH169" s="377"/>
      <c r="CI169" s="377"/>
    </row>
    <row r="170" spans="1:87" ht="47.25">
      <c r="A170" s="369">
        <f t="shared" si="309"/>
        <v>122</v>
      </c>
      <c r="B170" s="416">
        <f t="shared" si="309"/>
        <v>4</v>
      </c>
      <c r="C170" s="409" t="s">
        <v>1339</v>
      </c>
      <c r="D170" s="412" t="s">
        <v>1340</v>
      </c>
      <c r="E170" s="366" t="s">
        <v>998</v>
      </c>
      <c r="F170" s="366" t="s">
        <v>1005</v>
      </c>
      <c r="G170" s="366"/>
      <c r="H170" s="371" t="s">
        <v>1341</v>
      </c>
      <c r="I170" s="366">
        <v>17697</v>
      </c>
      <c r="J170" s="367">
        <v>11.4</v>
      </c>
      <c r="K170" s="367">
        <f t="shared" si="287"/>
        <v>201745.80000000002</v>
      </c>
      <c r="L170" s="380"/>
      <c r="M170" s="380"/>
      <c r="N170" s="380">
        <v>8</v>
      </c>
      <c r="O170" s="380"/>
      <c r="P170" s="380"/>
      <c r="Q170" s="368">
        <f t="shared" si="288"/>
        <v>8</v>
      </c>
      <c r="R170" s="380"/>
      <c r="S170" s="380"/>
      <c r="T170" s="380">
        <v>8</v>
      </c>
      <c r="U170" s="380"/>
      <c r="V170" s="380"/>
      <c r="W170" s="381">
        <f t="shared" si="289"/>
        <v>8</v>
      </c>
      <c r="X170" s="370">
        <f t="shared" si="290"/>
        <v>16</v>
      </c>
      <c r="Y170" s="367">
        <f t="shared" si="291"/>
        <v>201745.80000000002</v>
      </c>
      <c r="Z170" s="367">
        <f t="shared" si="292"/>
        <v>20174.580000000002</v>
      </c>
      <c r="AA170" s="372"/>
      <c r="AB170" s="367">
        <f t="shared" si="293"/>
        <v>0</v>
      </c>
      <c r="AC170" s="372"/>
      <c r="AD170" s="367">
        <f t="shared" si="294"/>
        <v>0</v>
      </c>
      <c r="AE170" s="366"/>
      <c r="AF170" s="366"/>
      <c r="AG170" s="367"/>
      <c r="AH170" s="366"/>
      <c r="AI170" s="367"/>
      <c r="AJ170" s="372"/>
      <c r="AK170" s="367"/>
      <c r="AL170" s="366">
        <f t="shared" si="295"/>
        <v>16</v>
      </c>
      <c r="AM170" s="367">
        <f t="shared" si="296"/>
        <v>60523.740000000005</v>
      </c>
      <c r="AN170" s="366" t="str">
        <f t="shared" si="297"/>
        <v>Педагог-зерттеуші</v>
      </c>
      <c r="AO170" s="367" t="str">
        <f t="shared" si="298"/>
        <v>0</v>
      </c>
      <c r="AP170" s="367">
        <f t="shared" si="299"/>
        <v>80698.320000000007</v>
      </c>
      <c r="AQ170" s="367" t="str">
        <f t="shared" si="300"/>
        <v>0</v>
      </c>
      <c r="AR170" s="367" t="str">
        <f t="shared" si="301"/>
        <v>0</v>
      </c>
      <c r="AS170" s="366"/>
      <c r="AT170" s="367"/>
      <c r="AU170" s="371"/>
      <c r="AV170" s="367"/>
      <c r="AW170" s="371"/>
      <c r="AX170" s="372"/>
      <c r="AY170" s="367"/>
      <c r="AZ170" s="367">
        <f t="shared" si="302"/>
        <v>161396.64000000001</v>
      </c>
      <c r="BA170" s="373">
        <f t="shared" si="303"/>
        <v>363142.44000000006</v>
      </c>
      <c r="BB170" s="374">
        <f t="shared" si="169"/>
        <v>36314.244000000006</v>
      </c>
      <c r="BC170" s="374">
        <f t="shared" si="170"/>
        <v>7262.8488000000016</v>
      </c>
      <c r="BD170" s="374">
        <f t="shared" si="304"/>
        <v>25887.534720000011</v>
      </c>
      <c r="BE170" s="374">
        <f t="shared" si="172"/>
        <v>293677.81248000008</v>
      </c>
      <c r="BF170" s="374">
        <f t="shared" si="173"/>
        <v>4357709.2800000012</v>
      </c>
      <c r="BG170" s="374">
        <f t="shared" si="305"/>
        <v>403491.60000000003</v>
      </c>
      <c r="BH170" s="374">
        <f t="shared" si="175"/>
        <v>4761200.8800000008</v>
      </c>
      <c r="BI170" s="374">
        <f t="shared" si="176"/>
        <v>214254.03960000008</v>
      </c>
      <c r="BJ170" s="374">
        <f t="shared" si="177"/>
        <v>130731.27840000002</v>
      </c>
      <c r="BK170" s="374">
        <f t="shared" si="178"/>
        <v>247517.88710400002</v>
      </c>
      <c r="BL170" s="374">
        <f t="shared" si="308"/>
        <v>214254.03960000002</v>
      </c>
      <c r="BM170" s="373">
        <f t="shared" si="306"/>
        <v>5567958.1247040005</v>
      </c>
      <c r="BN170" s="375"/>
      <c r="BO170" s="377"/>
      <c r="BP170" s="377"/>
      <c r="BQ170" s="377"/>
      <c r="BR170" s="377"/>
      <c r="BS170" s="377"/>
      <c r="BT170" s="377"/>
      <c r="BU170" s="377"/>
      <c r="BV170" s="377"/>
      <c r="BW170" s="377"/>
      <c r="BX170" s="377"/>
      <c r="BY170" s="377"/>
      <c r="BZ170" s="377"/>
      <c r="CA170" s="377"/>
      <c r="CB170" s="377"/>
      <c r="CC170" s="377"/>
      <c r="CD170" s="377"/>
      <c r="CE170" s="377"/>
      <c r="CF170" s="377"/>
      <c r="CG170" s="377"/>
      <c r="CH170" s="377"/>
      <c r="CI170" s="377"/>
    </row>
    <row r="171" spans="1:87" ht="63">
      <c r="A171" s="369">
        <f t="shared" si="309"/>
        <v>123</v>
      </c>
      <c r="B171" s="416">
        <f t="shared" si="309"/>
        <v>5</v>
      </c>
      <c r="C171" s="409" t="s">
        <v>1342</v>
      </c>
      <c r="D171" s="412" t="s">
        <v>1343</v>
      </c>
      <c r="E171" s="366" t="s">
        <v>998</v>
      </c>
      <c r="F171" s="366" t="s">
        <v>254</v>
      </c>
      <c r="G171" s="366"/>
      <c r="H171" s="371" t="s">
        <v>1452</v>
      </c>
      <c r="I171" s="366">
        <v>17697</v>
      </c>
      <c r="J171" s="509">
        <v>10.6</v>
      </c>
      <c r="K171" s="367">
        <f t="shared" si="287"/>
        <v>187588.19999999998</v>
      </c>
      <c r="L171" s="380">
        <v>20</v>
      </c>
      <c r="M171" s="380">
        <v>4</v>
      </c>
      <c r="N171" s="380"/>
      <c r="O171" s="380"/>
      <c r="P171" s="380"/>
      <c r="Q171" s="368">
        <f t="shared" si="288"/>
        <v>24</v>
      </c>
      <c r="R171" s="380"/>
      <c r="S171" s="380"/>
      <c r="T171" s="380"/>
      <c r="U171" s="380">
        <v>8</v>
      </c>
      <c r="V171" s="380"/>
      <c r="W171" s="381">
        <f t="shared" si="289"/>
        <v>8</v>
      </c>
      <c r="X171" s="370">
        <f t="shared" si="290"/>
        <v>32</v>
      </c>
      <c r="Y171" s="367">
        <f t="shared" si="291"/>
        <v>375176.39999999997</v>
      </c>
      <c r="Z171" s="367">
        <f t="shared" si="292"/>
        <v>37517.64</v>
      </c>
      <c r="AA171" s="372"/>
      <c r="AB171" s="367">
        <f t="shared" si="293"/>
        <v>0</v>
      </c>
      <c r="AC171" s="372"/>
      <c r="AD171" s="367">
        <f t="shared" si="294"/>
        <v>0</v>
      </c>
      <c r="AE171" s="366"/>
      <c r="AF171" s="366"/>
      <c r="AG171" s="367"/>
      <c r="AH171" s="366"/>
      <c r="AI171" s="367"/>
      <c r="AJ171" s="372"/>
      <c r="AK171" s="367"/>
      <c r="AL171" s="366">
        <f t="shared" si="295"/>
        <v>32</v>
      </c>
      <c r="AM171" s="367">
        <f t="shared" si="296"/>
        <v>112552.91999999998</v>
      </c>
      <c r="AN171" s="366" t="str">
        <f t="shared" si="297"/>
        <v>Педагог-модератор</v>
      </c>
      <c r="AO171" s="367" t="str">
        <f t="shared" si="298"/>
        <v>0</v>
      </c>
      <c r="AP171" s="367" t="str">
        <f t="shared" si="299"/>
        <v>0</v>
      </c>
      <c r="AQ171" s="367" t="str">
        <f t="shared" si="300"/>
        <v>0</v>
      </c>
      <c r="AR171" s="367">
        <f t="shared" si="301"/>
        <v>112552.91999999998</v>
      </c>
      <c r="AS171" s="366"/>
      <c r="AT171" s="367"/>
      <c r="AU171" s="371"/>
      <c r="AV171" s="367"/>
      <c r="AW171" s="371"/>
      <c r="AX171" s="372"/>
      <c r="AY171" s="367"/>
      <c r="AZ171" s="367">
        <f t="shared" si="302"/>
        <v>262623.48</v>
      </c>
      <c r="BA171" s="373">
        <f t="shared" si="303"/>
        <v>637799.87999999989</v>
      </c>
      <c r="BB171" s="374">
        <f t="shared" si="169"/>
        <v>63779.98799999999</v>
      </c>
      <c r="BC171" s="374">
        <f t="shared" si="170"/>
        <v>12755.997599999999</v>
      </c>
      <c r="BD171" s="374">
        <f t="shared" si="304"/>
        <v>50057.389439999992</v>
      </c>
      <c r="BE171" s="374">
        <f t="shared" si="172"/>
        <v>511206.50495999987</v>
      </c>
      <c r="BF171" s="374">
        <f t="shared" si="173"/>
        <v>7653598.5599999987</v>
      </c>
      <c r="BG171" s="374">
        <f t="shared" si="305"/>
        <v>750352.79999999993</v>
      </c>
      <c r="BH171" s="374">
        <f t="shared" si="175"/>
        <v>8403951.3599999994</v>
      </c>
      <c r="BI171" s="374">
        <f t="shared" si="176"/>
        <v>378177.8112</v>
      </c>
      <c r="BJ171" s="374">
        <f t="shared" si="177"/>
        <v>229607.95679999996</v>
      </c>
      <c r="BK171" s="374">
        <f t="shared" si="178"/>
        <v>436975.45660799998</v>
      </c>
      <c r="BL171" s="374">
        <f t="shared" si="308"/>
        <v>378177.81119999994</v>
      </c>
      <c r="BM171" s="373">
        <f t="shared" si="306"/>
        <v>9826890.3958080001</v>
      </c>
      <c r="BN171" s="375"/>
      <c r="BO171" s="377"/>
      <c r="BP171" s="377"/>
      <c r="BQ171" s="377"/>
      <c r="BR171" s="377"/>
      <c r="BS171" s="377"/>
      <c r="BT171" s="377"/>
      <c r="BU171" s="377"/>
      <c r="BV171" s="377"/>
      <c r="BW171" s="377"/>
      <c r="BX171" s="377"/>
      <c r="BY171" s="377"/>
      <c r="BZ171" s="377"/>
      <c r="CA171" s="377"/>
      <c r="CB171" s="377"/>
      <c r="CC171" s="377"/>
      <c r="CD171" s="377"/>
      <c r="CE171" s="377"/>
      <c r="CF171" s="377"/>
      <c r="CG171" s="377"/>
      <c r="CH171" s="377"/>
      <c r="CI171" s="377"/>
    </row>
    <row r="172" spans="1:87" ht="63">
      <c r="A172" s="369">
        <f t="shared" si="309"/>
        <v>124</v>
      </c>
      <c r="B172" s="416">
        <f t="shared" si="309"/>
        <v>6</v>
      </c>
      <c r="C172" s="409" t="s">
        <v>1345</v>
      </c>
      <c r="D172" s="412" t="s">
        <v>1346</v>
      </c>
      <c r="E172" s="366" t="s">
        <v>998</v>
      </c>
      <c r="F172" s="366"/>
      <c r="G172" s="366"/>
      <c r="H172" s="371" t="s">
        <v>1403</v>
      </c>
      <c r="I172" s="366">
        <v>17697</v>
      </c>
      <c r="J172" s="435">
        <v>9.5</v>
      </c>
      <c r="K172" s="367">
        <f t="shared" si="287"/>
        <v>168121.5</v>
      </c>
      <c r="L172" s="380"/>
      <c r="M172" s="380">
        <v>16</v>
      </c>
      <c r="N172" s="380"/>
      <c r="O172" s="380"/>
      <c r="P172" s="380"/>
      <c r="Q172" s="368">
        <f t="shared" si="288"/>
        <v>16</v>
      </c>
      <c r="R172" s="380"/>
      <c r="S172" s="380">
        <v>2</v>
      </c>
      <c r="T172" s="380">
        <v>1</v>
      </c>
      <c r="U172" s="380">
        <v>1</v>
      </c>
      <c r="V172" s="380">
        <v>1</v>
      </c>
      <c r="W172" s="381">
        <f t="shared" si="289"/>
        <v>5</v>
      </c>
      <c r="X172" s="370">
        <f t="shared" si="290"/>
        <v>21</v>
      </c>
      <c r="Y172" s="367">
        <f t="shared" si="291"/>
        <v>220659.46875</v>
      </c>
      <c r="Z172" s="367">
        <f t="shared" si="292"/>
        <v>22065.946875000001</v>
      </c>
      <c r="AA172" s="372"/>
      <c r="AB172" s="367">
        <f t="shared" si="293"/>
        <v>0</v>
      </c>
      <c r="AC172" s="372"/>
      <c r="AD172" s="367">
        <f t="shared" si="294"/>
        <v>0</v>
      </c>
      <c r="AE172" s="366"/>
      <c r="AF172" s="366"/>
      <c r="AG172" s="367"/>
      <c r="AH172" s="366" t="s">
        <v>1347</v>
      </c>
      <c r="AI172" s="367">
        <f>I172*200%</f>
        <v>35394</v>
      </c>
      <c r="AJ172" s="372"/>
      <c r="AK172" s="367"/>
      <c r="AL172" s="366">
        <f t="shared" si="295"/>
        <v>21</v>
      </c>
      <c r="AM172" s="367">
        <f t="shared" si="296"/>
        <v>66197.840624999997</v>
      </c>
      <c r="AN172" s="366">
        <f t="shared" si="297"/>
        <v>0</v>
      </c>
      <c r="AO172" s="367" t="str">
        <f t="shared" si="298"/>
        <v>0</v>
      </c>
      <c r="AP172" s="367" t="str">
        <f t="shared" si="299"/>
        <v>0</v>
      </c>
      <c r="AQ172" s="367" t="str">
        <f t="shared" si="300"/>
        <v>0</v>
      </c>
      <c r="AR172" s="367" t="str">
        <f t="shared" si="301"/>
        <v>0</v>
      </c>
      <c r="AS172" s="366"/>
      <c r="AT172" s="367"/>
      <c r="AU172" s="366"/>
      <c r="AV172" s="367"/>
      <c r="AW172" s="371"/>
      <c r="AX172" s="372"/>
      <c r="AY172" s="367"/>
      <c r="AZ172" s="367">
        <f t="shared" si="302"/>
        <v>123657.78750000001</v>
      </c>
      <c r="BA172" s="373">
        <f t="shared" si="303"/>
        <v>344317.25624999998</v>
      </c>
      <c r="BB172" s="374">
        <f t="shared" si="169"/>
        <v>34431.725624999999</v>
      </c>
      <c r="BC172" s="374">
        <f t="shared" si="170"/>
        <v>6886.3451249999998</v>
      </c>
      <c r="BD172" s="374">
        <f t="shared" si="304"/>
        <v>24230.918549999999</v>
      </c>
      <c r="BE172" s="374">
        <f t="shared" si="172"/>
        <v>278768.26694999996</v>
      </c>
      <c r="BF172" s="374">
        <f t="shared" si="173"/>
        <v>4131807.0749999997</v>
      </c>
      <c r="BG172" s="374">
        <f t="shared" si="305"/>
        <v>441318.9375</v>
      </c>
      <c r="BH172" s="374">
        <f t="shared" si="175"/>
        <v>4573126.0124999993</v>
      </c>
      <c r="BI172" s="374">
        <f t="shared" si="176"/>
        <v>205790.67056249999</v>
      </c>
      <c r="BJ172" s="374">
        <f t="shared" si="177"/>
        <v>123954.21224999998</v>
      </c>
      <c r="BK172" s="374">
        <f t="shared" si="178"/>
        <v>237858.82910999996</v>
      </c>
      <c r="BL172" s="374">
        <f t="shared" si="308"/>
        <v>205790.67056249996</v>
      </c>
      <c r="BM172" s="373">
        <f t="shared" si="306"/>
        <v>5346520.3949849997</v>
      </c>
      <c r="BN172" s="375"/>
      <c r="BO172" s="377"/>
      <c r="BP172" s="377"/>
      <c r="BQ172" s="377"/>
      <c r="BR172" s="377"/>
      <c r="BS172" s="377"/>
      <c r="BT172" s="377"/>
      <c r="BU172" s="377"/>
      <c r="BV172" s="377"/>
      <c r="BW172" s="377"/>
      <c r="BX172" s="377"/>
      <c r="BY172" s="377"/>
      <c r="BZ172" s="377"/>
      <c r="CA172" s="377"/>
      <c r="CB172" s="377"/>
      <c r="CC172" s="377"/>
      <c r="CD172" s="377"/>
      <c r="CE172" s="377"/>
      <c r="CF172" s="377"/>
      <c r="CG172" s="377"/>
      <c r="CH172" s="377"/>
      <c r="CI172" s="377"/>
    </row>
    <row r="173" spans="1:87" ht="47.25">
      <c r="A173" s="369">
        <f t="shared" si="309"/>
        <v>125</v>
      </c>
      <c r="B173" s="416">
        <f t="shared" si="309"/>
        <v>7</v>
      </c>
      <c r="C173" s="409" t="s">
        <v>1348</v>
      </c>
      <c r="D173" s="412" t="s">
        <v>1349</v>
      </c>
      <c r="E173" s="366" t="s">
        <v>998</v>
      </c>
      <c r="F173" s="366" t="s">
        <v>254</v>
      </c>
      <c r="G173" s="366" t="s">
        <v>1350</v>
      </c>
      <c r="H173" s="371" t="s">
        <v>1453</v>
      </c>
      <c r="I173" s="366">
        <v>17697</v>
      </c>
      <c r="J173" s="509">
        <v>10.82</v>
      </c>
      <c r="K173" s="367">
        <f t="shared" si="287"/>
        <v>191481.54</v>
      </c>
      <c r="L173" s="380"/>
      <c r="M173" s="380"/>
      <c r="N173" s="380">
        <v>6</v>
      </c>
      <c r="O173" s="380">
        <v>18</v>
      </c>
      <c r="P173" s="380"/>
      <c r="Q173" s="368">
        <f t="shared" si="288"/>
        <v>24</v>
      </c>
      <c r="R173" s="380"/>
      <c r="S173" s="380">
        <v>8</v>
      </c>
      <c r="T173" s="380"/>
      <c r="U173" s="380"/>
      <c r="V173" s="380"/>
      <c r="W173" s="381">
        <f t="shared" si="289"/>
        <v>8</v>
      </c>
      <c r="X173" s="370">
        <f t="shared" si="290"/>
        <v>32</v>
      </c>
      <c r="Y173" s="367">
        <f t="shared" si="291"/>
        <v>382963.08</v>
      </c>
      <c r="Z173" s="367">
        <f t="shared" si="292"/>
        <v>38296.308000000005</v>
      </c>
      <c r="AA173" s="372"/>
      <c r="AB173" s="367">
        <f t="shared" si="293"/>
        <v>0</v>
      </c>
      <c r="AC173" s="372"/>
      <c r="AD173" s="367">
        <f t="shared" si="294"/>
        <v>0</v>
      </c>
      <c r="AE173" s="366"/>
      <c r="AF173" s="366"/>
      <c r="AG173" s="367"/>
      <c r="AH173" s="366"/>
      <c r="AI173" s="367"/>
      <c r="AJ173" s="372"/>
      <c r="AK173" s="367"/>
      <c r="AL173" s="366">
        <f t="shared" si="295"/>
        <v>32</v>
      </c>
      <c r="AM173" s="367">
        <f t="shared" si="296"/>
        <v>114888.924</v>
      </c>
      <c r="AN173" s="366" t="str">
        <f t="shared" si="297"/>
        <v>Педагог-модератор</v>
      </c>
      <c r="AO173" s="367" t="str">
        <f t="shared" si="298"/>
        <v>0</v>
      </c>
      <c r="AP173" s="367" t="str">
        <f t="shared" si="299"/>
        <v>0</v>
      </c>
      <c r="AQ173" s="367" t="str">
        <f t="shared" si="300"/>
        <v>0</v>
      </c>
      <c r="AR173" s="367">
        <f t="shared" si="301"/>
        <v>114888.924</v>
      </c>
      <c r="AS173" s="366"/>
      <c r="AT173" s="367"/>
      <c r="AU173" s="371"/>
      <c r="AV173" s="367"/>
      <c r="AW173" s="371" t="str">
        <f>G173</f>
        <v>Магистр физической культуры</v>
      </c>
      <c r="AX173" s="372">
        <f>10*4335</f>
        <v>43350</v>
      </c>
      <c r="AY173" s="367"/>
      <c r="AZ173" s="367">
        <f t="shared" si="302"/>
        <v>311424.15600000002</v>
      </c>
      <c r="BA173" s="373">
        <f t="shared" si="303"/>
        <v>694387.23600000003</v>
      </c>
      <c r="BB173" s="374">
        <f t="shared" si="169"/>
        <v>69438.723600000012</v>
      </c>
      <c r="BC173" s="374">
        <f t="shared" si="170"/>
        <v>13887.744720000001</v>
      </c>
      <c r="BD173" s="374">
        <f t="shared" si="304"/>
        <v>55037.076768000006</v>
      </c>
      <c r="BE173" s="374">
        <f t="shared" si="172"/>
        <v>556023.69091200002</v>
      </c>
      <c r="BF173" s="374">
        <f t="shared" si="173"/>
        <v>8332646.8320000004</v>
      </c>
      <c r="BG173" s="374">
        <f t="shared" si="305"/>
        <v>765926.16</v>
      </c>
      <c r="BH173" s="374">
        <f t="shared" si="175"/>
        <v>9098572.9920000006</v>
      </c>
      <c r="BI173" s="374">
        <f t="shared" si="176"/>
        <v>409435.78464000003</v>
      </c>
      <c r="BJ173" s="374">
        <f t="shared" si="177"/>
        <v>249979.40496000001</v>
      </c>
      <c r="BK173" s="374">
        <f t="shared" si="178"/>
        <v>472991.11853759998</v>
      </c>
      <c r="BL173" s="374">
        <f t="shared" si="308"/>
        <v>409435.78464000003</v>
      </c>
      <c r="BM173" s="373">
        <f t="shared" si="306"/>
        <v>10640415.084777599</v>
      </c>
      <c r="BN173" s="375"/>
      <c r="BO173" s="377"/>
      <c r="BP173" s="377"/>
      <c r="BQ173" s="377"/>
      <c r="BR173" s="377"/>
      <c r="BS173" s="377"/>
      <c r="BT173" s="377"/>
      <c r="BU173" s="377"/>
      <c r="BV173" s="377"/>
      <c r="BW173" s="377"/>
      <c r="BX173" s="377"/>
      <c r="BY173" s="377"/>
      <c r="BZ173" s="377"/>
      <c r="CA173" s="377"/>
      <c r="CB173" s="377"/>
      <c r="CC173" s="377"/>
      <c r="CD173" s="377"/>
      <c r="CE173" s="377"/>
      <c r="CF173" s="377"/>
      <c r="CG173" s="377"/>
      <c r="CH173" s="377"/>
      <c r="CI173" s="377"/>
    </row>
    <row r="174" spans="1:87" ht="14.25">
      <c r="A174" s="489"/>
      <c r="B174" s="489"/>
      <c r="C174" s="516" t="s">
        <v>1162</v>
      </c>
      <c r="D174" s="516"/>
      <c r="E174" s="516"/>
      <c r="F174" s="490"/>
      <c r="G174" s="490"/>
      <c r="H174" s="491"/>
      <c r="I174" s="490"/>
      <c r="J174" s="490"/>
      <c r="K174" s="422">
        <f t="shared" ref="K174:AE174" si="310">SUM(K167:K173)</f>
        <v>1325859.24</v>
      </c>
      <c r="L174" s="422">
        <f t="shared" si="310"/>
        <v>20</v>
      </c>
      <c r="M174" s="422">
        <f t="shared" si="310"/>
        <v>20</v>
      </c>
      <c r="N174" s="422">
        <f t="shared" si="310"/>
        <v>18</v>
      </c>
      <c r="O174" s="422">
        <f t="shared" si="310"/>
        <v>27</v>
      </c>
      <c r="P174" s="422">
        <f t="shared" si="310"/>
        <v>27</v>
      </c>
      <c r="Q174" s="422">
        <f t="shared" si="310"/>
        <v>112</v>
      </c>
      <c r="R174" s="422">
        <f t="shared" si="310"/>
        <v>10</v>
      </c>
      <c r="S174" s="422">
        <f t="shared" si="310"/>
        <v>10</v>
      </c>
      <c r="T174" s="422">
        <f t="shared" si="310"/>
        <v>9</v>
      </c>
      <c r="U174" s="422">
        <f t="shared" si="310"/>
        <v>9</v>
      </c>
      <c r="V174" s="422">
        <f t="shared" si="310"/>
        <v>9</v>
      </c>
      <c r="W174" s="422">
        <f t="shared" si="310"/>
        <v>47</v>
      </c>
      <c r="X174" s="422">
        <f t="shared" si="310"/>
        <v>159</v>
      </c>
      <c r="Y174" s="422">
        <f t="shared" si="310"/>
        <v>1879885.94625</v>
      </c>
      <c r="Z174" s="422">
        <f t="shared" si="310"/>
        <v>187988.59462500003</v>
      </c>
      <c r="AA174" s="422">
        <f t="shared" si="310"/>
        <v>0</v>
      </c>
      <c r="AB174" s="422">
        <f t="shared" si="310"/>
        <v>0</v>
      </c>
      <c r="AC174" s="422">
        <f t="shared" si="310"/>
        <v>0</v>
      </c>
      <c r="AD174" s="422">
        <f t="shared" si="310"/>
        <v>0</v>
      </c>
      <c r="AE174" s="422">
        <f t="shared" si="310"/>
        <v>196600</v>
      </c>
      <c r="AF174" s="422">
        <v>1</v>
      </c>
      <c r="AG174" s="422">
        <f t="shared" ref="AG174:BN174" si="311">SUM(AG167:AG173)</f>
        <v>3539.4</v>
      </c>
      <c r="AH174" s="422">
        <v>1</v>
      </c>
      <c r="AI174" s="422">
        <f t="shared" si="311"/>
        <v>35394</v>
      </c>
      <c r="AJ174" s="422">
        <f t="shared" si="311"/>
        <v>0</v>
      </c>
      <c r="AK174" s="422">
        <f t="shared" si="311"/>
        <v>0</v>
      </c>
      <c r="AL174" s="422">
        <f t="shared" si="311"/>
        <v>159</v>
      </c>
      <c r="AM174" s="422">
        <f t="shared" si="311"/>
        <v>563965.78387499996</v>
      </c>
      <c r="AN174" s="422">
        <f t="shared" si="311"/>
        <v>0</v>
      </c>
      <c r="AO174" s="422">
        <f t="shared" si="311"/>
        <v>0</v>
      </c>
      <c r="AP174" s="422">
        <f t="shared" si="311"/>
        <v>233883.55200000003</v>
      </c>
      <c r="AQ174" s="422">
        <f t="shared" si="311"/>
        <v>0</v>
      </c>
      <c r="AR174" s="422">
        <f t="shared" si="311"/>
        <v>227441.84399999998</v>
      </c>
      <c r="AS174" s="422">
        <f t="shared" si="311"/>
        <v>0</v>
      </c>
      <c r="AT174" s="422">
        <f t="shared" si="311"/>
        <v>0</v>
      </c>
      <c r="AU174" s="422">
        <f t="shared" si="311"/>
        <v>0</v>
      </c>
      <c r="AV174" s="422">
        <f t="shared" si="311"/>
        <v>0</v>
      </c>
      <c r="AW174" s="422">
        <f t="shared" si="311"/>
        <v>0</v>
      </c>
      <c r="AX174" s="422">
        <f t="shared" si="311"/>
        <v>130050</v>
      </c>
      <c r="AY174" s="422">
        <f t="shared" si="311"/>
        <v>0</v>
      </c>
      <c r="AZ174" s="422">
        <f t="shared" si="311"/>
        <v>1578863.1745000002</v>
      </c>
      <c r="BA174" s="422">
        <f t="shared" si="311"/>
        <v>3458749.1207500002</v>
      </c>
      <c r="BB174" s="422">
        <f t="shared" si="311"/>
        <v>345874.912075</v>
      </c>
      <c r="BC174" s="422">
        <f t="shared" si="311"/>
        <v>69174.982414999991</v>
      </c>
      <c r="BD174" s="422">
        <f t="shared" si="311"/>
        <v>261886.92262599999</v>
      </c>
      <c r="BE174" s="422">
        <f t="shared" si="311"/>
        <v>2781812.3036339995</v>
      </c>
      <c r="BF174" s="422">
        <f t="shared" si="311"/>
        <v>41504989.449000001</v>
      </c>
      <c r="BG174" s="422">
        <f t="shared" si="311"/>
        <v>3759771.8925000001</v>
      </c>
      <c r="BH174" s="422">
        <f t="shared" si="311"/>
        <v>45264761.341499999</v>
      </c>
      <c r="BI174" s="422">
        <f t="shared" si="311"/>
        <v>2036914.2603675001</v>
      </c>
      <c r="BJ174" s="422">
        <f t="shared" si="311"/>
        <v>1245149.68347</v>
      </c>
      <c r="BK174" s="422">
        <f t="shared" si="311"/>
        <v>2352986.1356532001</v>
      </c>
      <c r="BL174" s="422">
        <f t="shared" si="311"/>
        <v>2036914.2603674999</v>
      </c>
      <c r="BM174" s="422">
        <f t="shared" si="311"/>
        <v>52936725.681358203</v>
      </c>
      <c r="BN174" s="422">
        <f t="shared" si="311"/>
        <v>0.5</v>
      </c>
      <c r="BO174" s="355"/>
      <c r="BP174" s="355"/>
      <c r="BQ174" s="355"/>
      <c r="BR174" s="355"/>
      <c r="BS174" s="355"/>
      <c r="BT174" s="355"/>
      <c r="BU174" s="355"/>
      <c r="BV174" s="355"/>
      <c r="BW174" s="355"/>
      <c r="BX174" s="355"/>
      <c r="BY174" s="355"/>
      <c r="BZ174" s="355"/>
      <c r="CA174" s="355"/>
      <c r="CB174" s="355"/>
      <c r="CC174" s="355"/>
      <c r="CD174" s="355"/>
      <c r="CE174" s="355"/>
      <c r="CF174" s="355"/>
      <c r="CG174" s="355"/>
      <c r="CH174" s="355"/>
      <c r="CI174" s="356"/>
    </row>
    <row r="175" spans="1:87" ht="32.25" customHeight="1">
      <c r="A175" s="526">
        <f>A173+1</f>
        <v>126</v>
      </c>
      <c r="B175" s="527">
        <v>1</v>
      </c>
      <c r="C175" s="387" t="s">
        <v>1118</v>
      </c>
      <c r="D175" s="514" t="s">
        <v>1351</v>
      </c>
      <c r="E175" s="703" t="s">
        <v>1022</v>
      </c>
      <c r="F175" s="528"/>
      <c r="G175" s="529"/>
      <c r="H175" s="530" t="s">
        <v>1120</v>
      </c>
      <c r="I175" s="366">
        <v>17697</v>
      </c>
      <c r="J175" s="531">
        <v>9.56</v>
      </c>
      <c r="K175" s="367">
        <f t="shared" ref="K175:K182" si="312">I175*J175</f>
        <v>169183.32</v>
      </c>
      <c r="L175" s="380"/>
      <c r="M175" s="380">
        <v>3</v>
      </c>
      <c r="N175" s="380"/>
      <c r="O175" s="380"/>
      <c r="P175" s="380"/>
      <c r="Q175" s="368">
        <f t="shared" si="288"/>
        <v>3</v>
      </c>
      <c r="R175" s="380"/>
      <c r="S175" s="380"/>
      <c r="T175" s="380"/>
      <c r="U175" s="380"/>
      <c r="V175" s="380"/>
      <c r="W175" s="381">
        <f t="shared" si="289"/>
        <v>0</v>
      </c>
      <c r="X175" s="458">
        <f t="shared" ref="X175:X182" si="313">Q175+W175</f>
        <v>3</v>
      </c>
      <c r="Y175" s="367">
        <f t="shared" ref="Y175:Y182" si="314">K175/16*X175</f>
        <v>31721.872500000001</v>
      </c>
      <c r="Z175" s="367">
        <f t="shared" ref="Z175:Z182" si="315">Y175*10%</f>
        <v>3172.1872500000004</v>
      </c>
      <c r="AA175" s="372"/>
      <c r="AB175" s="367">
        <f t="shared" ref="AB175:AB182" si="316">I175/16*AA175*40%</f>
        <v>0</v>
      </c>
      <c r="AC175" s="372"/>
      <c r="AD175" s="367">
        <f t="shared" ref="AD175:AD182" si="317">I175/16*AC175*40%*50%</f>
        <v>0</v>
      </c>
      <c r="AE175" s="366"/>
      <c r="AF175" s="366"/>
      <c r="AG175" s="367"/>
      <c r="AH175" s="366"/>
      <c r="AI175" s="367"/>
      <c r="AJ175" s="372"/>
      <c r="AK175" s="367"/>
      <c r="AL175" s="366">
        <f t="shared" ref="AL175:AL182" si="318">X175</f>
        <v>3</v>
      </c>
      <c r="AM175" s="367">
        <f t="shared" ref="AM175:AM182" si="319">K175/16*AL175*30%</f>
        <v>9516.5617500000008</v>
      </c>
      <c r="AN175" s="366">
        <f t="shared" ref="AN175:AN182" si="320">F175</f>
        <v>0</v>
      </c>
      <c r="AO175" s="367" t="str">
        <f>IF(AN175="Педагог-зерттеуші", "0", IF(AN175="Педагог-шебер",K175/16*X175*50%, IF(AN175="Педагог-сарапшы", "0", IF(AN175="Педагог-модератор", "0", "0"))))</f>
        <v>0</v>
      </c>
      <c r="AP175" s="367" t="str">
        <f>IF(AN175="Педагог-шебер", "0", IF(AN175="Педагог-зерттеуші",K175/16*X175*40%, IF(AN175="Педагог-сарапшы", "0", IF(AN175="Педагог-модератор", "0", "0"))))</f>
        <v>0</v>
      </c>
      <c r="AQ175" s="367" t="str">
        <f>IF(AN175="Педагог-шебер", "0", IF(AN175="Педагог-сарапшы",K175/16*X175*35%, IF(AN175="Педагог-зерттеуші", "0", IF(AN175="Педагог-модератор", "0", "0"))))</f>
        <v>0</v>
      </c>
      <c r="AR175" s="367" t="str">
        <f>IF(AN175="Педагог-шебер", "0", IF(AN175="Педагог-модератор",K175/16*X175*30%, IF(AN175="Педагог-зерттеуші", "0", IF(AN175="Педагог-сарапшы", "0", "0"))))</f>
        <v>0</v>
      </c>
      <c r="AS175" s="366"/>
      <c r="AT175" s="367"/>
      <c r="AU175" s="371"/>
      <c r="AV175" s="367"/>
      <c r="AW175" s="371"/>
      <c r="AX175" s="372"/>
      <c r="AY175" s="367"/>
      <c r="AZ175" s="367">
        <f>Z175+AB175+AD175+AE175+AG175+AI175+AK175+AM175+AO175+AP175+AQ175++AR175+AT175+AV175+AX175+AY175</f>
        <v>12688.749000000002</v>
      </c>
      <c r="BA175" s="373">
        <f>Y175+AZ175</f>
        <v>44410.621500000001</v>
      </c>
      <c r="BB175" s="374">
        <f t="shared" ref="BB175:BB182" si="321">BA175*10%</f>
        <v>4441.0621500000007</v>
      </c>
      <c r="BC175" s="374">
        <f t="shared" ref="BC175:BC182" si="322">BA175*2%</f>
        <v>888.21243000000004</v>
      </c>
      <c r="BD175" s="374">
        <f>(BA175-BB175-BC175)*10%</f>
        <v>3908.1346920000005</v>
      </c>
      <c r="BE175" s="374">
        <f t="shared" ref="BE175:BE182" si="323">BA175-BB175-BC175-BD175</f>
        <v>35173.212228000004</v>
      </c>
      <c r="BF175" s="374">
        <f t="shared" ref="BF175:BF182" si="324">BA175*12</f>
        <v>532927.45799999998</v>
      </c>
      <c r="BG175" s="374">
        <f>Y175*2</f>
        <v>63443.745000000003</v>
      </c>
      <c r="BH175" s="374">
        <f t="shared" ref="BH175:BH182" si="325">BF175+BG175</f>
        <v>596371.20299999998</v>
      </c>
      <c r="BI175" s="374">
        <f t="shared" ref="BI175" si="326">BH175*0.9*5%</f>
        <v>26836.704135000004</v>
      </c>
      <c r="BJ175" s="374">
        <f t="shared" ref="BJ175:BJ182" si="327">BF175*3%</f>
        <v>15987.82374</v>
      </c>
      <c r="BK175" s="374">
        <f t="shared" ref="BK175" si="328">(BH175*0.9-(BC175*12))*11%-BI175</f>
        <v>31031.604554399997</v>
      </c>
      <c r="BL175" s="374">
        <f>BH175*4.5%</f>
        <v>26836.704134999996</v>
      </c>
      <c r="BM175" s="373">
        <f t="shared" ref="BM175:BM181" si="329">BH175+BI175+BJ175+BK175+BL175</f>
        <v>697064.03956439998</v>
      </c>
      <c r="BN175" s="532"/>
      <c r="BO175" s="356"/>
      <c r="BP175" s="356"/>
      <c r="BQ175" s="356"/>
      <c r="BR175" s="356"/>
      <c r="BS175" s="356"/>
      <c r="BT175" s="356"/>
      <c r="BU175" s="356"/>
      <c r="BV175" s="356"/>
      <c r="BW175" s="356"/>
      <c r="BX175" s="356"/>
      <c r="BY175" s="356"/>
      <c r="BZ175" s="356"/>
      <c r="CA175" s="356"/>
      <c r="CB175" s="356"/>
      <c r="CC175" s="356"/>
      <c r="CD175" s="356"/>
      <c r="CE175" s="356"/>
      <c r="CF175" s="356"/>
      <c r="CG175" s="356"/>
      <c r="CH175" s="356"/>
      <c r="CI175" s="356"/>
    </row>
    <row r="176" spans="1:87" ht="47.25">
      <c r="A176" s="526">
        <f>A175+1</f>
        <v>127</v>
      </c>
      <c r="B176" s="527">
        <f>B175+1</f>
        <v>2</v>
      </c>
      <c r="C176" s="533" t="s">
        <v>1128</v>
      </c>
      <c r="D176" s="704" t="s">
        <v>1352</v>
      </c>
      <c r="E176" s="703" t="s">
        <v>1022</v>
      </c>
      <c r="F176" s="531"/>
      <c r="G176" s="531"/>
      <c r="H176" s="530" t="s">
        <v>1130</v>
      </c>
      <c r="I176" s="366">
        <v>17697</v>
      </c>
      <c r="J176" s="367">
        <v>9.56</v>
      </c>
      <c r="K176" s="367">
        <f t="shared" si="312"/>
        <v>169183.32</v>
      </c>
      <c r="L176" s="380"/>
      <c r="M176" s="380">
        <v>3</v>
      </c>
      <c r="N176" s="380">
        <v>4</v>
      </c>
      <c r="O176" s="380"/>
      <c r="P176" s="380"/>
      <c r="Q176" s="368">
        <f t="shared" si="288"/>
        <v>7</v>
      </c>
      <c r="R176" s="380"/>
      <c r="S176" s="380"/>
      <c r="T176" s="380"/>
      <c r="U176" s="380"/>
      <c r="V176" s="380"/>
      <c r="W176" s="381">
        <f t="shared" si="289"/>
        <v>0</v>
      </c>
      <c r="X176" s="458">
        <f t="shared" si="313"/>
        <v>7</v>
      </c>
      <c r="Y176" s="367">
        <f t="shared" si="314"/>
        <v>74017.702499999999</v>
      </c>
      <c r="Z176" s="367">
        <f t="shared" si="315"/>
        <v>7401.7702500000005</v>
      </c>
      <c r="AA176" s="372"/>
      <c r="AB176" s="367">
        <f t="shared" si="316"/>
        <v>0</v>
      </c>
      <c r="AC176" s="372"/>
      <c r="AD176" s="367">
        <f t="shared" si="317"/>
        <v>0</v>
      </c>
      <c r="AE176" s="366"/>
      <c r="AF176" s="366"/>
      <c r="AG176" s="367"/>
      <c r="AH176" s="366"/>
      <c r="AI176" s="367"/>
      <c r="AJ176" s="372"/>
      <c r="AK176" s="367"/>
      <c r="AL176" s="366">
        <f t="shared" si="318"/>
        <v>7</v>
      </c>
      <c r="AM176" s="367">
        <f t="shared" si="319"/>
        <v>22205.310750000001</v>
      </c>
      <c r="AN176" s="366">
        <f t="shared" si="320"/>
        <v>0</v>
      </c>
      <c r="AO176" s="367" t="str">
        <f>IF(AN176="Педагог-зерттеуші", "0", IF(AN176="Педагог-шебер",K176/16*X176*50%, IF(AN176="Педагог-сарапшы", "0", IF(AN176="Педагог-модератор", "0", "0"))))</f>
        <v>0</v>
      </c>
      <c r="AP176" s="367" t="str">
        <f>IF(AN176="Педагог-шебер", "0", IF(AN176="Педагог-зерттеуші",K176/16*X176*40%, IF(AN176="Педагог-сарапшы", "0", IF(AN176="Педагог-модератор", "0", "0"))))</f>
        <v>0</v>
      </c>
      <c r="AQ176" s="367" t="str">
        <f>IF(AN176="Педагог-шебер", "0", IF(AN176="Педагог-сарапшы",K176/16*X176*35%, IF(AN176="Педагог-зерттеуші", "0", IF(AN176="Педагог-модератор", "0", "0"))))</f>
        <v>0</v>
      </c>
      <c r="AR176" s="367" t="str">
        <f>IF(AN176="Педагог-шебер", "0", IF(AN176="Педагог-модератор",K176/16*X176*30%, IF(AN176="Педагог-зерттеуші", "0", IF(AN176="Педагог-сарапшы", "0", "0"))))</f>
        <v>0</v>
      </c>
      <c r="AS176" s="366"/>
      <c r="AT176" s="367"/>
      <c r="AU176" s="371"/>
      <c r="AV176" s="367"/>
      <c r="AW176" s="371">
        <f>G176</f>
        <v>0</v>
      </c>
      <c r="AX176" s="372"/>
      <c r="AY176" s="367"/>
      <c r="AZ176" s="367">
        <f>Z176+AB176+AD176+AE176+AG176+AI176+AK176+AM176+AO176+AP176+AQ176++AR176+AT176+AV176+AX176+AY176</f>
        <v>29607.081000000002</v>
      </c>
      <c r="BA176" s="373">
        <f>Y176+AZ176</f>
        <v>103624.78350000001</v>
      </c>
      <c r="BB176" s="374">
        <f t="shared" si="321"/>
        <v>10362.478350000001</v>
      </c>
      <c r="BC176" s="374">
        <f t="shared" si="322"/>
        <v>2072.4956700000002</v>
      </c>
      <c r="BD176" s="374">
        <f>(BA176-BB176-BC176-(14*4335))*10%</f>
        <v>3049.9809479999999</v>
      </c>
      <c r="BE176" s="374">
        <f t="shared" si="323"/>
        <v>88139.828532</v>
      </c>
      <c r="BF176" s="374">
        <f t="shared" si="324"/>
        <v>1243497.402</v>
      </c>
      <c r="BG176" s="374">
        <f>Y176*2</f>
        <v>148035.405</v>
      </c>
      <c r="BH176" s="374">
        <f t="shared" si="325"/>
        <v>1391532.807</v>
      </c>
      <c r="BI176" s="374">
        <f t="shared" si="176"/>
        <v>62618.976315000007</v>
      </c>
      <c r="BJ176" s="374">
        <f t="shared" si="327"/>
        <v>37304.922059999997</v>
      </c>
      <c r="BK176" s="374">
        <f t="shared" si="178"/>
        <v>72407.077293600014</v>
      </c>
      <c r="BL176" s="374">
        <f t="shared" ref="BL176:BL181" si="330">BH176*4.5%</f>
        <v>62618.976315</v>
      </c>
      <c r="BM176" s="373">
        <f t="shared" si="329"/>
        <v>1626482.7589836002</v>
      </c>
      <c r="BN176" s="534"/>
      <c r="BO176" s="356"/>
      <c r="BP176" s="356"/>
      <c r="BQ176" s="356"/>
      <c r="BR176" s="356"/>
      <c r="BS176" s="356"/>
      <c r="BT176" s="356"/>
      <c r="BU176" s="356"/>
      <c r="BV176" s="356"/>
      <c r="BW176" s="356"/>
      <c r="BX176" s="356"/>
      <c r="BY176" s="356"/>
      <c r="BZ176" s="356"/>
      <c r="CA176" s="356"/>
      <c r="CB176" s="356"/>
      <c r="CC176" s="356"/>
      <c r="CD176" s="356"/>
      <c r="CE176" s="356"/>
      <c r="CF176" s="356"/>
      <c r="CG176" s="356"/>
      <c r="CH176" s="356"/>
      <c r="CI176" s="356"/>
    </row>
    <row r="177" spans="1:87" ht="45">
      <c r="A177" s="526">
        <f>A176+1</f>
        <v>128</v>
      </c>
      <c r="B177" s="527">
        <f>B176+1</f>
        <v>3</v>
      </c>
      <c r="C177" s="533" t="s">
        <v>1132</v>
      </c>
      <c r="D177" s="429" t="s">
        <v>1353</v>
      </c>
      <c r="E177" s="703" t="s">
        <v>1022</v>
      </c>
      <c r="F177" s="531"/>
      <c r="G177" s="531"/>
      <c r="H177" s="530" t="s">
        <v>1134</v>
      </c>
      <c r="I177" s="366">
        <v>17697</v>
      </c>
      <c r="J177" s="367">
        <v>8.14</v>
      </c>
      <c r="K177" s="367">
        <f t="shared" si="312"/>
        <v>144053.58000000002</v>
      </c>
      <c r="L177" s="380">
        <v>5</v>
      </c>
      <c r="M177" s="380">
        <v>2</v>
      </c>
      <c r="N177" s="380"/>
      <c r="O177" s="380"/>
      <c r="P177" s="380"/>
      <c r="Q177" s="368">
        <f t="shared" si="288"/>
        <v>7</v>
      </c>
      <c r="R177" s="380"/>
      <c r="S177" s="380"/>
      <c r="T177" s="380"/>
      <c r="U177" s="380"/>
      <c r="V177" s="380"/>
      <c r="W177" s="381">
        <f t="shared" si="289"/>
        <v>0</v>
      </c>
      <c r="X177" s="458">
        <f t="shared" si="313"/>
        <v>7</v>
      </c>
      <c r="Y177" s="367">
        <f t="shared" si="314"/>
        <v>63023.441250000003</v>
      </c>
      <c r="Z177" s="367">
        <f t="shared" si="315"/>
        <v>6302.3441250000005</v>
      </c>
      <c r="AA177" s="372"/>
      <c r="AB177" s="367">
        <f t="shared" si="316"/>
        <v>0</v>
      </c>
      <c r="AC177" s="372"/>
      <c r="AD177" s="367">
        <f t="shared" si="317"/>
        <v>0</v>
      </c>
      <c r="AE177" s="366"/>
      <c r="AF177" s="366"/>
      <c r="AG177" s="367"/>
      <c r="AH177" s="366"/>
      <c r="AI177" s="367"/>
      <c r="AJ177" s="372"/>
      <c r="AK177" s="367"/>
      <c r="AL177" s="366">
        <f t="shared" si="318"/>
        <v>7</v>
      </c>
      <c r="AM177" s="367">
        <f t="shared" si="319"/>
        <v>18907.032374999999</v>
      </c>
      <c r="AN177" s="366">
        <f t="shared" si="320"/>
        <v>0</v>
      </c>
      <c r="AO177" s="367" t="str">
        <f>IF(AN177="Педагог-зерттеуші", "0", IF(AN177="Педагог-шебер",K177/16*X177*50%, IF(AN177="Педагог-сарапшы", "0", IF(AN177="Педагог-модератор", "0", "0"))))</f>
        <v>0</v>
      </c>
      <c r="AP177" s="367" t="str">
        <f>IF(AN177="Педагог-шебер", "0", IF(AN177="Педагог-зерттеуші",K177/16*X177*40%, IF(AN177="Педагог-сарапшы", "0", IF(AN177="Педагог-модератор", "0", "0"))))</f>
        <v>0</v>
      </c>
      <c r="AQ177" s="367" t="str">
        <f>IF(AN177="Педагог-шебер", "0", IF(AN177="Педагог-сарапшы",K177/16*X177*35%, IF(AN177="Педагог-зерттеуші", "0", IF(AN177="Педагог-модератор", "0", "0"))))</f>
        <v>0</v>
      </c>
      <c r="AR177" s="367" t="str">
        <f>IF(AN177="Педагог-шебер", "0", IF(AN177="Педагог-модератор",K177/16*X177*30%, IF(AN177="Педагог-зерттеуші", "0", IF(AN177="Педагог-сарапшы", "0", "0"))))</f>
        <v>0</v>
      </c>
      <c r="AS177" s="366"/>
      <c r="AT177" s="367"/>
      <c r="AU177" s="371"/>
      <c r="AV177" s="367"/>
      <c r="AW177" s="371">
        <f>G177</f>
        <v>0</v>
      </c>
      <c r="AX177" s="372"/>
      <c r="AY177" s="367"/>
      <c r="AZ177" s="367">
        <f>Z177+AB177+AD177+AE177+AG177+AI177+AK177+AM177+AO177+AP177+AQ177++AR177+AT177+AV177+AX177+AY177</f>
        <v>25209.376499999998</v>
      </c>
      <c r="BA177" s="373">
        <f>Y177+AZ177</f>
        <v>88232.817750000002</v>
      </c>
      <c r="BB177" s="374">
        <f t="shared" si="321"/>
        <v>8823.2817750000013</v>
      </c>
      <c r="BC177" s="374">
        <f t="shared" si="322"/>
        <v>1764.6563550000001</v>
      </c>
      <c r="BD177" s="374">
        <f>(BA177-BB177-BC177-(14*4335))*10%</f>
        <v>1695.4879620000008</v>
      </c>
      <c r="BE177" s="374">
        <f t="shared" si="323"/>
        <v>75949.391658000008</v>
      </c>
      <c r="BF177" s="374">
        <f t="shared" si="324"/>
        <v>1058793.8130000001</v>
      </c>
      <c r="BG177" s="374">
        <f>Y177*2</f>
        <v>126046.88250000001</v>
      </c>
      <c r="BH177" s="374">
        <f t="shared" si="325"/>
        <v>1184840.6955000001</v>
      </c>
      <c r="BI177" s="374">
        <f t="shared" si="176"/>
        <v>53317.831297500015</v>
      </c>
      <c r="BJ177" s="374">
        <f t="shared" si="327"/>
        <v>31763.81439</v>
      </c>
      <c r="BK177" s="374">
        <f t="shared" si="178"/>
        <v>61652.051168400008</v>
      </c>
      <c r="BL177" s="374">
        <f t="shared" si="330"/>
        <v>53317.831297500008</v>
      </c>
      <c r="BM177" s="373">
        <f t="shared" si="329"/>
        <v>1384892.2236534003</v>
      </c>
      <c r="BN177" s="534"/>
      <c r="BO177" s="356"/>
      <c r="BP177" s="356"/>
      <c r="BQ177" s="356"/>
      <c r="BR177" s="356"/>
      <c r="BS177" s="356"/>
      <c r="BT177" s="356"/>
      <c r="BU177" s="356"/>
      <c r="BV177" s="356"/>
      <c r="BW177" s="356"/>
      <c r="BX177" s="356"/>
      <c r="BY177" s="356"/>
      <c r="BZ177" s="356"/>
      <c r="CA177" s="356"/>
      <c r="CB177" s="356"/>
      <c r="CC177" s="356"/>
      <c r="CD177" s="356"/>
      <c r="CE177" s="356"/>
      <c r="CF177" s="356"/>
      <c r="CG177" s="356"/>
      <c r="CH177" s="356"/>
      <c r="CI177" s="356"/>
    </row>
    <row r="178" spans="1:87" ht="45">
      <c r="A178" s="526">
        <f t="shared" ref="A178:B182" si="331">A177+1</f>
        <v>129</v>
      </c>
      <c r="B178" s="527">
        <f t="shared" si="331"/>
        <v>4</v>
      </c>
      <c r="C178" s="533" t="s">
        <v>1135</v>
      </c>
      <c r="D178" s="429" t="s">
        <v>1354</v>
      </c>
      <c r="E178" s="703" t="s">
        <v>1022</v>
      </c>
      <c r="F178" s="531"/>
      <c r="G178" s="531"/>
      <c r="H178" s="530" t="s">
        <v>1137</v>
      </c>
      <c r="I178" s="366">
        <v>17697</v>
      </c>
      <c r="J178" s="367">
        <v>9.0399999999999991</v>
      </c>
      <c r="K178" s="367">
        <f t="shared" si="312"/>
        <v>159980.87999999998</v>
      </c>
      <c r="L178" s="380"/>
      <c r="M178" s="380">
        <v>5</v>
      </c>
      <c r="N178" s="380">
        <v>5</v>
      </c>
      <c r="O178" s="380"/>
      <c r="P178" s="380"/>
      <c r="Q178" s="368">
        <f t="shared" si="288"/>
        <v>10</v>
      </c>
      <c r="R178" s="380"/>
      <c r="S178" s="380"/>
      <c r="T178" s="380"/>
      <c r="U178" s="380"/>
      <c r="V178" s="380"/>
      <c r="W178" s="381">
        <f t="shared" si="289"/>
        <v>0</v>
      </c>
      <c r="X178" s="458">
        <f t="shared" si="313"/>
        <v>10</v>
      </c>
      <c r="Y178" s="367">
        <f t="shared" si="314"/>
        <v>99988.049999999988</v>
      </c>
      <c r="Z178" s="367">
        <f t="shared" si="315"/>
        <v>9998.8050000000003</v>
      </c>
      <c r="AA178" s="372"/>
      <c r="AB178" s="367">
        <f t="shared" si="316"/>
        <v>0</v>
      </c>
      <c r="AC178" s="372"/>
      <c r="AD178" s="367">
        <f t="shared" si="317"/>
        <v>0</v>
      </c>
      <c r="AE178" s="366"/>
      <c r="AF178" s="366"/>
      <c r="AG178" s="367"/>
      <c r="AH178" s="366"/>
      <c r="AI178" s="367"/>
      <c r="AJ178" s="372"/>
      <c r="AK178" s="367"/>
      <c r="AL178" s="366">
        <f t="shared" si="318"/>
        <v>10</v>
      </c>
      <c r="AM178" s="367">
        <f t="shared" si="319"/>
        <v>29996.414999999994</v>
      </c>
      <c r="AN178" s="366">
        <f t="shared" si="320"/>
        <v>0</v>
      </c>
      <c r="AO178" s="367" t="str">
        <f t="shared" ref="AO178:AO182" si="332">IF(AN178="Педагог-зерттеуші", "0", IF(AN178="Педагог-шебер",K178/16*X178*50%, IF(AN178="Педагог-сарапшы", "0", IF(AN178="Педагог-модератор", "0", "0"))))</f>
        <v>0</v>
      </c>
      <c r="AP178" s="367" t="str">
        <f t="shared" ref="AP178:AP182" si="333">IF(AN178="Педагог-шебер", "0", IF(AN178="Педагог-зерттеуші",K178/16*X178*40%, IF(AN178="Педагог-сарапшы", "0", IF(AN178="Педагог-модератор", "0", "0"))))</f>
        <v>0</v>
      </c>
      <c r="AQ178" s="367" t="str">
        <f t="shared" ref="AQ178:AQ182" si="334">IF(AN178="Педагог-шебер", "0", IF(AN178="Педагог-сарапшы",K178/16*X178*35%, IF(AN178="Педагог-зерттеуші", "0", IF(AN178="Педагог-модератор", "0", "0"))))</f>
        <v>0</v>
      </c>
      <c r="AR178" s="367" t="str">
        <f t="shared" ref="AR178:AR182" si="335">IF(AN178="Педагог-шебер", "0", IF(AN178="Педагог-модератор",K178/16*X178*30%, IF(AN178="Педагог-зерттеуші", "0", IF(AN178="Педагог-сарапшы", "0", "0"))))</f>
        <v>0</v>
      </c>
      <c r="AS178" s="366"/>
      <c r="AT178" s="367"/>
      <c r="AU178" s="371"/>
      <c r="AV178" s="367"/>
      <c r="AW178" s="371">
        <f t="shared" ref="AW178:AW182" si="336">G178</f>
        <v>0</v>
      </c>
      <c r="AX178" s="372"/>
      <c r="AY178" s="367"/>
      <c r="AZ178" s="367">
        <f t="shared" ref="AZ178:AZ182" si="337">Z178+AB178+AD178+AE178+AG178+AI178+AK178+AM178+AO178+AP178+AQ178++AR178+AT178+AV178+AX178+AY178</f>
        <v>39995.219999999994</v>
      </c>
      <c r="BA178" s="373">
        <f t="shared" ref="BA178:BA182" si="338">Y178+AZ178</f>
        <v>139983.26999999999</v>
      </c>
      <c r="BB178" s="374">
        <f t="shared" si="321"/>
        <v>13998.326999999999</v>
      </c>
      <c r="BC178" s="374">
        <f t="shared" si="322"/>
        <v>2799.6653999999999</v>
      </c>
      <c r="BD178" s="374">
        <f>(BA178-BB178-BC178-(14*4335))*10%</f>
        <v>6249.527759999999</v>
      </c>
      <c r="BE178" s="374">
        <f t="shared" si="323"/>
        <v>116935.74983999999</v>
      </c>
      <c r="BF178" s="374">
        <f t="shared" si="324"/>
        <v>1679799.2399999998</v>
      </c>
      <c r="BG178" s="374">
        <f t="shared" ref="BG178:BG182" si="339">Y178*2</f>
        <v>199976.09999999998</v>
      </c>
      <c r="BH178" s="374">
        <f t="shared" si="325"/>
        <v>1879775.3399999999</v>
      </c>
      <c r="BI178" s="374">
        <f t="shared" si="176"/>
        <v>84589.890299999999</v>
      </c>
      <c r="BJ178" s="374">
        <f t="shared" si="327"/>
        <v>50393.977199999994</v>
      </c>
      <c r="BK178" s="374">
        <f t="shared" si="178"/>
        <v>97812.310031999979</v>
      </c>
      <c r="BL178" s="374">
        <f t="shared" si="330"/>
        <v>84589.890299999985</v>
      </c>
      <c r="BM178" s="373">
        <f t="shared" si="329"/>
        <v>2197161.4078319999</v>
      </c>
      <c r="BN178" s="534"/>
      <c r="BO178" s="356"/>
      <c r="BP178" s="356"/>
      <c r="BQ178" s="356"/>
      <c r="BR178" s="356"/>
      <c r="BS178" s="356"/>
      <c r="BT178" s="356"/>
      <c r="BU178" s="356"/>
      <c r="BV178" s="356"/>
      <c r="BW178" s="356"/>
      <c r="BX178" s="356"/>
      <c r="BY178" s="356"/>
      <c r="BZ178" s="356"/>
      <c r="CA178" s="356"/>
      <c r="CB178" s="356"/>
      <c r="CC178" s="356"/>
      <c r="CD178" s="356"/>
      <c r="CE178" s="356"/>
      <c r="CF178" s="356"/>
      <c r="CG178" s="356"/>
      <c r="CH178" s="356"/>
      <c r="CI178" s="356"/>
    </row>
    <row r="179" spans="1:87" ht="45">
      <c r="A179" s="526">
        <f t="shared" si="331"/>
        <v>130</v>
      </c>
      <c r="B179" s="527">
        <f t="shared" si="331"/>
        <v>5</v>
      </c>
      <c r="C179" s="533" t="s">
        <v>1140</v>
      </c>
      <c r="D179" s="429" t="s">
        <v>1355</v>
      </c>
      <c r="E179" s="703" t="s">
        <v>1022</v>
      </c>
      <c r="F179" s="531"/>
      <c r="G179" s="531"/>
      <c r="H179" s="530" t="s">
        <v>397</v>
      </c>
      <c r="I179" s="366">
        <v>17697</v>
      </c>
      <c r="J179" s="367">
        <v>9.56</v>
      </c>
      <c r="K179" s="367">
        <f t="shared" si="312"/>
        <v>169183.32</v>
      </c>
      <c r="L179" s="380"/>
      <c r="M179" s="380"/>
      <c r="N179" s="380">
        <v>5</v>
      </c>
      <c r="O179" s="380"/>
      <c r="P179" s="380"/>
      <c r="Q179" s="368">
        <f t="shared" si="288"/>
        <v>5</v>
      </c>
      <c r="R179" s="380"/>
      <c r="S179" s="380"/>
      <c r="T179" s="380"/>
      <c r="U179" s="380"/>
      <c r="V179" s="380"/>
      <c r="W179" s="381">
        <f t="shared" si="289"/>
        <v>0</v>
      </c>
      <c r="X179" s="458">
        <f t="shared" si="313"/>
        <v>5</v>
      </c>
      <c r="Y179" s="367">
        <f t="shared" si="314"/>
        <v>52869.787500000006</v>
      </c>
      <c r="Z179" s="367">
        <f t="shared" si="315"/>
        <v>5286.9787500000011</v>
      </c>
      <c r="AA179" s="372"/>
      <c r="AB179" s="367">
        <f t="shared" si="316"/>
        <v>0</v>
      </c>
      <c r="AC179" s="372"/>
      <c r="AD179" s="367">
        <f t="shared" si="317"/>
        <v>0</v>
      </c>
      <c r="AE179" s="366"/>
      <c r="AF179" s="366"/>
      <c r="AG179" s="367"/>
      <c r="AH179" s="366"/>
      <c r="AI179" s="367"/>
      <c r="AJ179" s="372"/>
      <c r="AK179" s="367"/>
      <c r="AL179" s="366">
        <f t="shared" si="318"/>
        <v>5</v>
      </c>
      <c r="AM179" s="367">
        <f t="shared" si="319"/>
        <v>15860.936250000001</v>
      </c>
      <c r="AN179" s="366">
        <f t="shared" si="320"/>
        <v>0</v>
      </c>
      <c r="AO179" s="367" t="str">
        <f t="shared" si="332"/>
        <v>0</v>
      </c>
      <c r="AP179" s="367" t="str">
        <f t="shared" si="333"/>
        <v>0</v>
      </c>
      <c r="AQ179" s="367" t="str">
        <f t="shared" si="334"/>
        <v>0</v>
      </c>
      <c r="AR179" s="367" t="str">
        <f t="shared" si="335"/>
        <v>0</v>
      </c>
      <c r="AS179" s="366"/>
      <c r="AT179" s="367"/>
      <c r="AU179" s="371"/>
      <c r="AV179" s="367"/>
      <c r="AW179" s="371">
        <f t="shared" si="336"/>
        <v>0</v>
      </c>
      <c r="AX179" s="372"/>
      <c r="AY179" s="367"/>
      <c r="AZ179" s="367">
        <f t="shared" si="337"/>
        <v>21147.915000000001</v>
      </c>
      <c r="BA179" s="373">
        <f t="shared" si="338"/>
        <v>74017.702500000014</v>
      </c>
      <c r="BB179" s="374">
        <f t="shared" si="321"/>
        <v>7401.7702500000014</v>
      </c>
      <c r="BC179" s="374">
        <f t="shared" si="322"/>
        <v>1480.3540500000004</v>
      </c>
      <c r="BD179" s="374">
        <f>(BA179-BB179-BC179-(14*4335))*10%</f>
        <v>444.55782000000113</v>
      </c>
      <c r="BE179" s="374">
        <f t="shared" si="323"/>
        <v>64691.020380000009</v>
      </c>
      <c r="BF179" s="374">
        <f t="shared" si="324"/>
        <v>888212.43000000017</v>
      </c>
      <c r="BG179" s="374">
        <f t="shared" si="339"/>
        <v>105739.57500000001</v>
      </c>
      <c r="BH179" s="374">
        <f t="shared" si="325"/>
        <v>993952.00500000012</v>
      </c>
      <c r="BI179" s="374">
        <f t="shared" si="176"/>
        <v>44727.840225000007</v>
      </c>
      <c r="BJ179" s="374">
        <f t="shared" si="327"/>
        <v>26646.372900000006</v>
      </c>
      <c r="BK179" s="374">
        <f t="shared" si="178"/>
        <v>51719.340924000004</v>
      </c>
      <c r="BL179" s="374">
        <f t="shared" si="330"/>
        <v>44727.840225000007</v>
      </c>
      <c r="BM179" s="373">
        <f t="shared" si="329"/>
        <v>1161773.399274</v>
      </c>
      <c r="BN179" s="534"/>
      <c r="BO179" s="356"/>
      <c r="BP179" s="356"/>
      <c r="BQ179" s="356"/>
      <c r="BR179" s="356"/>
      <c r="BS179" s="356"/>
      <c r="BT179" s="356"/>
      <c r="BU179" s="356"/>
      <c r="BV179" s="356"/>
      <c r="BW179" s="356"/>
      <c r="BX179" s="356"/>
      <c r="BY179" s="356"/>
      <c r="BZ179" s="356"/>
      <c r="CA179" s="356"/>
      <c r="CB179" s="356"/>
      <c r="CC179" s="356"/>
      <c r="CD179" s="356"/>
      <c r="CE179" s="356"/>
      <c r="CF179" s="356"/>
      <c r="CG179" s="356"/>
      <c r="CH179" s="356"/>
      <c r="CI179" s="356"/>
    </row>
    <row r="180" spans="1:87" ht="45">
      <c r="A180" s="526">
        <f t="shared" si="331"/>
        <v>131</v>
      </c>
      <c r="B180" s="527">
        <f t="shared" si="331"/>
        <v>6</v>
      </c>
      <c r="C180" s="533" t="s">
        <v>1143</v>
      </c>
      <c r="D180" s="429" t="s">
        <v>1356</v>
      </c>
      <c r="E180" s="703" t="s">
        <v>1022</v>
      </c>
      <c r="F180" s="531"/>
      <c r="G180" s="531"/>
      <c r="H180" s="530" t="s">
        <v>1145</v>
      </c>
      <c r="I180" s="366">
        <v>17697</v>
      </c>
      <c r="J180" s="367">
        <v>8.9</v>
      </c>
      <c r="K180" s="367">
        <f t="shared" si="312"/>
        <v>157503.30000000002</v>
      </c>
      <c r="L180" s="380"/>
      <c r="M180" s="380"/>
      <c r="N180" s="380">
        <v>4</v>
      </c>
      <c r="O180" s="380"/>
      <c r="P180" s="380"/>
      <c r="Q180" s="368">
        <f t="shared" si="288"/>
        <v>4</v>
      </c>
      <c r="R180" s="380"/>
      <c r="S180" s="380"/>
      <c r="T180" s="380"/>
      <c r="U180" s="380"/>
      <c r="V180" s="380"/>
      <c r="W180" s="381">
        <f t="shared" si="289"/>
        <v>0</v>
      </c>
      <c r="X180" s="458">
        <f t="shared" si="313"/>
        <v>4</v>
      </c>
      <c r="Y180" s="367">
        <f t="shared" si="314"/>
        <v>39375.825000000004</v>
      </c>
      <c r="Z180" s="367">
        <f t="shared" si="315"/>
        <v>3937.5825000000004</v>
      </c>
      <c r="AA180" s="372"/>
      <c r="AB180" s="367">
        <f t="shared" si="316"/>
        <v>0</v>
      </c>
      <c r="AC180" s="372"/>
      <c r="AD180" s="367">
        <f t="shared" si="317"/>
        <v>0</v>
      </c>
      <c r="AE180" s="366"/>
      <c r="AF180" s="366"/>
      <c r="AG180" s="367"/>
      <c r="AH180" s="366"/>
      <c r="AI180" s="367"/>
      <c r="AJ180" s="372"/>
      <c r="AK180" s="367"/>
      <c r="AL180" s="366">
        <f t="shared" si="318"/>
        <v>4</v>
      </c>
      <c r="AM180" s="367">
        <f t="shared" si="319"/>
        <v>11812.747500000001</v>
      </c>
      <c r="AN180" s="366">
        <f t="shared" si="320"/>
        <v>0</v>
      </c>
      <c r="AO180" s="367" t="str">
        <f t="shared" si="332"/>
        <v>0</v>
      </c>
      <c r="AP180" s="367" t="str">
        <f t="shared" si="333"/>
        <v>0</v>
      </c>
      <c r="AQ180" s="367" t="str">
        <f t="shared" si="334"/>
        <v>0</v>
      </c>
      <c r="AR180" s="367" t="str">
        <f t="shared" si="335"/>
        <v>0</v>
      </c>
      <c r="AS180" s="366"/>
      <c r="AT180" s="367"/>
      <c r="AU180" s="371"/>
      <c r="AV180" s="367"/>
      <c r="AW180" s="371">
        <f t="shared" si="336"/>
        <v>0</v>
      </c>
      <c r="AX180" s="372"/>
      <c r="AY180" s="367"/>
      <c r="AZ180" s="367">
        <f t="shared" si="337"/>
        <v>15750.330000000002</v>
      </c>
      <c r="BA180" s="373">
        <f t="shared" si="338"/>
        <v>55126.155000000006</v>
      </c>
      <c r="BB180" s="374">
        <f t="shared" si="321"/>
        <v>5512.6155000000008</v>
      </c>
      <c r="BC180" s="374">
        <f t="shared" si="322"/>
        <v>1102.5231000000001</v>
      </c>
      <c r="BD180" s="374">
        <f>(BA180-BB180-BC180)*10%</f>
        <v>4851.1016400000008</v>
      </c>
      <c r="BE180" s="374">
        <f t="shared" si="323"/>
        <v>43659.914760000007</v>
      </c>
      <c r="BF180" s="374">
        <f t="shared" si="324"/>
        <v>661513.8600000001</v>
      </c>
      <c r="BG180" s="374">
        <f t="shared" si="339"/>
        <v>78751.650000000009</v>
      </c>
      <c r="BH180" s="374">
        <f t="shared" si="325"/>
        <v>740265.51000000013</v>
      </c>
      <c r="BI180" s="374">
        <f t="shared" si="176"/>
        <v>33311.947950000009</v>
      </c>
      <c r="BJ180" s="374">
        <f t="shared" si="327"/>
        <v>19845.415800000002</v>
      </c>
      <c r="BK180" s="374">
        <f t="shared" si="178"/>
        <v>38519.007048000007</v>
      </c>
      <c r="BL180" s="374">
        <f t="shared" si="330"/>
        <v>33311.947950000002</v>
      </c>
      <c r="BM180" s="373">
        <f t="shared" si="329"/>
        <v>865253.82874800009</v>
      </c>
      <c r="BN180" s="534"/>
      <c r="BO180" s="356"/>
      <c r="BP180" s="356"/>
      <c r="BQ180" s="356"/>
      <c r="BR180" s="356"/>
      <c r="BS180" s="356"/>
      <c r="BT180" s="356"/>
      <c r="BU180" s="356"/>
      <c r="BV180" s="356"/>
      <c r="BW180" s="356"/>
      <c r="BX180" s="356"/>
      <c r="BY180" s="356"/>
      <c r="BZ180" s="356"/>
      <c r="CA180" s="356"/>
      <c r="CB180" s="356"/>
      <c r="CC180" s="356"/>
      <c r="CD180" s="356"/>
      <c r="CE180" s="356"/>
      <c r="CF180" s="356"/>
      <c r="CG180" s="356"/>
      <c r="CH180" s="356"/>
      <c r="CI180" s="356"/>
    </row>
    <row r="181" spans="1:87" ht="45">
      <c r="A181" s="526">
        <f t="shared" si="331"/>
        <v>132</v>
      </c>
      <c r="B181" s="527">
        <f t="shared" si="331"/>
        <v>7</v>
      </c>
      <c r="C181" s="533" t="s">
        <v>1147</v>
      </c>
      <c r="D181" s="429" t="s">
        <v>1357</v>
      </c>
      <c r="E181" s="703" t="s">
        <v>1022</v>
      </c>
      <c r="F181" s="531"/>
      <c r="G181" s="531"/>
      <c r="H181" s="530" t="s">
        <v>114</v>
      </c>
      <c r="I181" s="366">
        <v>17697</v>
      </c>
      <c r="J181" s="367">
        <v>7.98</v>
      </c>
      <c r="K181" s="367">
        <f t="shared" si="312"/>
        <v>141222.06</v>
      </c>
      <c r="L181" s="380">
        <v>5</v>
      </c>
      <c r="M181" s="380"/>
      <c r="N181" s="380"/>
      <c r="O181" s="380"/>
      <c r="P181" s="380"/>
      <c r="Q181" s="368">
        <f t="shared" si="288"/>
        <v>5</v>
      </c>
      <c r="R181" s="380"/>
      <c r="S181" s="380"/>
      <c r="T181" s="380"/>
      <c r="U181" s="380"/>
      <c r="V181" s="380"/>
      <c r="W181" s="381">
        <f t="shared" si="289"/>
        <v>0</v>
      </c>
      <c r="X181" s="458">
        <f t="shared" si="313"/>
        <v>5</v>
      </c>
      <c r="Y181" s="367">
        <f t="shared" si="314"/>
        <v>44131.893750000003</v>
      </c>
      <c r="Z181" s="367">
        <f t="shared" si="315"/>
        <v>4413.1893750000008</v>
      </c>
      <c r="AA181" s="372"/>
      <c r="AB181" s="367">
        <f t="shared" si="316"/>
        <v>0</v>
      </c>
      <c r="AC181" s="372"/>
      <c r="AD181" s="367">
        <f t="shared" si="317"/>
        <v>0</v>
      </c>
      <c r="AE181" s="366"/>
      <c r="AF181" s="366"/>
      <c r="AG181" s="367"/>
      <c r="AH181" s="366"/>
      <c r="AI181" s="367"/>
      <c r="AJ181" s="372"/>
      <c r="AK181" s="367"/>
      <c r="AL181" s="366">
        <f t="shared" si="318"/>
        <v>5</v>
      </c>
      <c r="AM181" s="367">
        <f t="shared" si="319"/>
        <v>13239.568125</v>
      </c>
      <c r="AN181" s="366">
        <f t="shared" si="320"/>
        <v>0</v>
      </c>
      <c r="AO181" s="367" t="str">
        <f t="shared" si="332"/>
        <v>0</v>
      </c>
      <c r="AP181" s="367" t="str">
        <f t="shared" si="333"/>
        <v>0</v>
      </c>
      <c r="AQ181" s="367" t="str">
        <f t="shared" si="334"/>
        <v>0</v>
      </c>
      <c r="AR181" s="367" t="str">
        <f t="shared" si="335"/>
        <v>0</v>
      </c>
      <c r="AS181" s="366"/>
      <c r="AT181" s="367"/>
      <c r="AU181" s="371"/>
      <c r="AV181" s="367"/>
      <c r="AW181" s="371">
        <f t="shared" si="336"/>
        <v>0</v>
      </c>
      <c r="AX181" s="372"/>
      <c r="AY181" s="367"/>
      <c r="AZ181" s="367">
        <f t="shared" si="337"/>
        <v>17652.7575</v>
      </c>
      <c r="BA181" s="373">
        <f t="shared" si="338"/>
        <v>61784.651250000003</v>
      </c>
      <c r="BB181" s="374">
        <f t="shared" si="321"/>
        <v>6178.4651250000006</v>
      </c>
      <c r="BC181" s="374">
        <f t="shared" si="322"/>
        <v>1235.693025</v>
      </c>
      <c r="BD181" s="374">
        <f>(BA181-BB181-BC181)*10%</f>
        <v>5437.0493100000003</v>
      </c>
      <c r="BE181" s="374">
        <f t="shared" si="323"/>
        <v>48933.443789999998</v>
      </c>
      <c r="BF181" s="374">
        <f t="shared" si="324"/>
        <v>741415.81500000006</v>
      </c>
      <c r="BG181" s="374">
        <f t="shared" si="339"/>
        <v>88263.787500000006</v>
      </c>
      <c r="BH181" s="374">
        <f t="shared" si="325"/>
        <v>829679.60250000004</v>
      </c>
      <c r="BI181" s="374">
        <f t="shared" si="176"/>
        <v>37335.5821125</v>
      </c>
      <c r="BJ181" s="374">
        <f t="shared" si="327"/>
        <v>22242.474450000002</v>
      </c>
      <c r="BK181" s="374">
        <f t="shared" si="178"/>
        <v>43171.58374200001</v>
      </c>
      <c r="BL181" s="374">
        <f t="shared" si="330"/>
        <v>37335.5821125</v>
      </c>
      <c r="BM181" s="373">
        <f t="shared" si="329"/>
        <v>969764.82491700002</v>
      </c>
      <c r="BN181" s="534"/>
      <c r="BO181" s="356"/>
      <c r="BP181" s="356"/>
      <c r="BQ181" s="356"/>
      <c r="BR181" s="356"/>
      <c r="BS181" s="356"/>
      <c r="BT181" s="356"/>
      <c r="BU181" s="356"/>
      <c r="BV181" s="356"/>
      <c r="BW181" s="356"/>
      <c r="BX181" s="356"/>
      <c r="BY181" s="356"/>
      <c r="BZ181" s="356"/>
      <c r="CA181" s="356"/>
      <c r="CB181" s="356"/>
      <c r="CC181" s="356"/>
      <c r="CD181" s="356"/>
      <c r="CE181" s="356"/>
      <c r="CF181" s="356"/>
      <c r="CG181" s="356"/>
      <c r="CH181" s="356"/>
      <c r="CI181" s="356"/>
    </row>
    <row r="182" spans="1:87" ht="45">
      <c r="A182" s="526">
        <f t="shared" si="331"/>
        <v>133</v>
      </c>
      <c r="B182" s="527">
        <f t="shared" si="331"/>
        <v>8</v>
      </c>
      <c r="C182" s="387" t="s">
        <v>1118</v>
      </c>
      <c r="D182" s="1003" t="s">
        <v>1358</v>
      </c>
      <c r="E182" s="366" t="s">
        <v>998</v>
      </c>
      <c r="F182" s="531" t="s">
        <v>999</v>
      </c>
      <c r="G182" s="531" t="s">
        <v>1158</v>
      </c>
      <c r="H182" s="530" t="s">
        <v>273</v>
      </c>
      <c r="I182" s="366">
        <v>17697</v>
      </c>
      <c r="J182" s="367">
        <v>11.4</v>
      </c>
      <c r="K182" s="367">
        <f t="shared" si="312"/>
        <v>201745.80000000002</v>
      </c>
      <c r="L182" s="380">
        <v>10</v>
      </c>
      <c r="M182" s="380">
        <v>7</v>
      </c>
      <c r="N182" s="380"/>
      <c r="O182" s="380"/>
      <c r="P182" s="380"/>
      <c r="Q182" s="368">
        <f t="shared" si="288"/>
        <v>17</v>
      </c>
      <c r="R182" s="380"/>
      <c r="S182" s="380"/>
      <c r="T182" s="380"/>
      <c r="U182" s="380"/>
      <c r="V182" s="380"/>
      <c r="W182" s="381">
        <f t="shared" si="289"/>
        <v>0</v>
      </c>
      <c r="X182" s="458">
        <f t="shared" si="313"/>
        <v>17</v>
      </c>
      <c r="Y182" s="367">
        <f t="shared" si="314"/>
        <v>214354.91250000001</v>
      </c>
      <c r="Z182" s="367">
        <f t="shared" si="315"/>
        <v>21435.491250000003</v>
      </c>
      <c r="AA182" s="372"/>
      <c r="AB182" s="367">
        <f t="shared" si="316"/>
        <v>0</v>
      </c>
      <c r="AC182" s="372"/>
      <c r="AD182" s="367">
        <f t="shared" si="317"/>
        <v>0</v>
      </c>
      <c r="AE182" s="366"/>
      <c r="AF182" s="366"/>
      <c r="AG182" s="367"/>
      <c r="AH182" s="366"/>
      <c r="AI182" s="367"/>
      <c r="AJ182" s="372"/>
      <c r="AK182" s="367"/>
      <c r="AL182" s="366">
        <f t="shared" si="318"/>
        <v>17</v>
      </c>
      <c r="AM182" s="367">
        <f t="shared" si="319"/>
        <v>64306.473749999997</v>
      </c>
      <c r="AN182" s="366" t="str">
        <f t="shared" si="320"/>
        <v>Педагог-шебер</v>
      </c>
      <c r="AO182" s="367">
        <f t="shared" si="332"/>
        <v>107177.45625</v>
      </c>
      <c r="AP182" s="367" t="str">
        <f t="shared" si="333"/>
        <v>0</v>
      </c>
      <c r="AQ182" s="367" t="str">
        <f t="shared" si="334"/>
        <v>0</v>
      </c>
      <c r="AR182" s="367" t="str">
        <f t="shared" si="335"/>
        <v>0</v>
      </c>
      <c r="AS182" s="366"/>
      <c r="AT182" s="367"/>
      <c r="AU182" s="371"/>
      <c r="AV182" s="367"/>
      <c r="AW182" s="371" t="str">
        <f t="shared" si="336"/>
        <v>Магистр</v>
      </c>
      <c r="AX182" s="372">
        <f>10*4335</f>
        <v>43350</v>
      </c>
      <c r="AY182" s="367"/>
      <c r="AZ182" s="367">
        <f t="shared" si="337"/>
        <v>236269.42125000001</v>
      </c>
      <c r="BA182" s="373">
        <f t="shared" si="338"/>
        <v>450624.33374999999</v>
      </c>
      <c r="BB182" s="374">
        <f t="shared" si="321"/>
        <v>45062.433375000001</v>
      </c>
      <c r="BC182" s="374">
        <f t="shared" si="322"/>
        <v>9012.4866750000001</v>
      </c>
      <c r="BD182" s="374">
        <f>(BA182-BB182-BC182-(14*4335))*10%</f>
        <v>33585.94137</v>
      </c>
      <c r="BE182" s="374">
        <f t="shared" si="323"/>
        <v>362963.47232999996</v>
      </c>
      <c r="BF182" s="374">
        <f t="shared" si="324"/>
        <v>5407492.0049999999</v>
      </c>
      <c r="BG182" s="374">
        <f t="shared" si="339"/>
        <v>428709.82500000001</v>
      </c>
      <c r="BH182" s="374">
        <f t="shared" si="325"/>
        <v>5836201.8300000001</v>
      </c>
      <c r="BI182" s="374">
        <f t="shared" si="176"/>
        <v>262629.08234999998</v>
      </c>
      <c r="BJ182" s="374">
        <f t="shared" si="327"/>
        <v>162224.76014999999</v>
      </c>
      <c r="BK182" s="374">
        <f t="shared" si="178"/>
        <v>303258.416409</v>
      </c>
      <c r="BL182" s="374">
        <f>BH182*4.5%-45822</f>
        <v>216807.08234999998</v>
      </c>
      <c r="BM182" s="373">
        <f>BH182+BI182+BJ182+BK182+BL182</f>
        <v>6781121.171258999</v>
      </c>
      <c r="BN182" s="534"/>
      <c r="BO182" s="356"/>
      <c r="BP182" s="356"/>
      <c r="BQ182" s="356"/>
      <c r="BR182" s="356"/>
      <c r="BS182" s="356"/>
      <c r="BT182" s="356"/>
      <c r="BU182" s="356"/>
      <c r="BV182" s="356"/>
      <c r="BW182" s="356"/>
      <c r="BX182" s="356"/>
      <c r="BY182" s="356"/>
      <c r="BZ182" s="356"/>
      <c r="CA182" s="356"/>
      <c r="CB182" s="356"/>
      <c r="CC182" s="356"/>
      <c r="CD182" s="356"/>
      <c r="CE182" s="356"/>
      <c r="CF182" s="356"/>
      <c r="CG182" s="356"/>
      <c r="CH182" s="356"/>
      <c r="CI182" s="356"/>
    </row>
    <row r="183" spans="1:87" ht="15">
      <c r="A183" s="543"/>
      <c r="B183" s="544"/>
      <c r="C183" s="537"/>
      <c r="D183" s="538"/>
      <c r="E183" s="705"/>
      <c r="F183" s="490"/>
      <c r="G183" s="490"/>
      <c r="H183" s="491"/>
      <c r="I183" s="490"/>
      <c r="J183" s="490"/>
      <c r="K183" s="422">
        <f>SUM(K175:K182)</f>
        <v>1312055.58</v>
      </c>
      <c r="L183" s="422">
        <f t="shared" ref="L183:BN183" si="340">SUM(L175:L182)</f>
        <v>20</v>
      </c>
      <c r="M183" s="422">
        <f t="shared" si="340"/>
        <v>20</v>
      </c>
      <c r="N183" s="422">
        <f t="shared" si="340"/>
        <v>18</v>
      </c>
      <c r="O183" s="422">
        <f t="shared" si="340"/>
        <v>0</v>
      </c>
      <c r="P183" s="422">
        <f t="shared" si="340"/>
        <v>0</v>
      </c>
      <c r="Q183" s="422">
        <f t="shared" si="340"/>
        <v>58</v>
      </c>
      <c r="R183" s="422">
        <f t="shared" si="340"/>
        <v>0</v>
      </c>
      <c r="S183" s="422">
        <f t="shared" si="340"/>
        <v>0</v>
      </c>
      <c r="T183" s="422">
        <f t="shared" si="340"/>
        <v>0</v>
      </c>
      <c r="U183" s="422">
        <f t="shared" si="340"/>
        <v>0</v>
      </c>
      <c r="V183" s="422">
        <f t="shared" si="340"/>
        <v>0</v>
      </c>
      <c r="W183" s="422">
        <f t="shared" si="340"/>
        <v>0</v>
      </c>
      <c r="X183" s="422">
        <f t="shared" si="340"/>
        <v>58</v>
      </c>
      <c r="Y183" s="422">
        <f t="shared" si="340"/>
        <v>619483.48499999999</v>
      </c>
      <c r="Z183" s="422">
        <f t="shared" si="340"/>
        <v>61948.348500000007</v>
      </c>
      <c r="AA183" s="422">
        <f t="shared" si="340"/>
        <v>0</v>
      </c>
      <c r="AB183" s="422">
        <f t="shared" si="340"/>
        <v>0</v>
      </c>
      <c r="AC183" s="422">
        <f t="shared" si="340"/>
        <v>0</v>
      </c>
      <c r="AD183" s="422">
        <f t="shared" si="340"/>
        <v>0</v>
      </c>
      <c r="AE183" s="422">
        <f t="shared" si="340"/>
        <v>0</v>
      </c>
      <c r="AF183" s="422">
        <f t="shared" si="340"/>
        <v>0</v>
      </c>
      <c r="AG183" s="422">
        <f t="shared" si="340"/>
        <v>0</v>
      </c>
      <c r="AH183" s="422">
        <f t="shared" si="340"/>
        <v>0</v>
      </c>
      <c r="AI183" s="422">
        <f t="shared" si="340"/>
        <v>0</v>
      </c>
      <c r="AJ183" s="422">
        <f t="shared" si="340"/>
        <v>0</v>
      </c>
      <c r="AK183" s="422">
        <f t="shared" si="340"/>
        <v>0</v>
      </c>
      <c r="AL183" s="422">
        <f t="shared" si="340"/>
        <v>58</v>
      </c>
      <c r="AM183" s="422">
        <f t="shared" si="340"/>
        <v>185845.04549999998</v>
      </c>
      <c r="AN183" s="422">
        <f t="shared" si="340"/>
        <v>0</v>
      </c>
      <c r="AO183" s="422">
        <f t="shared" si="340"/>
        <v>107177.45625</v>
      </c>
      <c r="AP183" s="422">
        <f t="shared" si="340"/>
        <v>0</v>
      </c>
      <c r="AQ183" s="422">
        <f t="shared" si="340"/>
        <v>0</v>
      </c>
      <c r="AR183" s="422">
        <f t="shared" si="340"/>
        <v>0</v>
      </c>
      <c r="AS183" s="422">
        <f t="shared" si="340"/>
        <v>0</v>
      </c>
      <c r="AT183" s="422">
        <f t="shared" si="340"/>
        <v>0</v>
      </c>
      <c r="AU183" s="422">
        <f t="shared" si="340"/>
        <v>0</v>
      </c>
      <c r="AV183" s="422">
        <f t="shared" si="340"/>
        <v>0</v>
      </c>
      <c r="AW183" s="422">
        <f t="shared" si="340"/>
        <v>0</v>
      </c>
      <c r="AX183" s="422">
        <f t="shared" si="340"/>
        <v>43350</v>
      </c>
      <c r="AY183" s="422">
        <f t="shared" si="340"/>
        <v>0</v>
      </c>
      <c r="AZ183" s="422">
        <f t="shared" si="340"/>
        <v>398320.85025000002</v>
      </c>
      <c r="BA183" s="422">
        <f t="shared" si="340"/>
        <v>1017804.33525</v>
      </c>
      <c r="BB183" s="422">
        <f t="shared" si="340"/>
        <v>101780.433525</v>
      </c>
      <c r="BC183" s="422">
        <f t="shared" si="340"/>
        <v>20356.086705000002</v>
      </c>
      <c r="BD183" s="422">
        <f t="shared" si="340"/>
        <v>59221.781502000005</v>
      </c>
      <c r="BE183" s="422">
        <f t="shared" si="340"/>
        <v>836446.03351800004</v>
      </c>
      <c r="BF183" s="422">
        <f t="shared" si="340"/>
        <v>12213652.023000002</v>
      </c>
      <c r="BG183" s="422">
        <f t="shared" si="340"/>
        <v>1238966.97</v>
      </c>
      <c r="BH183" s="422">
        <f t="shared" si="340"/>
        <v>13452618.993000001</v>
      </c>
      <c r="BI183" s="422">
        <f t="shared" si="340"/>
        <v>605367.85468500003</v>
      </c>
      <c r="BJ183" s="422">
        <f t="shared" si="340"/>
        <v>366409.56068999995</v>
      </c>
      <c r="BK183" s="422">
        <f t="shared" si="340"/>
        <v>699571.39117139997</v>
      </c>
      <c r="BL183" s="422">
        <f t="shared" si="340"/>
        <v>559545.85468499991</v>
      </c>
      <c r="BM183" s="422">
        <f t="shared" si="340"/>
        <v>15683513.654231399</v>
      </c>
      <c r="BN183" s="422">
        <f t="shared" si="340"/>
        <v>0</v>
      </c>
      <c r="BO183" s="355"/>
      <c r="BP183" s="355"/>
      <c r="BQ183" s="355"/>
      <c r="BR183" s="355"/>
      <c r="BS183" s="355"/>
      <c r="BT183" s="355"/>
      <c r="BU183" s="355"/>
      <c r="BV183" s="355"/>
      <c r="BW183" s="355"/>
      <c r="BX183" s="355"/>
      <c r="BY183" s="355"/>
      <c r="BZ183" s="355"/>
      <c r="CA183" s="355"/>
      <c r="CB183" s="355"/>
      <c r="CC183" s="355"/>
      <c r="CD183" s="355"/>
      <c r="CE183" s="355"/>
      <c r="CF183" s="355"/>
      <c r="CG183" s="355"/>
      <c r="CH183" s="355"/>
      <c r="CI183" s="356"/>
    </row>
    <row r="184" spans="1:87" ht="33" customHeight="1">
      <c r="A184" s="545">
        <f>A182+1</f>
        <v>134</v>
      </c>
      <c r="B184" s="546">
        <f>1</f>
        <v>1</v>
      </c>
      <c r="C184" s="518" t="s">
        <v>1359</v>
      </c>
      <c r="D184" s="414" t="s">
        <v>1360</v>
      </c>
      <c r="E184" s="394" t="s">
        <v>57</v>
      </c>
      <c r="F184" s="394" t="s">
        <v>1005</v>
      </c>
      <c r="G184" s="394"/>
      <c r="H184" s="371" t="s">
        <v>1454</v>
      </c>
      <c r="I184" s="366">
        <v>17697</v>
      </c>
      <c r="J184" s="367">
        <v>11.18</v>
      </c>
      <c r="K184" s="367">
        <f t="shared" ref="K184:K199" si="341">I184*J184</f>
        <v>197852.46</v>
      </c>
      <c r="L184" s="380"/>
      <c r="M184" s="380"/>
      <c r="N184" s="380"/>
      <c r="O184" s="380"/>
      <c r="P184" s="380"/>
      <c r="Q184" s="368">
        <f t="shared" ref="Q184:Q199" si="342">SUM(L184:P184)</f>
        <v>0</v>
      </c>
      <c r="R184" s="380"/>
      <c r="S184" s="380"/>
      <c r="T184" s="380"/>
      <c r="U184" s="380">
        <v>4</v>
      </c>
      <c r="V184" s="380"/>
      <c r="W184" s="381">
        <f t="shared" ref="W184:W199" si="343">SUM(R184:V184)</f>
        <v>4</v>
      </c>
      <c r="X184" s="370">
        <f t="shared" ref="X184:X199" si="344">Q184+W184</f>
        <v>4</v>
      </c>
      <c r="Y184" s="367">
        <f t="shared" ref="Y184:Y199" si="345">K184/16*X184</f>
        <v>49463.114999999998</v>
      </c>
      <c r="Z184" s="367">
        <f t="shared" ref="Z184:Z198" si="346">Y184*10%</f>
        <v>4946.3114999999998</v>
      </c>
      <c r="AA184" s="497"/>
      <c r="AB184" s="367">
        <f t="shared" ref="AB184:AB198" si="347">I184/16*AA184*40%</f>
        <v>0</v>
      </c>
      <c r="AC184" s="497"/>
      <c r="AD184" s="367">
        <f t="shared" ref="AD184:AD198" si="348">I184/16*AC184*40%*50%</f>
        <v>0</v>
      </c>
      <c r="AE184" s="374"/>
      <c r="AF184" s="497"/>
      <c r="AG184" s="367"/>
      <c r="AH184" s="497"/>
      <c r="AI184" s="367"/>
      <c r="AJ184" s="372"/>
      <c r="AK184" s="367"/>
      <c r="AL184" s="366">
        <f t="shared" ref="AL184:AL199" si="349">X184</f>
        <v>4</v>
      </c>
      <c r="AM184" s="367">
        <f t="shared" ref="AM184:AM199" si="350">K184/16*AL184*30%</f>
        <v>14838.934499999999</v>
      </c>
      <c r="AN184" s="366" t="str">
        <f>F184</f>
        <v>Педагог-зерттеуші</v>
      </c>
      <c r="AO184" s="367" t="str">
        <f t="shared" ref="AO184:AO199" si="351">IF(AN184="Педагог-зерттеуші", "0", IF(AN184="Педагог-шебер",K184/16*X184*50%, IF(AN184="Педагог-сарапшы", "0", IF(AN184="Педагог-модератор", "0", "0"))))</f>
        <v>0</v>
      </c>
      <c r="AP184" s="367">
        <f t="shared" ref="AP184:AP199" si="352">IF(AN184="Педагог-шебер", "0", IF(AN184="Педагог-зерттеуші",K184/16*X184*40%, IF(AN184="Педагог-сарапшы", "0", IF(AN184="Педагог-модератор", "0", "0"))))</f>
        <v>19785.245999999999</v>
      </c>
      <c r="AQ184" s="367" t="str">
        <f t="shared" ref="AQ184:AQ199" si="353">IF(AN184="Педагог-шебер", "0", IF(AN184="Педагог-сарапшы",K184/16*X184*35%, IF(AN184="Педагог-зерттеуші", "0", IF(AN184="Педагог-модератор", "0", "0"))))</f>
        <v>0</v>
      </c>
      <c r="AR184" s="367" t="str">
        <f t="shared" ref="AR184:AR199" si="354">IF(AN184="Педагог-шебер", "0", IF(AN184="Педагог-модератор",K184/16*X184*30%, IF(AN184="Педагог-зерттеуші", "0", IF(AN184="Педагог-сарапшы", "0", "0"))))</f>
        <v>0</v>
      </c>
      <c r="AS184" s="497"/>
      <c r="AT184" s="374"/>
      <c r="AU184" s="499"/>
      <c r="AV184" s="374"/>
      <c r="AW184" s="371"/>
      <c r="AX184" s="367"/>
      <c r="AY184" s="367"/>
      <c r="AZ184" s="367">
        <f t="shared" ref="AZ184:AZ199" si="355">Z184+AB184+AD184+AE184+AG184+AI184+AK184+AM184+AO184+AP184+AQ184++AR184+AT184+AV184+AX184+AY184</f>
        <v>39570.491999999998</v>
      </c>
      <c r="BA184" s="373">
        <f t="shared" ref="BA184:BA199" si="356">Y184+AZ184</f>
        <v>89033.606999999989</v>
      </c>
      <c r="BB184" s="374">
        <f t="shared" si="169"/>
        <v>8903.3606999999993</v>
      </c>
      <c r="BC184" s="374">
        <f t="shared" si="170"/>
        <v>1780.6721399999999</v>
      </c>
      <c r="BD184" s="374">
        <f>(BA184-BB184-BC184-(14*4335))*10%</f>
        <v>1765.9574159999991</v>
      </c>
      <c r="BE184" s="374">
        <f t="shared" si="172"/>
        <v>76583.616743999984</v>
      </c>
      <c r="BF184" s="374">
        <f t="shared" si="173"/>
        <v>1068403.284</v>
      </c>
      <c r="BG184" s="374">
        <f t="shared" ref="BG184:BG199" si="357">Y184*2</f>
        <v>98926.23</v>
      </c>
      <c r="BH184" s="374">
        <f t="shared" si="175"/>
        <v>1167329.514</v>
      </c>
      <c r="BI184" s="374">
        <f t="shared" si="176"/>
        <v>52529.828130000009</v>
      </c>
      <c r="BJ184" s="374">
        <f t="shared" si="177"/>
        <v>32052.09852</v>
      </c>
      <c r="BK184" s="374">
        <f t="shared" si="178"/>
        <v>60685.306531199996</v>
      </c>
      <c r="BL184" s="374">
        <f>BH184*4.5%</f>
        <v>52529.828129999994</v>
      </c>
      <c r="BM184" s="373">
        <f t="shared" si="306"/>
        <v>1365126.5753112</v>
      </c>
      <c r="BN184" s="375"/>
      <c r="BO184" s="377"/>
      <c r="BP184" s="377"/>
      <c r="BQ184" s="377"/>
      <c r="BR184" s="377"/>
      <c r="BS184" s="377"/>
      <c r="BT184" s="377"/>
      <c r="BU184" s="377"/>
      <c r="BV184" s="377"/>
      <c r="BW184" s="377"/>
      <c r="BX184" s="377"/>
      <c r="BY184" s="377"/>
      <c r="BZ184" s="377"/>
      <c r="CA184" s="377"/>
      <c r="CB184" s="377"/>
      <c r="CC184" s="377"/>
      <c r="CD184" s="377"/>
      <c r="CE184" s="377"/>
      <c r="CF184" s="377"/>
      <c r="CG184" s="377"/>
      <c r="CH184" s="377"/>
      <c r="CI184" s="377"/>
    </row>
    <row r="185" spans="1:87" ht="47.25">
      <c r="A185" s="547">
        <f>A184+1</f>
        <v>135</v>
      </c>
      <c r="B185" s="383">
        <f>B184+1</f>
        <v>2</v>
      </c>
      <c r="C185" s="548" t="s">
        <v>550</v>
      </c>
      <c r="D185" s="379" t="s">
        <v>1361</v>
      </c>
      <c r="E185" s="549" t="s">
        <v>57</v>
      </c>
      <c r="F185" s="549"/>
      <c r="G185" s="549"/>
      <c r="H185" s="550" t="s">
        <v>1362</v>
      </c>
      <c r="I185" s="393">
        <v>17697</v>
      </c>
      <c r="J185" s="479">
        <v>11.4</v>
      </c>
      <c r="K185" s="479">
        <f t="shared" si="341"/>
        <v>201745.80000000002</v>
      </c>
      <c r="L185" s="430"/>
      <c r="M185" s="430"/>
      <c r="N185" s="551"/>
      <c r="O185" s="430"/>
      <c r="P185" s="430"/>
      <c r="Q185" s="368">
        <f t="shared" si="342"/>
        <v>0</v>
      </c>
      <c r="R185" s="430"/>
      <c r="S185" s="430"/>
      <c r="T185" s="430">
        <v>10</v>
      </c>
      <c r="U185" s="430"/>
      <c r="V185" s="430"/>
      <c r="W185" s="381">
        <f t="shared" si="343"/>
        <v>10</v>
      </c>
      <c r="X185" s="370">
        <f t="shared" si="344"/>
        <v>10</v>
      </c>
      <c r="Y185" s="479">
        <f t="shared" si="345"/>
        <v>126091.12500000001</v>
      </c>
      <c r="Z185" s="367">
        <f t="shared" si="346"/>
        <v>12609.112500000003</v>
      </c>
      <c r="AA185" s="501"/>
      <c r="AB185" s="479">
        <f t="shared" si="347"/>
        <v>0</v>
      </c>
      <c r="AC185" s="501"/>
      <c r="AD185" s="479">
        <f t="shared" si="348"/>
        <v>0</v>
      </c>
      <c r="AE185" s="501"/>
      <c r="AF185" s="501"/>
      <c r="AG185" s="479"/>
      <c r="AH185" s="501"/>
      <c r="AI185" s="479"/>
      <c r="AJ185" s="552"/>
      <c r="AK185" s="479"/>
      <c r="AL185" s="393">
        <f t="shared" si="349"/>
        <v>10</v>
      </c>
      <c r="AM185" s="479">
        <f t="shared" si="350"/>
        <v>37827.337500000001</v>
      </c>
      <c r="AN185" s="393">
        <f>F185</f>
        <v>0</v>
      </c>
      <c r="AO185" s="479" t="str">
        <f t="shared" si="351"/>
        <v>0</v>
      </c>
      <c r="AP185" s="479" t="str">
        <f t="shared" si="352"/>
        <v>0</v>
      </c>
      <c r="AQ185" s="479" t="str">
        <f t="shared" si="353"/>
        <v>0</v>
      </c>
      <c r="AR185" s="479" t="str">
        <f t="shared" si="354"/>
        <v>0</v>
      </c>
      <c r="AS185" s="501"/>
      <c r="AT185" s="553"/>
      <c r="AU185" s="554"/>
      <c r="AV185" s="553"/>
      <c r="AW185" s="478"/>
      <c r="AX185" s="367"/>
      <c r="AY185" s="479"/>
      <c r="AZ185" s="367">
        <f t="shared" si="355"/>
        <v>50436.450000000004</v>
      </c>
      <c r="BA185" s="373">
        <f t="shared" si="356"/>
        <v>176527.57500000001</v>
      </c>
      <c r="BB185" s="374">
        <f t="shared" si="169"/>
        <v>17652.757500000003</v>
      </c>
      <c r="BC185" s="374">
        <f t="shared" si="170"/>
        <v>3530.5515000000005</v>
      </c>
      <c r="BD185" s="374">
        <f>(BA185-BB185-BC185-(14*4335))*10%</f>
        <v>9465.4266000000007</v>
      </c>
      <c r="BE185" s="374">
        <f t="shared" si="172"/>
        <v>145878.8394</v>
      </c>
      <c r="BF185" s="374">
        <f t="shared" si="173"/>
        <v>2118330.9000000004</v>
      </c>
      <c r="BG185" s="374">
        <f t="shared" si="357"/>
        <v>252182.25000000003</v>
      </c>
      <c r="BH185" s="374">
        <f t="shared" si="175"/>
        <v>2370513.1500000004</v>
      </c>
      <c r="BI185" s="374">
        <f t="shared" si="176"/>
        <v>106673.09175000002</v>
      </c>
      <c r="BJ185" s="374">
        <f t="shared" si="177"/>
        <v>63549.927000000011</v>
      </c>
      <c r="BK185" s="374">
        <f t="shared" si="178"/>
        <v>123347.38212000002</v>
      </c>
      <c r="BL185" s="374">
        <f t="shared" ref="BL185:BL198" si="358">BH185*4.5%</f>
        <v>106673.09175000001</v>
      </c>
      <c r="BM185" s="373">
        <f t="shared" si="306"/>
        <v>2770756.642620001</v>
      </c>
      <c r="BN185" s="555"/>
      <c r="BO185" s="377"/>
      <c r="BP185" s="377"/>
      <c r="BQ185" s="377"/>
      <c r="BR185" s="377"/>
      <c r="BS185" s="377"/>
      <c r="BT185" s="377"/>
      <c r="BU185" s="377"/>
      <c r="BV185" s="377"/>
      <c r="BW185" s="377"/>
      <c r="BX185" s="377"/>
      <c r="BY185" s="377"/>
      <c r="BZ185" s="377"/>
      <c r="CA185" s="377"/>
      <c r="CB185" s="377"/>
      <c r="CC185" s="377"/>
      <c r="CD185" s="377"/>
      <c r="CE185" s="377"/>
      <c r="CF185" s="377"/>
      <c r="CG185" s="377"/>
      <c r="CH185" s="377"/>
      <c r="CI185" s="377"/>
    </row>
    <row r="186" spans="1:87" ht="47.25">
      <c r="A186" s="547">
        <f t="shared" ref="A186:B199" si="359">A185+1</f>
        <v>136</v>
      </c>
      <c r="B186" s="383">
        <f t="shared" si="359"/>
        <v>3</v>
      </c>
      <c r="C186" s="417" t="s">
        <v>429</v>
      </c>
      <c r="D186" s="379" t="s">
        <v>1363</v>
      </c>
      <c r="E186" s="549" t="s">
        <v>57</v>
      </c>
      <c r="F186" s="549"/>
      <c r="G186" s="549"/>
      <c r="H186" s="550" t="s">
        <v>1364</v>
      </c>
      <c r="I186" s="393">
        <v>17697</v>
      </c>
      <c r="J186" s="367">
        <v>11.4</v>
      </c>
      <c r="K186" s="479">
        <f t="shared" si="341"/>
        <v>201745.80000000002</v>
      </c>
      <c r="L186" s="430"/>
      <c r="M186" s="430"/>
      <c r="N186" s="551"/>
      <c r="O186" s="430"/>
      <c r="P186" s="430"/>
      <c r="Q186" s="368">
        <f t="shared" si="342"/>
        <v>0</v>
      </c>
      <c r="R186" s="430"/>
      <c r="S186" s="430"/>
      <c r="T186" s="430">
        <v>1</v>
      </c>
      <c r="U186" s="430">
        <v>4</v>
      </c>
      <c r="V186" s="430"/>
      <c r="W186" s="381">
        <f t="shared" ref="W186:W187" si="360">SUM(R186:V186)</f>
        <v>5</v>
      </c>
      <c r="X186" s="370">
        <f t="shared" si="344"/>
        <v>5</v>
      </c>
      <c r="Y186" s="479">
        <f t="shared" si="345"/>
        <v>63045.562500000007</v>
      </c>
      <c r="Z186" s="367"/>
      <c r="AA186" s="501"/>
      <c r="AB186" s="479">
        <f t="shared" si="347"/>
        <v>0</v>
      </c>
      <c r="AC186" s="501"/>
      <c r="AD186" s="479">
        <f t="shared" si="348"/>
        <v>0</v>
      </c>
      <c r="AE186" s="501"/>
      <c r="AF186" s="501"/>
      <c r="AG186" s="479"/>
      <c r="AH186" s="501"/>
      <c r="AI186" s="479"/>
      <c r="AJ186" s="552"/>
      <c r="AK186" s="479"/>
      <c r="AL186" s="393">
        <f t="shared" si="349"/>
        <v>5</v>
      </c>
      <c r="AM186" s="479">
        <f t="shared" si="350"/>
        <v>18913.668750000001</v>
      </c>
      <c r="AN186" s="393">
        <f t="shared" ref="AN186:AN187" si="361">F186</f>
        <v>0</v>
      </c>
      <c r="AO186" s="479" t="str">
        <f t="shared" si="351"/>
        <v>0</v>
      </c>
      <c r="AP186" s="479" t="str">
        <f t="shared" si="352"/>
        <v>0</v>
      </c>
      <c r="AQ186" s="479" t="str">
        <f t="shared" si="353"/>
        <v>0</v>
      </c>
      <c r="AR186" s="479" t="str">
        <f t="shared" si="354"/>
        <v>0</v>
      </c>
      <c r="AS186" s="501"/>
      <c r="AT186" s="553"/>
      <c r="AU186" s="554"/>
      <c r="AV186" s="553"/>
      <c r="AW186" s="478"/>
      <c r="AX186" s="367"/>
      <c r="AY186" s="479"/>
      <c r="AZ186" s="367">
        <f t="shared" si="355"/>
        <v>18913.668750000001</v>
      </c>
      <c r="BA186" s="373">
        <f t="shared" si="356"/>
        <v>81959.231250000012</v>
      </c>
      <c r="BB186" s="374">
        <f t="shared" si="169"/>
        <v>8195.9231250000012</v>
      </c>
      <c r="BC186" s="374">
        <f t="shared" si="170"/>
        <v>1639.1846250000003</v>
      </c>
      <c r="BD186" s="374">
        <f>(BA186-BB186-BC186-(14*4335))*10%</f>
        <v>1143.4123500000017</v>
      </c>
      <c r="BE186" s="374">
        <f t="shared" si="172"/>
        <v>70980.711150000017</v>
      </c>
      <c r="BF186" s="374">
        <f t="shared" si="173"/>
        <v>983510.77500000014</v>
      </c>
      <c r="BG186" s="374">
        <f t="shared" si="357"/>
        <v>126091.12500000001</v>
      </c>
      <c r="BH186" s="374">
        <f t="shared" si="175"/>
        <v>1109601.9000000001</v>
      </c>
      <c r="BI186" s="374">
        <f t="shared" si="176"/>
        <v>49932.085500000016</v>
      </c>
      <c r="BJ186" s="374">
        <f t="shared" si="177"/>
        <v>29505.323250000001</v>
      </c>
      <c r="BK186" s="374">
        <f t="shared" si="178"/>
        <v>57754.778894999996</v>
      </c>
      <c r="BL186" s="374">
        <f t="shared" si="358"/>
        <v>49932.085500000001</v>
      </c>
      <c r="BM186" s="373">
        <f t="shared" si="306"/>
        <v>1296726.1731450001</v>
      </c>
      <c r="BN186" s="555">
        <v>1</v>
      </c>
      <c r="BO186" s="377"/>
      <c r="BP186" s="377"/>
      <c r="BQ186" s="377"/>
      <c r="BR186" s="377"/>
      <c r="BS186" s="377"/>
      <c r="BT186" s="377"/>
      <c r="BU186" s="377"/>
      <c r="BV186" s="377"/>
      <c r="BW186" s="377"/>
      <c r="BX186" s="377"/>
      <c r="BY186" s="377"/>
      <c r="BZ186" s="377"/>
      <c r="CA186" s="377"/>
      <c r="CB186" s="377"/>
      <c r="CC186" s="377"/>
      <c r="CD186" s="377"/>
      <c r="CE186" s="377"/>
      <c r="CF186" s="377"/>
      <c r="CG186" s="377"/>
      <c r="CH186" s="377"/>
      <c r="CI186" s="377"/>
    </row>
    <row r="187" spans="1:87" ht="45">
      <c r="A187" s="547">
        <f t="shared" si="359"/>
        <v>137</v>
      </c>
      <c r="B187" s="383">
        <f t="shared" si="359"/>
        <v>4</v>
      </c>
      <c r="C187" s="378" t="s">
        <v>1365</v>
      </c>
      <c r="D187" s="379" t="s">
        <v>1366</v>
      </c>
      <c r="E187" s="556" t="s">
        <v>57</v>
      </c>
      <c r="F187" s="549"/>
      <c r="G187" s="557" t="s">
        <v>1174</v>
      </c>
      <c r="H187" s="550" t="s">
        <v>1455</v>
      </c>
      <c r="I187" s="393">
        <v>17697</v>
      </c>
      <c r="J187" s="479">
        <v>11.02</v>
      </c>
      <c r="K187" s="479">
        <f t="shared" si="341"/>
        <v>195020.94</v>
      </c>
      <c r="L187" s="430"/>
      <c r="M187" s="430"/>
      <c r="N187" s="551"/>
      <c r="O187" s="430"/>
      <c r="P187" s="430"/>
      <c r="Q187" s="368">
        <f t="shared" si="342"/>
        <v>0</v>
      </c>
      <c r="R187" s="430"/>
      <c r="S187" s="430"/>
      <c r="T187" s="430"/>
      <c r="U187" s="430">
        <v>4</v>
      </c>
      <c r="V187" s="430"/>
      <c r="W187" s="381">
        <f t="shared" si="360"/>
        <v>4</v>
      </c>
      <c r="X187" s="370">
        <f t="shared" si="344"/>
        <v>4</v>
      </c>
      <c r="Y187" s="479">
        <f t="shared" si="345"/>
        <v>48755.235000000001</v>
      </c>
      <c r="Z187" s="367"/>
      <c r="AA187" s="501"/>
      <c r="AB187" s="479">
        <f t="shared" si="347"/>
        <v>0</v>
      </c>
      <c r="AC187" s="501"/>
      <c r="AD187" s="479">
        <f t="shared" si="348"/>
        <v>0</v>
      </c>
      <c r="AE187" s="501"/>
      <c r="AF187" s="501"/>
      <c r="AG187" s="479"/>
      <c r="AH187" s="501"/>
      <c r="AI187" s="479"/>
      <c r="AJ187" s="552"/>
      <c r="AK187" s="479"/>
      <c r="AL187" s="393">
        <f t="shared" si="349"/>
        <v>4</v>
      </c>
      <c r="AM187" s="479">
        <f t="shared" si="350"/>
        <v>14626.5705</v>
      </c>
      <c r="AN187" s="393">
        <f t="shared" si="361"/>
        <v>0</v>
      </c>
      <c r="AO187" s="479" t="str">
        <f t="shared" si="351"/>
        <v>0</v>
      </c>
      <c r="AP187" s="479" t="str">
        <f t="shared" si="352"/>
        <v>0</v>
      </c>
      <c r="AQ187" s="479" t="str">
        <f t="shared" si="353"/>
        <v>0</v>
      </c>
      <c r="AR187" s="479" t="str">
        <f t="shared" si="354"/>
        <v>0</v>
      </c>
      <c r="AS187" s="501"/>
      <c r="AT187" s="553"/>
      <c r="AU187" s="554"/>
      <c r="AV187" s="553"/>
      <c r="AW187" s="371" t="str">
        <f t="shared" ref="AW187" si="362">G187</f>
        <v>Магистр образования (ин.язык)</v>
      </c>
      <c r="AX187" s="372">
        <f>10*4335</f>
        <v>43350</v>
      </c>
      <c r="AY187" s="479"/>
      <c r="AZ187" s="367">
        <f t="shared" si="355"/>
        <v>57976.570500000002</v>
      </c>
      <c r="BA187" s="373">
        <f t="shared" si="356"/>
        <v>106731.8055</v>
      </c>
      <c r="BB187" s="374">
        <f t="shared" si="169"/>
        <v>10673.180550000001</v>
      </c>
      <c r="BC187" s="374">
        <f t="shared" si="170"/>
        <v>2134.6361099999999</v>
      </c>
      <c r="BD187" s="374">
        <f>(BA187-BB187-BC187-(14*4335))*10%</f>
        <v>3323.3988839999993</v>
      </c>
      <c r="BE187" s="374">
        <f t="shared" si="172"/>
        <v>90600.589955999996</v>
      </c>
      <c r="BF187" s="374">
        <f t="shared" si="173"/>
        <v>1280781.666</v>
      </c>
      <c r="BG187" s="374">
        <f t="shared" si="357"/>
        <v>97510.47</v>
      </c>
      <c r="BH187" s="374">
        <f t="shared" si="175"/>
        <v>1378292.1359999999</v>
      </c>
      <c r="BI187" s="374">
        <f t="shared" si="176"/>
        <v>62023.146120000005</v>
      </c>
      <c r="BJ187" s="374">
        <f t="shared" si="177"/>
        <v>38423.449979999998</v>
      </c>
      <c r="BK187" s="374">
        <f t="shared" si="178"/>
        <v>71610.055678799996</v>
      </c>
      <c r="BL187" s="374">
        <f t="shared" si="358"/>
        <v>62023.146119999998</v>
      </c>
      <c r="BM187" s="373">
        <f t="shared" si="306"/>
        <v>1612371.9338987998</v>
      </c>
      <c r="BN187" s="555">
        <v>1</v>
      </c>
      <c r="BO187" s="377"/>
      <c r="BP187" s="377"/>
      <c r="BQ187" s="377"/>
      <c r="BR187" s="377"/>
      <c r="BS187" s="377"/>
      <c r="BT187" s="377"/>
      <c r="BU187" s="377"/>
      <c r="BV187" s="377"/>
      <c r="BW187" s="377"/>
      <c r="BX187" s="377"/>
      <c r="BY187" s="377"/>
      <c r="BZ187" s="377"/>
      <c r="CA187" s="377"/>
      <c r="CB187" s="377"/>
      <c r="CC187" s="377"/>
      <c r="CD187" s="377"/>
      <c r="CE187" s="377"/>
      <c r="CF187" s="377"/>
      <c r="CG187" s="377"/>
      <c r="CH187" s="377"/>
      <c r="CI187" s="377"/>
    </row>
    <row r="188" spans="1:87" ht="33" customHeight="1">
      <c r="A188" s="547">
        <f t="shared" si="359"/>
        <v>138</v>
      </c>
      <c r="B188" s="383">
        <f t="shared" si="359"/>
        <v>5</v>
      </c>
      <c r="C188" s="548" t="s">
        <v>906</v>
      </c>
      <c r="D188" s="558" t="s">
        <v>1367</v>
      </c>
      <c r="E188" s="549" t="s">
        <v>57</v>
      </c>
      <c r="F188" s="549"/>
      <c r="G188" s="549"/>
      <c r="H188" s="550" t="s">
        <v>1016</v>
      </c>
      <c r="I188" s="366">
        <v>17697</v>
      </c>
      <c r="J188" s="367">
        <v>9.66</v>
      </c>
      <c r="K188" s="479">
        <f t="shared" si="341"/>
        <v>170953.02</v>
      </c>
      <c r="L188" s="430"/>
      <c r="M188" s="430"/>
      <c r="N188" s="551"/>
      <c r="O188" s="430"/>
      <c r="P188" s="430"/>
      <c r="Q188" s="368">
        <f t="shared" si="342"/>
        <v>0</v>
      </c>
      <c r="R188" s="430"/>
      <c r="S188" s="430"/>
      <c r="T188" s="430"/>
      <c r="U188" s="430"/>
      <c r="V188" s="430"/>
      <c r="W188" s="381">
        <f t="shared" si="343"/>
        <v>0</v>
      </c>
      <c r="X188" s="370">
        <f t="shared" si="344"/>
        <v>0</v>
      </c>
      <c r="Y188" s="479">
        <f t="shared" si="345"/>
        <v>0</v>
      </c>
      <c r="Z188" s="367">
        <f t="shared" si="346"/>
        <v>0</v>
      </c>
      <c r="AA188" s="501"/>
      <c r="AB188" s="479">
        <f t="shared" si="347"/>
        <v>0</v>
      </c>
      <c r="AC188" s="501"/>
      <c r="AD188" s="479">
        <f t="shared" si="348"/>
        <v>0</v>
      </c>
      <c r="AE188" s="501"/>
      <c r="AF188" s="501"/>
      <c r="AG188" s="479"/>
      <c r="AH188" s="501" t="s">
        <v>1368</v>
      </c>
      <c r="AI188" s="479">
        <f>I188*200%*2</f>
        <v>70788</v>
      </c>
      <c r="AJ188" s="552"/>
      <c r="AK188" s="479"/>
      <c r="AL188" s="393">
        <f t="shared" si="349"/>
        <v>0</v>
      </c>
      <c r="AM188" s="479">
        <f t="shared" si="350"/>
        <v>0</v>
      </c>
      <c r="AN188" s="393">
        <f>F188</f>
        <v>0</v>
      </c>
      <c r="AO188" s="479" t="str">
        <f t="shared" si="351"/>
        <v>0</v>
      </c>
      <c r="AP188" s="479" t="str">
        <f t="shared" si="352"/>
        <v>0</v>
      </c>
      <c r="AQ188" s="479" t="str">
        <f t="shared" si="353"/>
        <v>0</v>
      </c>
      <c r="AR188" s="479" t="str">
        <f t="shared" si="354"/>
        <v>0</v>
      </c>
      <c r="AS188" s="501"/>
      <c r="AT188" s="553"/>
      <c r="AU188" s="554"/>
      <c r="AV188" s="553"/>
      <c r="AW188" s="371"/>
      <c r="AX188" s="367"/>
      <c r="AY188" s="479"/>
      <c r="AZ188" s="367">
        <f t="shared" si="355"/>
        <v>70788</v>
      </c>
      <c r="BA188" s="373">
        <f t="shared" si="356"/>
        <v>70788</v>
      </c>
      <c r="BB188" s="374">
        <f t="shared" si="169"/>
        <v>7078.8</v>
      </c>
      <c r="BC188" s="374">
        <f t="shared" si="170"/>
        <v>1415.76</v>
      </c>
      <c r="BD188" s="374">
        <f>(BA188-BB188-BC188-(14*4335))*10%</f>
        <v>160.34399999999951</v>
      </c>
      <c r="BE188" s="374">
        <f t="shared" si="172"/>
        <v>62133.095999999998</v>
      </c>
      <c r="BF188" s="374">
        <f t="shared" si="173"/>
        <v>849456</v>
      </c>
      <c r="BG188" s="374">
        <f t="shared" si="357"/>
        <v>0</v>
      </c>
      <c r="BH188" s="374">
        <f t="shared" si="175"/>
        <v>849456</v>
      </c>
      <c r="BI188" s="374">
        <f t="shared" si="176"/>
        <v>38225.520000000004</v>
      </c>
      <c r="BJ188" s="374">
        <f t="shared" si="177"/>
        <v>25483.68</v>
      </c>
      <c r="BK188" s="374">
        <f t="shared" si="178"/>
        <v>44001.820800000001</v>
      </c>
      <c r="BL188" s="374">
        <f t="shared" si="358"/>
        <v>38225.519999999997</v>
      </c>
      <c r="BM188" s="373">
        <f t="shared" si="306"/>
        <v>995392.54080000008</v>
      </c>
      <c r="BN188" s="555">
        <v>1</v>
      </c>
      <c r="BO188" s="377"/>
      <c r="BP188" s="377"/>
      <c r="BQ188" s="377"/>
      <c r="BR188" s="377"/>
      <c r="BS188" s="377"/>
      <c r="BT188" s="377"/>
      <c r="BU188" s="377"/>
      <c r="BV188" s="377"/>
      <c r="BW188" s="377"/>
      <c r="BX188" s="377"/>
      <c r="BY188" s="377"/>
      <c r="BZ188" s="377"/>
      <c r="CA188" s="377"/>
      <c r="CB188" s="377"/>
      <c r="CC188" s="377"/>
      <c r="CD188" s="377"/>
      <c r="CE188" s="377"/>
      <c r="CF188" s="377"/>
      <c r="CG188" s="377"/>
      <c r="CH188" s="377"/>
      <c r="CI188" s="377"/>
    </row>
    <row r="189" spans="1:87" ht="30">
      <c r="A189" s="547">
        <f t="shared" si="359"/>
        <v>139</v>
      </c>
      <c r="B189" s="383">
        <f t="shared" si="359"/>
        <v>6</v>
      </c>
      <c r="C189" s="378" t="s">
        <v>1369</v>
      </c>
      <c r="D189" s="556" t="s">
        <v>1370</v>
      </c>
      <c r="E189" s="549" t="s">
        <v>57</v>
      </c>
      <c r="F189" s="362"/>
      <c r="G189" s="549"/>
      <c r="H189" s="550" t="s">
        <v>1371</v>
      </c>
      <c r="I189" s="393">
        <v>17697</v>
      </c>
      <c r="J189" s="367">
        <v>11.4</v>
      </c>
      <c r="K189" s="479">
        <f t="shared" si="341"/>
        <v>201745.80000000002</v>
      </c>
      <c r="L189" s="430"/>
      <c r="M189" s="430"/>
      <c r="N189" s="551"/>
      <c r="O189" s="430"/>
      <c r="P189" s="430"/>
      <c r="Q189" s="368">
        <f t="shared" si="342"/>
        <v>0</v>
      </c>
      <c r="R189" s="430"/>
      <c r="S189" s="430"/>
      <c r="T189" s="430"/>
      <c r="U189" s="430"/>
      <c r="V189" s="430"/>
      <c r="W189" s="381">
        <f t="shared" si="343"/>
        <v>0</v>
      </c>
      <c r="X189" s="370">
        <f t="shared" si="344"/>
        <v>0</v>
      </c>
      <c r="Y189" s="479">
        <f t="shared" si="345"/>
        <v>0</v>
      </c>
      <c r="Z189" s="367">
        <f t="shared" si="346"/>
        <v>0</v>
      </c>
      <c r="AA189" s="501"/>
      <c r="AB189" s="479">
        <f t="shared" si="347"/>
        <v>0</v>
      </c>
      <c r="AC189" s="501"/>
      <c r="AD189" s="479">
        <f t="shared" si="348"/>
        <v>0</v>
      </c>
      <c r="AE189" s="501"/>
      <c r="AF189" s="501"/>
      <c r="AG189" s="479"/>
      <c r="AH189" s="501" t="s">
        <v>1372</v>
      </c>
      <c r="AI189" s="479">
        <f>I189*200%</f>
        <v>35394</v>
      </c>
      <c r="AJ189" s="552"/>
      <c r="AK189" s="479"/>
      <c r="AL189" s="393">
        <f t="shared" si="349"/>
        <v>0</v>
      </c>
      <c r="AM189" s="479">
        <f t="shared" si="350"/>
        <v>0</v>
      </c>
      <c r="AN189" s="393">
        <f t="shared" ref="AN189:AN199" si="363">F189</f>
        <v>0</v>
      </c>
      <c r="AO189" s="367" t="str">
        <f t="shared" si="351"/>
        <v>0</v>
      </c>
      <c r="AP189" s="367" t="str">
        <f t="shared" si="352"/>
        <v>0</v>
      </c>
      <c r="AQ189" s="367" t="str">
        <f t="shared" si="353"/>
        <v>0</v>
      </c>
      <c r="AR189" s="367" t="str">
        <f t="shared" si="354"/>
        <v>0</v>
      </c>
      <c r="AS189" s="501"/>
      <c r="AT189" s="553"/>
      <c r="AU189" s="554"/>
      <c r="AV189" s="553"/>
      <c r="AW189" s="371"/>
      <c r="AX189" s="367"/>
      <c r="AY189" s="479"/>
      <c r="AZ189" s="367">
        <f t="shared" si="355"/>
        <v>35394</v>
      </c>
      <c r="BA189" s="373">
        <f t="shared" si="356"/>
        <v>35394</v>
      </c>
      <c r="BB189" s="374">
        <f t="shared" si="169"/>
        <v>3539.4</v>
      </c>
      <c r="BC189" s="374">
        <f t="shared" si="170"/>
        <v>707.88</v>
      </c>
      <c r="BD189" s="374">
        <f>(BA189-BB189-BC189)*10%</f>
        <v>3114.672</v>
      </c>
      <c r="BE189" s="374">
        <f t="shared" si="172"/>
        <v>28032.047999999999</v>
      </c>
      <c r="BF189" s="374">
        <f t="shared" si="173"/>
        <v>424728</v>
      </c>
      <c r="BG189" s="374">
        <f t="shared" si="357"/>
        <v>0</v>
      </c>
      <c r="BH189" s="374">
        <f t="shared" si="175"/>
        <v>424728</v>
      </c>
      <c r="BI189" s="374">
        <f t="shared" si="176"/>
        <v>19112.760000000002</v>
      </c>
      <c r="BJ189" s="374">
        <f t="shared" si="177"/>
        <v>12741.84</v>
      </c>
      <c r="BK189" s="374">
        <f t="shared" si="178"/>
        <v>22000.910400000001</v>
      </c>
      <c r="BL189" s="374">
        <f t="shared" si="358"/>
        <v>19112.759999999998</v>
      </c>
      <c r="BM189" s="373">
        <f t="shared" si="306"/>
        <v>497696.27040000004</v>
      </c>
      <c r="BN189" s="555">
        <v>1</v>
      </c>
      <c r="BO189" s="377"/>
      <c r="BP189" s="377"/>
      <c r="BQ189" s="377"/>
      <c r="BR189" s="377"/>
      <c r="BS189" s="377"/>
      <c r="BT189" s="377"/>
      <c r="BU189" s="377"/>
      <c r="BV189" s="377"/>
      <c r="BW189" s="377"/>
      <c r="BX189" s="377"/>
      <c r="BY189" s="377"/>
      <c r="BZ189" s="377"/>
      <c r="CA189" s="377"/>
      <c r="CB189" s="377"/>
      <c r="CC189" s="377"/>
      <c r="CD189" s="377"/>
      <c r="CE189" s="377"/>
      <c r="CF189" s="377"/>
      <c r="CG189" s="377"/>
      <c r="CH189" s="377"/>
      <c r="CI189" s="377"/>
    </row>
    <row r="190" spans="1:87" ht="30.75" customHeight="1">
      <c r="A190" s="547">
        <f t="shared" si="359"/>
        <v>140</v>
      </c>
      <c r="B190" s="383">
        <f t="shared" si="359"/>
        <v>7</v>
      </c>
      <c r="C190" s="378" t="s">
        <v>1373</v>
      </c>
      <c r="D190" s="556" t="s">
        <v>1374</v>
      </c>
      <c r="E190" s="549" t="s">
        <v>57</v>
      </c>
      <c r="F190" s="549"/>
      <c r="G190" s="549"/>
      <c r="H190" s="550" t="s">
        <v>1375</v>
      </c>
      <c r="I190" s="393">
        <v>17697</v>
      </c>
      <c r="J190" s="367">
        <v>10.4</v>
      </c>
      <c r="K190" s="479">
        <f t="shared" si="341"/>
        <v>184048.80000000002</v>
      </c>
      <c r="L190" s="430"/>
      <c r="M190" s="430"/>
      <c r="N190" s="430"/>
      <c r="O190" s="430"/>
      <c r="P190" s="430"/>
      <c r="Q190" s="368">
        <f t="shared" si="342"/>
        <v>0</v>
      </c>
      <c r="R190" s="430"/>
      <c r="S190" s="430"/>
      <c r="T190" s="430"/>
      <c r="U190" s="430"/>
      <c r="V190" s="430"/>
      <c r="W190" s="381">
        <f t="shared" si="343"/>
        <v>0</v>
      </c>
      <c r="X190" s="370">
        <f t="shared" si="344"/>
        <v>0</v>
      </c>
      <c r="Y190" s="479">
        <f t="shared" si="345"/>
        <v>0</v>
      </c>
      <c r="Z190" s="367">
        <f t="shared" si="346"/>
        <v>0</v>
      </c>
      <c r="AA190" s="501"/>
      <c r="AB190" s="479">
        <f t="shared" si="347"/>
        <v>0</v>
      </c>
      <c r="AC190" s="501"/>
      <c r="AD190" s="479">
        <f t="shared" si="348"/>
        <v>0</v>
      </c>
      <c r="AE190" s="501"/>
      <c r="AF190" s="501"/>
      <c r="AG190" s="479"/>
      <c r="AH190" s="501" t="s">
        <v>1376</v>
      </c>
      <c r="AI190" s="479">
        <f>I190*200%*2</f>
        <v>70788</v>
      </c>
      <c r="AJ190" s="552"/>
      <c r="AK190" s="479"/>
      <c r="AL190" s="393">
        <f t="shared" si="349"/>
        <v>0</v>
      </c>
      <c r="AM190" s="479">
        <f t="shared" si="350"/>
        <v>0</v>
      </c>
      <c r="AN190" s="393">
        <f t="shared" si="363"/>
        <v>0</v>
      </c>
      <c r="AO190" s="479" t="str">
        <f t="shared" si="351"/>
        <v>0</v>
      </c>
      <c r="AP190" s="479" t="str">
        <f t="shared" si="352"/>
        <v>0</v>
      </c>
      <c r="AQ190" s="479" t="str">
        <f t="shared" si="353"/>
        <v>0</v>
      </c>
      <c r="AR190" s="479" t="str">
        <f t="shared" si="354"/>
        <v>0</v>
      </c>
      <c r="AS190" s="501"/>
      <c r="AT190" s="553"/>
      <c r="AU190" s="554"/>
      <c r="AV190" s="553"/>
      <c r="AW190" s="371"/>
      <c r="AX190" s="367"/>
      <c r="AY190" s="479"/>
      <c r="AZ190" s="367">
        <f t="shared" si="355"/>
        <v>70788</v>
      </c>
      <c r="BA190" s="373">
        <f t="shared" si="356"/>
        <v>70788</v>
      </c>
      <c r="BB190" s="374">
        <f t="shared" si="169"/>
        <v>7078.8</v>
      </c>
      <c r="BC190" s="374">
        <f t="shared" si="170"/>
        <v>1415.76</v>
      </c>
      <c r="BD190" s="374">
        <f>(BA190-BB190-BC190-(14*4335))*10%</f>
        <v>160.34399999999951</v>
      </c>
      <c r="BE190" s="374">
        <f t="shared" si="172"/>
        <v>62133.095999999998</v>
      </c>
      <c r="BF190" s="374">
        <f t="shared" si="173"/>
        <v>849456</v>
      </c>
      <c r="BG190" s="374">
        <f t="shared" si="357"/>
        <v>0</v>
      </c>
      <c r="BH190" s="374">
        <f t="shared" si="175"/>
        <v>849456</v>
      </c>
      <c r="BI190" s="374">
        <f t="shared" si="176"/>
        <v>38225.520000000004</v>
      </c>
      <c r="BJ190" s="374">
        <f t="shared" si="177"/>
        <v>25483.68</v>
      </c>
      <c r="BK190" s="374">
        <f t="shared" si="178"/>
        <v>44001.820800000001</v>
      </c>
      <c r="BL190" s="374">
        <f t="shared" si="358"/>
        <v>38225.519999999997</v>
      </c>
      <c r="BM190" s="373">
        <f t="shared" si="306"/>
        <v>995392.54080000008</v>
      </c>
      <c r="BN190" s="555">
        <v>1</v>
      </c>
      <c r="BO190" s="377"/>
      <c r="BP190" s="377"/>
      <c r="BQ190" s="377"/>
      <c r="BR190" s="377"/>
      <c r="BS190" s="377"/>
      <c r="BT190" s="377"/>
      <c r="BU190" s="377"/>
      <c r="BV190" s="377"/>
      <c r="BW190" s="377"/>
      <c r="BX190" s="377"/>
      <c r="BY190" s="377"/>
      <c r="BZ190" s="377"/>
      <c r="CA190" s="377"/>
      <c r="CB190" s="377"/>
      <c r="CC190" s="377"/>
      <c r="CD190" s="377"/>
      <c r="CE190" s="377"/>
      <c r="CF190" s="377"/>
      <c r="CG190" s="377"/>
      <c r="CH190" s="377"/>
      <c r="CI190" s="377"/>
    </row>
    <row r="191" spans="1:87" ht="33.75" customHeight="1">
      <c r="A191" s="547">
        <f t="shared" si="359"/>
        <v>141</v>
      </c>
      <c r="B191" s="383">
        <f t="shared" si="359"/>
        <v>8</v>
      </c>
      <c r="C191" s="559" t="s">
        <v>450</v>
      </c>
      <c r="D191" s="558" t="s">
        <v>1367</v>
      </c>
      <c r="E191" s="549" t="s">
        <v>57</v>
      </c>
      <c r="F191" s="549"/>
      <c r="G191" s="549"/>
      <c r="H191" s="550" t="s">
        <v>1042</v>
      </c>
      <c r="I191" s="393">
        <v>17697</v>
      </c>
      <c r="J191" s="367">
        <v>9.84</v>
      </c>
      <c r="K191" s="479">
        <f t="shared" si="341"/>
        <v>174138.48</v>
      </c>
      <c r="L191" s="430"/>
      <c r="M191" s="430"/>
      <c r="N191" s="430"/>
      <c r="O191" s="430"/>
      <c r="P191" s="430"/>
      <c r="Q191" s="368">
        <f t="shared" si="342"/>
        <v>0</v>
      </c>
      <c r="R191" s="430"/>
      <c r="S191" s="430"/>
      <c r="T191" s="430"/>
      <c r="U191" s="430"/>
      <c r="V191" s="430"/>
      <c r="W191" s="381">
        <f t="shared" si="343"/>
        <v>0</v>
      </c>
      <c r="X191" s="370">
        <f t="shared" si="344"/>
        <v>0</v>
      </c>
      <c r="Y191" s="479">
        <f t="shared" si="345"/>
        <v>0</v>
      </c>
      <c r="Z191" s="367">
        <f t="shared" si="346"/>
        <v>0</v>
      </c>
      <c r="AA191" s="501"/>
      <c r="AB191" s="479">
        <f t="shared" si="347"/>
        <v>0</v>
      </c>
      <c r="AC191" s="501"/>
      <c r="AD191" s="479">
        <f t="shared" si="348"/>
        <v>0</v>
      </c>
      <c r="AE191" s="501"/>
      <c r="AF191" s="501"/>
      <c r="AG191" s="479"/>
      <c r="AH191" s="501" t="s">
        <v>1377</v>
      </c>
      <c r="AI191" s="479">
        <f>I191*200%*2</f>
        <v>70788</v>
      </c>
      <c r="AJ191" s="552"/>
      <c r="AK191" s="479"/>
      <c r="AL191" s="393">
        <f t="shared" si="349"/>
        <v>0</v>
      </c>
      <c r="AM191" s="479">
        <f t="shared" si="350"/>
        <v>0</v>
      </c>
      <c r="AN191" s="393">
        <f t="shared" si="363"/>
        <v>0</v>
      </c>
      <c r="AO191" s="479" t="str">
        <f t="shared" si="351"/>
        <v>0</v>
      </c>
      <c r="AP191" s="479" t="str">
        <f t="shared" si="352"/>
        <v>0</v>
      </c>
      <c r="AQ191" s="479" t="str">
        <f t="shared" si="353"/>
        <v>0</v>
      </c>
      <c r="AR191" s="479" t="str">
        <f t="shared" si="354"/>
        <v>0</v>
      </c>
      <c r="AS191" s="501"/>
      <c r="AT191" s="553"/>
      <c r="AU191" s="554"/>
      <c r="AV191" s="553"/>
      <c r="AW191" s="371"/>
      <c r="AX191" s="367"/>
      <c r="AY191" s="479"/>
      <c r="AZ191" s="367">
        <f t="shared" si="355"/>
        <v>70788</v>
      </c>
      <c r="BA191" s="373">
        <f t="shared" si="356"/>
        <v>70788</v>
      </c>
      <c r="BB191" s="374">
        <f t="shared" si="169"/>
        <v>7078.8</v>
      </c>
      <c r="BC191" s="374">
        <f t="shared" si="170"/>
        <v>1415.76</v>
      </c>
      <c r="BD191" s="374">
        <f>(BA191-BB191-BC191-(14*4335))*10%</f>
        <v>160.34399999999951</v>
      </c>
      <c r="BE191" s="374">
        <f t="shared" si="172"/>
        <v>62133.095999999998</v>
      </c>
      <c r="BF191" s="374">
        <f t="shared" si="173"/>
        <v>849456</v>
      </c>
      <c r="BG191" s="374">
        <f t="shared" si="357"/>
        <v>0</v>
      </c>
      <c r="BH191" s="374">
        <f t="shared" si="175"/>
        <v>849456</v>
      </c>
      <c r="BI191" s="374">
        <f t="shared" si="176"/>
        <v>38225.520000000004</v>
      </c>
      <c r="BJ191" s="374">
        <f t="shared" si="177"/>
        <v>25483.68</v>
      </c>
      <c r="BK191" s="374">
        <f t="shared" si="178"/>
        <v>44001.820800000001</v>
      </c>
      <c r="BL191" s="374">
        <f t="shared" si="358"/>
        <v>38225.519999999997</v>
      </c>
      <c r="BM191" s="373">
        <f t="shared" si="306"/>
        <v>995392.54080000008</v>
      </c>
      <c r="BN191" s="555">
        <v>1</v>
      </c>
      <c r="BO191" s="377"/>
      <c r="BP191" s="377"/>
      <c r="BQ191" s="377"/>
      <c r="BR191" s="377"/>
      <c r="BS191" s="377"/>
      <c r="BT191" s="377"/>
      <c r="BU191" s="377"/>
      <c r="BV191" s="377"/>
      <c r="BW191" s="377"/>
      <c r="BX191" s="377"/>
      <c r="BY191" s="377"/>
      <c r="BZ191" s="377"/>
      <c r="CA191" s="377"/>
      <c r="CB191" s="377"/>
      <c r="CC191" s="377"/>
      <c r="CD191" s="377"/>
      <c r="CE191" s="377"/>
      <c r="CF191" s="377"/>
      <c r="CG191" s="377"/>
      <c r="CH191" s="377"/>
      <c r="CI191" s="377"/>
    </row>
    <row r="192" spans="1:87" ht="30">
      <c r="A192" s="547">
        <f t="shared" si="359"/>
        <v>142</v>
      </c>
      <c r="B192" s="383">
        <f t="shared" si="359"/>
        <v>9</v>
      </c>
      <c r="C192" s="378" t="s">
        <v>1378</v>
      </c>
      <c r="D192" s="556" t="s">
        <v>1379</v>
      </c>
      <c r="E192" s="549" t="s">
        <v>57</v>
      </c>
      <c r="F192" s="549"/>
      <c r="G192" s="549"/>
      <c r="H192" s="550" t="s">
        <v>1338</v>
      </c>
      <c r="I192" s="393">
        <v>17697</v>
      </c>
      <c r="J192" s="367">
        <v>10.6</v>
      </c>
      <c r="K192" s="479">
        <f t="shared" si="341"/>
        <v>187588.19999999998</v>
      </c>
      <c r="L192" s="430"/>
      <c r="M192" s="430"/>
      <c r="N192" s="551"/>
      <c r="O192" s="430"/>
      <c r="P192" s="430"/>
      <c r="Q192" s="368">
        <f t="shared" si="342"/>
        <v>0</v>
      </c>
      <c r="R192" s="430"/>
      <c r="S192" s="430"/>
      <c r="T192" s="430"/>
      <c r="U192" s="430"/>
      <c r="V192" s="430"/>
      <c r="W192" s="381">
        <f t="shared" si="343"/>
        <v>0</v>
      </c>
      <c r="X192" s="370">
        <f t="shared" si="344"/>
        <v>0</v>
      </c>
      <c r="Y192" s="479">
        <f t="shared" si="345"/>
        <v>0</v>
      </c>
      <c r="Z192" s="367">
        <f t="shared" si="346"/>
        <v>0</v>
      </c>
      <c r="AA192" s="501"/>
      <c r="AB192" s="479">
        <f t="shared" si="347"/>
        <v>0</v>
      </c>
      <c r="AC192" s="501"/>
      <c r="AD192" s="479">
        <f t="shared" si="348"/>
        <v>0</v>
      </c>
      <c r="AE192" s="501"/>
      <c r="AF192" s="501"/>
      <c r="AG192" s="479"/>
      <c r="AH192" s="501" t="s">
        <v>118</v>
      </c>
      <c r="AI192" s="479">
        <f t="shared" ref="AI192" si="364">I192*200%</f>
        <v>35394</v>
      </c>
      <c r="AJ192" s="552"/>
      <c r="AK192" s="479"/>
      <c r="AL192" s="393">
        <f t="shared" si="349"/>
        <v>0</v>
      </c>
      <c r="AM192" s="479">
        <f t="shared" si="350"/>
        <v>0</v>
      </c>
      <c r="AN192" s="393">
        <f t="shared" si="363"/>
        <v>0</v>
      </c>
      <c r="AO192" s="479" t="str">
        <f t="shared" si="351"/>
        <v>0</v>
      </c>
      <c r="AP192" s="393" t="str">
        <f t="shared" si="352"/>
        <v>0</v>
      </c>
      <c r="AQ192" s="479" t="str">
        <f t="shared" si="353"/>
        <v>0</v>
      </c>
      <c r="AR192" s="479" t="str">
        <f t="shared" si="354"/>
        <v>0</v>
      </c>
      <c r="AS192" s="501"/>
      <c r="AT192" s="553"/>
      <c r="AU192" s="554"/>
      <c r="AV192" s="553"/>
      <c r="AW192" s="371"/>
      <c r="AX192" s="367"/>
      <c r="AY192" s="479"/>
      <c r="AZ192" s="367">
        <f t="shared" si="355"/>
        <v>35394</v>
      </c>
      <c r="BA192" s="373">
        <f t="shared" si="356"/>
        <v>35394</v>
      </c>
      <c r="BB192" s="374">
        <f t="shared" si="169"/>
        <v>3539.4</v>
      </c>
      <c r="BC192" s="374">
        <f t="shared" si="170"/>
        <v>707.88</v>
      </c>
      <c r="BD192" s="374">
        <f>(BA192-BB192-BC192)*10%</f>
        <v>3114.672</v>
      </c>
      <c r="BE192" s="374">
        <f t="shared" si="172"/>
        <v>28032.047999999999</v>
      </c>
      <c r="BF192" s="374">
        <f t="shared" si="173"/>
        <v>424728</v>
      </c>
      <c r="BG192" s="374">
        <f t="shared" si="357"/>
        <v>0</v>
      </c>
      <c r="BH192" s="374">
        <f t="shared" si="175"/>
        <v>424728</v>
      </c>
      <c r="BI192" s="374">
        <f t="shared" si="176"/>
        <v>19112.760000000002</v>
      </c>
      <c r="BJ192" s="374">
        <f t="shared" si="177"/>
        <v>12741.84</v>
      </c>
      <c r="BK192" s="374">
        <f t="shared" si="178"/>
        <v>22000.910400000001</v>
      </c>
      <c r="BL192" s="374">
        <f t="shared" si="358"/>
        <v>19112.759999999998</v>
      </c>
      <c r="BM192" s="373">
        <f t="shared" si="306"/>
        <v>497696.27040000004</v>
      </c>
      <c r="BN192" s="555">
        <v>1</v>
      </c>
      <c r="BO192" s="377"/>
      <c r="BP192" s="377"/>
      <c r="BQ192" s="377"/>
      <c r="BR192" s="377"/>
      <c r="BS192" s="377"/>
      <c r="BT192" s="377"/>
      <c r="BU192" s="377"/>
      <c r="BV192" s="377"/>
      <c r="BW192" s="377"/>
      <c r="BX192" s="377"/>
      <c r="BY192" s="377"/>
      <c r="BZ192" s="377"/>
      <c r="CA192" s="377"/>
      <c r="CB192" s="377"/>
      <c r="CC192" s="377"/>
      <c r="CD192" s="377"/>
      <c r="CE192" s="377"/>
      <c r="CF192" s="377"/>
      <c r="CG192" s="377"/>
      <c r="CH192" s="377"/>
      <c r="CI192" s="377"/>
    </row>
    <row r="193" spans="1:90" ht="30">
      <c r="A193" s="547">
        <f t="shared" si="359"/>
        <v>143</v>
      </c>
      <c r="B193" s="383">
        <f t="shared" si="359"/>
        <v>10</v>
      </c>
      <c r="C193" s="560" t="s">
        <v>829</v>
      </c>
      <c r="D193" s="558" t="s">
        <v>1367</v>
      </c>
      <c r="E193" s="549" t="s">
        <v>57</v>
      </c>
      <c r="F193" s="549"/>
      <c r="G193" s="549" t="s">
        <v>1380</v>
      </c>
      <c r="H193" s="550" t="s">
        <v>1381</v>
      </c>
      <c r="I193" s="393">
        <v>17697</v>
      </c>
      <c r="J193" s="367">
        <v>9.66</v>
      </c>
      <c r="K193" s="479">
        <f t="shared" si="341"/>
        <v>170953.02</v>
      </c>
      <c r="L193" s="430"/>
      <c r="M193" s="430"/>
      <c r="N193" s="551"/>
      <c r="O193" s="430"/>
      <c r="P193" s="430"/>
      <c r="Q193" s="368">
        <f t="shared" si="342"/>
        <v>0</v>
      </c>
      <c r="R193" s="430"/>
      <c r="S193" s="430"/>
      <c r="T193" s="430"/>
      <c r="U193" s="430"/>
      <c r="V193" s="430"/>
      <c r="W193" s="381">
        <f t="shared" si="343"/>
        <v>0</v>
      </c>
      <c r="X193" s="370">
        <f t="shared" si="344"/>
        <v>0</v>
      </c>
      <c r="Y193" s="479">
        <f t="shared" si="345"/>
        <v>0</v>
      </c>
      <c r="Z193" s="367">
        <f t="shared" si="346"/>
        <v>0</v>
      </c>
      <c r="AA193" s="501"/>
      <c r="AB193" s="479">
        <f t="shared" si="347"/>
        <v>0</v>
      </c>
      <c r="AC193" s="501"/>
      <c r="AD193" s="479">
        <f t="shared" si="348"/>
        <v>0</v>
      </c>
      <c r="AE193" s="501"/>
      <c r="AF193" s="501"/>
      <c r="AG193" s="479"/>
      <c r="AH193" s="393" t="s">
        <v>1382</v>
      </c>
      <c r="AI193" s="479">
        <f>I193*200%*3</f>
        <v>106182</v>
      </c>
      <c r="AJ193" s="552"/>
      <c r="AK193" s="479"/>
      <c r="AL193" s="393">
        <f t="shared" si="349"/>
        <v>0</v>
      </c>
      <c r="AM193" s="479">
        <f t="shared" si="350"/>
        <v>0</v>
      </c>
      <c r="AN193" s="393">
        <f t="shared" si="363"/>
        <v>0</v>
      </c>
      <c r="AO193" s="479" t="str">
        <f t="shared" si="351"/>
        <v>0</v>
      </c>
      <c r="AP193" s="393" t="str">
        <f t="shared" si="352"/>
        <v>0</v>
      </c>
      <c r="AQ193" s="479" t="str">
        <f t="shared" si="353"/>
        <v>0</v>
      </c>
      <c r="AR193" s="479" t="str">
        <f t="shared" si="354"/>
        <v>0</v>
      </c>
      <c r="AS193" s="501"/>
      <c r="AT193" s="553"/>
      <c r="AU193" s="554"/>
      <c r="AV193" s="553"/>
      <c r="AW193" s="371" t="str">
        <f>G193</f>
        <v>Магистр филологии</v>
      </c>
      <c r="AX193" s="372">
        <f>10*4335</f>
        <v>43350</v>
      </c>
      <c r="AY193" s="479"/>
      <c r="AZ193" s="367">
        <f t="shared" si="355"/>
        <v>149532</v>
      </c>
      <c r="BA193" s="373">
        <f t="shared" si="356"/>
        <v>149532</v>
      </c>
      <c r="BB193" s="374">
        <f t="shared" si="169"/>
        <v>14953.2</v>
      </c>
      <c r="BC193" s="374">
        <f t="shared" si="170"/>
        <v>2990.64</v>
      </c>
      <c r="BD193" s="374">
        <f>(BA193-BB193-BC193-(14*4335))*10%</f>
        <v>7089.815999999998</v>
      </c>
      <c r="BE193" s="374">
        <f t="shared" si="172"/>
        <v>124498.34399999998</v>
      </c>
      <c r="BF193" s="374">
        <f t="shared" si="173"/>
        <v>1794384</v>
      </c>
      <c r="BG193" s="374">
        <f t="shared" si="357"/>
        <v>0</v>
      </c>
      <c r="BH193" s="374">
        <f t="shared" si="175"/>
        <v>1794384</v>
      </c>
      <c r="BI193" s="374">
        <f t="shared" si="176"/>
        <v>80747.280000000013</v>
      </c>
      <c r="BJ193" s="374">
        <f t="shared" si="177"/>
        <v>53831.519999999997</v>
      </c>
      <c r="BK193" s="374">
        <f t="shared" si="178"/>
        <v>92949.09120000001</v>
      </c>
      <c r="BL193" s="374">
        <f t="shared" si="358"/>
        <v>80747.28</v>
      </c>
      <c r="BM193" s="373">
        <f t="shared" si="306"/>
        <v>2102659.1711999997</v>
      </c>
      <c r="BN193" s="555">
        <v>1</v>
      </c>
      <c r="BO193" s="377"/>
      <c r="BP193" s="377"/>
      <c r="BQ193" s="377"/>
      <c r="BR193" s="377"/>
      <c r="BS193" s="377"/>
      <c r="BT193" s="377"/>
      <c r="BU193" s="377"/>
      <c r="BV193" s="377"/>
      <c r="BW193" s="377"/>
      <c r="BX193" s="377"/>
      <c r="BY193" s="377"/>
      <c r="BZ193" s="377"/>
      <c r="CA193" s="377"/>
      <c r="CB193" s="377"/>
      <c r="CC193" s="377"/>
      <c r="CD193" s="377"/>
      <c r="CE193" s="377"/>
      <c r="CF193" s="377"/>
      <c r="CG193" s="377"/>
      <c r="CH193" s="377"/>
      <c r="CI193" s="377"/>
    </row>
    <row r="194" spans="1:90" ht="30">
      <c r="A194" s="547">
        <f t="shared" si="359"/>
        <v>144</v>
      </c>
      <c r="B194" s="383">
        <f t="shared" si="359"/>
        <v>11</v>
      </c>
      <c r="C194" s="559" t="s">
        <v>1383</v>
      </c>
      <c r="D194" s="558" t="s">
        <v>1367</v>
      </c>
      <c r="E194" s="549" t="s">
        <v>57</v>
      </c>
      <c r="F194" s="549"/>
      <c r="G194" s="549"/>
      <c r="H194" s="550" t="s">
        <v>1384</v>
      </c>
      <c r="I194" s="393">
        <v>17697</v>
      </c>
      <c r="J194" s="367">
        <v>11.4</v>
      </c>
      <c r="K194" s="479">
        <f t="shared" si="341"/>
        <v>201745.80000000002</v>
      </c>
      <c r="L194" s="430"/>
      <c r="M194" s="430"/>
      <c r="N194" s="430"/>
      <c r="O194" s="430"/>
      <c r="P194" s="430"/>
      <c r="Q194" s="368">
        <f t="shared" si="342"/>
        <v>0</v>
      </c>
      <c r="R194" s="430"/>
      <c r="S194" s="430"/>
      <c r="T194" s="430"/>
      <c r="U194" s="430"/>
      <c r="V194" s="430"/>
      <c r="W194" s="381">
        <f t="shared" si="343"/>
        <v>0</v>
      </c>
      <c r="X194" s="370">
        <f t="shared" si="344"/>
        <v>0</v>
      </c>
      <c r="Y194" s="479">
        <f t="shared" si="345"/>
        <v>0</v>
      </c>
      <c r="Z194" s="367">
        <f t="shared" si="346"/>
        <v>0</v>
      </c>
      <c r="AA194" s="501"/>
      <c r="AB194" s="479">
        <f t="shared" si="347"/>
        <v>0</v>
      </c>
      <c r="AC194" s="501"/>
      <c r="AD194" s="479">
        <f t="shared" si="348"/>
        <v>0</v>
      </c>
      <c r="AE194" s="501"/>
      <c r="AF194" s="501"/>
      <c r="AG194" s="479"/>
      <c r="AH194" s="393" t="s">
        <v>1385</v>
      </c>
      <c r="AI194" s="479">
        <f>I194*200%*3</f>
        <v>106182</v>
      </c>
      <c r="AJ194" s="552"/>
      <c r="AK194" s="479"/>
      <c r="AL194" s="393">
        <f t="shared" si="349"/>
        <v>0</v>
      </c>
      <c r="AM194" s="479">
        <f t="shared" si="350"/>
        <v>0</v>
      </c>
      <c r="AN194" s="393">
        <f t="shared" si="363"/>
        <v>0</v>
      </c>
      <c r="AO194" s="479" t="str">
        <f t="shared" si="351"/>
        <v>0</v>
      </c>
      <c r="AP194" s="393" t="str">
        <f t="shared" si="352"/>
        <v>0</v>
      </c>
      <c r="AQ194" s="479" t="str">
        <f t="shared" si="353"/>
        <v>0</v>
      </c>
      <c r="AR194" s="479" t="str">
        <f t="shared" si="354"/>
        <v>0</v>
      </c>
      <c r="AS194" s="501"/>
      <c r="AT194" s="553"/>
      <c r="AU194" s="554"/>
      <c r="AV194" s="553"/>
      <c r="AW194" s="371"/>
      <c r="AX194" s="372"/>
      <c r="AY194" s="479"/>
      <c r="AZ194" s="367">
        <f t="shared" si="355"/>
        <v>106182</v>
      </c>
      <c r="BA194" s="373">
        <f t="shared" si="356"/>
        <v>106182</v>
      </c>
      <c r="BB194" s="374">
        <f t="shared" si="169"/>
        <v>10618.2</v>
      </c>
      <c r="BC194" s="374">
        <f t="shared" si="170"/>
        <v>2123.64</v>
      </c>
      <c r="BD194" s="374">
        <f>(BA194-BB194-BC194-(14*4335))*10%</f>
        <v>3275.0160000000005</v>
      </c>
      <c r="BE194" s="374">
        <f t="shared" si="172"/>
        <v>90165.144</v>
      </c>
      <c r="BF194" s="374">
        <f t="shared" si="173"/>
        <v>1274184</v>
      </c>
      <c r="BG194" s="374">
        <f t="shared" si="357"/>
        <v>0</v>
      </c>
      <c r="BH194" s="374">
        <f t="shared" si="175"/>
        <v>1274184</v>
      </c>
      <c r="BI194" s="374">
        <f t="shared" si="176"/>
        <v>57338.280000000006</v>
      </c>
      <c r="BJ194" s="374">
        <f t="shared" si="177"/>
        <v>38225.519999999997</v>
      </c>
      <c r="BK194" s="374">
        <f t="shared" si="178"/>
        <v>66002.731200000009</v>
      </c>
      <c r="BL194" s="374">
        <f t="shared" si="358"/>
        <v>57338.28</v>
      </c>
      <c r="BM194" s="373">
        <f t="shared" si="306"/>
        <v>1493088.8112000001</v>
      </c>
      <c r="BN194" s="555">
        <v>1</v>
      </c>
      <c r="BO194" s="377"/>
      <c r="BP194" s="377"/>
      <c r="BQ194" s="377"/>
      <c r="BR194" s="377"/>
      <c r="BS194" s="377"/>
      <c r="BT194" s="377"/>
      <c r="BU194" s="377"/>
      <c r="BV194" s="377"/>
      <c r="BW194" s="377"/>
      <c r="BX194" s="377"/>
      <c r="BY194" s="377"/>
      <c r="BZ194" s="377"/>
      <c r="CA194" s="377"/>
      <c r="CB194" s="377"/>
      <c r="CC194" s="377"/>
      <c r="CD194" s="377"/>
      <c r="CE194" s="377"/>
      <c r="CF194" s="377"/>
      <c r="CG194" s="377"/>
      <c r="CH194" s="377"/>
      <c r="CI194" s="377"/>
    </row>
    <row r="195" spans="1:90" ht="30">
      <c r="A195" s="547">
        <f t="shared" si="359"/>
        <v>145</v>
      </c>
      <c r="B195" s="383">
        <f t="shared" si="359"/>
        <v>12</v>
      </c>
      <c r="C195" s="561" t="s">
        <v>907</v>
      </c>
      <c r="D195" s="558" t="s">
        <v>1367</v>
      </c>
      <c r="E195" s="549" t="s">
        <v>57</v>
      </c>
      <c r="F195" s="549"/>
      <c r="G195" s="549"/>
      <c r="H195" s="550" t="s">
        <v>1386</v>
      </c>
      <c r="I195" s="393">
        <v>17697</v>
      </c>
      <c r="J195" s="367">
        <v>9.66</v>
      </c>
      <c r="K195" s="479">
        <f t="shared" si="341"/>
        <v>170953.02</v>
      </c>
      <c r="L195" s="430"/>
      <c r="M195" s="430"/>
      <c r="N195" s="430"/>
      <c r="O195" s="430"/>
      <c r="P195" s="430"/>
      <c r="Q195" s="368">
        <f t="shared" si="342"/>
        <v>0</v>
      </c>
      <c r="R195" s="430"/>
      <c r="S195" s="430"/>
      <c r="T195" s="430"/>
      <c r="U195" s="430"/>
      <c r="V195" s="430"/>
      <c r="W195" s="381">
        <f t="shared" si="343"/>
        <v>0</v>
      </c>
      <c r="X195" s="370">
        <f t="shared" si="344"/>
        <v>0</v>
      </c>
      <c r="Y195" s="479">
        <f t="shared" si="345"/>
        <v>0</v>
      </c>
      <c r="Z195" s="367">
        <f t="shared" si="346"/>
        <v>0</v>
      </c>
      <c r="AA195" s="501"/>
      <c r="AB195" s="479">
        <f t="shared" si="347"/>
        <v>0</v>
      </c>
      <c r="AC195" s="501"/>
      <c r="AD195" s="479">
        <f t="shared" si="348"/>
        <v>0</v>
      </c>
      <c r="AE195" s="501"/>
      <c r="AF195" s="501"/>
      <c r="AG195" s="479"/>
      <c r="AH195" s="501" t="s">
        <v>1387</v>
      </c>
      <c r="AI195" s="479">
        <f>I195*200%*3</f>
        <v>106182</v>
      </c>
      <c r="AJ195" s="552"/>
      <c r="AK195" s="479"/>
      <c r="AL195" s="393">
        <f t="shared" si="349"/>
        <v>0</v>
      </c>
      <c r="AM195" s="479">
        <f t="shared" si="350"/>
        <v>0</v>
      </c>
      <c r="AN195" s="393">
        <f t="shared" si="363"/>
        <v>0</v>
      </c>
      <c r="AO195" s="479" t="str">
        <f t="shared" si="351"/>
        <v>0</v>
      </c>
      <c r="AP195" s="393" t="str">
        <f t="shared" si="352"/>
        <v>0</v>
      </c>
      <c r="AQ195" s="479" t="str">
        <f t="shared" si="353"/>
        <v>0</v>
      </c>
      <c r="AR195" s="479" t="str">
        <f t="shared" si="354"/>
        <v>0</v>
      </c>
      <c r="AS195" s="501"/>
      <c r="AT195" s="553"/>
      <c r="AU195" s="554"/>
      <c r="AV195" s="553"/>
      <c r="AW195" s="371"/>
      <c r="AX195" s="372"/>
      <c r="AY195" s="479"/>
      <c r="AZ195" s="367">
        <f t="shared" si="355"/>
        <v>106182</v>
      </c>
      <c r="BA195" s="373">
        <f t="shared" si="356"/>
        <v>106182</v>
      </c>
      <c r="BB195" s="374">
        <f t="shared" si="169"/>
        <v>10618.2</v>
      </c>
      <c r="BC195" s="374">
        <f t="shared" si="170"/>
        <v>2123.64</v>
      </c>
      <c r="BD195" s="374">
        <f>(BA195-BB195-BC195-(14*4335))*10%</f>
        <v>3275.0160000000005</v>
      </c>
      <c r="BE195" s="374">
        <f t="shared" si="172"/>
        <v>90165.144</v>
      </c>
      <c r="BF195" s="374">
        <f t="shared" si="173"/>
        <v>1274184</v>
      </c>
      <c r="BG195" s="374">
        <f t="shared" si="357"/>
        <v>0</v>
      </c>
      <c r="BH195" s="374">
        <f t="shared" si="175"/>
        <v>1274184</v>
      </c>
      <c r="BI195" s="374">
        <f t="shared" ref="BI195:BI199" si="365">BH195*0.9*5%</f>
        <v>57338.280000000006</v>
      </c>
      <c r="BJ195" s="374">
        <f t="shared" si="177"/>
        <v>38225.519999999997</v>
      </c>
      <c r="BK195" s="374">
        <f t="shared" ref="BK195:BK199" si="366">(BH195*0.9-(BC195*12))*11%-BI195</f>
        <v>66002.731200000009</v>
      </c>
      <c r="BL195" s="374">
        <f t="shared" si="358"/>
        <v>57338.28</v>
      </c>
      <c r="BM195" s="373">
        <f t="shared" si="306"/>
        <v>1493088.8112000001</v>
      </c>
      <c r="BN195" s="555">
        <v>1</v>
      </c>
      <c r="BO195" s="377"/>
      <c r="BP195" s="377"/>
      <c r="BQ195" s="377"/>
      <c r="BR195" s="377"/>
      <c r="BS195" s="377"/>
      <c r="BT195" s="377"/>
      <c r="BU195" s="377"/>
      <c r="BV195" s="377"/>
      <c r="BW195" s="377"/>
      <c r="BX195" s="377"/>
      <c r="BY195" s="377"/>
      <c r="BZ195" s="377"/>
      <c r="CA195" s="377"/>
      <c r="CB195" s="377"/>
      <c r="CC195" s="377"/>
      <c r="CD195" s="377"/>
      <c r="CE195" s="377"/>
      <c r="CF195" s="377"/>
      <c r="CG195" s="377"/>
      <c r="CH195" s="377"/>
      <c r="CI195" s="377"/>
    </row>
    <row r="196" spans="1:90" ht="30">
      <c r="A196" s="547">
        <f t="shared" si="359"/>
        <v>146</v>
      </c>
      <c r="B196" s="383">
        <f t="shared" si="359"/>
        <v>13</v>
      </c>
      <c r="C196" s="559" t="s">
        <v>908</v>
      </c>
      <c r="D196" s="558" t="s">
        <v>1367</v>
      </c>
      <c r="E196" s="549" t="s">
        <v>57</v>
      </c>
      <c r="F196" s="549"/>
      <c r="G196" s="549"/>
      <c r="H196" s="550" t="s">
        <v>1388</v>
      </c>
      <c r="I196" s="393">
        <v>17697</v>
      </c>
      <c r="J196" s="367">
        <v>10</v>
      </c>
      <c r="K196" s="479">
        <f t="shared" si="341"/>
        <v>176970</v>
      </c>
      <c r="L196" s="430"/>
      <c r="M196" s="430"/>
      <c r="N196" s="430"/>
      <c r="O196" s="430"/>
      <c r="P196" s="430"/>
      <c r="Q196" s="368">
        <f t="shared" si="342"/>
        <v>0</v>
      </c>
      <c r="R196" s="430"/>
      <c r="S196" s="430"/>
      <c r="T196" s="430"/>
      <c r="U196" s="430"/>
      <c r="V196" s="430"/>
      <c r="W196" s="381">
        <f t="shared" si="343"/>
        <v>0</v>
      </c>
      <c r="X196" s="370">
        <f t="shared" si="344"/>
        <v>0</v>
      </c>
      <c r="Y196" s="479">
        <f t="shared" si="345"/>
        <v>0</v>
      </c>
      <c r="Z196" s="367">
        <f t="shared" si="346"/>
        <v>0</v>
      </c>
      <c r="AA196" s="501"/>
      <c r="AB196" s="479">
        <f t="shared" si="347"/>
        <v>0</v>
      </c>
      <c r="AC196" s="501"/>
      <c r="AD196" s="479">
        <f t="shared" si="348"/>
        <v>0</v>
      </c>
      <c r="AE196" s="501"/>
      <c r="AF196" s="501"/>
      <c r="AG196" s="479"/>
      <c r="AH196" s="501" t="s">
        <v>1389</v>
      </c>
      <c r="AI196" s="479">
        <f>I196*200%*3</f>
        <v>106182</v>
      </c>
      <c r="AJ196" s="552"/>
      <c r="AK196" s="479"/>
      <c r="AL196" s="393">
        <f t="shared" si="349"/>
        <v>0</v>
      </c>
      <c r="AM196" s="479">
        <f t="shared" si="350"/>
        <v>0</v>
      </c>
      <c r="AN196" s="393">
        <f t="shared" si="363"/>
        <v>0</v>
      </c>
      <c r="AO196" s="479" t="str">
        <f t="shared" si="351"/>
        <v>0</v>
      </c>
      <c r="AP196" s="393" t="str">
        <f t="shared" si="352"/>
        <v>0</v>
      </c>
      <c r="AQ196" s="479" t="str">
        <f t="shared" si="353"/>
        <v>0</v>
      </c>
      <c r="AR196" s="479" t="str">
        <f t="shared" si="354"/>
        <v>0</v>
      </c>
      <c r="AS196" s="501"/>
      <c r="AT196" s="553"/>
      <c r="AU196" s="554"/>
      <c r="AV196" s="553"/>
      <c r="AW196" s="371"/>
      <c r="AX196" s="372"/>
      <c r="AY196" s="479"/>
      <c r="AZ196" s="367">
        <f t="shared" si="355"/>
        <v>106182</v>
      </c>
      <c r="BA196" s="373">
        <f t="shared" si="356"/>
        <v>106182</v>
      </c>
      <c r="BB196" s="374">
        <f t="shared" si="169"/>
        <v>10618.2</v>
      </c>
      <c r="BC196" s="374">
        <f t="shared" si="170"/>
        <v>2123.64</v>
      </c>
      <c r="BD196" s="374">
        <f>(BA196-BB196-BC196-(14*4335))*10%</f>
        <v>3275.0160000000005</v>
      </c>
      <c r="BE196" s="374">
        <f t="shared" si="172"/>
        <v>90165.144</v>
      </c>
      <c r="BF196" s="374">
        <f t="shared" si="173"/>
        <v>1274184</v>
      </c>
      <c r="BG196" s="374">
        <f t="shared" si="357"/>
        <v>0</v>
      </c>
      <c r="BH196" s="374">
        <f t="shared" si="175"/>
        <v>1274184</v>
      </c>
      <c r="BI196" s="374">
        <f t="shared" si="365"/>
        <v>57338.280000000006</v>
      </c>
      <c r="BJ196" s="374">
        <f t="shared" si="177"/>
        <v>38225.519999999997</v>
      </c>
      <c r="BK196" s="374">
        <f t="shared" si="366"/>
        <v>66002.731200000009</v>
      </c>
      <c r="BL196" s="374">
        <f t="shared" si="358"/>
        <v>57338.28</v>
      </c>
      <c r="BM196" s="373">
        <f t="shared" si="306"/>
        <v>1493088.8112000001</v>
      </c>
      <c r="BN196" s="555">
        <v>1</v>
      </c>
      <c r="BO196" s="377"/>
      <c r="BP196" s="377"/>
      <c r="BQ196" s="377"/>
      <c r="BR196" s="377"/>
      <c r="BS196" s="377"/>
      <c r="BT196" s="377"/>
      <c r="BU196" s="377"/>
      <c r="BV196" s="377"/>
      <c r="BW196" s="377"/>
      <c r="BX196" s="377"/>
      <c r="BY196" s="377"/>
      <c r="BZ196" s="377"/>
      <c r="CA196" s="377"/>
      <c r="CB196" s="377"/>
      <c r="CC196" s="377"/>
      <c r="CD196" s="377"/>
      <c r="CE196" s="377"/>
      <c r="CF196" s="377"/>
      <c r="CG196" s="377"/>
      <c r="CH196" s="377"/>
      <c r="CI196" s="377"/>
    </row>
    <row r="197" spans="1:90" ht="30">
      <c r="A197" s="547">
        <f t="shared" si="359"/>
        <v>147</v>
      </c>
      <c r="B197" s="383">
        <f t="shared" si="359"/>
        <v>14</v>
      </c>
      <c r="C197" s="562" t="s">
        <v>452</v>
      </c>
      <c r="D197" s="558" t="s">
        <v>1367</v>
      </c>
      <c r="E197" s="549" t="s">
        <v>57</v>
      </c>
      <c r="F197" s="549"/>
      <c r="G197" s="549"/>
      <c r="H197" s="550" t="s">
        <v>1390</v>
      </c>
      <c r="I197" s="393">
        <v>17697</v>
      </c>
      <c r="J197" s="367">
        <v>10.82</v>
      </c>
      <c r="K197" s="479">
        <f t="shared" si="341"/>
        <v>191481.54</v>
      </c>
      <c r="L197" s="430"/>
      <c r="M197" s="430"/>
      <c r="N197" s="430"/>
      <c r="O197" s="430"/>
      <c r="P197" s="430"/>
      <c r="Q197" s="368">
        <f t="shared" si="342"/>
        <v>0</v>
      </c>
      <c r="R197" s="430"/>
      <c r="S197" s="430"/>
      <c r="T197" s="430"/>
      <c r="U197" s="430"/>
      <c r="V197" s="430"/>
      <c r="W197" s="381">
        <f t="shared" si="343"/>
        <v>0</v>
      </c>
      <c r="X197" s="370">
        <f t="shared" si="344"/>
        <v>0</v>
      </c>
      <c r="Y197" s="479">
        <f t="shared" si="345"/>
        <v>0</v>
      </c>
      <c r="Z197" s="367">
        <f t="shared" si="346"/>
        <v>0</v>
      </c>
      <c r="AA197" s="501"/>
      <c r="AB197" s="479">
        <f t="shared" si="347"/>
        <v>0</v>
      </c>
      <c r="AC197" s="501"/>
      <c r="AD197" s="479">
        <f t="shared" si="348"/>
        <v>0</v>
      </c>
      <c r="AE197" s="501"/>
      <c r="AF197" s="501"/>
      <c r="AG197" s="479"/>
      <c r="AH197" s="393" t="s">
        <v>1391</v>
      </c>
      <c r="AI197" s="479">
        <f>I197*200%</f>
        <v>35394</v>
      </c>
      <c r="AJ197" s="552"/>
      <c r="AK197" s="479"/>
      <c r="AL197" s="393">
        <f t="shared" si="349"/>
        <v>0</v>
      </c>
      <c r="AM197" s="479">
        <f t="shared" si="350"/>
        <v>0</v>
      </c>
      <c r="AN197" s="393">
        <f t="shared" si="363"/>
        <v>0</v>
      </c>
      <c r="AO197" s="479" t="str">
        <f t="shared" si="351"/>
        <v>0</v>
      </c>
      <c r="AP197" s="393" t="str">
        <f t="shared" si="352"/>
        <v>0</v>
      </c>
      <c r="AQ197" s="479" t="str">
        <f t="shared" si="353"/>
        <v>0</v>
      </c>
      <c r="AR197" s="479" t="str">
        <f t="shared" si="354"/>
        <v>0</v>
      </c>
      <c r="AS197" s="501"/>
      <c r="AT197" s="553"/>
      <c r="AU197" s="554"/>
      <c r="AV197" s="553"/>
      <c r="AW197" s="371"/>
      <c r="AX197" s="372"/>
      <c r="AY197" s="479"/>
      <c r="AZ197" s="367">
        <f t="shared" si="355"/>
        <v>35394</v>
      </c>
      <c r="BA197" s="373">
        <f t="shared" si="356"/>
        <v>35394</v>
      </c>
      <c r="BB197" s="374">
        <f t="shared" si="169"/>
        <v>3539.4</v>
      </c>
      <c r="BC197" s="374">
        <f t="shared" si="170"/>
        <v>707.88</v>
      </c>
      <c r="BD197" s="374">
        <f>(BA197-BB197-BC197)*10%</f>
        <v>3114.672</v>
      </c>
      <c r="BE197" s="374">
        <f t="shared" si="172"/>
        <v>28032.047999999999</v>
      </c>
      <c r="BF197" s="374">
        <f t="shared" si="173"/>
        <v>424728</v>
      </c>
      <c r="BG197" s="374">
        <f t="shared" si="357"/>
        <v>0</v>
      </c>
      <c r="BH197" s="374">
        <f t="shared" si="175"/>
        <v>424728</v>
      </c>
      <c r="BI197" s="374">
        <f t="shared" si="365"/>
        <v>19112.760000000002</v>
      </c>
      <c r="BJ197" s="374">
        <f t="shared" si="177"/>
        <v>12741.84</v>
      </c>
      <c r="BK197" s="374">
        <f t="shared" si="366"/>
        <v>22000.910400000001</v>
      </c>
      <c r="BL197" s="374">
        <f t="shared" si="358"/>
        <v>19112.759999999998</v>
      </c>
      <c r="BM197" s="373">
        <f t="shared" si="306"/>
        <v>497696.27040000004</v>
      </c>
      <c r="BN197" s="555">
        <v>1</v>
      </c>
      <c r="BO197" s="377"/>
      <c r="BP197" s="377"/>
      <c r="BQ197" s="377"/>
      <c r="BR197" s="377"/>
      <c r="BS197" s="377"/>
      <c r="BT197" s="377"/>
      <c r="BU197" s="377"/>
      <c r="BV197" s="377"/>
      <c r="BW197" s="377"/>
      <c r="BX197" s="377"/>
      <c r="BY197" s="377"/>
      <c r="BZ197" s="377"/>
      <c r="CA197" s="377"/>
      <c r="CB197" s="377"/>
      <c r="CC197" s="377"/>
      <c r="CD197" s="377"/>
      <c r="CE197" s="377"/>
      <c r="CF197" s="377"/>
      <c r="CG197" s="377"/>
      <c r="CH197" s="377"/>
      <c r="CI197" s="377"/>
    </row>
    <row r="198" spans="1:90" ht="28.5" customHeight="1">
      <c r="A198" s="547">
        <f t="shared" si="359"/>
        <v>148</v>
      </c>
      <c r="B198" s="383">
        <f t="shared" si="359"/>
        <v>15</v>
      </c>
      <c r="C198" s="562" t="s">
        <v>458</v>
      </c>
      <c r="D198" s="556" t="s">
        <v>1370</v>
      </c>
      <c r="E198" s="549" t="s">
        <v>57</v>
      </c>
      <c r="F198" s="549"/>
      <c r="G198" s="549"/>
      <c r="H198" s="550" t="s">
        <v>1392</v>
      </c>
      <c r="I198" s="393">
        <v>17697</v>
      </c>
      <c r="J198" s="367">
        <v>9.84</v>
      </c>
      <c r="K198" s="479">
        <f t="shared" si="341"/>
        <v>174138.48</v>
      </c>
      <c r="L198" s="430"/>
      <c r="M198" s="430"/>
      <c r="N198" s="430"/>
      <c r="O198" s="430"/>
      <c r="P198" s="430"/>
      <c r="Q198" s="368">
        <f t="shared" si="342"/>
        <v>0</v>
      </c>
      <c r="R198" s="430"/>
      <c r="S198" s="430"/>
      <c r="T198" s="430"/>
      <c r="U198" s="430"/>
      <c r="V198" s="430"/>
      <c r="W198" s="381">
        <f t="shared" si="343"/>
        <v>0</v>
      </c>
      <c r="X198" s="370">
        <f t="shared" si="344"/>
        <v>0</v>
      </c>
      <c r="Y198" s="479">
        <f t="shared" si="345"/>
        <v>0</v>
      </c>
      <c r="Z198" s="367">
        <f t="shared" si="346"/>
        <v>0</v>
      </c>
      <c r="AA198" s="501"/>
      <c r="AB198" s="479">
        <f t="shared" si="347"/>
        <v>0</v>
      </c>
      <c r="AC198" s="501"/>
      <c r="AD198" s="479">
        <f t="shared" si="348"/>
        <v>0</v>
      </c>
      <c r="AE198" s="501"/>
      <c r="AF198" s="501"/>
      <c r="AG198" s="479"/>
      <c r="AH198" s="393" t="s">
        <v>1393</v>
      </c>
      <c r="AI198" s="479">
        <f>I198*200%</f>
        <v>35394</v>
      </c>
      <c r="AJ198" s="552"/>
      <c r="AK198" s="479"/>
      <c r="AL198" s="393">
        <f t="shared" si="349"/>
        <v>0</v>
      </c>
      <c r="AM198" s="479">
        <f t="shared" si="350"/>
        <v>0</v>
      </c>
      <c r="AN198" s="393">
        <f t="shared" si="363"/>
        <v>0</v>
      </c>
      <c r="AO198" s="479" t="str">
        <f t="shared" si="351"/>
        <v>0</v>
      </c>
      <c r="AP198" s="393" t="str">
        <f t="shared" si="352"/>
        <v>0</v>
      </c>
      <c r="AQ198" s="479" t="str">
        <f t="shared" si="353"/>
        <v>0</v>
      </c>
      <c r="AR198" s="479" t="str">
        <f t="shared" si="354"/>
        <v>0</v>
      </c>
      <c r="AS198" s="501"/>
      <c r="AT198" s="553"/>
      <c r="AU198" s="554"/>
      <c r="AV198" s="553"/>
      <c r="AW198" s="371"/>
      <c r="AX198" s="372"/>
      <c r="AY198" s="479"/>
      <c r="AZ198" s="367">
        <f t="shared" si="355"/>
        <v>35394</v>
      </c>
      <c r="BA198" s="373">
        <f t="shared" si="356"/>
        <v>35394</v>
      </c>
      <c r="BB198" s="374">
        <f t="shared" ref="BB198:BB199" si="367">BA198*10%</f>
        <v>3539.4</v>
      </c>
      <c r="BC198" s="374">
        <f t="shared" ref="BC198:BC199" si="368">BA198*2%</f>
        <v>707.88</v>
      </c>
      <c r="BD198" s="374">
        <f>(BA198-BB198-BC198)*10%</f>
        <v>3114.672</v>
      </c>
      <c r="BE198" s="374">
        <f t="shared" ref="BE198:BE199" si="369">BA198-BB198-BC198-BD198</f>
        <v>28032.047999999999</v>
      </c>
      <c r="BF198" s="374">
        <f t="shared" ref="BF198:BF199" si="370">BA198*12</f>
        <v>424728</v>
      </c>
      <c r="BG198" s="374">
        <f t="shared" si="357"/>
        <v>0</v>
      </c>
      <c r="BH198" s="374">
        <f t="shared" ref="BH198:BH199" si="371">BF198+BG198</f>
        <v>424728</v>
      </c>
      <c r="BI198" s="374">
        <f t="shared" si="365"/>
        <v>19112.760000000002</v>
      </c>
      <c r="BJ198" s="374">
        <f t="shared" ref="BJ198:BJ199" si="372">BF198*3%</f>
        <v>12741.84</v>
      </c>
      <c r="BK198" s="374">
        <f t="shared" si="366"/>
        <v>22000.910400000001</v>
      </c>
      <c r="BL198" s="374">
        <f t="shared" si="358"/>
        <v>19112.759999999998</v>
      </c>
      <c r="BM198" s="373">
        <f t="shared" si="306"/>
        <v>497696.27040000004</v>
      </c>
      <c r="BN198" s="555">
        <v>1</v>
      </c>
      <c r="BO198" s="377"/>
      <c r="BP198" s="377"/>
      <c r="BQ198" s="377"/>
      <c r="BR198" s="377"/>
      <c r="BS198" s="377"/>
      <c r="BT198" s="377"/>
      <c r="BU198" s="377"/>
      <c r="BV198" s="377"/>
      <c r="BW198" s="377"/>
      <c r="BX198" s="377"/>
      <c r="BY198" s="377"/>
      <c r="BZ198" s="377"/>
      <c r="CA198" s="377"/>
      <c r="CB198" s="377"/>
      <c r="CC198" s="377"/>
      <c r="CD198" s="377"/>
      <c r="CE198" s="377"/>
      <c r="CF198" s="377"/>
      <c r="CG198" s="377"/>
      <c r="CH198" s="377"/>
      <c r="CI198" s="377"/>
    </row>
    <row r="199" spans="1:90" ht="33" customHeight="1">
      <c r="A199" s="547">
        <f t="shared" si="359"/>
        <v>149</v>
      </c>
      <c r="B199" s="383">
        <f t="shared" si="359"/>
        <v>16</v>
      </c>
      <c r="C199" s="563" t="s">
        <v>522</v>
      </c>
      <c r="D199" s="379" t="s">
        <v>1394</v>
      </c>
      <c r="E199" s="556" t="s">
        <v>57</v>
      </c>
      <c r="F199" s="549"/>
      <c r="G199" s="557"/>
      <c r="H199" s="550"/>
      <c r="I199" s="393"/>
      <c r="J199" s="479"/>
      <c r="K199" s="479">
        <f t="shared" si="341"/>
        <v>0</v>
      </c>
      <c r="L199" s="430"/>
      <c r="M199" s="430"/>
      <c r="N199" s="430"/>
      <c r="O199" s="430"/>
      <c r="P199" s="430"/>
      <c r="Q199" s="564">
        <f t="shared" si="342"/>
        <v>0</v>
      </c>
      <c r="R199" s="430"/>
      <c r="S199" s="430"/>
      <c r="T199" s="430"/>
      <c r="U199" s="430"/>
      <c r="V199" s="430"/>
      <c r="W199" s="381">
        <f t="shared" si="343"/>
        <v>0</v>
      </c>
      <c r="X199" s="370">
        <f t="shared" si="344"/>
        <v>0</v>
      </c>
      <c r="Y199" s="479">
        <f t="shared" si="345"/>
        <v>0</v>
      </c>
      <c r="Z199" s="367">
        <v>0</v>
      </c>
      <c r="AA199" s="565"/>
      <c r="AB199" s="479"/>
      <c r="AC199" s="565"/>
      <c r="AD199" s="479"/>
      <c r="AE199" s="366">
        <v>196600</v>
      </c>
      <c r="AF199" s="565"/>
      <c r="AG199" s="479"/>
      <c r="AH199" s="565"/>
      <c r="AI199" s="479"/>
      <c r="AJ199" s="552"/>
      <c r="AK199" s="479"/>
      <c r="AL199" s="393">
        <f t="shared" si="349"/>
        <v>0</v>
      </c>
      <c r="AM199" s="479">
        <f t="shared" si="350"/>
        <v>0</v>
      </c>
      <c r="AN199" s="393">
        <f t="shared" si="363"/>
        <v>0</v>
      </c>
      <c r="AO199" s="479" t="str">
        <f t="shared" si="351"/>
        <v>0</v>
      </c>
      <c r="AP199" s="393" t="str">
        <f t="shared" si="352"/>
        <v>0</v>
      </c>
      <c r="AQ199" s="479" t="str">
        <f t="shared" si="353"/>
        <v>0</v>
      </c>
      <c r="AR199" s="479" t="str">
        <f t="shared" si="354"/>
        <v>0</v>
      </c>
      <c r="AS199" s="393"/>
      <c r="AT199" s="479"/>
      <c r="AU199" s="565"/>
      <c r="AV199" s="479"/>
      <c r="AW199" s="371"/>
      <c r="AX199" s="372"/>
      <c r="AY199" s="479"/>
      <c r="AZ199" s="367">
        <f t="shared" si="355"/>
        <v>196600</v>
      </c>
      <c r="BA199" s="373">
        <f t="shared" si="356"/>
        <v>196600</v>
      </c>
      <c r="BB199" s="374">
        <f t="shared" si="367"/>
        <v>19660</v>
      </c>
      <c r="BC199" s="374">
        <f t="shared" si="368"/>
        <v>3932</v>
      </c>
      <c r="BD199" s="374">
        <f>(BA199-BB199-BC199)*10%</f>
        <v>17300.8</v>
      </c>
      <c r="BE199" s="374">
        <f t="shared" si="369"/>
        <v>155707.20000000001</v>
      </c>
      <c r="BF199" s="374">
        <f t="shared" si="370"/>
        <v>2359200</v>
      </c>
      <c r="BG199" s="374">
        <f t="shared" si="357"/>
        <v>0</v>
      </c>
      <c r="BH199" s="374">
        <f t="shared" si="371"/>
        <v>2359200</v>
      </c>
      <c r="BI199" s="374">
        <f t="shared" si="365"/>
        <v>106164</v>
      </c>
      <c r="BJ199" s="374">
        <f t="shared" si="372"/>
        <v>70776</v>
      </c>
      <c r="BK199" s="374">
        <f t="shared" si="366"/>
        <v>122206.56</v>
      </c>
      <c r="BL199" s="374">
        <f>BH199*4.5%-1758.96</f>
        <v>104405.04</v>
      </c>
      <c r="BM199" s="373">
        <f t="shared" si="306"/>
        <v>2762751.6</v>
      </c>
      <c r="BN199" s="555">
        <v>1</v>
      </c>
      <c r="BO199" s="377"/>
      <c r="BP199" s="377"/>
      <c r="BQ199" s="377"/>
      <c r="BR199" s="377"/>
      <c r="BS199" s="377"/>
      <c r="BT199" s="377"/>
      <c r="BU199" s="377"/>
      <c r="BV199" s="377"/>
      <c r="BW199" s="377"/>
      <c r="BX199" s="377"/>
      <c r="BY199" s="377"/>
      <c r="BZ199" s="377"/>
      <c r="CA199" s="377"/>
      <c r="CB199" s="377"/>
      <c r="CC199" s="377"/>
      <c r="CD199" s="377"/>
      <c r="CE199" s="377"/>
      <c r="CF199" s="377"/>
      <c r="CG199" s="377"/>
      <c r="CH199" s="377"/>
      <c r="CI199" s="377"/>
    </row>
    <row r="200" spans="1:90" ht="14.25">
      <c r="A200" s="566"/>
      <c r="B200" s="567"/>
      <c r="C200" s="568" t="s">
        <v>1162</v>
      </c>
      <c r="D200" s="569"/>
      <c r="E200" s="524"/>
      <c r="F200" s="524"/>
      <c r="G200" s="524"/>
      <c r="H200" s="491"/>
      <c r="I200" s="490"/>
      <c r="J200" s="490"/>
      <c r="K200" s="422">
        <f>SUM(K184:K199)</f>
        <v>2801081.16</v>
      </c>
      <c r="L200" s="422">
        <f t="shared" ref="L200:BN200" si="373">SUM(L184:L199)</f>
        <v>0</v>
      </c>
      <c r="M200" s="422">
        <f t="shared" si="373"/>
        <v>0</v>
      </c>
      <c r="N200" s="422">
        <f t="shared" si="373"/>
        <v>0</v>
      </c>
      <c r="O200" s="422">
        <f t="shared" si="373"/>
        <v>0</v>
      </c>
      <c r="P200" s="422">
        <f t="shared" si="373"/>
        <v>0</v>
      </c>
      <c r="Q200" s="422">
        <f t="shared" si="373"/>
        <v>0</v>
      </c>
      <c r="R200" s="422">
        <f t="shared" si="373"/>
        <v>0</v>
      </c>
      <c r="S200" s="422">
        <f t="shared" si="373"/>
        <v>0</v>
      </c>
      <c r="T200" s="422">
        <f t="shared" si="373"/>
        <v>11</v>
      </c>
      <c r="U200" s="422">
        <f t="shared" si="373"/>
        <v>12</v>
      </c>
      <c r="V200" s="422">
        <f t="shared" si="373"/>
        <v>0</v>
      </c>
      <c r="W200" s="422">
        <f t="shared" si="373"/>
        <v>23</v>
      </c>
      <c r="X200" s="422">
        <f t="shared" si="373"/>
        <v>23</v>
      </c>
      <c r="Y200" s="422">
        <f t="shared" si="373"/>
        <v>287355.03750000003</v>
      </c>
      <c r="Z200" s="422">
        <f t="shared" si="373"/>
        <v>17555.424000000003</v>
      </c>
      <c r="AA200" s="422">
        <f t="shared" si="373"/>
        <v>0</v>
      </c>
      <c r="AB200" s="422">
        <f t="shared" si="373"/>
        <v>0</v>
      </c>
      <c r="AC200" s="422">
        <f t="shared" si="373"/>
        <v>0</v>
      </c>
      <c r="AD200" s="422">
        <f t="shared" si="373"/>
        <v>0</v>
      </c>
      <c r="AE200" s="422">
        <f t="shared" si="373"/>
        <v>196600</v>
      </c>
      <c r="AF200" s="422">
        <f t="shared" si="373"/>
        <v>0</v>
      </c>
      <c r="AG200" s="422">
        <f t="shared" si="373"/>
        <v>0</v>
      </c>
      <c r="AH200" s="422">
        <v>22</v>
      </c>
      <c r="AI200" s="422">
        <f t="shared" si="373"/>
        <v>778668</v>
      </c>
      <c r="AJ200" s="422">
        <f t="shared" si="373"/>
        <v>0</v>
      </c>
      <c r="AK200" s="422">
        <f t="shared" si="373"/>
        <v>0</v>
      </c>
      <c r="AL200" s="422">
        <f t="shared" si="373"/>
        <v>23</v>
      </c>
      <c r="AM200" s="422">
        <f t="shared" si="373"/>
        <v>86206.511249999996</v>
      </c>
      <c r="AN200" s="422">
        <f t="shared" si="373"/>
        <v>0</v>
      </c>
      <c r="AO200" s="422">
        <f t="shared" si="373"/>
        <v>0</v>
      </c>
      <c r="AP200" s="422">
        <f t="shared" si="373"/>
        <v>19785.245999999999</v>
      </c>
      <c r="AQ200" s="422">
        <f t="shared" si="373"/>
        <v>0</v>
      </c>
      <c r="AR200" s="422">
        <f t="shared" si="373"/>
        <v>0</v>
      </c>
      <c r="AS200" s="422">
        <f t="shared" si="373"/>
        <v>0</v>
      </c>
      <c r="AT200" s="422">
        <f t="shared" si="373"/>
        <v>0</v>
      </c>
      <c r="AU200" s="422">
        <f t="shared" si="373"/>
        <v>0</v>
      </c>
      <c r="AV200" s="422">
        <f t="shared" si="373"/>
        <v>0</v>
      </c>
      <c r="AW200" s="422">
        <f t="shared" si="373"/>
        <v>0</v>
      </c>
      <c r="AX200" s="422">
        <f t="shared" si="373"/>
        <v>86700</v>
      </c>
      <c r="AY200" s="422">
        <f t="shared" si="373"/>
        <v>0</v>
      </c>
      <c r="AZ200" s="422">
        <f t="shared" si="373"/>
        <v>1185515.1812499999</v>
      </c>
      <c r="BA200" s="422">
        <f t="shared" si="373"/>
        <v>1472870.21875</v>
      </c>
      <c r="BB200" s="422">
        <f t="shared" si="373"/>
        <v>147287.02187499998</v>
      </c>
      <c r="BC200" s="422">
        <f t="shared" si="373"/>
        <v>29457.404374999998</v>
      </c>
      <c r="BD200" s="422">
        <f t="shared" si="373"/>
        <v>62853.57925000001</v>
      </c>
      <c r="BE200" s="422">
        <f t="shared" si="373"/>
        <v>1233272.2132499998</v>
      </c>
      <c r="BF200" s="422">
        <f t="shared" si="373"/>
        <v>17674442.625</v>
      </c>
      <c r="BG200" s="422">
        <f t="shared" si="373"/>
        <v>574710.07500000007</v>
      </c>
      <c r="BH200" s="422">
        <f t="shared" si="373"/>
        <v>18249152.699999999</v>
      </c>
      <c r="BI200" s="422">
        <f t="shared" si="373"/>
        <v>821211.87150000024</v>
      </c>
      <c r="BJ200" s="422">
        <f t="shared" si="373"/>
        <v>530233.27875000006</v>
      </c>
      <c r="BK200" s="422">
        <f t="shared" si="373"/>
        <v>946570.47202500026</v>
      </c>
      <c r="BL200" s="422">
        <f t="shared" si="373"/>
        <v>819452.91150000016</v>
      </c>
      <c r="BM200" s="422">
        <f t="shared" si="373"/>
        <v>21366621.233775001</v>
      </c>
      <c r="BN200" s="422">
        <f t="shared" si="373"/>
        <v>14</v>
      </c>
      <c r="BO200" s="355"/>
      <c r="BP200" s="355"/>
      <c r="BQ200" s="355"/>
      <c r="BR200" s="355"/>
      <c r="BS200" s="355"/>
      <c r="BT200" s="355"/>
      <c r="BU200" s="355"/>
      <c r="BV200" s="355"/>
      <c r="BW200" s="355"/>
      <c r="BX200" s="355"/>
      <c r="BY200" s="355"/>
      <c r="BZ200" s="355"/>
      <c r="CA200" s="355"/>
      <c r="CB200" s="355"/>
      <c r="CC200" s="355"/>
      <c r="CD200" s="355"/>
      <c r="CE200" s="355"/>
      <c r="CF200" s="355"/>
      <c r="CG200" s="355"/>
      <c r="CH200" s="355"/>
      <c r="CI200" s="355"/>
    </row>
    <row r="201" spans="1:90" ht="28.5">
      <c r="A201" s="1536"/>
      <c r="B201" s="1537"/>
      <c r="C201" s="570" t="s">
        <v>230</v>
      </c>
      <c r="D201" s="570"/>
      <c r="E201" s="570"/>
      <c r="F201" s="570"/>
      <c r="G201" s="570"/>
      <c r="H201" s="494"/>
      <c r="I201" s="570"/>
      <c r="J201" s="570"/>
      <c r="K201" s="571">
        <f t="shared" ref="K201:BN201" si="374">K124+K135+K143+K152+K156+K161+K166+K174+K200+K183</f>
        <v>32453112.539999984</v>
      </c>
      <c r="L201" s="571">
        <f t="shared" si="374"/>
        <v>625</v>
      </c>
      <c r="M201" s="571">
        <f t="shared" si="374"/>
        <v>619</v>
      </c>
      <c r="N201" s="571">
        <f t="shared" si="374"/>
        <v>570</v>
      </c>
      <c r="O201" s="571">
        <f t="shared" si="374"/>
        <v>637</v>
      </c>
      <c r="P201" s="571">
        <f t="shared" si="374"/>
        <v>588</v>
      </c>
      <c r="Q201" s="571">
        <f t="shared" si="374"/>
        <v>3039</v>
      </c>
      <c r="R201" s="571">
        <f t="shared" si="374"/>
        <v>171</v>
      </c>
      <c r="S201" s="571">
        <f t="shared" si="374"/>
        <v>151</v>
      </c>
      <c r="T201" s="571">
        <f t="shared" si="374"/>
        <v>146</v>
      </c>
      <c r="U201" s="571">
        <f t="shared" si="374"/>
        <v>183</v>
      </c>
      <c r="V201" s="571">
        <f t="shared" si="374"/>
        <v>153</v>
      </c>
      <c r="W201" s="571">
        <f t="shared" si="374"/>
        <v>804</v>
      </c>
      <c r="X201" s="571">
        <f t="shared" si="374"/>
        <v>3843</v>
      </c>
      <c r="Y201" s="571">
        <f t="shared" si="374"/>
        <v>45450961.766249999</v>
      </c>
      <c r="Z201" s="571">
        <f t="shared" si="374"/>
        <v>4481882.492625</v>
      </c>
      <c r="AA201" s="571">
        <f t="shared" si="374"/>
        <v>1730</v>
      </c>
      <c r="AB201" s="571">
        <f t="shared" si="374"/>
        <v>827334.75</v>
      </c>
      <c r="AC201" s="571">
        <f t="shared" si="374"/>
        <v>1006</v>
      </c>
      <c r="AD201" s="571">
        <f t="shared" si="374"/>
        <v>235812.52499999999</v>
      </c>
      <c r="AE201" s="571">
        <f t="shared" si="374"/>
        <v>1622800</v>
      </c>
      <c r="AF201" s="571">
        <f t="shared" si="374"/>
        <v>2083</v>
      </c>
      <c r="AG201" s="571">
        <f t="shared" si="374"/>
        <v>219442.80000000002</v>
      </c>
      <c r="AH201" s="571">
        <f t="shared" si="374"/>
        <v>42</v>
      </c>
      <c r="AI201" s="571">
        <f t="shared" si="374"/>
        <v>1734306</v>
      </c>
      <c r="AJ201" s="571">
        <f t="shared" si="374"/>
        <v>2150</v>
      </c>
      <c r="AK201" s="571">
        <f t="shared" si="374"/>
        <v>951213.74999999988</v>
      </c>
      <c r="AL201" s="571">
        <f t="shared" si="374"/>
        <v>3843</v>
      </c>
      <c r="AM201" s="571">
        <f t="shared" si="374"/>
        <v>13635288.529874997</v>
      </c>
      <c r="AN201" s="571">
        <f t="shared" si="374"/>
        <v>0</v>
      </c>
      <c r="AO201" s="571">
        <f t="shared" si="374"/>
        <v>5373627.6862500003</v>
      </c>
      <c r="AP201" s="571">
        <f t="shared" si="374"/>
        <v>4636215.8175000008</v>
      </c>
      <c r="AQ201" s="571">
        <f t="shared" si="374"/>
        <v>1132532.7877499999</v>
      </c>
      <c r="AR201" s="571">
        <f t="shared" si="374"/>
        <v>2622383.4903750005</v>
      </c>
      <c r="AS201" s="571">
        <f t="shared" si="374"/>
        <v>0</v>
      </c>
      <c r="AT201" s="571">
        <f t="shared" si="374"/>
        <v>0</v>
      </c>
      <c r="AU201" s="571">
        <f t="shared" si="374"/>
        <v>0</v>
      </c>
      <c r="AV201" s="571">
        <f t="shared" si="374"/>
        <v>0</v>
      </c>
      <c r="AW201" s="571">
        <f t="shared" si="374"/>
        <v>0</v>
      </c>
      <c r="AX201" s="571">
        <f t="shared" si="374"/>
        <v>3311940</v>
      </c>
      <c r="AY201" s="571">
        <f t="shared" si="374"/>
        <v>88485</v>
      </c>
      <c r="AZ201" s="571">
        <f t="shared" si="374"/>
        <v>40873265.629375003</v>
      </c>
      <c r="BA201" s="571">
        <f t="shared" si="374"/>
        <v>86324227.395624995</v>
      </c>
      <c r="BB201" s="571">
        <f t="shared" si="374"/>
        <v>8632422.7395625003</v>
      </c>
      <c r="BC201" s="571">
        <f t="shared" si="374"/>
        <v>1726484.5479125001</v>
      </c>
      <c r="BD201" s="571">
        <f t="shared" si="374"/>
        <v>6595147.010815002</v>
      </c>
      <c r="BE201" s="571">
        <f t="shared" si="374"/>
        <v>69370173.097335011</v>
      </c>
      <c r="BF201" s="571">
        <f t="shared" si="374"/>
        <v>1035890728.7475001</v>
      </c>
      <c r="BG201" s="571">
        <f t="shared" si="374"/>
        <v>82962673.27125001</v>
      </c>
      <c r="BH201" s="571">
        <f t="shared" si="374"/>
        <v>1118853402.0187502</v>
      </c>
      <c r="BI201" s="571">
        <f t="shared" si="374"/>
        <v>50348403.090843745</v>
      </c>
      <c r="BJ201" s="571">
        <f t="shared" si="374"/>
        <v>31076721.862425003</v>
      </c>
      <c r="BK201" s="571">
        <f t="shared" si="374"/>
        <v>58139124.105767988</v>
      </c>
      <c r="BL201" s="571">
        <f t="shared" si="374"/>
        <v>50300822.130843744</v>
      </c>
      <c r="BM201" s="571">
        <f t="shared" si="374"/>
        <v>1308718473.2086303</v>
      </c>
      <c r="BN201" s="571">
        <f t="shared" si="374"/>
        <v>23.25</v>
      </c>
      <c r="BO201" s="511"/>
      <c r="BP201" s="355"/>
      <c r="BQ201" s="355"/>
      <c r="BR201" s="355"/>
      <c r="BS201" s="355"/>
      <c r="BT201" s="355"/>
      <c r="BU201" s="355"/>
      <c r="BV201" s="355"/>
      <c r="BW201" s="355"/>
      <c r="BX201" s="355"/>
      <c r="BY201" s="355"/>
      <c r="BZ201" s="355"/>
      <c r="CA201" s="355"/>
      <c r="CB201" s="355"/>
      <c r="CC201" s="355"/>
      <c r="CD201" s="355"/>
      <c r="CE201" s="355"/>
      <c r="CF201" s="355"/>
      <c r="CG201" s="355"/>
      <c r="CH201" s="355"/>
      <c r="CI201" s="355"/>
    </row>
    <row r="202" spans="1:90" ht="15">
      <c r="A202" s="377"/>
      <c r="B202" s="377"/>
      <c r="C202" s="572"/>
      <c r="D202" s="377"/>
      <c r="E202" s="377"/>
      <c r="F202" s="377"/>
      <c r="G202" s="377"/>
      <c r="H202" s="573"/>
      <c r="I202" s="377"/>
      <c r="J202" s="377"/>
      <c r="K202" s="377"/>
      <c r="L202" s="377"/>
      <c r="M202" s="377"/>
      <c r="N202" s="377"/>
      <c r="O202" s="377"/>
      <c r="P202" s="377"/>
      <c r="Q202" s="377"/>
      <c r="R202" s="377"/>
      <c r="S202" s="377"/>
      <c r="T202" s="377"/>
      <c r="U202" s="377"/>
      <c r="V202" s="377"/>
      <c r="W202" s="377"/>
      <c r="X202" s="574"/>
      <c r="Y202" s="377"/>
      <c r="Z202" s="377"/>
      <c r="AA202" s="377"/>
      <c r="AB202" s="377"/>
      <c r="AC202" s="377"/>
      <c r="AD202" s="377"/>
      <c r="AE202" s="377"/>
      <c r="AF202" s="377"/>
      <c r="AG202" s="377"/>
      <c r="AH202" s="377"/>
      <c r="AI202" s="377"/>
      <c r="AJ202" s="377"/>
      <c r="AK202" s="377"/>
      <c r="AL202" s="574"/>
      <c r="AM202" s="377"/>
      <c r="AN202" s="377"/>
      <c r="AO202" s="377"/>
      <c r="AP202" s="377"/>
      <c r="AQ202" s="377"/>
      <c r="AR202" s="377"/>
      <c r="AS202" s="377"/>
      <c r="AT202" s="377"/>
      <c r="AU202" s="377"/>
      <c r="AV202" s="377"/>
      <c r="AW202" s="575"/>
      <c r="AX202" s="377"/>
      <c r="AY202" s="377"/>
      <c r="AZ202" s="377"/>
      <c r="BA202" s="377"/>
      <c r="BB202" s="377"/>
      <c r="BC202" s="377"/>
      <c r="BD202" s="377"/>
      <c r="BE202" s="377"/>
      <c r="BF202" s="377"/>
      <c r="BG202" s="377"/>
      <c r="BH202" s="377"/>
      <c r="BI202" s="377"/>
      <c r="BJ202" s="377"/>
      <c r="BK202" s="377"/>
      <c r="BL202" s="377"/>
      <c r="BM202" s="377"/>
      <c r="BN202" s="576"/>
      <c r="BO202" s="376"/>
      <c r="BP202" s="377"/>
      <c r="BQ202" s="377"/>
      <c r="BR202" s="377"/>
      <c r="BS202" s="376"/>
      <c r="BT202" s="377"/>
      <c r="BU202" s="376"/>
      <c r="BV202" s="377"/>
      <c r="BW202" s="377"/>
      <c r="BX202" s="377"/>
      <c r="BY202" s="377"/>
      <c r="BZ202" s="377"/>
      <c r="CA202" s="377"/>
      <c r="CB202" s="377"/>
      <c r="CC202" s="377"/>
      <c r="CD202" s="377"/>
      <c r="CE202" s="377"/>
      <c r="CF202" s="377"/>
      <c r="CG202" s="377"/>
      <c r="CH202" s="377"/>
      <c r="CI202" s="377"/>
      <c r="CJ202" s="377"/>
      <c r="CK202" s="377"/>
      <c r="CL202" s="377"/>
    </row>
    <row r="203" spans="1:90" ht="15">
      <c r="A203" s="377"/>
      <c r="B203" s="377"/>
      <c r="C203" s="572"/>
      <c r="D203" s="377"/>
      <c r="E203" s="377"/>
      <c r="F203" s="377"/>
      <c r="G203" s="377"/>
      <c r="H203" s="573"/>
      <c r="I203" s="377"/>
      <c r="J203" s="377"/>
      <c r="K203" s="377"/>
      <c r="L203" s="377"/>
      <c r="M203" s="377"/>
      <c r="N203" s="377"/>
      <c r="O203" s="377"/>
      <c r="P203" s="377"/>
      <c r="Q203" s="377"/>
      <c r="R203" s="377"/>
      <c r="S203" s="377"/>
      <c r="T203" s="377"/>
      <c r="U203" s="377"/>
      <c r="V203" s="377"/>
      <c r="W203" s="377"/>
      <c r="X203" s="574"/>
      <c r="Y203" s="377"/>
      <c r="Z203" s="377"/>
      <c r="AA203" s="377"/>
      <c r="AB203" s="377"/>
      <c r="AC203" s="377"/>
      <c r="AD203" s="377"/>
      <c r="AE203" s="377"/>
      <c r="AF203" s="377"/>
      <c r="AG203" s="377"/>
      <c r="AH203" s="377"/>
      <c r="AI203" s="377"/>
      <c r="AJ203" s="377"/>
      <c r="AK203" s="377"/>
      <c r="AL203" s="574"/>
      <c r="AM203" s="377"/>
      <c r="AN203" s="377"/>
      <c r="AO203" s="376"/>
      <c r="AP203" s="377"/>
      <c r="AQ203" s="377"/>
      <c r="AR203" s="377"/>
      <c r="AS203" s="377"/>
      <c r="AT203" s="377"/>
      <c r="AU203" s="377"/>
      <c r="AV203" s="377"/>
      <c r="AW203" s="575"/>
      <c r="AX203" s="377"/>
      <c r="AY203" s="377"/>
      <c r="AZ203" s="377"/>
      <c r="BA203" s="377"/>
      <c r="BB203" s="377"/>
      <c r="BC203" s="377"/>
      <c r="BD203" s="377"/>
      <c r="BE203" s="377"/>
      <c r="BF203" s="377"/>
      <c r="BG203" s="377"/>
      <c r="BH203" s="377"/>
      <c r="BI203" s="377"/>
      <c r="BJ203" s="377"/>
      <c r="BK203" s="377"/>
      <c r="BL203" s="377"/>
      <c r="BM203" s="577"/>
      <c r="BP203" s="377"/>
      <c r="BQ203" s="377"/>
      <c r="BR203" s="377"/>
      <c r="BS203" s="376"/>
      <c r="BT203" s="376"/>
      <c r="BU203" s="376"/>
      <c r="BV203" s="377"/>
      <c r="BW203" s="377"/>
      <c r="BX203" s="377"/>
      <c r="BY203" s="377"/>
      <c r="BZ203" s="377"/>
      <c r="CA203" s="377"/>
      <c r="CB203" s="377"/>
      <c r="CC203" s="377"/>
      <c r="CD203" s="377"/>
      <c r="CE203" s="377"/>
      <c r="CF203" s="377"/>
      <c r="CG203" s="377"/>
      <c r="CH203" s="377"/>
      <c r="CI203" s="377"/>
      <c r="CJ203" s="377"/>
      <c r="CK203" s="377"/>
      <c r="CL203" s="377"/>
    </row>
    <row r="204" spans="1:90" ht="15">
      <c r="A204" s="377"/>
      <c r="B204" s="377"/>
      <c r="C204" s="572"/>
      <c r="D204" s="377"/>
      <c r="E204" s="377"/>
      <c r="F204" s="377"/>
      <c r="G204" s="377"/>
      <c r="H204" s="573"/>
      <c r="I204" s="377"/>
      <c r="J204" s="377"/>
      <c r="K204" s="377"/>
      <c r="L204" s="377"/>
      <c r="M204" s="377"/>
      <c r="N204" s="377"/>
      <c r="O204" s="377"/>
      <c r="P204" s="377"/>
      <c r="Q204" s="377"/>
      <c r="R204" s="377"/>
      <c r="S204" s="377"/>
      <c r="T204" s="377"/>
      <c r="U204" s="377"/>
      <c r="V204" s="377"/>
      <c r="W204" s="377"/>
      <c r="X204" s="574"/>
      <c r="Y204" s="377"/>
      <c r="Z204" s="377"/>
      <c r="AA204" s="377"/>
      <c r="AB204" s="377"/>
      <c r="AC204" s="377"/>
      <c r="AD204" s="377"/>
      <c r="AE204" s="377"/>
      <c r="AF204" s="377"/>
      <c r="AG204" s="377"/>
      <c r="AH204" s="377"/>
      <c r="AI204" s="377"/>
      <c r="AJ204" s="377"/>
      <c r="AK204" s="377"/>
      <c r="AL204" s="574"/>
      <c r="AM204" s="377"/>
      <c r="AN204" s="377"/>
      <c r="AO204" s="377"/>
      <c r="AP204" s="377"/>
      <c r="AQ204" s="377"/>
      <c r="AR204" s="377"/>
      <c r="AS204" s="377"/>
      <c r="AT204" s="377"/>
      <c r="AU204" s="377"/>
      <c r="AV204" s="377"/>
      <c r="AW204" s="575"/>
      <c r="AX204" s="377"/>
      <c r="AY204" s="377"/>
      <c r="AZ204" s="377"/>
      <c r="BA204" s="377"/>
      <c r="BB204" s="377"/>
      <c r="BC204" s="377"/>
      <c r="BD204" s="377"/>
      <c r="BE204" s="377"/>
      <c r="BF204" s="377"/>
      <c r="BG204" s="377"/>
      <c r="BH204" s="377"/>
      <c r="BI204" s="377"/>
      <c r="BJ204" s="377"/>
      <c r="BK204" s="376"/>
      <c r="BL204" s="376"/>
      <c r="BM204" s="577"/>
      <c r="BO204" s="579"/>
      <c r="BP204" s="377"/>
      <c r="BQ204" s="377"/>
      <c r="BR204" s="377"/>
      <c r="BS204" s="580"/>
      <c r="BT204" s="581"/>
      <c r="BU204" s="376"/>
      <c r="BV204" s="377"/>
      <c r="BW204" s="377"/>
      <c r="BX204" s="377"/>
      <c r="BY204" s="377"/>
      <c r="BZ204" s="377"/>
      <c r="CA204" s="377"/>
      <c r="CB204" s="377"/>
      <c r="CC204" s="377"/>
      <c r="CD204" s="377"/>
      <c r="CE204" s="377"/>
      <c r="CF204" s="377"/>
      <c r="CG204" s="377"/>
      <c r="CH204" s="377"/>
      <c r="CI204" s="377"/>
      <c r="CJ204" s="377"/>
      <c r="CK204" s="377"/>
      <c r="CL204" s="377"/>
    </row>
    <row r="205" spans="1:90" ht="15">
      <c r="A205" s="377"/>
      <c r="B205" s="377"/>
      <c r="C205" s="1533" t="s">
        <v>276</v>
      </c>
      <c r="D205" s="1534"/>
      <c r="E205" s="1534"/>
      <c r="F205" s="582"/>
      <c r="G205" s="1533" t="s">
        <v>225</v>
      </c>
      <c r="H205" s="1534"/>
      <c r="I205" s="1534"/>
      <c r="J205" s="1534"/>
      <c r="K205" s="377"/>
      <c r="L205" s="377"/>
      <c r="M205" s="377"/>
      <c r="N205" s="377"/>
      <c r="O205" s="377"/>
      <c r="P205" s="377"/>
      <c r="Q205" s="377"/>
      <c r="R205" s="377"/>
      <c r="S205" s="377"/>
      <c r="T205" s="377"/>
      <c r="U205" s="377"/>
      <c r="V205" s="377"/>
      <c r="W205" s="377"/>
      <c r="X205" s="574"/>
      <c r="Y205" s="377"/>
      <c r="Z205" s="377"/>
      <c r="AA205" s="377"/>
      <c r="AB205" s="377"/>
      <c r="AC205" s="377"/>
      <c r="AD205" s="377"/>
      <c r="AE205" s="377"/>
      <c r="AF205" s="377"/>
      <c r="AG205" s="377"/>
      <c r="AH205" s="377"/>
      <c r="AI205" s="377"/>
      <c r="AJ205" s="377"/>
      <c r="AK205" s="377"/>
      <c r="AL205" s="574"/>
      <c r="AM205" s="377"/>
      <c r="AN205" s="377"/>
      <c r="AO205" s="377"/>
      <c r="AP205" s="377"/>
      <c r="AQ205" s="377"/>
      <c r="AR205" s="377"/>
      <c r="AS205" s="377"/>
      <c r="AT205" s="377"/>
      <c r="AU205" s="377"/>
      <c r="AV205" s="377"/>
      <c r="AW205" s="575"/>
      <c r="AX205" s="377"/>
      <c r="AY205" s="377"/>
      <c r="AZ205" s="377"/>
      <c r="BA205" s="377"/>
      <c r="BB205" s="377"/>
      <c r="BC205" s="377"/>
      <c r="BD205" s="377"/>
      <c r="BE205" s="377"/>
      <c r="BF205" s="377"/>
      <c r="BG205" s="377"/>
      <c r="BH205" s="377"/>
      <c r="BI205" s="377"/>
      <c r="BJ205" s="377"/>
      <c r="BK205" s="376"/>
      <c r="BL205" s="376"/>
      <c r="BM205" s="577"/>
      <c r="BO205" s="579"/>
      <c r="BP205" s="377"/>
      <c r="BQ205" s="376"/>
      <c r="BR205" s="377"/>
      <c r="BS205" s="583"/>
      <c r="BT205" s="377"/>
      <c r="BU205" s="376"/>
      <c r="BV205" s="377"/>
      <c r="BW205" s="377"/>
      <c r="BX205" s="377"/>
      <c r="BY205" s="377"/>
      <c r="BZ205" s="377"/>
      <c r="CA205" s="377"/>
      <c r="CB205" s="377"/>
      <c r="CC205" s="377"/>
      <c r="CD205" s="377"/>
      <c r="CE205" s="377"/>
      <c r="CF205" s="377"/>
      <c r="CG205" s="377"/>
      <c r="CH205" s="377"/>
      <c r="CI205" s="377"/>
      <c r="CJ205" s="377"/>
      <c r="CK205" s="377"/>
      <c r="CL205" s="377"/>
    </row>
    <row r="206" spans="1:90" ht="15">
      <c r="A206" s="377"/>
      <c r="B206" s="377"/>
      <c r="C206" s="716"/>
      <c r="D206" s="716"/>
      <c r="E206" s="584"/>
      <c r="F206" s="582"/>
      <c r="G206" s="716"/>
      <c r="H206" s="585"/>
      <c r="I206" s="716"/>
      <c r="J206" s="716"/>
      <c r="K206" s="377"/>
      <c r="L206" s="377"/>
      <c r="M206" s="377"/>
      <c r="N206" s="377"/>
      <c r="O206" s="377"/>
      <c r="P206" s="377"/>
      <c r="Q206" s="377"/>
      <c r="R206" s="377"/>
      <c r="S206" s="377"/>
      <c r="T206" s="377"/>
      <c r="U206" s="377"/>
      <c r="V206" s="377"/>
      <c r="W206" s="377"/>
      <c r="X206" s="574"/>
      <c r="Y206" s="377"/>
      <c r="Z206" s="377"/>
      <c r="AA206" s="377"/>
      <c r="AB206" s="377"/>
      <c r="AC206" s="377"/>
      <c r="AD206" s="377"/>
      <c r="AE206" s="377"/>
      <c r="AF206" s="377"/>
      <c r="AG206" s="377"/>
      <c r="AH206" s="377"/>
      <c r="AI206" s="377"/>
      <c r="AJ206" s="377"/>
      <c r="AK206" s="377"/>
      <c r="AL206" s="574"/>
      <c r="AM206" s="377"/>
      <c r="AN206" s="377"/>
      <c r="AO206" s="377"/>
      <c r="AP206" s="377"/>
      <c r="AQ206" s="377"/>
      <c r="AR206" s="377"/>
      <c r="AS206" s="377"/>
      <c r="AT206" s="377"/>
      <c r="AU206" s="377"/>
      <c r="AV206" s="377"/>
      <c r="AW206" s="575"/>
      <c r="AX206" s="377"/>
      <c r="AY206" s="377"/>
      <c r="AZ206" s="377"/>
      <c r="BA206" s="376"/>
      <c r="BB206" s="377"/>
      <c r="BC206" s="377"/>
      <c r="BD206" s="377"/>
      <c r="BE206" s="377"/>
      <c r="BF206" s="377"/>
      <c r="BG206" s="376"/>
      <c r="BH206" s="586"/>
      <c r="BI206" s="376"/>
      <c r="BJ206" s="377"/>
      <c r="BK206" s="587"/>
      <c r="BL206" s="587"/>
      <c r="BM206" s="577"/>
      <c r="BO206" s="577"/>
      <c r="BP206" s="377"/>
      <c r="BQ206" s="377"/>
      <c r="BR206" s="377"/>
      <c r="BS206" s="583"/>
      <c r="BT206" s="466"/>
      <c r="BU206" s="587"/>
      <c r="BV206" s="377"/>
      <c r="BW206" s="377"/>
      <c r="BX206" s="377"/>
      <c r="BY206" s="377"/>
      <c r="BZ206" s="377"/>
      <c r="CA206" s="377"/>
      <c r="CB206" s="377"/>
      <c r="CC206" s="377"/>
      <c r="CD206" s="377"/>
      <c r="CE206" s="377"/>
      <c r="CF206" s="377"/>
      <c r="CG206" s="377"/>
      <c r="CH206" s="377"/>
      <c r="CI206" s="377"/>
      <c r="CJ206" s="377"/>
      <c r="CK206" s="377"/>
      <c r="CL206" s="377"/>
    </row>
    <row r="207" spans="1:90" ht="15">
      <c r="A207" s="377"/>
      <c r="B207" s="377"/>
      <c r="C207" s="1533" t="s">
        <v>276</v>
      </c>
      <c r="D207" s="1534"/>
      <c r="E207" s="1534"/>
      <c r="F207" s="582"/>
      <c r="G207" s="1533" t="s">
        <v>188</v>
      </c>
      <c r="H207" s="1534"/>
      <c r="I207" s="1534"/>
      <c r="J207" s="1534"/>
      <c r="K207" s="377"/>
      <c r="L207" s="377"/>
      <c r="M207" s="377"/>
      <c r="N207" s="377"/>
      <c r="O207" s="377"/>
      <c r="P207" s="377"/>
      <c r="Q207" s="377"/>
      <c r="R207" s="377"/>
      <c r="S207" s="377"/>
      <c r="T207" s="377"/>
      <c r="U207" s="377"/>
      <c r="V207" s="377"/>
      <c r="W207" s="377"/>
      <c r="X207" s="574"/>
      <c r="Y207" s="377"/>
      <c r="Z207" s="377"/>
      <c r="AA207" s="377"/>
      <c r="AB207" s="377"/>
      <c r="AC207" s="377"/>
      <c r="AD207" s="377"/>
      <c r="AE207" s="377"/>
      <c r="AF207" s="377"/>
      <c r="AG207" s="377"/>
      <c r="AH207" s="377"/>
      <c r="AI207" s="377"/>
      <c r="AJ207" s="377"/>
      <c r="AK207" s="377"/>
      <c r="AL207" s="574"/>
      <c r="AM207" s="377"/>
      <c r="AN207" s="377"/>
      <c r="AO207" s="377"/>
      <c r="AP207" s="377"/>
      <c r="AQ207" s="377"/>
      <c r="AR207" s="377"/>
      <c r="AS207" s="377"/>
      <c r="AT207" s="377"/>
      <c r="AU207" s="377"/>
      <c r="AV207" s="377"/>
      <c r="AW207" s="575"/>
      <c r="AX207" s="377"/>
      <c r="AY207" s="377"/>
      <c r="AZ207" s="377"/>
      <c r="BA207" s="376"/>
      <c r="BB207" s="377"/>
      <c r="BC207" s="377"/>
      <c r="BD207" s="377"/>
      <c r="BE207" s="377"/>
      <c r="BF207" s="377"/>
      <c r="BG207" s="377"/>
      <c r="BH207" s="377"/>
      <c r="BI207" s="377"/>
      <c r="BJ207" s="377"/>
      <c r="BK207" s="587"/>
      <c r="BL207" s="587"/>
      <c r="BO207" s="588"/>
      <c r="BP207" s="587"/>
      <c r="BQ207" s="466"/>
      <c r="BR207" s="377"/>
      <c r="BS207" s="587"/>
      <c r="BT207" s="587"/>
      <c r="BU207" s="589"/>
      <c r="BV207" s="377"/>
      <c r="BW207" s="377"/>
      <c r="BX207" s="377"/>
      <c r="BY207" s="377"/>
      <c r="BZ207" s="377"/>
      <c r="CA207" s="377"/>
      <c r="CB207" s="377"/>
      <c r="CC207" s="377"/>
      <c r="CD207" s="377"/>
      <c r="CE207" s="377"/>
      <c r="CF207" s="377"/>
      <c r="CG207" s="377"/>
      <c r="CH207" s="377"/>
      <c r="CI207" s="377"/>
      <c r="CJ207" s="377"/>
      <c r="CK207" s="377"/>
      <c r="CL207" s="377"/>
    </row>
    <row r="208" spans="1:90" ht="15">
      <c r="A208" s="377"/>
      <c r="B208" s="377"/>
      <c r="C208" s="716"/>
      <c r="D208" s="716"/>
      <c r="E208" s="584"/>
      <c r="F208" s="582"/>
      <c r="G208" s="716"/>
      <c r="H208" s="585"/>
      <c r="I208" s="716"/>
      <c r="J208" s="716"/>
      <c r="K208" s="377"/>
      <c r="L208" s="377"/>
      <c r="M208" s="377"/>
      <c r="N208" s="377"/>
      <c r="O208" s="377"/>
      <c r="P208" s="377"/>
      <c r="Q208" s="377"/>
      <c r="R208" s="377"/>
      <c r="S208" s="377"/>
      <c r="T208" s="377"/>
      <c r="U208" s="377"/>
      <c r="V208" s="377"/>
      <c r="W208" s="377"/>
      <c r="X208" s="574"/>
      <c r="Y208" s="377"/>
      <c r="Z208" s="377"/>
      <c r="AA208" s="377"/>
      <c r="AB208" s="377"/>
      <c r="AC208" s="377"/>
      <c r="AD208" s="377"/>
      <c r="AE208" s="377"/>
      <c r="AF208" s="377"/>
      <c r="AG208" s="377"/>
      <c r="AH208" s="377"/>
      <c r="AI208" s="377"/>
      <c r="AJ208" s="377"/>
      <c r="AK208" s="377"/>
      <c r="AL208" s="574"/>
      <c r="AM208" s="377"/>
      <c r="AN208" s="377"/>
      <c r="AO208" s="377"/>
      <c r="AP208" s="377"/>
      <c r="AQ208" s="377"/>
      <c r="AR208" s="377"/>
      <c r="AS208" s="377"/>
      <c r="AT208" s="377"/>
      <c r="AU208" s="377"/>
      <c r="AV208" s="377"/>
      <c r="AW208" s="575"/>
      <c r="AX208" s="377"/>
      <c r="AY208" s="377"/>
      <c r="AZ208" s="377"/>
      <c r="BA208" s="377"/>
      <c r="BB208" s="377"/>
      <c r="BC208" s="377"/>
      <c r="BD208" s="377"/>
      <c r="BE208" s="377"/>
      <c r="BF208" s="377"/>
      <c r="BG208" s="376"/>
      <c r="BH208" s="377"/>
      <c r="BI208" s="376"/>
      <c r="BJ208" s="377"/>
      <c r="BK208" s="466"/>
      <c r="BL208" s="466"/>
      <c r="BM208" s="577"/>
      <c r="BO208" s="588"/>
      <c r="BP208" s="587"/>
      <c r="BQ208" s="466"/>
      <c r="BR208" s="377"/>
      <c r="BS208" s="587"/>
      <c r="BT208" s="466"/>
      <c r="BU208" s="587"/>
      <c r="BV208" s="377"/>
      <c r="BW208" s="377"/>
      <c r="BX208" s="377"/>
      <c r="BY208" s="377"/>
      <c r="BZ208" s="377"/>
      <c r="CA208" s="377"/>
      <c r="CB208" s="377"/>
      <c r="CC208" s="377"/>
      <c r="CD208" s="377"/>
      <c r="CE208" s="377"/>
      <c r="CF208" s="377"/>
      <c r="CG208" s="377"/>
      <c r="CH208" s="377"/>
      <c r="CI208" s="377"/>
      <c r="CJ208" s="377"/>
      <c r="CK208" s="377"/>
      <c r="CL208" s="377"/>
    </row>
    <row r="209" spans="1:90" ht="15">
      <c r="A209" s="377"/>
      <c r="B209" s="377"/>
      <c r="C209" s="1533" t="s">
        <v>843</v>
      </c>
      <c r="D209" s="1534"/>
      <c r="E209" s="1534"/>
      <c r="F209" s="582"/>
      <c r="G209" s="1533" t="s">
        <v>190</v>
      </c>
      <c r="H209" s="1534"/>
      <c r="I209" s="1534"/>
      <c r="J209" s="1534"/>
      <c r="K209" s="377"/>
      <c r="L209" s="377"/>
      <c r="M209" s="377"/>
      <c r="N209" s="377"/>
      <c r="O209" s="377"/>
      <c r="P209" s="377"/>
      <c r="Q209" s="377"/>
      <c r="R209" s="377"/>
      <c r="S209" s="377"/>
      <c r="T209" s="377"/>
      <c r="U209" s="377"/>
      <c r="V209" s="377"/>
      <c r="W209" s="377"/>
      <c r="X209" s="574"/>
      <c r="Y209" s="377"/>
      <c r="Z209" s="377"/>
      <c r="AA209" s="377"/>
      <c r="AB209" s="377"/>
      <c r="AC209" s="377"/>
      <c r="AD209" s="377"/>
      <c r="AE209" s="377"/>
      <c r="AF209" s="377"/>
      <c r="AG209" s="377"/>
      <c r="AH209" s="377"/>
      <c r="AI209" s="377"/>
      <c r="AJ209" s="377"/>
      <c r="AK209" s="377"/>
      <c r="AL209" s="574"/>
      <c r="AM209" s="377"/>
      <c r="AN209" s="377"/>
      <c r="AO209" s="377"/>
      <c r="AP209" s="377"/>
      <c r="AQ209" s="377"/>
      <c r="AR209" s="377"/>
      <c r="AS209" s="377"/>
      <c r="AT209" s="377"/>
      <c r="AU209" s="377"/>
      <c r="AV209" s="377"/>
      <c r="AW209" s="575"/>
      <c r="AX209" s="377"/>
      <c r="AY209" s="377"/>
      <c r="AZ209" s="377"/>
      <c r="BA209" s="376"/>
      <c r="BB209" s="377"/>
      <c r="BC209" s="377"/>
      <c r="BD209" s="377"/>
      <c r="BE209" s="377"/>
      <c r="BF209" s="377"/>
      <c r="BG209" s="377"/>
      <c r="BH209" s="376"/>
      <c r="BI209" s="377"/>
      <c r="BJ209" s="377"/>
      <c r="BK209" s="466"/>
      <c r="BL209" s="466"/>
      <c r="BP209" s="587"/>
      <c r="BQ209" s="466"/>
      <c r="BR209" s="377"/>
      <c r="BS209" s="590"/>
      <c r="BT209" s="466"/>
      <c r="BU209" s="466"/>
      <c r="BV209" s="377"/>
      <c r="BW209" s="377"/>
      <c r="BX209" s="377"/>
      <c r="BY209" s="377"/>
      <c r="BZ209" s="377"/>
      <c r="CA209" s="377"/>
      <c r="CB209" s="377"/>
      <c r="CC209" s="377"/>
      <c r="CD209" s="377"/>
      <c r="CE209" s="377"/>
      <c r="CF209" s="377"/>
      <c r="CG209" s="377"/>
      <c r="CH209" s="377"/>
      <c r="CI209" s="377"/>
      <c r="CJ209" s="377"/>
      <c r="CK209" s="377"/>
      <c r="CL209" s="377"/>
    </row>
    <row r="210" spans="1:90" ht="15">
      <c r="A210" s="377"/>
      <c r="B210" s="377"/>
      <c r="C210" s="716"/>
      <c r="D210" s="582"/>
      <c r="E210" s="355"/>
      <c r="F210" s="582"/>
      <c r="G210" s="716"/>
      <c r="H210" s="585"/>
      <c r="I210" s="716"/>
      <c r="J210" s="716"/>
      <c r="K210" s="377"/>
      <c r="L210" s="377"/>
      <c r="M210" s="377"/>
      <c r="N210" s="377"/>
      <c r="O210" s="377"/>
      <c r="P210" s="377"/>
      <c r="Q210" s="377"/>
      <c r="R210" s="377"/>
      <c r="S210" s="377"/>
      <c r="T210" s="377"/>
      <c r="U210" s="377"/>
      <c r="V210" s="377"/>
      <c r="W210" s="377"/>
      <c r="X210" s="574"/>
      <c r="Y210" s="377"/>
      <c r="Z210" s="377"/>
      <c r="AA210" s="377"/>
      <c r="AB210" s="377"/>
      <c r="AC210" s="377"/>
      <c r="AD210" s="377"/>
      <c r="AE210" s="377"/>
      <c r="AF210" s="377"/>
      <c r="AG210" s="377"/>
      <c r="AH210" s="377"/>
      <c r="AI210" s="377"/>
      <c r="AJ210" s="377"/>
      <c r="AK210" s="377"/>
      <c r="AL210" s="574"/>
      <c r="AM210" s="377"/>
      <c r="AN210" s="377"/>
      <c r="AO210" s="377"/>
      <c r="AP210" s="377"/>
      <c r="AQ210" s="377"/>
      <c r="AR210" s="377"/>
      <c r="AS210" s="377"/>
      <c r="AT210" s="377"/>
      <c r="AU210" s="377"/>
      <c r="AV210" s="377"/>
      <c r="AW210" s="575"/>
      <c r="AX210" s="377"/>
      <c r="AY210" s="377"/>
      <c r="AZ210" s="377"/>
      <c r="BA210" s="377"/>
      <c r="BB210" s="377"/>
      <c r="BC210" s="377"/>
      <c r="BD210" s="377"/>
      <c r="BE210" s="377"/>
      <c r="BF210" s="377"/>
      <c r="BG210" s="377"/>
      <c r="BH210" s="377"/>
      <c r="BI210" s="377"/>
      <c r="BJ210" s="377"/>
      <c r="BK210" s="466"/>
      <c r="BL210" s="466"/>
      <c r="BO210" s="577"/>
      <c r="BP210" s="587"/>
      <c r="BQ210" s="466"/>
      <c r="BR210" s="377"/>
      <c r="BS210" s="466"/>
      <c r="BT210" s="466"/>
      <c r="BU210" s="466"/>
      <c r="BV210" s="377"/>
      <c r="BW210" s="377"/>
      <c r="BX210" s="377"/>
      <c r="BY210" s="377"/>
      <c r="BZ210" s="377"/>
      <c r="CA210" s="377"/>
      <c r="CB210" s="377"/>
      <c r="CC210" s="377"/>
      <c r="CD210" s="377"/>
      <c r="CE210" s="377"/>
      <c r="CF210" s="377"/>
      <c r="CG210" s="377"/>
      <c r="CH210" s="377"/>
      <c r="CI210" s="377"/>
      <c r="CJ210" s="377"/>
      <c r="CK210" s="377"/>
      <c r="CL210" s="377"/>
    </row>
    <row r="211" spans="1:90" ht="15">
      <c r="A211" s="377"/>
      <c r="B211" s="377"/>
      <c r="C211" s="1533" t="s">
        <v>52</v>
      </c>
      <c r="D211" s="1534"/>
      <c r="E211" s="1534"/>
      <c r="F211" s="582"/>
      <c r="G211" s="1533" t="s">
        <v>281</v>
      </c>
      <c r="H211" s="1534"/>
      <c r="I211" s="1534"/>
      <c r="J211" s="1534"/>
      <c r="K211" s="377"/>
      <c r="L211" s="377"/>
      <c r="M211" s="377"/>
      <c r="N211" s="377"/>
      <c r="O211" s="377"/>
      <c r="P211" s="377"/>
      <c r="Q211" s="377"/>
      <c r="R211" s="377"/>
      <c r="S211" s="377"/>
      <c r="T211" s="377"/>
      <c r="U211" s="377"/>
      <c r="V211" s="377"/>
      <c r="W211" s="377"/>
      <c r="X211" s="574"/>
      <c r="Y211" s="377"/>
      <c r="Z211" s="377"/>
      <c r="AA211" s="377"/>
      <c r="AB211" s="377"/>
      <c r="AC211" s="377"/>
      <c r="AD211" s="377"/>
      <c r="AE211" s="377"/>
      <c r="AF211" s="377"/>
      <c r="AG211" s="377"/>
      <c r="AH211" s="377"/>
      <c r="AI211" s="377"/>
      <c r="AJ211" s="377"/>
      <c r="AK211" s="377"/>
      <c r="AL211" s="574"/>
      <c r="AM211" s="377"/>
      <c r="AN211" s="377"/>
      <c r="AO211" s="377"/>
      <c r="AP211" s="377"/>
      <c r="AQ211" s="377"/>
      <c r="AR211" s="377"/>
      <c r="AS211" s="377"/>
      <c r="AT211" s="377"/>
      <c r="AU211" s="377"/>
      <c r="AV211" s="377"/>
      <c r="AW211" s="575"/>
      <c r="AX211" s="377"/>
      <c r="AY211" s="377"/>
      <c r="AZ211" s="377"/>
      <c r="BA211" s="377"/>
      <c r="BB211" s="377"/>
      <c r="BC211" s="377"/>
      <c r="BD211" s="377"/>
      <c r="BE211" s="377"/>
      <c r="BF211" s="377"/>
      <c r="BG211" s="376"/>
      <c r="BH211" s="377"/>
      <c r="BI211" s="377"/>
      <c r="BJ211" s="377"/>
      <c r="BK211" s="466"/>
      <c r="BL211" s="466"/>
      <c r="BP211" s="466"/>
      <c r="BQ211" s="466"/>
      <c r="BR211" s="377"/>
      <c r="BS211" s="377"/>
      <c r="BT211" s="377"/>
      <c r="BU211" s="377"/>
      <c r="BV211" s="377"/>
      <c r="BW211" s="377"/>
      <c r="BX211" s="377"/>
      <c r="BY211" s="377"/>
      <c r="BZ211" s="377"/>
      <c r="CA211" s="377"/>
      <c r="CB211" s="377"/>
      <c r="CC211" s="377"/>
      <c r="CD211" s="377"/>
      <c r="CE211" s="377"/>
      <c r="CF211" s="377"/>
      <c r="CG211" s="377"/>
      <c r="CH211" s="377"/>
      <c r="CI211" s="377"/>
    </row>
    <row r="212" spans="1:90" ht="15">
      <c r="A212" s="377"/>
      <c r="B212" s="377"/>
      <c r="C212" s="584"/>
      <c r="D212" s="355"/>
      <c r="E212" s="355"/>
      <c r="F212" s="355"/>
      <c r="G212" s="355"/>
      <c r="H212" s="591"/>
      <c r="I212" s="355"/>
      <c r="J212" s="355"/>
      <c r="K212" s="377"/>
      <c r="L212" s="377"/>
      <c r="M212" s="377"/>
      <c r="N212" s="377"/>
      <c r="O212" s="377"/>
      <c r="P212" s="377"/>
      <c r="Q212" s="377"/>
      <c r="R212" s="377"/>
      <c r="S212" s="377"/>
      <c r="T212" s="377"/>
      <c r="U212" s="377"/>
      <c r="V212" s="377"/>
      <c r="W212" s="377"/>
      <c r="X212" s="574"/>
      <c r="Y212" s="377"/>
      <c r="Z212" s="377"/>
      <c r="AA212" s="377"/>
      <c r="AB212" s="377"/>
      <c r="AC212" s="377"/>
      <c r="AD212" s="377"/>
      <c r="AE212" s="377"/>
      <c r="AF212" s="377"/>
      <c r="AG212" s="377"/>
      <c r="AH212" s="377"/>
      <c r="AI212" s="377"/>
      <c r="AJ212" s="377"/>
      <c r="AK212" s="377"/>
      <c r="AL212" s="574"/>
      <c r="AM212" s="377"/>
      <c r="AN212" s="377"/>
      <c r="AO212" s="377"/>
      <c r="AP212" s="377"/>
      <c r="AQ212" s="377"/>
      <c r="AR212" s="377"/>
      <c r="AS212" s="377"/>
      <c r="AT212" s="377"/>
      <c r="AU212" s="377"/>
      <c r="AV212" s="377"/>
      <c r="AW212" s="575"/>
      <c r="AX212" s="377"/>
      <c r="AY212" s="377"/>
      <c r="AZ212" s="377"/>
      <c r="BA212" s="377"/>
      <c r="BB212" s="377"/>
      <c r="BC212" s="377"/>
      <c r="BD212" s="377"/>
      <c r="BE212" s="377"/>
      <c r="BF212" s="377"/>
      <c r="BG212" s="377"/>
      <c r="BH212" s="377"/>
      <c r="BI212" s="377"/>
      <c r="BJ212" s="377"/>
      <c r="BK212" s="466"/>
      <c r="BL212" s="466"/>
      <c r="BM212" s="590"/>
      <c r="BN212" s="592"/>
      <c r="BO212" s="587"/>
      <c r="BP212" s="466"/>
      <c r="BQ212" s="466"/>
      <c r="BR212" s="377"/>
      <c r="BS212" s="377"/>
      <c r="BT212" s="377"/>
      <c r="BU212" s="377"/>
      <c r="BV212" s="377"/>
      <c r="BW212" s="377"/>
      <c r="BX212" s="377"/>
      <c r="BY212" s="377"/>
      <c r="BZ212" s="377"/>
      <c r="CA212" s="377"/>
      <c r="CB212" s="377"/>
      <c r="CC212" s="377"/>
      <c r="CD212" s="377"/>
      <c r="CE212" s="377"/>
      <c r="CF212" s="377"/>
      <c r="CG212" s="377"/>
      <c r="CH212" s="377"/>
      <c r="CI212" s="377"/>
    </row>
    <row r="213" spans="1:90" ht="15">
      <c r="A213" s="377"/>
      <c r="B213" s="377"/>
      <c r="C213" s="572"/>
      <c r="D213" s="377"/>
      <c r="E213" s="377"/>
      <c r="F213" s="377"/>
      <c r="G213" s="377"/>
      <c r="H213" s="573"/>
      <c r="I213" s="377"/>
      <c r="J213" s="377"/>
      <c r="K213" s="377"/>
      <c r="L213" s="377"/>
      <c r="M213" s="377"/>
      <c r="N213" s="377"/>
      <c r="O213" s="377"/>
      <c r="P213" s="377"/>
      <c r="Q213" s="377"/>
      <c r="R213" s="377"/>
      <c r="S213" s="377"/>
      <c r="T213" s="377"/>
      <c r="U213" s="377"/>
      <c r="V213" s="377"/>
      <c r="W213" s="377"/>
      <c r="X213" s="574"/>
      <c r="Y213" s="377"/>
      <c r="Z213" s="377"/>
      <c r="AA213" s="377"/>
      <c r="AB213" s="377"/>
      <c r="AC213" s="377"/>
      <c r="AD213" s="377"/>
      <c r="AE213" s="377"/>
      <c r="AF213" s="377"/>
      <c r="AG213" s="377"/>
      <c r="AH213" s="377"/>
      <c r="AI213" s="377"/>
      <c r="AJ213" s="377"/>
      <c r="AK213" s="377"/>
      <c r="AL213" s="574"/>
      <c r="AM213" s="377"/>
      <c r="AN213" s="377"/>
      <c r="AO213" s="377"/>
      <c r="AP213" s="377"/>
      <c r="AQ213" s="377"/>
      <c r="AR213" s="377"/>
      <c r="AS213" s="377"/>
      <c r="AT213" s="377"/>
      <c r="AU213" s="377"/>
      <c r="AV213" s="377"/>
      <c r="AW213" s="575"/>
      <c r="AX213" s="377"/>
      <c r="AY213" s="377"/>
      <c r="AZ213" s="377"/>
      <c r="BA213" s="377"/>
      <c r="BB213" s="377"/>
      <c r="BC213" s="377"/>
      <c r="BD213" s="377"/>
      <c r="BE213" s="377"/>
      <c r="BF213" s="377"/>
      <c r="BG213" s="377"/>
      <c r="BH213" s="377"/>
      <c r="BI213" s="377"/>
      <c r="BJ213" s="377"/>
      <c r="BK213" s="466"/>
      <c r="BL213" s="466"/>
      <c r="BM213" s="466"/>
      <c r="BN213" s="592"/>
      <c r="BO213" s="466"/>
      <c r="BP213" s="466"/>
      <c r="BQ213" s="466"/>
      <c r="BR213" s="377"/>
      <c r="BS213" s="377"/>
      <c r="BT213" s="377"/>
      <c r="BU213" s="377"/>
      <c r="BV213" s="377"/>
      <c r="BW213" s="377"/>
      <c r="BX213" s="377"/>
      <c r="BY213" s="377"/>
      <c r="BZ213" s="377"/>
      <c r="CA213" s="377"/>
      <c r="CB213" s="377"/>
      <c r="CC213" s="377"/>
      <c r="CD213" s="377"/>
      <c r="CE213" s="377"/>
      <c r="CF213" s="377"/>
      <c r="CG213" s="377"/>
      <c r="CH213" s="377"/>
      <c r="CI213" s="377"/>
    </row>
    <row r="214" spans="1:90" ht="15">
      <c r="A214" s="377"/>
      <c r="B214" s="377"/>
      <c r="C214" s="572"/>
      <c r="D214" s="377"/>
      <c r="E214" s="377"/>
      <c r="F214" s="377"/>
      <c r="G214" s="377"/>
      <c r="H214" s="573"/>
      <c r="I214" s="377"/>
      <c r="J214" s="377"/>
      <c r="K214" s="377"/>
      <c r="L214" s="377"/>
      <c r="M214" s="377"/>
      <c r="N214" s="377"/>
      <c r="O214" s="377"/>
      <c r="P214" s="377"/>
      <c r="Q214" s="377"/>
      <c r="R214" s="377"/>
      <c r="S214" s="377"/>
      <c r="T214" s="377"/>
      <c r="U214" s="377"/>
      <c r="V214" s="377"/>
      <c r="W214" s="377"/>
      <c r="X214" s="574"/>
      <c r="Y214" s="377"/>
      <c r="Z214" s="377"/>
      <c r="AA214" s="377"/>
      <c r="AB214" s="377"/>
      <c r="AC214" s="377"/>
      <c r="AD214" s="377"/>
      <c r="AE214" s="377"/>
      <c r="AF214" s="377"/>
      <c r="AG214" s="377"/>
      <c r="AH214" s="377"/>
      <c r="AI214" s="377"/>
      <c r="AJ214" s="377"/>
      <c r="AK214" s="377"/>
      <c r="AL214" s="574"/>
      <c r="AM214" s="377"/>
      <c r="AN214" s="377"/>
      <c r="AO214" s="377"/>
      <c r="AP214" s="377"/>
      <c r="AQ214" s="377"/>
      <c r="AR214" s="377"/>
      <c r="AS214" s="377"/>
      <c r="AT214" s="377"/>
      <c r="AU214" s="377"/>
      <c r="AV214" s="377"/>
      <c r="AW214" s="575"/>
      <c r="AX214" s="377"/>
      <c r="AY214" s="377"/>
      <c r="AZ214" s="377"/>
      <c r="BA214" s="377"/>
      <c r="BB214" s="377"/>
      <c r="BC214" s="377"/>
      <c r="BD214" s="377"/>
      <c r="BE214" s="377"/>
      <c r="BF214" s="377"/>
      <c r="BG214" s="377"/>
      <c r="BH214" s="377"/>
      <c r="BI214" s="377"/>
      <c r="BJ214" s="377"/>
      <c r="BK214" s="466"/>
      <c r="BL214" s="466"/>
      <c r="BM214" s="466"/>
      <c r="BN214" s="592"/>
      <c r="BO214" s="466"/>
      <c r="BP214" s="466"/>
      <c r="BQ214" s="466"/>
      <c r="BR214" s="377"/>
      <c r="BS214" s="377"/>
      <c r="BT214" s="377"/>
      <c r="BU214" s="377"/>
      <c r="BV214" s="377"/>
      <c r="BW214" s="377"/>
      <c r="BX214" s="377"/>
      <c r="BY214" s="377"/>
      <c r="BZ214" s="377"/>
      <c r="CA214" s="377"/>
      <c r="CB214" s="377"/>
      <c r="CC214" s="377"/>
      <c r="CD214" s="377"/>
      <c r="CE214" s="377"/>
      <c r="CF214" s="377"/>
      <c r="CG214" s="377"/>
      <c r="CH214" s="377"/>
      <c r="CI214" s="377"/>
    </row>
    <row r="215" spans="1:90" ht="15">
      <c r="A215" s="377"/>
      <c r="B215" s="377"/>
      <c r="C215" s="572"/>
      <c r="D215" s="377"/>
      <c r="E215" s="377"/>
      <c r="F215" s="377"/>
      <c r="G215" s="377"/>
      <c r="H215" s="573"/>
      <c r="I215" s="377"/>
      <c r="J215" s="377"/>
      <c r="K215" s="377"/>
      <c r="L215" s="377"/>
      <c r="M215" s="377"/>
      <c r="N215" s="377"/>
      <c r="O215" s="377"/>
      <c r="P215" s="377"/>
      <c r="Q215" s="377"/>
      <c r="R215" s="377"/>
      <c r="S215" s="377"/>
      <c r="T215" s="377"/>
      <c r="U215" s="377"/>
      <c r="V215" s="377"/>
      <c r="W215" s="377"/>
      <c r="X215" s="574"/>
      <c r="Y215" s="377"/>
      <c r="Z215" s="377"/>
      <c r="AA215" s="377"/>
      <c r="AB215" s="377"/>
      <c r="AC215" s="377"/>
      <c r="AD215" s="377"/>
      <c r="AE215" s="377"/>
      <c r="AF215" s="377"/>
      <c r="AG215" s="377"/>
      <c r="AH215" s="377"/>
      <c r="AI215" s="377"/>
      <c r="AJ215" s="377"/>
      <c r="AK215" s="377"/>
      <c r="AL215" s="574"/>
      <c r="AM215" s="377"/>
      <c r="AN215" s="377"/>
      <c r="AO215" s="377"/>
      <c r="AP215" s="377"/>
      <c r="AQ215" s="377"/>
      <c r="AR215" s="377"/>
      <c r="AS215" s="377"/>
      <c r="AT215" s="377"/>
      <c r="AU215" s="377"/>
      <c r="AV215" s="377"/>
      <c r="AW215" s="575"/>
      <c r="AX215" s="377"/>
      <c r="AY215" s="377"/>
      <c r="AZ215" s="377"/>
      <c r="BA215" s="377"/>
      <c r="BB215" s="377"/>
      <c r="BC215" s="377"/>
      <c r="BD215" s="377"/>
      <c r="BE215" s="377"/>
      <c r="BF215" s="377"/>
      <c r="BG215" s="377"/>
      <c r="BH215" s="377"/>
      <c r="BI215" s="377"/>
      <c r="BJ215" s="377"/>
      <c r="BK215" s="466"/>
      <c r="BL215" s="466"/>
      <c r="BM215" s="466"/>
      <c r="BN215" s="592"/>
      <c r="BO215" s="466"/>
      <c r="BP215" s="466"/>
      <c r="BQ215" s="466"/>
      <c r="BR215" s="377"/>
      <c r="BS215" s="377"/>
      <c r="BT215" s="377"/>
      <c r="BU215" s="377"/>
      <c r="BV215" s="377"/>
      <c r="BW215" s="377"/>
      <c r="BX215" s="377"/>
      <c r="BY215" s="377"/>
      <c r="BZ215" s="377"/>
      <c r="CA215" s="377"/>
      <c r="CB215" s="377"/>
      <c r="CC215" s="377"/>
      <c r="CD215" s="377"/>
      <c r="CE215" s="377"/>
      <c r="CF215" s="377"/>
      <c r="CG215" s="377"/>
      <c r="CH215" s="377"/>
      <c r="CI215" s="377"/>
    </row>
    <row r="216" spans="1:90" ht="15">
      <c r="A216" s="377"/>
      <c r="B216" s="377"/>
      <c r="C216" s="572"/>
      <c r="D216" s="377"/>
      <c r="E216" s="377"/>
      <c r="F216" s="377"/>
      <c r="G216" s="377"/>
      <c r="H216" s="573"/>
      <c r="I216" s="377"/>
      <c r="J216" s="377"/>
      <c r="K216" s="377"/>
      <c r="L216" s="377"/>
      <c r="M216" s="377"/>
      <c r="N216" s="377"/>
      <c r="O216" s="377"/>
      <c r="P216" s="377"/>
      <c r="Q216" s="377"/>
      <c r="R216" s="377"/>
      <c r="S216" s="377"/>
      <c r="T216" s="377"/>
      <c r="U216" s="377"/>
      <c r="V216" s="377"/>
      <c r="W216" s="377"/>
      <c r="X216" s="574"/>
      <c r="Y216" s="377"/>
      <c r="Z216" s="377"/>
      <c r="AA216" s="377"/>
      <c r="AB216" s="377"/>
      <c r="AC216" s="377"/>
      <c r="AD216" s="377"/>
      <c r="AE216" s="377"/>
      <c r="AF216" s="377"/>
      <c r="AG216" s="377"/>
      <c r="AH216" s="377"/>
      <c r="AI216" s="377"/>
      <c r="AJ216" s="377"/>
      <c r="AK216" s="377"/>
      <c r="AL216" s="574"/>
      <c r="AM216" s="377"/>
      <c r="AN216" s="377"/>
      <c r="AO216" s="377"/>
      <c r="AP216" s="377"/>
      <c r="AQ216" s="377"/>
      <c r="AR216" s="377"/>
      <c r="AS216" s="377"/>
      <c r="AT216" s="377"/>
      <c r="AU216" s="377"/>
      <c r="AV216" s="377"/>
      <c r="AW216" s="575"/>
      <c r="AX216" s="377"/>
      <c r="AY216" s="377"/>
      <c r="AZ216" s="377"/>
      <c r="BA216" s="377"/>
      <c r="BB216" s="377"/>
      <c r="BC216" s="377"/>
      <c r="BD216" s="377"/>
      <c r="BE216" s="377"/>
      <c r="BF216" s="377"/>
      <c r="BG216" s="377"/>
      <c r="BH216" s="377"/>
      <c r="BI216" s="377"/>
      <c r="BJ216" s="377"/>
      <c r="BK216" s="466"/>
      <c r="BL216" s="466"/>
      <c r="BM216" s="587"/>
      <c r="BN216" s="592"/>
      <c r="BO216" s="466"/>
      <c r="BP216" s="466"/>
      <c r="BQ216" s="466"/>
      <c r="BR216" s="377"/>
      <c r="BS216" s="377"/>
      <c r="BT216" s="377"/>
      <c r="BU216" s="377"/>
      <c r="BV216" s="377"/>
      <c r="BW216" s="377"/>
      <c r="BX216" s="377"/>
      <c r="BY216" s="377"/>
      <c r="BZ216" s="377"/>
      <c r="CA216" s="377"/>
      <c r="CB216" s="377"/>
      <c r="CC216" s="377"/>
      <c r="CD216" s="377"/>
      <c r="CE216" s="377"/>
      <c r="CF216" s="377"/>
      <c r="CG216" s="377"/>
      <c r="CH216" s="377"/>
      <c r="CI216" s="377"/>
    </row>
    <row r="217" spans="1:90" ht="15">
      <c r="A217" s="377"/>
      <c r="B217" s="377"/>
      <c r="C217" s="572"/>
      <c r="D217" s="377"/>
      <c r="E217" s="377"/>
      <c r="F217" s="377"/>
      <c r="G217" s="377"/>
      <c r="H217" s="573"/>
      <c r="I217" s="377"/>
      <c r="J217" s="377"/>
      <c r="K217" s="377"/>
      <c r="L217" s="377"/>
      <c r="M217" s="377"/>
      <c r="N217" s="377"/>
      <c r="O217" s="377"/>
      <c r="P217" s="377"/>
      <c r="Q217" s="377"/>
      <c r="R217" s="377"/>
      <c r="S217" s="377"/>
      <c r="T217" s="377"/>
      <c r="U217" s="377"/>
      <c r="V217" s="377"/>
      <c r="W217" s="377"/>
      <c r="X217" s="574"/>
      <c r="Y217" s="377"/>
      <c r="Z217" s="377"/>
      <c r="AA217" s="377"/>
      <c r="AB217" s="377"/>
      <c r="AC217" s="377"/>
      <c r="AD217" s="377"/>
      <c r="AE217" s="377"/>
      <c r="AF217" s="377"/>
      <c r="AG217" s="377"/>
      <c r="AH217" s="377"/>
      <c r="AI217" s="377"/>
      <c r="AJ217" s="377"/>
      <c r="AK217" s="377"/>
      <c r="AL217" s="574"/>
      <c r="AM217" s="377"/>
      <c r="AN217" s="377"/>
      <c r="AO217" s="377"/>
      <c r="AP217" s="377"/>
      <c r="AQ217" s="377"/>
      <c r="AR217" s="377"/>
      <c r="AS217" s="377"/>
      <c r="AT217" s="377"/>
      <c r="AU217" s="377"/>
      <c r="AV217" s="377"/>
      <c r="AW217" s="575"/>
      <c r="AX217" s="377"/>
      <c r="AY217" s="377"/>
      <c r="AZ217" s="377"/>
      <c r="BA217" s="377"/>
      <c r="BB217" s="377"/>
      <c r="BC217" s="377"/>
      <c r="BD217" s="377"/>
      <c r="BE217" s="377"/>
      <c r="BF217" s="377"/>
      <c r="BG217" s="377"/>
      <c r="BH217" s="377"/>
      <c r="BI217" s="377"/>
      <c r="BJ217" s="377"/>
      <c r="BK217" s="466"/>
      <c r="BL217" s="466"/>
      <c r="BM217" s="466"/>
      <c r="BN217" s="592"/>
      <c r="BO217" s="587"/>
      <c r="BP217" s="466"/>
      <c r="BQ217" s="466"/>
      <c r="BR217" s="377"/>
      <c r="BS217" s="377"/>
      <c r="BT217" s="377"/>
      <c r="BU217" s="377"/>
      <c r="BV217" s="377"/>
      <c r="BW217" s="377"/>
      <c r="BX217" s="377"/>
      <c r="BY217" s="377"/>
      <c r="BZ217" s="377"/>
      <c r="CA217" s="377"/>
      <c r="CB217" s="377"/>
      <c r="CC217" s="377"/>
      <c r="CD217" s="377"/>
      <c r="CE217" s="377"/>
      <c r="CF217" s="377"/>
      <c r="CG217" s="377"/>
      <c r="CH217" s="377"/>
      <c r="CI217" s="377"/>
    </row>
    <row r="218" spans="1:90" ht="15">
      <c r="A218" s="377"/>
      <c r="B218" s="377"/>
      <c r="C218" s="572"/>
      <c r="D218" s="377"/>
      <c r="E218" s="377"/>
      <c r="F218" s="377"/>
      <c r="G218" s="377"/>
      <c r="H218" s="573"/>
      <c r="I218" s="377"/>
      <c r="J218" s="377"/>
      <c r="K218" s="377"/>
      <c r="L218" s="377"/>
      <c r="M218" s="377"/>
      <c r="N218" s="377"/>
      <c r="O218" s="377"/>
      <c r="P218" s="377"/>
      <c r="Q218" s="377"/>
      <c r="R218" s="377"/>
      <c r="S218" s="377"/>
      <c r="T218" s="377"/>
      <c r="U218" s="377"/>
      <c r="V218" s="377"/>
      <c r="W218" s="377"/>
      <c r="X218" s="574"/>
      <c r="Y218" s="377"/>
      <c r="Z218" s="377"/>
      <c r="AA218" s="377"/>
      <c r="AB218" s="377"/>
      <c r="AC218" s="377"/>
      <c r="AD218" s="377"/>
      <c r="AE218" s="377"/>
      <c r="AF218" s="377"/>
      <c r="AG218" s="377"/>
      <c r="AH218" s="377"/>
      <c r="AI218" s="377"/>
      <c r="AJ218" s="377"/>
      <c r="AK218" s="377"/>
      <c r="AL218" s="574"/>
      <c r="AM218" s="377"/>
      <c r="AN218" s="377"/>
      <c r="AO218" s="377"/>
      <c r="AP218" s="377"/>
      <c r="AQ218" s="377"/>
      <c r="AR218" s="377"/>
      <c r="AS218" s="377"/>
      <c r="AT218" s="377"/>
      <c r="AU218" s="377"/>
      <c r="AV218" s="377"/>
      <c r="AW218" s="575"/>
      <c r="AX218" s="377"/>
      <c r="AY218" s="377"/>
      <c r="AZ218" s="377"/>
      <c r="BA218" s="377"/>
      <c r="BB218" s="377"/>
      <c r="BC218" s="377"/>
      <c r="BD218" s="377"/>
      <c r="BE218" s="377"/>
      <c r="BF218" s="377"/>
      <c r="BG218" s="377"/>
      <c r="BH218" s="377"/>
      <c r="BI218" s="377"/>
      <c r="BJ218" s="377"/>
      <c r="BK218" s="466"/>
      <c r="BL218" s="466"/>
      <c r="BM218" s="587"/>
      <c r="BN218" s="592"/>
      <c r="BO218" s="587"/>
      <c r="BP218" s="466"/>
      <c r="BQ218" s="466"/>
      <c r="BR218" s="377"/>
      <c r="BS218" s="377"/>
      <c r="BT218" s="377"/>
      <c r="BU218" s="377"/>
      <c r="BV218" s="377"/>
      <c r="BW218" s="377"/>
      <c r="BX218" s="377"/>
      <c r="BY218" s="377"/>
      <c r="BZ218" s="377"/>
      <c r="CA218" s="377"/>
      <c r="CB218" s="377"/>
      <c r="CC218" s="377"/>
      <c r="CD218" s="377"/>
      <c r="CE218" s="377"/>
      <c r="CF218" s="377"/>
      <c r="CG218" s="377"/>
      <c r="CH218" s="377"/>
      <c r="CI218" s="377"/>
    </row>
    <row r="219" spans="1:90" ht="15">
      <c r="A219" s="377"/>
      <c r="B219" s="377"/>
      <c r="C219" s="572"/>
      <c r="D219" s="377"/>
      <c r="E219" s="377"/>
      <c r="F219" s="377"/>
      <c r="G219" s="377"/>
      <c r="H219" s="573"/>
      <c r="I219" s="377"/>
      <c r="J219" s="377"/>
      <c r="K219" s="377"/>
      <c r="L219" s="377"/>
      <c r="M219" s="377"/>
      <c r="N219" s="377"/>
      <c r="O219" s="377"/>
      <c r="P219" s="377"/>
      <c r="Q219" s="377"/>
      <c r="R219" s="377"/>
      <c r="S219" s="377"/>
      <c r="T219" s="377"/>
      <c r="U219" s="377"/>
      <c r="V219" s="377"/>
      <c r="W219" s="377"/>
      <c r="X219" s="574"/>
      <c r="Y219" s="377"/>
      <c r="Z219" s="377"/>
      <c r="AA219" s="377"/>
      <c r="AB219" s="377"/>
      <c r="AC219" s="377"/>
      <c r="AD219" s="377"/>
      <c r="AE219" s="377"/>
      <c r="AF219" s="377"/>
      <c r="AG219" s="377"/>
      <c r="AH219" s="377"/>
      <c r="AI219" s="377"/>
      <c r="AJ219" s="377"/>
      <c r="AK219" s="377"/>
      <c r="AL219" s="574"/>
      <c r="AM219" s="377"/>
      <c r="AN219" s="377"/>
      <c r="AO219" s="377"/>
      <c r="AP219" s="377"/>
      <c r="AQ219" s="377"/>
      <c r="AR219" s="377"/>
      <c r="AS219" s="377"/>
      <c r="AT219" s="377"/>
      <c r="AU219" s="377"/>
      <c r="AV219" s="377"/>
      <c r="AW219" s="575"/>
      <c r="AX219" s="377"/>
      <c r="AY219" s="377"/>
      <c r="AZ219" s="377"/>
      <c r="BA219" s="377"/>
      <c r="BB219" s="377"/>
      <c r="BC219" s="377"/>
      <c r="BD219" s="377"/>
      <c r="BE219" s="377"/>
      <c r="BF219" s="377"/>
      <c r="BG219" s="377"/>
      <c r="BH219" s="377"/>
      <c r="BI219" s="377"/>
      <c r="BJ219" s="377"/>
      <c r="BK219" s="466"/>
      <c r="BL219" s="466"/>
      <c r="BM219" s="587"/>
      <c r="BN219" s="592"/>
      <c r="BO219" s="587"/>
      <c r="BP219" s="466"/>
      <c r="BQ219" s="466"/>
      <c r="BR219" s="377"/>
      <c r="BS219" s="377"/>
      <c r="BT219" s="377"/>
      <c r="BU219" s="377"/>
      <c r="BV219" s="377"/>
      <c r="BW219" s="377"/>
      <c r="BX219" s="377"/>
      <c r="BY219" s="377"/>
      <c r="BZ219" s="377"/>
      <c r="CA219" s="377"/>
      <c r="CB219" s="377"/>
      <c r="CC219" s="377"/>
      <c r="CD219" s="377"/>
      <c r="CE219" s="377"/>
      <c r="CF219" s="377"/>
      <c r="CG219" s="377"/>
      <c r="CH219" s="377"/>
      <c r="CI219" s="377"/>
    </row>
    <row r="220" spans="1:90" ht="15">
      <c r="A220" s="377"/>
      <c r="B220" s="377"/>
      <c r="C220" s="572"/>
      <c r="D220" s="377"/>
      <c r="E220" s="377"/>
      <c r="F220" s="377"/>
      <c r="G220" s="377"/>
      <c r="H220" s="573"/>
      <c r="I220" s="377"/>
      <c r="J220" s="377"/>
      <c r="K220" s="377"/>
      <c r="L220" s="377"/>
      <c r="M220" s="377"/>
      <c r="N220" s="377"/>
      <c r="O220" s="377"/>
      <c r="P220" s="377"/>
      <c r="Q220" s="377"/>
      <c r="R220" s="377"/>
      <c r="S220" s="377"/>
      <c r="T220" s="377"/>
      <c r="U220" s="377"/>
      <c r="V220" s="377"/>
      <c r="W220" s="377"/>
      <c r="X220" s="574"/>
      <c r="Y220" s="377"/>
      <c r="Z220" s="377"/>
      <c r="AA220" s="377"/>
      <c r="AB220" s="377"/>
      <c r="AC220" s="377"/>
      <c r="AD220" s="377"/>
      <c r="AE220" s="377"/>
      <c r="AF220" s="377"/>
      <c r="AG220" s="377"/>
      <c r="AH220" s="377"/>
      <c r="AI220" s="377"/>
      <c r="AJ220" s="377"/>
      <c r="AK220" s="377"/>
      <c r="AL220" s="574"/>
      <c r="AM220" s="377"/>
      <c r="AN220" s="377"/>
      <c r="AO220" s="377"/>
      <c r="AP220" s="377"/>
      <c r="AQ220" s="377"/>
      <c r="AR220" s="377"/>
      <c r="AS220" s="377"/>
      <c r="AT220" s="377"/>
      <c r="AU220" s="377"/>
      <c r="AV220" s="377"/>
      <c r="AW220" s="575"/>
      <c r="AX220" s="377"/>
      <c r="AY220" s="377"/>
      <c r="AZ220" s="377"/>
      <c r="BA220" s="377"/>
      <c r="BB220" s="377"/>
      <c r="BC220" s="377"/>
      <c r="BD220" s="377"/>
      <c r="BE220" s="377"/>
      <c r="BF220" s="377"/>
      <c r="BG220" s="377"/>
      <c r="BH220" s="377"/>
      <c r="BI220" s="377"/>
      <c r="BJ220" s="377"/>
      <c r="BK220" s="466"/>
      <c r="BL220" s="466"/>
      <c r="BM220" s="593"/>
      <c r="BN220" s="592"/>
      <c r="BO220" s="587"/>
      <c r="BP220" s="466"/>
      <c r="BQ220" s="466"/>
      <c r="BR220" s="377"/>
      <c r="BS220" s="377"/>
      <c r="BT220" s="377"/>
      <c r="BU220" s="377"/>
      <c r="BV220" s="377"/>
      <c r="BW220" s="377"/>
      <c r="BX220" s="377"/>
      <c r="BY220" s="377"/>
      <c r="BZ220" s="377"/>
      <c r="CA220" s="377"/>
      <c r="CB220" s="377"/>
      <c r="CC220" s="377"/>
      <c r="CD220" s="377"/>
      <c r="CE220" s="377"/>
      <c r="CF220" s="377"/>
      <c r="CG220" s="377"/>
      <c r="CH220" s="377"/>
      <c r="CI220" s="377"/>
    </row>
    <row r="221" spans="1:90" ht="15">
      <c r="A221" s="377"/>
      <c r="B221" s="377"/>
      <c r="C221" s="572"/>
      <c r="D221" s="377"/>
      <c r="E221" s="377"/>
      <c r="F221" s="377"/>
      <c r="G221" s="377"/>
      <c r="H221" s="573"/>
      <c r="I221" s="377"/>
      <c r="J221" s="377"/>
      <c r="K221" s="377"/>
      <c r="L221" s="377"/>
      <c r="M221" s="377"/>
      <c r="N221" s="377"/>
      <c r="O221" s="377"/>
      <c r="P221" s="377"/>
      <c r="Q221" s="377"/>
      <c r="R221" s="377"/>
      <c r="S221" s="377"/>
      <c r="T221" s="377"/>
      <c r="U221" s="377"/>
      <c r="V221" s="377"/>
      <c r="W221" s="377"/>
      <c r="X221" s="574"/>
      <c r="Y221" s="377"/>
      <c r="Z221" s="377"/>
      <c r="AA221" s="377"/>
      <c r="AB221" s="377"/>
      <c r="AC221" s="377"/>
      <c r="AD221" s="377"/>
      <c r="AE221" s="377"/>
      <c r="AF221" s="377"/>
      <c r="AG221" s="377"/>
      <c r="AH221" s="377"/>
      <c r="AI221" s="377"/>
      <c r="AJ221" s="377"/>
      <c r="AK221" s="377"/>
      <c r="AL221" s="574"/>
      <c r="AM221" s="377"/>
      <c r="AN221" s="377"/>
      <c r="AO221" s="377"/>
      <c r="AP221" s="377"/>
      <c r="AQ221" s="377"/>
      <c r="AR221" s="377"/>
      <c r="AS221" s="377"/>
      <c r="AT221" s="377"/>
      <c r="AU221" s="377"/>
      <c r="AV221" s="377"/>
      <c r="AW221" s="575"/>
      <c r="AX221" s="377"/>
      <c r="AY221" s="377"/>
      <c r="AZ221" s="377"/>
      <c r="BA221" s="377"/>
      <c r="BB221" s="377"/>
      <c r="BC221" s="377"/>
      <c r="BD221" s="377"/>
      <c r="BE221" s="377"/>
      <c r="BF221" s="377"/>
      <c r="BG221" s="377"/>
      <c r="BH221" s="377"/>
      <c r="BI221" s="377"/>
      <c r="BJ221" s="377"/>
      <c r="BK221" s="466"/>
      <c r="BL221" s="466"/>
      <c r="BM221" s="583"/>
      <c r="BN221" s="592"/>
      <c r="BO221" s="587"/>
      <c r="BP221" s="466"/>
      <c r="BQ221" s="466"/>
      <c r="BR221" s="377"/>
      <c r="BS221" s="377"/>
      <c r="BT221" s="377"/>
      <c r="BU221" s="377"/>
      <c r="BV221" s="377"/>
      <c r="BW221" s="377"/>
      <c r="BX221" s="377"/>
      <c r="BY221" s="377"/>
      <c r="BZ221" s="377"/>
      <c r="CA221" s="377"/>
      <c r="CB221" s="377"/>
      <c r="CC221" s="377"/>
      <c r="CD221" s="377"/>
      <c r="CE221" s="377"/>
      <c r="CF221" s="377"/>
      <c r="CG221" s="377"/>
      <c r="CH221" s="377"/>
      <c r="CI221" s="377"/>
    </row>
    <row r="222" spans="1:90" ht="15">
      <c r="A222" s="377"/>
      <c r="B222" s="377"/>
      <c r="C222" s="572"/>
      <c r="D222" s="377"/>
      <c r="E222" s="377"/>
      <c r="F222" s="377"/>
      <c r="G222" s="377"/>
      <c r="H222" s="573"/>
      <c r="I222" s="377"/>
      <c r="J222" s="377"/>
      <c r="K222" s="377"/>
      <c r="L222" s="377"/>
      <c r="M222" s="377"/>
      <c r="N222" s="377"/>
      <c r="O222" s="377"/>
      <c r="P222" s="377"/>
      <c r="Q222" s="377"/>
      <c r="R222" s="377"/>
      <c r="S222" s="377"/>
      <c r="T222" s="377"/>
      <c r="U222" s="377"/>
      <c r="V222" s="377"/>
      <c r="W222" s="377"/>
      <c r="X222" s="574"/>
      <c r="Y222" s="377"/>
      <c r="Z222" s="377"/>
      <c r="AA222" s="377"/>
      <c r="AB222" s="377"/>
      <c r="AC222" s="377"/>
      <c r="AD222" s="377"/>
      <c r="AE222" s="377"/>
      <c r="AF222" s="377"/>
      <c r="AG222" s="377"/>
      <c r="AH222" s="377"/>
      <c r="AI222" s="377"/>
      <c r="AJ222" s="377"/>
      <c r="AK222" s="377"/>
      <c r="AL222" s="574"/>
      <c r="AM222" s="377"/>
      <c r="AN222" s="377"/>
      <c r="AO222" s="377"/>
      <c r="AP222" s="377"/>
      <c r="AQ222" s="377"/>
      <c r="AR222" s="377"/>
      <c r="AS222" s="377"/>
      <c r="AT222" s="377"/>
      <c r="AU222" s="377"/>
      <c r="AV222" s="377"/>
      <c r="AW222" s="575"/>
      <c r="AX222" s="377"/>
      <c r="AY222" s="377"/>
      <c r="AZ222" s="377"/>
      <c r="BA222" s="377"/>
      <c r="BB222" s="377"/>
      <c r="BC222" s="377"/>
      <c r="BD222" s="377"/>
      <c r="BE222" s="377"/>
      <c r="BF222" s="377"/>
      <c r="BG222" s="377"/>
      <c r="BH222" s="377"/>
      <c r="BI222" s="377"/>
      <c r="BJ222" s="377"/>
      <c r="BK222" s="466"/>
      <c r="BL222" s="466"/>
      <c r="BM222" s="583"/>
      <c r="BN222" s="592"/>
      <c r="BO222" s="587"/>
      <c r="BP222" s="466"/>
      <c r="BQ222" s="466"/>
      <c r="BR222" s="377"/>
      <c r="BS222" s="377"/>
      <c r="BT222" s="377"/>
      <c r="BU222" s="377"/>
      <c r="BV222" s="377"/>
      <c r="BW222" s="377"/>
      <c r="BX222" s="377"/>
      <c r="BY222" s="377"/>
      <c r="BZ222" s="377"/>
      <c r="CA222" s="377"/>
      <c r="CB222" s="377"/>
      <c r="CC222" s="377"/>
      <c r="CD222" s="377"/>
      <c r="CE222" s="377"/>
      <c r="CF222" s="377"/>
      <c r="CG222" s="377"/>
      <c r="CH222" s="377"/>
      <c r="CI222" s="377"/>
    </row>
    <row r="223" spans="1:90" ht="15">
      <c r="A223" s="377"/>
      <c r="B223" s="377"/>
      <c r="C223" s="572"/>
      <c r="D223" s="377"/>
      <c r="E223" s="377"/>
      <c r="F223" s="377"/>
      <c r="G223" s="377"/>
      <c r="H223" s="573"/>
      <c r="I223" s="377"/>
      <c r="J223" s="377"/>
      <c r="K223" s="377"/>
      <c r="L223" s="377"/>
      <c r="M223" s="377"/>
      <c r="N223" s="377"/>
      <c r="O223" s="377"/>
      <c r="P223" s="377"/>
      <c r="Q223" s="377"/>
      <c r="R223" s="377"/>
      <c r="S223" s="377"/>
      <c r="T223" s="377"/>
      <c r="U223" s="377"/>
      <c r="V223" s="377"/>
      <c r="W223" s="377"/>
      <c r="X223" s="574"/>
      <c r="Y223" s="377"/>
      <c r="Z223" s="377"/>
      <c r="AA223" s="377"/>
      <c r="AB223" s="377"/>
      <c r="AC223" s="377"/>
      <c r="AD223" s="377"/>
      <c r="AE223" s="377"/>
      <c r="AF223" s="377"/>
      <c r="AG223" s="377"/>
      <c r="AH223" s="377"/>
      <c r="AI223" s="377"/>
      <c r="AJ223" s="377"/>
      <c r="AK223" s="377"/>
      <c r="AL223" s="574"/>
      <c r="AM223" s="377"/>
      <c r="AN223" s="377"/>
      <c r="AO223" s="377"/>
      <c r="AP223" s="377"/>
      <c r="AQ223" s="377"/>
      <c r="AR223" s="377"/>
      <c r="AS223" s="377"/>
      <c r="AT223" s="377"/>
      <c r="AU223" s="377"/>
      <c r="AV223" s="377"/>
      <c r="AW223" s="575"/>
      <c r="AX223" s="377"/>
      <c r="AY223" s="377"/>
      <c r="AZ223" s="377"/>
      <c r="BA223" s="377"/>
      <c r="BB223" s="377"/>
      <c r="BC223" s="377"/>
      <c r="BD223" s="377"/>
      <c r="BE223" s="377"/>
      <c r="BF223" s="377"/>
      <c r="BG223" s="377"/>
      <c r="BH223" s="377"/>
      <c r="BI223" s="377"/>
      <c r="BJ223" s="377"/>
      <c r="BK223" s="377"/>
      <c r="BL223" s="377"/>
      <c r="BM223" s="376"/>
      <c r="BN223" s="576"/>
      <c r="BO223" s="376"/>
      <c r="BP223" s="377"/>
      <c r="BQ223" s="377"/>
      <c r="BR223" s="377"/>
      <c r="BS223" s="377"/>
      <c r="BT223" s="377"/>
      <c r="BU223" s="377"/>
      <c r="BV223" s="377"/>
      <c r="BW223" s="377"/>
      <c r="BX223" s="377"/>
      <c r="BY223" s="377"/>
      <c r="BZ223" s="377"/>
      <c r="CA223" s="377"/>
      <c r="CB223" s="377"/>
      <c r="CC223" s="377"/>
      <c r="CD223" s="377"/>
      <c r="CE223" s="377"/>
      <c r="CF223" s="377"/>
      <c r="CG223" s="377"/>
      <c r="CH223" s="377"/>
      <c r="CI223" s="377"/>
    </row>
    <row r="224" spans="1:90" ht="15">
      <c r="A224" s="377"/>
      <c r="B224" s="377"/>
      <c r="C224" s="572"/>
      <c r="D224" s="377"/>
      <c r="E224" s="377"/>
      <c r="F224" s="377"/>
      <c r="G224" s="377"/>
      <c r="H224" s="573"/>
      <c r="I224" s="377"/>
      <c r="J224" s="377"/>
      <c r="K224" s="377"/>
      <c r="L224" s="377"/>
      <c r="M224" s="377"/>
      <c r="N224" s="377"/>
      <c r="O224" s="377"/>
      <c r="P224" s="377"/>
      <c r="Q224" s="377"/>
      <c r="R224" s="377"/>
      <c r="S224" s="377"/>
      <c r="T224" s="377"/>
      <c r="U224" s="377"/>
      <c r="V224" s="377"/>
      <c r="W224" s="377"/>
      <c r="X224" s="574"/>
      <c r="Y224" s="377"/>
      <c r="Z224" s="377"/>
      <c r="AA224" s="377"/>
      <c r="AB224" s="377"/>
      <c r="AC224" s="377"/>
      <c r="AD224" s="377"/>
      <c r="AE224" s="377"/>
      <c r="AF224" s="377"/>
      <c r="AG224" s="377"/>
      <c r="AH224" s="377"/>
      <c r="AI224" s="377"/>
      <c r="AJ224" s="377"/>
      <c r="AK224" s="377"/>
      <c r="AL224" s="574"/>
      <c r="AM224" s="377"/>
      <c r="AN224" s="377"/>
      <c r="AO224" s="377"/>
      <c r="AP224" s="377"/>
      <c r="AQ224" s="377"/>
      <c r="AR224" s="377"/>
      <c r="AS224" s="377"/>
      <c r="AT224" s="377"/>
      <c r="AU224" s="377"/>
      <c r="AV224" s="377"/>
      <c r="AW224" s="575"/>
      <c r="AX224" s="377"/>
      <c r="AY224" s="377"/>
      <c r="AZ224" s="377"/>
      <c r="BA224" s="377"/>
      <c r="BB224" s="377"/>
      <c r="BC224" s="377"/>
      <c r="BD224" s="377"/>
      <c r="BE224" s="377"/>
      <c r="BF224" s="377"/>
      <c r="BG224" s="377"/>
      <c r="BH224" s="377"/>
      <c r="BI224" s="377"/>
      <c r="BJ224" s="377"/>
      <c r="BK224" s="377"/>
      <c r="BL224" s="377"/>
      <c r="BM224" s="377"/>
      <c r="BN224" s="576"/>
      <c r="BO224" s="377"/>
      <c r="BP224" s="377"/>
      <c r="BQ224" s="377"/>
      <c r="BR224" s="377"/>
      <c r="BS224" s="377"/>
      <c r="BT224" s="377"/>
      <c r="BU224" s="377"/>
      <c r="BV224" s="377"/>
      <c r="BW224" s="377"/>
      <c r="BX224" s="377"/>
      <c r="BY224" s="377"/>
      <c r="BZ224" s="377"/>
      <c r="CA224" s="377"/>
      <c r="CB224" s="377"/>
      <c r="CC224" s="377"/>
      <c r="CD224" s="377"/>
      <c r="CE224" s="377"/>
      <c r="CF224" s="377"/>
      <c r="CG224" s="377"/>
      <c r="CH224" s="377"/>
      <c r="CI224" s="377"/>
    </row>
    <row r="225" spans="1:87" ht="15">
      <c r="A225" s="377"/>
      <c r="B225" s="377"/>
      <c r="C225" s="572"/>
      <c r="D225" s="377"/>
      <c r="E225" s="377"/>
      <c r="F225" s="377"/>
      <c r="G225" s="377"/>
      <c r="H225" s="573"/>
      <c r="I225" s="377"/>
      <c r="J225" s="377"/>
      <c r="K225" s="377"/>
      <c r="L225" s="377"/>
      <c r="M225" s="377"/>
      <c r="N225" s="377"/>
      <c r="O225" s="377"/>
      <c r="P225" s="377"/>
      <c r="Q225" s="377"/>
      <c r="R225" s="377"/>
      <c r="S225" s="377"/>
      <c r="T225" s="377"/>
      <c r="U225" s="377"/>
      <c r="V225" s="377"/>
      <c r="W225" s="377"/>
      <c r="X225" s="574"/>
      <c r="Y225" s="377"/>
      <c r="Z225" s="377"/>
      <c r="AA225" s="377"/>
      <c r="AB225" s="377"/>
      <c r="AC225" s="377"/>
      <c r="AD225" s="377"/>
      <c r="AE225" s="377"/>
      <c r="AF225" s="377"/>
      <c r="AG225" s="377"/>
      <c r="AH225" s="377"/>
      <c r="AI225" s="377"/>
      <c r="AJ225" s="377"/>
      <c r="AK225" s="377"/>
      <c r="AL225" s="574"/>
      <c r="AM225" s="377"/>
      <c r="AN225" s="377"/>
      <c r="AO225" s="377"/>
      <c r="AP225" s="377"/>
      <c r="AQ225" s="377"/>
      <c r="AR225" s="377"/>
      <c r="AS225" s="377"/>
      <c r="AT225" s="377"/>
      <c r="AU225" s="377"/>
      <c r="AV225" s="377"/>
      <c r="AW225" s="575"/>
      <c r="AX225" s="377"/>
      <c r="AY225" s="377"/>
      <c r="AZ225" s="377"/>
      <c r="BA225" s="377"/>
      <c r="BB225" s="377"/>
      <c r="BC225" s="377"/>
      <c r="BD225" s="377"/>
      <c r="BE225" s="377"/>
      <c r="BF225" s="377"/>
      <c r="BG225" s="377"/>
      <c r="BH225" s="377"/>
      <c r="BI225" s="377"/>
      <c r="BJ225" s="377"/>
      <c r="BK225" s="377"/>
      <c r="BL225" s="377"/>
      <c r="BM225" s="377"/>
      <c r="BN225" s="576"/>
      <c r="BO225" s="377"/>
      <c r="BP225" s="377"/>
      <c r="BQ225" s="377"/>
      <c r="BR225" s="377"/>
      <c r="BS225" s="377"/>
      <c r="BT225" s="377"/>
      <c r="BU225" s="377"/>
      <c r="BV225" s="377"/>
      <c r="BW225" s="377"/>
      <c r="BX225" s="377"/>
      <c r="BY225" s="377"/>
      <c r="BZ225" s="377"/>
      <c r="CA225" s="377"/>
      <c r="CB225" s="377"/>
      <c r="CC225" s="377"/>
      <c r="CD225" s="377"/>
      <c r="CE225" s="377"/>
      <c r="CF225" s="377"/>
      <c r="CG225" s="377"/>
      <c r="CH225" s="377"/>
      <c r="CI225" s="377"/>
    </row>
    <row r="226" spans="1:87" ht="15">
      <c r="A226" s="377"/>
      <c r="B226" s="377"/>
      <c r="C226" s="572"/>
      <c r="D226" s="377"/>
      <c r="E226" s="377"/>
      <c r="F226" s="377"/>
      <c r="G226" s="377"/>
      <c r="H226" s="573"/>
      <c r="I226" s="377"/>
      <c r="J226" s="377"/>
      <c r="K226" s="377"/>
      <c r="L226" s="377"/>
      <c r="M226" s="377"/>
      <c r="N226" s="377"/>
      <c r="O226" s="377"/>
      <c r="P226" s="377"/>
      <c r="Q226" s="377"/>
      <c r="R226" s="377"/>
      <c r="S226" s="377"/>
      <c r="T226" s="377"/>
      <c r="U226" s="377"/>
      <c r="V226" s="377"/>
      <c r="W226" s="377"/>
      <c r="X226" s="574"/>
      <c r="Y226" s="377"/>
      <c r="Z226" s="377"/>
      <c r="AA226" s="377"/>
      <c r="AB226" s="377"/>
      <c r="AC226" s="377"/>
      <c r="AD226" s="377"/>
      <c r="AE226" s="377"/>
      <c r="AF226" s="377"/>
      <c r="AG226" s="377"/>
      <c r="AH226" s="377"/>
      <c r="AI226" s="377"/>
      <c r="AJ226" s="377"/>
      <c r="AK226" s="377"/>
      <c r="AL226" s="574"/>
      <c r="AM226" s="377"/>
      <c r="AN226" s="377"/>
      <c r="AO226" s="377"/>
      <c r="AP226" s="377"/>
      <c r="AQ226" s="377"/>
      <c r="AR226" s="377"/>
      <c r="AS226" s="377"/>
      <c r="AT226" s="377"/>
      <c r="AU226" s="377"/>
      <c r="AV226" s="377"/>
      <c r="AW226" s="575"/>
      <c r="AX226" s="377"/>
      <c r="AY226" s="377"/>
      <c r="AZ226" s="377"/>
      <c r="BA226" s="377"/>
      <c r="BB226" s="377"/>
      <c r="BC226" s="377"/>
      <c r="BD226" s="377"/>
      <c r="BE226" s="377"/>
      <c r="BF226" s="377"/>
      <c r="BG226" s="377"/>
      <c r="BH226" s="377"/>
      <c r="BI226" s="377"/>
      <c r="BJ226" s="377"/>
      <c r="BK226" s="377"/>
      <c r="BL226" s="377"/>
      <c r="BM226" s="377"/>
      <c r="BN226" s="576"/>
      <c r="BO226" s="377"/>
      <c r="BP226" s="377"/>
      <c r="BQ226" s="377"/>
      <c r="BR226" s="377"/>
      <c r="BS226" s="377"/>
      <c r="BT226" s="377"/>
      <c r="BU226" s="377"/>
      <c r="BV226" s="377"/>
      <c r="BW226" s="377"/>
      <c r="BX226" s="377"/>
      <c r="BY226" s="377"/>
      <c r="BZ226" s="377"/>
      <c r="CA226" s="377"/>
      <c r="CB226" s="377"/>
      <c r="CC226" s="377"/>
      <c r="CD226" s="377"/>
      <c r="CE226" s="377"/>
      <c r="CF226" s="377"/>
      <c r="CG226" s="377"/>
      <c r="CH226" s="377"/>
      <c r="CI226" s="377"/>
    </row>
    <row r="227" spans="1:87" ht="15">
      <c r="A227" s="377"/>
      <c r="B227" s="377"/>
      <c r="C227" s="572"/>
      <c r="D227" s="377"/>
      <c r="E227" s="377"/>
      <c r="F227" s="377"/>
      <c r="G227" s="377"/>
      <c r="H227" s="573"/>
      <c r="I227" s="377"/>
      <c r="J227" s="377"/>
      <c r="K227" s="377"/>
      <c r="L227" s="377"/>
      <c r="M227" s="377"/>
      <c r="N227" s="377"/>
      <c r="O227" s="377"/>
      <c r="P227" s="377"/>
      <c r="Q227" s="377"/>
      <c r="R227" s="377"/>
      <c r="S227" s="377"/>
      <c r="T227" s="377"/>
      <c r="U227" s="377"/>
      <c r="V227" s="377"/>
      <c r="W227" s="377"/>
      <c r="X227" s="574"/>
      <c r="Y227" s="377"/>
      <c r="Z227" s="377"/>
      <c r="AA227" s="377"/>
      <c r="AB227" s="377"/>
      <c r="AC227" s="377"/>
      <c r="AD227" s="377"/>
      <c r="AE227" s="377"/>
      <c r="AF227" s="377"/>
      <c r="AG227" s="377"/>
      <c r="AH227" s="377"/>
      <c r="AI227" s="377"/>
      <c r="AJ227" s="377"/>
      <c r="AK227" s="377"/>
      <c r="AL227" s="574"/>
      <c r="AM227" s="377"/>
      <c r="AN227" s="377"/>
      <c r="AO227" s="377"/>
      <c r="AP227" s="377"/>
      <c r="AQ227" s="377"/>
      <c r="AR227" s="377"/>
      <c r="AS227" s="377"/>
      <c r="AT227" s="377"/>
      <c r="AU227" s="377"/>
      <c r="AV227" s="377"/>
      <c r="AW227" s="575"/>
      <c r="AX227" s="377"/>
      <c r="AY227" s="377"/>
      <c r="AZ227" s="377"/>
      <c r="BA227" s="377"/>
      <c r="BB227" s="377"/>
      <c r="BC227" s="377"/>
      <c r="BD227" s="377"/>
      <c r="BE227" s="377"/>
      <c r="BF227" s="377"/>
      <c r="BG227" s="377"/>
      <c r="BH227" s="377"/>
      <c r="BI227" s="377"/>
      <c r="BJ227" s="377"/>
      <c r="BK227" s="377"/>
      <c r="BL227" s="377"/>
      <c r="BM227" s="377"/>
      <c r="BN227" s="576"/>
      <c r="BO227" s="377"/>
      <c r="BP227" s="377"/>
      <c r="BQ227" s="377"/>
      <c r="BR227" s="377"/>
      <c r="BS227" s="377"/>
      <c r="BT227" s="377"/>
      <c r="BU227" s="377"/>
      <c r="BV227" s="377"/>
      <c r="BW227" s="377"/>
      <c r="BX227" s="377"/>
      <c r="BY227" s="377"/>
      <c r="BZ227" s="377"/>
      <c r="CA227" s="377"/>
      <c r="CB227" s="377"/>
      <c r="CC227" s="377"/>
      <c r="CD227" s="377"/>
      <c r="CE227" s="377"/>
      <c r="CF227" s="377"/>
      <c r="CG227" s="377"/>
      <c r="CH227" s="377"/>
      <c r="CI227" s="377"/>
    </row>
    <row r="228" spans="1:87" ht="15">
      <c r="A228" s="377"/>
      <c r="B228" s="377"/>
      <c r="C228" s="572"/>
      <c r="D228" s="377"/>
      <c r="E228" s="377"/>
      <c r="F228" s="377"/>
      <c r="G228" s="377"/>
      <c r="H228" s="573"/>
      <c r="I228" s="377"/>
      <c r="J228" s="377"/>
      <c r="K228" s="377"/>
      <c r="L228" s="377"/>
      <c r="M228" s="377"/>
      <c r="N228" s="377"/>
      <c r="O228" s="377"/>
      <c r="P228" s="377"/>
      <c r="Q228" s="377"/>
      <c r="R228" s="377"/>
      <c r="S228" s="377"/>
      <c r="T228" s="377"/>
      <c r="U228" s="377"/>
      <c r="V228" s="377"/>
      <c r="W228" s="377"/>
      <c r="X228" s="574"/>
      <c r="Y228" s="377"/>
      <c r="Z228" s="377"/>
      <c r="AA228" s="377"/>
      <c r="AB228" s="377"/>
      <c r="AC228" s="377"/>
      <c r="AD228" s="377"/>
      <c r="AE228" s="377"/>
      <c r="AF228" s="377"/>
      <c r="AG228" s="377"/>
      <c r="AH228" s="377"/>
      <c r="AI228" s="377"/>
      <c r="AJ228" s="377"/>
      <c r="AK228" s="377"/>
      <c r="AL228" s="574"/>
      <c r="AM228" s="377"/>
      <c r="AN228" s="377"/>
      <c r="AO228" s="377"/>
      <c r="AP228" s="377"/>
      <c r="AQ228" s="377"/>
      <c r="AR228" s="377"/>
      <c r="AS228" s="377"/>
      <c r="AT228" s="377"/>
      <c r="AU228" s="377"/>
      <c r="AV228" s="377"/>
      <c r="AW228" s="575"/>
      <c r="AX228" s="377"/>
      <c r="AY228" s="377"/>
      <c r="AZ228" s="377"/>
      <c r="BA228" s="377"/>
      <c r="BB228" s="377"/>
      <c r="BC228" s="377"/>
      <c r="BD228" s="377"/>
      <c r="BE228" s="377"/>
      <c r="BF228" s="377"/>
      <c r="BG228" s="377"/>
      <c r="BH228" s="377"/>
      <c r="BI228" s="377"/>
      <c r="BJ228" s="377"/>
      <c r="BK228" s="377"/>
      <c r="BL228" s="377"/>
      <c r="BM228" s="377"/>
      <c r="BN228" s="576"/>
      <c r="BO228" s="377"/>
      <c r="BP228" s="377"/>
      <c r="BQ228" s="377"/>
      <c r="BR228" s="377"/>
      <c r="BS228" s="377"/>
      <c r="BT228" s="377"/>
      <c r="BU228" s="377"/>
      <c r="BV228" s="377"/>
      <c r="BW228" s="377"/>
      <c r="BX228" s="377"/>
      <c r="BY228" s="377"/>
      <c r="BZ228" s="377"/>
      <c r="CA228" s="377"/>
      <c r="CB228" s="377"/>
      <c r="CC228" s="377"/>
      <c r="CD228" s="377"/>
      <c r="CE228" s="377"/>
      <c r="CF228" s="377"/>
      <c r="CG228" s="377"/>
      <c r="CH228" s="377"/>
      <c r="CI228" s="377"/>
    </row>
    <row r="229" spans="1:87" ht="15">
      <c r="A229" s="377"/>
      <c r="B229" s="377"/>
      <c r="C229" s="572"/>
      <c r="D229" s="377"/>
      <c r="E229" s="377"/>
      <c r="F229" s="377"/>
      <c r="G229" s="377"/>
      <c r="H229" s="573"/>
      <c r="I229" s="377"/>
      <c r="J229" s="377"/>
      <c r="K229" s="377"/>
      <c r="L229" s="377"/>
      <c r="M229" s="377"/>
      <c r="N229" s="377"/>
      <c r="O229" s="377"/>
      <c r="P229" s="377"/>
      <c r="Q229" s="377"/>
      <c r="R229" s="377"/>
      <c r="S229" s="377"/>
      <c r="T229" s="377"/>
      <c r="U229" s="377"/>
      <c r="V229" s="377"/>
      <c r="W229" s="377"/>
      <c r="X229" s="574"/>
      <c r="Y229" s="377"/>
      <c r="Z229" s="377"/>
      <c r="AA229" s="377"/>
      <c r="AB229" s="377"/>
      <c r="AC229" s="377"/>
      <c r="AD229" s="377"/>
      <c r="AE229" s="377"/>
      <c r="AF229" s="377"/>
      <c r="AG229" s="377"/>
      <c r="AH229" s="377"/>
      <c r="AI229" s="377"/>
      <c r="AJ229" s="377"/>
      <c r="AK229" s="377"/>
      <c r="AL229" s="574"/>
      <c r="AM229" s="377"/>
      <c r="AN229" s="377"/>
      <c r="AO229" s="377"/>
      <c r="AP229" s="377"/>
      <c r="AQ229" s="377"/>
      <c r="AR229" s="377"/>
      <c r="AS229" s="377"/>
      <c r="AT229" s="377"/>
      <c r="AU229" s="377"/>
      <c r="AV229" s="377"/>
      <c r="AW229" s="575"/>
      <c r="AX229" s="377"/>
      <c r="AY229" s="377"/>
      <c r="AZ229" s="377"/>
      <c r="BA229" s="377"/>
      <c r="BB229" s="377"/>
      <c r="BC229" s="377"/>
      <c r="BD229" s="377"/>
      <c r="BE229" s="377"/>
      <c r="BF229" s="377"/>
      <c r="BG229" s="377"/>
      <c r="BH229" s="377"/>
      <c r="BI229" s="377"/>
      <c r="BJ229" s="377"/>
      <c r="BK229" s="377"/>
      <c r="BL229" s="377"/>
      <c r="BM229" s="377"/>
      <c r="BN229" s="576"/>
      <c r="BO229" s="377"/>
      <c r="BP229" s="377"/>
      <c r="BQ229" s="377"/>
      <c r="BR229" s="377"/>
      <c r="BS229" s="377"/>
      <c r="BT229" s="377"/>
      <c r="BU229" s="377"/>
      <c r="BV229" s="377"/>
      <c r="BW229" s="377"/>
      <c r="BX229" s="377"/>
      <c r="BY229" s="377"/>
      <c r="BZ229" s="377"/>
      <c r="CA229" s="377"/>
      <c r="CB229" s="377"/>
      <c r="CC229" s="377"/>
      <c r="CD229" s="377"/>
      <c r="CE229" s="377"/>
      <c r="CF229" s="377"/>
      <c r="CG229" s="377"/>
      <c r="CH229" s="377"/>
      <c r="CI229" s="377"/>
    </row>
    <row r="230" spans="1:87" ht="15">
      <c r="A230" s="377"/>
      <c r="B230" s="377"/>
      <c r="C230" s="572"/>
      <c r="D230" s="377"/>
      <c r="E230" s="377"/>
      <c r="F230" s="377"/>
      <c r="G230" s="377"/>
      <c r="H230" s="573"/>
      <c r="I230" s="377"/>
      <c r="J230" s="377"/>
      <c r="K230" s="377"/>
      <c r="L230" s="377"/>
      <c r="M230" s="377"/>
      <c r="N230" s="377"/>
      <c r="O230" s="377"/>
      <c r="P230" s="377"/>
      <c r="Q230" s="377"/>
      <c r="R230" s="377"/>
      <c r="S230" s="377"/>
      <c r="T230" s="377"/>
      <c r="U230" s="377"/>
      <c r="V230" s="377"/>
      <c r="W230" s="377"/>
      <c r="X230" s="574"/>
      <c r="Y230" s="377"/>
      <c r="Z230" s="377"/>
      <c r="AA230" s="377"/>
      <c r="AB230" s="377"/>
      <c r="AC230" s="377"/>
      <c r="AD230" s="377"/>
      <c r="AE230" s="377"/>
      <c r="AF230" s="377"/>
      <c r="AG230" s="377"/>
      <c r="AH230" s="377"/>
      <c r="AI230" s="377"/>
      <c r="AJ230" s="377"/>
      <c r="AK230" s="377"/>
      <c r="AL230" s="574"/>
      <c r="AM230" s="377"/>
      <c r="AN230" s="377"/>
      <c r="AO230" s="377"/>
      <c r="AP230" s="377"/>
      <c r="AQ230" s="377"/>
      <c r="AR230" s="377"/>
      <c r="AS230" s="377"/>
      <c r="AT230" s="377"/>
      <c r="AU230" s="377"/>
      <c r="AV230" s="377"/>
      <c r="AW230" s="575"/>
      <c r="AX230" s="377"/>
      <c r="AY230" s="377"/>
      <c r="AZ230" s="377"/>
      <c r="BA230" s="377"/>
      <c r="BB230" s="377"/>
      <c r="BC230" s="377"/>
      <c r="BD230" s="377"/>
      <c r="BE230" s="377"/>
      <c r="BF230" s="377"/>
      <c r="BG230" s="377"/>
      <c r="BH230" s="377"/>
      <c r="BI230" s="377"/>
      <c r="BJ230" s="377"/>
      <c r="BK230" s="377"/>
      <c r="BL230" s="377"/>
      <c r="BM230" s="377"/>
      <c r="BN230" s="576"/>
      <c r="BO230" s="377"/>
      <c r="BP230" s="377"/>
      <c r="BQ230" s="377"/>
      <c r="BR230" s="377"/>
      <c r="BS230" s="377"/>
      <c r="BT230" s="377"/>
      <c r="BU230" s="377"/>
      <c r="BV230" s="377"/>
      <c r="BW230" s="377"/>
      <c r="BX230" s="377"/>
      <c r="BY230" s="377"/>
      <c r="BZ230" s="377"/>
      <c r="CA230" s="377"/>
      <c r="CB230" s="377"/>
      <c r="CC230" s="377"/>
      <c r="CD230" s="377"/>
      <c r="CE230" s="377"/>
      <c r="CF230" s="377"/>
      <c r="CG230" s="377"/>
      <c r="CH230" s="377"/>
      <c r="CI230" s="377"/>
    </row>
    <row r="231" spans="1:87" ht="15">
      <c r="A231" s="377"/>
      <c r="B231" s="377"/>
      <c r="C231" s="572"/>
      <c r="D231" s="377"/>
      <c r="E231" s="377"/>
      <c r="F231" s="377"/>
      <c r="G231" s="377"/>
      <c r="H231" s="573"/>
      <c r="I231" s="377"/>
      <c r="J231" s="377"/>
      <c r="K231" s="377"/>
      <c r="L231" s="377"/>
      <c r="M231" s="377"/>
      <c r="N231" s="377"/>
      <c r="O231" s="377"/>
      <c r="P231" s="377"/>
      <c r="Q231" s="377"/>
      <c r="R231" s="377"/>
      <c r="S231" s="377"/>
      <c r="T231" s="377"/>
      <c r="U231" s="377"/>
      <c r="V231" s="377"/>
      <c r="W231" s="377"/>
      <c r="X231" s="574"/>
      <c r="Y231" s="377"/>
      <c r="Z231" s="377"/>
      <c r="AA231" s="377"/>
      <c r="AB231" s="377"/>
      <c r="AC231" s="377"/>
      <c r="AD231" s="377"/>
      <c r="AE231" s="377"/>
      <c r="AF231" s="377"/>
      <c r="AG231" s="377"/>
      <c r="AH231" s="377"/>
      <c r="AI231" s="377"/>
      <c r="AJ231" s="377"/>
      <c r="AK231" s="377"/>
      <c r="AL231" s="574"/>
      <c r="AM231" s="377"/>
      <c r="AN231" s="377"/>
      <c r="AO231" s="377"/>
      <c r="AP231" s="377"/>
      <c r="AQ231" s="377"/>
      <c r="AR231" s="377"/>
      <c r="AS231" s="377"/>
      <c r="AT231" s="377"/>
      <c r="AU231" s="377"/>
      <c r="AV231" s="377"/>
      <c r="AW231" s="575"/>
      <c r="AX231" s="377"/>
      <c r="AY231" s="377"/>
      <c r="AZ231" s="377"/>
      <c r="BA231" s="377"/>
      <c r="BB231" s="377"/>
      <c r="BC231" s="377"/>
      <c r="BD231" s="377"/>
      <c r="BE231" s="377"/>
      <c r="BF231" s="377"/>
      <c r="BG231" s="377"/>
      <c r="BH231" s="377"/>
      <c r="BI231" s="377"/>
      <c r="BJ231" s="377"/>
      <c r="BK231" s="377"/>
      <c r="BL231" s="377"/>
      <c r="BM231" s="377"/>
      <c r="BN231" s="576"/>
      <c r="BO231" s="377"/>
      <c r="BP231" s="377"/>
      <c r="BQ231" s="377"/>
      <c r="BR231" s="377"/>
      <c r="BS231" s="377"/>
      <c r="BT231" s="377"/>
      <c r="BU231" s="377"/>
      <c r="BV231" s="377"/>
      <c r="BW231" s="377"/>
      <c r="BX231" s="377"/>
      <c r="BY231" s="377"/>
      <c r="BZ231" s="377"/>
      <c r="CA231" s="377"/>
      <c r="CB231" s="377"/>
      <c r="CC231" s="377"/>
      <c r="CD231" s="377"/>
      <c r="CE231" s="377"/>
      <c r="CF231" s="377"/>
      <c r="CG231" s="377"/>
      <c r="CH231" s="377"/>
      <c r="CI231" s="377"/>
    </row>
    <row r="232" spans="1:87" ht="15">
      <c r="A232" s="377"/>
      <c r="B232" s="377"/>
      <c r="C232" s="572"/>
      <c r="D232" s="377"/>
      <c r="E232" s="377"/>
      <c r="F232" s="377"/>
      <c r="G232" s="377"/>
      <c r="H232" s="573"/>
      <c r="I232" s="377"/>
      <c r="J232" s="377"/>
      <c r="K232" s="377"/>
      <c r="L232" s="377"/>
      <c r="M232" s="377"/>
      <c r="N232" s="377"/>
      <c r="O232" s="377"/>
      <c r="P232" s="377"/>
      <c r="Q232" s="377"/>
      <c r="R232" s="377"/>
      <c r="S232" s="377"/>
      <c r="T232" s="377"/>
      <c r="U232" s="377"/>
      <c r="V232" s="377"/>
      <c r="W232" s="377"/>
      <c r="X232" s="574"/>
      <c r="Y232" s="377"/>
      <c r="Z232" s="377"/>
      <c r="AA232" s="377"/>
      <c r="AB232" s="377"/>
      <c r="AC232" s="377"/>
      <c r="AD232" s="377"/>
      <c r="AE232" s="377"/>
      <c r="AF232" s="377"/>
      <c r="AG232" s="377"/>
      <c r="AH232" s="377"/>
      <c r="AI232" s="377"/>
      <c r="AJ232" s="377"/>
      <c r="AK232" s="377"/>
      <c r="AL232" s="574"/>
      <c r="AM232" s="377"/>
      <c r="AN232" s="377"/>
      <c r="AO232" s="377"/>
      <c r="AP232" s="377"/>
      <c r="AQ232" s="377"/>
      <c r="AR232" s="377"/>
      <c r="AS232" s="377"/>
      <c r="AT232" s="377"/>
      <c r="AU232" s="377"/>
      <c r="AV232" s="377"/>
      <c r="AW232" s="575"/>
      <c r="AX232" s="377"/>
      <c r="AY232" s="377"/>
      <c r="AZ232" s="377"/>
      <c r="BA232" s="377"/>
      <c r="BB232" s="377"/>
      <c r="BC232" s="377"/>
      <c r="BD232" s="377"/>
      <c r="BE232" s="377"/>
      <c r="BF232" s="377"/>
      <c r="BG232" s="377"/>
      <c r="BH232" s="377"/>
      <c r="BI232" s="377"/>
      <c r="BJ232" s="377"/>
      <c r="BK232" s="377"/>
      <c r="BL232" s="377"/>
      <c r="BM232" s="377"/>
      <c r="BN232" s="576"/>
      <c r="BO232" s="377"/>
      <c r="BP232" s="377"/>
      <c r="BQ232" s="377"/>
      <c r="BR232" s="377"/>
      <c r="BS232" s="377"/>
      <c r="BT232" s="377"/>
      <c r="BU232" s="377"/>
      <c r="BV232" s="377"/>
      <c r="BW232" s="377"/>
      <c r="BX232" s="377"/>
      <c r="BY232" s="377"/>
      <c r="BZ232" s="377"/>
      <c r="CA232" s="377"/>
      <c r="CB232" s="377"/>
      <c r="CC232" s="377"/>
      <c r="CD232" s="377"/>
      <c r="CE232" s="377"/>
      <c r="CF232" s="377"/>
      <c r="CG232" s="377"/>
      <c r="CH232" s="377"/>
      <c r="CI232" s="377"/>
    </row>
    <row r="233" spans="1:87" ht="15">
      <c r="A233" s="377"/>
      <c r="B233" s="377"/>
      <c r="C233" s="572"/>
      <c r="D233" s="377"/>
      <c r="E233" s="377"/>
      <c r="F233" s="377"/>
      <c r="G233" s="377"/>
      <c r="H233" s="573"/>
      <c r="I233" s="377"/>
      <c r="J233" s="377"/>
      <c r="K233" s="377"/>
      <c r="L233" s="377"/>
      <c r="M233" s="377"/>
      <c r="N233" s="377"/>
      <c r="O233" s="377"/>
      <c r="P233" s="377"/>
      <c r="Q233" s="377"/>
      <c r="R233" s="377"/>
      <c r="S233" s="377"/>
      <c r="T233" s="377"/>
      <c r="U233" s="377"/>
      <c r="V233" s="377"/>
      <c r="W233" s="377"/>
      <c r="X233" s="574"/>
      <c r="Y233" s="377"/>
      <c r="Z233" s="377"/>
      <c r="AA233" s="377"/>
      <c r="AB233" s="377"/>
      <c r="AC233" s="377"/>
      <c r="AD233" s="377"/>
      <c r="AE233" s="377"/>
      <c r="AF233" s="377"/>
      <c r="AG233" s="377"/>
      <c r="AH233" s="377"/>
      <c r="AI233" s="377"/>
      <c r="AJ233" s="377"/>
      <c r="AK233" s="377"/>
      <c r="AL233" s="574"/>
      <c r="AM233" s="377"/>
      <c r="AN233" s="377"/>
      <c r="AO233" s="377"/>
      <c r="AP233" s="377"/>
      <c r="AQ233" s="377"/>
      <c r="AR233" s="377"/>
      <c r="AS233" s="377"/>
      <c r="AT233" s="377"/>
      <c r="AU233" s="377"/>
      <c r="AV233" s="377"/>
      <c r="AW233" s="575"/>
      <c r="AX233" s="377"/>
      <c r="AY233" s="377"/>
      <c r="AZ233" s="377"/>
      <c r="BA233" s="377"/>
      <c r="BB233" s="377"/>
      <c r="BC233" s="377"/>
      <c r="BD233" s="377"/>
      <c r="BE233" s="377"/>
      <c r="BF233" s="377"/>
      <c r="BG233" s="377"/>
      <c r="BH233" s="377"/>
      <c r="BI233" s="377"/>
      <c r="BJ233" s="377"/>
      <c r="BK233" s="377"/>
      <c r="BL233" s="377"/>
      <c r="BM233" s="377"/>
      <c r="BN233" s="576"/>
      <c r="BO233" s="377"/>
      <c r="BP233" s="377"/>
      <c r="BQ233" s="377"/>
      <c r="BR233" s="377"/>
      <c r="BS233" s="377"/>
      <c r="BT233" s="377"/>
      <c r="BU233" s="377"/>
      <c r="BV233" s="377"/>
      <c r="BW233" s="377"/>
      <c r="BX233" s="377"/>
      <c r="BY233" s="377"/>
      <c r="BZ233" s="377"/>
      <c r="CA233" s="377"/>
      <c r="CB233" s="377"/>
      <c r="CC233" s="377"/>
      <c r="CD233" s="377"/>
      <c r="CE233" s="377"/>
      <c r="CF233" s="377"/>
      <c r="CG233" s="377"/>
      <c r="CH233" s="377"/>
      <c r="CI233" s="377"/>
    </row>
    <row r="234" spans="1:87" ht="15">
      <c r="A234" s="377"/>
      <c r="B234" s="377"/>
      <c r="C234" s="572"/>
      <c r="D234" s="377"/>
      <c r="E234" s="377"/>
      <c r="F234" s="377"/>
      <c r="G234" s="377"/>
      <c r="H234" s="573"/>
      <c r="I234" s="377"/>
      <c r="J234" s="377"/>
      <c r="K234" s="377"/>
      <c r="L234" s="377"/>
      <c r="M234" s="377"/>
      <c r="N234" s="377"/>
      <c r="O234" s="377"/>
      <c r="P234" s="377"/>
      <c r="Q234" s="377"/>
      <c r="R234" s="377"/>
      <c r="S234" s="377"/>
      <c r="T234" s="377"/>
      <c r="U234" s="377"/>
      <c r="V234" s="377"/>
      <c r="W234" s="377"/>
      <c r="X234" s="574"/>
      <c r="Y234" s="377"/>
      <c r="Z234" s="377"/>
      <c r="AA234" s="377"/>
      <c r="AB234" s="377"/>
      <c r="AC234" s="377"/>
      <c r="AD234" s="377"/>
      <c r="AE234" s="377"/>
      <c r="AF234" s="377"/>
      <c r="AG234" s="377"/>
      <c r="AH234" s="377"/>
      <c r="AI234" s="377"/>
      <c r="AJ234" s="377"/>
      <c r="AK234" s="377"/>
      <c r="AL234" s="574"/>
      <c r="AM234" s="377"/>
      <c r="AN234" s="377"/>
      <c r="AO234" s="377"/>
      <c r="AP234" s="377"/>
      <c r="AQ234" s="377"/>
      <c r="AR234" s="377"/>
      <c r="AS234" s="377"/>
      <c r="AT234" s="377"/>
      <c r="AU234" s="377"/>
      <c r="AV234" s="377"/>
      <c r="AW234" s="575"/>
      <c r="AX234" s="377"/>
      <c r="AY234" s="377"/>
      <c r="AZ234" s="377"/>
      <c r="BA234" s="377"/>
      <c r="BB234" s="377"/>
      <c r="BC234" s="377"/>
      <c r="BD234" s="377"/>
      <c r="BE234" s="377"/>
      <c r="BF234" s="377"/>
      <c r="BG234" s="377"/>
      <c r="BH234" s="377"/>
      <c r="BI234" s="377"/>
      <c r="BJ234" s="377"/>
      <c r="BK234" s="377"/>
      <c r="BL234" s="377"/>
      <c r="BM234" s="377"/>
      <c r="BN234" s="576"/>
      <c r="BO234" s="377"/>
      <c r="BP234" s="377"/>
      <c r="BQ234" s="377"/>
      <c r="BR234" s="377"/>
      <c r="BS234" s="377"/>
      <c r="BT234" s="377"/>
      <c r="BU234" s="377"/>
      <c r="BV234" s="377"/>
      <c r="BW234" s="377"/>
      <c r="BX234" s="377"/>
      <c r="BY234" s="377"/>
      <c r="BZ234" s="377"/>
      <c r="CA234" s="377"/>
      <c r="CB234" s="377"/>
      <c r="CC234" s="377"/>
      <c r="CD234" s="377"/>
      <c r="CE234" s="377"/>
      <c r="CF234" s="377"/>
      <c r="CG234" s="377"/>
      <c r="CH234" s="377"/>
      <c r="CI234" s="377"/>
    </row>
    <row r="235" spans="1:87" ht="15">
      <c r="A235" s="377"/>
      <c r="B235" s="377"/>
      <c r="C235" s="572"/>
      <c r="D235" s="377"/>
      <c r="E235" s="377"/>
      <c r="F235" s="377"/>
      <c r="G235" s="377"/>
      <c r="H235" s="573"/>
      <c r="I235" s="377"/>
      <c r="J235" s="377"/>
      <c r="K235" s="377"/>
      <c r="L235" s="377"/>
      <c r="M235" s="377"/>
      <c r="N235" s="377"/>
      <c r="O235" s="377"/>
      <c r="P235" s="377"/>
      <c r="Q235" s="377"/>
      <c r="R235" s="377"/>
      <c r="S235" s="377"/>
      <c r="T235" s="377"/>
      <c r="U235" s="377"/>
      <c r="V235" s="377"/>
      <c r="W235" s="377"/>
      <c r="X235" s="574"/>
      <c r="Y235" s="377"/>
      <c r="Z235" s="377"/>
      <c r="AA235" s="377"/>
      <c r="AB235" s="377"/>
      <c r="AC235" s="377"/>
      <c r="AD235" s="377"/>
      <c r="AE235" s="377"/>
      <c r="AF235" s="377"/>
      <c r="AG235" s="377"/>
      <c r="AH235" s="377"/>
      <c r="AI235" s="377"/>
      <c r="AJ235" s="377"/>
      <c r="AK235" s="377"/>
      <c r="AL235" s="574"/>
      <c r="AM235" s="377"/>
      <c r="AN235" s="377"/>
      <c r="AO235" s="377"/>
      <c r="AP235" s="377"/>
      <c r="AQ235" s="377"/>
      <c r="AR235" s="377"/>
      <c r="AS235" s="377"/>
      <c r="AT235" s="377"/>
      <c r="AU235" s="377"/>
      <c r="AV235" s="377"/>
      <c r="AW235" s="575"/>
      <c r="AX235" s="377"/>
      <c r="AY235" s="377"/>
      <c r="AZ235" s="377"/>
      <c r="BA235" s="377"/>
      <c r="BB235" s="377"/>
      <c r="BC235" s="377"/>
      <c r="BD235" s="377"/>
      <c r="BE235" s="377"/>
      <c r="BF235" s="377"/>
      <c r="BG235" s="377"/>
      <c r="BH235" s="377"/>
      <c r="BI235" s="377"/>
      <c r="BJ235" s="377"/>
      <c r="BK235" s="377"/>
      <c r="BL235" s="377"/>
      <c r="BM235" s="377"/>
      <c r="BN235" s="576"/>
      <c r="BO235" s="377"/>
      <c r="BP235" s="377"/>
      <c r="BQ235" s="377"/>
      <c r="BR235" s="377"/>
      <c r="BS235" s="377"/>
      <c r="BT235" s="377"/>
      <c r="BU235" s="377"/>
      <c r="BV235" s="377"/>
      <c r="BW235" s="377"/>
      <c r="BX235" s="377"/>
      <c r="BY235" s="377"/>
      <c r="BZ235" s="377"/>
      <c r="CA235" s="377"/>
      <c r="CB235" s="377"/>
      <c r="CC235" s="377"/>
      <c r="CD235" s="377"/>
      <c r="CE235" s="377"/>
      <c r="CF235" s="377"/>
      <c r="CG235" s="377"/>
      <c r="CH235" s="377"/>
      <c r="CI235" s="377"/>
    </row>
    <row r="236" spans="1:87" ht="15">
      <c r="A236" s="377"/>
      <c r="B236" s="377"/>
      <c r="C236" s="572"/>
      <c r="D236" s="377"/>
      <c r="E236" s="377"/>
      <c r="F236" s="377"/>
      <c r="G236" s="377"/>
      <c r="H236" s="573"/>
      <c r="I236" s="377"/>
      <c r="J236" s="377"/>
      <c r="K236" s="377"/>
      <c r="L236" s="377"/>
      <c r="M236" s="377"/>
      <c r="N236" s="377"/>
      <c r="O236" s="377"/>
      <c r="P236" s="377"/>
      <c r="Q236" s="377"/>
      <c r="R236" s="377"/>
      <c r="S236" s="377"/>
      <c r="T236" s="377"/>
      <c r="U236" s="377"/>
      <c r="V236" s="377"/>
      <c r="W236" s="377"/>
      <c r="X236" s="574"/>
      <c r="Y236" s="377"/>
      <c r="Z236" s="377"/>
      <c r="AA236" s="377"/>
      <c r="AB236" s="377"/>
      <c r="AC236" s="377"/>
      <c r="AD236" s="377"/>
      <c r="AE236" s="377"/>
      <c r="AF236" s="377"/>
      <c r="AG236" s="377"/>
      <c r="AH236" s="377"/>
      <c r="AI236" s="377"/>
      <c r="AJ236" s="377"/>
      <c r="AK236" s="377"/>
      <c r="AL236" s="574"/>
      <c r="AM236" s="377"/>
      <c r="AN236" s="377"/>
      <c r="AO236" s="377"/>
      <c r="AP236" s="377"/>
      <c r="AQ236" s="377"/>
      <c r="AR236" s="377"/>
      <c r="AS236" s="377"/>
      <c r="AT236" s="377"/>
      <c r="AU236" s="377"/>
      <c r="AV236" s="377"/>
      <c r="AW236" s="575"/>
      <c r="AX236" s="377"/>
      <c r="AY236" s="377"/>
      <c r="AZ236" s="377"/>
      <c r="BA236" s="377"/>
      <c r="BB236" s="377"/>
      <c r="BC236" s="377"/>
      <c r="BD236" s="377"/>
      <c r="BE236" s="377"/>
      <c r="BF236" s="377"/>
      <c r="BG236" s="377"/>
      <c r="BH236" s="377"/>
      <c r="BI236" s="377"/>
      <c r="BJ236" s="377"/>
      <c r="BK236" s="377"/>
      <c r="BL236" s="377"/>
      <c r="BM236" s="377"/>
      <c r="BN236" s="576"/>
      <c r="BO236" s="377"/>
      <c r="BP236" s="377"/>
      <c r="BQ236" s="377"/>
      <c r="BR236" s="377"/>
      <c r="BS236" s="377"/>
      <c r="BT236" s="377"/>
      <c r="BU236" s="377"/>
      <c r="BV236" s="377"/>
      <c r="BW236" s="377"/>
      <c r="BX236" s="377"/>
      <c r="BY236" s="377"/>
      <c r="BZ236" s="377"/>
      <c r="CA236" s="377"/>
      <c r="CB236" s="377"/>
      <c r="CC236" s="377"/>
      <c r="CD236" s="377"/>
      <c r="CE236" s="377"/>
      <c r="CF236" s="377"/>
      <c r="CG236" s="377"/>
      <c r="CH236" s="377"/>
      <c r="CI236" s="377"/>
    </row>
    <row r="237" spans="1:87" ht="15">
      <c r="A237" s="377"/>
      <c r="B237" s="377"/>
      <c r="C237" s="572"/>
      <c r="D237" s="377"/>
      <c r="E237" s="377"/>
      <c r="F237" s="377"/>
      <c r="G237" s="377"/>
      <c r="H237" s="573"/>
      <c r="I237" s="377"/>
      <c r="J237" s="377"/>
      <c r="K237" s="377"/>
      <c r="L237" s="377"/>
      <c r="M237" s="377"/>
      <c r="N237" s="377"/>
      <c r="O237" s="377"/>
      <c r="P237" s="377"/>
      <c r="Q237" s="377"/>
      <c r="R237" s="377"/>
      <c r="S237" s="377"/>
      <c r="T237" s="377"/>
      <c r="U237" s="377"/>
      <c r="V237" s="377"/>
      <c r="W237" s="377"/>
      <c r="X237" s="574"/>
      <c r="Y237" s="377"/>
      <c r="Z237" s="377"/>
      <c r="AA237" s="377"/>
      <c r="AB237" s="377"/>
      <c r="AC237" s="377"/>
      <c r="AD237" s="377"/>
      <c r="AE237" s="377"/>
      <c r="AF237" s="377"/>
      <c r="AG237" s="377"/>
      <c r="AH237" s="377"/>
      <c r="AI237" s="377"/>
      <c r="AJ237" s="377"/>
      <c r="AK237" s="377"/>
      <c r="AL237" s="574"/>
      <c r="AM237" s="377"/>
      <c r="AN237" s="377"/>
      <c r="AO237" s="377"/>
      <c r="AP237" s="377"/>
      <c r="AQ237" s="377"/>
      <c r="AR237" s="377"/>
      <c r="AS237" s="377"/>
      <c r="AT237" s="377"/>
      <c r="AU237" s="377"/>
      <c r="AV237" s="377"/>
      <c r="AW237" s="575"/>
      <c r="AX237" s="377"/>
      <c r="AY237" s="377"/>
      <c r="AZ237" s="377"/>
      <c r="BA237" s="377"/>
      <c r="BB237" s="377"/>
      <c r="BC237" s="377"/>
      <c r="BD237" s="377"/>
      <c r="BE237" s="377"/>
      <c r="BF237" s="377"/>
      <c r="BG237" s="377"/>
      <c r="BH237" s="377"/>
      <c r="BI237" s="377"/>
      <c r="BJ237" s="377"/>
      <c r="BK237" s="377"/>
      <c r="BL237" s="377"/>
      <c r="BM237" s="377"/>
      <c r="BN237" s="576"/>
      <c r="BO237" s="377"/>
      <c r="BP237" s="377"/>
      <c r="BQ237" s="377"/>
      <c r="BR237" s="377"/>
      <c r="BS237" s="377"/>
      <c r="BT237" s="377"/>
      <c r="BU237" s="377"/>
      <c r="BV237" s="377"/>
      <c r="BW237" s="377"/>
      <c r="BX237" s="377"/>
      <c r="BY237" s="377"/>
      <c r="BZ237" s="377"/>
      <c r="CA237" s="377"/>
      <c r="CB237" s="377"/>
      <c r="CC237" s="377"/>
      <c r="CD237" s="377"/>
      <c r="CE237" s="377"/>
      <c r="CF237" s="377"/>
      <c r="CG237" s="377"/>
      <c r="CH237" s="377"/>
      <c r="CI237" s="377"/>
    </row>
    <row r="238" spans="1:87" ht="15">
      <c r="A238" s="377"/>
      <c r="B238" s="377"/>
      <c r="C238" s="572"/>
      <c r="D238" s="377"/>
      <c r="E238" s="377"/>
      <c r="F238" s="377"/>
      <c r="G238" s="377"/>
      <c r="H238" s="573"/>
      <c r="I238" s="377"/>
      <c r="J238" s="377"/>
      <c r="K238" s="377"/>
      <c r="L238" s="377"/>
      <c r="M238" s="377"/>
      <c r="N238" s="377"/>
      <c r="O238" s="377"/>
      <c r="P238" s="377"/>
      <c r="Q238" s="377"/>
      <c r="R238" s="377"/>
      <c r="S238" s="377"/>
      <c r="T238" s="377"/>
      <c r="U238" s="377"/>
      <c r="V238" s="377"/>
      <c r="W238" s="377"/>
      <c r="X238" s="574"/>
      <c r="Y238" s="377"/>
      <c r="Z238" s="377"/>
      <c r="AA238" s="377"/>
      <c r="AB238" s="377"/>
      <c r="AC238" s="377"/>
      <c r="AD238" s="377"/>
      <c r="AE238" s="377"/>
      <c r="AF238" s="377"/>
      <c r="AG238" s="377"/>
      <c r="AH238" s="377"/>
      <c r="AI238" s="377"/>
      <c r="AJ238" s="377"/>
      <c r="AK238" s="377"/>
      <c r="AL238" s="574"/>
      <c r="AM238" s="377"/>
      <c r="AN238" s="377"/>
      <c r="AO238" s="377"/>
      <c r="AP238" s="377"/>
      <c r="AQ238" s="377"/>
      <c r="AR238" s="377"/>
      <c r="AS238" s="377"/>
      <c r="AT238" s="377"/>
      <c r="AU238" s="377"/>
      <c r="AV238" s="377"/>
      <c r="AW238" s="575"/>
      <c r="AX238" s="377"/>
      <c r="AY238" s="377"/>
      <c r="AZ238" s="377"/>
      <c r="BA238" s="377"/>
      <c r="BB238" s="377"/>
      <c r="BC238" s="377"/>
      <c r="BD238" s="377"/>
      <c r="BE238" s="377"/>
      <c r="BF238" s="377"/>
      <c r="BG238" s="377"/>
      <c r="BH238" s="377"/>
      <c r="BI238" s="377"/>
      <c r="BJ238" s="377"/>
      <c r="BK238" s="377"/>
      <c r="BL238" s="377"/>
      <c r="BM238" s="377"/>
      <c r="BN238" s="576"/>
      <c r="BO238" s="377"/>
      <c r="BP238" s="377"/>
      <c r="BQ238" s="377"/>
      <c r="BR238" s="377"/>
      <c r="BS238" s="377"/>
      <c r="BT238" s="377"/>
      <c r="BU238" s="377"/>
      <c r="BV238" s="377"/>
      <c r="BW238" s="377"/>
      <c r="BX238" s="377"/>
      <c r="BY238" s="377"/>
      <c r="BZ238" s="377"/>
      <c r="CA238" s="377"/>
      <c r="CB238" s="377"/>
      <c r="CC238" s="377"/>
      <c r="CD238" s="377"/>
      <c r="CE238" s="377"/>
      <c r="CF238" s="377"/>
      <c r="CG238" s="377"/>
      <c r="CH238" s="377"/>
      <c r="CI238" s="377"/>
    </row>
    <row r="239" spans="1:87" ht="15">
      <c r="A239" s="377"/>
      <c r="B239" s="377"/>
      <c r="C239" s="572"/>
      <c r="D239" s="377"/>
      <c r="E239" s="377"/>
      <c r="F239" s="377"/>
      <c r="G239" s="377"/>
      <c r="H239" s="573"/>
      <c r="I239" s="377"/>
      <c r="J239" s="377"/>
      <c r="K239" s="377"/>
      <c r="L239" s="377"/>
      <c r="M239" s="377"/>
      <c r="N239" s="377"/>
      <c r="O239" s="377"/>
      <c r="P239" s="377"/>
      <c r="Q239" s="377"/>
      <c r="R239" s="377"/>
      <c r="S239" s="377"/>
      <c r="T239" s="377"/>
      <c r="U239" s="377"/>
      <c r="V239" s="377"/>
      <c r="W239" s="377"/>
      <c r="X239" s="574"/>
      <c r="Y239" s="377"/>
      <c r="Z239" s="377"/>
      <c r="AA239" s="377"/>
      <c r="AB239" s="377"/>
      <c r="AC239" s="377"/>
      <c r="AD239" s="377"/>
      <c r="AE239" s="377"/>
      <c r="AF239" s="377"/>
      <c r="AG239" s="377"/>
      <c r="AH239" s="377"/>
      <c r="AI239" s="377"/>
      <c r="AJ239" s="377"/>
      <c r="AK239" s="377"/>
      <c r="AL239" s="574"/>
      <c r="AM239" s="377"/>
      <c r="AN239" s="377"/>
      <c r="AO239" s="377"/>
      <c r="AP239" s="377"/>
      <c r="AQ239" s="377"/>
      <c r="AR239" s="377"/>
      <c r="AS239" s="377"/>
      <c r="AT239" s="377"/>
      <c r="AU239" s="377"/>
      <c r="AV239" s="377"/>
      <c r="AW239" s="575"/>
      <c r="AX239" s="377"/>
      <c r="AY239" s="377"/>
      <c r="AZ239" s="377"/>
      <c r="BA239" s="377"/>
      <c r="BB239" s="377"/>
      <c r="BC239" s="377"/>
      <c r="BD239" s="377"/>
      <c r="BE239" s="377"/>
      <c r="BF239" s="377"/>
      <c r="BG239" s="377"/>
      <c r="BH239" s="377"/>
      <c r="BI239" s="377"/>
      <c r="BJ239" s="377"/>
      <c r="BK239" s="377"/>
      <c r="BL239" s="377"/>
      <c r="BM239" s="377"/>
      <c r="BN239" s="576"/>
      <c r="BO239" s="377"/>
      <c r="BP239" s="377"/>
      <c r="BQ239" s="377"/>
      <c r="BR239" s="377"/>
      <c r="BS239" s="377"/>
      <c r="BT239" s="377"/>
      <c r="BU239" s="377"/>
      <c r="BV239" s="377"/>
      <c r="BW239" s="377"/>
      <c r="BX239" s="377"/>
      <c r="BY239" s="377"/>
      <c r="BZ239" s="377"/>
      <c r="CA239" s="377"/>
      <c r="CB239" s="377"/>
      <c r="CC239" s="377"/>
      <c r="CD239" s="377"/>
      <c r="CE239" s="377"/>
      <c r="CF239" s="377"/>
      <c r="CG239" s="377"/>
      <c r="CH239" s="377"/>
      <c r="CI239" s="377"/>
    </row>
    <row r="240" spans="1:87" ht="15">
      <c r="A240" s="377"/>
      <c r="B240" s="377"/>
      <c r="C240" s="572"/>
      <c r="D240" s="377"/>
      <c r="E240" s="377"/>
      <c r="F240" s="377"/>
      <c r="G240" s="377"/>
      <c r="H240" s="573"/>
      <c r="I240" s="377"/>
      <c r="J240" s="377"/>
      <c r="K240" s="377"/>
      <c r="L240" s="377"/>
      <c r="M240" s="377"/>
      <c r="N240" s="377"/>
      <c r="O240" s="377"/>
      <c r="P240" s="377"/>
      <c r="Q240" s="377"/>
      <c r="R240" s="377"/>
      <c r="S240" s="377"/>
      <c r="T240" s="377"/>
      <c r="U240" s="377"/>
      <c r="V240" s="377"/>
      <c r="W240" s="377"/>
      <c r="X240" s="574"/>
      <c r="Y240" s="377"/>
      <c r="Z240" s="377"/>
      <c r="AA240" s="377"/>
      <c r="AB240" s="377"/>
      <c r="AC240" s="377"/>
      <c r="AD240" s="377"/>
      <c r="AE240" s="377"/>
      <c r="AF240" s="377"/>
      <c r="AG240" s="377"/>
      <c r="AH240" s="377"/>
      <c r="AI240" s="377"/>
      <c r="AJ240" s="377"/>
      <c r="AK240" s="377"/>
      <c r="AL240" s="574"/>
      <c r="AM240" s="377"/>
      <c r="AN240" s="377"/>
      <c r="AO240" s="377"/>
      <c r="AP240" s="377"/>
      <c r="AQ240" s="377"/>
      <c r="AR240" s="377"/>
      <c r="AS240" s="377"/>
      <c r="AT240" s="377"/>
      <c r="AU240" s="377"/>
      <c r="AV240" s="377"/>
      <c r="AW240" s="575"/>
      <c r="AX240" s="377"/>
      <c r="AY240" s="377"/>
      <c r="AZ240" s="377"/>
      <c r="BA240" s="377"/>
      <c r="BB240" s="377"/>
      <c r="BC240" s="377"/>
      <c r="BD240" s="377"/>
      <c r="BE240" s="377"/>
      <c r="BF240" s="377"/>
      <c r="BG240" s="377"/>
      <c r="BH240" s="377"/>
      <c r="BI240" s="377"/>
      <c r="BJ240" s="377"/>
      <c r="BK240" s="377"/>
      <c r="BL240" s="377"/>
      <c r="BM240" s="377"/>
      <c r="BN240" s="576"/>
      <c r="BO240" s="377"/>
      <c r="BP240" s="377"/>
      <c r="BQ240" s="377"/>
      <c r="BR240" s="377"/>
      <c r="BS240" s="377"/>
      <c r="BT240" s="377"/>
      <c r="BU240" s="377"/>
      <c r="BV240" s="377"/>
      <c r="BW240" s="377"/>
      <c r="BX240" s="377"/>
      <c r="BY240" s="377"/>
      <c r="BZ240" s="377"/>
      <c r="CA240" s="377"/>
      <c r="CB240" s="377"/>
      <c r="CC240" s="377"/>
      <c r="CD240" s="377"/>
      <c r="CE240" s="377"/>
      <c r="CF240" s="377"/>
      <c r="CG240" s="377"/>
      <c r="CH240" s="377"/>
      <c r="CI240" s="377"/>
    </row>
    <row r="241" spans="1:87" ht="15">
      <c r="A241" s="377"/>
      <c r="B241" s="377"/>
      <c r="C241" s="572"/>
      <c r="D241" s="377"/>
      <c r="E241" s="377"/>
      <c r="F241" s="377"/>
      <c r="G241" s="377"/>
      <c r="H241" s="573"/>
      <c r="I241" s="377"/>
      <c r="J241" s="377"/>
      <c r="K241" s="377"/>
      <c r="L241" s="377"/>
      <c r="M241" s="377"/>
      <c r="N241" s="377"/>
      <c r="O241" s="377"/>
      <c r="P241" s="377"/>
      <c r="Q241" s="377"/>
      <c r="R241" s="377"/>
      <c r="S241" s="377"/>
      <c r="T241" s="377"/>
      <c r="U241" s="377"/>
      <c r="V241" s="377"/>
      <c r="W241" s="377"/>
      <c r="X241" s="574"/>
      <c r="Y241" s="377"/>
      <c r="Z241" s="377"/>
      <c r="AA241" s="377"/>
      <c r="AB241" s="377"/>
      <c r="AC241" s="377"/>
      <c r="AD241" s="377"/>
      <c r="AE241" s="377"/>
      <c r="AF241" s="377"/>
      <c r="AG241" s="377"/>
      <c r="AH241" s="377"/>
      <c r="AI241" s="377"/>
      <c r="AJ241" s="377"/>
      <c r="AK241" s="377"/>
      <c r="AL241" s="574"/>
      <c r="AM241" s="377"/>
      <c r="AN241" s="377"/>
      <c r="AO241" s="377"/>
      <c r="AP241" s="377"/>
      <c r="AQ241" s="377"/>
      <c r="AR241" s="377"/>
      <c r="AS241" s="377"/>
      <c r="AT241" s="377"/>
      <c r="AU241" s="377"/>
      <c r="AV241" s="377"/>
      <c r="AW241" s="575"/>
      <c r="AX241" s="377"/>
      <c r="AY241" s="377"/>
      <c r="AZ241" s="377"/>
      <c r="BA241" s="377"/>
      <c r="BB241" s="377"/>
      <c r="BC241" s="377"/>
      <c r="BD241" s="377"/>
      <c r="BE241" s="377"/>
      <c r="BF241" s="377"/>
      <c r="BG241" s="377"/>
      <c r="BH241" s="377"/>
      <c r="BI241" s="377"/>
      <c r="BJ241" s="377"/>
      <c r="BK241" s="377"/>
      <c r="BL241" s="377"/>
      <c r="BM241" s="377"/>
      <c r="BN241" s="576"/>
      <c r="BO241" s="377"/>
      <c r="BP241" s="377"/>
      <c r="BQ241" s="377"/>
      <c r="BR241" s="377"/>
      <c r="BS241" s="377"/>
      <c r="BT241" s="377"/>
      <c r="BU241" s="377"/>
      <c r="BV241" s="377"/>
      <c r="BW241" s="377"/>
      <c r="BX241" s="377"/>
      <c r="BY241" s="377"/>
      <c r="BZ241" s="377"/>
      <c r="CA241" s="377"/>
      <c r="CB241" s="377"/>
      <c r="CC241" s="377"/>
      <c r="CD241" s="377"/>
      <c r="CE241" s="377"/>
      <c r="CF241" s="377"/>
      <c r="CG241" s="377"/>
      <c r="CH241" s="377"/>
      <c r="CI241" s="377"/>
    </row>
    <row r="242" spans="1:87" ht="15">
      <c r="A242" s="377"/>
      <c r="B242" s="377"/>
      <c r="C242" s="572"/>
      <c r="D242" s="377"/>
      <c r="E242" s="377"/>
      <c r="F242" s="377"/>
      <c r="G242" s="377"/>
      <c r="H242" s="573"/>
      <c r="I242" s="377"/>
      <c r="J242" s="377"/>
      <c r="K242" s="377"/>
      <c r="L242" s="377"/>
      <c r="M242" s="377"/>
      <c r="N242" s="377"/>
      <c r="O242" s="377"/>
      <c r="P242" s="377"/>
      <c r="Q242" s="377"/>
      <c r="R242" s="377"/>
      <c r="S242" s="377"/>
      <c r="T242" s="377"/>
      <c r="U242" s="377"/>
      <c r="V242" s="377"/>
      <c r="W242" s="377"/>
      <c r="X242" s="574"/>
      <c r="Y242" s="377"/>
      <c r="Z242" s="377"/>
      <c r="AA242" s="377"/>
      <c r="AB242" s="377"/>
      <c r="AC242" s="377"/>
      <c r="AD242" s="377"/>
      <c r="AE242" s="377"/>
      <c r="AF242" s="377"/>
      <c r="AG242" s="377"/>
      <c r="AH242" s="377"/>
      <c r="AI242" s="377"/>
      <c r="AJ242" s="377"/>
      <c r="AK242" s="377"/>
      <c r="AL242" s="574"/>
      <c r="AM242" s="377"/>
      <c r="AN242" s="377"/>
      <c r="AO242" s="377"/>
      <c r="AP242" s="377"/>
      <c r="AQ242" s="377"/>
      <c r="AR242" s="377"/>
      <c r="AS242" s="377"/>
      <c r="AT242" s="377"/>
      <c r="AU242" s="377"/>
      <c r="AV242" s="377"/>
      <c r="AW242" s="575"/>
      <c r="AX242" s="377"/>
      <c r="AY242" s="377"/>
      <c r="AZ242" s="377"/>
      <c r="BA242" s="377"/>
      <c r="BB242" s="377"/>
      <c r="BC242" s="377"/>
      <c r="BD242" s="377"/>
      <c r="BE242" s="377"/>
      <c r="BF242" s="377"/>
      <c r="BG242" s="377"/>
      <c r="BH242" s="377"/>
      <c r="BI242" s="377"/>
      <c r="BJ242" s="377"/>
      <c r="BK242" s="377"/>
      <c r="BL242" s="377"/>
      <c r="BM242" s="377"/>
      <c r="BN242" s="576"/>
      <c r="BO242" s="377"/>
      <c r="BP242" s="377"/>
      <c r="BQ242" s="377"/>
      <c r="BR242" s="377"/>
      <c r="BS242" s="377"/>
      <c r="BT242" s="377"/>
      <c r="BU242" s="377"/>
      <c r="BV242" s="377"/>
      <c r="BW242" s="377"/>
      <c r="BX242" s="377"/>
      <c r="BY242" s="377"/>
      <c r="BZ242" s="377"/>
      <c r="CA242" s="377"/>
      <c r="CB242" s="377"/>
      <c r="CC242" s="377"/>
      <c r="CD242" s="377"/>
      <c r="CE242" s="377"/>
      <c r="CF242" s="377"/>
      <c r="CG242" s="377"/>
      <c r="CH242" s="377"/>
      <c r="CI242" s="377"/>
    </row>
    <row r="243" spans="1:87" ht="15">
      <c r="A243" s="377"/>
      <c r="B243" s="377"/>
      <c r="C243" s="572"/>
      <c r="D243" s="377"/>
      <c r="E243" s="377"/>
      <c r="F243" s="377"/>
      <c r="G243" s="377"/>
      <c r="H243" s="573"/>
      <c r="I243" s="377"/>
      <c r="J243" s="377"/>
      <c r="K243" s="377"/>
      <c r="L243" s="377"/>
      <c r="M243" s="377"/>
      <c r="N243" s="377"/>
      <c r="O243" s="377"/>
      <c r="P243" s="377"/>
      <c r="Q243" s="377"/>
      <c r="R243" s="377"/>
      <c r="S243" s="377"/>
      <c r="T243" s="377"/>
      <c r="U243" s="377"/>
      <c r="V243" s="377"/>
      <c r="W243" s="377"/>
      <c r="X243" s="574"/>
      <c r="Y243" s="377"/>
      <c r="Z243" s="377"/>
      <c r="AA243" s="377"/>
      <c r="AB243" s="377"/>
      <c r="AC243" s="377"/>
      <c r="AD243" s="377"/>
      <c r="AE243" s="377"/>
      <c r="AF243" s="377"/>
      <c r="AG243" s="377"/>
      <c r="AH243" s="377"/>
      <c r="AI243" s="377"/>
      <c r="AJ243" s="377"/>
      <c r="AK243" s="377"/>
      <c r="AL243" s="574"/>
      <c r="AM243" s="377"/>
      <c r="AN243" s="377"/>
      <c r="AO243" s="377"/>
      <c r="AP243" s="377"/>
      <c r="AQ243" s="377"/>
      <c r="AR243" s="377"/>
      <c r="AS243" s="377"/>
      <c r="AT243" s="377"/>
      <c r="AU243" s="377"/>
      <c r="AV243" s="377"/>
      <c r="AW243" s="575"/>
      <c r="AX243" s="377"/>
      <c r="AY243" s="377"/>
      <c r="AZ243" s="377"/>
      <c r="BA243" s="377"/>
      <c r="BB243" s="377"/>
      <c r="BC243" s="377"/>
      <c r="BD243" s="377"/>
      <c r="BE243" s="377"/>
      <c r="BF243" s="377"/>
      <c r="BG243" s="377"/>
      <c r="BH243" s="377"/>
      <c r="BI243" s="377"/>
      <c r="BJ243" s="377"/>
      <c r="BK243" s="377"/>
      <c r="BL243" s="377"/>
      <c r="BM243" s="377"/>
      <c r="BN243" s="576"/>
      <c r="BO243" s="377"/>
      <c r="BP243" s="377"/>
      <c r="BQ243" s="377"/>
      <c r="BR243" s="377"/>
      <c r="BS243" s="377"/>
      <c r="BT243" s="377"/>
      <c r="BU243" s="377"/>
      <c r="BV243" s="377"/>
      <c r="BW243" s="377"/>
      <c r="BX243" s="377"/>
      <c r="BY243" s="377"/>
      <c r="BZ243" s="377"/>
      <c r="CA243" s="377"/>
      <c r="CB243" s="377"/>
      <c r="CC243" s="377"/>
      <c r="CD243" s="377"/>
      <c r="CE243" s="377"/>
      <c r="CF243" s="377"/>
      <c r="CG243" s="377"/>
      <c r="CH243" s="377"/>
      <c r="CI243" s="377"/>
    </row>
    <row r="244" spans="1:87" ht="15">
      <c r="A244" s="377"/>
      <c r="B244" s="377"/>
      <c r="C244" s="572"/>
      <c r="D244" s="377"/>
      <c r="E244" s="377"/>
      <c r="F244" s="377"/>
      <c r="G244" s="377"/>
      <c r="H244" s="573"/>
      <c r="I244" s="377"/>
      <c r="J244" s="377"/>
      <c r="K244" s="377"/>
      <c r="L244" s="377"/>
      <c r="M244" s="377"/>
      <c r="N244" s="377"/>
      <c r="O244" s="377"/>
      <c r="P244" s="377"/>
      <c r="Q244" s="377"/>
      <c r="R244" s="377"/>
      <c r="S244" s="377"/>
      <c r="T244" s="377"/>
      <c r="U244" s="377"/>
      <c r="V244" s="377"/>
      <c r="W244" s="377"/>
      <c r="X244" s="574"/>
      <c r="Y244" s="377"/>
      <c r="Z244" s="377"/>
      <c r="AA244" s="377"/>
      <c r="AB244" s="377"/>
      <c r="AC244" s="377"/>
      <c r="AD244" s="377"/>
      <c r="AE244" s="377"/>
      <c r="AF244" s="377"/>
      <c r="AG244" s="377"/>
      <c r="AH244" s="377"/>
      <c r="AI244" s="377"/>
      <c r="AJ244" s="377"/>
      <c r="AK244" s="377"/>
      <c r="AL244" s="574"/>
      <c r="AM244" s="377"/>
      <c r="AN244" s="377"/>
      <c r="AO244" s="377"/>
      <c r="AP244" s="377"/>
      <c r="AQ244" s="377"/>
      <c r="AR244" s="377"/>
      <c r="AS244" s="377"/>
      <c r="AT244" s="377"/>
      <c r="AU244" s="377"/>
      <c r="AV244" s="377"/>
      <c r="AW244" s="575"/>
      <c r="AX244" s="377"/>
      <c r="AY244" s="377"/>
      <c r="AZ244" s="377"/>
      <c r="BA244" s="377"/>
      <c r="BB244" s="377"/>
      <c r="BC244" s="377"/>
      <c r="BD244" s="377"/>
      <c r="BE244" s="377"/>
      <c r="BF244" s="377"/>
      <c r="BG244" s="377"/>
      <c r="BH244" s="377"/>
      <c r="BI244" s="377"/>
      <c r="BJ244" s="377"/>
      <c r="BK244" s="377"/>
      <c r="BL244" s="377"/>
      <c r="BM244" s="377"/>
      <c r="BN244" s="576"/>
      <c r="BO244" s="377"/>
      <c r="BP244" s="377"/>
      <c r="BQ244" s="377"/>
      <c r="BR244" s="377"/>
      <c r="BS244" s="377"/>
      <c r="BT244" s="377"/>
      <c r="BU244" s="377"/>
      <c r="BV244" s="377"/>
      <c r="BW244" s="377"/>
      <c r="BX244" s="377"/>
      <c r="BY244" s="377"/>
      <c r="BZ244" s="377"/>
      <c r="CA244" s="377"/>
      <c r="CB244" s="377"/>
      <c r="CC244" s="377"/>
      <c r="CD244" s="377"/>
      <c r="CE244" s="377"/>
      <c r="CF244" s="377"/>
      <c r="CG244" s="377"/>
      <c r="CH244" s="377"/>
      <c r="CI244" s="377"/>
    </row>
    <row r="245" spans="1:87" ht="15">
      <c r="A245" s="377"/>
      <c r="B245" s="377"/>
      <c r="C245" s="572"/>
      <c r="D245" s="377"/>
      <c r="E245" s="377"/>
      <c r="F245" s="377"/>
      <c r="G245" s="377"/>
      <c r="H245" s="573"/>
      <c r="I245" s="377"/>
      <c r="J245" s="377"/>
      <c r="K245" s="377"/>
      <c r="L245" s="377"/>
      <c r="M245" s="377"/>
      <c r="N245" s="377"/>
      <c r="O245" s="377"/>
      <c r="P245" s="377"/>
      <c r="Q245" s="377"/>
      <c r="R245" s="377"/>
      <c r="S245" s="377"/>
      <c r="T245" s="377"/>
      <c r="U245" s="377"/>
      <c r="V245" s="377"/>
      <c r="W245" s="377"/>
      <c r="X245" s="574"/>
      <c r="Y245" s="377"/>
      <c r="Z245" s="377"/>
      <c r="AA245" s="377"/>
      <c r="AB245" s="377"/>
      <c r="AC245" s="377"/>
      <c r="AD245" s="377"/>
      <c r="AE245" s="377"/>
      <c r="AF245" s="377"/>
      <c r="AG245" s="377"/>
      <c r="AH245" s="377"/>
      <c r="AI245" s="377"/>
      <c r="AJ245" s="377"/>
      <c r="AK245" s="377"/>
      <c r="AL245" s="574"/>
      <c r="AM245" s="377"/>
      <c r="AN245" s="377"/>
      <c r="AO245" s="377"/>
      <c r="AP245" s="377"/>
      <c r="AQ245" s="377"/>
      <c r="AR245" s="377"/>
      <c r="AS245" s="377"/>
      <c r="AT245" s="377"/>
      <c r="AU245" s="377"/>
      <c r="AV245" s="377"/>
      <c r="AW245" s="575"/>
      <c r="AX245" s="377"/>
      <c r="AY245" s="377"/>
      <c r="AZ245" s="377"/>
      <c r="BA245" s="377"/>
      <c r="BB245" s="377"/>
      <c r="BC245" s="377"/>
      <c r="BD245" s="377"/>
      <c r="BE245" s="377"/>
      <c r="BF245" s="377"/>
      <c r="BG245" s="377"/>
      <c r="BH245" s="377"/>
      <c r="BI245" s="377"/>
      <c r="BJ245" s="377"/>
      <c r="BK245" s="377"/>
      <c r="BL245" s="377"/>
      <c r="BM245" s="377"/>
      <c r="BN245" s="576"/>
      <c r="BO245" s="377"/>
      <c r="BP245" s="377"/>
      <c r="BQ245" s="377"/>
      <c r="BR245" s="377"/>
      <c r="BS245" s="377"/>
      <c r="BT245" s="377"/>
      <c r="BU245" s="377"/>
      <c r="BV245" s="377"/>
      <c r="BW245" s="377"/>
      <c r="BX245" s="377"/>
      <c r="BY245" s="377"/>
      <c r="BZ245" s="377"/>
      <c r="CA245" s="377"/>
      <c r="CB245" s="377"/>
      <c r="CC245" s="377"/>
      <c r="CD245" s="377"/>
      <c r="CE245" s="377"/>
      <c r="CF245" s="377"/>
      <c r="CG245" s="377"/>
      <c r="CH245" s="377"/>
      <c r="CI245" s="377"/>
    </row>
    <row r="246" spans="1:87" ht="15">
      <c r="A246" s="377"/>
      <c r="B246" s="377"/>
      <c r="C246" s="572"/>
      <c r="D246" s="377"/>
      <c r="E246" s="377"/>
      <c r="F246" s="377"/>
      <c r="G246" s="377"/>
      <c r="H246" s="573"/>
      <c r="I246" s="377"/>
      <c r="J246" s="377"/>
      <c r="K246" s="377"/>
      <c r="L246" s="377"/>
      <c r="M246" s="377"/>
      <c r="N246" s="377"/>
      <c r="O246" s="377"/>
      <c r="P246" s="377"/>
      <c r="Q246" s="377"/>
      <c r="R246" s="377"/>
      <c r="S246" s="377"/>
      <c r="T246" s="377"/>
      <c r="U246" s="377"/>
      <c r="V246" s="377"/>
      <c r="W246" s="377"/>
      <c r="X246" s="574"/>
      <c r="Y246" s="377"/>
      <c r="Z246" s="377"/>
      <c r="AA246" s="377"/>
      <c r="AB246" s="377"/>
      <c r="AC246" s="377"/>
      <c r="AD246" s="377"/>
      <c r="AE246" s="377"/>
      <c r="AF246" s="377"/>
      <c r="AG246" s="377"/>
      <c r="AH246" s="377"/>
      <c r="AI246" s="377"/>
      <c r="AJ246" s="377"/>
      <c r="AK246" s="377"/>
      <c r="AL246" s="574"/>
      <c r="AM246" s="377"/>
      <c r="AN246" s="377"/>
      <c r="AO246" s="377"/>
      <c r="AP246" s="377"/>
      <c r="AQ246" s="377"/>
      <c r="AR246" s="377"/>
      <c r="AS246" s="377"/>
      <c r="AT246" s="377"/>
      <c r="AU246" s="377"/>
      <c r="AV246" s="377"/>
      <c r="AW246" s="575"/>
      <c r="AX246" s="377"/>
      <c r="AY246" s="377"/>
      <c r="AZ246" s="377"/>
      <c r="BA246" s="377"/>
      <c r="BB246" s="377"/>
      <c r="BC246" s="377"/>
      <c r="BD246" s="377"/>
      <c r="BE246" s="377"/>
      <c r="BF246" s="377"/>
      <c r="BG246" s="377"/>
      <c r="BH246" s="377"/>
      <c r="BI246" s="377"/>
      <c r="BJ246" s="377"/>
      <c r="BK246" s="377"/>
      <c r="BL246" s="377"/>
      <c r="BM246" s="377"/>
      <c r="BN246" s="576"/>
      <c r="BO246" s="377"/>
      <c r="BP246" s="377"/>
      <c r="BQ246" s="377"/>
      <c r="BR246" s="377"/>
      <c r="BS246" s="377"/>
      <c r="BT246" s="377"/>
      <c r="BU246" s="377"/>
      <c r="BV246" s="377"/>
      <c r="BW246" s="377"/>
      <c r="BX246" s="377"/>
      <c r="BY246" s="377"/>
      <c r="BZ246" s="377"/>
      <c r="CA246" s="377"/>
      <c r="CB246" s="377"/>
      <c r="CC246" s="377"/>
      <c r="CD246" s="377"/>
      <c r="CE246" s="377"/>
      <c r="CF246" s="377"/>
      <c r="CG246" s="377"/>
      <c r="CH246" s="377"/>
      <c r="CI246" s="377"/>
    </row>
    <row r="247" spans="1:87" ht="15">
      <c r="A247" s="377"/>
      <c r="B247" s="377"/>
      <c r="C247" s="572"/>
      <c r="D247" s="377"/>
      <c r="E247" s="377"/>
      <c r="F247" s="377"/>
      <c r="G247" s="377"/>
      <c r="H247" s="573"/>
      <c r="I247" s="377"/>
      <c r="J247" s="377"/>
      <c r="K247" s="377"/>
      <c r="L247" s="377"/>
      <c r="M247" s="377"/>
      <c r="N247" s="377"/>
      <c r="O247" s="377"/>
      <c r="P247" s="377"/>
      <c r="Q247" s="377"/>
      <c r="R247" s="377"/>
      <c r="S247" s="377"/>
      <c r="T247" s="377"/>
      <c r="U247" s="377"/>
      <c r="V247" s="377"/>
      <c r="W247" s="377"/>
      <c r="X247" s="574"/>
      <c r="Y247" s="377"/>
      <c r="Z247" s="377"/>
      <c r="AA247" s="377"/>
      <c r="AB247" s="377"/>
      <c r="AC247" s="377"/>
      <c r="AD247" s="377"/>
      <c r="AE247" s="377"/>
      <c r="AF247" s="377"/>
      <c r="AG247" s="377"/>
      <c r="AH247" s="377"/>
      <c r="AI247" s="377"/>
      <c r="AJ247" s="377"/>
      <c r="AK247" s="377"/>
      <c r="AL247" s="574"/>
      <c r="AM247" s="377"/>
      <c r="AN247" s="377"/>
      <c r="AO247" s="377"/>
      <c r="AP247" s="377"/>
      <c r="AQ247" s="377"/>
      <c r="AR247" s="377"/>
      <c r="AS247" s="377"/>
      <c r="AT247" s="377"/>
      <c r="AU247" s="377"/>
      <c r="AV247" s="377"/>
      <c r="AW247" s="575"/>
      <c r="AX247" s="377"/>
      <c r="AY247" s="377"/>
      <c r="AZ247" s="377"/>
      <c r="BA247" s="377"/>
      <c r="BB247" s="377"/>
      <c r="BC247" s="377"/>
      <c r="BD247" s="377"/>
      <c r="BE247" s="377"/>
      <c r="BF247" s="377"/>
      <c r="BG247" s="377"/>
      <c r="BH247" s="377"/>
      <c r="BI247" s="377"/>
      <c r="BJ247" s="377"/>
      <c r="BK247" s="377"/>
      <c r="BL247" s="377"/>
      <c r="BM247" s="377"/>
      <c r="BN247" s="576"/>
      <c r="BO247" s="377"/>
      <c r="BP247" s="377"/>
      <c r="BQ247" s="377"/>
      <c r="BR247" s="377"/>
      <c r="BS247" s="377"/>
      <c r="BT247" s="377"/>
      <c r="BU247" s="377"/>
      <c r="BV247" s="377"/>
      <c r="BW247" s="377"/>
      <c r="BX247" s="377"/>
      <c r="BY247" s="377"/>
      <c r="BZ247" s="377"/>
      <c r="CA247" s="377"/>
      <c r="CB247" s="377"/>
      <c r="CC247" s="377"/>
      <c r="CD247" s="377"/>
      <c r="CE247" s="377"/>
      <c r="CF247" s="377"/>
      <c r="CG247" s="377"/>
      <c r="CH247" s="377"/>
      <c r="CI247" s="377"/>
    </row>
    <row r="248" spans="1:87" ht="15">
      <c r="A248" s="377"/>
      <c r="B248" s="377"/>
      <c r="C248" s="572"/>
      <c r="D248" s="377"/>
      <c r="E248" s="377"/>
      <c r="F248" s="377"/>
      <c r="G248" s="377"/>
      <c r="H248" s="573"/>
      <c r="I248" s="377"/>
      <c r="J248" s="377"/>
      <c r="K248" s="377"/>
      <c r="L248" s="377"/>
      <c r="M248" s="377"/>
      <c r="N248" s="377"/>
      <c r="O248" s="377"/>
      <c r="P248" s="377"/>
      <c r="Q248" s="377"/>
      <c r="R248" s="377"/>
      <c r="S248" s="377"/>
      <c r="T248" s="377"/>
      <c r="U248" s="377"/>
      <c r="V248" s="377"/>
      <c r="W248" s="377"/>
      <c r="X248" s="574"/>
      <c r="Y248" s="377"/>
      <c r="Z248" s="377"/>
      <c r="AA248" s="377"/>
      <c r="AB248" s="377"/>
      <c r="AC248" s="377"/>
      <c r="AD248" s="377"/>
      <c r="AE248" s="377"/>
      <c r="AF248" s="377"/>
      <c r="AG248" s="377"/>
      <c r="AH248" s="377"/>
      <c r="AI248" s="377"/>
      <c r="AJ248" s="377"/>
      <c r="AK248" s="377"/>
      <c r="AL248" s="574"/>
      <c r="AM248" s="377"/>
      <c r="AN248" s="377"/>
      <c r="AO248" s="377"/>
      <c r="AP248" s="377"/>
      <c r="AQ248" s="377"/>
      <c r="AR248" s="377"/>
      <c r="AS248" s="377"/>
      <c r="AT248" s="377"/>
      <c r="AU248" s="377"/>
      <c r="AV248" s="377"/>
      <c r="AW248" s="575"/>
      <c r="AX248" s="377"/>
      <c r="AY248" s="377"/>
      <c r="AZ248" s="377"/>
      <c r="BA248" s="377"/>
      <c r="BB248" s="377"/>
      <c r="BC248" s="377"/>
      <c r="BD248" s="377"/>
      <c r="BE248" s="377"/>
      <c r="BF248" s="377"/>
      <c r="BG248" s="377"/>
      <c r="BH248" s="377"/>
      <c r="BI248" s="377"/>
      <c r="BJ248" s="377"/>
      <c r="BK248" s="377"/>
      <c r="BL248" s="377"/>
      <c r="BM248" s="377"/>
      <c r="BN248" s="576"/>
      <c r="BO248" s="377"/>
      <c r="BP248" s="377"/>
      <c r="BQ248" s="377"/>
      <c r="BR248" s="377"/>
      <c r="BS248" s="377"/>
      <c r="BT248" s="377"/>
      <c r="BU248" s="377"/>
      <c r="BV248" s="377"/>
      <c r="BW248" s="377"/>
      <c r="BX248" s="377"/>
      <c r="BY248" s="377"/>
      <c r="BZ248" s="377"/>
      <c r="CA248" s="377"/>
      <c r="CB248" s="377"/>
      <c r="CC248" s="377"/>
      <c r="CD248" s="377"/>
      <c r="CE248" s="377"/>
      <c r="CF248" s="377"/>
      <c r="CG248" s="377"/>
      <c r="CH248" s="377"/>
      <c r="CI248" s="377"/>
    </row>
    <row r="249" spans="1:87" ht="15">
      <c r="A249" s="377"/>
      <c r="B249" s="377"/>
      <c r="C249" s="572"/>
      <c r="D249" s="377"/>
      <c r="E249" s="377"/>
      <c r="F249" s="377"/>
      <c r="G249" s="377"/>
      <c r="H249" s="573"/>
      <c r="I249" s="377"/>
      <c r="J249" s="377"/>
      <c r="K249" s="377"/>
      <c r="L249" s="377"/>
      <c r="M249" s="377"/>
      <c r="N249" s="377"/>
      <c r="O249" s="377"/>
      <c r="P249" s="377"/>
      <c r="Q249" s="377"/>
      <c r="R249" s="377"/>
      <c r="S249" s="377"/>
      <c r="T249" s="377"/>
      <c r="U249" s="377"/>
      <c r="V249" s="377"/>
      <c r="W249" s="377"/>
      <c r="X249" s="574"/>
      <c r="Y249" s="377"/>
      <c r="Z249" s="377"/>
      <c r="AA249" s="377"/>
      <c r="AB249" s="377"/>
      <c r="AC249" s="377"/>
      <c r="AD249" s="377"/>
      <c r="AE249" s="377"/>
      <c r="AF249" s="377"/>
      <c r="AG249" s="377"/>
      <c r="AH249" s="377"/>
      <c r="AI249" s="377"/>
      <c r="AJ249" s="377"/>
      <c r="AK249" s="377"/>
      <c r="AL249" s="574"/>
      <c r="AM249" s="377"/>
      <c r="AN249" s="377"/>
      <c r="AO249" s="377"/>
      <c r="AP249" s="377"/>
      <c r="AQ249" s="377"/>
      <c r="AR249" s="377"/>
      <c r="AS249" s="377"/>
      <c r="AT249" s="377"/>
      <c r="AU249" s="377"/>
      <c r="AV249" s="377"/>
      <c r="AW249" s="575"/>
      <c r="AX249" s="377"/>
      <c r="AY249" s="377"/>
      <c r="AZ249" s="377"/>
      <c r="BA249" s="377"/>
      <c r="BB249" s="377"/>
      <c r="BC249" s="377"/>
      <c r="BD249" s="377"/>
      <c r="BE249" s="377"/>
      <c r="BF249" s="377"/>
      <c r="BG249" s="377"/>
      <c r="BH249" s="377"/>
      <c r="BI249" s="377"/>
      <c r="BJ249" s="377"/>
      <c r="BK249" s="377"/>
      <c r="BL249" s="377"/>
      <c r="BM249" s="377"/>
      <c r="BN249" s="576"/>
      <c r="BO249" s="377"/>
      <c r="BP249" s="377"/>
      <c r="BQ249" s="377"/>
      <c r="BR249" s="377"/>
      <c r="BS249" s="377"/>
      <c r="BT249" s="377"/>
      <c r="BU249" s="377"/>
      <c r="BV249" s="377"/>
      <c r="BW249" s="377"/>
      <c r="BX249" s="377"/>
      <c r="BY249" s="377"/>
      <c r="BZ249" s="377"/>
      <c r="CA249" s="377"/>
      <c r="CB249" s="377"/>
      <c r="CC249" s="377"/>
      <c r="CD249" s="377"/>
      <c r="CE249" s="377"/>
      <c r="CF249" s="377"/>
      <c r="CG249" s="377"/>
      <c r="CH249" s="377"/>
      <c r="CI249" s="377"/>
    </row>
    <row r="250" spans="1:87" ht="15">
      <c r="A250" s="377"/>
      <c r="B250" s="377"/>
      <c r="C250" s="572"/>
      <c r="D250" s="377"/>
      <c r="E250" s="377"/>
      <c r="F250" s="377"/>
      <c r="G250" s="377"/>
      <c r="H250" s="573"/>
      <c r="I250" s="377"/>
      <c r="J250" s="377"/>
      <c r="K250" s="377"/>
      <c r="L250" s="377"/>
      <c r="M250" s="377"/>
      <c r="N250" s="377"/>
      <c r="O250" s="377"/>
      <c r="P250" s="377"/>
      <c r="Q250" s="377"/>
      <c r="R250" s="377"/>
      <c r="S250" s="377"/>
      <c r="T250" s="377"/>
      <c r="U250" s="377"/>
      <c r="V250" s="377"/>
      <c r="W250" s="377"/>
      <c r="X250" s="574"/>
      <c r="Y250" s="377"/>
      <c r="Z250" s="377"/>
      <c r="AA250" s="377"/>
      <c r="AB250" s="377"/>
      <c r="AC250" s="377"/>
      <c r="AD250" s="377"/>
      <c r="AE250" s="377"/>
      <c r="AF250" s="377"/>
      <c r="AG250" s="377"/>
      <c r="AH250" s="377"/>
      <c r="AI250" s="377"/>
      <c r="AJ250" s="377"/>
      <c r="AK250" s="377"/>
      <c r="AL250" s="574"/>
      <c r="AM250" s="377"/>
      <c r="AN250" s="377"/>
      <c r="AO250" s="377"/>
      <c r="AP250" s="377"/>
      <c r="AQ250" s="377"/>
      <c r="AR250" s="377"/>
      <c r="AS250" s="377"/>
      <c r="AT250" s="377"/>
      <c r="AU250" s="377"/>
      <c r="AV250" s="377"/>
      <c r="AW250" s="575"/>
      <c r="AX250" s="377"/>
      <c r="AY250" s="377"/>
      <c r="AZ250" s="377"/>
      <c r="BA250" s="377"/>
      <c r="BB250" s="377"/>
      <c r="BC250" s="377"/>
      <c r="BD250" s="377"/>
      <c r="BE250" s="377"/>
      <c r="BF250" s="377"/>
      <c r="BG250" s="377"/>
      <c r="BH250" s="377"/>
      <c r="BI250" s="377"/>
      <c r="BJ250" s="377"/>
      <c r="BK250" s="377"/>
      <c r="BL250" s="377"/>
      <c r="BM250" s="377"/>
      <c r="BN250" s="576"/>
      <c r="BO250" s="377"/>
      <c r="BP250" s="377"/>
      <c r="BQ250" s="377"/>
      <c r="BR250" s="377"/>
      <c r="BS250" s="377"/>
      <c r="BT250" s="377"/>
      <c r="BU250" s="377"/>
      <c r="BV250" s="377"/>
      <c r="BW250" s="377"/>
      <c r="BX250" s="377"/>
      <c r="BY250" s="377"/>
      <c r="BZ250" s="377"/>
      <c r="CA250" s="377"/>
      <c r="CB250" s="377"/>
      <c r="CC250" s="377"/>
      <c r="CD250" s="377"/>
      <c r="CE250" s="377"/>
      <c r="CF250" s="377"/>
      <c r="CG250" s="377"/>
      <c r="CH250" s="377"/>
      <c r="CI250" s="377"/>
    </row>
    <row r="251" spans="1:87" ht="15">
      <c r="A251" s="377"/>
      <c r="B251" s="377"/>
      <c r="C251" s="572"/>
      <c r="D251" s="377"/>
      <c r="E251" s="377"/>
      <c r="F251" s="377"/>
      <c r="G251" s="377"/>
      <c r="H251" s="573"/>
      <c r="I251" s="377"/>
      <c r="J251" s="377"/>
      <c r="K251" s="377"/>
      <c r="L251" s="377"/>
      <c r="M251" s="377"/>
      <c r="N251" s="377"/>
      <c r="O251" s="377"/>
      <c r="P251" s="377"/>
      <c r="Q251" s="377"/>
      <c r="R251" s="377"/>
      <c r="S251" s="377"/>
      <c r="T251" s="377"/>
      <c r="U251" s="377"/>
      <c r="V251" s="377"/>
      <c r="W251" s="377"/>
      <c r="X251" s="574"/>
      <c r="Y251" s="377"/>
      <c r="Z251" s="377"/>
      <c r="AA251" s="377"/>
      <c r="AB251" s="377"/>
      <c r="AC251" s="377"/>
      <c r="AD251" s="377"/>
      <c r="AE251" s="377"/>
      <c r="AF251" s="377"/>
      <c r="AG251" s="377"/>
      <c r="AH251" s="377"/>
      <c r="AI251" s="377"/>
      <c r="AJ251" s="377"/>
      <c r="AK251" s="377"/>
      <c r="AL251" s="574"/>
      <c r="AM251" s="377"/>
      <c r="AN251" s="377"/>
      <c r="AO251" s="377"/>
      <c r="AP251" s="377"/>
      <c r="AQ251" s="377"/>
      <c r="AR251" s="377"/>
      <c r="AS251" s="377"/>
      <c r="AT251" s="377"/>
      <c r="AU251" s="377"/>
      <c r="AV251" s="377"/>
      <c r="AW251" s="575"/>
      <c r="AX251" s="377"/>
      <c r="AY251" s="377"/>
      <c r="AZ251" s="377"/>
      <c r="BA251" s="377"/>
      <c r="BB251" s="377"/>
      <c r="BC251" s="377"/>
      <c r="BD251" s="377"/>
      <c r="BE251" s="377"/>
      <c r="BF251" s="377"/>
      <c r="BG251" s="377"/>
      <c r="BH251" s="377"/>
      <c r="BI251" s="377"/>
      <c r="BJ251" s="377"/>
      <c r="BK251" s="377"/>
      <c r="BL251" s="377"/>
      <c r="BM251" s="377"/>
      <c r="BN251" s="576"/>
      <c r="BO251" s="377"/>
      <c r="BP251" s="377"/>
      <c r="BQ251" s="377"/>
      <c r="BR251" s="377"/>
      <c r="BS251" s="377"/>
      <c r="BT251" s="377"/>
      <c r="BU251" s="377"/>
      <c r="BV251" s="377"/>
      <c r="BW251" s="377"/>
      <c r="BX251" s="377"/>
      <c r="BY251" s="377"/>
      <c r="BZ251" s="377"/>
      <c r="CA251" s="377"/>
      <c r="CB251" s="377"/>
      <c r="CC251" s="377"/>
      <c r="CD251" s="377"/>
      <c r="CE251" s="377"/>
      <c r="CF251" s="377"/>
      <c r="CG251" s="377"/>
      <c r="CH251" s="377"/>
      <c r="CI251" s="377"/>
    </row>
    <row r="252" spans="1:87" ht="15">
      <c r="A252" s="377"/>
      <c r="B252" s="377"/>
      <c r="C252" s="572"/>
      <c r="D252" s="377"/>
      <c r="E252" s="377"/>
      <c r="F252" s="377"/>
      <c r="G252" s="377"/>
      <c r="H252" s="573"/>
      <c r="I252" s="377"/>
      <c r="J252" s="377"/>
      <c r="K252" s="377"/>
      <c r="L252" s="377"/>
      <c r="M252" s="377"/>
      <c r="N252" s="377"/>
      <c r="O252" s="377"/>
      <c r="P252" s="377"/>
      <c r="Q252" s="377"/>
      <c r="R252" s="377"/>
      <c r="S252" s="377"/>
      <c r="T252" s="377"/>
      <c r="U252" s="377"/>
      <c r="V252" s="377"/>
      <c r="W252" s="377"/>
      <c r="X252" s="574"/>
      <c r="Y252" s="377"/>
      <c r="Z252" s="377"/>
      <c r="AA252" s="377"/>
      <c r="AB252" s="377"/>
      <c r="AC252" s="377"/>
      <c r="AD252" s="377"/>
      <c r="AE252" s="377"/>
      <c r="AF252" s="377"/>
      <c r="AG252" s="377"/>
      <c r="AH252" s="377"/>
      <c r="AI252" s="377"/>
      <c r="AJ252" s="377"/>
      <c r="AK252" s="377"/>
      <c r="AL252" s="574"/>
      <c r="AM252" s="377"/>
      <c r="AN252" s="377"/>
      <c r="AO252" s="377"/>
      <c r="AP252" s="377"/>
      <c r="AQ252" s="377"/>
      <c r="AR252" s="377"/>
      <c r="AS252" s="377"/>
      <c r="AT252" s="377"/>
      <c r="AU252" s="377"/>
      <c r="AV252" s="377"/>
      <c r="AW252" s="575"/>
      <c r="AX252" s="377"/>
      <c r="AY252" s="377"/>
      <c r="AZ252" s="377"/>
      <c r="BA252" s="377"/>
      <c r="BB252" s="377"/>
      <c r="BC252" s="377"/>
      <c r="BD252" s="377"/>
      <c r="BE252" s="377"/>
      <c r="BF252" s="377"/>
      <c r="BG252" s="377"/>
      <c r="BH252" s="377"/>
      <c r="BI252" s="377"/>
      <c r="BJ252" s="377"/>
      <c r="BK252" s="377"/>
      <c r="BL252" s="377"/>
      <c r="BM252" s="377"/>
      <c r="BN252" s="576"/>
      <c r="BO252" s="377"/>
      <c r="BP252" s="377"/>
      <c r="BQ252" s="377"/>
      <c r="BR252" s="377"/>
      <c r="BS252" s="377"/>
      <c r="BT252" s="377"/>
      <c r="BU252" s="377"/>
      <c r="BV252" s="377"/>
      <c r="BW252" s="377"/>
      <c r="BX252" s="377"/>
      <c r="BY252" s="377"/>
      <c r="BZ252" s="377"/>
      <c r="CA252" s="377"/>
      <c r="CB252" s="377"/>
      <c r="CC252" s="377"/>
      <c r="CD252" s="377"/>
      <c r="CE252" s="377"/>
      <c r="CF252" s="377"/>
      <c r="CG252" s="377"/>
      <c r="CH252" s="377"/>
      <c r="CI252" s="377"/>
    </row>
    <row r="253" spans="1:87" ht="15">
      <c r="A253" s="377"/>
      <c r="B253" s="377"/>
      <c r="C253" s="572"/>
      <c r="D253" s="377"/>
      <c r="E253" s="377"/>
      <c r="F253" s="377"/>
      <c r="G253" s="377"/>
      <c r="H253" s="573"/>
      <c r="I253" s="377"/>
      <c r="J253" s="377"/>
      <c r="K253" s="377"/>
      <c r="L253" s="377"/>
      <c r="M253" s="377"/>
      <c r="N253" s="377"/>
      <c r="O253" s="377"/>
      <c r="P253" s="377"/>
      <c r="Q253" s="377"/>
      <c r="R253" s="377"/>
      <c r="S253" s="377"/>
      <c r="T253" s="377"/>
      <c r="U253" s="377"/>
      <c r="V253" s="377"/>
      <c r="W253" s="377"/>
      <c r="X253" s="574"/>
      <c r="Y253" s="377"/>
      <c r="Z253" s="377"/>
      <c r="AA253" s="377"/>
      <c r="AB253" s="377"/>
      <c r="AC253" s="377"/>
      <c r="AD253" s="377"/>
      <c r="AE253" s="377"/>
      <c r="AF253" s="377"/>
      <c r="AG253" s="377"/>
      <c r="AH253" s="377"/>
      <c r="AI253" s="377"/>
      <c r="AJ253" s="377"/>
      <c r="AK253" s="377"/>
      <c r="AL253" s="574"/>
      <c r="AM253" s="377"/>
      <c r="AN253" s="377"/>
      <c r="AO253" s="377"/>
      <c r="AP253" s="377"/>
      <c r="AQ253" s="377"/>
      <c r="AR253" s="377"/>
      <c r="AS253" s="377"/>
      <c r="AT253" s="377"/>
      <c r="AU253" s="377"/>
      <c r="AV253" s="377"/>
      <c r="AW253" s="575"/>
      <c r="AX253" s="377"/>
      <c r="AY253" s="377"/>
      <c r="AZ253" s="377"/>
      <c r="BA253" s="377"/>
      <c r="BB253" s="377"/>
      <c r="BC253" s="377"/>
      <c r="BD253" s="377"/>
      <c r="BE253" s="377"/>
      <c r="BF253" s="377"/>
      <c r="BG253" s="377"/>
      <c r="BH253" s="377"/>
      <c r="BI253" s="377"/>
      <c r="BJ253" s="377"/>
      <c r="BK253" s="377"/>
      <c r="BL253" s="377"/>
      <c r="BM253" s="377"/>
      <c r="BN253" s="576"/>
      <c r="BO253" s="377"/>
      <c r="BP253" s="377"/>
      <c r="BQ253" s="377"/>
      <c r="BR253" s="377"/>
      <c r="BS253" s="377"/>
      <c r="BT253" s="377"/>
      <c r="BU253" s="377"/>
      <c r="BV253" s="377"/>
      <c r="BW253" s="377"/>
      <c r="BX253" s="377"/>
      <c r="BY253" s="377"/>
      <c r="BZ253" s="377"/>
      <c r="CA253" s="377"/>
      <c r="CB253" s="377"/>
      <c r="CC253" s="377"/>
      <c r="CD253" s="377"/>
      <c r="CE253" s="377"/>
      <c r="CF253" s="377"/>
      <c r="CG253" s="377"/>
      <c r="CH253" s="377"/>
      <c r="CI253" s="377"/>
    </row>
    <row r="254" spans="1:87" ht="15">
      <c r="A254" s="377"/>
      <c r="B254" s="377"/>
      <c r="C254" s="572"/>
      <c r="D254" s="377"/>
      <c r="E254" s="377"/>
      <c r="F254" s="377"/>
      <c r="G254" s="377"/>
      <c r="H254" s="573"/>
      <c r="I254" s="377"/>
      <c r="J254" s="377"/>
      <c r="K254" s="377"/>
      <c r="L254" s="377"/>
      <c r="M254" s="377"/>
      <c r="N254" s="377"/>
      <c r="O254" s="377"/>
      <c r="P254" s="377"/>
      <c r="Q254" s="377"/>
      <c r="R254" s="377"/>
      <c r="S254" s="377"/>
      <c r="T254" s="377"/>
      <c r="U254" s="377"/>
      <c r="V254" s="377"/>
      <c r="W254" s="377"/>
      <c r="X254" s="574"/>
      <c r="Y254" s="377"/>
      <c r="Z254" s="377"/>
      <c r="AA254" s="377"/>
      <c r="AB254" s="377"/>
      <c r="AC254" s="377"/>
      <c r="AD254" s="377"/>
      <c r="AE254" s="377"/>
      <c r="AF254" s="377"/>
      <c r="AG254" s="377"/>
      <c r="AH254" s="377"/>
      <c r="AI254" s="377"/>
      <c r="AJ254" s="377"/>
      <c r="AK254" s="377"/>
      <c r="AL254" s="574"/>
      <c r="AM254" s="377"/>
      <c r="AN254" s="377"/>
      <c r="AO254" s="377"/>
      <c r="AP254" s="377"/>
      <c r="AQ254" s="377"/>
      <c r="AR254" s="377"/>
      <c r="AS254" s="377"/>
      <c r="AT254" s="377"/>
      <c r="AU254" s="377"/>
      <c r="AV254" s="377"/>
      <c r="AW254" s="575"/>
      <c r="AX254" s="377"/>
      <c r="AY254" s="377"/>
      <c r="AZ254" s="377"/>
      <c r="BA254" s="377"/>
      <c r="BB254" s="377"/>
      <c r="BC254" s="377"/>
      <c r="BD254" s="377"/>
      <c r="BE254" s="377"/>
      <c r="BF254" s="377"/>
      <c r="BG254" s="377"/>
      <c r="BH254" s="377"/>
      <c r="BI254" s="377"/>
      <c r="BJ254" s="377"/>
      <c r="BK254" s="377"/>
      <c r="BL254" s="377"/>
      <c r="BM254" s="377"/>
      <c r="BN254" s="576"/>
      <c r="BO254" s="377"/>
      <c r="BP254" s="377"/>
      <c r="BQ254" s="377"/>
      <c r="BR254" s="377"/>
      <c r="BS254" s="377"/>
      <c r="BT254" s="377"/>
      <c r="BU254" s="377"/>
      <c r="BV254" s="377"/>
      <c r="BW254" s="377"/>
      <c r="BX254" s="377"/>
      <c r="BY254" s="377"/>
      <c r="BZ254" s="377"/>
      <c r="CA254" s="377"/>
      <c r="CB254" s="377"/>
      <c r="CC254" s="377"/>
      <c r="CD254" s="377"/>
      <c r="CE254" s="377"/>
      <c r="CF254" s="377"/>
      <c r="CG254" s="377"/>
      <c r="CH254" s="377"/>
      <c r="CI254" s="377"/>
    </row>
    <row r="255" spans="1:87" ht="15">
      <c r="A255" s="377"/>
      <c r="B255" s="377"/>
      <c r="C255" s="572"/>
      <c r="D255" s="377"/>
      <c r="E255" s="377"/>
      <c r="F255" s="377"/>
      <c r="G255" s="377"/>
      <c r="H255" s="573"/>
      <c r="I255" s="377"/>
      <c r="J255" s="377"/>
      <c r="K255" s="377"/>
      <c r="L255" s="377"/>
      <c r="M255" s="377"/>
      <c r="N255" s="377"/>
      <c r="O255" s="377"/>
      <c r="P255" s="377"/>
      <c r="Q255" s="377"/>
      <c r="R255" s="377"/>
      <c r="S255" s="377"/>
      <c r="T255" s="377"/>
      <c r="U255" s="377"/>
      <c r="V255" s="377"/>
      <c r="W255" s="377"/>
      <c r="X255" s="574"/>
      <c r="Y255" s="377"/>
      <c r="Z255" s="377"/>
      <c r="AA255" s="377"/>
      <c r="AB255" s="377"/>
      <c r="AC255" s="377"/>
      <c r="AD255" s="377"/>
      <c r="AE255" s="377"/>
      <c r="AF255" s="377"/>
      <c r="AG255" s="377"/>
      <c r="AH255" s="377"/>
      <c r="AI255" s="377"/>
      <c r="AJ255" s="377"/>
      <c r="AK255" s="377"/>
      <c r="AL255" s="574"/>
      <c r="AM255" s="377"/>
      <c r="AN255" s="377"/>
      <c r="AO255" s="377"/>
      <c r="AP255" s="377"/>
      <c r="AQ255" s="377"/>
      <c r="AR255" s="377"/>
      <c r="AS255" s="377"/>
      <c r="AT255" s="377"/>
      <c r="AU255" s="377"/>
      <c r="AV255" s="377"/>
      <c r="AW255" s="575"/>
      <c r="AX255" s="377"/>
      <c r="AY255" s="377"/>
      <c r="AZ255" s="377"/>
      <c r="BA255" s="377"/>
      <c r="BB255" s="377"/>
      <c r="BC255" s="377"/>
      <c r="BD255" s="377"/>
      <c r="BE255" s="377"/>
      <c r="BF255" s="377"/>
      <c r="BG255" s="377"/>
      <c r="BH255" s="377"/>
      <c r="BI255" s="377"/>
      <c r="BJ255" s="377"/>
      <c r="BK255" s="377"/>
      <c r="BL255" s="377"/>
      <c r="BM255" s="377"/>
      <c r="BN255" s="576"/>
      <c r="BO255" s="377"/>
      <c r="BP255" s="377"/>
      <c r="BQ255" s="377"/>
      <c r="BR255" s="377"/>
      <c r="BS255" s="377"/>
      <c r="BT255" s="377"/>
      <c r="BU255" s="377"/>
      <c r="BV255" s="377"/>
      <c r="BW255" s="377"/>
      <c r="BX255" s="377"/>
      <c r="BY255" s="377"/>
      <c r="BZ255" s="377"/>
      <c r="CA255" s="377"/>
      <c r="CB255" s="377"/>
      <c r="CC255" s="377"/>
      <c r="CD255" s="377"/>
      <c r="CE255" s="377"/>
      <c r="CF255" s="377"/>
      <c r="CG255" s="377"/>
      <c r="CH255" s="377"/>
      <c r="CI255" s="377"/>
    </row>
    <row r="256" spans="1:87" ht="15">
      <c r="A256" s="377"/>
      <c r="B256" s="377"/>
      <c r="C256" s="572"/>
      <c r="D256" s="377"/>
      <c r="E256" s="377"/>
      <c r="F256" s="377"/>
      <c r="G256" s="377"/>
      <c r="H256" s="573"/>
      <c r="I256" s="377"/>
      <c r="J256" s="377"/>
      <c r="K256" s="377"/>
      <c r="L256" s="377"/>
      <c r="M256" s="377"/>
      <c r="N256" s="377"/>
      <c r="O256" s="377"/>
      <c r="P256" s="377"/>
      <c r="Q256" s="377"/>
      <c r="R256" s="377"/>
      <c r="S256" s="377"/>
      <c r="T256" s="377"/>
      <c r="U256" s="377"/>
      <c r="V256" s="377"/>
      <c r="W256" s="377"/>
      <c r="X256" s="574"/>
      <c r="Y256" s="377"/>
      <c r="Z256" s="377"/>
      <c r="AA256" s="377"/>
      <c r="AB256" s="377"/>
      <c r="AC256" s="377"/>
      <c r="AD256" s="377"/>
      <c r="AE256" s="377"/>
      <c r="AF256" s="377"/>
      <c r="AG256" s="377"/>
      <c r="AH256" s="377"/>
      <c r="AI256" s="377"/>
      <c r="AJ256" s="377"/>
      <c r="AK256" s="377"/>
      <c r="AL256" s="574"/>
      <c r="AM256" s="377"/>
      <c r="AN256" s="377"/>
      <c r="AO256" s="377"/>
      <c r="AP256" s="377"/>
      <c r="AQ256" s="377"/>
      <c r="AR256" s="377"/>
      <c r="AS256" s="377"/>
      <c r="AT256" s="377"/>
      <c r="AU256" s="377"/>
      <c r="AV256" s="377"/>
      <c r="AW256" s="575"/>
      <c r="AX256" s="377"/>
      <c r="AY256" s="377"/>
      <c r="AZ256" s="377"/>
      <c r="BA256" s="377"/>
      <c r="BB256" s="377"/>
      <c r="BC256" s="377"/>
      <c r="BD256" s="377"/>
      <c r="BE256" s="377"/>
      <c r="BF256" s="377"/>
      <c r="BG256" s="377"/>
      <c r="BH256" s="377"/>
      <c r="BI256" s="377"/>
      <c r="BJ256" s="377"/>
      <c r="BK256" s="377"/>
      <c r="BL256" s="377"/>
      <c r="BM256" s="377"/>
      <c r="BN256" s="576"/>
      <c r="BO256" s="377"/>
      <c r="BP256" s="377"/>
      <c r="BQ256" s="377"/>
      <c r="BR256" s="377"/>
      <c r="BS256" s="377"/>
      <c r="BT256" s="377"/>
      <c r="BU256" s="377"/>
      <c r="BV256" s="377"/>
      <c r="BW256" s="377"/>
      <c r="BX256" s="377"/>
      <c r="BY256" s="377"/>
      <c r="BZ256" s="377"/>
      <c r="CA256" s="377"/>
      <c r="CB256" s="377"/>
      <c r="CC256" s="377"/>
      <c r="CD256" s="377"/>
      <c r="CE256" s="377"/>
      <c r="CF256" s="377"/>
      <c r="CG256" s="377"/>
      <c r="CH256" s="377"/>
      <c r="CI256" s="377"/>
    </row>
    <row r="257" spans="1:87" ht="15">
      <c r="A257" s="377"/>
      <c r="B257" s="377"/>
      <c r="C257" s="572"/>
      <c r="D257" s="377"/>
      <c r="E257" s="377"/>
      <c r="F257" s="377"/>
      <c r="G257" s="377"/>
      <c r="H257" s="573"/>
      <c r="I257" s="377"/>
      <c r="J257" s="377"/>
      <c r="K257" s="377"/>
      <c r="L257" s="377"/>
      <c r="M257" s="377"/>
      <c r="N257" s="377"/>
      <c r="O257" s="377"/>
      <c r="P257" s="377"/>
      <c r="Q257" s="377"/>
      <c r="R257" s="377"/>
      <c r="S257" s="377"/>
      <c r="T257" s="377"/>
      <c r="U257" s="377"/>
      <c r="V257" s="377"/>
      <c r="W257" s="377"/>
      <c r="X257" s="574"/>
      <c r="Y257" s="377"/>
      <c r="Z257" s="377"/>
      <c r="AA257" s="377"/>
      <c r="AB257" s="377"/>
      <c r="AC257" s="377"/>
      <c r="AD257" s="377"/>
      <c r="AE257" s="377"/>
      <c r="AF257" s="377"/>
      <c r="AG257" s="377"/>
      <c r="AH257" s="377"/>
      <c r="AI257" s="377"/>
      <c r="AJ257" s="377"/>
      <c r="AK257" s="377"/>
      <c r="AL257" s="574"/>
      <c r="AM257" s="377"/>
      <c r="AN257" s="377"/>
      <c r="AO257" s="377"/>
      <c r="AP257" s="377"/>
      <c r="AQ257" s="377"/>
      <c r="AR257" s="377"/>
      <c r="AS257" s="377"/>
      <c r="AT257" s="377"/>
      <c r="AU257" s="377"/>
      <c r="AV257" s="377"/>
      <c r="AW257" s="575"/>
      <c r="AX257" s="377"/>
      <c r="AY257" s="377"/>
      <c r="AZ257" s="377"/>
      <c r="BA257" s="377"/>
      <c r="BB257" s="377"/>
      <c r="BC257" s="377"/>
      <c r="BD257" s="377"/>
      <c r="BE257" s="377"/>
      <c r="BF257" s="377"/>
      <c r="BG257" s="377"/>
      <c r="BH257" s="377"/>
      <c r="BI257" s="377"/>
      <c r="BJ257" s="377"/>
      <c r="BK257" s="377"/>
      <c r="BL257" s="377"/>
      <c r="BM257" s="377"/>
      <c r="BN257" s="576"/>
      <c r="BO257" s="377"/>
      <c r="BP257" s="377"/>
      <c r="BQ257" s="377"/>
      <c r="BR257" s="377"/>
      <c r="BS257" s="377"/>
      <c r="BT257" s="377"/>
      <c r="BU257" s="377"/>
      <c r="BV257" s="377"/>
      <c r="BW257" s="377"/>
      <c r="BX257" s="377"/>
      <c r="BY257" s="377"/>
      <c r="BZ257" s="377"/>
      <c r="CA257" s="377"/>
      <c r="CB257" s="377"/>
      <c r="CC257" s="377"/>
      <c r="CD257" s="377"/>
      <c r="CE257" s="377"/>
      <c r="CF257" s="377"/>
      <c r="CG257" s="377"/>
      <c r="CH257" s="377"/>
      <c r="CI257" s="377"/>
    </row>
    <row r="258" spans="1:87" ht="15">
      <c r="A258" s="377"/>
      <c r="B258" s="377"/>
      <c r="C258" s="572"/>
      <c r="D258" s="377"/>
      <c r="E258" s="377"/>
      <c r="F258" s="377"/>
      <c r="G258" s="377"/>
      <c r="H258" s="573"/>
      <c r="I258" s="377"/>
      <c r="J258" s="377"/>
      <c r="K258" s="377"/>
      <c r="L258" s="377"/>
      <c r="M258" s="377"/>
      <c r="N258" s="377"/>
      <c r="O258" s="377"/>
      <c r="P258" s="377"/>
      <c r="Q258" s="377"/>
      <c r="R258" s="377"/>
      <c r="S258" s="377"/>
      <c r="T258" s="377"/>
      <c r="U258" s="377"/>
      <c r="V258" s="377"/>
      <c r="W258" s="377"/>
      <c r="X258" s="574"/>
      <c r="Y258" s="377"/>
      <c r="Z258" s="377"/>
      <c r="AA258" s="377"/>
      <c r="AB258" s="377"/>
      <c r="AC258" s="377"/>
      <c r="AD258" s="377"/>
      <c r="AE258" s="377"/>
      <c r="AF258" s="377"/>
      <c r="AG258" s="377"/>
      <c r="AH258" s="377"/>
      <c r="AI258" s="377"/>
      <c r="AJ258" s="377"/>
      <c r="AK258" s="377"/>
      <c r="AL258" s="574"/>
      <c r="AM258" s="377"/>
      <c r="AN258" s="377"/>
      <c r="AO258" s="377"/>
      <c r="AP258" s="377"/>
      <c r="AQ258" s="377"/>
      <c r="AR258" s="377"/>
      <c r="AS258" s="377"/>
      <c r="AT258" s="377"/>
      <c r="AU258" s="377"/>
      <c r="AV258" s="377"/>
      <c r="AW258" s="575"/>
      <c r="AX258" s="377"/>
      <c r="AY258" s="377"/>
      <c r="AZ258" s="377"/>
      <c r="BA258" s="377"/>
      <c r="BB258" s="377"/>
      <c r="BC258" s="377"/>
      <c r="BD258" s="377"/>
      <c r="BE258" s="377"/>
      <c r="BF258" s="377"/>
      <c r="BG258" s="377"/>
      <c r="BH258" s="377"/>
      <c r="BI258" s="377"/>
      <c r="BJ258" s="377"/>
      <c r="BK258" s="377"/>
      <c r="BL258" s="377"/>
      <c r="BM258" s="377"/>
      <c r="BN258" s="576"/>
      <c r="BO258" s="377"/>
      <c r="BP258" s="377"/>
      <c r="BQ258" s="377"/>
      <c r="BR258" s="377"/>
      <c r="BS258" s="377"/>
      <c r="BT258" s="377"/>
      <c r="BU258" s="377"/>
      <c r="BV258" s="377"/>
      <c r="BW258" s="377"/>
      <c r="BX258" s="377"/>
      <c r="BY258" s="377"/>
      <c r="BZ258" s="377"/>
      <c r="CA258" s="377"/>
      <c r="CB258" s="377"/>
      <c r="CC258" s="377"/>
      <c r="CD258" s="377"/>
      <c r="CE258" s="377"/>
      <c r="CF258" s="377"/>
      <c r="CG258" s="377"/>
      <c r="CH258" s="377"/>
      <c r="CI258" s="377"/>
    </row>
    <row r="259" spans="1:87" ht="15">
      <c r="A259" s="377"/>
      <c r="B259" s="377"/>
      <c r="C259" s="572"/>
      <c r="D259" s="377"/>
      <c r="E259" s="377"/>
      <c r="F259" s="377"/>
      <c r="G259" s="377"/>
      <c r="H259" s="573"/>
      <c r="I259" s="377"/>
      <c r="J259" s="377"/>
      <c r="K259" s="377"/>
      <c r="L259" s="377"/>
      <c r="M259" s="377"/>
      <c r="N259" s="377"/>
      <c r="O259" s="377"/>
      <c r="P259" s="377"/>
      <c r="Q259" s="377"/>
      <c r="R259" s="377"/>
      <c r="S259" s="377"/>
      <c r="T259" s="377"/>
      <c r="U259" s="377"/>
      <c r="V259" s="377"/>
      <c r="W259" s="377"/>
      <c r="X259" s="574"/>
      <c r="Y259" s="377"/>
      <c r="Z259" s="377"/>
      <c r="AA259" s="377"/>
      <c r="AB259" s="377"/>
      <c r="AC259" s="377"/>
      <c r="AD259" s="377"/>
      <c r="AE259" s="377"/>
      <c r="AF259" s="377"/>
      <c r="AG259" s="377"/>
      <c r="AH259" s="377"/>
      <c r="AI259" s="377"/>
      <c r="AJ259" s="377"/>
      <c r="AK259" s="377"/>
      <c r="AL259" s="574"/>
      <c r="AM259" s="377"/>
      <c r="AN259" s="377"/>
      <c r="AO259" s="377"/>
      <c r="AP259" s="377"/>
      <c r="AQ259" s="377"/>
      <c r="AR259" s="377"/>
      <c r="AS259" s="377"/>
      <c r="AT259" s="377"/>
      <c r="AU259" s="377"/>
      <c r="AV259" s="377"/>
      <c r="AW259" s="575"/>
      <c r="AX259" s="377"/>
      <c r="AY259" s="377"/>
      <c r="AZ259" s="377"/>
      <c r="BA259" s="377"/>
      <c r="BB259" s="377"/>
      <c r="BC259" s="377"/>
      <c r="BD259" s="377"/>
      <c r="BE259" s="377"/>
      <c r="BF259" s="377"/>
      <c r="BG259" s="377"/>
      <c r="BH259" s="377"/>
      <c r="BI259" s="377"/>
      <c r="BJ259" s="377"/>
      <c r="BK259" s="377"/>
      <c r="BL259" s="377"/>
      <c r="BM259" s="377"/>
      <c r="BN259" s="576"/>
      <c r="BO259" s="377"/>
      <c r="BP259" s="377"/>
      <c r="BQ259" s="377"/>
      <c r="BR259" s="377"/>
      <c r="BS259" s="377"/>
      <c r="BT259" s="377"/>
      <c r="BU259" s="377"/>
      <c r="BV259" s="377"/>
      <c r="BW259" s="377"/>
      <c r="BX259" s="377"/>
      <c r="BY259" s="377"/>
      <c r="BZ259" s="377"/>
      <c r="CA259" s="377"/>
      <c r="CB259" s="377"/>
      <c r="CC259" s="377"/>
      <c r="CD259" s="377"/>
      <c r="CE259" s="377"/>
      <c r="CF259" s="377"/>
      <c r="CG259" s="377"/>
      <c r="CH259" s="377"/>
      <c r="CI259" s="377"/>
    </row>
    <row r="260" spans="1:87" ht="15">
      <c r="A260" s="377"/>
      <c r="B260" s="377"/>
      <c r="C260" s="572"/>
      <c r="D260" s="377"/>
      <c r="E260" s="377"/>
      <c r="F260" s="377"/>
      <c r="G260" s="377"/>
      <c r="H260" s="573"/>
      <c r="I260" s="377"/>
      <c r="J260" s="377"/>
      <c r="K260" s="377"/>
      <c r="L260" s="377"/>
      <c r="M260" s="377"/>
      <c r="N260" s="377"/>
      <c r="O260" s="377"/>
      <c r="P260" s="377"/>
      <c r="Q260" s="377"/>
      <c r="R260" s="377"/>
      <c r="S260" s="377"/>
      <c r="T260" s="377"/>
      <c r="U260" s="377"/>
      <c r="V260" s="377"/>
      <c r="W260" s="377"/>
      <c r="X260" s="574"/>
      <c r="Y260" s="377"/>
      <c r="Z260" s="377"/>
      <c r="AA260" s="377"/>
      <c r="AB260" s="377"/>
      <c r="AC260" s="377"/>
      <c r="AD260" s="377"/>
      <c r="AE260" s="377"/>
      <c r="AF260" s="377"/>
      <c r="AG260" s="377"/>
      <c r="AH260" s="377"/>
      <c r="AI260" s="377"/>
      <c r="AJ260" s="377"/>
      <c r="AK260" s="377"/>
      <c r="AL260" s="574"/>
      <c r="AM260" s="377"/>
      <c r="AN260" s="377"/>
      <c r="AO260" s="377"/>
      <c r="AP260" s="377"/>
      <c r="AQ260" s="377"/>
      <c r="AR260" s="377"/>
      <c r="AS260" s="377"/>
      <c r="AT260" s="377"/>
      <c r="AU260" s="377"/>
      <c r="AV260" s="377"/>
      <c r="AW260" s="575"/>
      <c r="AX260" s="377"/>
      <c r="AY260" s="377"/>
      <c r="AZ260" s="377"/>
      <c r="BA260" s="377"/>
      <c r="BB260" s="377"/>
      <c r="BC260" s="377"/>
      <c r="BD260" s="377"/>
      <c r="BE260" s="377"/>
      <c r="BF260" s="377"/>
      <c r="BG260" s="377"/>
      <c r="BH260" s="377"/>
      <c r="BI260" s="377"/>
      <c r="BJ260" s="377"/>
      <c r="BK260" s="377"/>
      <c r="BL260" s="377"/>
      <c r="BM260" s="377"/>
      <c r="BN260" s="576"/>
      <c r="BO260" s="377"/>
      <c r="BP260" s="377"/>
      <c r="BQ260" s="377"/>
      <c r="BR260" s="377"/>
      <c r="BS260" s="377"/>
      <c r="BT260" s="377"/>
      <c r="BU260" s="377"/>
      <c r="BV260" s="377"/>
      <c r="BW260" s="377"/>
      <c r="BX260" s="377"/>
      <c r="BY260" s="377"/>
      <c r="BZ260" s="377"/>
      <c r="CA260" s="377"/>
      <c r="CB260" s="377"/>
      <c r="CC260" s="377"/>
      <c r="CD260" s="377"/>
      <c r="CE260" s="377"/>
      <c r="CF260" s="377"/>
      <c r="CG260" s="377"/>
      <c r="CH260" s="377"/>
      <c r="CI260" s="377"/>
    </row>
    <row r="261" spans="1:87" ht="15">
      <c r="A261" s="377"/>
      <c r="B261" s="377"/>
      <c r="C261" s="572"/>
      <c r="D261" s="377"/>
      <c r="E261" s="377"/>
      <c r="F261" s="377"/>
      <c r="G261" s="377"/>
      <c r="H261" s="573"/>
      <c r="I261" s="377"/>
      <c r="J261" s="377"/>
      <c r="K261" s="377"/>
      <c r="L261" s="377"/>
      <c r="M261" s="377"/>
      <c r="N261" s="377"/>
      <c r="O261" s="377"/>
      <c r="P261" s="377"/>
      <c r="Q261" s="377"/>
      <c r="R261" s="377"/>
      <c r="S261" s="377"/>
      <c r="T261" s="377"/>
      <c r="U261" s="377"/>
      <c r="V261" s="377"/>
      <c r="W261" s="377"/>
      <c r="X261" s="574"/>
      <c r="Y261" s="377"/>
      <c r="Z261" s="377"/>
      <c r="AA261" s="377"/>
      <c r="AB261" s="377"/>
      <c r="AC261" s="377"/>
      <c r="AD261" s="377"/>
      <c r="AE261" s="377"/>
      <c r="AF261" s="377"/>
      <c r="AG261" s="377"/>
      <c r="AH261" s="377"/>
      <c r="AI261" s="377"/>
      <c r="AJ261" s="377"/>
      <c r="AK261" s="377"/>
      <c r="AL261" s="574"/>
      <c r="AM261" s="377"/>
      <c r="AN261" s="377"/>
      <c r="AO261" s="377"/>
      <c r="AP261" s="377"/>
      <c r="AQ261" s="377"/>
      <c r="AR261" s="377"/>
      <c r="AS261" s="377"/>
      <c r="AT261" s="377"/>
      <c r="AU261" s="377"/>
      <c r="AV261" s="377"/>
      <c r="AW261" s="575"/>
      <c r="AX261" s="377"/>
      <c r="AY261" s="377"/>
      <c r="AZ261" s="377"/>
      <c r="BA261" s="377"/>
      <c r="BB261" s="377"/>
      <c r="BC261" s="377"/>
      <c r="BD261" s="377"/>
      <c r="BE261" s="377"/>
      <c r="BF261" s="377"/>
      <c r="BG261" s="377"/>
      <c r="BH261" s="377"/>
      <c r="BI261" s="377"/>
      <c r="BJ261" s="377"/>
      <c r="BK261" s="377"/>
      <c r="BL261" s="377"/>
      <c r="BM261" s="377"/>
      <c r="BN261" s="576"/>
      <c r="BO261" s="377"/>
      <c r="BP261" s="377"/>
      <c r="BQ261" s="377"/>
      <c r="BR261" s="377"/>
      <c r="BS261" s="377"/>
      <c r="BT261" s="377"/>
      <c r="BU261" s="377"/>
      <c r="BV261" s="377"/>
      <c r="BW261" s="377"/>
      <c r="BX261" s="377"/>
      <c r="BY261" s="377"/>
      <c r="BZ261" s="377"/>
      <c r="CA261" s="377"/>
      <c r="CB261" s="377"/>
      <c r="CC261" s="377"/>
      <c r="CD261" s="377"/>
      <c r="CE261" s="377"/>
      <c r="CF261" s="377"/>
      <c r="CG261" s="377"/>
      <c r="CH261" s="377"/>
      <c r="CI261" s="377"/>
    </row>
    <row r="262" spans="1:87" ht="15">
      <c r="A262" s="377"/>
      <c r="B262" s="377"/>
      <c r="C262" s="572"/>
      <c r="D262" s="377"/>
      <c r="E262" s="377"/>
      <c r="F262" s="377"/>
      <c r="G262" s="377"/>
      <c r="H262" s="573"/>
      <c r="I262" s="377"/>
      <c r="J262" s="377"/>
      <c r="K262" s="377"/>
      <c r="L262" s="377"/>
      <c r="M262" s="377"/>
      <c r="N262" s="377"/>
      <c r="O262" s="377"/>
      <c r="P262" s="377"/>
      <c r="Q262" s="377"/>
      <c r="R262" s="377"/>
      <c r="S262" s="377"/>
      <c r="T262" s="377"/>
      <c r="U262" s="377"/>
      <c r="V262" s="377"/>
      <c r="W262" s="377"/>
      <c r="X262" s="574"/>
      <c r="Y262" s="377"/>
      <c r="Z262" s="377"/>
      <c r="AA262" s="377"/>
      <c r="AB262" s="377"/>
      <c r="AC262" s="377"/>
      <c r="AD262" s="377"/>
      <c r="AE262" s="377"/>
      <c r="AF262" s="377"/>
      <c r="AG262" s="377"/>
      <c r="AH262" s="377"/>
      <c r="AI262" s="377"/>
      <c r="AJ262" s="377"/>
      <c r="AK262" s="377"/>
      <c r="AL262" s="574"/>
      <c r="AM262" s="377"/>
      <c r="AN262" s="377"/>
      <c r="AO262" s="377"/>
      <c r="AP262" s="377"/>
      <c r="AQ262" s="377"/>
      <c r="AR262" s="377"/>
      <c r="AS262" s="377"/>
      <c r="AT262" s="377"/>
      <c r="AU262" s="377"/>
      <c r="AV262" s="377"/>
      <c r="AW262" s="575"/>
      <c r="AX262" s="377"/>
      <c r="AY262" s="377"/>
      <c r="AZ262" s="377"/>
      <c r="BA262" s="377"/>
      <c r="BB262" s="377"/>
      <c r="BC262" s="377"/>
      <c r="BD262" s="377"/>
      <c r="BE262" s="377"/>
      <c r="BF262" s="377"/>
      <c r="BG262" s="377"/>
      <c r="BH262" s="377"/>
      <c r="BI262" s="377"/>
      <c r="BJ262" s="377"/>
      <c r="BK262" s="377"/>
      <c r="BL262" s="377"/>
      <c r="BM262" s="377"/>
      <c r="BN262" s="576"/>
      <c r="BO262" s="377"/>
      <c r="BP262" s="377"/>
      <c r="BQ262" s="377"/>
      <c r="BR262" s="377"/>
      <c r="BS262" s="377"/>
      <c r="BT262" s="377"/>
      <c r="BU262" s="377"/>
      <c r="BV262" s="377"/>
      <c r="BW262" s="377"/>
      <c r="BX262" s="377"/>
      <c r="BY262" s="377"/>
      <c r="BZ262" s="377"/>
      <c r="CA262" s="377"/>
      <c r="CB262" s="377"/>
      <c r="CC262" s="377"/>
      <c r="CD262" s="377"/>
      <c r="CE262" s="377"/>
      <c r="CF262" s="377"/>
      <c r="CG262" s="377"/>
      <c r="CH262" s="377"/>
      <c r="CI262" s="377"/>
    </row>
    <row r="263" spans="1:87" ht="15">
      <c r="A263" s="377"/>
      <c r="B263" s="377"/>
      <c r="C263" s="572"/>
      <c r="D263" s="377"/>
      <c r="E263" s="377"/>
      <c r="F263" s="377"/>
      <c r="G263" s="377"/>
      <c r="H263" s="573"/>
      <c r="I263" s="377"/>
      <c r="J263" s="377"/>
      <c r="K263" s="377"/>
      <c r="L263" s="377"/>
      <c r="M263" s="377"/>
      <c r="N263" s="377"/>
      <c r="O263" s="377"/>
      <c r="P263" s="377"/>
      <c r="Q263" s="377"/>
      <c r="R263" s="377"/>
      <c r="S263" s="377"/>
      <c r="T263" s="377"/>
      <c r="U263" s="377"/>
      <c r="V263" s="377"/>
      <c r="W263" s="377"/>
      <c r="X263" s="574"/>
      <c r="Y263" s="377"/>
      <c r="Z263" s="377"/>
      <c r="AA263" s="377"/>
      <c r="AB263" s="377"/>
      <c r="AC263" s="377"/>
      <c r="AD263" s="377"/>
      <c r="AE263" s="377"/>
      <c r="AF263" s="377"/>
      <c r="AG263" s="377"/>
      <c r="AH263" s="377"/>
      <c r="AI263" s="377"/>
      <c r="AJ263" s="377"/>
      <c r="AK263" s="377"/>
      <c r="AL263" s="574"/>
      <c r="AM263" s="377"/>
      <c r="AN263" s="377"/>
      <c r="AO263" s="377"/>
      <c r="AP263" s="377"/>
      <c r="AQ263" s="377"/>
      <c r="AR263" s="377"/>
      <c r="AS263" s="377"/>
      <c r="AT263" s="377"/>
      <c r="AU263" s="377"/>
      <c r="AV263" s="377"/>
      <c r="AW263" s="575"/>
      <c r="AX263" s="377"/>
      <c r="AY263" s="377"/>
      <c r="AZ263" s="377"/>
      <c r="BA263" s="377"/>
      <c r="BB263" s="377"/>
      <c r="BC263" s="377"/>
      <c r="BD263" s="377"/>
      <c r="BE263" s="377"/>
      <c r="BF263" s="377"/>
      <c r="BG263" s="377"/>
      <c r="BH263" s="377"/>
      <c r="BI263" s="377"/>
      <c r="BJ263" s="377"/>
      <c r="BK263" s="377"/>
      <c r="BL263" s="377"/>
      <c r="BM263" s="377"/>
      <c r="BN263" s="576"/>
      <c r="BO263" s="377"/>
      <c r="BP263" s="377"/>
      <c r="BQ263" s="377"/>
      <c r="BR263" s="377"/>
      <c r="BS263" s="377"/>
      <c r="BT263" s="377"/>
      <c r="BU263" s="377"/>
      <c r="BV263" s="377"/>
      <c r="BW263" s="377"/>
      <c r="BX263" s="377"/>
      <c r="BY263" s="377"/>
      <c r="BZ263" s="377"/>
      <c r="CA263" s="377"/>
      <c r="CB263" s="377"/>
      <c r="CC263" s="377"/>
      <c r="CD263" s="377"/>
      <c r="CE263" s="377"/>
      <c r="CF263" s="377"/>
      <c r="CG263" s="377"/>
      <c r="CH263" s="377"/>
      <c r="CI263" s="377"/>
    </row>
    <row r="264" spans="1:87" ht="15">
      <c r="A264" s="377"/>
      <c r="B264" s="377"/>
      <c r="C264" s="572"/>
      <c r="D264" s="377"/>
      <c r="E264" s="377"/>
      <c r="F264" s="377"/>
      <c r="G264" s="377"/>
      <c r="H264" s="573"/>
      <c r="I264" s="377"/>
      <c r="J264" s="377"/>
      <c r="K264" s="377"/>
      <c r="L264" s="377"/>
      <c r="M264" s="377"/>
      <c r="N264" s="377"/>
      <c r="O264" s="377"/>
      <c r="P264" s="377"/>
      <c r="Q264" s="377"/>
      <c r="R264" s="377"/>
      <c r="S264" s="377"/>
      <c r="T264" s="377"/>
      <c r="U264" s="377"/>
      <c r="V264" s="377"/>
      <c r="W264" s="377"/>
      <c r="X264" s="574"/>
      <c r="Y264" s="377"/>
      <c r="Z264" s="377"/>
      <c r="AA264" s="377"/>
      <c r="AB264" s="377"/>
      <c r="AC264" s="377"/>
      <c r="AD264" s="377"/>
      <c r="AE264" s="377"/>
      <c r="AF264" s="377"/>
      <c r="AG264" s="377"/>
      <c r="AH264" s="377"/>
      <c r="AI264" s="377"/>
      <c r="AJ264" s="377"/>
      <c r="AK264" s="377"/>
      <c r="AL264" s="574"/>
      <c r="AM264" s="377"/>
      <c r="AN264" s="377"/>
      <c r="AO264" s="377"/>
      <c r="AP264" s="377"/>
      <c r="AQ264" s="377"/>
      <c r="AR264" s="377"/>
      <c r="AS264" s="377"/>
      <c r="AT264" s="377"/>
      <c r="AU264" s="377"/>
      <c r="AV264" s="377"/>
      <c r="AW264" s="575"/>
      <c r="AX264" s="377"/>
      <c r="AY264" s="377"/>
      <c r="AZ264" s="377"/>
      <c r="BA264" s="377"/>
      <c r="BB264" s="377"/>
      <c r="BC264" s="377"/>
      <c r="BD264" s="377"/>
      <c r="BE264" s="377"/>
      <c r="BF264" s="377"/>
      <c r="BG264" s="377"/>
      <c r="BH264" s="377"/>
      <c r="BI264" s="377"/>
      <c r="BJ264" s="377"/>
      <c r="BK264" s="377"/>
      <c r="BL264" s="377"/>
      <c r="BM264" s="377"/>
      <c r="BN264" s="576"/>
      <c r="BO264" s="377"/>
      <c r="BP264" s="377"/>
      <c r="BQ264" s="377"/>
      <c r="BR264" s="377"/>
      <c r="BS264" s="377"/>
      <c r="BT264" s="377"/>
      <c r="BU264" s="377"/>
      <c r="BV264" s="377"/>
      <c r="BW264" s="377"/>
      <c r="BX264" s="377"/>
      <c r="BY264" s="377"/>
      <c r="BZ264" s="377"/>
      <c r="CA264" s="377"/>
      <c r="CB264" s="377"/>
      <c r="CC264" s="377"/>
      <c r="CD264" s="377"/>
      <c r="CE264" s="377"/>
      <c r="CF264" s="377"/>
      <c r="CG264" s="377"/>
      <c r="CH264" s="377"/>
      <c r="CI264" s="377"/>
    </row>
    <row r="265" spans="1:87" ht="15">
      <c r="A265" s="377"/>
      <c r="B265" s="377"/>
      <c r="C265" s="572"/>
      <c r="D265" s="377"/>
      <c r="E265" s="377"/>
      <c r="F265" s="377"/>
      <c r="G265" s="377"/>
      <c r="H265" s="573"/>
      <c r="I265" s="377"/>
      <c r="J265" s="377"/>
      <c r="K265" s="377"/>
      <c r="L265" s="377"/>
      <c r="M265" s="377"/>
      <c r="N265" s="377"/>
      <c r="O265" s="377"/>
      <c r="P265" s="377"/>
      <c r="Q265" s="377"/>
      <c r="R265" s="377"/>
      <c r="S265" s="377"/>
      <c r="T265" s="377"/>
      <c r="U265" s="377"/>
      <c r="V265" s="377"/>
      <c r="W265" s="377"/>
      <c r="X265" s="574"/>
      <c r="Y265" s="377"/>
      <c r="Z265" s="377"/>
      <c r="AA265" s="377"/>
      <c r="AB265" s="377"/>
      <c r="AC265" s="377"/>
      <c r="AD265" s="377"/>
      <c r="AE265" s="377"/>
      <c r="AF265" s="377"/>
      <c r="AG265" s="377"/>
      <c r="AH265" s="377"/>
      <c r="AI265" s="377"/>
      <c r="AJ265" s="377"/>
      <c r="AK265" s="377"/>
      <c r="AL265" s="574"/>
      <c r="AM265" s="377"/>
      <c r="AN265" s="377"/>
      <c r="AO265" s="377"/>
      <c r="AP265" s="377"/>
      <c r="AQ265" s="377"/>
      <c r="AR265" s="377"/>
      <c r="AS265" s="377"/>
      <c r="AT265" s="377"/>
      <c r="AU265" s="377"/>
      <c r="AV265" s="377"/>
      <c r="AW265" s="575"/>
      <c r="AX265" s="377"/>
      <c r="AY265" s="377"/>
      <c r="AZ265" s="377"/>
      <c r="BA265" s="377"/>
      <c r="BB265" s="377"/>
      <c r="BC265" s="377"/>
      <c r="BD265" s="377"/>
      <c r="BE265" s="377"/>
      <c r="BF265" s="377"/>
      <c r="BG265" s="377"/>
      <c r="BH265" s="377"/>
      <c r="BI265" s="377"/>
      <c r="BJ265" s="377"/>
      <c r="BK265" s="377"/>
      <c r="BL265" s="377"/>
      <c r="BM265" s="377"/>
      <c r="BN265" s="576"/>
      <c r="BO265" s="377"/>
      <c r="BP265" s="377"/>
      <c r="BQ265" s="377"/>
      <c r="BR265" s="377"/>
      <c r="BS265" s="377"/>
      <c r="BT265" s="377"/>
      <c r="BU265" s="377"/>
      <c r="BV265" s="377"/>
      <c r="BW265" s="377"/>
      <c r="BX265" s="377"/>
      <c r="BY265" s="377"/>
      <c r="BZ265" s="377"/>
      <c r="CA265" s="377"/>
      <c r="CB265" s="377"/>
      <c r="CC265" s="377"/>
      <c r="CD265" s="377"/>
      <c r="CE265" s="377"/>
      <c r="CF265" s="377"/>
      <c r="CG265" s="377"/>
      <c r="CH265" s="377"/>
      <c r="CI265" s="377"/>
    </row>
    <row r="266" spans="1:87" ht="15">
      <c r="A266" s="377"/>
      <c r="B266" s="377"/>
      <c r="C266" s="572"/>
      <c r="D266" s="377"/>
      <c r="E266" s="377"/>
      <c r="F266" s="377"/>
      <c r="G266" s="377"/>
      <c r="H266" s="573"/>
      <c r="I266" s="377"/>
      <c r="J266" s="377"/>
      <c r="K266" s="377"/>
      <c r="L266" s="377"/>
      <c r="M266" s="377"/>
      <c r="N266" s="377"/>
      <c r="O266" s="377"/>
      <c r="P266" s="377"/>
      <c r="Q266" s="377"/>
      <c r="R266" s="377"/>
      <c r="S266" s="377"/>
      <c r="T266" s="377"/>
      <c r="U266" s="377"/>
      <c r="V266" s="377"/>
      <c r="W266" s="377"/>
      <c r="X266" s="574"/>
      <c r="Y266" s="377"/>
      <c r="Z266" s="377"/>
      <c r="AA266" s="377"/>
      <c r="AB266" s="377"/>
      <c r="AC266" s="377"/>
      <c r="AD266" s="377"/>
      <c r="AE266" s="377"/>
      <c r="AF266" s="377"/>
      <c r="AG266" s="377"/>
      <c r="AH266" s="377"/>
      <c r="AI266" s="377"/>
      <c r="AJ266" s="377"/>
      <c r="AK266" s="377"/>
      <c r="AL266" s="574"/>
      <c r="AM266" s="377"/>
      <c r="AN266" s="377"/>
      <c r="AO266" s="377"/>
      <c r="AP266" s="377"/>
      <c r="AQ266" s="377"/>
      <c r="AR266" s="377"/>
      <c r="AS266" s="377"/>
      <c r="AT266" s="377"/>
      <c r="AU266" s="377"/>
      <c r="AV266" s="377"/>
      <c r="AW266" s="575"/>
      <c r="AX266" s="377"/>
      <c r="AY266" s="377"/>
      <c r="AZ266" s="377"/>
      <c r="BA266" s="377"/>
      <c r="BB266" s="377"/>
      <c r="BC266" s="377"/>
      <c r="BD266" s="377"/>
      <c r="BE266" s="377"/>
      <c r="BF266" s="377"/>
      <c r="BG266" s="377"/>
      <c r="BH266" s="377"/>
      <c r="BI266" s="377"/>
      <c r="BJ266" s="377"/>
      <c r="BK266" s="377"/>
      <c r="BL266" s="377"/>
      <c r="BM266" s="377"/>
      <c r="BN266" s="576"/>
      <c r="BO266" s="377"/>
      <c r="BP266" s="377"/>
      <c r="BQ266" s="377"/>
      <c r="BR266" s="377"/>
      <c r="BS266" s="377"/>
      <c r="BT266" s="377"/>
      <c r="BU266" s="377"/>
      <c r="BV266" s="377"/>
      <c r="BW266" s="377"/>
      <c r="BX266" s="377"/>
      <c r="BY266" s="377"/>
      <c r="BZ266" s="377"/>
      <c r="CA266" s="377"/>
      <c r="CB266" s="377"/>
      <c r="CC266" s="377"/>
      <c r="CD266" s="377"/>
      <c r="CE266" s="377"/>
      <c r="CF266" s="377"/>
      <c r="CG266" s="377"/>
      <c r="CH266" s="377"/>
      <c r="CI266" s="377"/>
    </row>
    <row r="267" spans="1:87" ht="15">
      <c r="A267" s="377"/>
      <c r="B267" s="377"/>
      <c r="C267" s="572"/>
      <c r="D267" s="377"/>
      <c r="E267" s="377"/>
      <c r="F267" s="377"/>
      <c r="G267" s="377"/>
      <c r="H267" s="573"/>
      <c r="I267" s="377"/>
      <c r="J267" s="377"/>
      <c r="K267" s="377"/>
      <c r="L267" s="377"/>
      <c r="M267" s="377"/>
      <c r="N267" s="377"/>
      <c r="O267" s="377"/>
      <c r="P267" s="377"/>
      <c r="Q267" s="377"/>
      <c r="R267" s="377"/>
      <c r="S267" s="377"/>
      <c r="T267" s="377"/>
      <c r="U267" s="377"/>
      <c r="V267" s="377"/>
      <c r="W267" s="377"/>
      <c r="X267" s="574"/>
      <c r="Y267" s="377"/>
      <c r="Z267" s="377"/>
      <c r="AA267" s="377"/>
      <c r="AB267" s="377"/>
      <c r="AC267" s="377"/>
      <c r="AD267" s="377"/>
      <c r="AE267" s="377"/>
      <c r="AF267" s="377"/>
      <c r="AG267" s="377"/>
      <c r="AH267" s="377"/>
      <c r="AI267" s="377"/>
      <c r="AJ267" s="377"/>
      <c r="AK267" s="377"/>
      <c r="AL267" s="574"/>
      <c r="AM267" s="377"/>
      <c r="AN267" s="377"/>
      <c r="AO267" s="377"/>
      <c r="AP267" s="377"/>
      <c r="AQ267" s="377"/>
      <c r="AR267" s="377"/>
      <c r="AS267" s="377"/>
      <c r="AT267" s="377"/>
      <c r="AU267" s="377"/>
      <c r="AV267" s="377"/>
      <c r="AW267" s="575"/>
      <c r="AX267" s="377"/>
      <c r="AY267" s="377"/>
      <c r="AZ267" s="377"/>
      <c r="BA267" s="377"/>
      <c r="BB267" s="377"/>
      <c r="BC267" s="377"/>
      <c r="BD267" s="377"/>
      <c r="BE267" s="377"/>
      <c r="BF267" s="377"/>
      <c r="BG267" s="377"/>
      <c r="BH267" s="377"/>
      <c r="BI267" s="377"/>
      <c r="BJ267" s="377"/>
      <c r="BK267" s="377"/>
      <c r="BL267" s="377"/>
      <c r="BM267" s="377"/>
      <c r="BN267" s="576"/>
      <c r="BO267" s="377"/>
      <c r="BP267" s="377"/>
      <c r="BQ267" s="377"/>
      <c r="BR267" s="377"/>
      <c r="BS267" s="377"/>
      <c r="BT267" s="377"/>
      <c r="BU267" s="377"/>
      <c r="BV267" s="377"/>
      <c r="BW267" s="377"/>
      <c r="BX267" s="377"/>
      <c r="BY267" s="377"/>
      <c r="BZ267" s="377"/>
      <c r="CA267" s="377"/>
      <c r="CB267" s="377"/>
      <c r="CC267" s="377"/>
      <c r="CD267" s="377"/>
      <c r="CE267" s="377"/>
      <c r="CF267" s="377"/>
      <c r="CG267" s="377"/>
      <c r="CH267" s="377"/>
      <c r="CI267" s="377"/>
    </row>
    <row r="268" spans="1:87" ht="15">
      <c r="A268" s="377"/>
      <c r="B268" s="377"/>
      <c r="C268" s="572"/>
      <c r="D268" s="377"/>
      <c r="E268" s="377"/>
      <c r="F268" s="377"/>
      <c r="G268" s="377"/>
      <c r="H268" s="573"/>
      <c r="I268" s="377"/>
      <c r="J268" s="377"/>
      <c r="K268" s="377"/>
      <c r="L268" s="377"/>
      <c r="M268" s="377"/>
      <c r="N268" s="377"/>
      <c r="O268" s="377"/>
      <c r="P268" s="377"/>
      <c r="Q268" s="377"/>
      <c r="R268" s="377"/>
      <c r="S268" s="377"/>
      <c r="T268" s="377"/>
      <c r="U268" s="377"/>
      <c r="V268" s="377"/>
      <c r="W268" s="377"/>
      <c r="X268" s="574"/>
      <c r="Y268" s="377"/>
      <c r="Z268" s="377"/>
      <c r="AA268" s="377"/>
      <c r="AB268" s="377"/>
      <c r="AC268" s="377"/>
      <c r="AD268" s="377"/>
      <c r="AE268" s="377"/>
      <c r="AF268" s="377"/>
      <c r="AG268" s="377"/>
      <c r="AH268" s="377"/>
      <c r="AI268" s="377"/>
      <c r="AJ268" s="377"/>
      <c r="AK268" s="377"/>
      <c r="AL268" s="574"/>
      <c r="AM268" s="377"/>
      <c r="AN268" s="377"/>
      <c r="AO268" s="377"/>
      <c r="AP268" s="377"/>
      <c r="AQ268" s="377"/>
      <c r="AR268" s="377"/>
      <c r="AS268" s="377"/>
      <c r="AT268" s="377"/>
      <c r="AU268" s="377"/>
      <c r="AV268" s="377"/>
      <c r="AW268" s="575"/>
      <c r="AX268" s="377"/>
      <c r="AY268" s="377"/>
      <c r="AZ268" s="377"/>
      <c r="BA268" s="377"/>
      <c r="BB268" s="377"/>
      <c r="BC268" s="377"/>
      <c r="BD268" s="377"/>
      <c r="BE268" s="377"/>
      <c r="BF268" s="377"/>
      <c r="BG268" s="377"/>
      <c r="BH268" s="377"/>
      <c r="BI268" s="377"/>
      <c r="BJ268" s="377"/>
      <c r="BK268" s="377"/>
      <c r="BL268" s="377"/>
      <c r="BM268" s="377"/>
      <c r="BN268" s="576"/>
      <c r="BO268" s="377"/>
      <c r="BP268" s="377"/>
      <c r="BQ268" s="377"/>
      <c r="BR268" s="377"/>
      <c r="BS268" s="377"/>
      <c r="BT268" s="377"/>
      <c r="BU268" s="377"/>
      <c r="BV268" s="377"/>
      <c r="BW268" s="377"/>
      <c r="BX268" s="377"/>
      <c r="BY268" s="377"/>
      <c r="BZ268" s="377"/>
      <c r="CA268" s="377"/>
      <c r="CB268" s="377"/>
      <c r="CC268" s="377"/>
      <c r="CD268" s="377"/>
      <c r="CE268" s="377"/>
      <c r="CF268" s="377"/>
      <c r="CG268" s="377"/>
      <c r="CH268" s="377"/>
      <c r="CI268" s="377"/>
    </row>
    <row r="269" spans="1:87" ht="15">
      <c r="A269" s="377"/>
      <c r="B269" s="377"/>
      <c r="C269" s="572"/>
      <c r="D269" s="377"/>
      <c r="E269" s="377"/>
      <c r="F269" s="377"/>
      <c r="G269" s="377"/>
      <c r="H269" s="573"/>
      <c r="I269" s="377"/>
      <c r="J269" s="377"/>
      <c r="K269" s="377"/>
      <c r="L269" s="377"/>
      <c r="M269" s="377"/>
      <c r="N269" s="377"/>
      <c r="O269" s="377"/>
      <c r="P269" s="377"/>
      <c r="Q269" s="377"/>
      <c r="R269" s="377"/>
      <c r="S269" s="377"/>
      <c r="T269" s="377"/>
      <c r="U269" s="377"/>
      <c r="V269" s="377"/>
      <c r="W269" s="377"/>
      <c r="X269" s="574"/>
      <c r="Y269" s="377"/>
      <c r="Z269" s="377"/>
      <c r="AA269" s="377"/>
      <c r="AB269" s="377"/>
      <c r="AC269" s="377"/>
      <c r="AD269" s="377"/>
      <c r="AE269" s="377"/>
      <c r="AF269" s="377"/>
      <c r="AG269" s="377"/>
      <c r="AH269" s="377"/>
      <c r="AI269" s="377"/>
      <c r="AJ269" s="377"/>
      <c r="AK269" s="377"/>
      <c r="AL269" s="574"/>
      <c r="AM269" s="377"/>
      <c r="AN269" s="377"/>
      <c r="AO269" s="377"/>
      <c r="AP269" s="377"/>
      <c r="AQ269" s="377"/>
      <c r="AR269" s="377"/>
      <c r="AS269" s="377"/>
      <c r="AT269" s="377"/>
      <c r="AU269" s="377"/>
      <c r="AV269" s="377"/>
      <c r="AW269" s="575"/>
      <c r="AX269" s="377"/>
      <c r="AY269" s="377"/>
      <c r="AZ269" s="377"/>
      <c r="BA269" s="377"/>
      <c r="BB269" s="377"/>
      <c r="BC269" s="377"/>
      <c r="BD269" s="377"/>
      <c r="BE269" s="377"/>
      <c r="BF269" s="377"/>
      <c r="BG269" s="377"/>
      <c r="BH269" s="377"/>
      <c r="BI269" s="377"/>
      <c r="BJ269" s="377"/>
      <c r="BK269" s="377"/>
      <c r="BL269" s="377"/>
      <c r="BM269" s="377"/>
      <c r="BN269" s="576"/>
      <c r="BO269" s="377"/>
      <c r="BP269" s="377"/>
      <c r="BQ269" s="377"/>
      <c r="BR269" s="377"/>
      <c r="BS269" s="377"/>
      <c r="BT269" s="377"/>
      <c r="BU269" s="377"/>
      <c r="BV269" s="377"/>
      <c r="BW269" s="377"/>
      <c r="BX269" s="377"/>
      <c r="BY269" s="377"/>
      <c r="BZ269" s="377"/>
      <c r="CA269" s="377"/>
      <c r="CB269" s="377"/>
      <c r="CC269" s="377"/>
      <c r="CD269" s="377"/>
      <c r="CE269" s="377"/>
      <c r="CF269" s="377"/>
      <c r="CG269" s="377"/>
      <c r="CH269" s="377"/>
      <c r="CI269" s="377"/>
    </row>
    <row r="270" spans="1:87" ht="15">
      <c r="A270" s="377"/>
      <c r="B270" s="377"/>
      <c r="C270" s="572"/>
      <c r="D270" s="377"/>
      <c r="E270" s="377"/>
      <c r="F270" s="377"/>
      <c r="G270" s="377"/>
      <c r="H270" s="573"/>
      <c r="I270" s="377"/>
      <c r="J270" s="377"/>
      <c r="K270" s="377"/>
      <c r="L270" s="377"/>
      <c r="M270" s="377"/>
      <c r="N270" s="377"/>
      <c r="O270" s="377"/>
      <c r="P270" s="377"/>
      <c r="Q270" s="377"/>
      <c r="R270" s="377"/>
      <c r="S270" s="377"/>
      <c r="T270" s="377"/>
      <c r="U270" s="377"/>
      <c r="V270" s="377"/>
      <c r="W270" s="377"/>
      <c r="X270" s="574"/>
      <c r="Y270" s="377"/>
      <c r="Z270" s="377"/>
      <c r="AA270" s="377"/>
      <c r="AB270" s="377"/>
      <c r="AC270" s="377"/>
      <c r="AD270" s="377"/>
      <c r="AE270" s="377"/>
      <c r="AF270" s="377"/>
      <c r="AG270" s="377"/>
      <c r="AH270" s="377"/>
      <c r="AI270" s="377"/>
      <c r="AJ270" s="377"/>
      <c r="AK270" s="377"/>
      <c r="AL270" s="574"/>
      <c r="AM270" s="377"/>
      <c r="AN270" s="377"/>
      <c r="AO270" s="377"/>
      <c r="AP270" s="377"/>
      <c r="AQ270" s="377"/>
      <c r="AR270" s="377"/>
      <c r="AS270" s="377"/>
      <c r="AT270" s="377"/>
      <c r="AU270" s="377"/>
      <c r="AV270" s="377"/>
      <c r="AW270" s="575"/>
      <c r="AX270" s="377"/>
      <c r="AY270" s="377"/>
      <c r="AZ270" s="377"/>
      <c r="BA270" s="377"/>
      <c r="BB270" s="377"/>
      <c r="BC270" s="377"/>
      <c r="BD270" s="377"/>
      <c r="BE270" s="377"/>
      <c r="BF270" s="377"/>
      <c r="BG270" s="377"/>
      <c r="BH270" s="377"/>
      <c r="BI270" s="377"/>
      <c r="BJ270" s="377"/>
      <c r="BK270" s="377"/>
      <c r="BL270" s="377"/>
      <c r="BM270" s="377"/>
      <c r="BN270" s="576"/>
      <c r="BO270" s="377"/>
      <c r="BP270" s="377"/>
      <c r="BQ270" s="377"/>
      <c r="BR270" s="377"/>
      <c r="BS270" s="377"/>
      <c r="BT270" s="377"/>
      <c r="BU270" s="377"/>
      <c r="BV270" s="377"/>
      <c r="BW270" s="377"/>
      <c r="BX270" s="377"/>
      <c r="BY270" s="377"/>
      <c r="BZ270" s="377"/>
      <c r="CA270" s="377"/>
      <c r="CB270" s="377"/>
      <c r="CC270" s="377"/>
      <c r="CD270" s="377"/>
      <c r="CE270" s="377"/>
      <c r="CF270" s="377"/>
      <c r="CG270" s="377"/>
      <c r="CH270" s="377"/>
      <c r="CI270" s="377"/>
    </row>
    <row r="271" spans="1:87" ht="15">
      <c r="A271" s="377"/>
      <c r="B271" s="377"/>
      <c r="C271" s="572"/>
      <c r="D271" s="377"/>
      <c r="E271" s="377"/>
      <c r="F271" s="377"/>
      <c r="G271" s="377"/>
      <c r="H271" s="573"/>
      <c r="I271" s="377"/>
      <c r="J271" s="377"/>
      <c r="K271" s="377"/>
      <c r="L271" s="377"/>
      <c r="M271" s="377"/>
      <c r="N271" s="377"/>
      <c r="O271" s="377"/>
      <c r="P271" s="377"/>
      <c r="Q271" s="377"/>
      <c r="R271" s="377"/>
      <c r="S271" s="377"/>
      <c r="T271" s="377"/>
      <c r="U271" s="377"/>
      <c r="V271" s="377"/>
      <c r="W271" s="377"/>
      <c r="X271" s="574"/>
      <c r="Y271" s="377"/>
      <c r="Z271" s="377"/>
      <c r="AA271" s="377"/>
      <c r="AB271" s="377"/>
      <c r="AC271" s="377"/>
      <c r="AD271" s="377"/>
      <c r="AE271" s="377"/>
      <c r="AF271" s="377"/>
      <c r="AG271" s="377"/>
      <c r="AH271" s="377"/>
      <c r="AI271" s="377"/>
      <c r="AJ271" s="377"/>
      <c r="AK271" s="377"/>
      <c r="AL271" s="574"/>
      <c r="AM271" s="377"/>
      <c r="AN271" s="377"/>
      <c r="AO271" s="377"/>
      <c r="AP271" s="377"/>
      <c r="AQ271" s="377"/>
      <c r="AR271" s="377"/>
      <c r="AS271" s="377"/>
      <c r="AT271" s="377"/>
      <c r="AU271" s="377"/>
      <c r="AV271" s="377"/>
      <c r="AW271" s="575"/>
      <c r="AX271" s="377"/>
      <c r="AY271" s="377"/>
      <c r="AZ271" s="377"/>
      <c r="BA271" s="377"/>
      <c r="BB271" s="377"/>
      <c r="BC271" s="377"/>
      <c r="BD271" s="377"/>
      <c r="BE271" s="377"/>
      <c r="BF271" s="377"/>
      <c r="BG271" s="377"/>
      <c r="BH271" s="377"/>
      <c r="BI271" s="377"/>
      <c r="BJ271" s="377"/>
      <c r="BK271" s="377"/>
      <c r="BL271" s="377"/>
      <c r="BM271" s="377"/>
      <c r="BN271" s="576"/>
      <c r="BO271" s="377"/>
      <c r="BP271" s="377"/>
      <c r="BQ271" s="377"/>
      <c r="BR271" s="377"/>
      <c r="BS271" s="377"/>
      <c r="BT271" s="377"/>
      <c r="BU271" s="377"/>
      <c r="BV271" s="377"/>
      <c r="BW271" s="377"/>
      <c r="BX271" s="377"/>
      <c r="BY271" s="377"/>
      <c r="BZ271" s="377"/>
      <c r="CA271" s="377"/>
      <c r="CB271" s="377"/>
      <c r="CC271" s="377"/>
      <c r="CD271" s="377"/>
      <c r="CE271" s="377"/>
      <c r="CF271" s="377"/>
      <c r="CG271" s="377"/>
      <c r="CH271" s="377"/>
      <c r="CI271" s="377"/>
    </row>
    <row r="272" spans="1:87" ht="15">
      <c r="A272" s="377"/>
      <c r="B272" s="377"/>
      <c r="C272" s="572"/>
      <c r="D272" s="377"/>
      <c r="E272" s="377"/>
      <c r="F272" s="377"/>
      <c r="G272" s="377"/>
      <c r="H272" s="573"/>
      <c r="I272" s="377"/>
      <c r="J272" s="377"/>
      <c r="K272" s="377"/>
      <c r="L272" s="377"/>
      <c r="M272" s="377"/>
      <c r="N272" s="377"/>
      <c r="O272" s="377"/>
      <c r="P272" s="377"/>
      <c r="Q272" s="377"/>
      <c r="R272" s="377"/>
      <c r="S272" s="377"/>
      <c r="T272" s="377"/>
      <c r="U272" s="377"/>
      <c r="V272" s="377"/>
      <c r="W272" s="377"/>
      <c r="X272" s="574"/>
      <c r="Y272" s="377"/>
      <c r="Z272" s="377"/>
      <c r="AA272" s="377"/>
      <c r="AB272" s="377"/>
      <c r="AC272" s="377"/>
      <c r="AD272" s="377"/>
      <c r="AE272" s="377"/>
      <c r="AF272" s="377"/>
      <c r="AG272" s="377"/>
      <c r="AH272" s="377"/>
      <c r="AI272" s="377"/>
      <c r="AJ272" s="377"/>
      <c r="AK272" s="377"/>
      <c r="AL272" s="574"/>
      <c r="AM272" s="377"/>
      <c r="AN272" s="377"/>
      <c r="AO272" s="377"/>
      <c r="AP272" s="377"/>
      <c r="AQ272" s="377"/>
      <c r="AR272" s="377"/>
      <c r="AS272" s="377"/>
      <c r="AT272" s="377"/>
      <c r="AU272" s="377"/>
      <c r="AV272" s="377"/>
      <c r="AW272" s="575"/>
      <c r="AX272" s="377"/>
      <c r="AY272" s="377"/>
      <c r="AZ272" s="377"/>
      <c r="BA272" s="377"/>
      <c r="BB272" s="377"/>
      <c r="BC272" s="377"/>
      <c r="BD272" s="377"/>
      <c r="BE272" s="377"/>
      <c r="BF272" s="377"/>
      <c r="BG272" s="377"/>
      <c r="BH272" s="377"/>
      <c r="BI272" s="377"/>
      <c r="BJ272" s="377"/>
      <c r="BK272" s="377"/>
      <c r="BL272" s="377"/>
      <c r="BM272" s="377"/>
      <c r="BN272" s="576"/>
      <c r="BO272" s="377"/>
      <c r="BP272" s="377"/>
      <c r="BQ272" s="377"/>
      <c r="BR272" s="377"/>
      <c r="BS272" s="377"/>
      <c r="BT272" s="377"/>
      <c r="BU272" s="377"/>
      <c r="BV272" s="377"/>
      <c r="BW272" s="377"/>
      <c r="BX272" s="377"/>
      <c r="BY272" s="377"/>
      <c r="BZ272" s="377"/>
      <c r="CA272" s="377"/>
      <c r="CB272" s="377"/>
      <c r="CC272" s="377"/>
      <c r="CD272" s="377"/>
      <c r="CE272" s="377"/>
      <c r="CF272" s="377"/>
      <c r="CG272" s="377"/>
      <c r="CH272" s="377"/>
      <c r="CI272" s="377"/>
    </row>
    <row r="273" spans="1:87" ht="15">
      <c r="A273" s="377"/>
      <c r="B273" s="377"/>
      <c r="C273" s="572"/>
      <c r="D273" s="377"/>
      <c r="E273" s="377"/>
      <c r="F273" s="377"/>
      <c r="G273" s="377"/>
      <c r="H273" s="573"/>
      <c r="I273" s="377"/>
      <c r="J273" s="377"/>
      <c r="K273" s="377"/>
      <c r="L273" s="377"/>
      <c r="M273" s="377"/>
      <c r="N273" s="377"/>
      <c r="O273" s="377"/>
      <c r="P273" s="377"/>
      <c r="Q273" s="377"/>
      <c r="R273" s="377"/>
      <c r="S273" s="377"/>
      <c r="T273" s="377"/>
      <c r="U273" s="377"/>
      <c r="V273" s="377"/>
      <c r="W273" s="377"/>
      <c r="X273" s="574"/>
      <c r="Y273" s="377"/>
      <c r="Z273" s="377"/>
      <c r="AA273" s="377"/>
      <c r="AB273" s="377"/>
      <c r="AC273" s="377"/>
      <c r="AD273" s="377"/>
      <c r="AE273" s="377"/>
      <c r="AF273" s="377"/>
      <c r="AG273" s="377"/>
      <c r="AH273" s="377"/>
      <c r="AI273" s="377"/>
      <c r="AJ273" s="377"/>
      <c r="AK273" s="377"/>
      <c r="AL273" s="574"/>
      <c r="AM273" s="377"/>
      <c r="AN273" s="377"/>
      <c r="AO273" s="377"/>
      <c r="AP273" s="377"/>
      <c r="AQ273" s="377"/>
      <c r="AR273" s="377"/>
      <c r="AS273" s="377"/>
      <c r="AT273" s="377"/>
      <c r="AU273" s="377"/>
      <c r="AV273" s="377"/>
      <c r="AW273" s="575"/>
      <c r="AX273" s="377"/>
      <c r="AY273" s="377"/>
      <c r="AZ273" s="377"/>
      <c r="BA273" s="377"/>
      <c r="BB273" s="377"/>
      <c r="BC273" s="377"/>
      <c r="BD273" s="377"/>
      <c r="BE273" s="377"/>
      <c r="BF273" s="377"/>
      <c r="BG273" s="377"/>
      <c r="BH273" s="377"/>
      <c r="BI273" s="377"/>
      <c r="BJ273" s="377"/>
      <c r="BK273" s="377"/>
      <c r="BL273" s="377"/>
      <c r="BM273" s="377"/>
      <c r="BN273" s="576"/>
      <c r="BO273" s="377"/>
      <c r="BP273" s="377"/>
      <c r="BQ273" s="377"/>
      <c r="BR273" s="377"/>
      <c r="BS273" s="377"/>
      <c r="BT273" s="377"/>
      <c r="BU273" s="377"/>
      <c r="BV273" s="377"/>
      <c r="BW273" s="377"/>
      <c r="BX273" s="377"/>
      <c r="BY273" s="377"/>
      <c r="BZ273" s="377"/>
      <c r="CA273" s="377"/>
      <c r="CB273" s="377"/>
      <c r="CC273" s="377"/>
      <c r="CD273" s="377"/>
      <c r="CE273" s="377"/>
      <c r="CF273" s="377"/>
      <c r="CG273" s="377"/>
      <c r="CH273" s="377"/>
      <c r="CI273" s="377"/>
    </row>
    <row r="274" spans="1:87" ht="15">
      <c r="A274" s="377"/>
      <c r="B274" s="377"/>
      <c r="C274" s="572"/>
      <c r="D274" s="377"/>
      <c r="E274" s="377"/>
      <c r="F274" s="377"/>
      <c r="G274" s="377"/>
      <c r="H274" s="573"/>
      <c r="I274" s="377"/>
      <c r="J274" s="377"/>
      <c r="K274" s="377"/>
      <c r="L274" s="377"/>
      <c r="M274" s="377"/>
      <c r="N274" s="377"/>
      <c r="O274" s="377"/>
      <c r="P274" s="377"/>
      <c r="Q274" s="377"/>
      <c r="R274" s="377"/>
      <c r="S274" s="377"/>
      <c r="T274" s="377"/>
      <c r="U274" s="377"/>
      <c r="V274" s="377"/>
      <c r="W274" s="377"/>
      <c r="X274" s="574"/>
      <c r="Y274" s="377"/>
      <c r="Z274" s="377"/>
      <c r="AA274" s="377"/>
      <c r="AB274" s="377"/>
      <c r="AC274" s="377"/>
      <c r="AD274" s="377"/>
      <c r="AE274" s="377"/>
      <c r="AF274" s="377"/>
      <c r="AG274" s="377"/>
      <c r="AH274" s="377"/>
      <c r="AI274" s="377"/>
      <c r="AJ274" s="377"/>
      <c r="AK274" s="377"/>
      <c r="AL274" s="574"/>
      <c r="AM274" s="377"/>
      <c r="AN274" s="377"/>
      <c r="AO274" s="377"/>
      <c r="AP274" s="377"/>
      <c r="AQ274" s="377"/>
      <c r="AR274" s="377"/>
      <c r="AS274" s="377"/>
      <c r="AT274" s="377"/>
      <c r="AU274" s="377"/>
      <c r="AV274" s="377"/>
      <c r="AW274" s="575"/>
      <c r="AX274" s="377"/>
      <c r="AY274" s="377"/>
      <c r="AZ274" s="377"/>
      <c r="BA274" s="377"/>
      <c r="BB274" s="377"/>
      <c r="BC274" s="377"/>
      <c r="BD274" s="377"/>
      <c r="BE274" s="377"/>
      <c r="BF274" s="377"/>
      <c r="BG274" s="377"/>
      <c r="BH274" s="377"/>
      <c r="BI274" s="377"/>
      <c r="BJ274" s="377"/>
      <c r="BK274" s="377"/>
      <c r="BL274" s="377"/>
      <c r="BM274" s="377"/>
      <c r="BN274" s="576"/>
      <c r="BO274" s="377"/>
      <c r="BP274" s="377"/>
      <c r="BQ274" s="377"/>
      <c r="BR274" s="377"/>
      <c r="BS274" s="377"/>
      <c r="BT274" s="377"/>
      <c r="BU274" s="377"/>
      <c r="BV274" s="377"/>
      <c r="BW274" s="377"/>
      <c r="BX274" s="377"/>
      <c r="BY274" s="377"/>
      <c r="BZ274" s="377"/>
      <c r="CA274" s="377"/>
      <c r="CB274" s="377"/>
      <c r="CC274" s="377"/>
      <c r="CD274" s="377"/>
      <c r="CE274" s="377"/>
      <c r="CF274" s="377"/>
      <c r="CG274" s="377"/>
      <c r="CH274" s="377"/>
      <c r="CI274" s="377"/>
    </row>
    <row r="275" spans="1:87" ht="15">
      <c r="A275" s="377"/>
      <c r="B275" s="377"/>
      <c r="C275" s="572"/>
      <c r="D275" s="377"/>
      <c r="E275" s="377"/>
      <c r="F275" s="377"/>
      <c r="G275" s="377"/>
      <c r="H275" s="573"/>
      <c r="I275" s="377"/>
      <c r="J275" s="377"/>
      <c r="K275" s="377"/>
      <c r="L275" s="377"/>
      <c r="M275" s="377"/>
      <c r="N275" s="377"/>
      <c r="O275" s="377"/>
      <c r="P275" s="377"/>
      <c r="Q275" s="377"/>
      <c r="R275" s="377"/>
      <c r="S275" s="377"/>
      <c r="T275" s="377"/>
      <c r="U275" s="377"/>
      <c r="V275" s="377"/>
      <c r="W275" s="377"/>
      <c r="X275" s="574"/>
      <c r="Y275" s="377"/>
      <c r="Z275" s="377"/>
      <c r="AA275" s="377"/>
      <c r="AB275" s="377"/>
      <c r="AC275" s="377"/>
      <c r="AD275" s="377"/>
      <c r="AE275" s="377"/>
      <c r="AF275" s="377"/>
      <c r="AG275" s="377"/>
      <c r="AH275" s="377"/>
      <c r="AI275" s="377"/>
      <c r="AJ275" s="377"/>
      <c r="AK275" s="377"/>
      <c r="AL275" s="574"/>
      <c r="AM275" s="377"/>
      <c r="AN275" s="377"/>
      <c r="AO275" s="377"/>
      <c r="AP275" s="377"/>
      <c r="AQ275" s="377"/>
      <c r="AR275" s="377"/>
      <c r="AS275" s="377"/>
      <c r="AT275" s="377"/>
      <c r="AU275" s="377"/>
      <c r="AV275" s="377"/>
      <c r="AW275" s="575"/>
      <c r="AX275" s="377"/>
      <c r="AY275" s="377"/>
      <c r="AZ275" s="377"/>
      <c r="BA275" s="377"/>
      <c r="BB275" s="377"/>
      <c r="BC275" s="377"/>
      <c r="BD275" s="377"/>
      <c r="BE275" s="377"/>
      <c r="BF275" s="377"/>
      <c r="BG275" s="377"/>
      <c r="BH275" s="377"/>
      <c r="BI275" s="377"/>
      <c r="BJ275" s="377"/>
      <c r="BK275" s="377"/>
      <c r="BL275" s="377"/>
      <c r="BM275" s="377"/>
      <c r="BN275" s="576"/>
      <c r="BO275" s="377"/>
      <c r="BP275" s="377"/>
      <c r="BQ275" s="377"/>
      <c r="BR275" s="377"/>
      <c r="BS275" s="377"/>
      <c r="BT275" s="377"/>
      <c r="BU275" s="377"/>
      <c r="BV275" s="377"/>
      <c r="BW275" s="377"/>
      <c r="BX275" s="377"/>
      <c r="BY275" s="377"/>
      <c r="BZ275" s="377"/>
      <c r="CA275" s="377"/>
      <c r="CB275" s="377"/>
      <c r="CC275" s="377"/>
      <c r="CD275" s="377"/>
      <c r="CE275" s="377"/>
      <c r="CF275" s="377"/>
      <c r="CG275" s="377"/>
      <c r="CH275" s="377"/>
      <c r="CI275" s="377"/>
    </row>
    <row r="276" spans="1:87" ht="15">
      <c r="A276" s="377"/>
      <c r="B276" s="377"/>
      <c r="C276" s="572"/>
      <c r="D276" s="377"/>
      <c r="E276" s="377"/>
      <c r="F276" s="377"/>
      <c r="G276" s="377"/>
      <c r="H276" s="573"/>
      <c r="I276" s="377"/>
      <c r="J276" s="377"/>
      <c r="K276" s="377"/>
      <c r="L276" s="377"/>
      <c r="M276" s="377"/>
      <c r="N276" s="377"/>
      <c r="O276" s="377"/>
      <c r="P276" s="377"/>
      <c r="Q276" s="377"/>
      <c r="R276" s="377"/>
      <c r="S276" s="377"/>
      <c r="T276" s="377"/>
      <c r="U276" s="377"/>
      <c r="V276" s="377"/>
      <c r="W276" s="377"/>
      <c r="X276" s="574"/>
      <c r="Y276" s="377"/>
      <c r="Z276" s="377"/>
      <c r="AA276" s="377"/>
      <c r="AB276" s="377"/>
      <c r="AC276" s="377"/>
      <c r="AD276" s="377"/>
      <c r="AE276" s="377"/>
      <c r="AF276" s="377"/>
      <c r="AG276" s="377"/>
      <c r="AH276" s="377"/>
      <c r="AI276" s="377"/>
      <c r="AJ276" s="377"/>
      <c r="AK276" s="377"/>
      <c r="AL276" s="574"/>
      <c r="AM276" s="377"/>
      <c r="AN276" s="377"/>
      <c r="AO276" s="377"/>
      <c r="AP276" s="377"/>
      <c r="AQ276" s="377"/>
      <c r="AR276" s="377"/>
      <c r="AS276" s="377"/>
      <c r="AT276" s="377"/>
      <c r="AU276" s="377"/>
      <c r="AV276" s="377"/>
      <c r="AW276" s="575"/>
      <c r="AX276" s="377"/>
      <c r="AY276" s="377"/>
      <c r="AZ276" s="377"/>
      <c r="BA276" s="377"/>
      <c r="BB276" s="377"/>
      <c r="BC276" s="377"/>
      <c r="BD276" s="377"/>
      <c r="BE276" s="377"/>
      <c r="BF276" s="377"/>
      <c r="BG276" s="377"/>
      <c r="BH276" s="377"/>
      <c r="BI276" s="377"/>
      <c r="BJ276" s="377"/>
      <c r="BK276" s="377"/>
      <c r="BL276" s="377"/>
      <c r="BM276" s="377"/>
      <c r="BN276" s="576"/>
      <c r="BO276" s="377"/>
      <c r="BP276" s="377"/>
      <c r="BQ276" s="377"/>
      <c r="BR276" s="377"/>
      <c r="BS276" s="377"/>
      <c r="BT276" s="377"/>
      <c r="BU276" s="377"/>
      <c r="BV276" s="377"/>
      <c r="BW276" s="377"/>
      <c r="BX276" s="377"/>
      <c r="BY276" s="377"/>
      <c r="BZ276" s="377"/>
      <c r="CA276" s="377"/>
      <c r="CB276" s="377"/>
      <c r="CC276" s="377"/>
      <c r="CD276" s="377"/>
      <c r="CE276" s="377"/>
      <c r="CF276" s="377"/>
      <c r="CG276" s="377"/>
      <c r="CH276" s="377"/>
      <c r="CI276" s="377"/>
    </row>
    <row r="277" spans="1:87" ht="15">
      <c r="A277" s="377"/>
      <c r="B277" s="377"/>
      <c r="C277" s="572"/>
      <c r="D277" s="377"/>
      <c r="E277" s="377"/>
      <c r="F277" s="377"/>
      <c r="G277" s="377"/>
      <c r="H277" s="573"/>
      <c r="I277" s="377"/>
      <c r="J277" s="377"/>
      <c r="K277" s="377"/>
      <c r="L277" s="377"/>
      <c r="M277" s="377"/>
      <c r="N277" s="377"/>
      <c r="O277" s="377"/>
      <c r="P277" s="377"/>
      <c r="Q277" s="377"/>
      <c r="R277" s="377"/>
      <c r="S277" s="377"/>
      <c r="T277" s="377"/>
      <c r="U277" s="377"/>
      <c r="V277" s="377"/>
      <c r="W277" s="377"/>
      <c r="X277" s="574"/>
      <c r="Y277" s="377"/>
      <c r="Z277" s="377"/>
      <c r="AA277" s="377"/>
      <c r="AB277" s="377"/>
      <c r="AC277" s="377"/>
      <c r="AD277" s="377"/>
      <c r="AE277" s="377"/>
      <c r="AF277" s="377"/>
      <c r="AG277" s="377"/>
      <c r="AH277" s="377"/>
      <c r="AI277" s="377"/>
      <c r="AJ277" s="377"/>
      <c r="AK277" s="377"/>
      <c r="AL277" s="574"/>
      <c r="AM277" s="377"/>
      <c r="AN277" s="377"/>
      <c r="AO277" s="377"/>
      <c r="AP277" s="377"/>
      <c r="AQ277" s="377"/>
      <c r="AR277" s="377"/>
      <c r="AS277" s="377"/>
      <c r="AT277" s="377"/>
      <c r="AU277" s="377"/>
      <c r="AV277" s="377"/>
      <c r="AW277" s="575"/>
      <c r="AX277" s="377"/>
      <c r="AY277" s="377"/>
      <c r="AZ277" s="377"/>
      <c r="BA277" s="377"/>
      <c r="BB277" s="377"/>
      <c r="BC277" s="377"/>
      <c r="BD277" s="377"/>
      <c r="BE277" s="377"/>
      <c r="BF277" s="377"/>
      <c r="BG277" s="377"/>
      <c r="BH277" s="377"/>
      <c r="BI277" s="377"/>
      <c r="BJ277" s="377"/>
      <c r="BK277" s="377"/>
      <c r="BL277" s="377"/>
      <c r="BM277" s="377"/>
      <c r="BN277" s="576"/>
      <c r="BO277" s="377"/>
      <c r="BP277" s="377"/>
      <c r="BQ277" s="377"/>
      <c r="BR277" s="377"/>
      <c r="BS277" s="377"/>
      <c r="BT277" s="377"/>
      <c r="BU277" s="377"/>
      <c r="BV277" s="377"/>
      <c r="BW277" s="377"/>
      <c r="BX277" s="377"/>
      <c r="BY277" s="377"/>
      <c r="BZ277" s="377"/>
      <c r="CA277" s="377"/>
      <c r="CB277" s="377"/>
      <c r="CC277" s="377"/>
      <c r="CD277" s="377"/>
      <c r="CE277" s="377"/>
      <c r="CF277" s="377"/>
      <c r="CG277" s="377"/>
      <c r="CH277" s="377"/>
      <c r="CI277" s="377"/>
    </row>
    <row r="278" spans="1:87" ht="15">
      <c r="A278" s="377"/>
      <c r="B278" s="377"/>
      <c r="C278" s="572"/>
      <c r="D278" s="377"/>
      <c r="E278" s="377"/>
      <c r="F278" s="377"/>
      <c r="G278" s="377"/>
      <c r="H278" s="573"/>
      <c r="I278" s="377"/>
      <c r="J278" s="377"/>
      <c r="K278" s="377"/>
      <c r="L278" s="377"/>
      <c r="M278" s="377"/>
      <c r="N278" s="377"/>
      <c r="O278" s="377"/>
      <c r="P278" s="377"/>
      <c r="Q278" s="377"/>
      <c r="R278" s="377"/>
      <c r="S278" s="377"/>
      <c r="T278" s="377"/>
      <c r="U278" s="377"/>
      <c r="V278" s="377"/>
      <c r="W278" s="377"/>
      <c r="X278" s="574"/>
      <c r="Y278" s="377"/>
      <c r="Z278" s="377"/>
      <c r="AA278" s="377"/>
      <c r="AB278" s="377"/>
      <c r="AC278" s="377"/>
      <c r="AD278" s="377"/>
      <c r="AE278" s="377"/>
      <c r="AF278" s="377"/>
      <c r="AG278" s="377"/>
      <c r="AH278" s="377"/>
      <c r="AI278" s="377"/>
      <c r="AJ278" s="377"/>
      <c r="AK278" s="377"/>
      <c r="AL278" s="574"/>
      <c r="AM278" s="377"/>
      <c r="AN278" s="377"/>
      <c r="AO278" s="377"/>
      <c r="AP278" s="377"/>
      <c r="AQ278" s="377"/>
      <c r="AR278" s="377"/>
      <c r="AS278" s="377"/>
      <c r="AT278" s="377"/>
      <c r="AU278" s="377"/>
      <c r="AV278" s="377"/>
      <c r="AW278" s="575"/>
      <c r="AX278" s="377"/>
      <c r="AY278" s="377"/>
      <c r="AZ278" s="377"/>
      <c r="BA278" s="377"/>
      <c r="BB278" s="377"/>
      <c r="BC278" s="377"/>
      <c r="BD278" s="377"/>
      <c r="BE278" s="377"/>
      <c r="BF278" s="377"/>
      <c r="BG278" s="377"/>
      <c r="BH278" s="377"/>
      <c r="BI278" s="377"/>
      <c r="BJ278" s="377"/>
      <c r="BK278" s="377"/>
      <c r="BL278" s="377"/>
      <c r="BM278" s="377"/>
      <c r="BN278" s="576"/>
      <c r="BO278" s="377"/>
      <c r="BP278" s="377"/>
      <c r="BQ278" s="377"/>
      <c r="BR278" s="377"/>
      <c r="BS278" s="377"/>
      <c r="BT278" s="377"/>
      <c r="BU278" s="377"/>
      <c r="BV278" s="377"/>
      <c r="BW278" s="377"/>
      <c r="BX278" s="377"/>
      <c r="BY278" s="377"/>
      <c r="BZ278" s="377"/>
      <c r="CA278" s="377"/>
      <c r="CB278" s="377"/>
      <c r="CC278" s="377"/>
      <c r="CD278" s="377"/>
      <c r="CE278" s="377"/>
      <c r="CF278" s="377"/>
      <c r="CG278" s="377"/>
      <c r="CH278" s="377"/>
      <c r="CI278" s="377"/>
    </row>
    <row r="279" spans="1:87" ht="15">
      <c r="A279" s="377"/>
      <c r="B279" s="377"/>
      <c r="C279" s="572"/>
      <c r="D279" s="377"/>
      <c r="E279" s="377"/>
      <c r="F279" s="377"/>
      <c r="G279" s="377"/>
      <c r="H279" s="573"/>
      <c r="I279" s="377"/>
      <c r="J279" s="377"/>
      <c r="K279" s="377"/>
      <c r="L279" s="377"/>
      <c r="M279" s="377"/>
      <c r="N279" s="377"/>
      <c r="O279" s="377"/>
      <c r="P279" s="377"/>
      <c r="Q279" s="377"/>
      <c r="R279" s="377"/>
      <c r="S279" s="377"/>
      <c r="T279" s="377"/>
      <c r="U279" s="377"/>
      <c r="V279" s="377"/>
      <c r="W279" s="377"/>
      <c r="X279" s="574"/>
      <c r="Y279" s="377"/>
      <c r="Z279" s="377"/>
      <c r="AA279" s="377"/>
      <c r="AB279" s="377"/>
      <c r="AC279" s="377"/>
      <c r="AD279" s="377"/>
      <c r="AE279" s="377"/>
      <c r="AF279" s="377"/>
      <c r="AG279" s="377"/>
      <c r="AH279" s="377"/>
      <c r="AI279" s="377"/>
      <c r="AJ279" s="377"/>
      <c r="AK279" s="377"/>
      <c r="AL279" s="574"/>
      <c r="AM279" s="377"/>
      <c r="AN279" s="377"/>
      <c r="AO279" s="377"/>
      <c r="AP279" s="377"/>
      <c r="AQ279" s="377"/>
      <c r="AR279" s="377"/>
      <c r="AS279" s="377"/>
      <c r="AT279" s="377"/>
      <c r="AU279" s="377"/>
      <c r="AV279" s="377"/>
      <c r="AW279" s="575"/>
      <c r="AX279" s="377"/>
      <c r="AY279" s="377"/>
      <c r="AZ279" s="377"/>
      <c r="BA279" s="377"/>
      <c r="BB279" s="377"/>
      <c r="BC279" s="377"/>
      <c r="BD279" s="377"/>
      <c r="BE279" s="377"/>
      <c r="BF279" s="377"/>
      <c r="BG279" s="377"/>
      <c r="BH279" s="377"/>
      <c r="BI279" s="377"/>
      <c r="BJ279" s="377"/>
      <c r="BK279" s="377"/>
      <c r="BL279" s="377"/>
      <c r="BM279" s="377"/>
      <c r="BN279" s="576"/>
      <c r="BO279" s="377"/>
      <c r="BP279" s="377"/>
      <c r="BQ279" s="377"/>
      <c r="BR279" s="377"/>
      <c r="BS279" s="377"/>
      <c r="BT279" s="377"/>
      <c r="BU279" s="377"/>
      <c r="BV279" s="377"/>
      <c r="BW279" s="377"/>
      <c r="BX279" s="377"/>
      <c r="BY279" s="377"/>
      <c r="BZ279" s="377"/>
      <c r="CA279" s="377"/>
      <c r="CB279" s="377"/>
      <c r="CC279" s="377"/>
      <c r="CD279" s="377"/>
      <c r="CE279" s="377"/>
      <c r="CF279" s="377"/>
      <c r="CG279" s="377"/>
      <c r="CH279" s="377"/>
      <c r="CI279" s="377"/>
    </row>
    <row r="280" spans="1:87" ht="15">
      <c r="A280" s="377"/>
      <c r="B280" s="377"/>
      <c r="C280" s="572"/>
      <c r="D280" s="377"/>
      <c r="E280" s="377"/>
      <c r="F280" s="377"/>
      <c r="G280" s="377"/>
      <c r="H280" s="573"/>
      <c r="I280" s="377"/>
      <c r="J280" s="377"/>
      <c r="K280" s="377"/>
      <c r="L280" s="377"/>
      <c r="M280" s="377"/>
      <c r="N280" s="377"/>
      <c r="O280" s="377"/>
      <c r="P280" s="377"/>
      <c r="Q280" s="377"/>
      <c r="R280" s="377"/>
      <c r="S280" s="377"/>
      <c r="T280" s="377"/>
      <c r="U280" s="377"/>
      <c r="V280" s="377"/>
      <c r="W280" s="377"/>
      <c r="X280" s="574"/>
      <c r="Y280" s="377"/>
      <c r="Z280" s="377"/>
      <c r="AA280" s="377"/>
      <c r="AB280" s="377"/>
      <c r="AC280" s="377"/>
      <c r="AD280" s="377"/>
      <c r="AE280" s="377"/>
      <c r="AF280" s="377"/>
      <c r="AG280" s="377"/>
      <c r="AH280" s="377"/>
      <c r="AI280" s="377"/>
      <c r="AJ280" s="377"/>
      <c r="AK280" s="377"/>
      <c r="AL280" s="574"/>
      <c r="AM280" s="377"/>
      <c r="AN280" s="377"/>
      <c r="AO280" s="377"/>
      <c r="AP280" s="377"/>
      <c r="AQ280" s="377"/>
      <c r="AR280" s="377"/>
      <c r="AS280" s="377"/>
      <c r="AT280" s="377"/>
      <c r="AU280" s="377"/>
      <c r="AV280" s="377"/>
      <c r="AW280" s="575"/>
      <c r="AX280" s="377"/>
      <c r="AY280" s="377"/>
      <c r="AZ280" s="377"/>
      <c r="BA280" s="377"/>
      <c r="BB280" s="377"/>
      <c r="BC280" s="377"/>
      <c r="BD280" s="377"/>
      <c r="BE280" s="377"/>
      <c r="BF280" s="377"/>
      <c r="BG280" s="377"/>
      <c r="BH280" s="377"/>
      <c r="BI280" s="377"/>
      <c r="BJ280" s="377"/>
      <c r="BK280" s="377"/>
      <c r="BL280" s="377"/>
      <c r="BM280" s="377"/>
      <c r="BN280" s="576"/>
      <c r="BO280" s="377"/>
      <c r="BP280" s="377"/>
      <c r="BQ280" s="377"/>
      <c r="BR280" s="377"/>
      <c r="BS280" s="377"/>
      <c r="BT280" s="377"/>
      <c r="BU280" s="377"/>
      <c r="BV280" s="377"/>
      <c r="BW280" s="377"/>
      <c r="BX280" s="377"/>
      <c r="BY280" s="377"/>
      <c r="BZ280" s="377"/>
      <c r="CA280" s="377"/>
      <c r="CB280" s="377"/>
      <c r="CC280" s="377"/>
      <c r="CD280" s="377"/>
      <c r="CE280" s="377"/>
      <c r="CF280" s="377"/>
      <c r="CG280" s="377"/>
      <c r="CH280" s="377"/>
      <c r="CI280" s="377"/>
    </row>
    <row r="281" spans="1:87" ht="15">
      <c r="A281" s="377"/>
      <c r="B281" s="377"/>
      <c r="C281" s="572"/>
      <c r="D281" s="377"/>
      <c r="E281" s="377"/>
      <c r="F281" s="377"/>
      <c r="G281" s="377"/>
      <c r="H281" s="573"/>
      <c r="I281" s="377"/>
      <c r="J281" s="377"/>
      <c r="K281" s="377"/>
      <c r="L281" s="377"/>
      <c r="M281" s="377"/>
      <c r="N281" s="377"/>
      <c r="O281" s="377"/>
      <c r="P281" s="377"/>
      <c r="Q281" s="377"/>
      <c r="R281" s="377"/>
      <c r="S281" s="377"/>
      <c r="T281" s="377"/>
      <c r="U281" s="377"/>
      <c r="V281" s="377"/>
      <c r="W281" s="377"/>
      <c r="X281" s="574"/>
      <c r="Y281" s="377"/>
      <c r="Z281" s="377"/>
      <c r="AA281" s="377"/>
      <c r="AB281" s="377"/>
      <c r="AC281" s="377"/>
      <c r="AD281" s="377"/>
      <c r="AE281" s="377"/>
      <c r="AF281" s="377"/>
      <c r="AG281" s="377"/>
      <c r="AH281" s="377"/>
      <c r="AI281" s="377"/>
      <c r="AJ281" s="377"/>
      <c r="AK281" s="377"/>
      <c r="AL281" s="574"/>
      <c r="AM281" s="377"/>
      <c r="AN281" s="377"/>
      <c r="AO281" s="377"/>
      <c r="AP281" s="377"/>
      <c r="AQ281" s="377"/>
      <c r="AR281" s="377"/>
      <c r="AS281" s="377"/>
      <c r="AT281" s="377"/>
      <c r="AU281" s="377"/>
      <c r="AV281" s="377"/>
      <c r="AW281" s="575"/>
      <c r="AX281" s="377"/>
      <c r="AY281" s="377"/>
      <c r="AZ281" s="377"/>
      <c r="BA281" s="377"/>
      <c r="BB281" s="377"/>
      <c r="BC281" s="377"/>
      <c r="BD281" s="377"/>
      <c r="BE281" s="377"/>
      <c r="BF281" s="377"/>
      <c r="BG281" s="377"/>
      <c r="BH281" s="377"/>
      <c r="BI281" s="377"/>
      <c r="BJ281" s="377"/>
      <c r="BK281" s="377"/>
      <c r="BL281" s="377"/>
      <c r="BM281" s="377"/>
      <c r="BN281" s="576"/>
      <c r="BO281" s="377"/>
      <c r="BP281" s="377"/>
      <c r="BQ281" s="377"/>
      <c r="BR281" s="377"/>
      <c r="BS281" s="377"/>
      <c r="BT281" s="377"/>
      <c r="BU281" s="377"/>
      <c r="BV281" s="377"/>
      <c r="BW281" s="377"/>
      <c r="BX281" s="377"/>
      <c r="BY281" s="377"/>
      <c r="BZ281" s="377"/>
      <c r="CA281" s="377"/>
      <c r="CB281" s="377"/>
      <c r="CC281" s="377"/>
      <c r="CD281" s="377"/>
      <c r="CE281" s="377"/>
      <c r="CF281" s="377"/>
      <c r="CG281" s="377"/>
      <c r="CH281" s="377"/>
      <c r="CI281" s="377"/>
    </row>
    <row r="282" spans="1:87" ht="15">
      <c r="A282" s="377"/>
      <c r="B282" s="377"/>
      <c r="C282" s="572"/>
      <c r="D282" s="377"/>
      <c r="E282" s="377"/>
      <c r="F282" s="377"/>
      <c r="G282" s="377"/>
      <c r="H282" s="573"/>
      <c r="I282" s="377"/>
      <c r="J282" s="377"/>
      <c r="K282" s="377"/>
      <c r="L282" s="377"/>
      <c r="M282" s="377"/>
      <c r="N282" s="377"/>
      <c r="O282" s="377"/>
      <c r="P282" s="377"/>
      <c r="Q282" s="377"/>
      <c r="R282" s="377"/>
      <c r="S282" s="377"/>
      <c r="T282" s="377"/>
      <c r="U282" s="377"/>
      <c r="V282" s="377"/>
      <c r="W282" s="377"/>
      <c r="X282" s="574"/>
      <c r="Y282" s="377"/>
      <c r="Z282" s="377"/>
      <c r="AA282" s="377"/>
      <c r="AB282" s="377"/>
      <c r="AC282" s="377"/>
      <c r="AD282" s="377"/>
      <c r="AE282" s="377"/>
      <c r="AF282" s="377"/>
      <c r="AG282" s="377"/>
      <c r="AH282" s="377"/>
      <c r="AI282" s="377"/>
      <c r="AJ282" s="377"/>
      <c r="AK282" s="377"/>
      <c r="AL282" s="574"/>
      <c r="AM282" s="377"/>
      <c r="AN282" s="377"/>
      <c r="AO282" s="377"/>
      <c r="AP282" s="377"/>
      <c r="AQ282" s="377"/>
      <c r="AR282" s="377"/>
      <c r="AS282" s="377"/>
      <c r="AT282" s="377"/>
      <c r="AU282" s="377"/>
      <c r="AV282" s="377"/>
      <c r="AW282" s="575"/>
      <c r="AX282" s="377"/>
      <c r="AY282" s="377"/>
      <c r="AZ282" s="377"/>
      <c r="BA282" s="377"/>
      <c r="BB282" s="377"/>
      <c r="BC282" s="377"/>
      <c r="BD282" s="377"/>
      <c r="BE282" s="377"/>
      <c r="BF282" s="377"/>
      <c r="BG282" s="377"/>
      <c r="BH282" s="377"/>
      <c r="BI282" s="377"/>
      <c r="BJ282" s="377"/>
      <c r="BK282" s="377"/>
      <c r="BL282" s="377"/>
      <c r="BM282" s="377"/>
      <c r="BN282" s="576"/>
      <c r="BO282" s="377"/>
      <c r="BP282" s="377"/>
      <c r="BQ282" s="377"/>
      <c r="BR282" s="377"/>
      <c r="BS282" s="377"/>
      <c r="BT282" s="377"/>
      <c r="BU282" s="377"/>
      <c r="BV282" s="377"/>
      <c r="BW282" s="377"/>
      <c r="BX282" s="377"/>
      <c r="BY282" s="377"/>
      <c r="BZ282" s="377"/>
      <c r="CA282" s="377"/>
      <c r="CB282" s="377"/>
      <c r="CC282" s="377"/>
      <c r="CD282" s="377"/>
      <c r="CE282" s="377"/>
      <c r="CF282" s="377"/>
      <c r="CG282" s="377"/>
      <c r="CH282" s="377"/>
      <c r="CI282" s="377"/>
    </row>
    <row r="283" spans="1:87" ht="15">
      <c r="A283" s="377"/>
      <c r="B283" s="377"/>
      <c r="C283" s="572"/>
      <c r="D283" s="377"/>
      <c r="E283" s="377"/>
      <c r="F283" s="377"/>
      <c r="G283" s="377"/>
      <c r="H283" s="573"/>
      <c r="I283" s="377"/>
      <c r="J283" s="377"/>
      <c r="K283" s="377"/>
      <c r="L283" s="377"/>
      <c r="M283" s="377"/>
      <c r="N283" s="377"/>
      <c r="O283" s="377"/>
      <c r="P283" s="377"/>
      <c r="Q283" s="377"/>
      <c r="R283" s="377"/>
      <c r="S283" s="377"/>
      <c r="T283" s="377"/>
      <c r="U283" s="377"/>
      <c r="V283" s="377"/>
      <c r="W283" s="377"/>
      <c r="X283" s="574"/>
      <c r="Y283" s="377"/>
      <c r="Z283" s="377"/>
      <c r="AA283" s="377"/>
      <c r="AB283" s="377"/>
      <c r="AC283" s="377"/>
      <c r="AD283" s="377"/>
      <c r="AE283" s="377"/>
      <c r="AF283" s="377"/>
      <c r="AG283" s="377"/>
      <c r="AH283" s="377"/>
      <c r="AI283" s="377"/>
      <c r="AJ283" s="377"/>
      <c r="AK283" s="377"/>
      <c r="AL283" s="574"/>
      <c r="AM283" s="377"/>
      <c r="AN283" s="377"/>
      <c r="AO283" s="377"/>
      <c r="AP283" s="377"/>
      <c r="AQ283" s="377"/>
      <c r="AR283" s="377"/>
      <c r="AS283" s="377"/>
      <c r="AT283" s="377"/>
      <c r="AU283" s="377"/>
      <c r="AV283" s="377"/>
      <c r="AW283" s="575"/>
      <c r="AX283" s="377"/>
      <c r="AY283" s="377"/>
      <c r="AZ283" s="377"/>
      <c r="BA283" s="377"/>
      <c r="BB283" s="377"/>
      <c r="BC283" s="377"/>
      <c r="BD283" s="377"/>
      <c r="BE283" s="377"/>
      <c r="BF283" s="377"/>
      <c r="BG283" s="377"/>
      <c r="BH283" s="377"/>
      <c r="BI283" s="377"/>
      <c r="BJ283" s="377"/>
      <c r="BK283" s="377"/>
      <c r="BL283" s="377"/>
      <c r="BM283" s="377"/>
      <c r="BN283" s="576"/>
      <c r="BO283" s="377"/>
      <c r="BP283" s="377"/>
      <c r="BQ283" s="377"/>
      <c r="BR283" s="377"/>
      <c r="BS283" s="377"/>
      <c r="BT283" s="377"/>
      <c r="BU283" s="377"/>
      <c r="BV283" s="377"/>
      <c r="BW283" s="377"/>
      <c r="BX283" s="377"/>
      <c r="BY283" s="377"/>
      <c r="BZ283" s="377"/>
      <c r="CA283" s="377"/>
      <c r="CB283" s="377"/>
      <c r="CC283" s="377"/>
      <c r="CD283" s="377"/>
      <c r="CE283" s="377"/>
      <c r="CF283" s="377"/>
      <c r="CG283" s="377"/>
      <c r="CH283" s="377"/>
      <c r="CI283" s="377"/>
    </row>
    <row r="284" spans="1:87" ht="15">
      <c r="A284" s="377"/>
      <c r="B284" s="377"/>
      <c r="C284" s="572"/>
      <c r="D284" s="377"/>
      <c r="E284" s="377"/>
      <c r="F284" s="377"/>
      <c r="G284" s="377"/>
      <c r="H284" s="573"/>
      <c r="I284" s="377"/>
      <c r="J284" s="377"/>
      <c r="K284" s="377"/>
      <c r="L284" s="377"/>
      <c r="M284" s="377"/>
      <c r="N284" s="377"/>
      <c r="O284" s="377"/>
      <c r="P284" s="377"/>
      <c r="Q284" s="377"/>
      <c r="R284" s="377"/>
      <c r="S284" s="377"/>
      <c r="T284" s="377"/>
      <c r="U284" s="377"/>
      <c r="V284" s="377"/>
      <c r="W284" s="377"/>
      <c r="X284" s="574"/>
      <c r="Y284" s="377"/>
      <c r="Z284" s="377"/>
      <c r="AA284" s="377"/>
      <c r="AB284" s="377"/>
      <c r="AC284" s="377"/>
      <c r="AD284" s="377"/>
      <c r="AE284" s="377"/>
      <c r="AF284" s="377"/>
      <c r="AG284" s="377"/>
      <c r="AH284" s="377"/>
      <c r="AI284" s="377"/>
      <c r="AJ284" s="377"/>
      <c r="AK284" s="377"/>
      <c r="AL284" s="574"/>
      <c r="AM284" s="377"/>
      <c r="AN284" s="377"/>
      <c r="AO284" s="377"/>
      <c r="AP284" s="377"/>
      <c r="AQ284" s="377"/>
      <c r="AR284" s="377"/>
      <c r="AS284" s="377"/>
      <c r="AT284" s="377"/>
      <c r="AU284" s="377"/>
      <c r="AV284" s="377"/>
      <c r="AW284" s="575"/>
      <c r="AX284" s="377"/>
      <c r="AY284" s="377"/>
      <c r="AZ284" s="377"/>
      <c r="BA284" s="377"/>
      <c r="BB284" s="377"/>
      <c r="BC284" s="377"/>
      <c r="BD284" s="377"/>
      <c r="BE284" s="377"/>
      <c r="BF284" s="377"/>
      <c r="BG284" s="377"/>
      <c r="BH284" s="377"/>
      <c r="BI284" s="377"/>
      <c r="BJ284" s="377"/>
      <c r="BK284" s="377"/>
      <c r="BL284" s="377"/>
      <c r="BM284" s="377"/>
      <c r="BN284" s="576"/>
      <c r="BO284" s="377"/>
      <c r="BP284" s="377"/>
      <c r="BQ284" s="377"/>
      <c r="BR284" s="377"/>
      <c r="BS284" s="377"/>
      <c r="BT284" s="377"/>
      <c r="BU284" s="377"/>
      <c r="BV284" s="377"/>
      <c r="BW284" s="377"/>
      <c r="BX284" s="377"/>
      <c r="BY284" s="377"/>
      <c r="BZ284" s="377"/>
      <c r="CA284" s="377"/>
      <c r="CB284" s="377"/>
      <c r="CC284" s="377"/>
      <c r="CD284" s="377"/>
      <c r="CE284" s="377"/>
      <c r="CF284" s="377"/>
      <c r="CG284" s="377"/>
      <c r="CH284" s="377"/>
      <c r="CI284" s="377"/>
    </row>
    <row r="285" spans="1:87" ht="15">
      <c r="A285" s="377"/>
      <c r="B285" s="377"/>
      <c r="C285" s="572"/>
      <c r="D285" s="377"/>
      <c r="E285" s="377"/>
      <c r="F285" s="377"/>
      <c r="G285" s="377"/>
      <c r="H285" s="573"/>
      <c r="I285" s="377"/>
      <c r="J285" s="377"/>
      <c r="K285" s="377"/>
      <c r="L285" s="377"/>
      <c r="M285" s="377"/>
      <c r="N285" s="377"/>
      <c r="O285" s="377"/>
      <c r="P285" s="377"/>
      <c r="Q285" s="377"/>
      <c r="R285" s="377"/>
      <c r="S285" s="377"/>
      <c r="T285" s="377"/>
      <c r="U285" s="377"/>
      <c r="V285" s="377"/>
      <c r="W285" s="377"/>
      <c r="X285" s="574"/>
      <c r="Y285" s="377"/>
      <c r="Z285" s="377"/>
      <c r="AA285" s="377"/>
      <c r="AB285" s="377"/>
      <c r="AC285" s="377"/>
      <c r="AD285" s="377"/>
      <c r="AE285" s="377"/>
      <c r="AF285" s="377"/>
      <c r="AG285" s="377"/>
      <c r="AH285" s="377"/>
      <c r="AI285" s="377"/>
      <c r="AJ285" s="377"/>
      <c r="AK285" s="377"/>
      <c r="AL285" s="574"/>
      <c r="AM285" s="377"/>
      <c r="AN285" s="377"/>
      <c r="AO285" s="377"/>
      <c r="AP285" s="377"/>
      <c r="AQ285" s="377"/>
      <c r="AR285" s="377"/>
      <c r="AS285" s="377"/>
      <c r="AT285" s="377"/>
      <c r="AU285" s="377"/>
      <c r="AV285" s="377"/>
      <c r="AW285" s="575"/>
      <c r="AX285" s="377"/>
      <c r="AY285" s="377"/>
      <c r="AZ285" s="377"/>
      <c r="BA285" s="377"/>
      <c r="BB285" s="377"/>
      <c r="BC285" s="377"/>
      <c r="BD285" s="377"/>
      <c r="BE285" s="377"/>
      <c r="BF285" s="377"/>
      <c r="BG285" s="377"/>
      <c r="BH285" s="377"/>
      <c r="BI285" s="377"/>
      <c r="BJ285" s="377"/>
      <c r="BK285" s="377"/>
      <c r="BL285" s="377"/>
      <c r="BM285" s="377"/>
      <c r="BN285" s="576"/>
      <c r="BO285" s="377"/>
      <c r="BP285" s="377"/>
      <c r="BQ285" s="377"/>
      <c r="BR285" s="377"/>
      <c r="BS285" s="377"/>
      <c r="BT285" s="377"/>
      <c r="BU285" s="377"/>
      <c r="BV285" s="377"/>
      <c r="BW285" s="377"/>
      <c r="BX285" s="377"/>
      <c r="BY285" s="377"/>
      <c r="BZ285" s="377"/>
      <c r="CA285" s="377"/>
      <c r="CB285" s="377"/>
      <c r="CC285" s="377"/>
      <c r="CD285" s="377"/>
      <c r="CE285" s="377"/>
      <c r="CF285" s="377"/>
      <c r="CG285" s="377"/>
      <c r="CH285" s="377"/>
      <c r="CI285" s="377"/>
    </row>
    <row r="286" spans="1:87" ht="15">
      <c r="A286" s="377"/>
      <c r="B286" s="377"/>
      <c r="C286" s="572"/>
      <c r="D286" s="377"/>
      <c r="E286" s="377"/>
      <c r="F286" s="377"/>
      <c r="G286" s="377"/>
      <c r="H286" s="573"/>
      <c r="I286" s="377"/>
      <c r="J286" s="377"/>
      <c r="K286" s="377"/>
      <c r="L286" s="377"/>
      <c r="M286" s="377"/>
      <c r="N286" s="377"/>
      <c r="O286" s="377"/>
      <c r="P286" s="377"/>
      <c r="Q286" s="377"/>
      <c r="R286" s="377"/>
      <c r="S286" s="377"/>
      <c r="T286" s="377"/>
      <c r="U286" s="377"/>
      <c r="V286" s="377"/>
      <c r="W286" s="377"/>
      <c r="X286" s="574"/>
      <c r="Y286" s="377"/>
      <c r="Z286" s="377"/>
      <c r="AA286" s="377"/>
      <c r="AB286" s="377"/>
      <c r="AC286" s="377"/>
      <c r="AD286" s="377"/>
      <c r="AE286" s="377"/>
      <c r="AF286" s="377"/>
      <c r="AG286" s="377"/>
      <c r="AH286" s="377"/>
      <c r="AI286" s="377"/>
      <c r="AJ286" s="377"/>
      <c r="AK286" s="377"/>
      <c r="AL286" s="574"/>
      <c r="AM286" s="377"/>
      <c r="AN286" s="377"/>
      <c r="AO286" s="377"/>
      <c r="AP286" s="377"/>
      <c r="AQ286" s="377"/>
      <c r="AR286" s="377"/>
      <c r="AS286" s="377"/>
      <c r="AT286" s="377"/>
      <c r="AU286" s="377"/>
      <c r="AV286" s="377"/>
      <c r="AW286" s="575"/>
      <c r="AX286" s="377"/>
      <c r="AY286" s="377"/>
      <c r="AZ286" s="377"/>
      <c r="BA286" s="377"/>
      <c r="BB286" s="377"/>
      <c r="BC286" s="377"/>
      <c r="BD286" s="377"/>
      <c r="BE286" s="377"/>
      <c r="BF286" s="377"/>
      <c r="BG286" s="377"/>
      <c r="BH286" s="377"/>
      <c r="BI286" s="377"/>
      <c r="BJ286" s="377"/>
      <c r="BK286" s="377"/>
      <c r="BL286" s="377"/>
      <c r="BM286" s="377"/>
      <c r="BN286" s="576"/>
      <c r="BO286" s="377"/>
      <c r="BP286" s="377"/>
      <c r="BQ286" s="377"/>
      <c r="BR286" s="377"/>
      <c r="BS286" s="377"/>
      <c r="BT286" s="377"/>
      <c r="BU286" s="377"/>
      <c r="BV286" s="377"/>
      <c r="BW286" s="377"/>
      <c r="BX286" s="377"/>
      <c r="BY286" s="377"/>
      <c r="BZ286" s="377"/>
      <c r="CA286" s="377"/>
      <c r="CB286" s="377"/>
      <c r="CC286" s="377"/>
      <c r="CD286" s="377"/>
      <c r="CE286" s="377"/>
      <c r="CF286" s="377"/>
      <c r="CG286" s="377"/>
      <c r="CH286" s="377"/>
      <c r="CI286" s="377"/>
    </row>
    <row r="287" spans="1:87" ht="15">
      <c r="A287" s="377"/>
      <c r="B287" s="377"/>
      <c r="C287" s="572"/>
      <c r="D287" s="377"/>
      <c r="E287" s="377"/>
      <c r="F287" s="377"/>
      <c r="G287" s="377"/>
      <c r="H287" s="573"/>
      <c r="I287" s="377"/>
      <c r="J287" s="377"/>
      <c r="K287" s="377"/>
      <c r="L287" s="377"/>
      <c r="M287" s="377"/>
      <c r="N287" s="377"/>
      <c r="O287" s="377"/>
      <c r="P287" s="377"/>
      <c r="Q287" s="377"/>
      <c r="R287" s="377"/>
      <c r="S287" s="377"/>
      <c r="T287" s="377"/>
      <c r="U287" s="377"/>
      <c r="V287" s="377"/>
      <c r="W287" s="377"/>
      <c r="X287" s="574"/>
      <c r="Y287" s="377"/>
      <c r="Z287" s="377"/>
      <c r="AA287" s="377"/>
      <c r="AB287" s="377"/>
      <c r="AC287" s="377"/>
      <c r="AD287" s="377"/>
      <c r="AE287" s="377"/>
      <c r="AF287" s="377"/>
      <c r="AG287" s="377"/>
      <c r="AH287" s="377"/>
      <c r="AI287" s="377"/>
      <c r="AJ287" s="377"/>
      <c r="AK287" s="377"/>
      <c r="AL287" s="574"/>
      <c r="AM287" s="377"/>
      <c r="AN287" s="377"/>
      <c r="AO287" s="377"/>
      <c r="AP287" s="377"/>
      <c r="AQ287" s="377"/>
      <c r="AR287" s="377"/>
      <c r="AS287" s="377"/>
      <c r="AT287" s="377"/>
      <c r="AU287" s="377"/>
      <c r="AV287" s="377"/>
      <c r="AW287" s="575"/>
      <c r="AX287" s="377"/>
      <c r="AY287" s="377"/>
      <c r="AZ287" s="377"/>
      <c r="BA287" s="377"/>
      <c r="BB287" s="377"/>
      <c r="BC287" s="377"/>
      <c r="BD287" s="377"/>
      <c r="BE287" s="377"/>
      <c r="BF287" s="377"/>
      <c r="BG287" s="377"/>
      <c r="BH287" s="377"/>
      <c r="BI287" s="377"/>
      <c r="BJ287" s="377"/>
      <c r="BK287" s="377"/>
      <c r="BL287" s="377"/>
      <c r="BM287" s="377"/>
      <c r="BN287" s="576"/>
      <c r="BO287" s="377"/>
      <c r="BP287" s="377"/>
      <c r="BQ287" s="377"/>
      <c r="BR287" s="377"/>
      <c r="BS287" s="377"/>
      <c r="BT287" s="377"/>
      <c r="BU287" s="377"/>
      <c r="BV287" s="377"/>
      <c r="BW287" s="377"/>
      <c r="BX287" s="377"/>
      <c r="BY287" s="377"/>
      <c r="BZ287" s="377"/>
      <c r="CA287" s="377"/>
      <c r="CB287" s="377"/>
      <c r="CC287" s="377"/>
      <c r="CD287" s="377"/>
      <c r="CE287" s="377"/>
      <c r="CF287" s="377"/>
      <c r="CG287" s="377"/>
      <c r="CH287" s="377"/>
      <c r="CI287" s="377"/>
    </row>
    <row r="288" spans="1:87" ht="15">
      <c r="A288" s="377"/>
      <c r="B288" s="377"/>
      <c r="C288" s="572"/>
      <c r="D288" s="377"/>
      <c r="E288" s="377"/>
      <c r="F288" s="377"/>
      <c r="G288" s="377"/>
      <c r="H288" s="573"/>
      <c r="I288" s="377"/>
      <c r="J288" s="377"/>
      <c r="K288" s="377"/>
      <c r="L288" s="377"/>
      <c r="M288" s="377"/>
      <c r="N288" s="377"/>
      <c r="O288" s="377"/>
      <c r="P288" s="377"/>
      <c r="Q288" s="377"/>
      <c r="R288" s="377"/>
      <c r="S288" s="377"/>
      <c r="T288" s="377"/>
      <c r="U288" s="377"/>
      <c r="V288" s="377"/>
      <c r="W288" s="377"/>
      <c r="X288" s="574"/>
      <c r="Y288" s="377"/>
      <c r="Z288" s="377"/>
      <c r="AA288" s="377"/>
      <c r="AB288" s="377"/>
      <c r="AC288" s="377"/>
      <c r="AD288" s="377"/>
      <c r="AE288" s="377"/>
      <c r="AF288" s="377"/>
      <c r="AG288" s="377"/>
      <c r="AH288" s="377"/>
      <c r="AI288" s="377"/>
      <c r="AJ288" s="377"/>
      <c r="AK288" s="377"/>
      <c r="AL288" s="574"/>
      <c r="AM288" s="377"/>
      <c r="AN288" s="377"/>
      <c r="AO288" s="377"/>
      <c r="AP288" s="377"/>
      <c r="AQ288" s="377"/>
      <c r="AR288" s="377"/>
      <c r="AS288" s="377"/>
      <c r="AT288" s="377"/>
      <c r="AU288" s="377"/>
      <c r="AV288" s="377"/>
      <c r="AW288" s="575"/>
      <c r="AX288" s="377"/>
      <c r="AY288" s="377"/>
      <c r="AZ288" s="377"/>
      <c r="BA288" s="377"/>
      <c r="BB288" s="377"/>
      <c r="BC288" s="377"/>
      <c r="BD288" s="377"/>
      <c r="BE288" s="377"/>
      <c r="BF288" s="377"/>
      <c r="BG288" s="377"/>
      <c r="BH288" s="377"/>
      <c r="BI288" s="377"/>
      <c r="BJ288" s="377"/>
      <c r="BK288" s="377"/>
      <c r="BL288" s="377"/>
      <c r="BM288" s="377"/>
      <c r="BN288" s="576"/>
      <c r="BO288" s="377"/>
      <c r="BP288" s="377"/>
      <c r="BQ288" s="377"/>
      <c r="BR288" s="377"/>
      <c r="BS288" s="377"/>
      <c r="BT288" s="377"/>
      <c r="BU288" s="377"/>
      <c r="BV288" s="377"/>
      <c r="BW288" s="377"/>
      <c r="BX288" s="377"/>
      <c r="BY288" s="377"/>
      <c r="BZ288" s="377"/>
      <c r="CA288" s="377"/>
      <c r="CB288" s="377"/>
      <c r="CC288" s="377"/>
      <c r="CD288" s="377"/>
      <c r="CE288" s="377"/>
      <c r="CF288" s="377"/>
      <c r="CG288" s="377"/>
      <c r="CH288" s="377"/>
      <c r="CI288" s="377"/>
    </row>
    <row r="289" spans="1:87" ht="15">
      <c r="A289" s="377"/>
      <c r="B289" s="377"/>
      <c r="C289" s="572"/>
      <c r="D289" s="377"/>
      <c r="E289" s="377"/>
      <c r="F289" s="377"/>
      <c r="G289" s="377"/>
      <c r="H289" s="573"/>
      <c r="I289" s="377"/>
      <c r="J289" s="377"/>
      <c r="K289" s="377"/>
      <c r="L289" s="377"/>
      <c r="M289" s="377"/>
      <c r="N289" s="377"/>
      <c r="O289" s="377"/>
      <c r="P289" s="377"/>
      <c r="Q289" s="377"/>
      <c r="R289" s="377"/>
      <c r="S289" s="377"/>
      <c r="T289" s="377"/>
      <c r="U289" s="377"/>
      <c r="V289" s="377"/>
      <c r="W289" s="377"/>
      <c r="X289" s="574"/>
      <c r="Y289" s="377"/>
      <c r="Z289" s="377"/>
      <c r="AA289" s="377"/>
      <c r="AB289" s="377"/>
      <c r="AC289" s="377"/>
      <c r="AD289" s="377"/>
      <c r="AE289" s="377"/>
      <c r="AF289" s="377"/>
      <c r="AG289" s="377"/>
      <c r="AH289" s="377"/>
      <c r="AI289" s="377"/>
      <c r="AJ289" s="377"/>
      <c r="AK289" s="377"/>
      <c r="AL289" s="574"/>
      <c r="AM289" s="377"/>
      <c r="AN289" s="377"/>
      <c r="AO289" s="377"/>
      <c r="AP289" s="377"/>
      <c r="AQ289" s="377"/>
      <c r="AR289" s="377"/>
      <c r="AS289" s="377"/>
      <c r="AT289" s="377"/>
      <c r="AU289" s="377"/>
      <c r="AV289" s="377"/>
      <c r="AW289" s="575"/>
      <c r="AX289" s="377"/>
      <c r="AY289" s="377"/>
      <c r="AZ289" s="377"/>
      <c r="BA289" s="377"/>
      <c r="BB289" s="377"/>
      <c r="BC289" s="377"/>
      <c r="BD289" s="377"/>
      <c r="BE289" s="377"/>
      <c r="BF289" s="377"/>
      <c r="BG289" s="377"/>
      <c r="BH289" s="377"/>
      <c r="BI289" s="377"/>
      <c r="BJ289" s="377"/>
      <c r="BK289" s="377"/>
      <c r="BL289" s="377"/>
      <c r="BM289" s="377"/>
      <c r="BN289" s="576"/>
      <c r="BO289" s="377"/>
      <c r="BP289" s="377"/>
      <c r="BQ289" s="377"/>
      <c r="BR289" s="377"/>
      <c r="BS289" s="377"/>
      <c r="BT289" s="377"/>
      <c r="BU289" s="377"/>
      <c r="BV289" s="377"/>
      <c r="BW289" s="377"/>
      <c r="BX289" s="377"/>
      <c r="BY289" s="377"/>
      <c r="BZ289" s="377"/>
      <c r="CA289" s="377"/>
      <c r="CB289" s="377"/>
      <c r="CC289" s="377"/>
      <c r="CD289" s="377"/>
      <c r="CE289" s="377"/>
      <c r="CF289" s="377"/>
      <c r="CG289" s="377"/>
      <c r="CH289" s="377"/>
      <c r="CI289" s="377"/>
    </row>
    <row r="290" spans="1:87" ht="15">
      <c r="A290" s="377"/>
      <c r="B290" s="377"/>
      <c r="C290" s="572"/>
      <c r="D290" s="377"/>
      <c r="E290" s="377"/>
      <c r="F290" s="377"/>
      <c r="G290" s="377"/>
      <c r="H290" s="573"/>
      <c r="I290" s="377"/>
      <c r="J290" s="377"/>
      <c r="K290" s="377"/>
      <c r="L290" s="377"/>
      <c r="M290" s="377"/>
      <c r="N290" s="377"/>
      <c r="O290" s="377"/>
      <c r="P290" s="377"/>
      <c r="Q290" s="377"/>
      <c r="R290" s="377"/>
      <c r="S290" s="377"/>
      <c r="T290" s="377"/>
      <c r="U290" s="377"/>
      <c r="V290" s="377"/>
      <c r="W290" s="377"/>
      <c r="X290" s="574"/>
      <c r="Y290" s="377"/>
      <c r="Z290" s="377"/>
      <c r="AA290" s="377"/>
      <c r="AB290" s="377"/>
      <c r="AC290" s="377"/>
      <c r="AD290" s="377"/>
      <c r="AE290" s="377"/>
      <c r="AF290" s="377"/>
      <c r="AG290" s="377"/>
      <c r="AH290" s="377"/>
      <c r="AI290" s="377"/>
      <c r="AJ290" s="377"/>
      <c r="AK290" s="377"/>
      <c r="AL290" s="574"/>
      <c r="AM290" s="377"/>
      <c r="AN290" s="377"/>
      <c r="AO290" s="377"/>
      <c r="AP290" s="377"/>
      <c r="AQ290" s="377"/>
      <c r="AR290" s="377"/>
      <c r="AS290" s="377"/>
      <c r="AT290" s="377"/>
      <c r="AU290" s="377"/>
      <c r="AV290" s="377"/>
      <c r="AW290" s="575"/>
      <c r="AX290" s="377"/>
      <c r="AY290" s="377"/>
      <c r="AZ290" s="377"/>
      <c r="BA290" s="377"/>
      <c r="BB290" s="377"/>
      <c r="BC290" s="377"/>
      <c r="BD290" s="377"/>
      <c r="BE290" s="377"/>
      <c r="BF290" s="377"/>
      <c r="BG290" s="377"/>
      <c r="BH290" s="377"/>
      <c r="BI290" s="377"/>
      <c r="BJ290" s="377"/>
      <c r="BK290" s="377"/>
      <c r="BL290" s="377"/>
      <c r="BM290" s="377"/>
      <c r="BN290" s="576"/>
      <c r="BO290" s="377"/>
      <c r="BP290" s="377"/>
      <c r="BQ290" s="377"/>
      <c r="BR290" s="377"/>
      <c r="BS290" s="377"/>
      <c r="BT290" s="377"/>
      <c r="BU290" s="377"/>
      <c r="BV290" s="377"/>
      <c r="BW290" s="377"/>
      <c r="BX290" s="377"/>
      <c r="BY290" s="377"/>
      <c r="BZ290" s="377"/>
      <c r="CA290" s="377"/>
      <c r="CB290" s="377"/>
      <c r="CC290" s="377"/>
      <c r="CD290" s="377"/>
      <c r="CE290" s="377"/>
      <c r="CF290" s="377"/>
      <c r="CG290" s="377"/>
      <c r="CH290" s="377"/>
      <c r="CI290" s="377"/>
    </row>
    <row r="291" spans="1:87" ht="15">
      <c r="A291" s="377"/>
      <c r="B291" s="377"/>
      <c r="C291" s="572"/>
      <c r="D291" s="377"/>
      <c r="E291" s="377"/>
      <c r="F291" s="377"/>
      <c r="G291" s="377"/>
      <c r="H291" s="573"/>
      <c r="I291" s="377"/>
      <c r="J291" s="377"/>
      <c r="K291" s="377"/>
      <c r="L291" s="377"/>
      <c r="M291" s="377"/>
      <c r="N291" s="377"/>
      <c r="O291" s="377"/>
      <c r="P291" s="377"/>
      <c r="Q291" s="377"/>
      <c r="R291" s="377"/>
      <c r="S291" s="377"/>
      <c r="T291" s="377"/>
      <c r="U291" s="377"/>
      <c r="V291" s="377"/>
      <c r="W291" s="377"/>
      <c r="X291" s="574"/>
      <c r="Y291" s="377"/>
      <c r="Z291" s="377"/>
      <c r="AA291" s="377"/>
      <c r="AB291" s="377"/>
      <c r="AC291" s="377"/>
      <c r="AD291" s="377"/>
      <c r="AE291" s="377"/>
      <c r="AF291" s="377"/>
      <c r="AG291" s="377"/>
      <c r="AH291" s="377"/>
      <c r="AI291" s="377"/>
      <c r="AJ291" s="377"/>
      <c r="AK291" s="377"/>
      <c r="AL291" s="574"/>
      <c r="AM291" s="377"/>
      <c r="AN291" s="377"/>
      <c r="AO291" s="377"/>
      <c r="AP291" s="377"/>
      <c r="AQ291" s="377"/>
      <c r="AR291" s="377"/>
      <c r="AS291" s="377"/>
      <c r="AT291" s="377"/>
      <c r="AU291" s="377"/>
      <c r="AV291" s="377"/>
      <c r="AW291" s="575"/>
      <c r="AX291" s="377"/>
      <c r="AY291" s="377"/>
      <c r="AZ291" s="377"/>
      <c r="BA291" s="377"/>
      <c r="BB291" s="377"/>
      <c r="BC291" s="377"/>
      <c r="BD291" s="377"/>
      <c r="BE291" s="377"/>
      <c r="BF291" s="377"/>
      <c r="BG291" s="377"/>
      <c r="BH291" s="377"/>
      <c r="BI291" s="377"/>
      <c r="BJ291" s="377"/>
      <c r="BK291" s="377"/>
      <c r="BL291" s="377"/>
      <c r="BM291" s="377"/>
      <c r="BN291" s="576"/>
      <c r="BO291" s="377"/>
      <c r="BP291" s="377"/>
      <c r="BQ291" s="377"/>
      <c r="BR291" s="377"/>
      <c r="BS291" s="377"/>
      <c r="BT291" s="377"/>
      <c r="BU291" s="377"/>
      <c r="BV291" s="377"/>
      <c r="BW291" s="377"/>
      <c r="BX291" s="377"/>
      <c r="BY291" s="377"/>
      <c r="BZ291" s="377"/>
      <c r="CA291" s="377"/>
      <c r="CB291" s="377"/>
      <c r="CC291" s="377"/>
      <c r="CD291" s="377"/>
      <c r="CE291" s="377"/>
      <c r="CF291" s="377"/>
      <c r="CG291" s="377"/>
      <c r="CH291" s="377"/>
      <c r="CI291" s="377"/>
    </row>
    <row r="292" spans="1:87" ht="15">
      <c r="A292" s="377"/>
      <c r="B292" s="377"/>
      <c r="C292" s="572"/>
      <c r="D292" s="377"/>
      <c r="E292" s="377"/>
      <c r="F292" s="377"/>
      <c r="G292" s="377"/>
      <c r="H292" s="573"/>
      <c r="I292" s="377"/>
      <c r="J292" s="377"/>
      <c r="K292" s="377"/>
      <c r="L292" s="377"/>
      <c r="M292" s="377"/>
      <c r="N292" s="377"/>
      <c r="O292" s="377"/>
      <c r="P292" s="377"/>
      <c r="Q292" s="377"/>
      <c r="R292" s="377"/>
      <c r="S292" s="377"/>
      <c r="T292" s="377"/>
      <c r="U292" s="377"/>
      <c r="V292" s="377"/>
      <c r="W292" s="377"/>
      <c r="X292" s="574"/>
      <c r="Y292" s="377"/>
      <c r="Z292" s="377"/>
      <c r="AA292" s="377"/>
      <c r="AB292" s="377"/>
      <c r="AC292" s="377"/>
      <c r="AD292" s="377"/>
      <c r="AE292" s="377"/>
      <c r="AF292" s="377"/>
      <c r="AG292" s="377"/>
      <c r="AH292" s="377"/>
      <c r="AI292" s="377"/>
      <c r="AJ292" s="377"/>
      <c r="AK292" s="377"/>
      <c r="AL292" s="574"/>
      <c r="AM292" s="377"/>
      <c r="AN292" s="377"/>
      <c r="AO292" s="377"/>
      <c r="AP292" s="377"/>
      <c r="AQ292" s="377"/>
      <c r="AR292" s="377"/>
      <c r="AS292" s="377"/>
      <c r="AT292" s="377"/>
      <c r="AU292" s="377"/>
      <c r="AV292" s="377"/>
      <c r="AW292" s="575"/>
      <c r="AX292" s="377"/>
      <c r="AY292" s="377"/>
      <c r="AZ292" s="377"/>
      <c r="BA292" s="377"/>
      <c r="BB292" s="377"/>
      <c r="BC292" s="377"/>
      <c r="BD292" s="377"/>
      <c r="BE292" s="377"/>
      <c r="BF292" s="377"/>
      <c r="BG292" s="377"/>
      <c r="BH292" s="377"/>
      <c r="BI292" s="377"/>
      <c r="BJ292" s="377"/>
      <c r="BK292" s="377"/>
      <c r="BL292" s="377"/>
      <c r="BM292" s="377"/>
      <c r="BN292" s="576"/>
      <c r="BO292" s="377"/>
      <c r="BP292" s="377"/>
      <c r="BQ292" s="377"/>
      <c r="BR292" s="377"/>
      <c r="BS292" s="377"/>
      <c r="BT292" s="377"/>
      <c r="BU292" s="377"/>
      <c r="BV292" s="377"/>
      <c r="BW292" s="377"/>
      <c r="BX292" s="377"/>
      <c r="BY292" s="377"/>
      <c r="BZ292" s="377"/>
      <c r="CA292" s="377"/>
      <c r="CB292" s="377"/>
      <c r="CC292" s="377"/>
      <c r="CD292" s="377"/>
      <c r="CE292" s="377"/>
      <c r="CF292" s="377"/>
      <c r="CG292" s="377"/>
      <c r="CH292" s="377"/>
      <c r="CI292" s="377"/>
    </row>
    <row r="293" spans="1:87" ht="15">
      <c r="A293" s="377"/>
      <c r="B293" s="377"/>
      <c r="C293" s="572"/>
      <c r="D293" s="377"/>
      <c r="E293" s="377"/>
      <c r="F293" s="377"/>
      <c r="G293" s="377"/>
      <c r="H293" s="573"/>
      <c r="I293" s="377"/>
      <c r="J293" s="377"/>
      <c r="K293" s="377"/>
      <c r="L293" s="377"/>
      <c r="M293" s="377"/>
      <c r="N293" s="377"/>
      <c r="O293" s="377"/>
      <c r="P293" s="377"/>
      <c r="Q293" s="377"/>
      <c r="R293" s="377"/>
      <c r="S293" s="377"/>
      <c r="T293" s="377"/>
      <c r="U293" s="377"/>
      <c r="V293" s="377"/>
      <c r="W293" s="377"/>
      <c r="X293" s="574"/>
      <c r="Y293" s="377"/>
      <c r="Z293" s="377"/>
      <c r="AA293" s="377"/>
      <c r="AB293" s="377"/>
      <c r="AC293" s="377"/>
      <c r="AD293" s="377"/>
      <c r="AE293" s="377"/>
      <c r="AF293" s="377"/>
      <c r="AG293" s="377"/>
      <c r="AH293" s="377"/>
      <c r="AI293" s="377"/>
      <c r="AJ293" s="377"/>
      <c r="AK293" s="377"/>
      <c r="AL293" s="574"/>
      <c r="AM293" s="377"/>
      <c r="AN293" s="377"/>
      <c r="AO293" s="377"/>
      <c r="AP293" s="377"/>
      <c r="AQ293" s="377"/>
      <c r="AR293" s="377"/>
      <c r="AS293" s="377"/>
      <c r="AT293" s="377"/>
      <c r="AU293" s="377"/>
      <c r="AV293" s="377"/>
      <c r="AW293" s="575"/>
      <c r="AX293" s="377"/>
      <c r="AY293" s="377"/>
      <c r="AZ293" s="377"/>
      <c r="BA293" s="377"/>
      <c r="BB293" s="377"/>
      <c r="BC293" s="377"/>
      <c r="BD293" s="377"/>
      <c r="BE293" s="377"/>
      <c r="BF293" s="377"/>
      <c r="BG293" s="377"/>
      <c r="BH293" s="377"/>
      <c r="BI293" s="377"/>
      <c r="BJ293" s="377"/>
      <c r="BK293" s="377"/>
      <c r="BL293" s="377"/>
      <c r="BM293" s="377"/>
      <c r="BN293" s="576"/>
      <c r="BO293" s="377"/>
      <c r="BP293" s="377"/>
      <c r="BQ293" s="377"/>
      <c r="BR293" s="377"/>
      <c r="BS293" s="377"/>
      <c r="BT293" s="377"/>
      <c r="BU293" s="377"/>
      <c r="BV293" s="377"/>
      <c r="BW293" s="377"/>
      <c r="BX293" s="377"/>
      <c r="BY293" s="377"/>
      <c r="BZ293" s="377"/>
      <c r="CA293" s="377"/>
      <c r="CB293" s="377"/>
      <c r="CC293" s="377"/>
      <c r="CD293" s="377"/>
      <c r="CE293" s="377"/>
      <c r="CF293" s="377"/>
      <c r="CG293" s="377"/>
      <c r="CH293" s="377"/>
      <c r="CI293" s="377"/>
    </row>
    <row r="294" spans="1:87" ht="15">
      <c r="A294" s="377"/>
      <c r="B294" s="377"/>
      <c r="C294" s="572"/>
      <c r="D294" s="377"/>
      <c r="E294" s="377"/>
      <c r="F294" s="377"/>
      <c r="G294" s="377"/>
      <c r="H294" s="573"/>
      <c r="I294" s="377"/>
      <c r="J294" s="377"/>
      <c r="K294" s="377"/>
      <c r="L294" s="377"/>
      <c r="M294" s="377"/>
      <c r="N294" s="377"/>
      <c r="O294" s="377"/>
      <c r="P294" s="377"/>
      <c r="Q294" s="377"/>
      <c r="R294" s="377"/>
      <c r="S294" s="377"/>
      <c r="T294" s="377"/>
      <c r="U294" s="377"/>
      <c r="V294" s="377"/>
      <c r="W294" s="377"/>
      <c r="X294" s="574"/>
      <c r="Y294" s="377"/>
      <c r="Z294" s="377"/>
      <c r="AA294" s="377"/>
      <c r="AB294" s="377"/>
      <c r="AC294" s="377"/>
      <c r="AD294" s="377"/>
      <c r="AE294" s="377"/>
      <c r="AF294" s="377"/>
      <c r="AG294" s="377"/>
      <c r="AH294" s="377"/>
      <c r="AI294" s="377"/>
      <c r="AJ294" s="377"/>
      <c r="AK294" s="377"/>
      <c r="AL294" s="574"/>
      <c r="AM294" s="377"/>
      <c r="AN294" s="377"/>
      <c r="AO294" s="377"/>
      <c r="AP294" s="377"/>
      <c r="AQ294" s="377"/>
      <c r="AR294" s="377"/>
      <c r="AS294" s="377"/>
      <c r="AT294" s="377"/>
      <c r="AU294" s="377"/>
      <c r="AV294" s="377"/>
      <c r="AW294" s="575"/>
      <c r="AX294" s="377"/>
      <c r="AY294" s="377"/>
      <c r="AZ294" s="377"/>
      <c r="BA294" s="377"/>
      <c r="BB294" s="377"/>
      <c r="BC294" s="377"/>
      <c r="BD294" s="377"/>
      <c r="BE294" s="377"/>
      <c r="BF294" s="377"/>
      <c r="BG294" s="377"/>
      <c r="BH294" s="377"/>
      <c r="BI294" s="377"/>
      <c r="BJ294" s="377"/>
      <c r="BK294" s="377"/>
      <c r="BL294" s="377"/>
      <c r="BM294" s="377"/>
      <c r="BN294" s="576"/>
      <c r="BO294" s="377"/>
      <c r="BP294" s="377"/>
      <c r="BQ294" s="377"/>
      <c r="BR294" s="377"/>
      <c r="BS294" s="377"/>
      <c r="BT294" s="377"/>
      <c r="BU294" s="377"/>
      <c r="BV294" s="377"/>
      <c r="BW294" s="377"/>
      <c r="BX294" s="377"/>
      <c r="BY294" s="377"/>
      <c r="BZ294" s="377"/>
      <c r="CA294" s="377"/>
      <c r="CB294" s="377"/>
      <c r="CC294" s="377"/>
      <c r="CD294" s="377"/>
      <c r="CE294" s="377"/>
      <c r="CF294" s="377"/>
      <c r="CG294" s="377"/>
      <c r="CH294" s="377"/>
      <c r="CI294" s="377"/>
    </row>
    <row r="295" spans="1:87" ht="15">
      <c r="A295" s="377"/>
      <c r="B295" s="377"/>
      <c r="C295" s="572"/>
      <c r="D295" s="377"/>
      <c r="E295" s="377"/>
      <c r="F295" s="377"/>
      <c r="G295" s="377"/>
      <c r="H295" s="573"/>
      <c r="I295" s="377"/>
      <c r="J295" s="377"/>
      <c r="K295" s="377"/>
      <c r="L295" s="377"/>
      <c r="M295" s="377"/>
      <c r="N295" s="377"/>
      <c r="O295" s="377"/>
      <c r="P295" s="377"/>
      <c r="Q295" s="377"/>
      <c r="R295" s="377"/>
      <c r="S295" s="377"/>
      <c r="T295" s="377"/>
      <c r="U295" s="377"/>
      <c r="V295" s="377"/>
      <c r="W295" s="377"/>
      <c r="X295" s="574"/>
      <c r="Y295" s="377"/>
      <c r="Z295" s="377"/>
      <c r="AA295" s="377"/>
      <c r="AB295" s="377"/>
      <c r="AC295" s="377"/>
      <c r="AD295" s="377"/>
      <c r="AE295" s="377"/>
      <c r="AF295" s="377"/>
      <c r="AG295" s="377"/>
      <c r="AH295" s="377"/>
      <c r="AI295" s="377"/>
      <c r="AJ295" s="377"/>
      <c r="AK295" s="377"/>
      <c r="AL295" s="574"/>
      <c r="AM295" s="377"/>
      <c r="AN295" s="377"/>
      <c r="AO295" s="377"/>
      <c r="AP295" s="377"/>
      <c r="AQ295" s="377"/>
      <c r="AR295" s="377"/>
      <c r="AS295" s="377"/>
      <c r="AT295" s="377"/>
      <c r="AU295" s="377"/>
      <c r="AV295" s="377"/>
      <c r="AW295" s="575"/>
      <c r="AX295" s="377"/>
      <c r="AY295" s="377"/>
      <c r="AZ295" s="377"/>
      <c r="BA295" s="377"/>
      <c r="BB295" s="377"/>
      <c r="BC295" s="377"/>
      <c r="BD295" s="377"/>
      <c r="BE295" s="377"/>
      <c r="BF295" s="377"/>
      <c r="BG295" s="377"/>
      <c r="BH295" s="377"/>
      <c r="BI295" s="377"/>
      <c r="BJ295" s="377"/>
      <c r="BK295" s="377"/>
      <c r="BL295" s="377"/>
      <c r="BM295" s="377"/>
      <c r="BN295" s="576"/>
      <c r="BO295" s="377"/>
      <c r="BP295" s="377"/>
      <c r="BQ295" s="377"/>
      <c r="BR295" s="377"/>
      <c r="BS295" s="377"/>
      <c r="BT295" s="377"/>
      <c r="BU295" s="377"/>
      <c r="BV295" s="377"/>
      <c r="BW295" s="377"/>
      <c r="BX295" s="377"/>
      <c r="BY295" s="377"/>
      <c r="BZ295" s="377"/>
      <c r="CA295" s="377"/>
      <c r="CB295" s="377"/>
      <c r="CC295" s="377"/>
      <c r="CD295" s="377"/>
      <c r="CE295" s="377"/>
      <c r="CF295" s="377"/>
      <c r="CG295" s="377"/>
      <c r="CH295" s="377"/>
      <c r="CI295" s="377"/>
    </row>
    <row r="296" spans="1:87" ht="15">
      <c r="A296" s="377"/>
      <c r="B296" s="377"/>
      <c r="C296" s="572"/>
      <c r="D296" s="377"/>
      <c r="E296" s="377"/>
      <c r="F296" s="377"/>
      <c r="G296" s="377"/>
      <c r="H296" s="573"/>
      <c r="I296" s="377"/>
      <c r="J296" s="377"/>
      <c r="K296" s="377"/>
      <c r="L296" s="377"/>
      <c r="M296" s="377"/>
      <c r="N296" s="377"/>
      <c r="O296" s="377"/>
      <c r="P296" s="377"/>
      <c r="Q296" s="377"/>
      <c r="R296" s="377"/>
      <c r="S296" s="377"/>
      <c r="T296" s="377"/>
      <c r="U296" s="377"/>
      <c r="V296" s="377"/>
      <c r="W296" s="377"/>
      <c r="X296" s="574"/>
      <c r="Y296" s="377"/>
      <c r="Z296" s="377"/>
      <c r="AA296" s="377"/>
      <c r="AB296" s="377"/>
      <c r="AC296" s="377"/>
      <c r="AD296" s="377"/>
      <c r="AE296" s="377"/>
      <c r="AF296" s="377"/>
      <c r="AG296" s="377"/>
      <c r="AH296" s="377"/>
      <c r="AI296" s="377"/>
      <c r="AJ296" s="377"/>
      <c r="AK296" s="377"/>
      <c r="AL296" s="574"/>
      <c r="AM296" s="377"/>
      <c r="AN296" s="377"/>
      <c r="AO296" s="377"/>
      <c r="AP296" s="377"/>
      <c r="AQ296" s="377"/>
      <c r="AR296" s="377"/>
      <c r="AS296" s="377"/>
      <c r="AT296" s="377"/>
      <c r="AU296" s="377"/>
      <c r="AV296" s="377"/>
      <c r="AW296" s="575"/>
      <c r="AX296" s="377"/>
      <c r="AY296" s="377"/>
      <c r="AZ296" s="377"/>
      <c r="BA296" s="377"/>
      <c r="BB296" s="377"/>
      <c r="BC296" s="377"/>
      <c r="BD296" s="377"/>
      <c r="BE296" s="377"/>
      <c r="BF296" s="377"/>
      <c r="BG296" s="377"/>
      <c r="BH296" s="377"/>
      <c r="BI296" s="377"/>
      <c r="BJ296" s="377"/>
      <c r="BK296" s="377"/>
      <c r="BL296" s="377"/>
      <c r="BM296" s="377"/>
      <c r="BN296" s="576"/>
      <c r="BO296" s="377"/>
      <c r="BP296" s="377"/>
      <c r="BQ296" s="377"/>
      <c r="BR296" s="377"/>
      <c r="BS296" s="377"/>
      <c r="BT296" s="377"/>
      <c r="BU296" s="377"/>
      <c r="BV296" s="377"/>
      <c r="BW296" s="377"/>
      <c r="BX296" s="377"/>
      <c r="BY296" s="377"/>
      <c r="BZ296" s="377"/>
      <c r="CA296" s="377"/>
      <c r="CB296" s="377"/>
      <c r="CC296" s="377"/>
      <c r="CD296" s="377"/>
      <c r="CE296" s="377"/>
      <c r="CF296" s="377"/>
      <c r="CG296" s="377"/>
      <c r="CH296" s="377"/>
      <c r="CI296" s="377"/>
    </row>
    <row r="297" spans="1:87" ht="15">
      <c r="A297" s="377"/>
      <c r="B297" s="377"/>
      <c r="C297" s="572"/>
      <c r="D297" s="377"/>
      <c r="E297" s="377"/>
      <c r="F297" s="377"/>
      <c r="G297" s="377"/>
      <c r="H297" s="573"/>
      <c r="I297" s="377"/>
      <c r="J297" s="377"/>
      <c r="K297" s="377"/>
      <c r="L297" s="377"/>
      <c r="M297" s="377"/>
      <c r="N297" s="377"/>
      <c r="O297" s="377"/>
      <c r="P297" s="377"/>
      <c r="Q297" s="377"/>
      <c r="R297" s="377"/>
      <c r="S297" s="377"/>
      <c r="T297" s="377"/>
      <c r="U297" s="377"/>
      <c r="V297" s="377"/>
      <c r="W297" s="377"/>
      <c r="X297" s="574"/>
      <c r="Y297" s="377"/>
      <c r="Z297" s="377"/>
      <c r="AA297" s="377"/>
      <c r="AB297" s="377"/>
      <c r="AC297" s="377"/>
      <c r="AD297" s="377"/>
      <c r="AE297" s="377"/>
      <c r="AF297" s="377"/>
      <c r="AG297" s="377"/>
      <c r="AH297" s="377"/>
      <c r="AI297" s="377"/>
      <c r="AJ297" s="377"/>
      <c r="AK297" s="377"/>
      <c r="AL297" s="574"/>
      <c r="AM297" s="377"/>
      <c r="AN297" s="377"/>
      <c r="AO297" s="377"/>
      <c r="AP297" s="377"/>
      <c r="AQ297" s="377"/>
      <c r="AR297" s="377"/>
      <c r="AS297" s="377"/>
      <c r="AT297" s="377"/>
      <c r="AU297" s="377"/>
      <c r="AV297" s="377"/>
      <c r="AW297" s="575"/>
      <c r="AX297" s="377"/>
      <c r="AY297" s="377"/>
      <c r="AZ297" s="377"/>
      <c r="BA297" s="377"/>
      <c r="BB297" s="377"/>
      <c r="BC297" s="377"/>
      <c r="BD297" s="377"/>
      <c r="BE297" s="377"/>
      <c r="BF297" s="377"/>
      <c r="BG297" s="377"/>
      <c r="BH297" s="377"/>
      <c r="BI297" s="377"/>
      <c r="BJ297" s="377"/>
      <c r="BK297" s="377"/>
      <c r="BL297" s="377"/>
      <c r="BM297" s="377"/>
      <c r="BN297" s="576"/>
      <c r="BO297" s="377"/>
      <c r="BP297" s="377"/>
      <c r="BQ297" s="377"/>
      <c r="BR297" s="377"/>
      <c r="BS297" s="377"/>
      <c r="BT297" s="377"/>
      <c r="BU297" s="377"/>
      <c r="BV297" s="377"/>
      <c r="BW297" s="377"/>
      <c r="BX297" s="377"/>
      <c r="BY297" s="377"/>
      <c r="BZ297" s="377"/>
      <c r="CA297" s="377"/>
      <c r="CB297" s="377"/>
      <c r="CC297" s="377"/>
      <c r="CD297" s="377"/>
      <c r="CE297" s="377"/>
      <c r="CF297" s="377"/>
      <c r="CG297" s="377"/>
      <c r="CH297" s="377"/>
      <c r="CI297" s="377"/>
    </row>
    <row r="298" spans="1:87" ht="15">
      <c r="A298" s="377"/>
      <c r="B298" s="377"/>
      <c r="C298" s="572"/>
      <c r="D298" s="377"/>
      <c r="E298" s="377"/>
      <c r="F298" s="377"/>
      <c r="G298" s="377"/>
      <c r="H298" s="573"/>
      <c r="I298" s="377"/>
      <c r="J298" s="377"/>
      <c r="K298" s="377"/>
      <c r="L298" s="377"/>
      <c r="M298" s="377"/>
      <c r="N298" s="377"/>
      <c r="O298" s="377"/>
      <c r="P298" s="377"/>
      <c r="Q298" s="377"/>
      <c r="R298" s="377"/>
      <c r="S298" s="377"/>
      <c r="T298" s="377"/>
      <c r="U298" s="377"/>
      <c r="V298" s="377"/>
      <c r="W298" s="377"/>
      <c r="X298" s="574"/>
      <c r="Y298" s="377"/>
      <c r="Z298" s="377"/>
      <c r="AA298" s="377"/>
      <c r="AB298" s="377"/>
      <c r="AC298" s="377"/>
      <c r="AD298" s="377"/>
      <c r="AE298" s="377"/>
      <c r="AF298" s="377"/>
      <c r="AG298" s="377"/>
      <c r="AH298" s="377"/>
      <c r="AI298" s="377"/>
      <c r="AJ298" s="377"/>
      <c r="AK298" s="377"/>
      <c r="AL298" s="574"/>
      <c r="AM298" s="377"/>
      <c r="AN298" s="377"/>
      <c r="AO298" s="377"/>
      <c r="AP298" s="377"/>
      <c r="AQ298" s="377"/>
      <c r="AR298" s="377"/>
      <c r="AS298" s="377"/>
      <c r="AT298" s="377"/>
      <c r="AU298" s="377"/>
      <c r="AV298" s="377"/>
      <c r="AW298" s="575"/>
      <c r="AX298" s="377"/>
      <c r="AY298" s="377"/>
      <c r="AZ298" s="377"/>
      <c r="BA298" s="377"/>
      <c r="BB298" s="377"/>
      <c r="BC298" s="377"/>
      <c r="BD298" s="377"/>
      <c r="BE298" s="377"/>
      <c r="BF298" s="377"/>
      <c r="BG298" s="377"/>
      <c r="BH298" s="377"/>
      <c r="BI298" s="377"/>
      <c r="BJ298" s="377"/>
      <c r="BK298" s="377"/>
      <c r="BL298" s="377"/>
      <c r="BM298" s="377"/>
      <c r="BN298" s="576"/>
      <c r="BO298" s="377"/>
      <c r="BP298" s="377"/>
      <c r="BQ298" s="377"/>
      <c r="BR298" s="377"/>
      <c r="BS298" s="377"/>
      <c r="BT298" s="377"/>
      <c r="BU298" s="377"/>
      <c r="BV298" s="377"/>
      <c r="BW298" s="377"/>
      <c r="BX298" s="377"/>
      <c r="BY298" s="377"/>
      <c r="BZ298" s="377"/>
      <c r="CA298" s="377"/>
      <c r="CB298" s="377"/>
      <c r="CC298" s="377"/>
      <c r="CD298" s="377"/>
      <c r="CE298" s="377"/>
      <c r="CF298" s="377"/>
      <c r="CG298" s="377"/>
      <c r="CH298" s="377"/>
      <c r="CI298" s="377"/>
    </row>
    <row r="299" spans="1:87" ht="15">
      <c r="A299" s="377"/>
      <c r="B299" s="377"/>
      <c r="C299" s="572"/>
      <c r="D299" s="377"/>
      <c r="E299" s="377"/>
      <c r="F299" s="377"/>
      <c r="G299" s="377"/>
      <c r="H299" s="573"/>
      <c r="I299" s="377"/>
      <c r="J299" s="377"/>
      <c r="K299" s="377"/>
      <c r="L299" s="377"/>
      <c r="M299" s="377"/>
      <c r="N299" s="377"/>
      <c r="O299" s="377"/>
      <c r="P299" s="377"/>
      <c r="Q299" s="377"/>
      <c r="R299" s="377"/>
      <c r="S299" s="377"/>
      <c r="T299" s="377"/>
      <c r="U299" s="377"/>
      <c r="V299" s="377"/>
      <c r="W299" s="377"/>
      <c r="X299" s="574"/>
      <c r="Y299" s="377"/>
      <c r="Z299" s="377"/>
      <c r="AA299" s="377"/>
      <c r="AB299" s="377"/>
      <c r="AC299" s="377"/>
      <c r="AD299" s="377"/>
      <c r="AE299" s="377"/>
      <c r="AF299" s="377"/>
      <c r="AG299" s="377"/>
      <c r="AH299" s="377"/>
      <c r="AI299" s="377"/>
      <c r="AJ299" s="377"/>
      <c r="AK299" s="377"/>
      <c r="AL299" s="574"/>
      <c r="AM299" s="377"/>
      <c r="AN299" s="377"/>
      <c r="AO299" s="377"/>
      <c r="AP299" s="377"/>
      <c r="AQ299" s="377"/>
      <c r="AR299" s="377"/>
      <c r="AS299" s="377"/>
      <c r="AT299" s="377"/>
      <c r="AU299" s="377"/>
      <c r="AV299" s="377"/>
      <c r="AW299" s="575"/>
      <c r="AX299" s="377"/>
      <c r="AY299" s="377"/>
      <c r="AZ299" s="377"/>
      <c r="BA299" s="377"/>
      <c r="BB299" s="377"/>
      <c r="BC299" s="377"/>
      <c r="BD299" s="377"/>
      <c r="BE299" s="377"/>
      <c r="BF299" s="377"/>
      <c r="BG299" s="377"/>
      <c r="BH299" s="377"/>
      <c r="BI299" s="377"/>
      <c r="BJ299" s="377"/>
      <c r="BK299" s="377"/>
      <c r="BL299" s="377"/>
      <c r="BM299" s="377"/>
      <c r="BN299" s="576"/>
      <c r="BO299" s="377"/>
      <c r="BP299" s="377"/>
      <c r="BQ299" s="377"/>
      <c r="BR299" s="377"/>
      <c r="BS299" s="377"/>
      <c r="BT299" s="377"/>
      <c r="BU299" s="377"/>
      <c r="BV299" s="377"/>
      <c r="BW299" s="377"/>
      <c r="BX299" s="377"/>
      <c r="BY299" s="377"/>
      <c r="BZ299" s="377"/>
      <c r="CA299" s="377"/>
      <c r="CB299" s="377"/>
      <c r="CC299" s="377"/>
      <c r="CD299" s="377"/>
      <c r="CE299" s="377"/>
      <c r="CF299" s="377"/>
      <c r="CG299" s="377"/>
      <c r="CH299" s="377"/>
      <c r="CI299" s="377"/>
    </row>
    <row r="300" spans="1:87" ht="15">
      <c r="A300" s="377"/>
      <c r="B300" s="377"/>
      <c r="C300" s="572"/>
      <c r="D300" s="377"/>
      <c r="E300" s="377"/>
      <c r="F300" s="377"/>
      <c r="G300" s="377"/>
      <c r="H300" s="573"/>
      <c r="I300" s="377"/>
      <c r="J300" s="377"/>
      <c r="K300" s="377"/>
      <c r="L300" s="377"/>
      <c r="M300" s="377"/>
      <c r="N300" s="377"/>
      <c r="O300" s="377"/>
      <c r="P300" s="377"/>
      <c r="Q300" s="377"/>
      <c r="R300" s="377"/>
      <c r="S300" s="377"/>
      <c r="T300" s="377"/>
      <c r="U300" s="377"/>
      <c r="V300" s="377"/>
      <c r="W300" s="377"/>
      <c r="X300" s="574"/>
      <c r="Y300" s="377"/>
      <c r="Z300" s="377"/>
      <c r="AA300" s="377"/>
      <c r="AB300" s="377"/>
      <c r="AC300" s="377"/>
      <c r="AD300" s="377"/>
      <c r="AE300" s="377"/>
      <c r="AF300" s="377"/>
      <c r="AG300" s="377"/>
      <c r="AH300" s="377"/>
      <c r="AI300" s="377"/>
      <c r="AJ300" s="377"/>
      <c r="AK300" s="377"/>
      <c r="AL300" s="574"/>
      <c r="AM300" s="377"/>
      <c r="AN300" s="377"/>
      <c r="AO300" s="377"/>
      <c r="AP300" s="377"/>
      <c r="AQ300" s="377"/>
      <c r="AR300" s="377"/>
      <c r="AS300" s="377"/>
      <c r="AT300" s="377"/>
      <c r="AU300" s="377"/>
      <c r="AV300" s="377"/>
      <c r="AW300" s="575"/>
      <c r="AX300" s="377"/>
      <c r="AY300" s="377"/>
      <c r="AZ300" s="377"/>
      <c r="BA300" s="377"/>
      <c r="BB300" s="377"/>
      <c r="BC300" s="377"/>
      <c r="BD300" s="377"/>
      <c r="BE300" s="377"/>
      <c r="BF300" s="377"/>
      <c r="BG300" s="377"/>
      <c r="BH300" s="377"/>
      <c r="BI300" s="377"/>
      <c r="BJ300" s="377"/>
      <c r="BK300" s="377"/>
      <c r="BL300" s="377"/>
      <c r="BM300" s="377"/>
      <c r="BN300" s="576"/>
      <c r="BO300" s="377"/>
      <c r="BP300" s="377"/>
      <c r="BQ300" s="377"/>
      <c r="BR300" s="377"/>
      <c r="BS300" s="377"/>
      <c r="BT300" s="377"/>
      <c r="BU300" s="377"/>
      <c r="BV300" s="377"/>
      <c r="BW300" s="377"/>
      <c r="BX300" s="377"/>
      <c r="BY300" s="377"/>
      <c r="BZ300" s="377"/>
      <c r="CA300" s="377"/>
      <c r="CB300" s="377"/>
      <c r="CC300" s="377"/>
      <c r="CD300" s="377"/>
      <c r="CE300" s="377"/>
      <c r="CF300" s="377"/>
      <c r="CG300" s="377"/>
      <c r="CH300" s="377"/>
      <c r="CI300" s="377"/>
    </row>
    <row r="301" spans="1:87" ht="15">
      <c r="A301" s="377"/>
      <c r="B301" s="377"/>
      <c r="C301" s="572"/>
      <c r="D301" s="377"/>
      <c r="E301" s="377"/>
      <c r="F301" s="377"/>
      <c r="G301" s="377"/>
      <c r="H301" s="573"/>
      <c r="I301" s="377"/>
      <c r="J301" s="377"/>
      <c r="K301" s="377"/>
      <c r="L301" s="377"/>
      <c r="M301" s="377"/>
      <c r="N301" s="377"/>
      <c r="O301" s="377"/>
      <c r="P301" s="377"/>
      <c r="Q301" s="377"/>
      <c r="R301" s="377"/>
      <c r="S301" s="377"/>
      <c r="T301" s="377"/>
      <c r="U301" s="377"/>
      <c r="V301" s="377"/>
      <c r="W301" s="377"/>
      <c r="X301" s="574"/>
      <c r="Y301" s="377"/>
      <c r="Z301" s="377"/>
      <c r="AA301" s="377"/>
      <c r="AB301" s="377"/>
      <c r="AC301" s="377"/>
      <c r="AD301" s="377"/>
      <c r="AE301" s="377"/>
      <c r="AF301" s="377"/>
      <c r="AG301" s="377"/>
      <c r="AH301" s="377"/>
      <c r="AI301" s="377"/>
      <c r="AJ301" s="377"/>
      <c r="AK301" s="377"/>
      <c r="AL301" s="574"/>
      <c r="AM301" s="377"/>
      <c r="AN301" s="377"/>
      <c r="AO301" s="377"/>
      <c r="AP301" s="377"/>
      <c r="AQ301" s="377"/>
      <c r="AR301" s="377"/>
      <c r="AS301" s="377"/>
      <c r="AT301" s="377"/>
      <c r="AU301" s="377"/>
      <c r="AV301" s="377"/>
      <c r="AW301" s="575"/>
      <c r="AX301" s="377"/>
      <c r="AY301" s="377"/>
      <c r="AZ301" s="377"/>
      <c r="BA301" s="377"/>
      <c r="BB301" s="377"/>
      <c r="BC301" s="377"/>
      <c r="BD301" s="377"/>
      <c r="BE301" s="377"/>
      <c r="BF301" s="377"/>
      <c r="BG301" s="377"/>
      <c r="BH301" s="377"/>
      <c r="BI301" s="377"/>
      <c r="BJ301" s="377"/>
      <c r="BK301" s="377"/>
      <c r="BL301" s="377"/>
      <c r="BM301" s="377"/>
      <c r="BN301" s="576"/>
      <c r="BO301" s="377"/>
      <c r="BP301" s="377"/>
      <c r="BQ301" s="377"/>
      <c r="BR301" s="377"/>
      <c r="BS301" s="377"/>
      <c r="BT301" s="377"/>
      <c r="BU301" s="377"/>
      <c r="BV301" s="377"/>
      <c r="BW301" s="377"/>
      <c r="BX301" s="377"/>
      <c r="BY301" s="377"/>
      <c r="BZ301" s="377"/>
      <c r="CA301" s="377"/>
      <c r="CB301" s="377"/>
      <c r="CC301" s="377"/>
      <c r="CD301" s="377"/>
      <c r="CE301" s="377"/>
      <c r="CF301" s="377"/>
      <c r="CG301" s="377"/>
      <c r="CH301" s="377"/>
      <c r="CI301" s="377"/>
    </row>
    <row r="302" spans="1:87" ht="15">
      <c r="A302" s="377"/>
      <c r="B302" s="377"/>
      <c r="C302" s="572"/>
      <c r="D302" s="377"/>
      <c r="E302" s="377"/>
      <c r="F302" s="377"/>
      <c r="G302" s="377"/>
      <c r="H302" s="573"/>
      <c r="I302" s="377"/>
      <c r="J302" s="377"/>
      <c r="K302" s="377"/>
      <c r="L302" s="377"/>
      <c r="M302" s="377"/>
      <c r="N302" s="377"/>
      <c r="O302" s="377"/>
      <c r="P302" s="377"/>
      <c r="Q302" s="377"/>
      <c r="R302" s="377"/>
      <c r="S302" s="377"/>
      <c r="T302" s="377"/>
      <c r="U302" s="377"/>
      <c r="V302" s="377"/>
      <c r="W302" s="377"/>
      <c r="X302" s="574"/>
      <c r="Y302" s="377"/>
      <c r="Z302" s="377"/>
      <c r="AA302" s="377"/>
      <c r="AB302" s="377"/>
      <c r="AC302" s="377"/>
      <c r="AD302" s="377"/>
      <c r="AE302" s="377"/>
      <c r="AF302" s="377"/>
      <c r="AG302" s="377"/>
      <c r="AH302" s="377"/>
      <c r="AI302" s="377"/>
      <c r="AJ302" s="377"/>
      <c r="AK302" s="377"/>
      <c r="AL302" s="574"/>
      <c r="AM302" s="377"/>
      <c r="AN302" s="377"/>
      <c r="AO302" s="377"/>
      <c r="AP302" s="377"/>
      <c r="AQ302" s="377"/>
      <c r="AR302" s="377"/>
      <c r="AS302" s="377"/>
      <c r="AT302" s="377"/>
      <c r="AU302" s="377"/>
      <c r="AV302" s="377"/>
      <c r="AW302" s="575"/>
      <c r="AX302" s="377"/>
      <c r="AY302" s="377"/>
      <c r="AZ302" s="377"/>
      <c r="BA302" s="377"/>
      <c r="BB302" s="377"/>
      <c r="BC302" s="377"/>
      <c r="BD302" s="377"/>
      <c r="BE302" s="377"/>
      <c r="BF302" s="377"/>
      <c r="BG302" s="377"/>
      <c r="BH302" s="377"/>
      <c r="BI302" s="377"/>
      <c r="BJ302" s="377"/>
      <c r="BK302" s="377"/>
      <c r="BL302" s="377"/>
      <c r="BM302" s="377"/>
      <c r="BN302" s="576"/>
      <c r="BO302" s="377"/>
      <c r="BP302" s="377"/>
      <c r="BQ302" s="377"/>
      <c r="BR302" s="377"/>
      <c r="BS302" s="377"/>
      <c r="BT302" s="377"/>
      <c r="BU302" s="377"/>
      <c r="BV302" s="377"/>
      <c r="BW302" s="377"/>
      <c r="BX302" s="377"/>
      <c r="BY302" s="377"/>
      <c r="BZ302" s="377"/>
      <c r="CA302" s="377"/>
      <c r="CB302" s="377"/>
      <c r="CC302" s="377"/>
      <c r="CD302" s="377"/>
      <c r="CE302" s="377"/>
      <c r="CF302" s="377"/>
      <c r="CG302" s="377"/>
      <c r="CH302" s="377"/>
      <c r="CI302" s="377"/>
    </row>
    <row r="303" spans="1:87" ht="15">
      <c r="A303" s="377"/>
      <c r="B303" s="377"/>
      <c r="C303" s="572"/>
      <c r="D303" s="377"/>
      <c r="E303" s="377"/>
      <c r="F303" s="377"/>
      <c r="G303" s="377"/>
      <c r="H303" s="573"/>
      <c r="I303" s="377"/>
      <c r="J303" s="377"/>
      <c r="K303" s="377"/>
      <c r="L303" s="377"/>
      <c r="M303" s="377"/>
      <c r="N303" s="377"/>
      <c r="O303" s="377"/>
      <c r="P303" s="377"/>
      <c r="Q303" s="377"/>
      <c r="R303" s="377"/>
      <c r="S303" s="377"/>
      <c r="T303" s="377"/>
      <c r="U303" s="377"/>
      <c r="V303" s="377"/>
      <c r="W303" s="377"/>
      <c r="X303" s="574"/>
      <c r="Y303" s="377"/>
      <c r="Z303" s="377"/>
      <c r="AA303" s="377"/>
      <c r="AB303" s="377"/>
      <c r="AC303" s="377"/>
      <c r="AD303" s="377"/>
      <c r="AE303" s="377"/>
      <c r="AF303" s="377"/>
      <c r="AG303" s="377"/>
      <c r="AH303" s="377"/>
      <c r="AI303" s="377"/>
      <c r="AJ303" s="377"/>
      <c r="AK303" s="377"/>
      <c r="AL303" s="574"/>
      <c r="AM303" s="377"/>
      <c r="AN303" s="377"/>
      <c r="AO303" s="377"/>
      <c r="AP303" s="377"/>
      <c r="AQ303" s="377"/>
      <c r="AR303" s="377"/>
      <c r="AS303" s="377"/>
      <c r="AT303" s="377"/>
      <c r="AU303" s="377"/>
      <c r="AV303" s="377"/>
      <c r="AW303" s="575"/>
      <c r="AX303" s="377"/>
      <c r="AY303" s="377"/>
      <c r="AZ303" s="377"/>
      <c r="BA303" s="377"/>
      <c r="BB303" s="377"/>
      <c r="BC303" s="377"/>
      <c r="BD303" s="377"/>
      <c r="BE303" s="377"/>
      <c r="BF303" s="377"/>
      <c r="BG303" s="377"/>
      <c r="BH303" s="377"/>
      <c r="BI303" s="377"/>
      <c r="BJ303" s="377"/>
      <c r="BK303" s="377"/>
      <c r="BL303" s="377"/>
      <c r="BM303" s="377"/>
      <c r="BN303" s="576"/>
      <c r="BO303" s="377"/>
      <c r="BP303" s="377"/>
      <c r="BQ303" s="377"/>
      <c r="BR303" s="377"/>
      <c r="BS303" s="377"/>
      <c r="BT303" s="377"/>
      <c r="BU303" s="377"/>
      <c r="BV303" s="377"/>
      <c r="BW303" s="377"/>
      <c r="BX303" s="377"/>
      <c r="BY303" s="377"/>
      <c r="BZ303" s="377"/>
      <c r="CA303" s="377"/>
      <c r="CB303" s="377"/>
      <c r="CC303" s="377"/>
      <c r="CD303" s="377"/>
      <c r="CE303" s="377"/>
      <c r="CF303" s="377"/>
      <c r="CG303" s="377"/>
      <c r="CH303" s="377"/>
      <c r="CI303" s="377"/>
    </row>
    <row r="304" spans="1:87" ht="15">
      <c r="A304" s="377"/>
      <c r="B304" s="377"/>
      <c r="C304" s="572"/>
      <c r="D304" s="377"/>
      <c r="E304" s="377"/>
      <c r="F304" s="377"/>
      <c r="G304" s="377"/>
      <c r="H304" s="573"/>
      <c r="I304" s="377"/>
      <c r="J304" s="377"/>
      <c r="K304" s="377"/>
      <c r="L304" s="377"/>
      <c r="M304" s="377"/>
      <c r="N304" s="377"/>
      <c r="O304" s="377"/>
      <c r="P304" s="377"/>
      <c r="Q304" s="377"/>
      <c r="R304" s="377"/>
      <c r="S304" s="377"/>
      <c r="T304" s="377"/>
      <c r="U304" s="377"/>
      <c r="V304" s="377"/>
      <c r="W304" s="377"/>
      <c r="X304" s="574"/>
      <c r="Y304" s="377"/>
      <c r="Z304" s="377"/>
      <c r="AA304" s="377"/>
      <c r="AB304" s="377"/>
      <c r="AC304" s="377"/>
      <c r="AD304" s="377"/>
      <c r="AE304" s="377"/>
      <c r="AF304" s="377"/>
      <c r="AG304" s="377"/>
      <c r="AH304" s="377"/>
      <c r="AI304" s="377"/>
      <c r="AJ304" s="377"/>
      <c r="AK304" s="377"/>
      <c r="AL304" s="574"/>
      <c r="AM304" s="377"/>
      <c r="AN304" s="377"/>
      <c r="AO304" s="377"/>
      <c r="AP304" s="377"/>
      <c r="AQ304" s="377"/>
      <c r="AR304" s="377"/>
      <c r="AS304" s="377"/>
      <c r="AT304" s="377"/>
      <c r="AU304" s="377"/>
      <c r="AV304" s="377"/>
      <c r="AW304" s="575"/>
      <c r="AX304" s="377"/>
      <c r="AY304" s="377"/>
      <c r="AZ304" s="377"/>
      <c r="BA304" s="377"/>
      <c r="BB304" s="377"/>
      <c r="BC304" s="377"/>
      <c r="BD304" s="377"/>
      <c r="BE304" s="377"/>
      <c r="BF304" s="377"/>
      <c r="BG304" s="377"/>
      <c r="BH304" s="377"/>
      <c r="BI304" s="377"/>
      <c r="BJ304" s="377"/>
      <c r="BK304" s="377"/>
      <c r="BL304" s="377"/>
      <c r="BM304" s="377"/>
      <c r="BN304" s="576"/>
      <c r="BO304" s="377"/>
      <c r="BP304" s="377"/>
      <c r="BQ304" s="377"/>
      <c r="BR304" s="377"/>
      <c r="BS304" s="377"/>
      <c r="BT304" s="377"/>
      <c r="BU304" s="377"/>
      <c r="BV304" s="377"/>
      <c r="BW304" s="377"/>
      <c r="BX304" s="377"/>
      <c r="BY304" s="377"/>
      <c r="BZ304" s="377"/>
      <c r="CA304" s="377"/>
      <c r="CB304" s="377"/>
      <c r="CC304" s="377"/>
      <c r="CD304" s="377"/>
      <c r="CE304" s="377"/>
      <c r="CF304" s="377"/>
      <c r="CG304" s="377"/>
      <c r="CH304" s="377"/>
      <c r="CI304" s="377"/>
    </row>
    <row r="305" spans="1:87" ht="15">
      <c r="A305" s="377"/>
      <c r="B305" s="377"/>
      <c r="C305" s="572"/>
      <c r="D305" s="377"/>
      <c r="E305" s="377"/>
      <c r="F305" s="377"/>
      <c r="G305" s="377"/>
      <c r="H305" s="573"/>
      <c r="I305" s="377"/>
      <c r="J305" s="377"/>
      <c r="K305" s="377"/>
      <c r="L305" s="377"/>
      <c r="M305" s="377"/>
      <c r="N305" s="377"/>
      <c r="O305" s="377"/>
      <c r="P305" s="377"/>
      <c r="Q305" s="377"/>
      <c r="R305" s="377"/>
      <c r="S305" s="377"/>
      <c r="T305" s="377"/>
      <c r="U305" s="377"/>
      <c r="V305" s="377"/>
      <c r="W305" s="377"/>
      <c r="X305" s="574"/>
      <c r="Y305" s="377"/>
      <c r="Z305" s="377"/>
      <c r="AA305" s="377"/>
      <c r="AB305" s="377"/>
      <c r="AC305" s="377"/>
      <c r="AD305" s="377"/>
      <c r="AE305" s="377"/>
      <c r="AF305" s="377"/>
      <c r="AG305" s="377"/>
      <c r="AH305" s="377"/>
      <c r="AI305" s="377"/>
      <c r="AJ305" s="377"/>
      <c r="AK305" s="377"/>
      <c r="AL305" s="574"/>
      <c r="AM305" s="377"/>
      <c r="AN305" s="377"/>
      <c r="AO305" s="377"/>
      <c r="AP305" s="377"/>
      <c r="AQ305" s="377"/>
      <c r="AR305" s="377"/>
      <c r="AS305" s="377"/>
      <c r="AT305" s="377"/>
      <c r="AU305" s="377"/>
      <c r="AV305" s="377"/>
      <c r="AW305" s="575"/>
      <c r="AX305" s="377"/>
      <c r="AY305" s="377"/>
      <c r="AZ305" s="377"/>
      <c r="BA305" s="377"/>
      <c r="BB305" s="377"/>
      <c r="BC305" s="377"/>
      <c r="BD305" s="377"/>
      <c r="BE305" s="377"/>
      <c r="BF305" s="377"/>
      <c r="BG305" s="377"/>
      <c r="BH305" s="377"/>
      <c r="BI305" s="377"/>
      <c r="BJ305" s="377"/>
      <c r="BK305" s="377"/>
      <c r="BL305" s="377"/>
      <c r="BM305" s="377"/>
      <c r="BN305" s="576"/>
      <c r="BO305" s="377"/>
      <c r="BP305" s="377"/>
      <c r="BQ305" s="377"/>
      <c r="BR305" s="377"/>
      <c r="BS305" s="377"/>
      <c r="BT305" s="377"/>
      <c r="BU305" s="377"/>
      <c r="BV305" s="377"/>
      <c r="BW305" s="377"/>
      <c r="BX305" s="377"/>
      <c r="BY305" s="377"/>
      <c r="BZ305" s="377"/>
      <c r="CA305" s="377"/>
      <c r="CB305" s="377"/>
      <c r="CC305" s="377"/>
      <c r="CD305" s="377"/>
      <c r="CE305" s="377"/>
      <c r="CF305" s="377"/>
      <c r="CG305" s="377"/>
      <c r="CH305" s="377"/>
      <c r="CI305" s="377"/>
    </row>
    <row r="306" spans="1:87" ht="15">
      <c r="A306" s="377"/>
      <c r="B306" s="377"/>
      <c r="C306" s="572"/>
      <c r="D306" s="377"/>
      <c r="E306" s="377"/>
      <c r="F306" s="377"/>
      <c r="G306" s="377"/>
      <c r="H306" s="573"/>
      <c r="I306" s="377"/>
      <c r="J306" s="377"/>
      <c r="K306" s="377"/>
      <c r="L306" s="377"/>
      <c r="M306" s="377"/>
      <c r="N306" s="377"/>
      <c r="O306" s="377"/>
      <c r="P306" s="377"/>
      <c r="Q306" s="377"/>
      <c r="R306" s="377"/>
      <c r="S306" s="377"/>
      <c r="T306" s="377"/>
      <c r="U306" s="377"/>
      <c r="V306" s="377"/>
      <c r="W306" s="377"/>
      <c r="X306" s="574"/>
      <c r="Y306" s="377"/>
      <c r="Z306" s="377"/>
      <c r="AA306" s="377"/>
      <c r="AB306" s="377"/>
      <c r="AC306" s="377"/>
      <c r="AD306" s="377"/>
      <c r="AE306" s="377"/>
      <c r="AF306" s="377"/>
      <c r="AG306" s="377"/>
      <c r="AH306" s="377"/>
      <c r="AI306" s="377"/>
      <c r="AJ306" s="377"/>
      <c r="AK306" s="377"/>
      <c r="AL306" s="574"/>
      <c r="AM306" s="377"/>
      <c r="AN306" s="377"/>
      <c r="AO306" s="377"/>
      <c r="AP306" s="377"/>
      <c r="AQ306" s="377"/>
      <c r="AR306" s="377"/>
      <c r="AS306" s="377"/>
      <c r="AT306" s="377"/>
      <c r="AU306" s="377"/>
      <c r="AV306" s="377"/>
      <c r="AW306" s="575"/>
      <c r="AX306" s="377"/>
      <c r="AY306" s="377"/>
      <c r="AZ306" s="377"/>
      <c r="BA306" s="377"/>
      <c r="BB306" s="377"/>
      <c r="BC306" s="377"/>
      <c r="BD306" s="377"/>
      <c r="BE306" s="377"/>
      <c r="BF306" s="377"/>
      <c r="BG306" s="377"/>
      <c r="BH306" s="377"/>
      <c r="BI306" s="377"/>
      <c r="BJ306" s="377"/>
      <c r="BK306" s="377"/>
      <c r="BL306" s="377"/>
      <c r="BM306" s="377"/>
      <c r="BN306" s="576"/>
      <c r="BO306" s="377"/>
      <c r="BP306" s="377"/>
      <c r="BQ306" s="377"/>
      <c r="BR306" s="377"/>
      <c r="BS306" s="377"/>
      <c r="BT306" s="377"/>
      <c r="BU306" s="377"/>
      <c r="BV306" s="377"/>
      <c r="BW306" s="377"/>
      <c r="BX306" s="377"/>
      <c r="BY306" s="377"/>
      <c r="BZ306" s="377"/>
      <c r="CA306" s="377"/>
      <c r="CB306" s="377"/>
      <c r="CC306" s="377"/>
      <c r="CD306" s="377"/>
      <c r="CE306" s="377"/>
      <c r="CF306" s="377"/>
      <c r="CG306" s="377"/>
      <c r="CH306" s="377"/>
      <c r="CI306" s="377"/>
    </row>
    <row r="307" spans="1:87" ht="15">
      <c r="A307" s="377"/>
      <c r="B307" s="377"/>
      <c r="C307" s="572"/>
      <c r="D307" s="377"/>
      <c r="E307" s="377"/>
      <c r="F307" s="377"/>
      <c r="G307" s="377"/>
      <c r="H307" s="573"/>
      <c r="I307" s="377"/>
      <c r="J307" s="377"/>
      <c r="K307" s="377"/>
      <c r="L307" s="377"/>
      <c r="M307" s="377"/>
      <c r="N307" s="377"/>
      <c r="O307" s="377"/>
      <c r="P307" s="377"/>
      <c r="Q307" s="377"/>
      <c r="R307" s="377"/>
      <c r="S307" s="377"/>
      <c r="T307" s="377"/>
      <c r="U307" s="377"/>
      <c r="V307" s="377"/>
      <c r="W307" s="377"/>
      <c r="X307" s="574"/>
      <c r="Y307" s="377"/>
      <c r="Z307" s="377"/>
      <c r="AA307" s="377"/>
      <c r="AB307" s="377"/>
      <c r="AC307" s="377"/>
      <c r="AD307" s="377"/>
      <c r="AE307" s="377"/>
      <c r="AF307" s="377"/>
      <c r="AG307" s="377"/>
      <c r="AH307" s="377"/>
      <c r="AI307" s="377"/>
      <c r="AJ307" s="377"/>
      <c r="AK307" s="377"/>
      <c r="AL307" s="574"/>
      <c r="AM307" s="377"/>
      <c r="AN307" s="377"/>
      <c r="AO307" s="377"/>
      <c r="AP307" s="377"/>
      <c r="AQ307" s="377"/>
      <c r="AR307" s="377"/>
      <c r="AS307" s="377"/>
      <c r="AT307" s="377"/>
      <c r="AU307" s="377"/>
      <c r="AV307" s="377"/>
      <c r="AW307" s="575"/>
      <c r="AX307" s="377"/>
      <c r="AY307" s="377"/>
      <c r="AZ307" s="377"/>
      <c r="BA307" s="377"/>
      <c r="BB307" s="377"/>
      <c r="BC307" s="377"/>
      <c r="BD307" s="377"/>
      <c r="BE307" s="377"/>
      <c r="BF307" s="377"/>
      <c r="BG307" s="377"/>
      <c r="BH307" s="377"/>
      <c r="BI307" s="377"/>
      <c r="BJ307" s="377"/>
      <c r="BK307" s="377"/>
      <c r="BL307" s="377"/>
      <c r="BM307" s="377"/>
      <c r="BN307" s="576"/>
      <c r="BO307" s="377"/>
      <c r="BP307" s="377"/>
      <c r="BQ307" s="377"/>
      <c r="BR307" s="377"/>
      <c r="BS307" s="377"/>
      <c r="BT307" s="377"/>
      <c r="BU307" s="377"/>
      <c r="BV307" s="377"/>
      <c r="BW307" s="377"/>
      <c r="BX307" s="377"/>
      <c r="BY307" s="377"/>
      <c r="BZ307" s="377"/>
      <c r="CA307" s="377"/>
      <c r="CB307" s="377"/>
      <c r="CC307" s="377"/>
      <c r="CD307" s="377"/>
      <c r="CE307" s="377"/>
      <c r="CF307" s="377"/>
      <c r="CG307" s="377"/>
      <c r="CH307" s="377"/>
      <c r="CI307" s="377"/>
    </row>
    <row r="308" spans="1:87" ht="15">
      <c r="A308" s="377"/>
      <c r="B308" s="377"/>
      <c r="C308" s="572"/>
      <c r="D308" s="377"/>
      <c r="E308" s="377"/>
      <c r="F308" s="377"/>
      <c r="G308" s="377"/>
      <c r="H308" s="573"/>
      <c r="I308" s="377"/>
      <c r="J308" s="377"/>
      <c r="K308" s="377"/>
      <c r="L308" s="377"/>
      <c r="M308" s="377"/>
      <c r="N308" s="377"/>
      <c r="O308" s="377"/>
      <c r="P308" s="377"/>
      <c r="Q308" s="377"/>
      <c r="R308" s="377"/>
      <c r="S308" s="377"/>
      <c r="T308" s="377"/>
      <c r="U308" s="377"/>
      <c r="V308" s="377"/>
      <c r="W308" s="377"/>
      <c r="X308" s="574"/>
      <c r="Y308" s="377"/>
      <c r="Z308" s="377"/>
      <c r="AA308" s="377"/>
      <c r="AB308" s="377"/>
      <c r="AC308" s="377"/>
      <c r="AD308" s="377"/>
      <c r="AE308" s="377"/>
      <c r="AF308" s="377"/>
      <c r="AG308" s="377"/>
      <c r="AH308" s="377"/>
      <c r="AI308" s="377"/>
      <c r="AJ308" s="377"/>
      <c r="AK308" s="377"/>
      <c r="AL308" s="574"/>
      <c r="AM308" s="377"/>
      <c r="AN308" s="377"/>
      <c r="AO308" s="377"/>
      <c r="AP308" s="377"/>
      <c r="AQ308" s="377"/>
      <c r="AR308" s="377"/>
      <c r="AS308" s="377"/>
      <c r="AT308" s="377"/>
      <c r="AU308" s="377"/>
      <c r="AV308" s="377"/>
      <c r="AW308" s="575"/>
      <c r="AX308" s="377"/>
      <c r="AY308" s="377"/>
      <c r="AZ308" s="377"/>
      <c r="BA308" s="377"/>
      <c r="BB308" s="377"/>
      <c r="BC308" s="377"/>
      <c r="BD308" s="377"/>
      <c r="BE308" s="377"/>
      <c r="BF308" s="377"/>
      <c r="BG308" s="377"/>
      <c r="BH308" s="377"/>
      <c r="BI308" s="377"/>
      <c r="BJ308" s="377"/>
      <c r="BK308" s="377"/>
      <c r="BL308" s="377"/>
      <c r="BM308" s="377"/>
      <c r="BN308" s="576"/>
      <c r="BO308" s="377"/>
      <c r="BP308" s="377"/>
      <c r="BQ308" s="377"/>
      <c r="BR308" s="377"/>
      <c r="BS308" s="377"/>
      <c r="BT308" s="377"/>
      <c r="BU308" s="377"/>
      <c r="BV308" s="377"/>
      <c r="BW308" s="377"/>
      <c r="BX308" s="377"/>
      <c r="BY308" s="377"/>
      <c r="BZ308" s="377"/>
      <c r="CA308" s="377"/>
      <c r="CB308" s="377"/>
      <c r="CC308" s="377"/>
      <c r="CD308" s="377"/>
      <c r="CE308" s="377"/>
      <c r="CF308" s="377"/>
      <c r="CG308" s="377"/>
      <c r="CH308" s="377"/>
      <c r="CI308" s="377"/>
    </row>
    <row r="309" spans="1:87" ht="15">
      <c r="A309" s="377"/>
      <c r="B309" s="377"/>
      <c r="C309" s="572"/>
      <c r="D309" s="377"/>
      <c r="E309" s="377"/>
      <c r="F309" s="377"/>
      <c r="G309" s="377"/>
      <c r="H309" s="573"/>
      <c r="I309" s="377"/>
      <c r="J309" s="377"/>
      <c r="K309" s="377"/>
      <c r="L309" s="377"/>
      <c r="M309" s="377"/>
      <c r="N309" s="377"/>
      <c r="O309" s="377"/>
      <c r="P309" s="377"/>
      <c r="Q309" s="377"/>
      <c r="R309" s="377"/>
      <c r="S309" s="377"/>
      <c r="T309" s="377"/>
      <c r="U309" s="377"/>
      <c r="V309" s="377"/>
      <c r="W309" s="377"/>
      <c r="X309" s="574"/>
      <c r="Y309" s="377"/>
      <c r="Z309" s="377"/>
      <c r="AA309" s="377"/>
      <c r="AB309" s="377"/>
      <c r="AC309" s="377"/>
      <c r="AD309" s="377"/>
      <c r="AE309" s="377"/>
      <c r="AF309" s="377"/>
      <c r="AG309" s="377"/>
      <c r="AH309" s="377"/>
      <c r="AI309" s="377"/>
      <c r="AJ309" s="377"/>
      <c r="AK309" s="377"/>
      <c r="AL309" s="574"/>
      <c r="AM309" s="377"/>
      <c r="AN309" s="377"/>
      <c r="AO309" s="377"/>
      <c r="AP309" s="377"/>
      <c r="AQ309" s="377"/>
      <c r="AR309" s="377"/>
      <c r="AS309" s="377"/>
      <c r="AT309" s="377"/>
      <c r="AU309" s="377"/>
      <c r="AV309" s="377"/>
      <c r="AW309" s="575"/>
      <c r="AX309" s="377"/>
      <c r="AY309" s="377"/>
      <c r="AZ309" s="377"/>
      <c r="BA309" s="377"/>
      <c r="BB309" s="377"/>
      <c r="BC309" s="377"/>
      <c r="BD309" s="377"/>
      <c r="BE309" s="377"/>
      <c r="BF309" s="377"/>
      <c r="BG309" s="377"/>
      <c r="BH309" s="377"/>
      <c r="BI309" s="377"/>
      <c r="BJ309" s="377"/>
      <c r="BK309" s="377"/>
      <c r="BL309" s="377"/>
      <c r="BM309" s="377"/>
      <c r="BN309" s="576"/>
      <c r="BO309" s="377"/>
      <c r="BP309" s="377"/>
      <c r="BQ309" s="377"/>
      <c r="BR309" s="377"/>
      <c r="BS309" s="377"/>
      <c r="BT309" s="377"/>
      <c r="BU309" s="377"/>
      <c r="BV309" s="377"/>
      <c r="BW309" s="377"/>
      <c r="BX309" s="377"/>
      <c r="BY309" s="377"/>
      <c r="BZ309" s="377"/>
      <c r="CA309" s="377"/>
      <c r="CB309" s="377"/>
      <c r="CC309" s="377"/>
      <c r="CD309" s="377"/>
      <c r="CE309" s="377"/>
      <c r="CF309" s="377"/>
      <c r="CG309" s="377"/>
      <c r="CH309" s="377"/>
      <c r="CI309" s="377"/>
    </row>
    <row r="310" spans="1:87" ht="15">
      <c r="A310" s="377"/>
      <c r="B310" s="377"/>
      <c r="C310" s="572"/>
      <c r="D310" s="377"/>
      <c r="E310" s="377"/>
      <c r="F310" s="377"/>
      <c r="G310" s="377"/>
      <c r="H310" s="573"/>
      <c r="I310" s="377"/>
      <c r="J310" s="377"/>
      <c r="K310" s="377"/>
      <c r="L310" s="377"/>
      <c r="M310" s="377"/>
      <c r="N310" s="377"/>
      <c r="O310" s="377"/>
      <c r="P310" s="377"/>
      <c r="Q310" s="377"/>
      <c r="R310" s="377"/>
      <c r="S310" s="377"/>
      <c r="T310" s="377"/>
      <c r="U310" s="377"/>
      <c r="V310" s="377"/>
      <c r="W310" s="377"/>
      <c r="X310" s="574"/>
      <c r="Y310" s="377"/>
      <c r="Z310" s="377"/>
      <c r="AA310" s="377"/>
      <c r="AB310" s="377"/>
      <c r="AC310" s="377"/>
      <c r="AD310" s="377"/>
      <c r="AE310" s="377"/>
      <c r="AF310" s="377"/>
      <c r="AG310" s="377"/>
      <c r="AH310" s="377"/>
      <c r="AI310" s="377"/>
      <c r="AJ310" s="377"/>
      <c r="AK310" s="377"/>
      <c r="AL310" s="574"/>
      <c r="AM310" s="377"/>
      <c r="AN310" s="377"/>
      <c r="AO310" s="377"/>
      <c r="AP310" s="377"/>
      <c r="AQ310" s="377"/>
      <c r="AR310" s="377"/>
      <c r="AS310" s="377"/>
      <c r="AT310" s="377"/>
      <c r="AU310" s="377"/>
      <c r="AV310" s="377"/>
      <c r="AW310" s="575"/>
      <c r="AX310" s="377"/>
      <c r="AY310" s="377"/>
      <c r="AZ310" s="377"/>
      <c r="BA310" s="377"/>
      <c r="BB310" s="377"/>
      <c r="BC310" s="377"/>
      <c r="BD310" s="377"/>
      <c r="BE310" s="377"/>
      <c r="BF310" s="377"/>
      <c r="BG310" s="377"/>
      <c r="BH310" s="377"/>
      <c r="BI310" s="377"/>
      <c r="BJ310" s="377"/>
      <c r="BK310" s="377"/>
      <c r="BL310" s="377"/>
      <c r="BM310" s="377"/>
      <c r="BN310" s="576"/>
      <c r="BO310" s="377"/>
      <c r="BP310" s="377"/>
      <c r="BQ310" s="377"/>
      <c r="BR310" s="377"/>
      <c r="BS310" s="377"/>
      <c r="BT310" s="377"/>
      <c r="BU310" s="377"/>
      <c r="BV310" s="377"/>
      <c r="BW310" s="377"/>
      <c r="BX310" s="377"/>
      <c r="BY310" s="377"/>
      <c r="BZ310" s="377"/>
      <c r="CA310" s="377"/>
      <c r="CB310" s="377"/>
      <c r="CC310" s="377"/>
      <c r="CD310" s="377"/>
      <c r="CE310" s="377"/>
      <c r="CF310" s="377"/>
      <c r="CG310" s="377"/>
      <c r="CH310" s="377"/>
      <c r="CI310" s="377"/>
    </row>
    <row r="311" spans="1:87" ht="15">
      <c r="A311" s="377"/>
      <c r="B311" s="377"/>
      <c r="C311" s="572"/>
      <c r="D311" s="377"/>
      <c r="E311" s="377"/>
      <c r="F311" s="377"/>
      <c r="G311" s="377"/>
      <c r="H311" s="573"/>
      <c r="I311" s="377"/>
      <c r="J311" s="377"/>
      <c r="K311" s="377"/>
      <c r="L311" s="377"/>
      <c r="M311" s="377"/>
      <c r="N311" s="377"/>
      <c r="O311" s="377"/>
      <c r="P311" s="377"/>
      <c r="Q311" s="377"/>
      <c r="R311" s="377"/>
      <c r="S311" s="377"/>
      <c r="T311" s="377"/>
      <c r="U311" s="377"/>
      <c r="V311" s="377"/>
      <c r="W311" s="377"/>
      <c r="X311" s="574"/>
      <c r="Y311" s="377"/>
      <c r="Z311" s="377"/>
      <c r="AA311" s="377"/>
      <c r="AB311" s="377"/>
      <c r="AC311" s="377"/>
      <c r="AD311" s="377"/>
      <c r="AE311" s="377"/>
      <c r="AF311" s="377"/>
      <c r="AG311" s="377"/>
      <c r="AH311" s="377"/>
      <c r="AI311" s="377"/>
      <c r="AJ311" s="377"/>
      <c r="AK311" s="377"/>
      <c r="AL311" s="574"/>
      <c r="AM311" s="377"/>
      <c r="AN311" s="377"/>
      <c r="AO311" s="377"/>
      <c r="AP311" s="377"/>
      <c r="AQ311" s="377"/>
      <c r="AR311" s="377"/>
      <c r="AS311" s="377"/>
      <c r="AT311" s="377"/>
      <c r="AU311" s="377"/>
      <c r="AV311" s="377"/>
      <c r="AW311" s="575"/>
      <c r="AX311" s="377"/>
      <c r="AY311" s="377"/>
      <c r="AZ311" s="377"/>
      <c r="BA311" s="377"/>
      <c r="BB311" s="377"/>
      <c r="BC311" s="377"/>
      <c r="BD311" s="377"/>
      <c r="BE311" s="377"/>
      <c r="BF311" s="377"/>
      <c r="BG311" s="377"/>
      <c r="BH311" s="377"/>
      <c r="BI311" s="377"/>
      <c r="BJ311" s="377"/>
      <c r="BK311" s="377"/>
      <c r="BL311" s="377"/>
      <c r="BM311" s="377"/>
      <c r="BN311" s="576"/>
      <c r="BO311" s="377"/>
      <c r="BP311" s="377"/>
      <c r="BQ311" s="377"/>
      <c r="BR311" s="377"/>
      <c r="BS311" s="377"/>
      <c r="BT311" s="377"/>
      <c r="BU311" s="377"/>
      <c r="BV311" s="377"/>
      <c r="BW311" s="377"/>
      <c r="BX311" s="377"/>
      <c r="BY311" s="377"/>
      <c r="BZ311" s="377"/>
      <c r="CA311" s="377"/>
      <c r="CB311" s="377"/>
      <c r="CC311" s="377"/>
      <c r="CD311" s="377"/>
      <c r="CE311" s="377"/>
      <c r="CF311" s="377"/>
      <c r="CG311" s="377"/>
      <c r="CH311" s="377"/>
      <c r="CI311" s="377"/>
    </row>
    <row r="312" spans="1:87" ht="15">
      <c r="A312" s="377"/>
      <c r="B312" s="377"/>
      <c r="C312" s="572"/>
      <c r="D312" s="377"/>
      <c r="E312" s="377"/>
      <c r="F312" s="377"/>
      <c r="G312" s="377"/>
      <c r="H312" s="573"/>
      <c r="I312" s="377"/>
      <c r="J312" s="377"/>
      <c r="K312" s="377"/>
      <c r="L312" s="377"/>
      <c r="M312" s="377"/>
      <c r="N312" s="377"/>
      <c r="O312" s="377"/>
      <c r="P312" s="377"/>
      <c r="Q312" s="377"/>
      <c r="R312" s="377"/>
      <c r="S312" s="377"/>
      <c r="T312" s="377"/>
      <c r="U312" s="377"/>
      <c r="V312" s="377"/>
      <c r="W312" s="377"/>
      <c r="X312" s="574"/>
      <c r="Y312" s="377"/>
      <c r="Z312" s="377"/>
      <c r="AA312" s="377"/>
      <c r="AB312" s="377"/>
      <c r="AC312" s="377"/>
      <c r="AD312" s="377"/>
      <c r="AE312" s="377"/>
      <c r="AF312" s="377"/>
      <c r="AG312" s="377"/>
      <c r="AH312" s="377"/>
      <c r="AI312" s="377"/>
      <c r="AJ312" s="377"/>
      <c r="AK312" s="377"/>
      <c r="AL312" s="574"/>
      <c r="AM312" s="377"/>
      <c r="AN312" s="377"/>
      <c r="AO312" s="377"/>
      <c r="AP312" s="377"/>
      <c r="AQ312" s="377"/>
      <c r="AR312" s="377"/>
      <c r="AS312" s="377"/>
      <c r="AT312" s="377"/>
      <c r="AU312" s="377"/>
      <c r="AV312" s="377"/>
      <c r="AW312" s="575"/>
      <c r="AX312" s="377"/>
      <c r="AY312" s="377"/>
      <c r="AZ312" s="377"/>
      <c r="BA312" s="377"/>
      <c r="BB312" s="377"/>
      <c r="BC312" s="377"/>
      <c r="BD312" s="377"/>
      <c r="BE312" s="377"/>
      <c r="BF312" s="377"/>
      <c r="BG312" s="377"/>
      <c r="BH312" s="377"/>
      <c r="BI312" s="377"/>
      <c r="BJ312" s="377"/>
      <c r="BK312" s="377"/>
      <c r="BL312" s="377"/>
      <c r="BM312" s="377"/>
      <c r="BN312" s="576"/>
      <c r="BO312" s="377"/>
      <c r="BP312" s="377"/>
      <c r="BQ312" s="377"/>
      <c r="BR312" s="377"/>
      <c r="BS312" s="377"/>
      <c r="BT312" s="377"/>
      <c r="BU312" s="377"/>
      <c r="BV312" s="377"/>
      <c r="BW312" s="377"/>
      <c r="BX312" s="377"/>
      <c r="BY312" s="377"/>
      <c r="BZ312" s="377"/>
      <c r="CA312" s="377"/>
      <c r="CB312" s="377"/>
      <c r="CC312" s="377"/>
      <c r="CD312" s="377"/>
      <c r="CE312" s="377"/>
      <c r="CF312" s="377"/>
      <c r="CG312" s="377"/>
      <c r="CH312" s="377"/>
      <c r="CI312" s="377"/>
    </row>
    <row r="313" spans="1:87" ht="15">
      <c r="A313" s="377"/>
      <c r="B313" s="377"/>
      <c r="C313" s="572"/>
      <c r="D313" s="377"/>
      <c r="E313" s="377"/>
      <c r="F313" s="377"/>
      <c r="G313" s="377"/>
      <c r="H313" s="573"/>
      <c r="I313" s="377"/>
      <c r="J313" s="377"/>
      <c r="K313" s="377"/>
      <c r="L313" s="377"/>
      <c r="M313" s="377"/>
      <c r="N313" s="377"/>
      <c r="O313" s="377"/>
      <c r="P313" s="377"/>
      <c r="Q313" s="377"/>
      <c r="R313" s="377"/>
      <c r="S313" s="377"/>
      <c r="T313" s="377"/>
      <c r="U313" s="377"/>
      <c r="V313" s="377"/>
      <c r="W313" s="377"/>
      <c r="X313" s="574"/>
      <c r="Y313" s="377"/>
      <c r="Z313" s="377"/>
      <c r="AA313" s="377"/>
      <c r="AB313" s="377"/>
      <c r="AC313" s="377"/>
      <c r="AD313" s="377"/>
      <c r="AE313" s="377"/>
      <c r="AF313" s="377"/>
      <c r="AG313" s="377"/>
      <c r="AH313" s="377"/>
      <c r="AI313" s="377"/>
      <c r="AJ313" s="377"/>
      <c r="AK313" s="377"/>
      <c r="AL313" s="574"/>
      <c r="AM313" s="377"/>
      <c r="AN313" s="377"/>
      <c r="AO313" s="377"/>
      <c r="AP313" s="377"/>
      <c r="AQ313" s="377"/>
      <c r="AR313" s="377"/>
      <c r="AS313" s="377"/>
      <c r="AT313" s="377"/>
      <c r="AU313" s="377"/>
      <c r="AV313" s="377"/>
      <c r="AW313" s="575"/>
      <c r="AX313" s="377"/>
      <c r="AY313" s="377"/>
      <c r="AZ313" s="377"/>
      <c r="BA313" s="377"/>
      <c r="BB313" s="377"/>
      <c r="BC313" s="377"/>
      <c r="BD313" s="377"/>
      <c r="BE313" s="377"/>
      <c r="BF313" s="377"/>
      <c r="BG313" s="377"/>
      <c r="BH313" s="377"/>
      <c r="BI313" s="377"/>
      <c r="BJ313" s="377"/>
      <c r="BK313" s="377"/>
      <c r="BL313" s="377"/>
      <c r="BM313" s="377"/>
      <c r="BN313" s="576"/>
      <c r="BO313" s="377"/>
      <c r="BP313" s="377"/>
      <c r="BQ313" s="377"/>
      <c r="BR313" s="377"/>
      <c r="BS313" s="377"/>
      <c r="BT313" s="377"/>
      <c r="BU313" s="377"/>
      <c r="BV313" s="377"/>
      <c r="BW313" s="377"/>
      <c r="BX313" s="377"/>
      <c r="BY313" s="377"/>
      <c r="BZ313" s="377"/>
      <c r="CA313" s="377"/>
      <c r="CB313" s="377"/>
      <c r="CC313" s="377"/>
      <c r="CD313" s="377"/>
      <c r="CE313" s="377"/>
      <c r="CF313" s="377"/>
      <c r="CG313" s="377"/>
      <c r="CH313" s="377"/>
      <c r="CI313" s="377"/>
    </row>
    <row r="314" spans="1:87" ht="15">
      <c r="A314" s="377"/>
      <c r="B314" s="377"/>
      <c r="C314" s="572"/>
      <c r="D314" s="377"/>
      <c r="E314" s="377"/>
      <c r="F314" s="377"/>
      <c r="G314" s="377"/>
      <c r="H314" s="573"/>
      <c r="I314" s="377"/>
      <c r="J314" s="377"/>
      <c r="K314" s="377"/>
      <c r="L314" s="377"/>
      <c r="M314" s="377"/>
      <c r="N314" s="377"/>
      <c r="O314" s="377"/>
      <c r="P314" s="377"/>
      <c r="Q314" s="377"/>
      <c r="R314" s="377"/>
      <c r="S314" s="377"/>
      <c r="T314" s="377"/>
      <c r="U314" s="377"/>
      <c r="V314" s="377"/>
      <c r="W314" s="377"/>
      <c r="X314" s="574"/>
      <c r="Y314" s="377"/>
      <c r="Z314" s="377"/>
      <c r="AA314" s="377"/>
      <c r="AB314" s="377"/>
      <c r="AC314" s="377"/>
      <c r="AD314" s="377"/>
      <c r="AE314" s="377"/>
      <c r="AF314" s="377"/>
      <c r="AG314" s="377"/>
      <c r="AH314" s="377"/>
      <c r="AI314" s="377"/>
      <c r="AJ314" s="377"/>
      <c r="AK314" s="377"/>
      <c r="AL314" s="574"/>
      <c r="AM314" s="377"/>
      <c r="AN314" s="377"/>
      <c r="AO314" s="377"/>
      <c r="AP314" s="377"/>
      <c r="AQ314" s="377"/>
      <c r="AR314" s="377"/>
      <c r="AS314" s="377"/>
      <c r="AT314" s="377"/>
      <c r="AU314" s="377"/>
      <c r="AV314" s="377"/>
      <c r="AW314" s="575"/>
      <c r="AX314" s="377"/>
      <c r="AY314" s="377"/>
      <c r="AZ314" s="377"/>
      <c r="BA314" s="377"/>
      <c r="BB314" s="377"/>
      <c r="BC314" s="377"/>
      <c r="BD314" s="377"/>
      <c r="BE314" s="377"/>
      <c r="BF314" s="377"/>
      <c r="BG314" s="377"/>
      <c r="BH314" s="377"/>
      <c r="BI314" s="377"/>
      <c r="BJ314" s="377"/>
      <c r="BK314" s="377"/>
      <c r="BL314" s="377"/>
      <c r="BM314" s="377"/>
      <c r="BN314" s="576"/>
      <c r="BO314" s="377"/>
      <c r="BP314" s="377"/>
      <c r="BQ314" s="377"/>
      <c r="BR314" s="377"/>
      <c r="BS314" s="377"/>
      <c r="BT314" s="377"/>
      <c r="BU314" s="377"/>
      <c r="BV314" s="377"/>
      <c r="BW314" s="377"/>
      <c r="BX314" s="377"/>
      <c r="BY314" s="377"/>
      <c r="BZ314" s="377"/>
      <c r="CA314" s="377"/>
      <c r="CB314" s="377"/>
      <c r="CC314" s="377"/>
      <c r="CD314" s="377"/>
      <c r="CE314" s="377"/>
      <c r="CF314" s="377"/>
      <c r="CG314" s="377"/>
      <c r="CH314" s="377"/>
      <c r="CI314" s="377"/>
    </row>
    <row r="315" spans="1:87" ht="15">
      <c r="A315" s="377"/>
      <c r="B315" s="377"/>
      <c r="C315" s="572"/>
      <c r="D315" s="377"/>
      <c r="E315" s="377"/>
      <c r="F315" s="377"/>
      <c r="G315" s="377"/>
      <c r="H315" s="573"/>
      <c r="I315" s="377"/>
      <c r="J315" s="377"/>
      <c r="K315" s="377"/>
      <c r="L315" s="377"/>
      <c r="M315" s="377"/>
      <c r="N315" s="377"/>
      <c r="O315" s="377"/>
      <c r="P315" s="377"/>
      <c r="Q315" s="377"/>
      <c r="R315" s="377"/>
      <c r="S315" s="377"/>
      <c r="T315" s="377"/>
      <c r="U315" s="377"/>
      <c r="V315" s="377"/>
      <c r="W315" s="377"/>
      <c r="X315" s="574"/>
      <c r="Y315" s="377"/>
      <c r="Z315" s="377"/>
      <c r="AA315" s="377"/>
      <c r="AB315" s="377"/>
      <c r="AC315" s="377"/>
      <c r="AD315" s="377"/>
      <c r="AE315" s="377"/>
      <c r="AF315" s="377"/>
      <c r="AG315" s="377"/>
      <c r="AH315" s="377"/>
      <c r="AI315" s="377"/>
      <c r="AJ315" s="377"/>
      <c r="AK315" s="377"/>
      <c r="AL315" s="574"/>
      <c r="AM315" s="377"/>
      <c r="AN315" s="377"/>
      <c r="AO315" s="377"/>
      <c r="AP315" s="377"/>
      <c r="AQ315" s="377"/>
      <c r="AR315" s="377"/>
      <c r="AS315" s="377"/>
      <c r="AT315" s="377"/>
      <c r="AU315" s="377"/>
      <c r="AV315" s="377"/>
      <c r="AW315" s="575"/>
      <c r="AX315" s="377"/>
      <c r="AY315" s="377"/>
      <c r="AZ315" s="377"/>
      <c r="BA315" s="377"/>
      <c r="BB315" s="377"/>
      <c r="BC315" s="377"/>
      <c r="BD315" s="377"/>
      <c r="BE315" s="377"/>
      <c r="BF315" s="377"/>
      <c r="BG315" s="377"/>
      <c r="BH315" s="377"/>
      <c r="BI315" s="377"/>
      <c r="BJ315" s="377"/>
      <c r="BK315" s="377"/>
      <c r="BL315" s="377"/>
      <c r="BM315" s="377"/>
      <c r="BN315" s="576"/>
      <c r="BO315" s="377"/>
      <c r="BP315" s="377"/>
      <c r="BQ315" s="377"/>
      <c r="BR315" s="377"/>
      <c r="BS315" s="377"/>
      <c r="BT315" s="377"/>
      <c r="BU315" s="377"/>
      <c r="BV315" s="377"/>
      <c r="BW315" s="377"/>
      <c r="BX315" s="377"/>
      <c r="BY315" s="377"/>
      <c r="BZ315" s="377"/>
      <c r="CA315" s="377"/>
      <c r="CB315" s="377"/>
      <c r="CC315" s="377"/>
      <c r="CD315" s="377"/>
      <c r="CE315" s="377"/>
      <c r="CF315" s="377"/>
      <c r="CG315" s="377"/>
      <c r="CH315" s="377"/>
      <c r="CI315" s="377"/>
    </row>
    <row r="316" spans="1:87" ht="15">
      <c r="A316" s="377"/>
      <c r="B316" s="377"/>
      <c r="C316" s="572"/>
      <c r="D316" s="377"/>
      <c r="E316" s="377"/>
      <c r="F316" s="377"/>
      <c r="G316" s="377"/>
      <c r="H316" s="573"/>
      <c r="I316" s="377"/>
      <c r="J316" s="377"/>
      <c r="K316" s="377"/>
      <c r="L316" s="377"/>
      <c r="M316" s="377"/>
      <c r="N316" s="377"/>
      <c r="O316" s="377"/>
      <c r="P316" s="377"/>
      <c r="Q316" s="377"/>
      <c r="R316" s="377"/>
      <c r="S316" s="377"/>
      <c r="T316" s="377"/>
      <c r="U316" s="377"/>
      <c r="V316" s="377"/>
      <c r="W316" s="377"/>
      <c r="X316" s="574"/>
      <c r="Y316" s="377"/>
      <c r="Z316" s="377"/>
      <c r="AA316" s="377"/>
      <c r="AB316" s="377"/>
      <c r="AC316" s="377"/>
      <c r="AD316" s="377"/>
      <c r="AE316" s="377"/>
      <c r="AF316" s="377"/>
      <c r="AG316" s="377"/>
      <c r="AH316" s="377"/>
      <c r="AI316" s="377"/>
      <c r="AJ316" s="377"/>
      <c r="AK316" s="377"/>
      <c r="AL316" s="574"/>
      <c r="AM316" s="377"/>
      <c r="AN316" s="377"/>
      <c r="AO316" s="377"/>
      <c r="AP316" s="377"/>
      <c r="AQ316" s="377"/>
      <c r="AR316" s="377"/>
      <c r="AS316" s="377"/>
      <c r="AT316" s="377"/>
      <c r="AU316" s="377"/>
      <c r="AV316" s="377"/>
      <c r="AW316" s="575"/>
      <c r="AX316" s="377"/>
      <c r="AY316" s="377"/>
      <c r="AZ316" s="377"/>
      <c r="BA316" s="377"/>
      <c r="BB316" s="377"/>
      <c r="BC316" s="377"/>
      <c r="BD316" s="377"/>
      <c r="BE316" s="377"/>
      <c r="BF316" s="377"/>
      <c r="BG316" s="377"/>
      <c r="BH316" s="377"/>
      <c r="BI316" s="377"/>
      <c r="BJ316" s="377"/>
      <c r="BK316" s="377"/>
      <c r="BL316" s="377"/>
      <c r="BM316" s="377"/>
      <c r="BN316" s="576"/>
      <c r="BO316" s="377"/>
      <c r="BP316" s="377"/>
      <c r="BQ316" s="377"/>
      <c r="BR316" s="377"/>
      <c r="BS316" s="377"/>
      <c r="BT316" s="377"/>
      <c r="BU316" s="377"/>
      <c r="BV316" s="377"/>
      <c r="BW316" s="377"/>
      <c r="BX316" s="377"/>
      <c r="BY316" s="377"/>
      <c r="BZ316" s="377"/>
      <c r="CA316" s="377"/>
      <c r="CB316" s="377"/>
      <c r="CC316" s="377"/>
      <c r="CD316" s="377"/>
      <c r="CE316" s="377"/>
      <c r="CF316" s="377"/>
      <c r="CG316" s="377"/>
      <c r="CH316" s="377"/>
      <c r="CI316" s="377"/>
    </row>
    <row r="317" spans="1:87" ht="15">
      <c r="A317" s="377"/>
      <c r="B317" s="377"/>
      <c r="C317" s="572"/>
      <c r="D317" s="377"/>
      <c r="E317" s="377"/>
      <c r="F317" s="377"/>
      <c r="G317" s="377"/>
      <c r="H317" s="573"/>
      <c r="I317" s="377"/>
      <c r="J317" s="377"/>
      <c r="K317" s="377"/>
      <c r="L317" s="377"/>
      <c r="M317" s="377"/>
      <c r="N317" s="377"/>
      <c r="O317" s="377"/>
      <c r="P317" s="377"/>
      <c r="Q317" s="377"/>
      <c r="R317" s="377"/>
      <c r="S317" s="377"/>
      <c r="T317" s="377"/>
      <c r="U317" s="377"/>
      <c r="V317" s="377"/>
      <c r="W317" s="377"/>
      <c r="X317" s="574"/>
      <c r="Y317" s="377"/>
      <c r="Z317" s="377"/>
      <c r="AA317" s="377"/>
      <c r="AB317" s="377"/>
      <c r="AC317" s="377"/>
      <c r="AD317" s="377"/>
      <c r="AE317" s="377"/>
      <c r="AF317" s="377"/>
      <c r="AG317" s="377"/>
      <c r="AH317" s="377"/>
      <c r="AI317" s="377"/>
      <c r="AJ317" s="377"/>
      <c r="AK317" s="377"/>
      <c r="AL317" s="574"/>
      <c r="AM317" s="377"/>
      <c r="AN317" s="377"/>
      <c r="AO317" s="377"/>
      <c r="AP317" s="377"/>
      <c r="AQ317" s="377"/>
      <c r="AR317" s="377"/>
      <c r="AS317" s="377"/>
      <c r="AT317" s="377"/>
      <c r="AU317" s="377"/>
      <c r="AV317" s="377"/>
      <c r="AW317" s="575"/>
      <c r="AX317" s="377"/>
      <c r="AY317" s="377"/>
      <c r="AZ317" s="377"/>
      <c r="BA317" s="377"/>
      <c r="BB317" s="377"/>
      <c r="BC317" s="377"/>
      <c r="BD317" s="377"/>
      <c r="BE317" s="377"/>
      <c r="BF317" s="377"/>
      <c r="BG317" s="377"/>
      <c r="BH317" s="377"/>
      <c r="BI317" s="377"/>
      <c r="BJ317" s="377"/>
      <c r="BK317" s="377"/>
      <c r="BL317" s="377"/>
      <c r="BM317" s="377"/>
      <c r="BN317" s="576"/>
      <c r="BO317" s="377"/>
      <c r="BP317" s="377"/>
      <c r="BQ317" s="377"/>
      <c r="BR317" s="377"/>
      <c r="BS317" s="377"/>
      <c r="BT317" s="377"/>
      <c r="BU317" s="377"/>
      <c r="BV317" s="377"/>
      <c r="BW317" s="377"/>
      <c r="BX317" s="377"/>
      <c r="BY317" s="377"/>
      <c r="BZ317" s="377"/>
      <c r="CA317" s="377"/>
      <c r="CB317" s="377"/>
      <c r="CC317" s="377"/>
      <c r="CD317" s="377"/>
      <c r="CE317" s="377"/>
      <c r="CF317" s="377"/>
      <c r="CG317" s="377"/>
      <c r="CH317" s="377"/>
      <c r="CI317" s="377"/>
    </row>
    <row r="318" spans="1:87" ht="15">
      <c r="A318" s="377"/>
      <c r="B318" s="377"/>
      <c r="C318" s="572"/>
      <c r="D318" s="377"/>
      <c r="E318" s="377"/>
      <c r="F318" s="377"/>
      <c r="G318" s="377"/>
      <c r="H318" s="573"/>
      <c r="I318" s="377"/>
      <c r="J318" s="377"/>
      <c r="K318" s="377"/>
      <c r="L318" s="377"/>
      <c r="M318" s="377"/>
      <c r="N318" s="377"/>
      <c r="O318" s="377"/>
      <c r="P318" s="377"/>
      <c r="Q318" s="377"/>
      <c r="R318" s="377"/>
      <c r="S318" s="377"/>
      <c r="T318" s="377"/>
      <c r="U318" s="377"/>
      <c r="V318" s="377"/>
      <c r="W318" s="377"/>
      <c r="X318" s="574"/>
      <c r="Y318" s="377"/>
      <c r="Z318" s="377"/>
      <c r="AA318" s="377"/>
      <c r="AB318" s="377"/>
      <c r="AC318" s="377"/>
      <c r="AD318" s="377"/>
      <c r="AE318" s="377"/>
      <c r="AF318" s="377"/>
      <c r="AG318" s="377"/>
      <c r="AH318" s="377"/>
      <c r="AI318" s="377"/>
      <c r="AJ318" s="377"/>
      <c r="AK318" s="377"/>
      <c r="AL318" s="574"/>
      <c r="AM318" s="377"/>
      <c r="AN318" s="377"/>
      <c r="AO318" s="377"/>
      <c r="AP318" s="377"/>
      <c r="AQ318" s="377"/>
      <c r="AR318" s="377"/>
      <c r="AS318" s="377"/>
      <c r="AT318" s="377"/>
      <c r="AU318" s="377"/>
      <c r="AV318" s="377"/>
      <c r="AW318" s="575"/>
      <c r="AX318" s="377"/>
      <c r="AY318" s="377"/>
      <c r="AZ318" s="377"/>
      <c r="BA318" s="377"/>
      <c r="BB318" s="377"/>
      <c r="BC318" s="377"/>
      <c r="BD318" s="377"/>
      <c r="BE318" s="377"/>
      <c r="BF318" s="377"/>
      <c r="BG318" s="377"/>
      <c r="BH318" s="377"/>
      <c r="BI318" s="377"/>
      <c r="BJ318" s="377"/>
      <c r="BK318" s="377"/>
      <c r="BL318" s="377"/>
      <c r="BM318" s="377"/>
      <c r="BN318" s="576"/>
      <c r="BO318" s="377"/>
      <c r="BP318" s="377"/>
      <c r="BQ318" s="377"/>
      <c r="BR318" s="377"/>
      <c r="BS318" s="377"/>
      <c r="BT318" s="377"/>
      <c r="BU318" s="377"/>
      <c r="BV318" s="377"/>
      <c r="BW318" s="377"/>
      <c r="BX318" s="377"/>
      <c r="BY318" s="377"/>
      <c r="BZ318" s="377"/>
      <c r="CA318" s="377"/>
      <c r="CB318" s="377"/>
      <c r="CC318" s="377"/>
      <c r="CD318" s="377"/>
      <c r="CE318" s="377"/>
      <c r="CF318" s="377"/>
      <c r="CG318" s="377"/>
      <c r="CH318" s="377"/>
      <c r="CI318" s="377"/>
    </row>
    <row r="319" spans="1:87" ht="15">
      <c r="A319" s="377"/>
      <c r="B319" s="377"/>
      <c r="C319" s="572"/>
      <c r="D319" s="377"/>
      <c r="E319" s="377"/>
      <c r="F319" s="377"/>
      <c r="G319" s="377"/>
      <c r="H319" s="573"/>
      <c r="I319" s="377"/>
      <c r="J319" s="377"/>
      <c r="K319" s="377"/>
      <c r="L319" s="377"/>
      <c r="M319" s="377"/>
      <c r="N319" s="377"/>
      <c r="O319" s="377"/>
      <c r="P319" s="377"/>
      <c r="Q319" s="377"/>
      <c r="R319" s="377"/>
      <c r="S319" s="377"/>
      <c r="T319" s="377"/>
      <c r="U319" s="377"/>
      <c r="V319" s="377"/>
      <c r="W319" s="377"/>
      <c r="X319" s="574"/>
      <c r="Y319" s="377"/>
      <c r="Z319" s="377"/>
      <c r="AA319" s="377"/>
      <c r="AB319" s="377"/>
      <c r="AC319" s="377"/>
      <c r="AD319" s="377"/>
      <c r="AE319" s="377"/>
      <c r="AF319" s="377"/>
      <c r="AG319" s="377"/>
      <c r="AH319" s="377"/>
      <c r="AI319" s="377"/>
      <c r="AJ319" s="377"/>
      <c r="AK319" s="377"/>
      <c r="AL319" s="574"/>
      <c r="AM319" s="377"/>
      <c r="AN319" s="377"/>
      <c r="AO319" s="377"/>
      <c r="AP319" s="377"/>
      <c r="AQ319" s="377"/>
      <c r="AR319" s="377"/>
      <c r="AS319" s="377"/>
      <c r="AT319" s="377"/>
      <c r="AU319" s="377"/>
      <c r="AV319" s="377"/>
      <c r="AW319" s="575"/>
      <c r="AX319" s="377"/>
      <c r="AY319" s="377"/>
      <c r="AZ319" s="377"/>
      <c r="BA319" s="377"/>
      <c r="BB319" s="377"/>
      <c r="BC319" s="377"/>
      <c r="BD319" s="377"/>
      <c r="BE319" s="377"/>
      <c r="BF319" s="377"/>
      <c r="BG319" s="377"/>
      <c r="BH319" s="377"/>
      <c r="BI319" s="377"/>
      <c r="BJ319" s="377"/>
      <c r="BK319" s="377"/>
      <c r="BL319" s="377"/>
      <c r="BM319" s="377"/>
      <c r="BN319" s="576"/>
      <c r="BO319" s="377"/>
      <c r="BP319" s="377"/>
      <c r="BQ319" s="377"/>
      <c r="BR319" s="377"/>
      <c r="BS319" s="377"/>
      <c r="BT319" s="377"/>
      <c r="BU319" s="377"/>
      <c r="BV319" s="377"/>
      <c r="BW319" s="377"/>
      <c r="BX319" s="377"/>
      <c r="BY319" s="377"/>
      <c r="BZ319" s="377"/>
      <c r="CA319" s="377"/>
      <c r="CB319" s="377"/>
      <c r="CC319" s="377"/>
      <c r="CD319" s="377"/>
      <c r="CE319" s="377"/>
      <c r="CF319" s="377"/>
      <c r="CG319" s="377"/>
      <c r="CH319" s="377"/>
      <c r="CI319" s="377"/>
    </row>
    <row r="320" spans="1:87" ht="15">
      <c r="A320" s="377"/>
      <c r="B320" s="377"/>
      <c r="C320" s="572"/>
      <c r="D320" s="377"/>
      <c r="E320" s="377"/>
      <c r="F320" s="377"/>
      <c r="G320" s="377"/>
      <c r="H320" s="573"/>
      <c r="I320" s="377"/>
      <c r="J320" s="377"/>
      <c r="K320" s="377"/>
      <c r="L320" s="377"/>
      <c r="M320" s="377"/>
      <c r="N320" s="377"/>
      <c r="O320" s="377"/>
      <c r="P320" s="377"/>
      <c r="Q320" s="377"/>
      <c r="R320" s="377"/>
      <c r="S320" s="377"/>
      <c r="T320" s="377"/>
      <c r="U320" s="377"/>
      <c r="V320" s="377"/>
      <c r="W320" s="377"/>
      <c r="X320" s="574"/>
      <c r="Y320" s="377"/>
      <c r="Z320" s="377"/>
      <c r="AA320" s="377"/>
      <c r="AB320" s="377"/>
      <c r="AC320" s="377"/>
      <c r="AD320" s="377"/>
      <c r="AE320" s="377"/>
      <c r="AF320" s="377"/>
      <c r="AG320" s="377"/>
      <c r="AH320" s="377"/>
      <c r="AI320" s="377"/>
      <c r="AJ320" s="377"/>
      <c r="AK320" s="377"/>
      <c r="AL320" s="574"/>
      <c r="AM320" s="377"/>
      <c r="AN320" s="377"/>
      <c r="AO320" s="377"/>
      <c r="AP320" s="377"/>
      <c r="AQ320" s="377"/>
      <c r="AR320" s="377"/>
      <c r="AS320" s="377"/>
      <c r="AT320" s="377"/>
      <c r="AU320" s="377"/>
      <c r="AV320" s="377"/>
      <c r="AW320" s="575"/>
      <c r="AX320" s="377"/>
      <c r="AY320" s="377"/>
      <c r="AZ320" s="377"/>
      <c r="BA320" s="377"/>
      <c r="BB320" s="377"/>
      <c r="BC320" s="377"/>
      <c r="BD320" s="377"/>
      <c r="BE320" s="377"/>
      <c r="BF320" s="377"/>
      <c r="BG320" s="377"/>
      <c r="BH320" s="377"/>
      <c r="BI320" s="377"/>
      <c r="BJ320" s="377"/>
      <c r="BK320" s="377"/>
      <c r="BL320" s="377"/>
      <c r="BM320" s="377"/>
      <c r="BN320" s="576"/>
      <c r="BO320" s="377"/>
      <c r="BP320" s="377"/>
      <c r="BQ320" s="377"/>
      <c r="BR320" s="377"/>
      <c r="BS320" s="377"/>
      <c r="BT320" s="377"/>
      <c r="BU320" s="377"/>
      <c r="BV320" s="377"/>
      <c r="BW320" s="377"/>
      <c r="BX320" s="377"/>
      <c r="BY320" s="377"/>
      <c r="BZ320" s="377"/>
      <c r="CA320" s="377"/>
      <c r="CB320" s="377"/>
      <c r="CC320" s="377"/>
      <c r="CD320" s="377"/>
      <c r="CE320" s="377"/>
      <c r="CF320" s="377"/>
      <c r="CG320" s="377"/>
      <c r="CH320" s="377"/>
      <c r="CI320" s="377"/>
    </row>
    <row r="321" spans="1:87" ht="15">
      <c r="A321" s="377"/>
      <c r="B321" s="377"/>
      <c r="C321" s="572"/>
      <c r="D321" s="377"/>
      <c r="E321" s="377"/>
      <c r="F321" s="377"/>
      <c r="G321" s="377"/>
      <c r="H321" s="573"/>
      <c r="I321" s="377"/>
      <c r="J321" s="377"/>
      <c r="K321" s="377"/>
      <c r="L321" s="377"/>
      <c r="M321" s="377"/>
      <c r="N321" s="377"/>
      <c r="O321" s="377"/>
      <c r="P321" s="377"/>
      <c r="Q321" s="377"/>
      <c r="R321" s="377"/>
      <c r="S321" s="377"/>
      <c r="T321" s="377"/>
      <c r="U321" s="377"/>
      <c r="V321" s="377"/>
      <c r="W321" s="377"/>
      <c r="X321" s="574"/>
      <c r="Y321" s="377"/>
      <c r="Z321" s="377"/>
      <c r="AA321" s="377"/>
      <c r="AB321" s="377"/>
      <c r="AC321" s="377"/>
      <c r="AD321" s="377"/>
      <c r="AE321" s="377"/>
      <c r="AF321" s="377"/>
      <c r="AG321" s="377"/>
      <c r="AH321" s="377"/>
      <c r="AI321" s="377"/>
      <c r="AJ321" s="377"/>
      <c r="AK321" s="377"/>
      <c r="AL321" s="574"/>
      <c r="AM321" s="377"/>
      <c r="AN321" s="377"/>
      <c r="AO321" s="377"/>
      <c r="AP321" s="377"/>
      <c r="AQ321" s="377"/>
      <c r="AR321" s="377"/>
      <c r="AS321" s="377"/>
      <c r="AT321" s="377"/>
      <c r="AU321" s="377"/>
      <c r="AV321" s="377"/>
      <c r="AW321" s="575"/>
      <c r="AX321" s="377"/>
      <c r="AY321" s="377"/>
      <c r="AZ321" s="377"/>
      <c r="BA321" s="377"/>
      <c r="BB321" s="377"/>
      <c r="BC321" s="377"/>
      <c r="BD321" s="377"/>
      <c r="BE321" s="377"/>
      <c r="BF321" s="377"/>
      <c r="BG321" s="377"/>
      <c r="BH321" s="377"/>
      <c r="BI321" s="377"/>
      <c r="BJ321" s="377"/>
      <c r="BK321" s="377"/>
      <c r="BL321" s="377"/>
      <c r="BM321" s="377"/>
      <c r="BN321" s="576"/>
      <c r="BO321" s="377"/>
      <c r="BP321" s="377"/>
      <c r="BQ321" s="377"/>
      <c r="BR321" s="377"/>
      <c r="BS321" s="377"/>
      <c r="BT321" s="377"/>
      <c r="BU321" s="377"/>
      <c r="BV321" s="377"/>
      <c r="BW321" s="377"/>
      <c r="BX321" s="377"/>
      <c r="BY321" s="377"/>
      <c r="BZ321" s="377"/>
      <c r="CA321" s="377"/>
      <c r="CB321" s="377"/>
      <c r="CC321" s="377"/>
      <c r="CD321" s="377"/>
      <c r="CE321" s="377"/>
      <c r="CF321" s="377"/>
      <c r="CG321" s="377"/>
      <c r="CH321" s="377"/>
      <c r="CI321" s="377"/>
    </row>
    <row r="322" spans="1:87" ht="15">
      <c r="A322" s="377"/>
      <c r="B322" s="377"/>
      <c r="C322" s="572"/>
      <c r="D322" s="377"/>
      <c r="E322" s="377"/>
      <c r="F322" s="377"/>
      <c r="G322" s="377"/>
      <c r="H322" s="573"/>
      <c r="I322" s="377"/>
      <c r="J322" s="377"/>
      <c r="K322" s="377"/>
      <c r="L322" s="377"/>
      <c r="M322" s="377"/>
      <c r="N322" s="377"/>
      <c r="O322" s="377"/>
      <c r="P322" s="377"/>
      <c r="Q322" s="377"/>
      <c r="R322" s="377"/>
      <c r="S322" s="377"/>
      <c r="T322" s="377"/>
      <c r="U322" s="377"/>
      <c r="V322" s="377"/>
      <c r="W322" s="377"/>
      <c r="X322" s="574"/>
      <c r="Y322" s="377"/>
      <c r="Z322" s="377"/>
      <c r="AA322" s="377"/>
      <c r="AB322" s="377"/>
      <c r="AC322" s="377"/>
      <c r="AD322" s="377"/>
      <c r="AE322" s="377"/>
      <c r="AF322" s="377"/>
      <c r="AG322" s="377"/>
      <c r="AH322" s="377"/>
      <c r="AI322" s="377"/>
      <c r="AJ322" s="377"/>
      <c r="AK322" s="377"/>
      <c r="AL322" s="574"/>
      <c r="AM322" s="377"/>
      <c r="AN322" s="377"/>
      <c r="AO322" s="377"/>
      <c r="AP322" s="377"/>
      <c r="AQ322" s="377"/>
      <c r="AR322" s="377"/>
      <c r="AS322" s="377"/>
      <c r="AT322" s="377"/>
      <c r="AU322" s="377"/>
      <c r="AV322" s="377"/>
      <c r="AW322" s="575"/>
      <c r="AX322" s="377"/>
      <c r="AY322" s="377"/>
      <c r="AZ322" s="377"/>
      <c r="BA322" s="377"/>
      <c r="BB322" s="377"/>
      <c r="BC322" s="377"/>
      <c r="BD322" s="377"/>
      <c r="BE322" s="377"/>
      <c r="BF322" s="377"/>
      <c r="BG322" s="377"/>
      <c r="BH322" s="377"/>
      <c r="BI322" s="377"/>
      <c r="BJ322" s="377"/>
      <c r="BK322" s="377"/>
      <c r="BL322" s="377"/>
      <c r="BM322" s="377"/>
      <c r="BN322" s="576"/>
      <c r="BO322" s="377"/>
      <c r="BP322" s="377"/>
      <c r="BQ322" s="377"/>
      <c r="BR322" s="377"/>
      <c r="BS322" s="377"/>
      <c r="BT322" s="377"/>
      <c r="BU322" s="377"/>
      <c r="BV322" s="377"/>
      <c r="BW322" s="377"/>
      <c r="BX322" s="377"/>
      <c r="BY322" s="377"/>
      <c r="BZ322" s="377"/>
      <c r="CA322" s="377"/>
      <c r="CB322" s="377"/>
      <c r="CC322" s="377"/>
      <c r="CD322" s="377"/>
      <c r="CE322" s="377"/>
      <c r="CF322" s="377"/>
      <c r="CG322" s="377"/>
      <c r="CH322" s="377"/>
      <c r="CI322" s="377"/>
    </row>
    <row r="323" spans="1:87" ht="15">
      <c r="A323" s="377"/>
      <c r="B323" s="377"/>
      <c r="C323" s="572"/>
      <c r="D323" s="377"/>
      <c r="E323" s="377"/>
      <c r="F323" s="377"/>
      <c r="G323" s="377"/>
      <c r="H323" s="573"/>
      <c r="I323" s="377"/>
      <c r="J323" s="377"/>
      <c r="K323" s="377"/>
      <c r="L323" s="377"/>
      <c r="M323" s="377"/>
      <c r="N323" s="377"/>
      <c r="O323" s="377"/>
      <c r="P323" s="377"/>
      <c r="Q323" s="377"/>
      <c r="R323" s="377"/>
      <c r="S323" s="377"/>
      <c r="T323" s="377"/>
      <c r="U323" s="377"/>
      <c r="V323" s="377"/>
      <c r="W323" s="377"/>
      <c r="X323" s="574"/>
      <c r="Y323" s="377"/>
      <c r="Z323" s="377"/>
      <c r="AA323" s="377"/>
      <c r="AB323" s="377"/>
      <c r="AC323" s="377"/>
      <c r="AD323" s="377"/>
      <c r="AE323" s="377"/>
      <c r="AF323" s="377"/>
      <c r="AG323" s="377"/>
      <c r="AH323" s="377"/>
      <c r="AI323" s="377"/>
      <c r="AJ323" s="377"/>
      <c r="AK323" s="377"/>
      <c r="AL323" s="574"/>
      <c r="AM323" s="377"/>
      <c r="AN323" s="377"/>
      <c r="AO323" s="377"/>
      <c r="AP323" s="377"/>
      <c r="AQ323" s="377"/>
      <c r="AR323" s="377"/>
      <c r="AS323" s="377"/>
      <c r="AT323" s="377"/>
      <c r="AU323" s="377"/>
      <c r="AV323" s="377"/>
      <c r="AW323" s="575"/>
      <c r="AX323" s="377"/>
      <c r="AY323" s="377"/>
      <c r="AZ323" s="377"/>
      <c r="BA323" s="377"/>
      <c r="BB323" s="377"/>
      <c r="BC323" s="377"/>
      <c r="BD323" s="377"/>
      <c r="BE323" s="377"/>
      <c r="BF323" s="377"/>
      <c r="BG323" s="377"/>
      <c r="BH323" s="377"/>
      <c r="BI323" s="377"/>
      <c r="BJ323" s="377"/>
      <c r="BK323" s="377"/>
      <c r="BL323" s="377"/>
      <c r="BM323" s="377"/>
      <c r="BN323" s="576"/>
      <c r="BO323" s="377"/>
      <c r="BP323" s="377"/>
      <c r="BQ323" s="377"/>
      <c r="BR323" s="377"/>
      <c r="BS323" s="377"/>
      <c r="BT323" s="377"/>
      <c r="BU323" s="377"/>
      <c r="BV323" s="377"/>
      <c r="BW323" s="377"/>
      <c r="BX323" s="377"/>
      <c r="BY323" s="377"/>
      <c r="BZ323" s="377"/>
      <c r="CA323" s="377"/>
      <c r="CB323" s="377"/>
      <c r="CC323" s="377"/>
      <c r="CD323" s="377"/>
      <c r="CE323" s="377"/>
      <c r="CF323" s="377"/>
      <c r="CG323" s="377"/>
      <c r="CH323" s="377"/>
      <c r="CI323" s="377"/>
    </row>
    <row r="324" spans="1:87" ht="15">
      <c r="A324" s="377"/>
      <c r="B324" s="377"/>
      <c r="C324" s="572"/>
      <c r="D324" s="377"/>
      <c r="E324" s="377"/>
      <c r="F324" s="377"/>
      <c r="G324" s="377"/>
      <c r="H324" s="573"/>
      <c r="I324" s="377"/>
      <c r="J324" s="377"/>
      <c r="K324" s="377"/>
      <c r="L324" s="377"/>
      <c r="M324" s="377"/>
      <c r="N324" s="377"/>
      <c r="O324" s="377"/>
      <c r="P324" s="377"/>
      <c r="Q324" s="377"/>
      <c r="R324" s="377"/>
      <c r="S324" s="377"/>
      <c r="T324" s="377"/>
      <c r="U324" s="377"/>
      <c r="V324" s="377"/>
      <c r="W324" s="377"/>
      <c r="X324" s="574"/>
      <c r="Y324" s="377"/>
      <c r="Z324" s="377"/>
      <c r="AA324" s="377"/>
      <c r="AB324" s="377"/>
      <c r="AC324" s="377"/>
      <c r="AD324" s="377"/>
      <c r="AE324" s="377"/>
      <c r="AF324" s="377"/>
      <c r="AG324" s="377"/>
      <c r="AH324" s="377"/>
      <c r="AI324" s="377"/>
      <c r="AJ324" s="377"/>
      <c r="AK324" s="377"/>
      <c r="AL324" s="574"/>
      <c r="AM324" s="377"/>
      <c r="AN324" s="377"/>
      <c r="AO324" s="377"/>
      <c r="AP324" s="377"/>
      <c r="AQ324" s="377"/>
      <c r="AR324" s="377"/>
      <c r="AS324" s="377"/>
      <c r="AT324" s="377"/>
      <c r="AU324" s="377"/>
      <c r="AV324" s="377"/>
      <c r="AW324" s="575"/>
      <c r="AX324" s="377"/>
      <c r="AY324" s="377"/>
      <c r="AZ324" s="377"/>
      <c r="BA324" s="377"/>
      <c r="BB324" s="377"/>
      <c r="BC324" s="377"/>
      <c r="BD324" s="377"/>
      <c r="BE324" s="377"/>
      <c r="BF324" s="377"/>
      <c r="BG324" s="377"/>
      <c r="BH324" s="377"/>
      <c r="BI324" s="377"/>
      <c r="BJ324" s="377"/>
      <c r="BK324" s="377"/>
      <c r="BL324" s="377"/>
      <c r="BM324" s="377"/>
      <c r="BN324" s="576"/>
      <c r="BO324" s="377"/>
      <c r="BP324" s="377"/>
      <c r="BQ324" s="377"/>
      <c r="BR324" s="377"/>
      <c r="BS324" s="377"/>
      <c r="BT324" s="377"/>
      <c r="BU324" s="377"/>
      <c r="BV324" s="377"/>
      <c r="BW324" s="377"/>
      <c r="BX324" s="377"/>
      <c r="BY324" s="377"/>
      <c r="BZ324" s="377"/>
      <c r="CA324" s="377"/>
      <c r="CB324" s="377"/>
      <c r="CC324" s="377"/>
      <c r="CD324" s="377"/>
      <c r="CE324" s="377"/>
      <c r="CF324" s="377"/>
      <c r="CG324" s="377"/>
      <c r="CH324" s="377"/>
      <c r="CI324" s="377"/>
    </row>
    <row r="325" spans="1:87" ht="15">
      <c r="A325" s="377"/>
      <c r="B325" s="377"/>
      <c r="C325" s="572"/>
      <c r="D325" s="377"/>
      <c r="E325" s="377"/>
      <c r="F325" s="377"/>
      <c r="G325" s="377"/>
      <c r="H325" s="573"/>
      <c r="I325" s="377"/>
      <c r="J325" s="377"/>
      <c r="K325" s="377"/>
      <c r="L325" s="377"/>
      <c r="M325" s="377"/>
      <c r="N325" s="377"/>
      <c r="O325" s="377"/>
      <c r="P325" s="377"/>
      <c r="Q325" s="377"/>
      <c r="R325" s="377"/>
      <c r="S325" s="377"/>
      <c r="T325" s="377"/>
      <c r="U325" s="377"/>
      <c r="V325" s="377"/>
      <c r="W325" s="377"/>
      <c r="X325" s="574"/>
      <c r="Y325" s="377"/>
      <c r="Z325" s="377"/>
      <c r="AA325" s="377"/>
      <c r="AB325" s="377"/>
      <c r="AC325" s="377"/>
      <c r="AD325" s="377"/>
      <c r="AE325" s="377"/>
      <c r="AF325" s="377"/>
      <c r="AG325" s="377"/>
      <c r="AH325" s="377"/>
      <c r="AI325" s="377"/>
      <c r="AJ325" s="377"/>
      <c r="AK325" s="377"/>
      <c r="AL325" s="574"/>
      <c r="AM325" s="377"/>
      <c r="AN325" s="377"/>
      <c r="AO325" s="377"/>
      <c r="AP325" s="377"/>
      <c r="AQ325" s="377"/>
      <c r="AR325" s="377"/>
      <c r="AS325" s="377"/>
      <c r="AT325" s="377"/>
      <c r="AU325" s="377"/>
      <c r="AV325" s="377"/>
      <c r="AW325" s="575"/>
      <c r="AX325" s="377"/>
      <c r="AY325" s="377"/>
      <c r="AZ325" s="377"/>
      <c r="BA325" s="377"/>
      <c r="BB325" s="377"/>
      <c r="BC325" s="377"/>
      <c r="BD325" s="377"/>
      <c r="BE325" s="377"/>
      <c r="BF325" s="377"/>
      <c r="BG325" s="377"/>
      <c r="BH325" s="377"/>
      <c r="BI325" s="377"/>
      <c r="BJ325" s="377"/>
      <c r="BK325" s="377"/>
      <c r="BL325" s="377"/>
      <c r="BM325" s="377"/>
      <c r="BN325" s="576"/>
      <c r="BO325" s="377"/>
      <c r="BP325" s="377"/>
      <c r="BQ325" s="377"/>
      <c r="BR325" s="377"/>
      <c r="BS325" s="377"/>
      <c r="BT325" s="377"/>
      <c r="BU325" s="377"/>
      <c r="BV325" s="377"/>
      <c r="BW325" s="377"/>
      <c r="BX325" s="377"/>
      <c r="BY325" s="377"/>
      <c r="BZ325" s="377"/>
      <c r="CA325" s="377"/>
      <c r="CB325" s="377"/>
      <c r="CC325" s="377"/>
      <c r="CD325" s="377"/>
      <c r="CE325" s="377"/>
      <c r="CF325" s="377"/>
      <c r="CG325" s="377"/>
      <c r="CH325" s="377"/>
      <c r="CI325" s="377"/>
    </row>
    <row r="326" spans="1:87" ht="15">
      <c r="A326" s="377"/>
      <c r="B326" s="377"/>
      <c r="C326" s="572"/>
      <c r="D326" s="377"/>
      <c r="E326" s="377"/>
      <c r="F326" s="377"/>
      <c r="G326" s="377"/>
      <c r="H326" s="573"/>
      <c r="I326" s="377"/>
      <c r="J326" s="377"/>
      <c r="K326" s="377"/>
      <c r="L326" s="377"/>
      <c r="M326" s="377"/>
      <c r="N326" s="377"/>
      <c r="O326" s="377"/>
      <c r="P326" s="377"/>
      <c r="Q326" s="377"/>
      <c r="R326" s="377"/>
      <c r="S326" s="377"/>
      <c r="T326" s="377"/>
      <c r="U326" s="377"/>
      <c r="V326" s="377"/>
      <c r="W326" s="377"/>
      <c r="X326" s="574"/>
      <c r="Y326" s="377"/>
      <c r="Z326" s="377"/>
      <c r="AA326" s="377"/>
      <c r="AB326" s="377"/>
      <c r="AC326" s="377"/>
      <c r="AD326" s="377"/>
      <c r="AE326" s="377"/>
      <c r="AF326" s="377"/>
      <c r="AG326" s="377"/>
      <c r="AH326" s="377"/>
      <c r="AI326" s="377"/>
      <c r="AJ326" s="377"/>
      <c r="AK326" s="377"/>
      <c r="AL326" s="574"/>
      <c r="AM326" s="377"/>
      <c r="AN326" s="377"/>
      <c r="AO326" s="377"/>
      <c r="AP326" s="377"/>
      <c r="AQ326" s="377"/>
      <c r="AR326" s="377"/>
      <c r="AS326" s="377"/>
      <c r="AT326" s="377"/>
      <c r="AU326" s="377"/>
      <c r="AV326" s="377"/>
      <c r="AW326" s="575"/>
      <c r="AX326" s="377"/>
      <c r="AY326" s="377"/>
      <c r="AZ326" s="377"/>
      <c r="BA326" s="377"/>
      <c r="BB326" s="377"/>
      <c r="BC326" s="377"/>
      <c r="BD326" s="377"/>
      <c r="BE326" s="377"/>
      <c r="BF326" s="377"/>
      <c r="BG326" s="377"/>
      <c r="BH326" s="377"/>
      <c r="BI326" s="377"/>
      <c r="BJ326" s="377"/>
      <c r="BK326" s="377"/>
      <c r="BL326" s="377"/>
      <c r="BM326" s="377"/>
      <c r="BN326" s="576"/>
      <c r="BO326" s="377"/>
      <c r="BP326" s="377"/>
      <c r="BQ326" s="377"/>
      <c r="BR326" s="377"/>
      <c r="BS326" s="377"/>
      <c r="BT326" s="377"/>
      <c r="BU326" s="377"/>
      <c r="BV326" s="377"/>
      <c r="BW326" s="377"/>
      <c r="BX326" s="377"/>
      <c r="BY326" s="377"/>
      <c r="BZ326" s="377"/>
      <c r="CA326" s="377"/>
      <c r="CB326" s="377"/>
      <c r="CC326" s="377"/>
      <c r="CD326" s="377"/>
      <c r="CE326" s="377"/>
      <c r="CF326" s="377"/>
      <c r="CG326" s="377"/>
      <c r="CH326" s="377"/>
      <c r="CI326" s="377"/>
    </row>
    <row r="327" spans="1:87" ht="15">
      <c r="A327" s="377"/>
      <c r="B327" s="377"/>
      <c r="C327" s="572"/>
      <c r="D327" s="377"/>
      <c r="E327" s="377"/>
      <c r="F327" s="377"/>
      <c r="G327" s="377"/>
      <c r="H327" s="573"/>
      <c r="I327" s="377"/>
      <c r="J327" s="377"/>
      <c r="K327" s="377"/>
      <c r="L327" s="377"/>
      <c r="M327" s="377"/>
      <c r="N327" s="377"/>
      <c r="O327" s="377"/>
      <c r="P327" s="377"/>
      <c r="Q327" s="377"/>
      <c r="R327" s="377"/>
      <c r="S327" s="377"/>
      <c r="T327" s="377"/>
      <c r="U327" s="377"/>
      <c r="V327" s="377"/>
      <c r="W327" s="377"/>
      <c r="X327" s="574"/>
      <c r="Y327" s="377"/>
      <c r="Z327" s="377"/>
      <c r="AA327" s="377"/>
      <c r="AB327" s="377"/>
      <c r="AC327" s="377"/>
      <c r="AD327" s="377"/>
      <c r="AE327" s="377"/>
      <c r="AF327" s="377"/>
      <c r="AG327" s="377"/>
      <c r="AH327" s="377"/>
      <c r="AI327" s="377"/>
      <c r="AJ327" s="377"/>
      <c r="AK327" s="377"/>
      <c r="AL327" s="574"/>
      <c r="AM327" s="377"/>
      <c r="AN327" s="377"/>
      <c r="AO327" s="377"/>
      <c r="AP327" s="377"/>
      <c r="AQ327" s="377"/>
      <c r="AR327" s="377"/>
      <c r="AS327" s="377"/>
      <c r="AT327" s="377"/>
      <c r="AU327" s="377"/>
      <c r="AV327" s="377"/>
      <c r="AW327" s="575"/>
      <c r="AX327" s="377"/>
      <c r="AY327" s="377"/>
      <c r="AZ327" s="377"/>
      <c r="BA327" s="377"/>
      <c r="BB327" s="377"/>
      <c r="BC327" s="377"/>
      <c r="BD327" s="377"/>
      <c r="BE327" s="377"/>
      <c r="BF327" s="377"/>
      <c r="BG327" s="377"/>
      <c r="BH327" s="377"/>
      <c r="BI327" s="377"/>
      <c r="BJ327" s="377"/>
      <c r="BK327" s="377"/>
      <c r="BL327" s="377"/>
      <c r="BM327" s="377"/>
      <c r="BN327" s="576"/>
      <c r="BO327" s="377"/>
      <c r="BP327" s="377"/>
      <c r="BQ327" s="377"/>
      <c r="BR327" s="377"/>
      <c r="BS327" s="377"/>
      <c r="BT327" s="377"/>
      <c r="BU327" s="377"/>
      <c r="BV327" s="377"/>
      <c r="BW327" s="377"/>
      <c r="BX327" s="377"/>
      <c r="BY327" s="377"/>
      <c r="BZ327" s="377"/>
      <c r="CA327" s="377"/>
      <c r="CB327" s="377"/>
      <c r="CC327" s="377"/>
      <c r="CD327" s="377"/>
      <c r="CE327" s="377"/>
      <c r="CF327" s="377"/>
      <c r="CG327" s="377"/>
      <c r="CH327" s="377"/>
      <c r="CI327" s="377"/>
    </row>
    <row r="328" spans="1:87" ht="15">
      <c r="A328" s="377"/>
      <c r="B328" s="377"/>
      <c r="C328" s="572"/>
      <c r="D328" s="377"/>
      <c r="E328" s="377"/>
      <c r="F328" s="377"/>
      <c r="G328" s="377"/>
      <c r="H328" s="573"/>
      <c r="I328" s="377"/>
      <c r="J328" s="377"/>
      <c r="K328" s="377"/>
      <c r="L328" s="377"/>
      <c r="M328" s="377"/>
      <c r="N328" s="377"/>
      <c r="O328" s="377"/>
      <c r="P328" s="377"/>
      <c r="Q328" s="377"/>
      <c r="R328" s="377"/>
      <c r="S328" s="377"/>
      <c r="T328" s="377"/>
      <c r="U328" s="377"/>
      <c r="V328" s="377"/>
      <c r="W328" s="377"/>
      <c r="X328" s="574"/>
      <c r="Y328" s="377"/>
      <c r="Z328" s="377"/>
      <c r="AA328" s="377"/>
      <c r="AB328" s="377"/>
      <c r="AC328" s="377"/>
      <c r="AD328" s="377"/>
      <c r="AE328" s="377"/>
      <c r="AF328" s="377"/>
      <c r="AG328" s="377"/>
      <c r="AH328" s="377"/>
      <c r="AI328" s="377"/>
      <c r="AJ328" s="377"/>
      <c r="AK328" s="377"/>
      <c r="AL328" s="574"/>
      <c r="AM328" s="377"/>
      <c r="AN328" s="377"/>
      <c r="AO328" s="377"/>
      <c r="AP328" s="377"/>
      <c r="AQ328" s="377"/>
      <c r="AR328" s="377"/>
      <c r="AS328" s="377"/>
      <c r="AT328" s="377"/>
      <c r="AU328" s="377"/>
      <c r="AV328" s="377"/>
      <c r="AW328" s="575"/>
      <c r="AX328" s="377"/>
      <c r="AY328" s="377"/>
      <c r="AZ328" s="377"/>
      <c r="BA328" s="377"/>
      <c r="BB328" s="377"/>
      <c r="BC328" s="377"/>
      <c r="BD328" s="377"/>
      <c r="BE328" s="377"/>
      <c r="BF328" s="377"/>
      <c r="BG328" s="377"/>
      <c r="BH328" s="377"/>
      <c r="BI328" s="377"/>
      <c r="BJ328" s="377"/>
      <c r="BK328" s="377"/>
      <c r="BL328" s="377"/>
      <c r="BM328" s="377"/>
      <c r="BN328" s="576"/>
      <c r="BO328" s="377"/>
      <c r="BP328" s="377"/>
      <c r="BQ328" s="377"/>
      <c r="BR328" s="377"/>
      <c r="BS328" s="377"/>
      <c r="BT328" s="377"/>
      <c r="BU328" s="377"/>
      <c r="BV328" s="377"/>
      <c r="BW328" s="377"/>
      <c r="BX328" s="377"/>
      <c r="BY328" s="377"/>
      <c r="BZ328" s="377"/>
      <c r="CA328" s="377"/>
      <c r="CB328" s="377"/>
      <c r="CC328" s="377"/>
      <c r="CD328" s="377"/>
      <c r="CE328" s="377"/>
      <c r="CF328" s="377"/>
      <c r="CG328" s="377"/>
      <c r="CH328" s="377"/>
      <c r="CI328" s="377"/>
    </row>
    <row r="329" spans="1:87" ht="15">
      <c r="A329" s="377"/>
      <c r="B329" s="377"/>
      <c r="C329" s="572"/>
      <c r="D329" s="377"/>
      <c r="E329" s="377"/>
      <c r="F329" s="377"/>
      <c r="G329" s="377"/>
      <c r="H329" s="573"/>
      <c r="I329" s="377"/>
      <c r="J329" s="377"/>
      <c r="K329" s="377"/>
      <c r="L329" s="377"/>
      <c r="M329" s="377"/>
      <c r="N329" s="377"/>
      <c r="O329" s="377"/>
      <c r="P329" s="377"/>
      <c r="Q329" s="377"/>
      <c r="R329" s="377"/>
      <c r="S329" s="377"/>
      <c r="T329" s="377"/>
      <c r="U329" s="377"/>
      <c r="V329" s="377"/>
      <c r="W329" s="377"/>
      <c r="X329" s="574"/>
      <c r="Y329" s="377"/>
      <c r="Z329" s="377"/>
      <c r="AA329" s="377"/>
      <c r="AB329" s="377"/>
      <c r="AC329" s="377"/>
      <c r="AD329" s="377"/>
      <c r="AE329" s="377"/>
      <c r="AF329" s="377"/>
      <c r="AG329" s="377"/>
      <c r="AH329" s="377"/>
      <c r="AI329" s="377"/>
      <c r="AJ329" s="377"/>
      <c r="AK329" s="377"/>
      <c r="AL329" s="574"/>
      <c r="AM329" s="377"/>
      <c r="AN329" s="377"/>
      <c r="AO329" s="377"/>
      <c r="AP329" s="377"/>
      <c r="AQ329" s="377"/>
      <c r="AR329" s="377"/>
      <c r="AS329" s="377"/>
      <c r="AT329" s="377"/>
      <c r="AU329" s="377"/>
      <c r="AV329" s="377"/>
      <c r="AW329" s="575"/>
      <c r="AX329" s="377"/>
      <c r="AY329" s="377"/>
      <c r="AZ329" s="377"/>
      <c r="BA329" s="377"/>
      <c r="BB329" s="377"/>
      <c r="BC329" s="377"/>
      <c r="BD329" s="377"/>
      <c r="BE329" s="377"/>
      <c r="BF329" s="377"/>
      <c r="BG329" s="377"/>
      <c r="BH329" s="377"/>
      <c r="BI329" s="377"/>
      <c r="BJ329" s="377"/>
      <c r="BK329" s="377"/>
      <c r="BL329" s="377"/>
      <c r="BM329" s="377"/>
      <c r="BN329" s="576"/>
      <c r="BO329" s="377"/>
      <c r="BP329" s="377"/>
      <c r="BQ329" s="377"/>
      <c r="BR329" s="377"/>
      <c r="BS329" s="377"/>
      <c r="BT329" s="377"/>
      <c r="BU329" s="377"/>
      <c r="BV329" s="377"/>
      <c r="BW329" s="377"/>
      <c r="BX329" s="377"/>
      <c r="BY329" s="377"/>
      <c r="BZ329" s="377"/>
      <c r="CA329" s="377"/>
      <c r="CB329" s="377"/>
      <c r="CC329" s="377"/>
      <c r="CD329" s="377"/>
      <c r="CE329" s="377"/>
      <c r="CF329" s="377"/>
      <c r="CG329" s="377"/>
      <c r="CH329" s="377"/>
      <c r="CI329" s="377"/>
    </row>
    <row r="330" spans="1:87" ht="15">
      <c r="A330" s="377"/>
      <c r="B330" s="377"/>
      <c r="C330" s="572"/>
      <c r="D330" s="377"/>
      <c r="E330" s="377"/>
      <c r="F330" s="377"/>
      <c r="G330" s="377"/>
      <c r="H330" s="573"/>
      <c r="I330" s="377"/>
      <c r="J330" s="377"/>
      <c r="K330" s="377"/>
      <c r="L330" s="377"/>
      <c r="M330" s="377"/>
      <c r="N330" s="377"/>
      <c r="O330" s="377"/>
      <c r="P330" s="377"/>
      <c r="Q330" s="377"/>
      <c r="R330" s="377"/>
      <c r="S330" s="377"/>
      <c r="T330" s="377"/>
      <c r="U330" s="377"/>
      <c r="V330" s="377"/>
      <c r="W330" s="377"/>
      <c r="X330" s="574"/>
      <c r="Y330" s="377"/>
      <c r="Z330" s="377"/>
      <c r="AA330" s="377"/>
      <c r="AB330" s="377"/>
      <c r="AC330" s="377"/>
      <c r="AD330" s="377"/>
      <c r="AE330" s="377"/>
      <c r="AF330" s="377"/>
      <c r="AG330" s="377"/>
      <c r="AH330" s="377"/>
      <c r="AI330" s="377"/>
      <c r="AJ330" s="377"/>
      <c r="AK330" s="377"/>
      <c r="AL330" s="574"/>
      <c r="AM330" s="377"/>
      <c r="AN330" s="377"/>
      <c r="AO330" s="377"/>
      <c r="AP330" s="377"/>
      <c r="AQ330" s="377"/>
      <c r="AR330" s="377"/>
      <c r="AS330" s="377"/>
      <c r="AT330" s="377"/>
      <c r="AU330" s="377"/>
      <c r="AV330" s="377"/>
      <c r="AW330" s="575"/>
      <c r="AX330" s="377"/>
      <c r="AY330" s="377"/>
      <c r="AZ330" s="377"/>
      <c r="BA330" s="377"/>
      <c r="BB330" s="377"/>
      <c r="BC330" s="377"/>
      <c r="BD330" s="377"/>
      <c r="BE330" s="377"/>
      <c r="BF330" s="377"/>
      <c r="BG330" s="377"/>
      <c r="BH330" s="377"/>
      <c r="BI330" s="377"/>
      <c r="BJ330" s="377"/>
      <c r="BK330" s="377"/>
      <c r="BL330" s="377"/>
      <c r="BM330" s="377"/>
      <c r="BN330" s="576"/>
      <c r="BO330" s="377"/>
      <c r="BP330" s="377"/>
      <c r="BQ330" s="377"/>
      <c r="BR330" s="377"/>
      <c r="BS330" s="377"/>
      <c r="BT330" s="377"/>
      <c r="BU330" s="377"/>
      <c r="BV330" s="377"/>
      <c r="BW330" s="377"/>
      <c r="BX330" s="377"/>
      <c r="BY330" s="377"/>
      <c r="BZ330" s="377"/>
      <c r="CA330" s="377"/>
      <c r="CB330" s="377"/>
      <c r="CC330" s="377"/>
      <c r="CD330" s="377"/>
      <c r="CE330" s="377"/>
      <c r="CF330" s="377"/>
      <c r="CG330" s="377"/>
      <c r="CH330" s="377"/>
      <c r="CI330" s="377"/>
    </row>
    <row r="331" spans="1:87" ht="15">
      <c r="A331" s="377"/>
      <c r="B331" s="377"/>
      <c r="C331" s="572"/>
      <c r="D331" s="377"/>
      <c r="E331" s="377"/>
      <c r="F331" s="377"/>
      <c r="G331" s="377"/>
      <c r="H331" s="573"/>
      <c r="I331" s="377"/>
      <c r="J331" s="377"/>
      <c r="K331" s="377"/>
      <c r="L331" s="377"/>
      <c r="M331" s="377"/>
      <c r="N331" s="377"/>
      <c r="O331" s="377"/>
      <c r="P331" s="377"/>
      <c r="Q331" s="377"/>
      <c r="R331" s="377"/>
      <c r="S331" s="377"/>
      <c r="T331" s="377"/>
      <c r="U331" s="377"/>
      <c r="V331" s="377"/>
      <c r="W331" s="377"/>
      <c r="X331" s="574"/>
      <c r="Y331" s="377"/>
      <c r="Z331" s="377"/>
      <c r="AA331" s="377"/>
      <c r="AB331" s="377"/>
      <c r="AC331" s="377"/>
      <c r="AD331" s="377"/>
      <c r="AE331" s="377"/>
      <c r="AF331" s="377"/>
      <c r="AG331" s="377"/>
      <c r="AH331" s="377"/>
      <c r="AI331" s="377"/>
      <c r="AJ331" s="377"/>
      <c r="AK331" s="377"/>
      <c r="AL331" s="574"/>
      <c r="AM331" s="377"/>
      <c r="AN331" s="377"/>
      <c r="AO331" s="377"/>
      <c r="AP331" s="377"/>
      <c r="AQ331" s="377"/>
      <c r="AR331" s="377"/>
      <c r="AS331" s="377"/>
      <c r="AT331" s="377"/>
      <c r="AU331" s="377"/>
      <c r="AV331" s="377"/>
      <c r="AW331" s="575"/>
      <c r="AX331" s="377"/>
      <c r="AY331" s="377"/>
      <c r="AZ331" s="377"/>
      <c r="BA331" s="377"/>
      <c r="BB331" s="377"/>
      <c r="BC331" s="377"/>
      <c r="BD331" s="377"/>
      <c r="BE331" s="377"/>
      <c r="BF331" s="377"/>
      <c r="BG331" s="377"/>
      <c r="BH331" s="377"/>
      <c r="BI331" s="377"/>
      <c r="BJ331" s="377"/>
      <c r="BK331" s="377"/>
      <c r="BL331" s="377"/>
      <c r="BM331" s="377"/>
      <c r="BN331" s="576"/>
      <c r="BO331" s="377"/>
      <c r="BP331" s="377"/>
      <c r="BQ331" s="377"/>
      <c r="BR331" s="377"/>
      <c r="BS331" s="377"/>
      <c r="BT331" s="377"/>
      <c r="BU331" s="377"/>
      <c r="BV331" s="377"/>
      <c r="BW331" s="377"/>
      <c r="BX331" s="377"/>
      <c r="BY331" s="377"/>
      <c r="BZ331" s="377"/>
      <c r="CA331" s="377"/>
      <c r="CB331" s="377"/>
      <c r="CC331" s="377"/>
      <c r="CD331" s="377"/>
      <c r="CE331" s="377"/>
      <c r="CF331" s="377"/>
      <c r="CG331" s="377"/>
      <c r="CH331" s="377"/>
      <c r="CI331" s="377"/>
    </row>
    <row r="332" spans="1:87" ht="15">
      <c r="A332" s="377"/>
      <c r="B332" s="377"/>
      <c r="C332" s="572"/>
      <c r="D332" s="377"/>
      <c r="E332" s="377"/>
      <c r="F332" s="377"/>
      <c r="G332" s="377"/>
      <c r="H332" s="573"/>
      <c r="I332" s="377"/>
      <c r="J332" s="377"/>
      <c r="K332" s="377"/>
      <c r="L332" s="377"/>
      <c r="M332" s="377"/>
      <c r="N332" s="377"/>
      <c r="O332" s="377"/>
      <c r="P332" s="377"/>
      <c r="Q332" s="377"/>
      <c r="R332" s="377"/>
      <c r="S332" s="377"/>
      <c r="T332" s="377"/>
      <c r="U332" s="377"/>
      <c r="V332" s="377"/>
      <c r="W332" s="377"/>
      <c r="X332" s="574"/>
      <c r="Y332" s="377"/>
      <c r="Z332" s="377"/>
      <c r="AA332" s="377"/>
      <c r="AB332" s="377"/>
      <c r="AC332" s="377"/>
      <c r="AD332" s="377"/>
      <c r="AE332" s="377"/>
      <c r="AF332" s="377"/>
      <c r="AG332" s="377"/>
      <c r="AH332" s="377"/>
      <c r="AI332" s="377"/>
      <c r="AJ332" s="377"/>
      <c r="AK332" s="377"/>
      <c r="AL332" s="574"/>
      <c r="AM332" s="377"/>
      <c r="AN332" s="377"/>
      <c r="AO332" s="377"/>
      <c r="AP332" s="377"/>
      <c r="AQ332" s="377"/>
      <c r="AR332" s="377"/>
      <c r="AS332" s="377"/>
      <c r="AT332" s="377"/>
      <c r="AU332" s="377"/>
      <c r="AV332" s="377"/>
      <c r="AW332" s="575"/>
      <c r="AX332" s="377"/>
      <c r="AY332" s="377"/>
      <c r="AZ332" s="377"/>
      <c r="BA332" s="377"/>
      <c r="BB332" s="377"/>
      <c r="BC332" s="377"/>
      <c r="BD332" s="377"/>
      <c r="BE332" s="377"/>
      <c r="BF332" s="377"/>
      <c r="BG332" s="377"/>
      <c r="BH332" s="377"/>
      <c r="BI332" s="377"/>
      <c r="BJ332" s="377"/>
      <c r="BK332" s="377"/>
      <c r="BL332" s="377"/>
      <c r="BM332" s="377"/>
      <c r="BN332" s="576"/>
      <c r="BO332" s="377"/>
      <c r="BP332" s="377"/>
      <c r="BQ332" s="377"/>
      <c r="BR332" s="377"/>
      <c r="BS332" s="377"/>
      <c r="BT332" s="377"/>
      <c r="BU332" s="377"/>
      <c r="BV332" s="377"/>
      <c r="BW332" s="377"/>
      <c r="BX332" s="377"/>
      <c r="BY332" s="377"/>
      <c r="BZ332" s="377"/>
      <c r="CA332" s="377"/>
      <c r="CB332" s="377"/>
      <c r="CC332" s="377"/>
      <c r="CD332" s="377"/>
      <c r="CE332" s="377"/>
      <c r="CF332" s="377"/>
      <c r="CG332" s="377"/>
      <c r="CH332" s="377"/>
      <c r="CI332" s="377"/>
    </row>
    <row r="333" spans="1:87" ht="15">
      <c r="A333" s="377"/>
      <c r="B333" s="377"/>
      <c r="C333" s="572"/>
      <c r="D333" s="377"/>
      <c r="E333" s="377"/>
      <c r="F333" s="377"/>
      <c r="G333" s="377"/>
      <c r="H333" s="573"/>
      <c r="I333" s="377"/>
      <c r="J333" s="377"/>
      <c r="K333" s="377"/>
      <c r="L333" s="377"/>
      <c r="M333" s="377"/>
      <c r="N333" s="377"/>
      <c r="O333" s="377"/>
      <c r="P333" s="377"/>
      <c r="Q333" s="377"/>
      <c r="R333" s="377"/>
      <c r="S333" s="377"/>
      <c r="T333" s="377"/>
      <c r="U333" s="377"/>
      <c r="V333" s="377"/>
      <c r="W333" s="377"/>
      <c r="X333" s="574"/>
      <c r="Y333" s="377"/>
      <c r="Z333" s="377"/>
      <c r="AA333" s="377"/>
      <c r="AB333" s="377"/>
      <c r="AC333" s="377"/>
      <c r="AD333" s="377"/>
      <c r="AE333" s="377"/>
      <c r="AF333" s="377"/>
      <c r="AG333" s="377"/>
      <c r="AH333" s="377"/>
      <c r="AI333" s="377"/>
      <c r="AJ333" s="377"/>
      <c r="AK333" s="377"/>
      <c r="AL333" s="574"/>
      <c r="AM333" s="377"/>
      <c r="AN333" s="377"/>
      <c r="AO333" s="377"/>
      <c r="AP333" s="377"/>
      <c r="AQ333" s="377"/>
      <c r="AR333" s="377"/>
      <c r="AS333" s="377"/>
      <c r="AT333" s="377"/>
      <c r="AU333" s="377"/>
      <c r="AV333" s="377"/>
      <c r="AW333" s="575"/>
      <c r="AX333" s="377"/>
      <c r="AY333" s="377"/>
      <c r="AZ333" s="377"/>
      <c r="BA333" s="377"/>
      <c r="BB333" s="377"/>
      <c r="BC333" s="377"/>
      <c r="BD333" s="377"/>
      <c r="BE333" s="377"/>
      <c r="BF333" s="377"/>
      <c r="BG333" s="377"/>
      <c r="BH333" s="377"/>
      <c r="BI333" s="377"/>
      <c r="BJ333" s="377"/>
      <c r="BK333" s="377"/>
      <c r="BL333" s="377"/>
      <c r="BM333" s="377"/>
      <c r="BN333" s="576"/>
      <c r="BO333" s="377"/>
      <c r="BP333" s="377"/>
      <c r="BQ333" s="377"/>
      <c r="BR333" s="377"/>
      <c r="BS333" s="377"/>
      <c r="BT333" s="377"/>
      <c r="BU333" s="377"/>
      <c r="BV333" s="377"/>
      <c r="BW333" s="377"/>
      <c r="BX333" s="377"/>
      <c r="BY333" s="377"/>
      <c r="BZ333" s="377"/>
      <c r="CA333" s="377"/>
      <c r="CB333" s="377"/>
      <c r="CC333" s="377"/>
      <c r="CD333" s="377"/>
      <c r="CE333" s="377"/>
      <c r="CF333" s="377"/>
      <c r="CG333" s="377"/>
      <c r="CH333" s="377"/>
      <c r="CI333" s="377"/>
    </row>
    <row r="334" spans="1:87" ht="15">
      <c r="A334" s="377"/>
      <c r="B334" s="377"/>
      <c r="C334" s="572"/>
      <c r="D334" s="377"/>
      <c r="E334" s="377"/>
      <c r="F334" s="377"/>
      <c r="G334" s="377"/>
      <c r="H334" s="573"/>
      <c r="I334" s="377"/>
      <c r="J334" s="377"/>
      <c r="K334" s="377"/>
      <c r="L334" s="377"/>
      <c r="M334" s="377"/>
      <c r="N334" s="377"/>
      <c r="O334" s="377"/>
      <c r="P334" s="377"/>
      <c r="Q334" s="377"/>
      <c r="R334" s="377"/>
      <c r="S334" s="377"/>
      <c r="T334" s="377"/>
      <c r="U334" s="377"/>
      <c r="V334" s="377"/>
      <c r="W334" s="377"/>
      <c r="X334" s="574"/>
      <c r="Y334" s="377"/>
      <c r="Z334" s="377"/>
      <c r="AA334" s="377"/>
      <c r="AB334" s="377"/>
      <c r="AC334" s="377"/>
      <c r="AD334" s="377"/>
      <c r="AE334" s="377"/>
      <c r="AF334" s="377"/>
      <c r="AG334" s="377"/>
      <c r="AH334" s="377"/>
      <c r="AI334" s="377"/>
      <c r="AJ334" s="377"/>
      <c r="AK334" s="377"/>
      <c r="AL334" s="574"/>
      <c r="AM334" s="377"/>
      <c r="AN334" s="377"/>
      <c r="AO334" s="377"/>
      <c r="AP334" s="377"/>
      <c r="AQ334" s="377"/>
      <c r="AR334" s="377"/>
      <c r="AS334" s="377"/>
      <c r="AT334" s="377"/>
      <c r="AU334" s="377"/>
      <c r="AV334" s="377"/>
      <c r="AW334" s="575"/>
      <c r="AX334" s="377"/>
      <c r="AY334" s="377"/>
      <c r="AZ334" s="377"/>
      <c r="BA334" s="377"/>
      <c r="BB334" s="377"/>
      <c r="BC334" s="377"/>
      <c r="BD334" s="377"/>
      <c r="BE334" s="377"/>
      <c r="BF334" s="377"/>
      <c r="BG334" s="377"/>
      <c r="BH334" s="377"/>
      <c r="BI334" s="377"/>
      <c r="BJ334" s="377"/>
      <c r="BK334" s="377"/>
      <c r="BL334" s="377"/>
      <c r="BM334" s="377"/>
      <c r="BN334" s="576"/>
      <c r="BO334" s="377"/>
      <c r="BP334" s="377"/>
      <c r="BQ334" s="377"/>
      <c r="BR334" s="377"/>
      <c r="BS334" s="377"/>
      <c r="BT334" s="377"/>
      <c r="BU334" s="377"/>
      <c r="BV334" s="377"/>
      <c r="BW334" s="377"/>
      <c r="BX334" s="377"/>
      <c r="BY334" s="377"/>
      <c r="BZ334" s="377"/>
      <c r="CA334" s="377"/>
      <c r="CB334" s="377"/>
      <c r="CC334" s="377"/>
      <c r="CD334" s="377"/>
      <c r="CE334" s="377"/>
      <c r="CF334" s="377"/>
      <c r="CG334" s="377"/>
      <c r="CH334" s="377"/>
      <c r="CI334" s="377"/>
    </row>
    <row r="335" spans="1:87" ht="15">
      <c r="A335" s="377"/>
      <c r="B335" s="377"/>
      <c r="C335" s="572"/>
      <c r="D335" s="377"/>
      <c r="E335" s="377"/>
      <c r="F335" s="377"/>
      <c r="G335" s="377"/>
      <c r="H335" s="573"/>
      <c r="I335" s="377"/>
      <c r="J335" s="377"/>
      <c r="K335" s="377"/>
      <c r="L335" s="377"/>
      <c r="M335" s="377"/>
      <c r="N335" s="377"/>
      <c r="O335" s="377"/>
      <c r="P335" s="377"/>
      <c r="Q335" s="377"/>
      <c r="R335" s="377"/>
      <c r="S335" s="377"/>
      <c r="T335" s="377"/>
      <c r="U335" s="377"/>
      <c r="V335" s="377"/>
      <c r="W335" s="377"/>
      <c r="X335" s="574"/>
      <c r="Y335" s="377"/>
      <c r="Z335" s="377"/>
      <c r="AA335" s="377"/>
      <c r="AB335" s="377"/>
      <c r="AC335" s="377"/>
      <c r="AD335" s="377"/>
      <c r="AE335" s="377"/>
      <c r="AF335" s="377"/>
      <c r="AG335" s="377"/>
      <c r="AH335" s="377"/>
      <c r="AI335" s="377"/>
      <c r="AJ335" s="377"/>
      <c r="AK335" s="377"/>
      <c r="AL335" s="574"/>
      <c r="AM335" s="377"/>
      <c r="AN335" s="377"/>
      <c r="AO335" s="377"/>
      <c r="AP335" s="377"/>
      <c r="AQ335" s="377"/>
      <c r="AR335" s="377"/>
      <c r="AS335" s="377"/>
      <c r="AT335" s="377"/>
      <c r="AU335" s="377"/>
      <c r="AV335" s="377"/>
      <c r="AW335" s="575"/>
      <c r="AX335" s="377"/>
      <c r="AY335" s="377"/>
      <c r="AZ335" s="377"/>
      <c r="BA335" s="377"/>
      <c r="BB335" s="377"/>
      <c r="BC335" s="377"/>
      <c r="BD335" s="377"/>
      <c r="BE335" s="377"/>
      <c r="BF335" s="377"/>
      <c r="BG335" s="377"/>
      <c r="BH335" s="377"/>
      <c r="BI335" s="377"/>
      <c r="BJ335" s="377"/>
      <c r="BK335" s="377"/>
      <c r="BL335" s="377"/>
      <c r="BM335" s="377"/>
      <c r="BN335" s="576"/>
      <c r="BO335" s="377"/>
      <c r="BP335" s="377"/>
      <c r="BQ335" s="377"/>
      <c r="BR335" s="377"/>
      <c r="BS335" s="377"/>
      <c r="BT335" s="377"/>
      <c r="BU335" s="377"/>
      <c r="BV335" s="377"/>
      <c r="BW335" s="377"/>
      <c r="BX335" s="377"/>
      <c r="BY335" s="377"/>
      <c r="BZ335" s="377"/>
      <c r="CA335" s="377"/>
      <c r="CB335" s="377"/>
      <c r="CC335" s="377"/>
      <c r="CD335" s="377"/>
      <c r="CE335" s="377"/>
      <c r="CF335" s="377"/>
      <c r="CG335" s="377"/>
      <c r="CH335" s="377"/>
      <c r="CI335" s="377"/>
    </row>
    <row r="336" spans="1:87" ht="15">
      <c r="A336" s="377"/>
      <c r="B336" s="377"/>
      <c r="C336" s="572"/>
      <c r="D336" s="377"/>
      <c r="E336" s="377"/>
      <c r="F336" s="377"/>
      <c r="G336" s="377"/>
      <c r="H336" s="573"/>
      <c r="I336" s="377"/>
      <c r="J336" s="377"/>
      <c r="K336" s="377"/>
      <c r="L336" s="377"/>
      <c r="M336" s="377"/>
      <c r="N336" s="377"/>
      <c r="O336" s="377"/>
      <c r="P336" s="377"/>
      <c r="Q336" s="377"/>
      <c r="R336" s="377"/>
      <c r="S336" s="377"/>
      <c r="T336" s="377"/>
      <c r="U336" s="377"/>
      <c r="V336" s="377"/>
      <c r="W336" s="377"/>
      <c r="X336" s="574"/>
      <c r="Y336" s="377"/>
      <c r="Z336" s="377"/>
      <c r="AA336" s="377"/>
      <c r="AB336" s="377"/>
      <c r="AC336" s="377"/>
      <c r="AD336" s="377"/>
      <c r="AE336" s="377"/>
      <c r="AF336" s="377"/>
      <c r="AG336" s="377"/>
      <c r="AH336" s="377"/>
      <c r="AI336" s="377"/>
      <c r="AJ336" s="377"/>
      <c r="AK336" s="377"/>
      <c r="AL336" s="574"/>
      <c r="AM336" s="377"/>
      <c r="AN336" s="377"/>
      <c r="AO336" s="377"/>
      <c r="AP336" s="377"/>
      <c r="AQ336" s="377"/>
      <c r="AR336" s="377"/>
      <c r="AS336" s="377"/>
      <c r="AT336" s="377"/>
      <c r="AU336" s="377"/>
      <c r="AV336" s="377"/>
      <c r="AW336" s="575"/>
      <c r="AX336" s="377"/>
      <c r="AY336" s="377"/>
      <c r="AZ336" s="377"/>
      <c r="BA336" s="377"/>
      <c r="BB336" s="377"/>
      <c r="BC336" s="377"/>
      <c r="BD336" s="377"/>
      <c r="BE336" s="377"/>
      <c r="BF336" s="377"/>
      <c r="BG336" s="377"/>
      <c r="BH336" s="377"/>
      <c r="BI336" s="377"/>
      <c r="BJ336" s="377"/>
      <c r="BK336" s="377"/>
      <c r="BL336" s="377"/>
      <c r="BM336" s="377"/>
      <c r="BN336" s="576"/>
      <c r="BO336" s="377"/>
      <c r="BP336" s="377"/>
      <c r="BQ336" s="377"/>
      <c r="BR336" s="377"/>
      <c r="BS336" s="377"/>
      <c r="BT336" s="377"/>
      <c r="BU336" s="377"/>
      <c r="BV336" s="377"/>
      <c r="BW336" s="377"/>
      <c r="BX336" s="377"/>
      <c r="BY336" s="377"/>
      <c r="BZ336" s="377"/>
      <c r="CA336" s="377"/>
      <c r="CB336" s="377"/>
      <c r="CC336" s="377"/>
      <c r="CD336" s="377"/>
      <c r="CE336" s="377"/>
      <c r="CF336" s="377"/>
      <c r="CG336" s="377"/>
      <c r="CH336" s="377"/>
      <c r="CI336" s="377"/>
    </row>
    <row r="337" spans="1:87" ht="15">
      <c r="A337" s="377"/>
      <c r="B337" s="377"/>
      <c r="C337" s="572"/>
      <c r="D337" s="377"/>
      <c r="E337" s="377"/>
      <c r="F337" s="377"/>
      <c r="G337" s="377"/>
      <c r="H337" s="573"/>
      <c r="I337" s="377"/>
      <c r="J337" s="377"/>
      <c r="K337" s="377"/>
      <c r="L337" s="377"/>
      <c r="M337" s="377"/>
      <c r="N337" s="377"/>
      <c r="O337" s="377"/>
      <c r="P337" s="377"/>
      <c r="Q337" s="377"/>
      <c r="R337" s="377"/>
      <c r="S337" s="377"/>
      <c r="T337" s="377"/>
      <c r="U337" s="377"/>
      <c r="V337" s="377"/>
      <c r="W337" s="377"/>
      <c r="X337" s="574"/>
      <c r="Y337" s="377"/>
      <c r="Z337" s="377"/>
      <c r="AA337" s="377"/>
      <c r="AB337" s="377"/>
      <c r="AC337" s="377"/>
      <c r="AD337" s="377"/>
      <c r="AE337" s="377"/>
      <c r="AF337" s="377"/>
      <c r="AG337" s="377"/>
      <c r="AH337" s="377"/>
      <c r="AI337" s="377"/>
      <c r="AJ337" s="377"/>
      <c r="AK337" s="377"/>
      <c r="AL337" s="574"/>
      <c r="AM337" s="377"/>
      <c r="AN337" s="377"/>
      <c r="AO337" s="377"/>
      <c r="AP337" s="377"/>
      <c r="AQ337" s="377"/>
      <c r="AR337" s="377"/>
      <c r="AS337" s="377"/>
      <c r="AT337" s="377"/>
      <c r="AU337" s="377"/>
      <c r="AV337" s="377"/>
      <c r="AW337" s="575"/>
      <c r="AX337" s="377"/>
      <c r="AY337" s="377"/>
      <c r="AZ337" s="377"/>
      <c r="BA337" s="377"/>
      <c r="BB337" s="377"/>
      <c r="BC337" s="377"/>
      <c r="BD337" s="377"/>
      <c r="BE337" s="377"/>
      <c r="BF337" s="377"/>
      <c r="BG337" s="377"/>
      <c r="BH337" s="377"/>
      <c r="BI337" s="377"/>
      <c r="BJ337" s="377"/>
      <c r="BK337" s="377"/>
      <c r="BL337" s="377"/>
      <c r="BM337" s="377"/>
      <c r="BN337" s="576"/>
      <c r="BO337" s="377"/>
      <c r="BP337" s="377"/>
      <c r="BQ337" s="377"/>
      <c r="BR337" s="377"/>
      <c r="BS337" s="377"/>
      <c r="BT337" s="377"/>
      <c r="BU337" s="377"/>
      <c r="BV337" s="377"/>
      <c r="BW337" s="377"/>
      <c r="BX337" s="377"/>
      <c r="BY337" s="377"/>
      <c r="BZ337" s="377"/>
      <c r="CA337" s="377"/>
      <c r="CB337" s="377"/>
      <c r="CC337" s="377"/>
      <c r="CD337" s="377"/>
      <c r="CE337" s="377"/>
      <c r="CF337" s="377"/>
      <c r="CG337" s="377"/>
      <c r="CH337" s="377"/>
      <c r="CI337" s="377"/>
    </row>
    <row r="338" spans="1:87" ht="15">
      <c r="A338" s="377"/>
      <c r="B338" s="377"/>
      <c r="C338" s="572"/>
      <c r="D338" s="377"/>
      <c r="E338" s="377"/>
      <c r="F338" s="377"/>
      <c r="G338" s="377"/>
      <c r="H338" s="573"/>
      <c r="I338" s="377"/>
      <c r="J338" s="377"/>
      <c r="K338" s="377"/>
      <c r="L338" s="377"/>
      <c r="M338" s="377"/>
      <c r="N338" s="377"/>
      <c r="O338" s="377"/>
      <c r="P338" s="377"/>
      <c r="Q338" s="377"/>
      <c r="R338" s="377"/>
      <c r="S338" s="377"/>
      <c r="T338" s="377"/>
      <c r="U338" s="377"/>
      <c r="V338" s="377"/>
      <c r="W338" s="377"/>
      <c r="X338" s="574"/>
      <c r="Y338" s="377"/>
      <c r="Z338" s="377"/>
      <c r="AA338" s="377"/>
      <c r="AB338" s="377"/>
      <c r="AC338" s="377"/>
      <c r="AD338" s="377"/>
      <c r="AE338" s="377"/>
      <c r="AF338" s="377"/>
      <c r="AG338" s="377"/>
      <c r="AH338" s="377"/>
      <c r="AI338" s="377"/>
      <c r="AJ338" s="377"/>
      <c r="AK338" s="377"/>
      <c r="AL338" s="574"/>
      <c r="AM338" s="377"/>
      <c r="AN338" s="377"/>
      <c r="AO338" s="377"/>
      <c r="AP338" s="377"/>
      <c r="AQ338" s="377"/>
      <c r="AR338" s="377"/>
      <c r="AS338" s="377"/>
      <c r="AT338" s="377"/>
      <c r="AU338" s="377"/>
      <c r="AV338" s="377"/>
      <c r="AW338" s="575"/>
      <c r="AX338" s="377"/>
      <c r="AY338" s="377"/>
      <c r="AZ338" s="377"/>
      <c r="BA338" s="377"/>
      <c r="BB338" s="377"/>
      <c r="BC338" s="377"/>
      <c r="BD338" s="377"/>
      <c r="BE338" s="377"/>
      <c r="BF338" s="377"/>
      <c r="BG338" s="377"/>
      <c r="BH338" s="377"/>
      <c r="BI338" s="377"/>
      <c r="BJ338" s="377"/>
      <c r="BK338" s="377"/>
      <c r="BL338" s="377"/>
      <c r="BM338" s="377"/>
      <c r="BN338" s="576"/>
      <c r="BO338" s="377"/>
      <c r="BP338" s="377"/>
      <c r="BQ338" s="377"/>
      <c r="BR338" s="377"/>
      <c r="BS338" s="377"/>
      <c r="BT338" s="377"/>
      <c r="BU338" s="377"/>
      <c r="BV338" s="377"/>
      <c r="BW338" s="377"/>
      <c r="BX338" s="377"/>
      <c r="BY338" s="377"/>
      <c r="BZ338" s="377"/>
      <c r="CA338" s="377"/>
      <c r="CB338" s="377"/>
      <c r="CC338" s="377"/>
      <c r="CD338" s="377"/>
      <c r="CE338" s="377"/>
      <c r="CF338" s="377"/>
      <c r="CG338" s="377"/>
      <c r="CH338" s="377"/>
      <c r="CI338" s="377"/>
    </row>
    <row r="339" spans="1:87" ht="15">
      <c r="A339" s="377"/>
      <c r="B339" s="377"/>
      <c r="C339" s="572"/>
      <c r="D339" s="377"/>
      <c r="E339" s="377"/>
      <c r="F339" s="377"/>
      <c r="G339" s="377"/>
      <c r="H339" s="573"/>
      <c r="I339" s="377"/>
      <c r="J339" s="377"/>
      <c r="K339" s="377"/>
      <c r="L339" s="377"/>
      <c r="M339" s="377"/>
      <c r="N339" s="377"/>
      <c r="O339" s="377"/>
      <c r="P339" s="377"/>
      <c r="Q339" s="377"/>
      <c r="R339" s="377"/>
      <c r="S339" s="377"/>
      <c r="T339" s="377"/>
      <c r="U339" s="377"/>
      <c r="V339" s="377"/>
      <c r="W339" s="377"/>
      <c r="X339" s="574"/>
      <c r="Y339" s="377"/>
      <c r="Z339" s="377"/>
      <c r="AA339" s="377"/>
      <c r="AB339" s="377"/>
      <c r="AC339" s="377"/>
      <c r="AD339" s="377"/>
      <c r="AE339" s="377"/>
      <c r="AF339" s="377"/>
      <c r="AG339" s="377"/>
      <c r="AH339" s="377"/>
      <c r="AI339" s="377"/>
      <c r="AJ339" s="377"/>
      <c r="AK339" s="377"/>
      <c r="AL339" s="574"/>
      <c r="AM339" s="377"/>
      <c r="AN339" s="377"/>
      <c r="AO339" s="377"/>
      <c r="AP339" s="377"/>
      <c r="AQ339" s="377"/>
      <c r="AR339" s="377"/>
      <c r="AS339" s="377"/>
      <c r="AT339" s="377"/>
      <c r="AU339" s="377"/>
      <c r="AV339" s="377"/>
      <c r="AW339" s="575"/>
      <c r="AX339" s="377"/>
      <c r="AY339" s="377"/>
      <c r="AZ339" s="377"/>
      <c r="BA339" s="377"/>
      <c r="BB339" s="377"/>
      <c r="BC339" s="377"/>
      <c r="BD339" s="377"/>
      <c r="BE339" s="377"/>
      <c r="BF339" s="377"/>
      <c r="BG339" s="377"/>
      <c r="BH339" s="377"/>
      <c r="BI339" s="377"/>
      <c r="BJ339" s="377"/>
      <c r="BK339" s="377"/>
      <c r="BL339" s="377"/>
      <c r="BM339" s="377"/>
      <c r="BN339" s="576"/>
      <c r="BO339" s="377"/>
      <c r="BP339" s="377"/>
      <c r="BQ339" s="377"/>
      <c r="BR339" s="377"/>
      <c r="BS339" s="377"/>
      <c r="BT339" s="377"/>
      <c r="BU339" s="377"/>
      <c r="BV339" s="377"/>
      <c r="BW339" s="377"/>
      <c r="BX339" s="377"/>
      <c r="BY339" s="377"/>
      <c r="BZ339" s="377"/>
      <c r="CA339" s="377"/>
      <c r="CB339" s="377"/>
      <c r="CC339" s="377"/>
      <c r="CD339" s="377"/>
      <c r="CE339" s="377"/>
      <c r="CF339" s="377"/>
      <c r="CG339" s="377"/>
      <c r="CH339" s="377"/>
      <c r="CI339" s="377"/>
    </row>
    <row r="340" spans="1:87" ht="15">
      <c r="A340" s="377"/>
      <c r="B340" s="377"/>
      <c r="C340" s="572"/>
      <c r="D340" s="377"/>
      <c r="E340" s="377"/>
      <c r="F340" s="377"/>
      <c r="G340" s="377"/>
      <c r="H340" s="573"/>
      <c r="I340" s="377"/>
      <c r="J340" s="377"/>
      <c r="K340" s="377"/>
      <c r="L340" s="377"/>
      <c r="M340" s="377"/>
      <c r="N340" s="377"/>
      <c r="O340" s="377"/>
      <c r="P340" s="377"/>
      <c r="Q340" s="377"/>
      <c r="R340" s="377"/>
      <c r="S340" s="377"/>
      <c r="T340" s="377"/>
      <c r="U340" s="377"/>
      <c r="V340" s="377"/>
      <c r="W340" s="377"/>
      <c r="X340" s="574"/>
      <c r="Y340" s="377"/>
      <c r="Z340" s="377"/>
      <c r="AA340" s="377"/>
      <c r="AB340" s="377"/>
      <c r="AC340" s="377"/>
      <c r="AD340" s="377"/>
      <c r="AE340" s="377"/>
      <c r="AF340" s="377"/>
      <c r="AG340" s="377"/>
      <c r="AH340" s="377"/>
      <c r="AI340" s="377"/>
      <c r="AJ340" s="377"/>
      <c r="AK340" s="377"/>
      <c r="AL340" s="574"/>
      <c r="AM340" s="377"/>
      <c r="AN340" s="377"/>
      <c r="AO340" s="377"/>
      <c r="AP340" s="377"/>
      <c r="AQ340" s="377"/>
      <c r="AR340" s="377"/>
      <c r="AS340" s="377"/>
      <c r="AT340" s="377"/>
      <c r="AU340" s="377"/>
      <c r="AV340" s="377"/>
      <c r="AW340" s="575"/>
      <c r="AX340" s="377"/>
      <c r="AY340" s="377"/>
      <c r="AZ340" s="377"/>
      <c r="BA340" s="377"/>
      <c r="BB340" s="377"/>
      <c r="BC340" s="377"/>
      <c r="BD340" s="377"/>
      <c r="BE340" s="377"/>
      <c r="BF340" s="377"/>
      <c r="BG340" s="377"/>
      <c r="BH340" s="377"/>
      <c r="BI340" s="377"/>
      <c r="BJ340" s="377"/>
      <c r="BK340" s="377"/>
      <c r="BL340" s="377"/>
      <c r="BM340" s="377"/>
      <c r="BN340" s="576"/>
      <c r="BO340" s="377"/>
      <c r="BP340" s="377"/>
      <c r="BQ340" s="377"/>
      <c r="BR340" s="377"/>
      <c r="BS340" s="377"/>
      <c r="BT340" s="377"/>
      <c r="BU340" s="377"/>
      <c r="BV340" s="377"/>
      <c r="BW340" s="377"/>
      <c r="BX340" s="377"/>
      <c r="BY340" s="377"/>
      <c r="BZ340" s="377"/>
      <c r="CA340" s="377"/>
      <c r="CB340" s="377"/>
      <c r="CC340" s="377"/>
      <c r="CD340" s="377"/>
      <c r="CE340" s="377"/>
      <c r="CF340" s="377"/>
      <c r="CG340" s="377"/>
      <c r="CH340" s="377"/>
      <c r="CI340" s="377"/>
    </row>
    <row r="341" spans="1:87" ht="15">
      <c r="A341" s="377"/>
      <c r="B341" s="377"/>
      <c r="C341" s="572"/>
      <c r="D341" s="377"/>
      <c r="E341" s="377"/>
      <c r="F341" s="377"/>
      <c r="G341" s="377"/>
      <c r="H341" s="573"/>
      <c r="I341" s="377"/>
      <c r="J341" s="377"/>
      <c r="K341" s="377"/>
      <c r="L341" s="377"/>
      <c r="M341" s="377"/>
      <c r="N341" s="377"/>
      <c r="O341" s="377"/>
      <c r="P341" s="377"/>
      <c r="Q341" s="377"/>
      <c r="R341" s="377"/>
      <c r="S341" s="377"/>
      <c r="T341" s="377"/>
      <c r="U341" s="377"/>
      <c r="V341" s="377"/>
      <c r="W341" s="377"/>
      <c r="X341" s="574"/>
      <c r="Y341" s="377"/>
      <c r="Z341" s="377"/>
      <c r="AA341" s="377"/>
      <c r="AB341" s="377"/>
      <c r="AC341" s="377"/>
      <c r="AD341" s="377"/>
      <c r="AE341" s="377"/>
      <c r="AF341" s="377"/>
      <c r="AG341" s="377"/>
      <c r="AH341" s="377"/>
      <c r="AI341" s="377"/>
      <c r="AJ341" s="377"/>
      <c r="AK341" s="377"/>
      <c r="AL341" s="574"/>
      <c r="AM341" s="377"/>
      <c r="AN341" s="377"/>
      <c r="AO341" s="377"/>
      <c r="AP341" s="377"/>
      <c r="AQ341" s="377"/>
      <c r="AR341" s="377"/>
      <c r="AS341" s="377"/>
      <c r="AT341" s="377"/>
      <c r="AU341" s="377"/>
      <c r="AV341" s="377"/>
      <c r="AW341" s="575"/>
      <c r="AX341" s="377"/>
      <c r="AY341" s="377"/>
      <c r="AZ341" s="377"/>
      <c r="BA341" s="377"/>
      <c r="BB341" s="377"/>
      <c r="BC341" s="377"/>
      <c r="BD341" s="377"/>
      <c r="BE341" s="377"/>
      <c r="BF341" s="377"/>
      <c r="BG341" s="377"/>
      <c r="BH341" s="377"/>
      <c r="BI341" s="377"/>
      <c r="BJ341" s="377"/>
      <c r="BK341" s="377"/>
      <c r="BL341" s="377"/>
      <c r="BM341" s="377"/>
      <c r="BN341" s="576"/>
      <c r="BO341" s="377"/>
      <c r="BP341" s="377"/>
      <c r="BQ341" s="377"/>
      <c r="BR341" s="377"/>
      <c r="BS341" s="377"/>
      <c r="BT341" s="377"/>
      <c r="BU341" s="377"/>
      <c r="BV341" s="377"/>
      <c r="BW341" s="377"/>
      <c r="BX341" s="377"/>
      <c r="BY341" s="377"/>
      <c r="BZ341" s="377"/>
      <c r="CA341" s="377"/>
      <c r="CB341" s="377"/>
      <c r="CC341" s="377"/>
      <c r="CD341" s="377"/>
      <c r="CE341" s="377"/>
      <c r="CF341" s="377"/>
      <c r="CG341" s="377"/>
      <c r="CH341" s="377"/>
      <c r="CI341" s="377"/>
    </row>
    <row r="342" spans="1:87" ht="15">
      <c r="A342" s="377"/>
      <c r="B342" s="377"/>
      <c r="C342" s="572"/>
      <c r="D342" s="377"/>
      <c r="E342" s="377"/>
      <c r="F342" s="377"/>
      <c r="G342" s="377"/>
      <c r="H342" s="573"/>
      <c r="I342" s="377"/>
      <c r="J342" s="377"/>
      <c r="K342" s="377"/>
      <c r="L342" s="377"/>
      <c r="M342" s="377"/>
      <c r="N342" s="377"/>
      <c r="O342" s="377"/>
      <c r="P342" s="377"/>
      <c r="Q342" s="377"/>
      <c r="R342" s="377"/>
      <c r="S342" s="377"/>
      <c r="T342" s="377"/>
      <c r="U342" s="377"/>
      <c r="V342" s="377"/>
      <c r="W342" s="377"/>
      <c r="X342" s="574"/>
      <c r="Y342" s="377"/>
      <c r="Z342" s="377"/>
      <c r="AA342" s="377"/>
      <c r="AB342" s="377"/>
      <c r="AC342" s="377"/>
      <c r="AD342" s="377"/>
      <c r="AE342" s="377"/>
      <c r="AF342" s="377"/>
      <c r="AG342" s="377"/>
      <c r="AH342" s="377"/>
      <c r="AI342" s="377"/>
      <c r="AJ342" s="377"/>
      <c r="AK342" s="377"/>
      <c r="AL342" s="574"/>
      <c r="AM342" s="377"/>
      <c r="AN342" s="377"/>
      <c r="AO342" s="377"/>
      <c r="AP342" s="377"/>
      <c r="AQ342" s="377"/>
      <c r="AR342" s="377"/>
      <c r="AS342" s="377"/>
      <c r="AT342" s="377"/>
      <c r="AU342" s="377"/>
      <c r="AV342" s="377"/>
      <c r="AW342" s="575"/>
      <c r="AX342" s="377"/>
      <c r="AY342" s="377"/>
      <c r="AZ342" s="377"/>
      <c r="BA342" s="377"/>
      <c r="BB342" s="377"/>
      <c r="BC342" s="377"/>
      <c r="BD342" s="377"/>
      <c r="BE342" s="377"/>
      <c r="BF342" s="377"/>
      <c r="BG342" s="377"/>
      <c r="BH342" s="377"/>
      <c r="BI342" s="377"/>
      <c r="BJ342" s="377"/>
      <c r="BK342" s="377"/>
      <c r="BL342" s="377"/>
      <c r="BM342" s="377"/>
      <c r="BN342" s="576"/>
      <c r="BO342" s="377"/>
      <c r="BP342" s="377"/>
      <c r="BQ342" s="377"/>
      <c r="BR342" s="377"/>
      <c r="BS342" s="377"/>
      <c r="BT342" s="377"/>
      <c r="BU342" s="377"/>
      <c r="BV342" s="377"/>
      <c r="BW342" s="377"/>
      <c r="BX342" s="377"/>
      <c r="BY342" s="377"/>
      <c r="BZ342" s="377"/>
      <c r="CA342" s="377"/>
      <c r="CB342" s="377"/>
      <c r="CC342" s="377"/>
      <c r="CD342" s="377"/>
      <c r="CE342" s="377"/>
      <c r="CF342" s="377"/>
      <c r="CG342" s="377"/>
      <c r="CH342" s="377"/>
      <c r="CI342" s="377"/>
    </row>
    <row r="343" spans="1:87" ht="15">
      <c r="A343" s="377"/>
      <c r="B343" s="377"/>
      <c r="C343" s="572"/>
      <c r="D343" s="377"/>
      <c r="E343" s="377"/>
      <c r="F343" s="377"/>
      <c r="G343" s="377"/>
      <c r="H343" s="573"/>
      <c r="I343" s="377"/>
      <c r="J343" s="377"/>
      <c r="K343" s="377"/>
      <c r="L343" s="377"/>
      <c r="M343" s="377"/>
      <c r="N343" s="377"/>
      <c r="O343" s="377"/>
      <c r="P343" s="377"/>
      <c r="Q343" s="377"/>
      <c r="R343" s="377"/>
      <c r="S343" s="377"/>
      <c r="T343" s="377"/>
      <c r="U343" s="377"/>
      <c r="V343" s="377"/>
      <c r="W343" s="377"/>
      <c r="X343" s="574"/>
      <c r="Y343" s="377"/>
      <c r="Z343" s="377"/>
      <c r="AA343" s="377"/>
      <c r="AB343" s="377"/>
      <c r="AC343" s="377"/>
      <c r="AD343" s="377"/>
      <c r="AE343" s="377"/>
      <c r="AF343" s="377"/>
      <c r="AG343" s="377"/>
      <c r="AH343" s="377"/>
      <c r="AI343" s="377"/>
      <c r="AJ343" s="377"/>
      <c r="AK343" s="377"/>
      <c r="AL343" s="574"/>
      <c r="AM343" s="377"/>
      <c r="AN343" s="377"/>
      <c r="AO343" s="377"/>
      <c r="AP343" s="377"/>
      <c r="AQ343" s="377"/>
      <c r="AR343" s="377"/>
      <c r="AS343" s="377"/>
      <c r="AT343" s="377"/>
      <c r="AU343" s="377"/>
      <c r="AV343" s="377"/>
      <c r="AW343" s="575"/>
      <c r="AX343" s="377"/>
      <c r="AY343" s="377"/>
      <c r="AZ343" s="377"/>
      <c r="BA343" s="377"/>
      <c r="BB343" s="377"/>
      <c r="BC343" s="377"/>
      <c r="BD343" s="377"/>
      <c r="BE343" s="377"/>
      <c r="BF343" s="377"/>
      <c r="BG343" s="377"/>
      <c r="BH343" s="377"/>
      <c r="BI343" s="377"/>
      <c r="BJ343" s="377"/>
      <c r="BK343" s="377"/>
      <c r="BL343" s="377"/>
      <c r="BM343" s="377"/>
      <c r="BN343" s="576"/>
      <c r="BO343" s="377"/>
      <c r="BP343" s="377"/>
      <c r="BQ343" s="377"/>
      <c r="BR343" s="377"/>
      <c r="BS343" s="377"/>
      <c r="BT343" s="377"/>
      <c r="BU343" s="377"/>
      <c r="BV343" s="377"/>
      <c r="BW343" s="377"/>
      <c r="BX343" s="377"/>
      <c r="BY343" s="377"/>
      <c r="BZ343" s="377"/>
      <c r="CA343" s="377"/>
      <c r="CB343" s="377"/>
      <c r="CC343" s="377"/>
      <c r="CD343" s="377"/>
      <c r="CE343" s="377"/>
      <c r="CF343" s="377"/>
      <c r="CG343" s="377"/>
      <c r="CH343" s="377"/>
      <c r="CI343" s="377"/>
    </row>
    <row r="344" spans="1:87" ht="15">
      <c r="A344" s="377"/>
      <c r="B344" s="377"/>
      <c r="C344" s="572"/>
      <c r="D344" s="377"/>
      <c r="E344" s="377"/>
      <c r="F344" s="377"/>
      <c r="G344" s="377"/>
      <c r="H344" s="573"/>
      <c r="I344" s="377"/>
      <c r="J344" s="377"/>
      <c r="K344" s="377"/>
      <c r="L344" s="377"/>
      <c r="M344" s="377"/>
      <c r="N344" s="377"/>
      <c r="O344" s="377"/>
      <c r="P344" s="377"/>
      <c r="Q344" s="377"/>
      <c r="R344" s="377"/>
      <c r="S344" s="377"/>
      <c r="T344" s="377"/>
      <c r="U344" s="377"/>
      <c r="V344" s="377"/>
      <c r="W344" s="377"/>
      <c r="X344" s="574"/>
      <c r="Y344" s="377"/>
      <c r="Z344" s="377"/>
      <c r="AA344" s="377"/>
      <c r="AB344" s="377"/>
      <c r="AC344" s="377"/>
      <c r="AD344" s="377"/>
      <c r="AE344" s="377"/>
      <c r="AF344" s="377"/>
      <c r="AG344" s="377"/>
      <c r="AH344" s="377"/>
      <c r="AI344" s="377"/>
      <c r="AJ344" s="377"/>
      <c r="AK344" s="377"/>
      <c r="AL344" s="574"/>
      <c r="AM344" s="377"/>
      <c r="AN344" s="377"/>
      <c r="AO344" s="377"/>
      <c r="AP344" s="377"/>
      <c r="AQ344" s="377"/>
      <c r="AR344" s="377"/>
      <c r="AS344" s="377"/>
      <c r="AT344" s="377"/>
      <c r="AU344" s="377"/>
      <c r="AV344" s="377"/>
      <c r="AW344" s="575"/>
      <c r="AX344" s="377"/>
      <c r="AY344" s="377"/>
      <c r="AZ344" s="377"/>
      <c r="BA344" s="377"/>
      <c r="BB344" s="377"/>
      <c r="BC344" s="377"/>
      <c r="BD344" s="377"/>
      <c r="BE344" s="377"/>
      <c r="BF344" s="377"/>
      <c r="BG344" s="377"/>
      <c r="BH344" s="377"/>
      <c r="BI344" s="377"/>
      <c r="BJ344" s="377"/>
      <c r="BK344" s="377"/>
      <c r="BL344" s="377"/>
      <c r="BM344" s="377"/>
      <c r="BN344" s="576"/>
      <c r="BO344" s="377"/>
      <c r="BP344" s="377"/>
      <c r="BQ344" s="377"/>
      <c r="BR344" s="377"/>
      <c r="BS344" s="377"/>
      <c r="BT344" s="377"/>
      <c r="BU344" s="377"/>
      <c r="BV344" s="377"/>
      <c r="BW344" s="377"/>
      <c r="BX344" s="377"/>
      <c r="BY344" s="377"/>
      <c r="BZ344" s="377"/>
      <c r="CA344" s="377"/>
      <c r="CB344" s="377"/>
      <c r="CC344" s="377"/>
      <c r="CD344" s="377"/>
      <c r="CE344" s="377"/>
      <c r="CF344" s="377"/>
      <c r="CG344" s="377"/>
      <c r="CH344" s="377"/>
      <c r="CI344" s="377"/>
    </row>
    <row r="345" spans="1:87" ht="15">
      <c r="A345" s="377"/>
      <c r="B345" s="377"/>
      <c r="C345" s="572"/>
      <c r="D345" s="377"/>
      <c r="E345" s="377"/>
      <c r="F345" s="377"/>
      <c r="G345" s="377"/>
      <c r="H345" s="573"/>
      <c r="I345" s="377"/>
      <c r="J345" s="377"/>
      <c r="K345" s="377"/>
      <c r="L345" s="377"/>
      <c r="M345" s="377"/>
      <c r="N345" s="377"/>
      <c r="O345" s="377"/>
      <c r="P345" s="377"/>
      <c r="Q345" s="377"/>
      <c r="R345" s="377"/>
      <c r="S345" s="377"/>
      <c r="T345" s="377"/>
      <c r="U345" s="377"/>
      <c r="V345" s="377"/>
      <c r="W345" s="377"/>
      <c r="X345" s="574"/>
      <c r="Y345" s="377"/>
      <c r="Z345" s="377"/>
      <c r="AA345" s="377"/>
      <c r="AB345" s="377"/>
      <c r="AC345" s="377"/>
      <c r="AD345" s="377"/>
      <c r="AE345" s="377"/>
      <c r="AF345" s="377"/>
      <c r="AG345" s="377"/>
      <c r="AH345" s="377"/>
      <c r="AI345" s="377"/>
      <c r="AJ345" s="377"/>
      <c r="AK345" s="377"/>
      <c r="AL345" s="574"/>
      <c r="AM345" s="377"/>
      <c r="AN345" s="377"/>
      <c r="AO345" s="377"/>
      <c r="AP345" s="377"/>
      <c r="AQ345" s="377"/>
      <c r="AR345" s="377"/>
      <c r="AS345" s="377"/>
      <c r="AT345" s="377"/>
      <c r="AU345" s="377"/>
      <c r="AV345" s="377"/>
      <c r="AW345" s="575"/>
      <c r="AX345" s="377"/>
      <c r="AY345" s="377"/>
      <c r="AZ345" s="377"/>
      <c r="BA345" s="377"/>
      <c r="BB345" s="377"/>
      <c r="BC345" s="377"/>
      <c r="BD345" s="377"/>
      <c r="BE345" s="377"/>
      <c r="BF345" s="377"/>
      <c r="BG345" s="377"/>
      <c r="BH345" s="377"/>
      <c r="BI345" s="377"/>
      <c r="BJ345" s="377"/>
      <c r="BK345" s="377"/>
      <c r="BL345" s="377"/>
      <c r="BM345" s="377"/>
      <c r="BN345" s="576"/>
      <c r="BO345" s="377"/>
      <c r="BP345" s="377"/>
      <c r="BQ345" s="377"/>
      <c r="BR345" s="377"/>
      <c r="BS345" s="377"/>
      <c r="BT345" s="377"/>
      <c r="BU345" s="377"/>
      <c r="BV345" s="377"/>
      <c r="BW345" s="377"/>
      <c r="BX345" s="377"/>
      <c r="BY345" s="377"/>
      <c r="BZ345" s="377"/>
      <c r="CA345" s="377"/>
      <c r="CB345" s="377"/>
      <c r="CC345" s="377"/>
      <c r="CD345" s="377"/>
      <c r="CE345" s="377"/>
      <c r="CF345" s="377"/>
      <c r="CG345" s="377"/>
      <c r="CH345" s="377"/>
      <c r="CI345" s="377"/>
    </row>
    <row r="346" spans="1:87" ht="15">
      <c r="A346" s="377"/>
      <c r="B346" s="377"/>
      <c r="C346" s="572"/>
      <c r="D346" s="377"/>
      <c r="E346" s="377"/>
      <c r="F346" s="377"/>
      <c r="G346" s="377"/>
      <c r="H346" s="573"/>
      <c r="I346" s="377"/>
      <c r="J346" s="377"/>
      <c r="K346" s="377"/>
      <c r="L346" s="377"/>
      <c r="M346" s="377"/>
      <c r="N346" s="377"/>
      <c r="O346" s="377"/>
      <c r="P346" s="377"/>
      <c r="Q346" s="377"/>
      <c r="R346" s="377"/>
      <c r="S346" s="377"/>
      <c r="T346" s="377"/>
      <c r="U346" s="377"/>
      <c r="V346" s="377"/>
      <c r="W346" s="377"/>
      <c r="X346" s="574"/>
      <c r="Y346" s="377"/>
      <c r="Z346" s="377"/>
      <c r="AA346" s="377"/>
      <c r="AB346" s="377"/>
      <c r="AC346" s="377"/>
      <c r="AD346" s="377"/>
      <c r="AE346" s="377"/>
      <c r="AF346" s="377"/>
      <c r="AG346" s="377"/>
      <c r="AH346" s="377"/>
      <c r="AI346" s="377"/>
      <c r="AJ346" s="377"/>
      <c r="AK346" s="377"/>
      <c r="AL346" s="574"/>
      <c r="AM346" s="377"/>
      <c r="AN346" s="377"/>
      <c r="AO346" s="377"/>
      <c r="AP346" s="377"/>
      <c r="AQ346" s="377"/>
      <c r="AR346" s="377"/>
      <c r="AS346" s="377"/>
      <c r="AT346" s="377"/>
      <c r="AU346" s="377"/>
      <c r="AV346" s="377"/>
      <c r="AW346" s="575"/>
      <c r="AX346" s="377"/>
      <c r="AY346" s="377"/>
      <c r="AZ346" s="377"/>
      <c r="BA346" s="377"/>
      <c r="BB346" s="377"/>
      <c r="BC346" s="377"/>
      <c r="BD346" s="377"/>
      <c r="BE346" s="377"/>
      <c r="BF346" s="377"/>
      <c r="BG346" s="377"/>
      <c r="BH346" s="377"/>
      <c r="BI346" s="377"/>
      <c r="BJ346" s="377"/>
      <c r="BK346" s="377"/>
      <c r="BL346" s="377"/>
      <c r="BM346" s="377"/>
      <c r="BN346" s="576"/>
      <c r="BO346" s="377"/>
      <c r="BP346" s="377"/>
      <c r="BQ346" s="377"/>
      <c r="BR346" s="377"/>
      <c r="BS346" s="377"/>
      <c r="BT346" s="377"/>
      <c r="BU346" s="377"/>
      <c r="BV346" s="377"/>
      <c r="BW346" s="377"/>
      <c r="BX346" s="377"/>
      <c r="BY346" s="377"/>
      <c r="BZ346" s="377"/>
      <c r="CA346" s="377"/>
      <c r="CB346" s="377"/>
      <c r="CC346" s="377"/>
      <c r="CD346" s="377"/>
      <c r="CE346" s="377"/>
      <c r="CF346" s="377"/>
      <c r="CG346" s="377"/>
      <c r="CH346" s="377"/>
      <c r="CI346" s="377"/>
    </row>
    <row r="347" spans="1:87" ht="15">
      <c r="A347" s="377"/>
      <c r="B347" s="377"/>
      <c r="C347" s="572"/>
      <c r="D347" s="377"/>
      <c r="E347" s="377"/>
      <c r="F347" s="377"/>
      <c r="G347" s="377"/>
      <c r="H347" s="573"/>
      <c r="I347" s="377"/>
      <c r="J347" s="377"/>
      <c r="K347" s="377"/>
      <c r="L347" s="377"/>
      <c r="M347" s="377"/>
      <c r="N347" s="377"/>
      <c r="O347" s="377"/>
      <c r="P347" s="377"/>
      <c r="Q347" s="377"/>
      <c r="R347" s="377"/>
      <c r="S347" s="377"/>
      <c r="T347" s="377"/>
      <c r="U347" s="377"/>
      <c r="V347" s="377"/>
      <c r="W347" s="377"/>
      <c r="X347" s="574"/>
      <c r="Y347" s="377"/>
      <c r="Z347" s="377"/>
      <c r="AA347" s="377"/>
      <c r="AB347" s="377"/>
      <c r="AC347" s="377"/>
      <c r="AD347" s="377"/>
      <c r="AE347" s="377"/>
      <c r="AF347" s="377"/>
      <c r="AG347" s="377"/>
      <c r="AH347" s="377"/>
      <c r="AI347" s="377"/>
      <c r="AJ347" s="377"/>
      <c r="AK347" s="377"/>
      <c r="AL347" s="574"/>
      <c r="AM347" s="377"/>
      <c r="AN347" s="377"/>
      <c r="AO347" s="377"/>
      <c r="AP347" s="377"/>
      <c r="AQ347" s="377"/>
      <c r="AR347" s="377"/>
      <c r="AS347" s="377"/>
      <c r="AT347" s="377"/>
      <c r="AU347" s="377"/>
      <c r="AV347" s="377"/>
      <c r="AW347" s="575"/>
      <c r="AX347" s="377"/>
      <c r="AY347" s="377"/>
      <c r="AZ347" s="377"/>
      <c r="BA347" s="377"/>
      <c r="BB347" s="377"/>
      <c r="BC347" s="377"/>
      <c r="BD347" s="377"/>
      <c r="BE347" s="377"/>
      <c r="BF347" s="377"/>
      <c r="BG347" s="377"/>
      <c r="BH347" s="377"/>
      <c r="BI347" s="377"/>
      <c r="BJ347" s="377"/>
      <c r="BK347" s="377"/>
      <c r="BL347" s="377"/>
      <c r="BM347" s="377"/>
      <c r="BN347" s="576"/>
      <c r="BO347" s="377"/>
      <c r="BP347" s="377"/>
      <c r="BQ347" s="377"/>
      <c r="BR347" s="377"/>
      <c r="BS347" s="377"/>
      <c r="BT347" s="377"/>
      <c r="BU347" s="377"/>
      <c r="BV347" s="377"/>
      <c r="BW347" s="377"/>
      <c r="BX347" s="377"/>
      <c r="BY347" s="377"/>
      <c r="BZ347" s="377"/>
      <c r="CA347" s="377"/>
      <c r="CB347" s="377"/>
      <c r="CC347" s="377"/>
      <c r="CD347" s="377"/>
      <c r="CE347" s="377"/>
      <c r="CF347" s="377"/>
      <c r="CG347" s="377"/>
      <c r="CH347" s="377"/>
      <c r="CI347" s="377"/>
    </row>
    <row r="348" spans="1:87" ht="15">
      <c r="A348" s="377"/>
      <c r="B348" s="377"/>
      <c r="C348" s="572"/>
      <c r="D348" s="377"/>
      <c r="E348" s="377"/>
      <c r="F348" s="377"/>
      <c r="G348" s="377"/>
      <c r="H348" s="573"/>
      <c r="I348" s="377"/>
      <c r="J348" s="377"/>
      <c r="K348" s="377"/>
      <c r="L348" s="377"/>
      <c r="M348" s="377"/>
      <c r="N348" s="377"/>
      <c r="O348" s="377"/>
      <c r="P348" s="377"/>
      <c r="Q348" s="377"/>
      <c r="R348" s="377"/>
      <c r="S348" s="377"/>
      <c r="T348" s="377"/>
      <c r="U348" s="377"/>
      <c r="V348" s="377"/>
      <c r="W348" s="377"/>
      <c r="X348" s="574"/>
      <c r="Y348" s="377"/>
      <c r="Z348" s="377"/>
      <c r="AA348" s="377"/>
      <c r="AB348" s="377"/>
      <c r="AC348" s="377"/>
      <c r="AD348" s="377"/>
      <c r="AE348" s="377"/>
      <c r="AF348" s="377"/>
      <c r="AG348" s="377"/>
      <c r="AH348" s="377"/>
      <c r="AI348" s="377"/>
      <c r="AJ348" s="377"/>
      <c r="AK348" s="377"/>
      <c r="AL348" s="574"/>
      <c r="AM348" s="377"/>
      <c r="AN348" s="377"/>
      <c r="AO348" s="377"/>
      <c r="AP348" s="377"/>
      <c r="AQ348" s="377"/>
      <c r="AR348" s="377"/>
      <c r="AS348" s="377"/>
      <c r="AT348" s="377"/>
      <c r="AU348" s="377"/>
      <c r="AV348" s="377"/>
      <c r="AW348" s="575"/>
      <c r="AX348" s="377"/>
      <c r="AY348" s="377"/>
      <c r="AZ348" s="377"/>
      <c r="BA348" s="377"/>
      <c r="BB348" s="377"/>
      <c r="BC348" s="377"/>
      <c r="BD348" s="377"/>
      <c r="BE348" s="377"/>
      <c r="BF348" s="377"/>
      <c r="BG348" s="377"/>
      <c r="BH348" s="377"/>
      <c r="BI348" s="377"/>
      <c r="BJ348" s="377"/>
      <c r="BK348" s="377"/>
      <c r="BL348" s="377"/>
      <c r="BM348" s="377"/>
      <c r="BN348" s="576"/>
      <c r="BO348" s="377"/>
      <c r="BP348" s="377"/>
      <c r="BQ348" s="377"/>
      <c r="BR348" s="377"/>
      <c r="BS348" s="377"/>
      <c r="BT348" s="377"/>
      <c r="BU348" s="377"/>
      <c r="BV348" s="377"/>
      <c r="BW348" s="377"/>
      <c r="BX348" s="377"/>
      <c r="BY348" s="377"/>
      <c r="BZ348" s="377"/>
      <c r="CA348" s="377"/>
      <c r="CB348" s="377"/>
      <c r="CC348" s="377"/>
      <c r="CD348" s="377"/>
      <c r="CE348" s="377"/>
      <c r="CF348" s="377"/>
      <c r="CG348" s="377"/>
      <c r="CH348" s="377"/>
      <c r="CI348" s="377"/>
    </row>
    <row r="349" spans="1:87" ht="15">
      <c r="A349" s="377"/>
      <c r="B349" s="377"/>
      <c r="C349" s="572"/>
      <c r="D349" s="377"/>
      <c r="E349" s="377"/>
      <c r="F349" s="377"/>
      <c r="G349" s="377"/>
      <c r="H349" s="573"/>
      <c r="I349" s="377"/>
      <c r="J349" s="377"/>
      <c r="K349" s="377"/>
      <c r="L349" s="377"/>
      <c r="M349" s="377"/>
      <c r="N349" s="377"/>
      <c r="O349" s="377"/>
      <c r="P349" s="377"/>
      <c r="Q349" s="377"/>
      <c r="R349" s="377"/>
      <c r="S349" s="377"/>
      <c r="T349" s="377"/>
      <c r="U349" s="377"/>
      <c r="V349" s="377"/>
      <c r="W349" s="377"/>
      <c r="X349" s="574"/>
      <c r="Y349" s="377"/>
      <c r="Z349" s="377"/>
      <c r="AA349" s="377"/>
      <c r="AB349" s="377"/>
      <c r="AC349" s="377"/>
      <c r="AD349" s="377"/>
      <c r="AE349" s="377"/>
      <c r="AF349" s="377"/>
      <c r="AG349" s="377"/>
      <c r="AH349" s="377"/>
      <c r="AI349" s="377"/>
      <c r="AJ349" s="377"/>
      <c r="AK349" s="377"/>
      <c r="AL349" s="574"/>
      <c r="AM349" s="377"/>
      <c r="AN349" s="377"/>
      <c r="AO349" s="377"/>
      <c r="AP349" s="377"/>
      <c r="AQ349" s="377"/>
      <c r="AR349" s="377"/>
      <c r="AS349" s="377"/>
      <c r="AT349" s="377"/>
      <c r="AU349" s="377"/>
      <c r="AV349" s="377"/>
      <c r="AW349" s="575"/>
      <c r="AX349" s="377"/>
      <c r="AY349" s="377"/>
      <c r="AZ349" s="377"/>
      <c r="BA349" s="377"/>
      <c r="BB349" s="377"/>
      <c r="BC349" s="377"/>
      <c r="BD349" s="377"/>
      <c r="BE349" s="377"/>
      <c r="BF349" s="377"/>
      <c r="BG349" s="377"/>
      <c r="BH349" s="377"/>
      <c r="BI349" s="377"/>
      <c r="BJ349" s="377"/>
      <c r="BK349" s="377"/>
      <c r="BL349" s="377"/>
      <c r="BM349" s="377"/>
      <c r="BN349" s="576"/>
      <c r="BO349" s="377"/>
      <c r="BP349" s="377"/>
      <c r="BQ349" s="377"/>
      <c r="BR349" s="377"/>
      <c r="BS349" s="377"/>
      <c r="BT349" s="377"/>
      <c r="BU349" s="377"/>
      <c r="BV349" s="377"/>
      <c r="BW349" s="377"/>
      <c r="BX349" s="377"/>
      <c r="BY349" s="377"/>
      <c r="BZ349" s="377"/>
      <c r="CA349" s="377"/>
      <c r="CB349" s="377"/>
      <c r="CC349" s="377"/>
      <c r="CD349" s="377"/>
      <c r="CE349" s="377"/>
      <c r="CF349" s="377"/>
      <c r="CG349" s="377"/>
      <c r="CH349" s="377"/>
      <c r="CI349" s="377"/>
    </row>
    <row r="350" spans="1:87" ht="15">
      <c r="A350" s="377"/>
      <c r="B350" s="377"/>
      <c r="C350" s="572"/>
      <c r="D350" s="377"/>
      <c r="E350" s="377"/>
      <c r="F350" s="377"/>
      <c r="G350" s="377"/>
      <c r="H350" s="573"/>
      <c r="I350" s="377"/>
      <c r="J350" s="377"/>
      <c r="K350" s="377"/>
      <c r="L350" s="377"/>
      <c r="M350" s="377"/>
      <c r="N350" s="377"/>
      <c r="O350" s="377"/>
      <c r="P350" s="377"/>
      <c r="Q350" s="377"/>
      <c r="R350" s="377"/>
      <c r="S350" s="377"/>
      <c r="T350" s="377"/>
      <c r="U350" s="377"/>
      <c r="V350" s="377"/>
      <c r="W350" s="377"/>
      <c r="X350" s="574"/>
      <c r="Y350" s="377"/>
      <c r="Z350" s="377"/>
      <c r="AA350" s="377"/>
      <c r="AB350" s="377"/>
      <c r="AC350" s="377"/>
      <c r="AD350" s="377"/>
      <c r="AE350" s="377"/>
      <c r="AF350" s="377"/>
      <c r="AG350" s="377"/>
      <c r="AH350" s="377"/>
      <c r="AI350" s="377"/>
      <c r="AJ350" s="377"/>
      <c r="AK350" s="377"/>
      <c r="AL350" s="574"/>
      <c r="AM350" s="377"/>
      <c r="AN350" s="377"/>
      <c r="AO350" s="377"/>
      <c r="AP350" s="377"/>
      <c r="AQ350" s="377"/>
      <c r="AR350" s="377"/>
      <c r="AS350" s="377"/>
      <c r="AT350" s="377"/>
      <c r="AU350" s="377"/>
      <c r="AV350" s="377"/>
      <c r="AW350" s="575"/>
      <c r="AX350" s="377"/>
      <c r="AY350" s="377"/>
      <c r="AZ350" s="377"/>
      <c r="BA350" s="377"/>
      <c r="BB350" s="377"/>
      <c r="BC350" s="377"/>
      <c r="BD350" s="377"/>
      <c r="BE350" s="377"/>
      <c r="BF350" s="377"/>
      <c r="BG350" s="377"/>
      <c r="BH350" s="377"/>
      <c r="BI350" s="377"/>
      <c r="BJ350" s="377"/>
      <c r="BK350" s="377"/>
      <c r="BL350" s="377"/>
      <c r="BM350" s="377"/>
      <c r="BN350" s="576"/>
      <c r="BO350" s="377"/>
      <c r="BP350" s="377"/>
      <c r="BQ350" s="377"/>
      <c r="BR350" s="377"/>
      <c r="BS350" s="377"/>
      <c r="BT350" s="377"/>
      <c r="BU350" s="377"/>
      <c r="BV350" s="377"/>
      <c r="BW350" s="377"/>
      <c r="BX350" s="377"/>
      <c r="BY350" s="377"/>
      <c r="BZ350" s="377"/>
      <c r="CA350" s="377"/>
      <c r="CB350" s="377"/>
      <c r="CC350" s="377"/>
      <c r="CD350" s="377"/>
      <c r="CE350" s="377"/>
      <c r="CF350" s="377"/>
      <c r="CG350" s="377"/>
      <c r="CH350" s="377"/>
      <c r="CI350" s="377"/>
    </row>
    <row r="351" spans="1:87" ht="15">
      <c r="A351" s="377"/>
      <c r="B351" s="377"/>
      <c r="C351" s="572"/>
      <c r="D351" s="377"/>
      <c r="E351" s="377"/>
      <c r="F351" s="377"/>
      <c r="G351" s="377"/>
      <c r="H351" s="573"/>
      <c r="I351" s="377"/>
      <c r="J351" s="377"/>
      <c r="K351" s="377"/>
      <c r="L351" s="377"/>
      <c r="M351" s="377"/>
      <c r="N351" s="377"/>
      <c r="O351" s="377"/>
      <c r="P351" s="377"/>
      <c r="Q351" s="377"/>
      <c r="R351" s="377"/>
      <c r="S351" s="377"/>
      <c r="T351" s="377"/>
      <c r="U351" s="377"/>
      <c r="V351" s="377"/>
      <c r="W351" s="377"/>
      <c r="X351" s="574"/>
      <c r="Y351" s="377"/>
      <c r="Z351" s="377"/>
      <c r="AA351" s="377"/>
      <c r="AB351" s="377"/>
      <c r="AC351" s="377"/>
      <c r="AD351" s="377"/>
      <c r="AE351" s="377"/>
      <c r="AF351" s="377"/>
      <c r="AG351" s="377"/>
      <c r="AH351" s="377"/>
      <c r="AI351" s="377"/>
      <c r="AJ351" s="377"/>
      <c r="AK351" s="377"/>
      <c r="AL351" s="574"/>
      <c r="AM351" s="377"/>
      <c r="AN351" s="377"/>
      <c r="AO351" s="377"/>
      <c r="AP351" s="377"/>
      <c r="AQ351" s="377"/>
      <c r="AR351" s="377"/>
      <c r="AS351" s="377"/>
      <c r="AT351" s="377"/>
      <c r="AU351" s="377"/>
      <c r="AV351" s="377"/>
      <c r="AW351" s="575"/>
      <c r="AX351" s="377"/>
      <c r="AY351" s="377"/>
      <c r="AZ351" s="377"/>
      <c r="BA351" s="377"/>
      <c r="BB351" s="377"/>
      <c r="BC351" s="377"/>
      <c r="BD351" s="377"/>
      <c r="BE351" s="377"/>
      <c r="BF351" s="377"/>
      <c r="BG351" s="377"/>
      <c r="BH351" s="377"/>
      <c r="BI351" s="377"/>
      <c r="BJ351" s="377"/>
      <c r="BK351" s="377"/>
      <c r="BL351" s="377"/>
      <c r="BM351" s="377"/>
      <c r="BN351" s="576"/>
      <c r="BO351" s="377"/>
      <c r="BP351" s="377"/>
      <c r="BQ351" s="377"/>
      <c r="BR351" s="377"/>
      <c r="BS351" s="377"/>
      <c r="BT351" s="377"/>
      <c r="BU351" s="377"/>
      <c r="BV351" s="377"/>
      <c r="BW351" s="377"/>
      <c r="BX351" s="377"/>
      <c r="BY351" s="377"/>
      <c r="BZ351" s="377"/>
      <c r="CA351" s="377"/>
      <c r="CB351" s="377"/>
      <c r="CC351" s="377"/>
      <c r="CD351" s="377"/>
      <c r="CE351" s="377"/>
      <c r="CF351" s="377"/>
      <c r="CG351" s="377"/>
      <c r="CH351" s="377"/>
      <c r="CI351" s="377"/>
    </row>
    <row r="352" spans="1:87" ht="15">
      <c r="A352" s="377"/>
      <c r="B352" s="377"/>
      <c r="C352" s="572"/>
      <c r="D352" s="377"/>
      <c r="E352" s="377"/>
      <c r="F352" s="377"/>
      <c r="G352" s="377"/>
      <c r="H352" s="573"/>
      <c r="I352" s="377"/>
      <c r="J352" s="377"/>
      <c r="K352" s="377"/>
      <c r="L352" s="377"/>
      <c r="M352" s="377"/>
      <c r="N352" s="377"/>
      <c r="O352" s="377"/>
      <c r="P352" s="377"/>
      <c r="Q352" s="377"/>
      <c r="R352" s="377"/>
      <c r="S352" s="377"/>
      <c r="T352" s="377"/>
      <c r="U352" s="377"/>
      <c r="V352" s="377"/>
      <c r="W352" s="377"/>
      <c r="X352" s="574"/>
      <c r="Y352" s="377"/>
      <c r="Z352" s="377"/>
      <c r="AA352" s="377"/>
      <c r="AB352" s="377"/>
      <c r="AC352" s="377"/>
      <c r="AD352" s="377"/>
      <c r="AE352" s="377"/>
      <c r="AF352" s="377"/>
      <c r="AG352" s="377"/>
      <c r="AH352" s="377"/>
      <c r="AI352" s="377"/>
      <c r="AJ352" s="377"/>
      <c r="AK352" s="377"/>
      <c r="AL352" s="574"/>
      <c r="AM352" s="377"/>
      <c r="AN352" s="377"/>
      <c r="AO352" s="377"/>
      <c r="AP352" s="377"/>
      <c r="AQ352" s="377"/>
      <c r="AR352" s="377"/>
      <c r="AS352" s="377"/>
      <c r="AT352" s="377"/>
      <c r="AU352" s="377"/>
      <c r="AV352" s="377"/>
      <c r="AW352" s="575"/>
      <c r="AX352" s="377"/>
      <c r="AY352" s="377"/>
      <c r="AZ352" s="377"/>
      <c r="BA352" s="377"/>
      <c r="BB352" s="377"/>
      <c r="BC352" s="377"/>
      <c r="BD352" s="377"/>
      <c r="BE352" s="377"/>
      <c r="BF352" s="377"/>
      <c r="BG352" s="377"/>
      <c r="BH352" s="377"/>
      <c r="BI352" s="377"/>
      <c r="BJ352" s="377"/>
      <c r="BK352" s="377"/>
      <c r="BL352" s="377"/>
      <c r="BM352" s="377"/>
      <c r="BN352" s="576"/>
      <c r="BO352" s="377"/>
      <c r="BP352" s="377"/>
      <c r="BQ352" s="377"/>
      <c r="BR352" s="377"/>
      <c r="BS352" s="377"/>
      <c r="BT352" s="377"/>
      <c r="BU352" s="377"/>
      <c r="BV352" s="377"/>
      <c r="BW352" s="377"/>
      <c r="BX352" s="377"/>
      <c r="BY352" s="377"/>
      <c r="BZ352" s="377"/>
      <c r="CA352" s="377"/>
      <c r="CB352" s="377"/>
      <c r="CC352" s="377"/>
      <c r="CD352" s="377"/>
      <c r="CE352" s="377"/>
      <c r="CF352" s="377"/>
      <c r="CG352" s="377"/>
      <c r="CH352" s="377"/>
      <c r="CI352" s="377"/>
    </row>
    <row r="353" spans="1:87" ht="15">
      <c r="A353" s="377"/>
      <c r="B353" s="377"/>
      <c r="C353" s="572"/>
      <c r="D353" s="377"/>
      <c r="E353" s="377"/>
      <c r="F353" s="377"/>
      <c r="G353" s="377"/>
      <c r="H353" s="573"/>
      <c r="I353" s="377"/>
      <c r="J353" s="377"/>
      <c r="K353" s="377"/>
      <c r="L353" s="377"/>
      <c r="M353" s="377"/>
      <c r="N353" s="377"/>
      <c r="O353" s="377"/>
      <c r="P353" s="377"/>
      <c r="Q353" s="377"/>
      <c r="R353" s="377"/>
      <c r="S353" s="377"/>
      <c r="T353" s="377"/>
      <c r="U353" s="377"/>
      <c r="V353" s="377"/>
      <c r="W353" s="377"/>
      <c r="X353" s="574"/>
      <c r="Y353" s="377"/>
      <c r="Z353" s="377"/>
      <c r="AA353" s="377"/>
      <c r="AB353" s="377"/>
      <c r="AC353" s="377"/>
      <c r="AD353" s="377"/>
      <c r="AE353" s="377"/>
      <c r="AF353" s="377"/>
      <c r="AG353" s="377"/>
      <c r="AH353" s="377"/>
      <c r="AI353" s="377"/>
      <c r="AJ353" s="377"/>
      <c r="AK353" s="377"/>
      <c r="AL353" s="574"/>
      <c r="AM353" s="377"/>
      <c r="AN353" s="377"/>
      <c r="AO353" s="377"/>
      <c r="AP353" s="377"/>
      <c r="AQ353" s="377"/>
      <c r="AR353" s="377"/>
      <c r="AS353" s="377"/>
      <c r="AT353" s="377"/>
      <c r="AU353" s="377"/>
      <c r="AV353" s="377"/>
      <c r="AW353" s="575"/>
      <c r="AX353" s="377"/>
      <c r="AY353" s="377"/>
      <c r="AZ353" s="377"/>
      <c r="BA353" s="377"/>
      <c r="BB353" s="377"/>
      <c r="BC353" s="377"/>
      <c r="BD353" s="377"/>
      <c r="BE353" s="377"/>
      <c r="BF353" s="377"/>
      <c r="BG353" s="377"/>
      <c r="BH353" s="377"/>
      <c r="BI353" s="377"/>
      <c r="BJ353" s="377"/>
      <c r="BK353" s="377"/>
      <c r="BL353" s="377"/>
      <c r="BM353" s="377"/>
      <c r="BN353" s="576"/>
      <c r="BO353" s="377"/>
      <c r="BP353" s="377"/>
      <c r="BQ353" s="377"/>
      <c r="BR353" s="377"/>
      <c r="BS353" s="377"/>
      <c r="BT353" s="377"/>
      <c r="BU353" s="377"/>
      <c r="BV353" s="377"/>
      <c r="BW353" s="377"/>
      <c r="BX353" s="377"/>
      <c r="BY353" s="377"/>
      <c r="BZ353" s="377"/>
      <c r="CA353" s="377"/>
      <c r="CB353" s="377"/>
      <c r="CC353" s="377"/>
      <c r="CD353" s="377"/>
      <c r="CE353" s="377"/>
      <c r="CF353" s="377"/>
      <c r="CG353" s="377"/>
      <c r="CH353" s="377"/>
      <c r="CI353" s="377"/>
    </row>
    <row r="354" spans="1:87" ht="15">
      <c r="A354" s="377"/>
      <c r="B354" s="377"/>
      <c r="C354" s="572"/>
      <c r="D354" s="377"/>
      <c r="E354" s="377"/>
      <c r="F354" s="377"/>
      <c r="G354" s="377"/>
      <c r="H354" s="573"/>
      <c r="I354" s="377"/>
      <c r="J354" s="377"/>
      <c r="K354" s="377"/>
      <c r="L354" s="377"/>
      <c r="M354" s="377"/>
      <c r="N354" s="377"/>
      <c r="O354" s="377"/>
      <c r="P354" s="377"/>
      <c r="Q354" s="377"/>
      <c r="R354" s="377"/>
      <c r="S354" s="377"/>
      <c r="T354" s="377"/>
      <c r="U354" s="377"/>
      <c r="V354" s="377"/>
      <c r="W354" s="377"/>
      <c r="X354" s="574"/>
      <c r="Y354" s="377"/>
      <c r="Z354" s="377"/>
      <c r="AA354" s="377"/>
      <c r="AB354" s="377"/>
      <c r="AC354" s="377"/>
      <c r="AD354" s="377"/>
      <c r="AE354" s="377"/>
      <c r="AF354" s="377"/>
      <c r="AG354" s="377"/>
      <c r="AH354" s="377"/>
      <c r="AI354" s="377"/>
      <c r="AJ354" s="377"/>
      <c r="AK354" s="377"/>
      <c r="AL354" s="574"/>
      <c r="AM354" s="377"/>
      <c r="AN354" s="377"/>
      <c r="AO354" s="377"/>
      <c r="AP354" s="377"/>
      <c r="AQ354" s="377"/>
      <c r="AR354" s="377"/>
      <c r="AS354" s="377"/>
      <c r="AT354" s="377"/>
      <c r="AU354" s="377"/>
      <c r="AV354" s="377"/>
      <c r="AW354" s="575"/>
      <c r="AX354" s="377"/>
      <c r="AY354" s="377"/>
      <c r="AZ354" s="377"/>
      <c r="BA354" s="377"/>
      <c r="BB354" s="377"/>
      <c r="BC354" s="377"/>
      <c r="BD354" s="377"/>
      <c r="BE354" s="377"/>
      <c r="BF354" s="377"/>
      <c r="BG354" s="377"/>
      <c r="BH354" s="377"/>
      <c r="BI354" s="377"/>
      <c r="BJ354" s="377"/>
      <c r="BK354" s="377"/>
      <c r="BL354" s="377"/>
      <c r="BM354" s="377"/>
      <c r="BN354" s="576"/>
      <c r="BO354" s="377"/>
      <c r="BP354" s="377"/>
      <c r="BQ354" s="377"/>
      <c r="BR354" s="377"/>
      <c r="BS354" s="377"/>
      <c r="BT354" s="377"/>
      <c r="BU354" s="377"/>
      <c r="BV354" s="377"/>
      <c r="BW354" s="377"/>
      <c r="BX354" s="377"/>
      <c r="BY354" s="377"/>
      <c r="BZ354" s="377"/>
      <c r="CA354" s="377"/>
      <c r="CB354" s="377"/>
      <c r="CC354" s="377"/>
      <c r="CD354" s="377"/>
      <c r="CE354" s="377"/>
      <c r="CF354" s="377"/>
      <c r="CG354" s="377"/>
      <c r="CH354" s="377"/>
      <c r="CI354" s="377"/>
    </row>
    <row r="355" spans="1:87" ht="15">
      <c r="A355" s="377"/>
      <c r="B355" s="377"/>
      <c r="C355" s="572"/>
      <c r="D355" s="377"/>
      <c r="E355" s="377"/>
      <c r="F355" s="377"/>
      <c r="G355" s="377"/>
      <c r="H355" s="573"/>
      <c r="I355" s="377"/>
      <c r="J355" s="377"/>
      <c r="K355" s="377"/>
      <c r="L355" s="377"/>
      <c r="M355" s="377"/>
      <c r="N355" s="377"/>
      <c r="O355" s="377"/>
      <c r="P355" s="377"/>
      <c r="Q355" s="377"/>
      <c r="R355" s="377"/>
      <c r="S355" s="377"/>
      <c r="T355" s="377"/>
      <c r="U355" s="377"/>
      <c r="V355" s="377"/>
      <c r="W355" s="377"/>
      <c r="X355" s="574"/>
      <c r="Y355" s="377"/>
      <c r="Z355" s="377"/>
      <c r="AA355" s="377"/>
      <c r="AB355" s="377"/>
      <c r="AC355" s="377"/>
      <c r="AD355" s="377"/>
      <c r="AE355" s="377"/>
      <c r="AF355" s="377"/>
      <c r="AG355" s="377"/>
      <c r="AH355" s="377"/>
      <c r="AI355" s="377"/>
      <c r="AJ355" s="377"/>
      <c r="AK355" s="377"/>
      <c r="AL355" s="574"/>
      <c r="AM355" s="377"/>
      <c r="AN355" s="377"/>
      <c r="AO355" s="377"/>
      <c r="AP355" s="377"/>
      <c r="AQ355" s="377"/>
      <c r="AR355" s="377"/>
      <c r="AS355" s="377"/>
      <c r="AT355" s="377"/>
      <c r="AU355" s="377"/>
      <c r="AV355" s="377"/>
      <c r="AW355" s="575"/>
      <c r="AX355" s="377"/>
      <c r="AY355" s="377"/>
      <c r="AZ355" s="377"/>
      <c r="BA355" s="377"/>
      <c r="BB355" s="377"/>
      <c r="BC355" s="377"/>
      <c r="BD355" s="377"/>
      <c r="BE355" s="377"/>
      <c r="BF355" s="377"/>
      <c r="BG355" s="377"/>
      <c r="BH355" s="377"/>
      <c r="BI355" s="377"/>
      <c r="BJ355" s="377"/>
      <c r="BK355" s="377"/>
      <c r="BL355" s="377"/>
      <c r="BM355" s="377"/>
      <c r="BN355" s="576"/>
      <c r="BO355" s="377"/>
      <c r="BP355" s="377"/>
      <c r="BQ355" s="377"/>
      <c r="BR355" s="377"/>
      <c r="BS355" s="377"/>
      <c r="BT355" s="377"/>
      <c r="BU355" s="377"/>
      <c r="BV355" s="377"/>
      <c r="BW355" s="377"/>
      <c r="BX355" s="377"/>
      <c r="BY355" s="377"/>
      <c r="BZ355" s="377"/>
      <c r="CA355" s="377"/>
      <c r="CB355" s="377"/>
      <c r="CC355" s="377"/>
      <c r="CD355" s="377"/>
      <c r="CE355" s="377"/>
      <c r="CF355" s="377"/>
      <c r="CG355" s="377"/>
      <c r="CH355" s="377"/>
      <c r="CI355" s="377"/>
    </row>
    <row r="356" spans="1:87" ht="15">
      <c r="A356" s="377"/>
      <c r="B356" s="377"/>
      <c r="C356" s="572"/>
      <c r="D356" s="377"/>
      <c r="E356" s="377"/>
      <c r="F356" s="377"/>
      <c r="G356" s="377"/>
      <c r="H356" s="573"/>
      <c r="I356" s="377"/>
      <c r="J356" s="377"/>
      <c r="K356" s="377"/>
      <c r="L356" s="377"/>
      <c r="M356" s="377"/>
      <c r="N356" s="377"/>
      <c r="O356" s="377"/>
      <c r="P356" s="377"/>
      <c r="Q356" s="377"/>
      <c r="R356" s="377"/>
      <c r="S356" s="377"/>
      <c r="T356" s="377"/>
      <c r="U356" s="377"/>
      <c r="V356" s="377"/>
      <c r="W356" s="377"/>
      <c r="X356" s="574"/>
      <c r="Y356" s="377"/>
      <c r="Z356" s="377"/>
      <c r="AA356" s="377"/>
      <c r="AB356" s="377"/>
      <c r="AC356" s="377"/>
      <c r="AD356" s="377"/>
      <c r="AE356" s="377"/>
      <c r="AF356" s="377"/>
      <c r="AG356" s="377"/>
      <c r="AH356" s="377"/>
      <c r="AI356" s="377"/>
      <c r="AJ356" s="377"/>
      <c r="AK356" s="377"/>
      <c r="AL356" s="574"/>
      <c r="AM356" s="377"/>
      <c r="AN356" s="377"/>
      <c r="AO356" s="377"/>
      <c r="AP356" s="377"/>
      <c r="AQ356" s="377"/>
      <c r="AR356" s="377"/>
      <c r="AS356" s="377"/>
      <c r="AT356" s="377"/>
      <c r="AU356" s="377"/>
      <c r="AV356" s="377"/>
      <c r="AW356" s="575"/>
      <c r="AX356" s="377"/>
      <c r="AY356" s="377"/>
      <c r="AZ356" s="377"/>
      <c r="BA356" s="377"/>
      <c r="BB356" s="377"/>
      <c r="BC356" s="377"/>
      <c r="BD356" s="377"/>
      <c r="BE356" s="377"/>
      <c r="BF356" s="377"/>
      <c r="BG356" s="377"/>
      <c r="BH356" s="377"/>
      <c r="BI356" s="377"/>
      <c r="BJ356" s="377"/>
      <c r="BK356" s="377"/>
      <c r="BL356" s="377"/>
      <c r="BM356" s="377"/>
      <c r="BN356" s="576"/>
      <c r="BO356" s="377"/>
      <c r="BP356" s="377"/>
      <c r="BQ356" s="377"/>
      <c r="BR356" s="377"/>
      <c r="BS356" s="377"/>
      <c r="BT356" s="377"/>
      <c r="BU356" s="377"/>
      <c r="BV356" s="377"/>
      <c r="BW356" s="377"/>
      <c r="BX356" s="377"/>
      <c r="BY356" s="377"/>
      <c r="BZ356" s="377"/>
      <c r="CA356" s="377"/>
      <c r="CB356" s="377"/>
      <c r="CC356" s="377"/>
      <c r="CD356" s="377"/>
      <c r="CE356" s="377"/>
      <c r="CF356" s="377"/>
      <c r="CG356" s="377"/>
      <c r="CH356" s="377"/>
      <c r="CI356" s="377"/>
    </row>
    <row r="357" spans="1:87" ht="15">
      <c r="A357" s="377"/>
      <c r="B357" s="377"/>
      <c r="C357" s="572"/>
      <c r="D357" s="377"/>
      <c r="E357" s="377"/>
      <c r="F357" s="377"/>
      <c r="G357" s="377"/>
      <c r="H357" s="573"/>
      <c r="I357" s="377"/>
      <c r="J357" s="377"/>
      <c r="K357" s="377"/>
      <c r="L357" s="377"/>
      <c r="M357" s="377"/>
      <c r="N357" s="377"/>
      <c r="O357" s="377"/>
      <c r="P357" s="377"/>
      <c r="Q357" s="377"/>
      <c r="R357" s="377"/>
      <c r="S357" s="377"/>
      <c r="T357" s="377"/>
      <c r="U357" s="377"/>
      <c r="V357" s="377"/>
      <c r="W357" s="377"/>
      <c r="X357" s="574"/>
      <c r="Y357" s="377"/>
      <c r="Z357" s="377"/>
      <c r="AA357" s="377"/>
      <c r="AB357" s="377"/>
      <c r="AC357" s="377"/>
      <c r="AD357" s="377"/>
      <c r="AE357" s="377"/>
      <c r="AF357" s="377"/>
      <c r="AG357" s="377"/>
      <c r="AH357" s="377"/>
      <c r="AI357" s="377"/>
      <c r="AJ357" s="377"/>
      <c r="AK357" s="377"/>
      <c r="AL357" s="574"/>
      <c r="AM357" s="377"/>
      <c r="AN357" s="377"/>
      <c r="AO357" s="377"/>
      <c r="AP357" s="377"/>
      <c r="AQ357" s="377"/>
      <c r="AR357" s="377"/>
      <c r="AS357" s="377"/>
      <c r="AT357" s="377"/>
      <c r="AU357" s="377"/>
      <c r="AV357" s="377"/>
      <c r="AW357" s="575"/>
      <c r="AX357" s="377"/>
      <c r="AY357" s="377"/>
      <c r="AZ357" s="377"/>
      <c r="BA357" s="377"/>
      <c r="BB357" s="377"/>
      <c r="BC357" s="377"/>
      <c r="BD357" s="377"/>
      <c r="BE357" s="377"/>
      <c r="BF357" s="377"/>
      <c r="BG357" s="377"/>
      <c r="BH357" s="377"/>
      <c r="BI357" s="377"/>
      <c r="BJ357" s="377"/>
      <c r="BK357" s="377"/>
      <c r="BL357" s="377"/>
      <c r="BM357" s="377"/>
      <c r="BN357" s="576"/>
      <c r="BO357" s="377"/>
      <c r="BP357" s="377"/>
      <c r="BQ357" s="377"/>
      <c r="BR357" s="377"/>
      <c r="BS357" s="377"/>
      <c r="BT357" s="377"/>
      <c r="BU357" s="377"/>
      <c r="BV357" s="377"/>
      <c r="BW357" s="377"/>
      <c r="BX357" s="377"/>
      <c r="BY357" s="377"/>
      <c r="BZ357" s="377"/>
      <c r="CA357" s="377"/>
      <c r="CB357" s="377"/>
      <c r="CC357" s="377"/>
      <c r="CD357" s="377"/>
      <c r="CE357" s="377"/>
      <c r="CF357" s="377"/>
      <c r="CG357" s="377"/>
      <c r="CH357" s="377"/>
      <c r="CI357" s="377"/>
    </row>
    <row r="358" spans="1:87" ht="15">
      <c r="A358" s="377"/>
      <c r="B358" s="377"/>
      <c r="C358" s="572"/>
      <c r="D358" s="377"/>
      <c r="E358" s="377"/>
      <c r="F358" s="377"/>
      <c r="G358" s="377"/>
      <c r="H358" s="573"/>
      <c r="I358" s="377"/>
      <c r="J358" s="377"/>
      <c r="K358" s="377"/>
      <c r="L358" s="377"/>
      <c r="M358" s="377"/>
      <c r="N358" s="377"/>
      <c r="O358" s="377"/>
      <c r="P358" s="377"/>
      <c r="Q358" s="377"/>
      <c r="R358" s="377"/>
      <c r="S358" s="377"/>
      <c r="T358" s="377"/>
      <c r="U358" s="377"/>
      <c r="V358" s="377"/>
      <c r="W358" s="377"/>
      <c r="X358" s="574"/>
      <c r="Y358" s="377"/>
      <c r="Z358" s="377"/>
      <c r="AA358" s="377"/>
      <c r="AB358" s="377"/>
      <c r="AC358" s="377"/>
      <c r="AD358" s="377"/>
      <c r="AE358" s="377"/>
      <c r="AF358" s="377"/>
      <c r="AG358" s="377"/>
      <c r="AH358" s="377"/>
      <c r="AI358" s="377"/>
      <c r="AJ358" s="377"/>
      <c r="AK358" s="377"/>
      <c r="AL358" s="574"/>
      <c r="AM358" s="377"/>
      <c r="AN358" s="377"/>
      <c r="AO358" s="377"/>
      <c r="AP358" s="377"/>
      <c r="AQ358" s="377"/>
      <c r="AR358" s="377"/>
      <c r="AS358" s="377"/>
      <c r="AT358" s="377"/>
      <c r="AU358" s="377"/>
      <c r="AV358" s="377"/>
      <c r="AW358" s="575"/>
      <c r="AX358" s="377"/>
      <c r="AY358" s="377"/>
      <c r="AZ358" s="377"/>
      <c r="BA358" s="377"/>
      <c r="BB358" s="377"/>
      <c r="BC358" s="377"/>
      <c r="BD358" s="377"/>
      <c r="BE358" s="377"/>
      <c r="BF358" s="377"/>
      <c r="BG358" s="377"/>
      <c r="BH358" s="377"/>
      <c r="BI358" s="377"/>
      <c r="BJ358" s="377"/>
      <c r="BK358" s="377"/>
      <c r="BL358" s="377"/>
      <c r="BM358" s="377"/>
      <c r="BN358" s="576"/>
      <c r="BO358" s="377"/>
      <c r="BP358" s="377"/>
      <c r="BQ358" s="377"/>
      <c r="BR358" s="377"/>
      <c r="BS358" s="377"/>
      <c r="BT358" s="377"/>
      <c r="BU358" s="377"/>
      <c r="BV358" s="377"/>
      <c r="BW358" s="377"/>
      <c r="BX358" s="377"/>
      <c r="BY358" s="377"/>
      <c r="BZ358" s="377"/>
      <c r="CA358" s="377"/>
      <c r="CB358" s="377"/>
      <c r="CC358" s="377"/>
      <c r="CD358" s="377"/>
      <c r="CE358" s="377"/>
      <c r="CF358" s="377"/>
      <c r="CG358" s="377"/>
      <c r="CH358" s="377"/>
      <c r="CI358" s="377"/>
    </row>
    <row r="359" spans="1:87" ht="15">
      <c r="A359" s="377"/>
      <c r="B359" s="377"/>
      <c r="C359" s="572"/>
      <c r="D359" s="377"/>
      <c r="E359" s="377"/>
      <c r="F359" s="377"/>
      <c r="G359" s="377"/>
      <c r="H359" s="573"/>
      <c r="I359" s="377"/>
      <c r="J359" s="377"/>
      <c r="K359" s="377"/>
      <c r="L359" s="377"/>
      <c r="M359" s="377"/>
      <c r="N359" s="377"/>
      <c r="O359" s="377"/>
      <c r="P359" s="377"/>
      <c r="Q359" s="377"/>
      <c r="R359" s="377"/>
      <c r="S359" s="377"/>
      <c r="T359" s="377"/>
      <c r="U359" s="377"/>
      <c r="V359" s="377"/>
      <c r="W359" s="377"/>
      <c r="X359" s="574"/>
      <c r="Y359" s="377"/>
      <c r="Z359" s="377"/>
      <c r="AA359" s="377"/>
      <c r="AB359" s="377"/>
      <c r="AC359" s="377"/>
      <c r="AD359" s="377"/>
      <c r="AE359" s="377"/>
      <c r="AF359" s="377"/>
      <c r="AG359" s="377"/>
      <c r="AH359" s="377"/>
      <c r="AI359" s="377"/>
      <c r="AJ359" s="377"/>
      <c r="AK359" s="377"/>
      <c r="AL359" s="574"/>
      <c r="AM359" s="377"/>
      <c r="AN359" s="377"/>
      <c r="AO359" s="377"/>
      <c r="AP359" s="377"/>
      <c r="AQ359" s="377"/>
      <c r="AR359" s="377"/>
      <c r="AS359" s="377"/>
      <c r="AT359" s="377"/>
      <c r="AU359" s="377"/>
      <c r="AV359" s="377"/>
      <c r="AW359" s="575"/>
      <c r="AX359" s="377"/>
      <c r="AY359" s="377"/>
      <c r="AZ359" s="377"/>
      <c r="BA359" s="377"/>
      <c r="BB359" s="377"/>
      <c r="BC359" s="377"/>
      <c r="BD359" s="377"/>
      <c r="BE359" s="377"/>
      <c r="BF359" s="377"/>
      <c r="BG359" s="377"/>
      <c r="BH359" s="377"/>
      <c r="BI359" s="377"/>
      <c r="BJ359" s="377"/>
      <c r="BK359" s="377"/>
      <c r="BL359" s="377"/>
      <c r="BM359" s="377"/>
      <c r="BN359" s="576"/>
      <c r="BO359" s="377"/>
      <c r="BP359" s="377"/>
      <c r="BQ359" s="377"/>
      <c r="BR359" s="377"/>
      <c r="BS359" s="377"/>
      <c r="BT359" s="377"/>
      <c r="BU359" s="377"/>
      <c r="BV359" s="377"/>
      <c r="BW359" s="377"/>
      <c r="BX359" s="377"/>
      <c r="BY359" s="377"/>
      <c r="BZ359" s="377"/>
      <c r="CA359" s="377"/>
      <c r="CB359" s="377"/>
      <c r="CC359" s="377"/>
      <c r="CD359" s="377"/>
      <c r="CE359" s="377"/>
      <c r="CF359" s="377"/>
      <c r="CG359" s="377"/>
      <c r="CH359" s="377"/>
      <c r="CI359" s="377"/>
    </row>
    <row r="360" spans="1:87" ht="15">
      <c r="A360" s="377"/>
      <c r="B360" s="377"/>
      <c r="C360" s="572"/>
      <c r="D360" s="377"/>
      <c r="E360" s="377"/>
      <c r="F360" s="377"/>
      <c r="G360" s="377"/>
      <c r="H360" s="573"/>
      <c r="I360" s="377"/>
      <c r="J360" s="377"/>
      <c r="K360" s="377"/>
      <c r="L360" s="377"/>
      <c r="M360" s="377"/>
      <c r="N360" s="377"/>
      <c r="O360" s="377"/>
      <c r="P360" s="377"/>
      <c r="Q360" s="377"/>
      <c r="R360" s="377"/>
      <c r="S360" s="377"/>
      <c r="T360" s="377"/>
      <c r="U360" s="377"/>
      <c r="V360" s="377"/>
      <c r="W360" s="377"/>
      <c r="X360" s="574"/>
      <c r="Y360" s="377"/>
      <c r="Z360" s="377"/>
      <c r="AA360" s="377"/>
      <c r="AB360" s="377"/>
      <c r="AC360" s="377"/>
      <c r="AD360" s="377"/>
      <c r="AE360" s="377"/>
      <c r="AF360" s="377"/>
      <c r="AG360" s="377"/>
      <c r="AH360" s="377"/>
      <c r="AI360" s="377"/>
      <c r="AJ360" s="377"/>
      <c r="AK360" s="377"/>
      <c r="AL360" s="574"/>
      <c r="AM360" s="377"/>
      <c r="AN360" s="377"/>
      <c r="AO360" s="377"/>
      <c r="AP360" s="377"/>
      <c r="AQ360" s="377"/>
      <c r="AR360" s="377"/>
      <c r="AS360" s="377"/>
      <c r="AT360" s="377"/>
      <c r="AU360" s="377"/>
      <c r="AV360" s="377"/>
      <c r="AW360" s="575"/>
      <c r="AX360" s="377"/>
      <c r="AY360" s="377"/>
      <c r="AZ360" s="377"/>
      <c r="BA360" s="377"/>
      <c r="BB360" s="377"/>
      <c r="BC360" s="377"/>
      <c r="BD360" s="377"/>
      <c r="BE360" s="377"/>
      <c r="BF360" s="377"/>
      <c r="BG360" s="377"/>
      <c r="BH360" s="377"/>
      <c r="BI360" s="377"/>
      <c r="BJ360" s="377"/>
      <c r="BK360" s="377"/>
      <c r="BL360" s="377"/>
      <c r="BM360" s="377"/>
      <c r="BN360" s="576"/>
      <c r="BO360" s="377"/>
      <c r="BP360" s="377"/>
      <c r="BQ360" s="377"/>
      <c r="BR360" s="377"/>
      <c r="BS360" s="377"/>
      <c r="BT360" s="377"/>
      <c r="BU360" s="377"/>
      <c r="BV360" s="377"/>
      <c r="BW360" s="377"/>
      <c r="BX360" s="377"/>
      <c r="BY360" s="377"/>
      <c r="BZ360" s="377"/>
      <c r="CA360" s="377"/>
      <c r="CB360" s="377"/>
      <c r="CC360" s="377"/>
      <c r="CD360" s="377"/>
      <c r="CE360" s="377"/>
      <c r="CF360" s="377"/>
      <c r="CG360" s="377"/>
      <c r="CH360" s="377"/>
      <c r="CI360" s="377"/>
    </row>
    <row r="361" spans="1:87" ht="15">
      <c r="A361" s="377"/>
      <c r="B361" s="377"/>
      <c r="C361" s="572"/>
      <c r="D361" s="377"/>
      <c r="E361" s="377"/>
      <c r="F361" s="377"/>
      <c r="G361" s="377"/>
      <c r="H361" s="573"/>
      <c r="I361" s="377"/>
      <c r="J361" s="377"/>
      <c r="K361" s="377"/>
      <c r="L361" s="377"/>
      <c r="M361" s="377"/>
      <c r="N361" s="377"/>
      <c r="O361" s="377"/>
      <c r="P361" s="377"/>
      <c r="Q361" s="377"/>
      <c r="R361" s="377"/>
      <c r="S361" s="377"/>
      <c r="T361" s="377"/>
      <c r="U361" s="377"/>
      <c r="V361" s="377"/>
      <c r="W361" s="377"/>
      <c r="X361" s="574"/>
      <c r="Y361" s="377"/>
      <c r="Z361" s="377"/>
      <c r="AA361" s="377"/>
      <c r="AB361" s="377"/>
      <c r="AC361" s="377"/>
      <c r="AD361" s="377"/>
      <c r="AE361" s="377"/>
      <c r="AF361" s="377"/>
      <c r="AG361" s="377"/>
      <c r="AH361" s="377"/>
      <c r="AI361" s="377"/>
      <c r="AJ361" s="377"/>
      <c r="AK361" s="377"/>
      <c r="AL361" s="574"/>
      <c r="AM361" s="377"/>
      <c r="AN361" s="377"/>
      <c r="AO361" s="377"/>
      <c r="AP361" s="377"/>
      <c r="AQ361" s="377"/>
      <c r="AR361" s="377"/>
      <c r="AS361" s="377"/>
      <c r="AT361" s="377"/>
      <c r="AU361" s="377"/>
      <c r="AV361" s="377"/>
      <c r="AW361" s="575"/>
      <c r="AX361" s="377"/>
      <c r="AY361" s="377"/>
      <c r="AZ361" s="377"/>
      <c r="BA361" s="377"/>
      <c r="BB361" s="377"/>
      <c r="BC361" s="377"/>
      <c r="BD361" s="377"/>
      <c r="BE361" s="377"/>
      <c r="BF361" s="377"/>
      <c r="BG361" s="377"/>
      <c r="BH361" s="377"/>
      <c r="BI361" s="377"/>
      <c r="BJ361" s="377"/>
      <c r="BK361" s="377"/>
      <c r="BL361" s="377"/>
      <c r="BM361" s="377"/>
      <c r="BN361" s="576"/>
      <c r="BO361" s="377"/>
      <c r="BP361" s="377"/>
      <c r="BQ361" s="377"/>
      <c r="BR361" s="377"/>
      <c r="BS361" s="377"/>
      <c r="BT361" s="377"/>
      <c r="BU361" s="377"/>
      <c r="BV361" s="377"/>
      <c r="BW361" s="377"/>
      <c r="BX361" s="377"/>
      <c r="BY361" s="377"/>
      <c r="BZ361" s="377"/>
      <c r="CA361" s="377"/>
      <c r="CB361" s="377"/>
      <c r="CC361" s="377"/>
      <c r="CD361" s="377"/>
      <c r="CE361" s="377"/>
      <c r="CF361" s="377"/>
      <c r="CG361" s="377"/>
      <c r="CH361" s="377"/>
      <c r="CI361" s="377"/>
    </row>
    <row r="362" spans="1:87" ht="15">
      <c r="A362" s="377"/>
      <c r="B362" s="377"/>
      <c r="C362" s="572"/>
      <c r="D362" s="377"/>
      <c r="E362" s="377"/>
      <c r="F362" s="377"/>
      <c r="G362" s="377"/>
      <c r="H362" s="573"/>
      <c r="I362" s="377"/>
      <c r="J362" s="377"/>
      <c r="K362" s="377"/>
      <c r="L362" s="377"/>
      <c r="M362" s="377"/>
      <c r="N362" s="377"/>
      <c r="O362" s="377"/>
      <c r="P362" s="377"/>
      <c r="Q362" s="377"/>
      <c r="R362" s="377"/>
      <c r="S362" s="377"/>
      <c r="T362" s="377"/>
      <c r="U362" s="377"/>
      <c r="V362" s="377"/>
      <c r="W362" s="377"/>
      <c r="X362" s="574"/>
      <c r="Y362" s="377"/>
      <c r="Z362" s="377"/>
      <c r="AA362" s="377"/>
      <c r="AB362" s="377"/>
      <c r="AC362" s="377"/>
      <c r="AD362" s="377"/>
      <c r="AE362" s="377"/>
      <c r="AF362" s="377"/>
      <c r="AG362" s="377"/>
      <c r="AH362" s="377"/>
      <c r="AI362" s="377"/>
      <c r="AJ362" s="377"/>
      <c r="AK362" s="377"/>
      <c r="AL362" s="574"/>
      <c r="AM362" s="377"/>
      <c r="AN362" s="377"/>
      <c r="AO362" s="377"/>
      <c r="AP362" s="377"/>
      <c r="AQ362" s="377"/>
      <c r="AR362" s="377"/>
      <c r="AS362" s="377"/>
      <c r="AT362" s="377"/>
      <c r="AU362" s="377"/>
      <c r="AV362" s="377"/>
      <c r="AW362" s="575"/>
      <c r="AX362" s="377"/>
      <c r="AY362" s="377"/>
      <c r="AZ362" s="377"/>
      <c r="BA362" s="377"/>
      <c r="BB362" s="377"/>
      <c r="BC362" s="377"/>
      <c r="BD362" s="377"/>
      <c r="BE362" s="377"/>
      <c r="BF362" s="377"/>
      <c r="BG362" s="377"/>
      <c r="BH362" s="377"/>
      <c r="BI362" s="377"/>
      <c r="BJ362" s="377"/>
      <c r="BK362" s="377"/>
      <c r="BL362" s="377"/>
      <c r="BM362" s="377"/>
      <c r="BN362" s="576"/>
      <c r="BO362" s="377"/>
      <c r="BP362" s="377"/>
      <c r="BQ362" s="377"/>
      <c r="BR362" s="377"/>
      <c r="BS362" s="377"/>
      <c r="BT362" s="377"/>
      <c r="BU362" s="377"/>
      <c r="BV362" s="377"/>
      <c r="BW362" s="377"/>
      <c r="BX362" s="377"/>
      <c r="BY362" s="377"/>
      <c r="BZ362" s="377"/>
      <c r="CA362" s="377"/>
      <c r="CB362" s="377"/>
      <c r="CC362" s="377"/>
      <c r="CD362" s="377"/>
      <c r="CE362" s="377"/>
      <c r="CF362" s="377"/>
      <c r="CG362" s="377"/>
      <c r="CH362" s="377"/>
      <c r="CI362" s="377"/>
    </row>
    <row r="363" spans="1:87" ht="15">
      <c r="A363" s="377"/>
      <c r="B363" s="377"/>
      <c r="C363" s="572"/>
      <c r="D363" s="377"/>
      <c r="E363" s="377"/>
      <c r="F363" s="377"/>
      <c r="G363" s="377"/>
      <c r="H363" s="573"/>
      <c r="I363" s="377"/>
      <c r="J363" s="377"/>
      <c r="K363" s="377"/>
      <c r="L363" s="377"/>
      <c r="M363" s="377"/>
      <c r="N363" s="377"/>
      <c r="O363" s="377"/>
      <c r="P363" s="377"/>
      <c r="Q363" s="377"/>
      <c r="R363" s="377"/>
      <c r="S363" s="377"/>
      <c r="T363" s="377"/>
      <c r="U363" s="377"/>
      <c r="V363" s="377"/>
      <c r="W363" s="377"/>
      <c r="X363" s="574"/>
      <c r="Y363" s="377"/>
      <c r="Z363" s="377"/>
      <c r="AA363" s="377"/>
      <c r="AB363" s="377"/>
      <c r="AC363" s="377"/>
      <c r="AD363" s="377"/>
      <c r="AE363" s="377"/>
      <c r="AF363" s="377"/>
      <c r="AG363" s="377"/>
      <c r="AH363" s="377"/>
      <c r="AI363" s="377"/>
      <c r="AJ363" s="377"/>
      <c r="AK363" s="377"/>
      <c r="AL363" s="574"/>
      <c r="AM363" s="377"/>
      <c r="AN363" s="377"/>
      <c r="AO363" s="377"/>
      <c r="AP363" s="377"/>
      <c r="AQ363" s="377"/>
      <c r="AR363" s="377"/>
      <c r="AS363" s="377"/>
      <c r="AT363" s="377"/>
      <c r="AU363" s="377"/>
      <c r="AV363" s="377"/>
      <c r="AW363" s="575"/>
      <c r="AX363" s="377"/>
      <c r="AY363" s="377"/>
      <c r="AZ363" s="377"/>
      <c r="BA363" s="377"/>
      <c r="BB363" s="377"/>
      <c r="BC363" s="377"/>
      <c r="BD363" s="377"/>
      <c r="BE363" s="377"/>
      <c r="BF363" s="377"/>
      <c r="BG363" s="377"/>
      <c r="BH363" s="377"/>
      <c r="BI363" s="377"/>
      <c r="BJ363" s="377"/>
      <c r="BK363" s="377"/>
      <c r="BL363" s="377"/>
      <c r="BM363" s="377"/>
      <c r="BN363" s="576"/>
      <c r="BO363" s="377"/>
      <c r="BP363" s="377"/>
      <c r="BQ363" s="377"/>
      <c r="BR363" s="377"/>
      <c r="BS363" s="377"/>
      <c r="BT363" s="377"/>
      <c r="BU363" s="377"/>
      <c r="BV363" s="377"/>
      <c r="BW363" s="377"/>
      <c r="BX363" s="377"/>
      <c r="BY363" s="377"/>
      <c r="BZ363" s="377"/>
      <c r="CA363" s="377"/>
      <c r="CB363" s="377"/>
      <c r="CC363" s="377"/>
      <c r="CD363" s="377"/>
      <c r="CE363" s="377"/>
      <c r="CF363" s="377"/>
      <c r="CG363" s="377"/>
      <c r="CH363" s="377"/>
      <c r="CI363" s="377"/>
    </row>
    <row r="364" spans="1:87" ht="15">
      <c r="A364" s="377"/>
      <c r="B364" s="377"/>
      <c r="C364" s="572"/>
      <c r="D364" s="377"/>
      <c r="E364" s="377"/>
      <c r="F364" s="377"/>
      <c r="G364" s="377"/>
      <c r="H364" s="573"/>
      <c r="I364" s="377"/>
      <c r="J364" s="377"/>
      <c r="K364" s="377"/>
      <c r="L364" s="377"/>
      <c r="M364" s="377"/>
      <c r="N364" s="377"/>
      <c r="O364" s="377"/>
      <c r="P364" s="377"/>
      <c r="Q364" s="377"/>
      <c r="R364" s="377"/>
      <c r="S364" s="377"/>
      <c r="T364" s="377"/>
      <c r="U364" s="377"/>
      <c r="V364" s="377"/>
      <c r="W364" s="377"/>
      <c r="X364" s="574"/>
      <c r="Y364" s="377"/>
      <c r="Z364" s="377"/>
      <c r="AA364" s="377"/>
      <c r="AB364" s="377"/>
      <c r="AC364" s="377"/>
      <c r="AD364" s="377"/>
      <c r="AE364" s="377"/>
      <c r="AF364" s="377"/>
      <c r="AG364" s="377"/>
      <c r="AH364" s="377"/>
      <c r="AI364" s="377"/>
      <c r="AJ364" s="377"/>
      <c r="AK364" s="377"/>
      <c r="AL364" s="574"/>
      <c r="AM364" s="377"/>
      <c r="AN364" s="377"/>
      <c r="AO364" s="377"/>
      <c r="AP364" s="377"/>
      <c r="AQ364" s="377"/>
      <c r="AR364" s="377"/>
      <c r="AS364" s="377"/>
      <c r="AT364" s="377"/>
      <c r="AU364" s="377"/>
      <c r="AV364" s="377"/>
      <c r="AW364" s="575"/>
      <c r="AX364" s="377"/>
      <c r="AY364" s="377"/>
      <c r="AZ364" s="377"/>
      <c r="BA364" s="377"/>
      <c r="BB364" s="377"/>
      <c r="BC364" s="377"/>
      <c r="BD364" s="377"/>
      <c r="BE364" s="377"/>
      <c r="BF364" s="377"/>
      <c r="BG364" s="377"/>
      <c r="BH364" s="377"/>
      <c r="BI364" s="377"/>
      <c r="BJ364" s="377"/>
      <c r="BK364" s="377"/>
      <c r="BL364" s="377"/>
      <c r="BM364" s="377"/>
      <c r="BN364" s="576"/>
      <c r="BO364" s="377"/>
      <c r="BP364" s="377"/>
      <c r="BQ364" s="377"/>
      <c r="BR364" s="377"/>
      <c r="BS364" s="377"/>
      <c r="BT364" s="377"/>
      <c r="BU364" s="377"/>
      <c r="BV364" s="377"/>
      <c r="BW364" s="377"/>
      <c r="BX364" s="377"/>
      <c r="BY364" s="377"/>
      <c r="BZ364" s="377"/>
      <c r="CA364" s="377"/>
      <c r="CB364" s="377"/>
      <c r="CC364" s="377"/>
      <c r="CD364" s="377"/>
      <c r="CE364" s="377"/>
      <c r="CF364" s="377"/>
      <c r="CG364" s="377"/>
      <c r="CH364" s="377"/>
      <c r="CI364" s="377"/>
    </row>
    <row r="365" spans="1:87" ht="15">
      <c r="A365" s="377"/>
      <c r="B365" s="377"/>
      <c r="C365" s="572"/>
      <c r="D365" s="377"/>
      <c r="E365" s="377"/>
      <c r="F365" s="377"/>
      <c r="G365" s="377"/>
      <c r="H365" s="573"/>
      <c r="I365" s="377"/>
      <c r="J365" s="377"/>
      <c r="K365" s="377"/>
      <c r="L365" s="377"/>
      <c r="M365" s="377"/>
      <c r="N365" s="377"/>
      <c r="O365" s="377"/>
      <c r="P365" s="377"/>
      <c r="Q365" s="377"/>
      <c r="R365" s="377"/>
      <c r="S365" s="377"/>
      <c r="T365" s="377"/>
      <c r="U365" s="377"/>
      <c r="V365" s="377"/>
      <c r="W365" s="377"/>
      <c r="X365" s="574"/>
      <c r="Y365" s="377"/>
      <c r="Z365" s="377"/>
      <c r="AA365" s="377"/>
      <c r="AB365" s="377"/>
      <c r="AC365" s="377"/>
      <c r="AD365" s="377"/>
      <c r="AE365" s="377"/>
      <c r="AF365" s="377"/>
      <c r="AG365" s="377"/>
      <c r="AH365" s="377"/>
      <c r="AI365" s="377"/>
      <c r="AJ365" s="377"/>
      <c r="AK365" s="377"/>
      <c r="AL365" s="574"/>
      <c r="AM365" s="377"/>
      <c r="AN365" s="377"/>
      <c r="AO365" s="377"/>
      <c r="AP365" s="377"/>
      <c r="AQ365" s="377"/>
      <c r="AR365" s="377"/>
      <c r="AS365" s="377"/>
      <c r="AT365" s="377"/>
      <c r="AU365" s="377"/>
      <c r="AV365" s="377"/>
      <c r="AW365" s="575"/>
      <c r="AX365" s="377"/>
      <c r="AY365" s="377"/>
      <c r="AZ365" s="377"/>
      <c r="BA365" s="377"/>
      <c r="BB365" s="377"/>
      <c r="BC365" s="377"/>
      <c r="BD365" s="377"/>
      <c r="BE365" s="377"/>
      <c r="BF365" s="377"/>
      <c r="BG365" s="377"/>
      <c r="BH365" s="377"/>
      <c r="BI365" s="377"/>
      <c r="BJ365" s="377"/>
      <c r="BK365" s="377"/>
      <c r="BL365" s="377"/>
      <c r="BM365" s="377"/>
      <c r="BN365" s="576"/>
      <c r="BO365" s="377"/>
      <c r="BP365" s="377"/>
      <c r="BQ365" s="377"/>
      <c r="BR365" s="377"/>
      <c r="BS365" s="377"/>
      <c r="BT365" s="377"/>
      <c r="BU365" s="377"/>
      <c r="BV365" s="377"/>
      <c r="BW365" s="377"/>
      <c r="BX365" s="377"/>
      <c r="BY365" s="377"/>
      <c r="BZ365" s="377"/>
      <c r="CA365" s="377"/>
      <c r="CB365" s="377"/>
      <c r="CC365" s="377"/>
      <c r="CD365" s="377"/>
      <c r="CE365" s="377"/>
      <c r="CF365" s="377"/>
      <c r="CG365" s="377"/>
      <c r="CH365" s="377"/>
      <c r="CI365" s="377"/>
    </row>
    <row r="366" spans="1:87" ht="15">
      <c r="A366" s="377"/>
      <c r="B366" s="377"/>
      <c r="C366" s="572"/>
      <c r="D366" s="377"/>
      <c r="E366" s="377"/>
      <c r="F366" s="377"/>
      <c r="G366" s="377"/>
      <c r="H366" s="573"/>
      <c r="I366" s="377"/>
      <c r="J366" s="377"/>
      <c r="K366" s="377"/>
      <c r="L366" s="377"/>
      <c r="M366" s="377"/>
      <c r="N366" s="377"/>
      <c r="O366" s="377"/>
      <c r="P366" s="377"/>
      <c r="Q366" s="377"/>
      <c r="R366" s="377"/>
      <c r="S366" s="377"/>
      <c r="T366" s="377"/>
      <c r="U366" s="377"/>
      <c r="V366" s="377"/>
      <c r="W366" s="377"/>
      <c r="X366" s="574"/>
      <c r="Y366" s="377"/>
      <c r="Z366" s="377"/>
      <c r="AA366" s="377"/>
      <c r="AB366" s="377"/>
      <c r="AC366" s="377"/>
      <c r="AD366" s="377"/>
      <c r="AE366" s="377"/>
      <c r="AF366" s="377"/>
      <c r="AG366" s="377"/>
      <c r="AH366" s="377"/>
      <c r="AI366" s="377"/>
      <c r="AJ366" s="377"/>
      <c r="AK366" s="377"/>
      <c r="AL366" s="574"/>
      <c r="AM366" s="377"/>
      <c r="AN366" s="377"/>
      <c r="AO366" s="377"/>
      <c r="AP366" s="377"/>
      <c r="AQ366" s="377"/>
      <c r="AR366" s="377"/>
      <c r="AS366" s="377"/>
      <c r="AT366" s="377"/>
      <c r="AU366" s="377"/>
      <c r="AV366" s="377"/>
      <c r="AW366" s="575"/>
      <c r="AX366" s="377"/>
      <c r="AY366" s="377"/>
      <c r="AZ366" s="377"/>
      <c r="BA366" s="377"/>
      <c r="BB366" s="377"/>
      <c r="BC366" s="377"/>
      <c r="BD366" s="377"/>
      <c r="BE366" s="377"/>
      <c r="BF366" s="377"/>
      <c r="BG366" s="377"/>
      <c r="BH366" s="377"/>
      <c r="BI366" s="377"/>
      <c r="BJ366" s="377"/>
      <c r="BK366" s="377"/>
      <c r="BL366" s="377"/>
      <c r="BM366" s="377"/>
      <c r="BN366" s="576"/>
      <c r="BO366" s="377"/>
      <c r="BP366" s="377"/>
      <c r="BQ366" s="377"/>
      <c r="BR366" s="377"/>
      <c r="BS366" s="377"/>
      <c r="BT366" s="377"/>
      <c r="BU366" s="377"/>
      <c r="BV366" s="377"/>
      <c r="BW366" s="377"/>
      <c r="BX366" s="377"/>
      <c r="BY366" s="377"/>
      <c r="BZ366" s="377"/>
      <c r="CA366" s="377"/>
      <c r="CB366" s="377"/>
      <c r="CC366" s="377"/>
      <c r="CD366" s="377"/>
      <c r="CE366" s="377"/>
      <c r="CF366" s="377"/>
      <c r="CG366" s="377"/>
      <c r="CH366" s="377"/>
      <c r="CI366" s="377"/>
    </row>
    <row r="367" spans="1:87" ht="15">
      <c r="A367" s="377"/>
      <c r="B367" s="377"/>
      <c r="C367" s="572"/>
      <c r="D367" s="377"/>
      <c r="E367" s="377"/>
      <c r="F367" s="377"/>
      <c r="G367" s="377"/>
      <c r="H367" s="573"/>
      <c r="I367" s="377"/>
      <c r="J367" s="377"/>
      <c r="K367" s="377"/>
      <c r="L367" s="377"/>
      <c r="M367" s="377"/>
      <c r="N367" s="377"/>
      <c r="O367" s="377"/>
      <c r="P367" s="377"/>
      <c r="Q367" s="377"/>
      <c r="R367" s="377"/>
      <c r="S367" s="377"/>
      <c r="T367" s="377"/>
      <c r="U367" s="377"/>
      <c r="V367" s="377"/>
      <c r="W367" s="377"/>
      <c r="X367" s="574"/>
      <c r="Y367" s="377"/>
      <c r="Z367" s="377"/>
      <c r="AA367" s="377"/>
      <c r="AB367" s="377"/>
      <c r="AC367" s="377"/>
      <c r="AD367" s="377"/>
      <c r="AE367" s="377"/>
      <c r="AF367" s="377"/>
      <c r="AG367" s="377"/>
      <c r="AH367" s="377"/>
      <c r="AI367" s="377"/>
      <c r="AJ367" s="377"/>
      <c r="AK367" s="377"/>
      <c r="AL367" s="574"/>
      <c r="AM367" s="377"/>
      <c r="AN367" s="377"/>
      <c r="AO367" s="377"/>
      <c r="AP367" s="377"/>
      <c r="AQ367" s="377"/>
      <c r="AR367" s="377"/>
      <c r="AS367" s="377"/>
      <c r="AT367" s="377"/>
      <c r="AU367" s="377"/>
      <c r="AV367" s="377"/>
      <c r="AW367" s="575"/>
      <c r="AX367" s="377"/>
      <c r="AY367" s="377"/>
      <c r="AZ367" s="377"/>
      <c r="BA367" s="377"/>
      <c r="BB367" s="377"/>
      <c r="BC367" s="377"/>
      <c r="BD367" s="377"/>
      <c r="BE367" s="377"/>
      <c r="BF367" s="377"/>
      <c r="BG367" s="377"/>
      <c r="BH367" s="377"/>
      <c r="BI367" s="377"/>
      <c r="BJ367" s="377"/>
      <c r="BK367" s="377"/>
      <c r="BL367" s="377"/>
      <c r="BM367" s="377"/>
      <c r="BN367" s="576"/>
      <c r="BO367" s="377"/>
      <c r="BP367" s="377"/>
      <c r="BQ367" s="377"/>
      <c r="BR367" s="377"/>
      <c r="BS367" s="377"/>
      <c r="BT367" s="377"/>
      <c r="BU367" s="377"/>
      <c r="BV367" s="377"/>
      <c r="BW367" s="377"/>
      <c r="BX367" s="377"/>
      <c r="BY367" s="377"/>
      <c r="BZ367" s="377"/>
      <c r="CA367" s="377"/>
      <c r="CB367" s="377"/>
      <c r="CC367" s="377"/>
      <c r="CD367" s="377"/>
      <c r="CE367" s="377"/>
      <c r="CF367" s="377"/>
      <c r="CG367" s="377"/>
      <c r="CH367" s="377"/>
      <c r="CI367" s="377"/>
    </row>
    <row r="368" spans="1:87" ht="15">
      <c r="A368" s="377"/>
      <c r="B368" s="377"/>
      <c r="C368" s="572"/>
      <c r="D368" s="377"/>
      <c r="E368" s="377"/>
      <c r="F368" s="377"/>
      <c r="G368" s="377"/>
      <c r="H368" s="573"/>
      <c r="I368" s="377"/>
      <c r="J368" s="377"/>
      <c r="K368" s="377"/>
      <c r="L368" s="377"/>
      <c r="M368" s="377"/>
      <c r="N368" s="377"/>
      <c r="O368" s="377"/>
      <c r="P368" s="377"/>
      <c r="Q368" s="377"/>
      <c r="R368" s="377"/>
      <c r="S368" s="377"/>
      <c r="T368" s="377"/>
      <c r="U368" s="377"/>
      <c r="V368" s="377"/>
      <c r="W368" s="377"/>
      <c r="X368" s="574"/>
      <c r="Y368" s="377"/>
      <c r="Z368" s="377"/>
      <c r="AA368" s="377"/>
      <c r="AB368" s="377"/>
      <c r="AC368" s="377"/>
      <c r="AD368" s="377"/>
      <c r="AE368" s="377"/>
      <c r="AF368" s="377"/>
      <c r="AG368" s="377"/>
      <c r="AH368" s="377"/>
      <c r="AI368" s="377"/>
      <c r="AJ368" s="377"/>
      <c r="AK368" s="377"/>
      <c r="AL368" s="574"/>
      <c r="AM368" s="377"/>
      <c r="AN368" s="377"/>
      <c r="AO368" s="377"/>
      <c r="AP368" s="377"/>
      <c r="AQ368" s="377"/>
      <c r="AR368" s="377"/>
      <c r="AS368" s="377"/>
      <c r="AT368" s="377"/>
      <c r="AU368" s="377"/>
      <c r="AV368" s="377"/>
      <c r="AW368" s="575"/>
      <c r="AX368" s="377"/>
      <c r="AY368" s="377"/>
      <c r="AZ368" s="377"/>
      <c r="BA368" s="377"/>
      <c r="BB368" s="377"/>
      <c r="BC368" s="377"/>
      <c r="BD368" s="377"/>
      <c r="BE368" s="377"/>
      <c r="BF368" s="377"/>
      <c r="BG368" s="377"/>
      <c r="BH368" s="377"/>
      <c r="BI368" s="377"/>
      <c r="BJ368" s="377"/>
      <c r="BK368" s="377"/>
      <c r="BL368" s="377"/>
      <c r="BM368" s="377"/>
      <c r="BN368" s="576"/>
      <c r="BO368" s="377"/>
      <c r="BP368" s="377"/>
      <c r="BQ368" s="377"/>
      <c r="BR368" s="377"/>
      <c r="BS368" s="377"/>
      <c r="BT368" s="377"/>
      <c r="BU368" s="377"/>
      <c r="BV368" s="377"/>
      <c r="BW368" s="377"/>
      <c r="BX368" s="377"/>
      <c r="BY368" s="377"/>
      <c r="BZ368" s="377"/>
      <c r="CA368" s="377"/>
      <c r="CB368" s="377"/>
      <c r="CC368" s="377"/>
      <c r="CD368" s="377"/>
      <c r="CE368" s="377"/>
      <c r="CF368" s="377"/>
      <c r="CG368" s="377"/>
      <c r="CH368" s="377"/>
      <c r="CI368" s="377"/>
    </row>
    <row r="369" spans="1:87" ht="15">
      <c r="A369" s="377"/>
      <c r="B369" s="377"/>
      <c r="C369" s="572"/>
      <c r="D369" s="377"/>
      <c r="E369" s="377"/>
      <c r="F369" s="377"/>
      <c r="G369" s="377"/>
      <c r="H369" s="573"/>
      <c r="I369" s="377"/>
      <c r="J369" s="377"/>
      <c r="K369" s="377"/>
      <c r="L369" s="377"/>
      <c r="M369" s="377"/>
      <c r="N369" s="377"/>
      <c r="O369" s="377"/>
      <c r="P369" s="377"/>
      <c r="Q369" s="377"/>
      <c r="R369" s="377"/>
      <c r="S369" s="377"/>
      <c r="T369" s="377"/>
      <c r="U369" s="377"/>
      <c r="V369" s="377"/>
      <c r="W369" s="377"/>
      <c r="X369" s="574"/>
      <c r="Y369" s="377"/>
      <c r="Z369" s="377"/>
      <c r="AA369" s="377"/>
      <c r="AB369" s="377"/>
      <c r="AC369" s="377"/>
      <c r="AD369" s="377"/>
      <c r="AE369" s="377"/>
      <c r="AF369" s="377"/>
      <c r="AG369" s="377"/>
      <c r="AH369" s="377"/>
      <c r="AI369" s="377"/>
      <c r="AJ369" s="377"/>
      <c r="AK369" s="377"/>
      <c r="AL369" s="574"/>
      <c r="AM369" s="377"/>
      <c r="AN369" s="377"/>
      <c r="AO369" s="377"/>
      <c r="AP369" s="377"/>
      <c r="AQ369" s="377"/>
      <c r="AR369" s="377"/>
      <c r="AS369" s="377"/>
      <c r="AT369" s="377"/>
      <c r="AU369" s="377"/>
      <c r="AV369" s="377"/>
      <c r="AW369" s="575"/>
      <c r="AX369" s="377"/>
      <c r="AY369" s="377"/>
      <c r="AZ369" s="377"/>
      <c r="BA369" s="377"/>
      <c r="BB369" s="377"/>
      <c r="BC369" s="377"/>
      <c r="BD369" s="377"/>
      <c r="BE369" s="377"/>
      <c r="BF369" s="377"/>
      <c r="BG369" s="377"/>
      <c r="BH369" s="377"/>
      <c r="BI369" s="377"/>
      <c r="BJ369" s="377"/>
      <c r="BK369" s="377"/>
      <c r="BL369" s="377"/>
      <c r="BM369" s="377"/>
      <c r="BN369" s="576"/>
      <c r="BO369" s="377"/>
      <c r="BP369" s="377"/>
      <c r="BQ369" s="377"/>
      <c r="BR369" s="377"/>
      <c r="BS369" s="377"/>
      <c r="BT369" s="377"/>
      <c r="BU369" s="377"/>
      <c r="BV369" s="377"/>
      <c r="BW369" s="377"/>
      <c r="BX369" s="377"/>
      <c r="BY369" s="377"/>
      <c r="BZ369" s="377"/>
      <c r="CA369" s="377"/>
      <c r="CB369" s="377"/>
      <c r="CC369" s="377"/>
      <c r="CD369" s="377"/>
      <c r="CE369" s="377"/>
      <c r="CF369" s="377"/>
      <c r="CG369" s="377"/>
      <c r="CH369" s="377"/>
      <c r="CI369" s="377"/>
    </row>
    <row r="370" spans="1:87" ht="15">
      <c r="A370" s="377"/>
      <c r="B370" s="377"/>
      <c r="C370" s="572"/>
      <c r="D370" s="377"/>
      <c r="E370" s="377"/>
      <c r="F370" s="377"/>
      <c r="G370" s="377"/>
      <c r="H370" s="573"/>
      <c r="I370" s="377"/>
      <c r="J370" s="377"/>
      <c r="K370" s="377"/>
      <c r="L370" s="377"/>
      <c r="M370" s="377"/>
      <c r="N370" s="377"/>
      <c r="O370" s="377"/>
      <c r="P370" s="377"/>
      <c r="Q370" s="377"/>
      <c r="R370" s="377"/>
      <c r="S370" s="377"/>
      <c r="T370" s="377"/>
      <c r="U370" s="377"/>
      <c r="V370" s="377"/>
      <c r="W370" s="377"/>
      <c r="X370" s="574"/>
      <c r="Y370" s="377"/>
      <c r="Z370" s="377"/>
      <c r="AA370" s="377"/>
      <c r="AB370" s="377"/>
      <c r="AC370" s="377"/>
      <c r="AD370" s="377"/>
      <c r="AE370" s="377"/>
      <c r="AF370" s="377"/>
      <c r="AG370" s="377"/>
      <c r="AH370" s="377"/>
      <c r="AI370" s="377"/>
      <c r="AJ370" s="377"/>
      <c r="AK370" s="377"/>
      <c r="AL370" s="574"/>
      <c r="AM370" s="377"/>
      <c r="AN370" s="377"/>
      <c r="AO370" s="377"/>
      <c r="AP370" s="377"/>
      <c r="AQ370" s="377"/>
      <c r="AR370" s="377"/>
      <c r="AS370" s="377"/>
      <c r="AT370" s="377"/>
      <c r="AU370" s="377"/>
      <c r="AV370" s="377"/>
      <c r="AW370" s="575"/>
      <c r="AX370" s="377"/>
      <c r="AY370" s="377"/>
      <c r="AZ370" s="377"/>
      <c r="BA370" s="377"/>
      <c r="BB370" s="377"/>
      <c r="BC370" s="377"/>
      <c r="BD370" s="377"/>
      <c r="BE370" s="377"/>
      <c r="BF370" s="377"/>
      <c r="BG370" s="377"/>
      <c r="BH370" s="377"/>
      <c r="BI370" s="377"/>
      <c r="BJ370" s="377"/>
      <c r="BK370" s="377"/>
      <c r="BL370" s="377"/>
      <c r="BM370" s="377"/>
      <c r="BN370" s="576"/>
      <c r="BO370" s="377"/>
      <c r="BP370" s="377"/>
      <c r="BQ370" s="377"/>
      <c r="BR370" s="377"/>
      <c r="BS370" s="377"/>
      <c r="BT370" s="377"/>
      <c r="BU370" s="377"/>
      <c r="BV370" s="377"/>
      <c r="BW370" s="377"/>
      <c r="BX370" s="377"/>
      <c r="BY370" s="377"/>
      <c r="BZ370" s="377"/>
      <c r="CA370" s="377"/>
      <c r="CB370" s="377"/>
      <c r="CC370" s="377"/>
      <c r="CD370" s="377"/>
      <c r="CE370" s="377"/>
      <c r="CF370" s="377"/>
      <c r="CG370" s="377"/>
      <c r="CH370" s="377"/>
      <c r="CI370" s="377"/>
    </row>
    <row r="371" spans="1:87" ht="15">
      <c r="A371" s="377"/>
      <c r="B371" s="377"/>
      <c r="C371" s="572"/>
      <c r="D371" s="377"/>
      <c r="E371" s="377"/>
      <c r="F371" s="377"/>
      <c r="G371" s="377"/>
      <c r="H371" s="573"/>
      <c r="I371" s="377"/>
      <c r="J371" s="377"/>
      <c r="K371" s="377"/>
      <c r="L371" s="377"/>
      <c r="M371" s="377"/>
      <c r="N371" s="377"/>
      <c r="O371" s="377"/>
      <c r="P371" s="377"/>
      <c r="Q371" s="377"/>
      <c r="R371" s="377"/>
      <c r="S371" s="377"/>
      <c r="T371" s="377"/>
      <c r="U371" s="377"/>
      <c r="V371" s="377"/>
      <c r="W371" s="377"/>
      <c r="X371" s="574"/>
      <c r="Y371" s="377"/>
      <c r="Z371" s="377"/>
      <c r="AA371" s="377"/>
      <c r="AB371" s="377"/>
      <c r="AC371" s="377"/>
      <c r="AD371" s="377"/>
      <c r="AE371" s="377"/>
      <c r="AF371" s="377"/>
      <c r="AG371" s="377"/>
      <c r="AH371" s="377"/>
      <c r="AI371" s="377"/>
      <c r="AJ371" s="377"/>
      <c r="AK371" s="377"/>
      <c r="AL371" s="574"/>
      <c r="AM371" s="377"/>
      <c r="AN371" s="377"/>
      <c r="AO371" s="377"/>
      <c r="AP371" s="377"/>
      <c r="AQ371" s="377"/>
      <c r="AR371" s="377"/>
      <c r="AS371" s="377"/>
      <c r="AT371" s="377"/>
      <c r="AU371" s="377"/>
      <c r="AV371" s="377"/>
      <c r="AW371" s="575"/>
      <c r="AX371" s="377"/>
      <c r="AY371" s="377"/>
      <c r="AZ371" s="377"/>
      <c r="BA371" s="377"/>
      <c r="BB371" s="377"/>
      <c r="BC371" s="377"/>
      <c r="BD371" s="377"/>
      <c r="BE371" s="377"/>
      <c r="BF371" s="377"/>
      <c r="BG371" s="377"/>
      <c r="BH371" s="377"/>
      <c r="BI371" s="377"/>
      <c r="BJ371" s="377"/>
      <c r="BK371" s="377"/>
      <c r="BL371" s="377"/>
      <c r="BM371" s="377"/>
      <c r="BN371" s="576"/>
      <c r="BO371" s="377"/>
      <c r="BP371" s="377"/>
      <c r="BQ371" s="377"/>
      <c r="BR371" s="377"/>
      <c r="BS371" s="377"/>
      <c r="BT371" s="377"/>
      <c r="BU371" s="377"/>
      <c r="BV371" s="377"/>
      <c r="BW371" s="377"/>
      <c r="BX371" s="377"/>
      <c r="BY371" s="377"/>
      <c r="BZ371" s="377"/>
      <c r="CA371" s="377"/>
      <c r="CB371" s="377"/>
      <c r="CC371" s="377"/>
      <c r="CD371" s="377"/>
      <c r="CE371" s="377"/>
      <c r="CF371" s="377"/>
      <c r="CG371" s="377"/>
      <c r="CH371" s="377"/>
      <c r="CI371" s="377"/>
    </row>
    <row r="372" spans="1:87" ht="15">
      <c r="A372" s="377"/>
      <c r="B372" s="377"/>
      <c r="C372" s="572"/>
      <c r="D372" s="377"/>
      <c r="E372" s="377"/>
      <c r="F372" s="377"/>
      <c r="G372" s="377"/>
      <c r="H372" s="573"/>
      <c r="I372" s="377"/>
      <c r="J372" s="377"/>
      <c r="K372" s="377"/>
      <c r="L372" s="377"/>
      <c r="M372" s="377"/>
      <c r="N372" s="377"/>
      <c r="O372" s="377"/>
      <c r="P372" s="377"/>
      <c r="Q372" s="377"/>
      <c r="R372" s="377"/>
      <c r="S372" s="377"/>
      <c r="T372" s="377"/>
      <c r="U372" s="377"/>
      <c r="V372" s="377"/>
      <c r="W372" s="377"/>
      <c r="X372" s="574"/>
      <c r="Y372" s="377"/>
      <c r="Z372" s="377"/>
      <c r="AA372" s="377"/>
      <c r="AB372" s="377"/>
      <c r="AC372" s="377"/>
      <c r="AD372" s="377"/>
      <c r="AE372" s="377"/>
      <c r="AF372" s="377"/>
      <c r="AG372" s="377"/>
      <c r="AH372" s="377"/>
      <c r="AI372" s="377"/>
      <c r="AJ372" s="377"/>
      <c r="AK372" s="377"/>
      <c r="AL372" s="574"/>
      <c r="AM372" s="377"/>
      <c r="AN372" s="377"/>
      <c r="AO372" s="377"/>
      <c r="AP372" s="377"/>
      <c r="AQ372" s="377"/>
      <c r="AR372" s="377"/>
      <c r="AS372" s="377"/>
      <c r="AT372" s="377"/>
      <c r="AU372" s="377"/>
      <c r="AV372" s="377"/>
      <c r="AW372" s="575"/>
      <c r="AX372" s="377"/>
      <c r="AY372" s="377"/>
      <c r="AZ372" s="377"/>
      <c r="BA372" s="377"/>
      <c r="BB372" s="377"/>
      <c r="BC372" s="377"/>
      <c r="BD372" s="377"/>
      <c r="BE372" s="377"/>
      <c r="BF372" s="377"/>
      <c r="BG372" s="377"/>
      <c r="BH372" s="377"/>
      <c r="BI372" s="377"/>
      <c r="BJ372" s="377"/>
      <c r="BK372" s="377"/>
      <c r="BL372" s="377"/>
      <c r="BM372" s="377"/>
      <c r="BN372" s="576"/>
      <c r="BO372" s="377"/>
      <c r="BP372" s="377"/>
      <c r="BQ372" s="377"/>
      <c r="BR372" s="377"/>
      <c r="BS372" s="377"/>
      <c r="BT372" s="377"/>
      <c r="BU372" s="377"/>
      <c r="BV372" s="377"/>
      <c r="BW372" s="377"/>
      <c r="BX372" s="377"/>
      <c r="BY372" s="377"/>
      <c r="BZ372" s="377"/>
      <c r="CA372" s="377"/>
      <c r="CB372" s="377"/>
      <c r="CC372" s="377"/>
      <c r="CD372" s="377"/>
      <c r="CE372" s="377"/>
      <c r="CF372" s="377"/>
      <c r="CG372" s="377"/>
      <c r="CH372" s="377"/>
      <c r="CI372" s="377"/>
    </row>
    <row r="373" spans="1:87" ht="15">
      <c r="A373" s="377"/>
      <c r="B373" s="377"/>
      <c r="C373" s="572"/>
      <c r="D373" s="377"/>
      <c r="E373" s="377"/>
      <c r="F373" s="377"/>
      <c r="G373" s="377"/>
      <c r="H373" s="573"/>
      <c r="I373" s="377"/>
      <c r="J373" s="377"/>
      <c r="K373" s="377"/>
      <c r="L373" s="377"/>
      <c r="M373" s="377"/>
      <c r="N373" s="377"/>
      <c r="O373" s="377"/>
      <c r="P373" s="377"/>
      <c r="Q373" s="377"/>
      <c r="R373" s="377"/>
      <c r="S373" s="377"/>
      <c r="T373" s="377"/>
      <c r="U373" s="377"/>
      <c r="V373" s="377"/>
      <c r="W373" s="377"/>
      <c r="X373" s="574"/>
      <c r="Y373" s="377"/>
      <c r="Z373" s="377"/>
      <c r="AA373" s="377"/>
      <c r="AB373" s="377"/>
      <c r="AC373" s="377"/>
      <c r="AD373" s="377"/>
      <c r="AE373" s="377"/>
      <c r="AF373" s="377"/>
      <c r="AG373" s="377"/>
      <c r="AH373" s="377"/>
      <c r="AI373" s="377"/>
      <c r="AJ373" s="377"/>
      <c r="AK373" s="377"/>
      <c r="AL373" s="574"/>
      <c r="AM373" s="377"/>
      <c r="AN373" s="377"/>
      <c r="AO373" s="377"/>
      <c r="AP373" s="377"/>
      <c r="AQ373" s="377"/>
      <c r="AR373" s="377"/>
      <c r="AS373" s="377"/>
      <c r="AT373" s="377"/>
      <c r="AU373" s="377"/>
      <c r="AV373" s="377"/>
      <c r="AW373" s="575"/>
      <c r="AX373" s="377"/>
      <c r="AY373" s="377"/>
      <c r="AZ373" s="377"/>
      <c r="BA373" s="377"/>
      <c r="BB373" s="377"/>
      <c r="BC373" s="377"/>
      <c r="BD373" s="377"/>
      <c r="BE373" s="377"/>
      <c r="BF373" s="377"/>
      <c r="BG373" s="377"/>
      <c r="BH373" s="377"/>
      <c r="BI373" s="377"/>
      <c r="BJ373" s="377"/>
      <c r="BK373" s="377"/>
      <c r="BL373" s="377"/>
      <c r="BM373" s="377"/>
      <c r="BN373" s="576"/>
      <c r="BO373" s="377"/>
      <c r="BP373" s="377"/>
      <c r="BQ373" s="377"/>
      <c r="BR373" s="377"/>
      <c r="BS373" s="377"/>
      <c r="BT373" s="377"/>
      <c r="BU373" s="377"/>
      <c r="BV373" s="377"/>
      <c r="BW373" s="377"/>
      <c r="BX373" s="377"/>
      <c r="BY373" s="377"/>
      <c r="BZ373" s="377"/>
      <c r="CA373" s="377"/>
      <c r="CB373" s="377"/>
      <c r="CC373" s="377"/>
      <c r="CD373" s="377"/>
      <c r="CE373" s="377"/>
      <c r="CF373" s="377"/>
      <c r="CG373" s="377"/>
      <c r="CH373" s="377"/>
      <c r="CI373" s="377"/>
    </row>
    <row r="374" spans="1:87" ht="15">
      <c r="A374" s="377"/>
      <c r="B374" s="377"/>
      <c r="C374" s="572"/>
      <c r="D374" s="377"/>
      <c r="E374" s="377"/>
      <c r="F374" s="377"/>
      <c r="G374" s="377"/>
      <c r="H374" s="573"/>
      <c r="I374" s="377"/>
      <c r="J374" s="377"/>
      <c r="K374" s="377"/>
      <c r="L374" s="377"/>
      <c r="M374" s="377"/>
      <c r="N374" s="377"/>
      <c r="O374" s="377"/>
      <c r="P374" s="377"/>
      <c r="Q374" s="377"/>
      <c r="R374" s="377"/>
      <c r="S374" s="377"/>
      <c r="T374" s="377"/>
      <c r="U374" s="377"/>
      <c r="V374" s="377"/>
      <c r="W374" s="377"/>
      <c r="X374" s="574"/>
      <c r="Y374" s="377"/>
      <c r="Z374" s="377"/>
      <c r="AA374" s="377"/>
      <c r="AB374" s="377"/>
      <c r="AC374" s="377"/>
      <c r="AD374" s="377"/>
      <c r="AE374" s="377"/>
      <c r="AF374" s="377"/>
      <c r="AG374" s="377"/>
      <c r="AH374" s="377"/>
      <c r="AI374" s="377"/>
      <c r="AJ374" s="377"/>
      <c r="AK374" s="377"/>
      <c r="AL374" s="574"/>
      <c r="AM374" s="377"/>
      <c r="AN374" s="377"/>
      <c r="AO374" s="377"/>
      <c r="AP374" s="377"/>
      <c r="AQ374" s="377"/>
      <c r="AR374" s="377"/>
      <c r="AS374" s="377"/>
      <c r="AT374" s="377"/>
      <c r="AU374" s="377"/>
      <c r="AV374" s="377"/>
      <c r="AW374" s="575"/>
      <c r="AX374" s="377"/>
      <c r="AY374" s="377"/>
      <c r="AZ374" s="377"/>
      <c r="BA374" s="377"/>
      <c r="BB374" s="377"/>
      <c r="BC374" s="377"/>
      <c r="BD374" s="377"/>
      <c r="BE374" s="377"/>
      <c r="BF374" s="377"/>
      <c r="BG374" s="377"/>
      <c r="BH374" s="377"/>
      <c r="BI374" s="377"/>
      <c r="BJ374" s="377"/>
      <c r="BK374" s="377"/>
      <c r="BL374" s="377"/>
      <c r="BM374" s="377"/>
      <c r="BN374" s="576"/>
      <c r="BO374" s="377"/>
      <c r="BP374" s="377"/>
      <c r="BQ374" s="377"/>
      <c r="BR374" s="377"/>
      <c r="BS374" s="377"/>
      <c r="BT374" s="377"/>
      <c r="BU374" s="377"/>
      <c r="BV374" s="377"/>
      <c r="BW374" s="377"/>
      <c r="BX374" s="377"/>
      <c r="BY374" s="377"/>
      <c r="BZ374" s="377"/>
      <c r="CA374" s="377"/>
      <c r="CB374" s="377"/>
      <c r="CC374" s="377"/>
      <c r="CD374" s="377"/>
      <c r="CE374" s="377"/>
      <c r="CF374" s="377"/>
      <c r="CG374" s="377"/>
      <c r="CH374" s="377"/>
      <c r="CI374" s="377"/>
    </row>
    <row r="375" spans="1:87" ht="15">
      <c r="A375" s="377"/>
      <c r="B375" s="377"/>
      <c r="C375" s="572"/>
      <c r="D375" s="377"/>
      <c r="E375" s="377"/>
      <c r="F375" s="377"/>
      <c r="G375" s="377"/>
      <c r="H375" s="573"/>
      <c r="I375" s="377"/>
      <c r="J375" s="377"/>
      <c r="K375" s="377"/>
      <c r="L375" s="377"/>
      <c r="M375" s="377"/>
      <c r="N375" s="377"/>
      <c r="O375" s="377"/>
      <c r="P375" s="377"/>
      <c r="Q375" s="377"/>
      <c r="R375" s="377"/>
      <c r="S375" s="377"/>
      <c r="T375" s="377"/>
      <c r="U375" s="377"/>
      <c r="V375" s="377"/>
      <c r="W375" s="377"/>
      <c r="X375" s="574"/>
      <c r="Y375" s="377"/>
      <c r="Z375" s="377"/>
      <c r="AA375" s="377"/>
      <c r="AB375" s="377"/>
      <c r="AC375" s="377"/>
      <c r="AD375" s="377"/>
      <c r="AE375" s="377"/>
      <c r="AF375" s="377"/>
      <c r="AG375" s="377"/>
      <c r="AH375" s="377"/>
      <c r="AI375" s="377"/>
      <c r="AJ375" s="377"/>
      <c r="AK375" s="377"/>
      <c r="AL375" s="574"/>
      <c r="AM375" s="377"/>
      <c r="AN375" s="377"/>
      <c r="AO375" s="377"/>
      <c r="AP375" s="377"/>
      <c r="AQ375" s="377"/>
      <c r="AR375" s="377"/>
      <c r="AS375" s="377"/>
      <c r="AT375" s="377"/>
      <c r="AU375" s="377"/>
      <c r="AV375" s="377"/>
      <c r="AW375" s="575"/>
      <c r="AX375" s="377"/>
      <c r="AY375" s="377"/>
      <c r="AZ375" s="377"/>
      <c r="BA375" s="377"/>
      <c r="BB375" s="377"/>
      <c r="BC375" s="377"/>
      <c r="BD375" s="377"/>
      <c r="BE375" s="377"/>
      <c r="BF375" s="377"/>
      <c r="BG375" s="377"/>
      <c r="BH375" s="377"/>
      <c r="BI375" s="377"/>
      <c r="BJ375" s="377"/>
      <c r="BK375" s="377"/>
      <c r="BL375" s="377"/>
      <c r="BM375" s="377"/>
      <c r="BN375" s="576"/>
      <c r="BO375" s="377"/>
      <c r="BP375" s="377"/>
      <c r="BQ375" s="377"/>
      <c r="BR375" s="377"/>
      <c r="BS375" s="377"/>
      <c r="BT375" s="377"/>
      <c r="BU375" s="377"/>
      <c r="BV375" s="377"/>
      <c r="BW375" s="377"/>
      <c r="BX375" s="377"/>
      <c r="BY375" s="377"/>
      <c r="BZ375" s="377"/>
      <c r="CA375" s="377"/>
      <c r="CB375" s="377"/>
      <c r="CC375" s="377"/>
      <c r="CD375" s="377"/>
      <c r="CE375" s="377"/>
      <c r="CF375" s="377"/>
      <c r="CG375" s="377"/>
      <c r="CH375" s="377"/>
      <c r="CI375" s="377"/>
    </row>
    <row r="376" spans="1:87" ht="15">
      <c r="A376" s="377"/>
      <c r="B376" s="377"/>
      <c r="C376" s="572"/>
      <c r="D376" s="377"/>
      <c r="E376" s="377"/>
      <c r="F376" s="377"/>
      <c r="G376" s="377"/>
      <c r="H376" s="573"/>
      <c r="I376" s="377"/>
      <c r="J376" s="377"/>
      <c r="K376" s="377"/>
      <c r="L376" s="377"/>
      <c r="M376" s="377"/>
      <c r="N376" s="377"/>
      <c r="O376" s="377"/>
      <c r="P376" s="377"/>
      <c r="Q376" s="377"/>
      <c r="R376" s="377"/>
      <c r="S376" s="377"/>
      <c r="T376" s="377"/>
      <c r="U376" s="377"/>
      <c r="V376" s="377"/>
      <c r="W376" s="377"/>
      <c r="X376" s="574"/>
      <c r="Y376" s="377"/>
      <c r="Z376" s="377"/>
      <c r="AA376" s="377"/>
      <c r="AB376" s="377"/>
      <c r="AC376" s="377"/>
      <c r="AD376" s="377"/>
      <c r="AE376" s="377"/>
      <c r="AF376" s="377"/>
      <c r="AG376" s="377"/>
      <c r="AH376" s="377"/>
      <c r="AI376" s="377"/>
      <c r="AJ376" s="377"/>
      <c r="AK376" s="377"/>
      <c r="AL376" s="574"/>
      <c r="AM376" s="377"/>
      <c r="AN376" s="377"/>
      <c r="AO376" s="377"/>
      <c r="AP376" s="377"/>
      <c r="AQ376" s="377"/>
      <c r="AR376" s="377"/>
      <c r="AS376" s="377"/>
      <c r="AT376" s="377"/>
      <c r="AU376" s="377"/>
      <c r="AV376" s="377"/>
      <c r="AW376" s="575"/>
      <c r="AX376" s="377"/>
      <c r="AY376" s="377"/>
      <c r="AZ376" s="377"/>
      <c r="BA376" s="377"/>
      <c r="BB376" s="377"/>
      <c r="BC376" s="377"/>
      <c r="BD376" s="377"/>
      <c r="BE376" s="377"/>
      <c r="BF376" s="377"/>
      <c r="BG376" s="377"/>
      <c r="BH376" s="377"/>
      <c r="BI376" s="377"/>
      <c r="BJ376" s="377"/>
      <c r="BK376" s="377"/>
      <c r="BL376" s="377"/>
      <c r="BM376" s="377"/>
      <c r="BN376" s="576"/>
      <c r="BO376" s="377"/>
      <c r="BP376" s="377"/>
      <c r="BQ376" s="377"/>
      <c r="BR376" s="377"/>
      <c r="BS376" s="377"/>
      <c r="BT376" s="377"/>
      <c r="BU376" s="377"/>
      <c r="BV376" s="377"/>
      <c r="BW376" s="377"/>
      <c r="BX376" s="377"/>
      <c r="BY376" s="377"/>
      <c r="BZ376" s="377"/>
      <c r="CA376" s="377"/>
      <c r="CB376" s="377"/>
      <c r="CC376" s="377"/>
      <c r="CD376" s="377"/>
      <c r="CE376" s="377"/>
      <c r="CF376" s="377"/>
      <c r="CG376" s="377"/>
      <c r="CH376" s="377"/>
      <c r="CI376" s="377"/>
    </row>
    <row r="377" spans="1:87" ht="15">
      <c r="A377" s="377"/>
      <c r="B377" s="377"/>
      <c r="C377" s="572"/>
      <c r="D377" s="377"/>
      <c r="E377" s="377"/>
      <c r="F377" s="377"/>
      <c r="G377" s="377"/>
      <c r="H377" s="573"/>
      <c r="I377" s="377"/>
      <c r="J377" s="377"/>
      <c r="K377" s="377"/>
      <c r="L377" s="377"/>
      <c r="M377" s="377"/>
      <c r="N377" s="377"/>
      <c r="O377" s="377"/>
      <c r="P377" s="377"/>
      <c r="Q377" s="377"/>
      <c r="R377" s="377"/>
      <c r="S377" s="377"/>
      <c r="T377" s="377"/>
      <c r="U377" s="377"/>
      <c r="V377" s="377"/>
      <c r="W377" s="377"/>
      <c r="X377" s="574"/>
      <c r="Y377" s="377"/>
      <c r="Z377" s="377"/>
      <c r="AA377" s="377"/>
      <c r="AB377" s="377"/>
      <c r="AC377" s="377"/>
      <c r="AD377" s="377"/>
      <c r="AE377" s="377"/>
      <c r="AF377" s="377"/>
      <c r="AG377" s="377"/>
      <c r="AH377" s="377"/>
      <c r="AI377" s="377"/>
      <c r="AJ377" s="377"/>
      <c r="AK377" s="377"/>
      <c r="AL377" s="574"/>
      <c r="AM377" s="377"/>
      <c r="AN377" s="377"/>
      <c r="AO377" s="377"/>
      <c r="AP377" s="377"/>
      <c r="AQ377" s="377"/>
      <c r="AR377" s="377"/>
      <c r="AS377" s="377"/>
      <c r="AT377" s="377"/>
      <c r="AU377" s="377"/>
      <c r="AV377" s="377"/>
      <c r="AW377" s="575"/>
      <c r="AX377" s="377"/>
      <c r="AY377" s="377"/>
      <c r="AZ377" s="377"/>
      <c r="BA377" s="377"/>
      <c r="BB377" s="377"/>
      <c r="BC377" s="377"/>
      <c r="BD377" s="377"/>
      <c r="BE377" s="377"/>
      <c r="BF377" s="377"/>
      <c r="BG377" s="377"/>
      <c r="BH377" s="377"/>
      <c r="BI377" s="377"/>
      <c r="BJ377" s="377"/>
      <c r="BK377" s="377"/>
      <c r="BL377" s="377"/>
      <c r="BM377" s="377"/>
      <c r="BN377" s="576"/>
      <c r="BO377" s="377"/>
      <c r="BP377" s="377"/>
      <c r="BQ377" s="377"/>
      <c r="BR377" s="377"/>
      <c r="BS377" s="377"/>
      <c r="BT377" s="377"/>
      <c r="BU377" s="377"/>
      <c r="BV377" s="377"/>
      <c r="BW377" s="377"/>
      <c r="BX377" s="377"/>
      <c r="BY377" s="377"/>
      <c r="BZ377" s="377"/>
      <c r="CA377" s="377"/>
      <c r="CB377" s="377"/>
      <c r="CC377" s="377"/>
      <c r="CD377" s="377"/>
      <c r="CE377" s="377"/>
      <c r="CF377" s="377"/>
      <c r="CG377" s="377"/>
      <c r="CH377" s="377"/>
      <c r="CI377" s="377"/>
    </row>
    <row r="378" spans="1:87" ht="15">
      <c r="A378" s="377"/>
      <c r="B378" s="377"/>
      <c r="C378" s="572"/>
      <c r="D378" s="377"/>
      <c r="E378" s="377"/>
      <c r="F378" s="377"/>
      <c r="G378" s="377"/>
      <c r="H378" s="573"/>
      <c r="I378" s="377"/>
      <c r="J378" s="377"/>
      <c r="K378" s="377"/>
      <c r="L378" s="377"/>
      <c r="M378" s="377"/>
      <c r="N378" s="377"/>
      <c r="O378" s="377"/>
      <c r="P378" s="377"/>
      <c r="Q378" s="377"/>
      <c r="R378" s="377"/>
      <c r="S378" s="377"/>
      <c r="T378" s="377"/>
      <c r="U378" s="377"/>
      <c r="V378" s="377"/>
      <c r="W378" s="377"/>
      <c r="X378" s="574"/>
      <c r="Y378" s="377"/>
      <c r="Z378" s="377"/>
      <c r="AA378" s="377"/>
      <c r="AB378" s="377"/>
      <c r="AC378" s="377"/>
      <c r="AD378" s="377"/>
      <c r="AE378" s="377"/>
      <c r="AF378" s="377"/>
      <c r="AG378" s="377"/>
      <c r="AH378" s="377"/>
      <c r="AI378" s="377"/>
      <c r="AJ378" s="377"/>
      <c r="AK378" s="377"/>
      <c r="AL378" s="574"/>
      <c r="AM378" s="377"/>
      <c r="AN378" s="377"/>
      <c r="AO378" s="377"/>
      <c r="AP378" s="377"/>
      <c r="AQ378" s="377"/>
      <c r="AR378" s="377"/>
      <c r="AS378" s="377"/>
      <c r="AT378" s="377"/>
      <c r="AU378" s="377"/>
      <c r="AV378" s="377"/>
      <c r="AW378" s="575"/>
      <c r="AX378" s="377"/>
      <c r="AY378" s="377"/>
      <c r="AZ378" s="377"/>
      <c r="BA378" s="377"/>
      <c r="BB378" s="377"/>
      <c r="BC378" s="377"/>
      <c r="BD378" s="377"/>
      <c r="BE378" s="377"/>
      <c r="BF378" s="377"/>
      <c r="BG378" s="377"/>
      <c r="BH378" s="377"/>
      <c r="BI378" s="377"/>
      <c r="BJ378" s="377"/>
      <c r="BK378" s="377"/>
      <c r="BL378" s="377"/>
      <c r="BM378" s="377"/>
      <c r="BN378" s="576"/>
      <c r="BO378" s="377"/>
      <c r="BP378" s="377"/>
      <c r="BQ378" s="377"/>
      <c r="BR378" s="377"/>
      <c r="BS378" s="377"/>
      <c r="BT378" s="377"/>
      <c r="BU378" s="377"/>
      <c r="BV378" s="377"/>
      <c r="BW378" s="377"/>
      <c r="BX378" s="377"/>
      <c r="BY378" s="377"/>
      <c r="BZ378" s="377"/>
      <c r="CA378" s="377"/>
      <c r="CB378" s="377"/>
      <c r="CC378" s="377"/>
      <c r="CD378" s="377"/>
      <c r="CE378" s="377"/>
      <c r="CF378" s="377"/>
      <c r="CG378" s="377"/>
      <c r="CH378" s="377"/>
      <c r="CI378" s="377"/>
    </row>
    <row r="379" spans="1:87" ht="15">
      <c r="A379" s="377"/>
      <c r="B379" s="377"/>
      <c r="C379" s="572"/>
      <c r="D379" s="377"/>
      <c r="E379" s="377"/>
      <c r="F379" s="377"/>
      <c r="G379" s="377"/>
      <c r="H379" s="573"/>
      <c r="I379" s="377"/>
      <c r="J379" s="377"/>
      <c r="K379" s="377"/>
      <c r="L379" s="377"/>
      <c r="M379" s="377"/>
      <c r="N379" s="377"/>
      <c r="O379" s="377"/>
      <c r="P379" s="377"/>
      <c r="Q379" s="377"/>
      <c r="R379" s="377"/>
      <c r="S379" s="377"/>
      <c r="T379" s="377"/>
      <c r="U379" s="377"/>
      <c r="V379" s="377"/>
      <c r="W379" s="377"/>
      <c r="X379" s="574"/>
      <c r="Y379" s="377"/>
      <c r="Z379" s="377"/>
      <c r="AA379" s="377"/>
      <c r="AB379" s="377"/>
      <c r="AC379" s="377"/>
      <c r="AD379" s="377"/>
      <c r="AE379" s="377"/>
      <c r="AF379" s="377"/>
      <c r="AG379" s="377"/>
      <c r="AH379" s="377"/>
      <c r="AI379" s="377"/>
      <c r="AJ379" s="377"/>
      <c r="AK379" s="377"/>
      <c r="AL379" s="574"/>
      <c r="AM379" s="377"/>
      <c r="AN379" s="377"/>
      <c r="AO379" s="377"/>
      <c r="AP379" s="377"/>
      <c r="AQ379" s="377"/>
      <c r="AR379" s="377"/>
      <c r="AS379" s="377"/>
      <c r="AT379" s="377"/>
      <c r="AU379" s="377"/>
      <c r="AV379" s="377"/>
      <c r="AW379" s="575"/>
      <c r="AX379" s="377"/>
      <c r="AY379" s="377"/>
      <c r="AZ379" s="377"/>
      <c r="BA379" s="377"/>
      <c r="BB379" s="377"/>
      <c r="BC379" s="377"/>
      <c r="BD379" s="377"/>
      <c r="BE379" s="377"/>
      <c r="BF379" s="377"/>
      <c r="BG379" s="377"/>
      <c r="BH379" s="377"/>
      <c r="BI379" s="377"/>
      <c r="BJ379" s="377"/>
      <c r="BK379" s="377"/>
      <c r="BL379" s="377"/>
      <c r="BM379" s="377"/>
      <c r="BN379" s="576"/>
      <c r="BO379" s="377"/>
      <c r="BP379" s="377"/>
      <c r="BQ379" s="377"/>
      <c r="BR379" s="377"/>
      <c r="BS379" s="377"/>
      <c r="BT379" s="377"/>
      <c r="BU379" s="377"/>
      <c r="BV379" s="377"/>
      <c r="BW379" s="377"/>
      <c r="BX379" s="377"/>
      <c r="BY379" s="377"/>
      <c r="BZ379" s="377"/>
      <c r="CA379" s="377"/>
      <c r="CB379" s="377"/>
      <c r="CC379" s="377"/>
      <c r="CD379" s="377"/>
      <c r="CE379" s="377"/>
      <c r="CF379" s="377"/>
      <c r="CG379" s="377"/>
      <c r="CH379" s="377"/>
      <c r="CI379" s="377"/>
    </row>
    <row r="380" spans="1:87" ht="15">
      <c r="A380" s="377"/>
      <c r="B380" s="377"/>
      <c r="C380" s="572"/>
      <c r="D380" s="377"/>
      <c r="E380" s="377"/>
      <c r="F380" s="377"/>
      <c r="G380" s="377"/>
      <c r="H380" s="573"/>
      <c r="I380" s="377"/>
      <c r="J380" s="377"/>
      <c r="K380" s="377"/>
      <c r="L380" s="377"/>
      <c r="M380" s="377"/>
      <c r="N380" s="377"/>
      <c r="O380" s="377"/>
      <c r="P380" s="377"/>
      <c r="Q380" s="377"/>
      <c r="R380" s="377"/>
      <c r="S380" s="377"/>
      <c r="T380" s="377"/>
      <c r="U380" s="377"/>
      <c r="V380" s="377"/>
      <c r="W380" s="377"/>
      <c r="X380" s="574"/>
      <c r="Y380" s="377"/>
      <c r="Z380" s="377"/>
      <c r="AA380" s="377"/>
      <c r="AB380" s="377"/>
      <c r="AC380" s="377"/>
      <c r="AD380" s="377"/>
      <c r="AE380" s="377"/>
      <c r="AF380" s="377"/>
      <c r="AG380" s="377"/>
      <c r="AH380" s="377"/>
      <c r="AI380" s="377"/>
      <c r="AJ380" s="377"/>
      <c r="AK380" s="377"/>
      <c r="AL380" s="574"/>
      <c r="AM380" s="377"/>
      <c r="AN380" s="377"/>
      <c r="AO380" s="377"/>
      <c r="AP380" s="377"/>
      <c r="AQ380" s="377"/>
      <c r="AR380" s="377"/>
      <c r="AS380" s="377"/>
      <c r="AT380" s="377"/>
      <c r="AU380" s="377"/>
      <c r="AV380" s="377"/>
      <c r="AW380" s="575"/>
      <c r="AX380" s="377"/>
      <c r="AY380" s="377"/>
      <c r="AZ380" s="377"/>
      <c r="BA380" s="377"/>
      <c r="BB380" s="377"/>
      <c r="BC380" s="377"/>
      <c r="BD380" s="377"/>
      <c r="BE380" s="377"/>
      <c r="BF380" s="377"/>
      <c r="BG380" s="377"/>
      <c r="BH380" s="377"/>
      <c r="BI380" s="377"/>
      <c r="BJ380" s="377"/>
      <c r="BK380" s="377"/>
      <c r="BL380" s="377"/>
      <c r="BM380" s="377"/>
      <c r="BN380" s="576"/>
      <c r="BO380" s="377"/>
      <c r="BP380" s="377"/>
      <c r="BQ380" s="377"/>
      <c r="BR380" s="377"/>
      <c r="BS380" s="377"/>
      <c r="BT380" s="377"/>
      <c r="BU380" s="377"/>
      <c r="BV380" s="377"/>
      <c r="BW380" s="377"/>
      <c r="BX380" s="377"/>
      <c r="BY380" s="377"/>
      <c r="BZ380" s="377"/>
      <c r="CA380" s="377"/>
      <c r="CB380" s="377"/>
      <c r="CC380" s="377"/>
      <c r="CD380" s="377"/>
      <c r="CE380" s="377"/>
      <c r="CF380" s="377"/>
      <c r="CG380" s="377"/>
      <c r="CH380" s="377"/>
      <c r="CI380" s="377"/>
    </row>
    <row r="381" spans="1:87" ht="15">
      <c r="A381" s="377"/>
      <c r="B381" s="377"/>
      <c r="C381" s="572"/>
      <c r="D381" s="377"/>
      <c r="E381" s="377"/>
      <c r="F381" s="377"/>
      <c r="G381" s="377"/>
      <c r="H381" s="573"/>
      <c r="I381" s="377"/>
      <c r="J381" s="377"/>
      <c r="K381" s="377"/>
      <c r="L381" s="377"/>
      <c r="M381" s="377"/>
      <c r="N381" s="377"/>
      <c r="O381" s="377"/>
      <c r="P381" s="377"/>
      <c r="Q381" s="377"/>
      <c r="R381" s="377"/>
      <c r="S381" s="377"/>
      <c r="T381" s="377"/>
      <c r="U381" s="377"/>
      <c r="V381" s="377"/>
      <c r="W381" s="377"/>
      <c r="X381" s="574"/>
      <c r="Y381" s="377"/>
      <c r="Z381" s="377"/>
      <c r="AA381" s="377"/>
      <c r="AB381" s="377"/>
      <c r="AC381" s="377"/>
      <c r="AD381" s="377"/>
      <c r="AE381" s="377"/>
      <c r="AF381" s="377"/>
      <c r="AG381" s="377"/>
      <c r="AH381" s="377"/>
      <c r="AI381" s="377"/>
      <c r="AJ381" s="377"/>
      <c r="AK381" s="377"/>
      <c r="AL381" s="574"/>
      <c r="AM381" s="377"/>
      <c r="AN381" s="377"/>
      <c r="AO381" s="377"/>
      <c r="AP381" s="377"/>
      <c r="AQ381" s="377"/>
      <c r="AR381" s="377"/>
      <c r="AS381" s="377"/>
      <c r="AT381" s="377"/>
      <c r="AU381" s="377"/>
      <c r="AV381" s="377"/>
      <c r="AW381" s="575"/>
      <c r="AX381" s="377"/>
      <c r="AY381" s="377"/>
      <c r="AZ381" s="377"/>
      <c r="BA381" s="377"/>
      <c r="BB381" s="377"/>
      <c r="BC381" s="377"/>
      <c r="BD381" s="377"/>
      <c r="BE381" s="377"/>
      <c r="BF381" s="377"/>
      <c r="BG381" s="377"/>
      <c r="BH381" s="377"/>
      <c r="BI381" s="377"/>
      <c r="BJ381" s="377"/>
      <c r="BK381" s="377"/>
      <c r="BL381" s="377"/>
      <c r="BM381" s="377"/>
      <c r="BN381" s="576"/>
      <c r="BO381" s="377"/>
      <c r="BP381" s="377"/>
      <c r="BQ381" s="377"/>
      <c r="BR381" s="377"/>
      <c r="BS381" s="377"/>
      <c r="BT381" s="377"/>
      <c r="BU381" s="377"/>
      <c r="BV381" s="377"/>
      <c r="BW381" s="377"/>
      <c r="BX381" s="377"/>
      <c r="BY381" s="377"/>
      <c r="BZ381" s="377"/>
      <c r="CA381" s="377"/>
      <c r="CB381" s="377"/>
      <c r="CC381" s="377"/>
      <c r="CD381" s="377"/>
      <c r="CE381" s="377"/>
      <c r="CF381" s="377"/>
      <c r="CG381" s="377"/>
      <c r="CH381" s="377"/>
      <c r="CI381" s="377"/>
    </row>
    <row r="382" spans="1:87" ht="15">
      <c r="A382" s="377"/>
      <c r="B382" s="377"/>
      <c r="C382" s="572"/>
      <c r="D382" s="377"/>
      <c r="E382" s="377"/>
      <c r="F382" s="377"/>
      <c r="G382" s="377"/>
      <c r="H382" s="573"/>
      <c r="I382" s="377"/>
      <c r="J382" s="377"/>
      <c r="K382" s="377"/>
      <c r="L382" s="377"/>
      <c r="M382" s="377"/>
      <c r="N382" s="377"/>
      <c r="O382" s="377"/>
      <c r="P382" s="377"/>
      <c r="Q382" s="377"/>
      <c r="R382" s="377"/>
      <c r="S382" s="377"/>
      <c r="T382" s="377"/>
      <c r="U382" s="377"/>
      <c r="V382" s="377"/>
      <c r="W382" s="377"/>
      <c r="X382" s="574"/>
      <c r="Y382" s="377"/>
      <c r="Z382" s="377"/>
      <c r="AA382" s="377"/>
      <c r="AB382" s="377"/>
      <c r="AC382" s="377"/>
      <c r="AD382" s="377"/>
      <c r="AE382" s="377"/>
      <c r="AF382" s="377"/>
      <c r="AG382" s="377"/>
      <c r="AH382" s="377"/>
      <c r="AI382" s="377"/>
      <c r="AJ382" s="377"/>
      <c r="AK382" s="377"/>
      <c r="AL382" s="574"/>
      <c r="AM382" s="377"/>
      <c r="AN382" s="377"/>
      <c r="AO382" s="377"/>
      <c r="AP382" s="377"/>
      <c r="AQ382" s="377"/>
      <c r="AR382" s="377"/>
      <c r="AS382" s="377"/>
      <c r="AT382" s="377"/>
      <c r="AU382" s="377"/>
      <c r="AV382" s="377"/>
      <c r="AW382" s="575"/>
      <c r="AX382" s="377"/>
      <c r="AY382" s="377"/>
      <c r="AZ382" s="377"/>
      <c r="BA382" s="377"/>
      <c r="BB382" s="377"/>
      <c r="BC382" s="377"/>
      <c r="BD382" s="377"/>
      <c r="BE382" s="377"/>
      <c r="BF382" s="377"/>
      <c r="BG382" s="377"/>
      <c r="BH382" s="377"/>
      <c r="BI382" s="377"/>
      <c r="BJ382" s="377"/>
      <c r="BK382" s="377"/>
      <c r="BL382" s="377"/>
      <c r="BM382" s="377"/>
      <c r="BN382" s="576"/>
      <c r="BO382" s="377"/>
      <c r="BP382" s="377"/>
      <c r="BQ382" s="377"/>
      <c r="BR382" s="377"/>
      <c r="BS382" s="377"/>
      <c r="BT382" s="377"/>
      <c r="BU382" s="377"/>
      <c r="BV382" s="377"/>
      <c r="BW382" s="377"/>
      <c r="BX382" s="377"/>
      <c r="BY382" s="377"/>
      <c r="BZ382" s="377"/>
      <c r="CA382" s="377"/>
      <c r="CB382" s="377"/>
      <c r="CC382" s="377"/>
      <c r="CD382" s="377"/>
      <c r="CE382" s="377"/>
      <c r="CF382" s="377"/>
      <c r="CG382" s="377"/>
      <c r="CH382" s="377"/>
      <c r="CI382" s="377"/>
    </row>
    <row r="383" spans="1:87" ht="15">
      <c r="A383" s="377"/>
      <c r="B383" s="377"/>
      <c r="C383" s="572"/>
      <c r="D383" s="377"/>
      <c r="E383" s="377"/>
      <c r="F383" s="377"/>
      <c r="G383" s="377"/>
      <c r="H383" s="573"/>
      <c r="I383" s="377"/>
      <c r="J383" s="377"/>
      <c r="K383" s="377"/>
      <c r="L383" s="377"/>
      <c r="M383" s="377"/>
      <c r="N383" s="377"/>
      <c r="O383" s="377"/>
      <c r="P383" s="377"/>
      <c r="Q383" s="377"/>
      <c r="R383" s="377"/>
      <c r="S383" s="377"/>
      <c r="T383" s="377"/>
      <c r="U383" s="377"/>
      <c r="V383" s="377"/>
      <c r="W383" s="377"/>
      <c r="X383" s="574"/>
      <c r="Y383" s="377"/>
      <c r="Z383" s="377"/>
      <c r="AA383" s="377"/>
      <c r="AB383" s="377"/>
      <c r="AC383" s="377"/>
      <c r="AD383" s="377"/>
      <c r="AE383" s="377"/>
      <c r="AF383" s="377"/>
      <c r="AG383" s="377"/>
      <c r="AH383" s="377"/>
      <c r="AI383" s="377"/>
      <c r="AJ383" s="377"/>
      <c r="AK383" s="377"/>
      <c r="AL383" s="574"/>
      <c r="AM383" s="377"/>
      <c r="AN383" s="377"/>
      <c r="AO383" s="377"/>
      <c r="AP383" s="377"/>
      <c r="AQ383" s="377"/>
      <c r="AR383" s="377"/>
      <c r="AS383" s="377"/>
      <c r="AT383" s="377"/>
      <c r="AU383" s="377"/>
      <c r="AV383" s="377"/>
      <c r="AW383" s="575"/>
      <c r="AX383" s="377"/>
      <c r="AY383" s="377"/>
      <c r="AZ383" s="377"/>
      <c r="BA383" s="377"/>
      <c r="BB383" s="377"/>
      <c r="BC383" s="377"/>
      <c r="BD383" s="377"/>
      <c r="BE383" s="377"/>
      <c r="BF383" s="377"/>
      <c r="BG383" s="377"/>
      <c r="BH383" s="377"/>
      <c r="BI383" s="377"/>
      <c r="BJ383" s="377"/>
      <c r="BK383" s="377"/>
      <c r="BL383" s="377"/>
      <c r="BM383" s="377"/>
      <c r="BN383" s="576"/>
      <c r="BO383" s="377"/>
      <c r="BP383" s="377"/>
      <c r="BQ383" s="377"/>
      <c r="BR383" s="377"/>
      <c r="BS383" s="377"/>
      <c r="BT383" s="377"/>
      <c r="BU383" s="377"/>
      <c r="BV383" s="377"/>
      <c r="BW383" s="377"/>
      <c r="BX383" s="377"/>
      <c r="BY383" s="377"/>
      <c r="BZ383" s="377"/>
      <c r="CA383" s="377"/>
      <c r="CB383" s="377"/>
      <c r="CC383" s="377"/>
      <c r="CD383" s="377"/>
      <c r="CE383" s="377"/>
      <c r="CF383" s="377"/>
      <c r="CG383" s="377"/>
      <c r="CH383" s="377"/>
      <c r="CI383" s="377"/>
    </row>
    <row r="384" spans="1:87" ht="15">
      <c r="A384" s="377"/>
      <c r="B384" s="377"/>
      <c r="C384" s="572"/>
      <c r="D384" s="377"/>
      <c r="E384" s="377"/>
      <c r="F384" s="377"/>
      <c r="G384" s="377"/>
      <c r="H384" s="573"/>
      <c r="I384" s="377"/>
      <c r="J384" s="377"/>
      <c r="K384" s="377"/>
      <c r="L384" s="377"/>
      <c r="M384" s="377"/>
      <c r="N384" s="377"/>
      <c r="O384" s="377"/>
      <c r="P384" s="377"/>
      <c r="Q384" s="377"/>
      <c r="R384" s="377"/>
      <c r="S384" s="377"/>
      <c r="T384" s="377"/>
      <c r="U384" s="377"/>
      <c r="V384" s="377"/>
      <c r="W384" s="377"/>
      <c r="X384" s="574"/>
      <c r="Y384" s="377"/>
      <c r="Z384" s="377"/>
      <c r="AA384" s="377"/>
      <c r="AB384" s="377"/>
      <c r="AC384" s="377"/>
      <c r="AD384" s="377"/>
      <c r="AE384" s="377"/>
      <c r="AF384" s="377"/>
      <c r="AG384" s="377"/>
      <c r="AH384" s="377"/>
      <c r="AI384" s="377"/>
      <c r="AJ384" s="377"/>
      <c r="AK384" s="377"/>
      <c r="AL384" s="574"/>
      <c r="AM384" s="377"/>
      <c r="AN384" s="377"/>
      <c r="AO384" s="377"/>
      <c r="AP384" s="377"/>
      <c r="AQ384" s="377"/>
      <c r="AR384" s="377"/>
      <c r="AS384" s="377"/>
      <c r="AT384" s="377"/>
      <c r="AU384" s="377"/>
      <c r="AV384" s="377"/>
      <c r="AW384" s="575"/>
      <c r="AX384" s="377"/>
      <c r="AY384" s="377"/>
      <c r="AZ384" s="377"/>
      <c r="BA384" s="377"/>
      <c r="BB384" s="377"/>
      <c r="BC384" s="377"/>
      <c r="BD384" s="377"/>
      <c r="BE384" s="377"/>
      <c r="BF384" s="377"/>
      <c r="BG384" s="377"/>
      <c r="BH384" s="377"/>
      <c r="BI384" s="377"/>
      <c r="BJ384" s="377"/>
      <c r="BK384" s="377"/>
      <c r="BL384" s="377"/>
      <c r="BM384" s="377"/>
      <c r="BN384" s="576"/>
      <c r="BO384" s="377"/>
      <c r="BP384" s="377"/>
      <c r="BQ384" s="377"/>
      <c r="BR384" s="377"/>
      <c r="BS384" s="377"/>
      <c r="BT384" s="377"/>
      <c r="BU384" s="377"/>
      <c r="BV384" s="377"/>
      <c r="BW384" s="377"/>
      <c r="BX384" s="377"/>
      <c r="BY384" s="377"/>
      <c r="BZ384" s="377"/>
      <c r="CA384" s="377"/>
      <c r="CB384" s="377"/>
      <c r="CC384" s="377"/>
      <c r="CD384" s="377"/>
      <c r="CE384" s="377"/>
      <c r="CF384" s="377"/>
      <c r="CG384" s="377"/>
      <c r="CH384" s="377"/>
      <c r="CI384" s="377"/>
    </row>
    <row r="385" spans="1:87" ht="15">
      <c r="A385" s="377"/>
      <c r="B385" s="377"/>
      <c r="C385" s="572"/>
      <c r="D385" s="377"/>
      <c r="E385" s="377"/>
      <c r="F385" s="377"/>
      <c r="G385" s="377"/>
      <c r="H385" s="573"/>
      <c r="I385" s="377"/>
      <c r="J385" s="377"/>
      <c r="K385" s="377"/>
      <c r="L385" s="377"/>
      <c r="M385" s="377"/>
      <c r="N385" s="377"/>
      <c r="O385" s="377"/>
      <c r="P385" s="377"/>
      <c r="Q385" s="377"/>
      <c r="R385" s="377"/>
      <c r="S385" s="377"/>
      <c r="T385" s="377"/>
      <c r="U385" s="377"/>
      <c r="V385" s="377"/>
      <c r="W385" s="377"/>
      <c r="X385" s="574"/>
      <c r="Y385" s="377"/>
      <c r="Z385" s="377"/>
      <c r="AA385" s="377"/>
      <c r="AB385" s="377"/>
      <c r="AC385" s="377"/>
      <c r="AD385" s="377"/>
      <c r="AE385" s="377"/>
      <c r="AF385" s="377"/>
      <c r="AG385" s="377"/>
      <c r="AH385" s="377"/>
      <c r="AI385" s="377"/>
      <c r="AJ385" s="377"/>
      <c r="AK385" s="377"/>
      <c r="AL385" s="574"/>
      <c r="AM385" s="377"/>
      <c r="AN385" s="377"/>
      <c r="AO385" s="377"/>
      <c r="AP385" s="377"/>
      <c r="AQ385" s="377"/>
      <c r="AR385" s="377"/>
      <c r="AS385" s="377"/>
      <c r="AT385" s="377"/>
      <c r="AU385" s="377"/>
      <c r="AV385" s="377"/>
      <c r="AW385" s="575"/>
      <c r="AX385" s="377"/>
      <c r="AY385" s="377"/>
      <c r="AZ385" s="377"/>
      <c r="BA385" s="377"/>
      <c r="BB385" s="377"/>
      <c r="BC385" s="377"/>
      <c r="BD385" s="377"/>
      <c r="BE385" s="377"/>
      <c r="BF385" s="377"/>
      <c r="BG385" s="377"/>
      <c r="BH385" s="377"/>
      <c r="BI385" s="377"/>
      <c r="BJ385" s="377"/>
      <c r="BK385" s="377"/>
      <c r="BL385" s="377"/>
      <c r="BM385" s="377"/>
      <c r="BN385" s="576"/>
      <c r="BO385" s="377"/>
      <c r="BP385" s="377"/>
      <c r="BQ385" s="377"/>
      <c r="BR385" s="377"/>
      <c r="BS385" s="377"/>
      <c r="BT385" s="377"/>
      <c r="BU385" s="377"/>
      <c r="BV385" s="377"/>
      <c r="BW385" s="377"/>
      <c r="BX385" s="377"/>
      <c r="BY385" s="377"/>
      <c r="BZ385" s="377"/>
      <c r="CA385" s="377"/>
      <c r="CB385" s="377"/>
      <c r="CC385" s="377"/>
      <c r="CD385" s="377"/>
      <c r="CE385" s="377"/>
      <c r="CF385" s="377"/>
      <c r="CG385" s="377"/>
      <c r="CH385" s="377"/>
      <c r="CI385" s="377"/>
    </row>
    <row r="386" spans="1:87" ht="15">
      <c r="A386" s="377"/>
      <c r="B386" s="377"/>
      <c r="C386" s="572"/>
      <c r="D386" s="377"/>
      <c r="E386" s="377"/>
      <c r="F386" s="377"/>
      <c r="G386" s="377"/>
      <c r="H386" s="573"/>
      <c r="I386" s="377"/>
      <c r="J386" s="377"/>
      <c r="K386" s="377"/>
      <c r="L386" s="377"/>
      <c r="M386" s="377"/>
      <c r="N386" s="377"/>
      <c r="O386" s="377"/>
      <c r="P386" s="377"/>
      <c r="Q386" s="377"/>
      <c r="R386" s="377"/>
      <c r="S386" s="377"/>
      <c r="T386" s="377"/>
      <c r="U386" s="377"/>
      <c r="V386" s="377"/>
      <c r="W386" s="377"/>
      <c r="X386" s="574"/>
      <c r="Y386" s="377"/>
      <c r="Z386" s="377"/>
      <c r="AA386" s="377"/>
      <c r="AB386" s="377"/>
      <c r="AC386" s="377"/>
      <c r="AD386" s="377"/>
      <c r="AE386" s="377"/>
      <c r="AF386" s="377"/>
      <c r="AG386" s="377"/>
      <c r="AH386" s="377"/>
      <c r="AI386" s="377"/>
      <c r="AJ386" s="377"/>
      <c r="AK386" s="377"/>
      <c r="AL386" s="574"/>
      <c r="AM386" s="377"/>
      <c r="AN386" s="377"/>
      <c r="AO386" s="377"/>
      <c r="AP386" s="377"/>
      <c r="AQ386" s="377"/>
      <c r="AR386" s="377"/>
      <c r="AS386" s="377"/>
      <c r="AT386" s="377"/>
      <c r="AU386" s="377"/>
      <c r="AV386" s="377"/>
      <c r="AW386" s="575"/>
      <c r="AX386" s="377"/>
      <c r="AY386" s="377"/>
      <c r="AZ386" s="377"/>
      <c r="BA386" s="377"/>
      <c r="BB386" s="377"/>
      <c r="BC386" s="377"/>
      <c r="BD386" s="377"/>
      <c r="BE386" s="377"/>
      <c r="BF386" s="377"/>
      <c r="BG386" s="377"/>
      <c r="BH386" s="377"/>
      <c r="BI386" s="377"/>
      <c r="BJ386" s="377"/>
      <c r="BK386" s="377"/>
      <c r="BL386" s="377"/>
      <c r="BM386" s="377"/>
      <c r="BN386" s="576"/>
      <c r="BO386" s="377"/>
      <c r="BP386" s="377"/>
      <c r="BQ386" s="377"/>
      <c r="BR386" s="377"/>
      <c r="BS386" s="377"/>
      <c r="BT386" s="377"/>
      <c r="BU386" s="377"/>
      <c r="BV386" s="377"/>
      <c r="BW386" s="377"/>
      <c r="BX386" s="377"/>
      <c r="BY386" s="377"/>
      <c r="BZ386" s="377"/>
      <c r="CA386" s="377"/>
      <c r="CB386" s="377"/>
      <c r="CC386" s="377"/>
      <c r="CD386" s="377"/>
      <c r="CE386" s="377"/>
      <c r="CF386" s="377"/>
      <c r="CG386" s="377"/>
      <c r="CH386" s="377"/>
      <c r="CI386" s="377"/>
    </row>
    <row r="387" spans="1:87" ht="15">
      <c r="A387" s="377"/>
      <c r="B387" s="377"/>
      <c r="C387" s="572"/>
      <c r="D387" s="377"/>
      <c r="E387" s="377"/>
      <c r="F387" s="377"/>
      <c r="G387" s="377"/>
      <c r="H387" s="573"/>
      <c r="I387" s="377"/>
      <c r="J387" s="377"/>
      <c r="K387" s="377"/>
      <c r="L387" s="377"/>
      <c r="M387" s="377"/>
      <c r="N387" s="377"/>
      <c r="O387" s="377"/>
      <c r="P387" s="377"/>
      <c r="Q387" s="377"/>
      <c r="R387" s="377"/>
      <c r="S387" s="377"/>
      <c r="T387" s="377"/>
      <c r="U387" s="377"/>
      <c r="V387" s="377"/>
      <c r="W387" s="377"/>
      <c r="X387" s="574"/>
      <c r="Y387" s="377"/>
      <c r="Z387" s="377"/>
      <c r="AA387" s="377"/>
      <c r="AB387" s="377"/>
      <c r="AC387" s="377"/>
      <c r="AD387" s="377"/>
      <c r="AE387" s="377"/>
      <c r="AF387" s="377"/>
      <c r="AG387" s="377"/>
      <c r="AH387" s="377"/>
      <c r="AI387" s="377"/>
      <c r="AJ387" s="377"/>
      <c r="AK387" s="377"/>
      <c r="AL387" s="574"/>
      <c r="AM387" s="377"/>
      <c r="AN387" s="377"/>
      <c r="AO387" s="377"/>
      <c r="AP387" s="377"/>
      <c r="AQ387" s="377"/>
      <c r="AR387" s="377"/>
      <c r="AS387" s="377"/>
      <c r="AT387" s="377"/>
      <c r="AU387" s="377"/>
      <c r="AV387" s="377"/>
      <c r="AW387" s="575"/>
      <c r="AX387" s="377"/>
      <c r="AY387" s="377"/>
      <c r="AZ387" s="377"/>
      <c r="BA387" s="377"/>
      <c r="BB387" s="377"/>
      <c r="BC387" s="377"/>
      <c r="BD387" s="377"/>
      <c r="BE387" s="377"/>
      <c r="BF387" s="377"/>
      <c r="BG387" s="377"/>
      <c r="BH387" s="377"/>
      <c r="BI387" s="377"/>
      <c r="BJ387" s="377"/>
      <c r="BK387" s="377"/>
      <c r="BL387" s="377"/>
      <c r="BM387" s="377"/>
      <c r="BN387" s="576"/>
      <c r="BO387" s="377"/>
      <c r="BP387" s="377"/>
      <c r="BQ387" s="377"/>
      <c r="BR387" s="377"/>
      <c r="BS387" s="377"/>
      <c r="BT387" s="377"/>
      <c r="BU387" s="377"/>
      <c r="BV387" s="377"/>
      <c r="BW387" s="377"/>
      <c r="BX387" s="377"/>
      <c r="BY387" s="377"/>
      <c r="BZ387" s="377"/>
      <c r="CA387" s="377"/>
      <c r="CB387" s="377"/>
      <c r="CC387" s="377"/>
      <c r="CD387" s="377"/>
      <c r="CE387" s="377"/>
      <c r="CF387" s="377"/>
      <c r="CG387" s="377"/>
      <c r="CH387" s="377"/>
      <c r="CI387" s="377"/>
    </row>
    <row r="388" spans="1:87" ht="15">
      <c r="A388" s="377"/>
      <c r="B388" s="377"/>
      <c r="C388" s="572"/>
      <c r="D388" s="377"/>
      <c r="E388" s="377"/>
      <c r="F388" s="377"/>
      <c r="G388" s="377"/>
      <c r="H388" s="573"/>
      <c r="I388" s="377"/>
      <c r="J388" s="377"/>
      <c r="K388" s="377"/>
      <c r="L388" s="377"/>
      <c r="M388" s="377"/>
      <c r="N388" s="377"/>
      <c r="O388" s="377"/>
      <c r="P388" s="377"/>
      <c r="Q388" s="377"/>
      <c r="R388" s="377"/>
      <c r="S388" s="377"/>
      <c r="T388" s="377"/>
      <c r="U388" s="377"/>
      <c r="V388" s="377"/>
      <c r="W388" s="377"/>
      <c r="X388" s="574"/>
      <c r="Y388" s="377"/>
      <c r="Z388" s="377"/>
      <c r="AA388" s="377"/>
      <c r="AB388" s="377"/>
      <c r="AC388" s="377"/>
      <c r="AD388" s="377"/>
      <c r="AE388" s="377"/>
      <c r="AF388" s="377"/>
      <c r="AG388" s="377"/>
      <c r="AH388" s="377"/>
      <c r="AI388" s="377"/>
      <c r="AJ388" s="377"/>
      <c r="AK388" s="377"/>
      <c r="AL388" s="574"/>
      <c r="AM388" s="377"/>
      <c r="AN388" s="377"/>
      <c r="AO388" s="377"/>
      <c r="AP388" s="377"/>
      <c r="AQ388" s="377"/>
      <c r="AR388" s="377"/>
      <c r="AS388" s="377"/>
      <c r="AT388" s="377"/>
      <c r="AU388" s="377"/>
      <c r="AV388" s="377"/>
      <c r="AW388" s="575"/>
      <c r="AX388" s="377"/>
      <c r="AY388" s="377"/>
      <c r="AZ388" s="377"/>
      <c r="BA388" s="377"/>
      <c r="BB388" s="377"/>
      <c r="BC388" s="377"/>
      <c r="BD388" s="377"/>
      <c r="BE388" s="377"/>
      <c r="BF388" s="377"/>
      <c r="BG388" s="377"/>
      <c r="BH388" s="377"/>
      <c r="BI388" s="377"/>
      <c r="BJ388" s="377"/>
      <c r="BK388" s="377"/>
      <c r="BL388" s="377"/>
      <c r="BM388" s="377"/>
      <c r="BN388" s="576"/>
      <c r="BO388" s="377"/>
      <c r="BP388" s="377"/>
      <c r="BQ388" s="377"/>
      <c r="BR388" s="377"/>
      <c r="BS388" s="377"/>
      <c r="BT388" s="377"/>
      <c r="BU388" s="377"/>
      <c r="BV388" s="377"/>
      <c r="BW388" s="377"/>
      <c r="BX388" s="377"/>
      <c r="BY388" s="377"/>
      <c r="BZ388" s="377"/>
      <c r="CA388" s="377"/>
      <c r="CB388" s="377"/>
      <c r="CC388" s="377"/>
      <c r="CD388" s="377"/>
      <c r="CE388" s="377"/>
      <c r="CF388" s="377"/>
      <c r="CG388" s="377"/>
      <c r="CH388" s="377"/>
      <c r="CI388" s="377"/>
    </row>
    <row r="389" spans="1:87" ht="15">
      <c r="A389" s="377"/>
      <c r="B389" s="377"/>
      <c r="C389" s="572"/>
      <c r="D389" s="377"/>
      <c r="E389" s="377"/>
      <c r="F389" s="377"/>
      <c r="G389" s="377"/>
      <c r="H389" s="573"/>
      <c r="I389" s="377"/>
      <c r="J389" s="377"/>
      <c r="K389" s="377"/>
      <c r="L389" s="377"/>
      <c r="M389" s="377"/>
      <c r="N389" s="377"/>
      <c r="O389" s="377"/>
      <c r="P389" s="377"/>
      <c r="Q389" s="377"/>
      <c r="R389" s="377"/>
      <c r="S389" s="377"/>
      <c r="T389" s="377"/>
      <c r="U389" s="377"/>
      <c r="V389" s="377"/>
      <c r="W389" s="377"/>
      <c r="X389" s="574"/>
      <c r="Y389" s="377"/>
      <c r="Z389" s="377"/>
      <c r="AA389" s="377"/>
      <c r="AB389" s="377"/>
      <c r="AC389" s="377"/>
      <c r="AD389" s="377"/>
      <c r="AE389" s="377"/>
      <c r="AF389" s="377"/>
      <c r="AG389" s="377"/>
      <c r="AH389" s="377"/>
      <c r="AI389" s="377"/>
      <c r="AJ389" s="377"/>
      <c r="AK389" s="377"/>
      <c r="AL389" s="574"/>
      <c r="AM389" s="377"/>
      <c r="AN389" s="377"/>
      <c r="AO389" s="377"/>
      <c r="AP389" s="377"/>
      <c r="AQ389" s="377"/>
      <c r="AR389" s="377"/>
      <c r="AS389" s="377"/>
      <c r="AT389" s="377"/>
      <c r="AU389" s="377"/>
      <c r="AV389" s="377"/>
      <c r="AW389" s="575"/>
      <c r="AX389" s="377"/>
      <c r="AY389" s="377"/>
      <c r="AZ389" s="377"/>
      <c r="BA389" s="377"/>
      <c r="BB389" s="377"/>
      <c r="BC389" s="377"/>
      <c r="BD389" s="377"/>
      <c r="BE389" s="377"/>
      <c r="BF389" s="377"/>
      <c r="BG389" s="377"/>
      <c r="BH389" s="377"/>
      <c r="BI389" s="377"/>
      <c r="BJ389" s="377"/>
      <c r="BK389" s="377"/>
      <c r="BL389" s="377"/>
      <c r="BM389" s="377"/>
      <c r="BN389" s="576"/>
      <c r="BO389" s="377"/>
      <c r="BP389" s="377"/>
      <c r="BQ389" s="377"/>
      <c r="BR389" s="377"/>
      <c r="BS389" s="377"/>
      <c r="BT389" s="377"/>
      <c r="BU389" s="377"/>
      <c r="BV389" s="377"/>
      <c r="BW389" s="377"/>
      <c r="BX389" s="377"/>
      <c r="BY389" s="377"/>
      <c r="BZ389" s="377"/>
      <c r="CA389" s="377"/>
      <c r="CB389" s="377"/>
      <c r="CC389" s="377"/>
      <c r="CD389" s="377"/>
      <c r="CE389" s="377"/>
      <c r="CF389" s="377"/>
      <c r="CG389" s="377"/>
      <c r="CH389" s="377"/>
      <c r="CI389" s="377"/>
    </row>
    <row r="390" spans="1:87" ht="15">
      <c r="A390" s="377"/>
      <c r="B390" s="377"/>
      <c r="C390" s="572"/>
      <c r="D390" s="377"/>
      <c r="E390" s="377"/>
      <c r="F390" s="377"/>
      <c r="G390" s="377"/>
      <c r="H390" s="573"/>
      <c r="I390" s="377"/>
      <c r="J390" s="377"/>
      <c r="K390" s="377"/>
      <c r="L390" s="377"/>
      <c r="M390" s="377"/>
      <c r="N390" s="377"/>
      <c r="O390" s="377"/>
      <c r="P390" s="377"/>
      <c r="Q390" s="377"/>
      <c r="R390" s="377"/>
      <c r="S390" s="377"/>
      <c r="T390" s="377"/>
      <c r="U390" s="377"/>
      <c r="V390" s="377"/>
      <c r="W390" s="377"/>
      <c r="X390" s="574"/>
      <c r="Y390" s="377"/>
      <c r="Z390" s="377"/>
      <c r="AA390" s="377"/>
      <c r="AB390" s="377"/>
      <c r="AC390" s="377"/>
      <c r="AD390" s="377"/>
      <c r="AE390" s="377"/>
      <c r="AF390" s="377"/>
      <c r="AG390" s="377"/>
      <c r="AH390" s="377"/>
      <c r="AI390" s="377"/>
      <c r="AJ390" s="377"/>
      <c r="AK390" s="377"/>
      <c r="AL390" s="574"/>
      <c r="AM390" s="377"/>
      <c r="AN390" s="377"/>
      <c r="AO390" s="377"/>
      <c r="AP390" s="377"/>
      <c r="AQ390" s="377"/>
      <c r="AR390" s="377"/>
      <c r="AS390" s="377"/>
      <c r="AT390" s="377"/>
      <c r="AU390" s="377"/>
      <c r="AV390" s="377"/>
      <c r="AW390" s="575"/>
      <c r="AX390" s="377"/>
      <c r="AY390" s="377"/>
      <c r="AZ390" s="377"/>
      <c r="BA390" s="377"/>
      <c r="BB390" s="377"/>
      <c r="BC390" s="377"/>
      <c r="BD390" s="377"/>
      <c r="BE390" s="377"/>
      <c r="BF390" s="377"/>
      <c r="BG390" s="377"/>
      <c r="BH390" s="377"/>
      <c r="BI390" s="377"/>
      <c r="BJ390" s="377"/>
      <c r="BK390" s="377"/>
      <c r="BL390" s="377"/>
      <c r="BM390" s="377"/>
      <c r="BN390" s="576"/>
      <c r="BO390" s="377"/>
      <c r="BP390" s="377"/>
      <c r="BQ390" s="377"/>
      <c r="BR390" s="377"/>
      <c r="BS390" s="377"/>
      <c r="BT390" s="377"/>
      <c r="BU390" s="377"/>
      <c r="BV390" s="377"/>
      <c r="BW390" s="377"/>
      <c r="BX390" s="377"/>
      <c r="BY390" s="377"/>
      <c r="BZ390" s="377"/>
      <c r="CA390" s="377"/>
      <c r="CB390" s="377"/>
      <c r="CC390" s="377"/>
      <c r="CD390" s="377"/>
      <c r="CE390" s="377"/>
      <c r="CF390" s="377"/>
      <c r="CG390" s="377"/>
      <c r="CH390" s="377"/>
      <c r="CI390" s="377"/>
    </row>
    <row r="391" spans="1:87" ht="15">
      <c r="A391" s="377"/>
      <c r="B391" s="377"/>
      <c r="C391" s="572"/>
      <c r="D391" s="377"/>
      <c r="E391" s="377"/>
      <c r="F391" s="377"/>
      <c r="G391" s="377"/>
      <c r="H391" s="573"/>
      <c r="I391" s="377"/>
      <c r="J391" s="377"/>
      <c r="K391" s="377"/>
      <c r="L391" s="377"/>
      <c r="M391" s="377"/>
      <c r="N391" s="377"/>
      <c r="O391" s="377"/>
      <c r="P391" s="377"/>
      <c r="Q391" s="377"/>
      <c r="R391" s="377"/>
      <c r="S391" s="377"/>
      <c r="T391" s="377"/>
      <c r="U391" s="377"/>
      <c r="V391" s="377"/>
      <c r="W391" s="377"/>
      <c r="X391" s="574"/>
      <c r="Y391" s="377"/>
      <c r="Z391" s="377"/>
      <c r="AA391" s="377"/>
      <c r="AB391" s="377"/>
      <c r="AC391" s="377"/>
      <c r="AD391" s="377"/>
      <c r="AE391" s="377"/>
      <c r="AF391" s="377"/>
      <c r="AG391" s="377"/>
      <c r="AH391" s="377"/>
      <c r="AI391" s="377"/>
      <c r="AJ391" s="377"/>
      <c r="AK391" s="377"/>
      <c r="AL391" s="574"/>
      <c r="AM391" s="377"/>
      <c r="AN391" s="377"/>
      <c r="AO391" s="377"/>
      <c r="AP391" s="377"/>
      <c r="AQ391" s="377"/>
      <c r="AR391" s="377"/>
      <c r="AS391" s="377"/>
      <c r="AT391" s="377"/>
      <c r="AU391" s="377"/>
      <c r="AV391" s="377"/>
      <c r="AW391" s="575"/>
      <c r="AX391" s="377"/>
      <c r="AY391" s="377"/>
      <c r="AZ391" s="377"/>
      <c r="BA391" s="377"/>
      <c r="BB391" s="377"/>
      <c r="BC391" s="377"/>
      <c r="BD391" s="377"/>
      <c r="BE391" s="377"/>
      <c r="BF391" s="377"/>
      <c r="BG391" s="377"/>
      <c r="BH391" s="377"/>
      <c r="BI391" s="377"/>
      <c r="BJ391" s="377"/>
      <c r="BK391" s="377"/>
      <c r="BL391" s="377"/>
      <c r="BM391" s="377"/>
      <c r="BN391" s="576"/>
      <c r="BO391" s="377"/>
      <c r="BP391" s="377"/>
      <c r="BQ391" s="377"/>
      <c r="BR391" s="377"/>
      <c r="BS391" s="377"/>
      <c r="BT391" s="377"/>
      <c r="BU391" s="377"/>
      <c r="BV391" s="377"/>
      <c r="BW391" s="377"/>
      <c r="BX391" s="377"/>
      <c r="BY391" s="377"/>
      <c r="BZ391" s="377"/>
      <c r="CA391" s="377"/>
      <c r="CB391" s="377"/>
      <c r="CC391" s="377"/>
      <c r="CD391" s="377"/>
      <c r="CE391" s="377"/>
      <c r="CF391" s="377"/>
      <c r="CG391" s="377"/>
      <c r="CH391" s="377"/>
      <c r="CI391" s="377"/>
    </row>
    <row r="392" spans="1:87" ht="15">
      <c r="A392" s="377"/>
      <c r="B392" s="377"/>
      <c r="C392" s="572"/>
      <c r="D392" s="377"/>
      <c r="E392" s="377"/>
      <c r="F392" s="377"/>
      <c r="G392" s="377"/>
      <c r="H392" s="573"/>
      <c r="I392" s="377"/>
      <c r="J392" s="377"/>
      <c r="K392" s="377"/>
      <c r="L392" s="377"/>
      <c r="M392" s="377"/>
      <c r="N392" s="377"/>
      <c r="O392" s="377"/>
      <c r="P392" s="377"/>
      <c r="Q392" s="377"/>
      <c r="R392" s="377"/>
      <c r="S392" s="377"/>
      <c r="T392" s="377"/>
      <c r="U392" s="377"/>
      <c r="V392" s="377"/>
      <c r="W392" s="377"/>
      <c r="X392" s="574"/>
      <c r="Y392" s="377"/>
      <c r="Z392" s="377"/>
      <c r="AA392" s="377"/>
      <c r="AB392" s="377"/>
      <c r="AC392" s="377"/>
      <c r="AD392" s="377"/>
      <c r="AE392" s="377"/>
      <c r="AF392" s="377"/>
      <c r="AG392" s="377"/>
      <c r="AH392" s="377"/>
      <c r="AI392" s="377"/>
      <c r="AJ392" s="377"/>
      <c r="AK392" s="377"/>
      <c r="AL392" s="574"/>
      <c r="AM392" s="377"/>
      <c r="AN392" s="377"/>
      <c r="AO392" s="377"/>
      <c r="AP392" s="377"/>
      <c r="AQ392" s="377"/>
      <c r="AR392" s="377"/>
      <c r="AS392" s="377"/>
      <c r="AT392" s="377"/>
      <c r="AU392" s="377"/>
      <c r="AV392" s="377"/>
      <c r="AW392" s="575"/>
      <c r="AX392" s="377"/>
      <c r="AY392" s="377"/>
      <c r="AZ392" s="377"/>
      <c r="BA392" s="377"/>
      <c r="BB392" s="377"/>
      <c r="BC392" s="377"/>
      <c r="BD392" s="377"/>
      <c r="BE392" s="377"/>
      <c r="BF392" s="377"/>
      <c r="BG392" s="377"/>
      <c r="BH392" s="377"/>
      <c r="BI392" s="377"/>
      <c r="BJ392" s="377"/>
      <c r="BK392" s="377"/>
      <c r="BL392" s="377"/>
      <c r="BM392" s="377"/>
      <c r="BN392" s="576"/>
      <c r="BO392" s="377"/>
      <c r="BP392" s="377"/>
      <c r="BQ392" s="377"/>
      <c r="BR392" s="377"/>
      <c r="BS392" s="377"/>
      <c r="BT392" s="377"/>
      <c r="BU392" s="377"/>
      <c r="BV392" s="377"/>
      <c r="BW392" s="377"/>
      <c r="BX392" s="377"/>
      <c r="BY392" s="377"/>
      <c r="BZ392" s="377"/>
      <c r="CA392" s="377"/>
      <c r="CB392" s="377"/>
      <c r="CC392" s="377"/>
      <c r="CD392" s="377"/>
      <c r="CE392" s="377"/>
      <c r="CF392" s="377"/>
      <c r="CG392" s="377"/>
      <c r="CH392" s="377"/>
      <c r="CI392" s="377"/>
    </row>
    <row r="393" spans="1:87" ht="15">
      <c r="A393" s="377"/>
      <c r="B393" s="377"/>
      <c r="C393" s="572"/>
      <c r="D393" s="377"/>
      <c r="E393" s="377"/>
      <c r="F393" s="377"/>
      <c r="G393" s="377"/>
      <c r="H393" s="573"/>
      <c r="I393" s="377"/>
      <c r="J393" s="377"/>
      <c r="K393" s="377"/>
      <c r="L393" s="377"/>
      <c r="M393" s="377"/>
      <c r="N393" s="377"/>
      <c r="O393" s="377"/>
      <c r="P393" s="377"/>
      <c r="Q393" s="377"/>
      <c r="R393" s="377"/>
      <c r="S393" s="377"/>
      <c r="T393" s="377"/>
      <c r="U393" s="377"/>
      <c r="V393" s="377"/>
      <c r="W393" s="377"/>
      <c r="X393" s="574"/>
      <c r="Y393" s="377"/>
      <c r="Z393" s="377"/>
      <c r="AA393" s="377"/>
      <c r="AB393" s="377"/>
      <c r="AC393" s="377"/>
      <c r="AD393" s="377"/>
      <c r="AE393" s="377"/>
      <c r="AF393" s="377"/>
      <c r="AG393" s="377"/>
      <c r="AH393" s="377"/>
      <c r="AI393" s="377"/>
      <c r="AJ393" s="377"/>
      <c r="AK393" s="377"/>
      <c r="AL393" s="574"/>
      <c r="AM393" s="377"/>
      <c r="AN393" s="377"/>
      <c r="AO393" s="377"/>
      <c r="AP393" s="377"/>
      <c r="AQ393" s="377"/>
      <c r="AR393" s="377"/>
      <c r="AS393" s="377"/>
      <c r="AT393" s="377"/>
      <c r="AU393" s="377"/>
      <c r="AV393" s="377"/>
      <c r="AW393" s="575"/>
      <c r="AX393" s="377"/>
      <c r="AY393" s="377"/>
      <c r="AZ393" s="377"/>
      <c r="BA393" s="377"/>
      <c r="BB393" s="377"/>
      <c r="BC393" s="377"/>
      <c r="BD393" s="377"/>
      <c r="BE393" s="377"/>
      <c r="BF393" s="377"/>
      <c r="BG393" s="377"/>
      <c r="BH393" s="377"/>
      <c r="BI393" s="377"/>
      <c r="BJ393" s="377"/>
      <c r="BK393" s="377"/>
      <c r="BL393" s="377"/>
      <c r="BM393" s="377"/>
      <c r="BN393" s="576"/>
      <c r="BO393" s="377"/>
      <c r="BP393" s="377"/>
      <c r="BQ393" s="377"/>
      <c r="BR393" s="377"/>
      <c r="BS393" s="377"/>
      <c r="BT393" s="377"/>
      <c r="BU393" s="377"/>
      <c r="BV393" s="377"/>
      <c r="BW393" s="377"/>
      <c r="BX393" s="377"/>
      <c r="BY393" s="377"/>
      <c r="BZ393" s="377"/>
      <c r="CA393" s="377"/>
      <c r="CB393" s="377"/>
      <c r="CC393" s="377"/>
      <c r="CD393" s="377"/>
      <c r="CE393" s="377"/>
      <c r="CF393" s="377"/>
      <c r="CG393" s="377"/>
      <c r="CH393" s="377"/>
      <c r="CI393" s="377"/>
    </row>
    <row r="394" spans="1:87" ht="15">
      <c r="A394" s="377"/>
      <c r="B394" s="377"/>
      <c r="C394" s="572"/>
      <c r="D394" s="377"/>
      <c r="E394" s="377"/>
      <c r="F394" s="377"/>
      <c r="G394" s="377"/>
      <c r="H394" s="573"/>
      <c r="I394" s="377"/>
      <c r="J394" s="377"/>
      <c r="K394" s="377"/>
      <c r="L394" s="377"/>
      <c r="M394" s="377"/>
      <c r="N394" s="377"/>
      <c r="O394" s="377"/>
      <c r="P394" s="377"/>
      <c r="Q394" s="377"/>
      <c r="R394" s="377"/>
      <c r="S394" s="377"/>
      <c r="T394" s="377"/>
      <c r="U394" s="377"/>
      <c r="V394" s="377"/>
      <c r="W394" s="377"/>
      <c r="X394" s="574"/>
      <c r="Y394" s="377"/>
      <c r="Z394" s="377"/>
      <c r="AA394" s="377"/>
      <c r="AB394" s="377"/>
      <c r="AC394" s="377"/>
      <c r="AD394" s="377"/>
      <c r="AE394" s="377"/>
      <c r="AF394" s="377"/>
      <c r="AG394" s="377"/>
      <c r="AH394" s="377"/>
      <c r="AI394" s="377"/>
      <c r="AJ394" s="377"/>
      <c r="AK394" s="377"/>
      <c r="AL394" s="574"/>
      <c r="AM394" s="377"/>
      <c r="AN394" s="377"/>
      <c r="AO394" s="377"/>
      <c r="AP394" s="377"/>
      <c r="AQ394" s="377"/>
      <c r="AR394" s="377"/>
      <c r="AS394" s="377"/>
      <c r="AT394" s="377"/>
      <c r="AU394" s="377"/>
      <c r="AV394" s="377"/>
      <c r="AW394" s="575"/>
      <c r="AX394" s="377"/>
      <c r="AY394" s="377"/>
      <c r="AZ394" s="377"/>
      <c r="BA394" s="377"/>
      <c r="BB394" s="377"/>
      <c r="BC394" s="377"/>
      <c r="BD394" s="377"/>
      <c r="BE394" s="377"/>
      <c r="BF394" s="377"/>
      <c r="BG394" s="377"/>
      <c r="BH394" s="377"/>
      <c r="BI394" s="377"/>
      <c r="BJ394" s="377"/>
      <c r="BK394" s="377"/>
      <c r="BL394" s="377"/>
      <c r="BM394" s="377"/>
      <c r="BN394" s="576"/>
      <c r="BO394" s="377"/>
      <c r="BP394" s="377"/>
      <c r="BQ394" s="377"/>
      <c r="BR394" s="377"/>
      <c r="BS394" s="377"/>
      <c r="BT394" s="377"/>
      <c r="BU394" s="377"/>
      <c r="BV394" s="377"/>
      <c r="BW394" s="377"/>
      <c r="BX394" s="377"/>
      <c r="BY394" s="377"/>
      <c r="BZ394" s="377"/>
      <c r="CA394" s="377"/>
      <c r="CB394" s="377"/>
      <c r="CC394" s="377"/>
      <c r="CD394" s="377"/>
      <c r="CE394" s="377"/>
      <c r="CF394" s="377"/>
      <c r="CG394" s="377"/>
      <c r="CH394" s="377"/>
      <c r="CI394" s="377"/>
    </row>
    <row r="395" spans="1:87" ht="15">
      <c r="A395" s="377"/>
      <c r="B395" s="377"/>
      <c r="C395" s="572"/>
      <c r="D395" s="377"/>
      <c r="E395" s="377"/>
      <c r="F395" s="377"/>
      <c r="G395" s="377"/>
      <c r="H395" s="573"/>
      <c r="I395" s="377"/>
      <c r="J395" s="377"/>
      <c r="K395" s="377"/>
      <c r="L395" s="377"/>
      <c r="M395" s="377"/>
      <c r="N395" s="377"/>
      <c r="O395" s="377"/>
      <c r="P395" s="377"/>
      <c r="Q395" s="377"/>
      <c r="R395" s="377"/>
      <c r="S395" s="377"/>
      <c r="T395" s="377"/>
      <c r="U395" s="377"/>
      <c r="V395" s="377"/>
      <c r="W395" s="377"/>
      <c r="X395" s="574"/>
      <c r="Y395" s="377"/>
      <c r="Z395" s="377"/>
      <c r="AA395" s="377"/>
      <c r="AB395" s="377"/>
      <c r="AC395" s="377"/>
      <c r="AD395" s="377"/>
      <c r="AE395" s="377"/>
      <c r="AF395" s="377"/>
      <c r="AG395" s="377"/>
      <c r="AH395" s="377"/>
      <c r="AI395" s="377"/>
      <c r="AJ395" s="377"/>
      <c r="AK395" s="377"/>
      <c r="AL395" s="574"/>
      <c r="AM395" s="377"/>
      <c r="AN395" s="377"/>
      <c r="AO395" s="377"/>
      <c r="AP395" s="377"/>
      <c r="AQ395" s="377"/>
      <c r="AR395" s="377"/>
      <c r="AS395" s="377"/>
      <c r="AT395" s="377"/>
      <c r="AU395" s="377"/>
      <c r="AV395" s="377"/>
      <c r="AW395" s="575"/>
      <c r="AX395" s="377"/>
      <c r="AY395" s="377"/>
      <c r="AZ395" s="377"/>
      <c r="BA395" s="377"/>
      <c r="BB395" s="377"/>
      <c r="BC395" s="377"/>
      <c r="BD395" s="377"/>
      <c r="BE395" s="377"/>
      <c r="BF395" s="377"/>
      <c r="BG395" s="377"/>
      <c r="BH395" s="377"/>
      <c r="BI395" s="377"/>
      <c r="BJ395" s="377"/>
      <c r="BK395" s="377"/>
      <c r="BL395" s="377"/>
      <c r="BM395" s="377"/>
      <c r="BN395" s="576"/>
      <c r="BO395" s="377"/>
      <c r="BP395" s="377"/>
      <c r="BQ395" s="377"/>
      <c r="BR395" s="377"/>
      <c r="BS395" s="377"/>
      <c r="BT395" s="377"/>
      <c r="BU395" s="377"/>
      <c r="BV395" s="377"/>
      <c r="BW395" s="377"/>
      <c r="BX395" s="377"/>
      <c r="BY395" s="377"/>
      <c r="BZ395" s="377"/>
      <c r="CA395" s="377"/>
      <c r="CB395" s="377"/>
      <c r="CC395" s="377"/>
      <c r="CD395" s="377"/>
      <c r="CE395" s="377"/>
      <c r="CF395" s="377"/>
      <c r="CG395" s="377"/>
      <c r="CH395" s="377"/>
      <c r="CI395" s="377"/>
    </row>
    <row r="396" spans="1:87" ht="15">
      <c r="A396" s="377"/>
      <c r="B396" s="377"/>
      <c r="C396" s="572"/>
      <c r="D396" s="377"/>
      <c r="E396" s="377"/>
      <c r="F396" s="377"/>
      <c r="G396" s="377"/>
      <c r="H396" s="573"/>
      <c r="I396" s="377"/>
      <c r="J396" s="377"/>
      <c r="K396" s="377"/>
      <c r="L396" s="377"/>
      <c r="M396" s="377"/>
      <c r="N396" s="377"/>
      <c r="O396" s="377"/>
      <c r="P396" s="377"/>
      <c r="Q396" s="377"/>
      <c r="R396" s="377"/>
      <c r="S396" s="377"/>
      <c r="T396" s="377"/>
      <c r="U396" s="377"/>
      <c r="V396" s="377"/>
      <c r="W396" s="377"/>
      <c r="X396" s="574"/>
      <c r="Y396" s="377"/>
      <c r="Z396" s="377"/>
      <c r="AA396" s="377"/>
      <c r="AB396" s="377"/>
      <c r="AC396" s="377"/>
      <c r="AD396" s="377"/>
      <c r="AE396" s="377"/>
      <c r="AF396" s="377"/>
      <c r="AG396" s="377"/>
      <c r="AH396" s="377"/>
      <c r="AI396" s="377"/>
      <c r="AJ396" s="377"/>
      <c r="AK396" s="377"/>
      <c r="AL396" s="574"/>
      <c r="AM396" s="377"/>
      <c r="AN396" s="377"/>
      <c r="AO396" s="377"/>
      <c r="AP396" s="377"/>
      <c r="AQ396" s="377"/>
      <c r="AR396" s="377"/>
      <c r="AS396" s="377"/>
      <c r="AT396" s="377"/>
      <c r="AU396" s="377"/>
      <c r="AV396" s="377"/>
      <c r="AW396" s="575"/>
      <c r="AX396" s="377"/>
      <c r="AY396" s="377"/>
      <c r="AZ396" s="377"/>
      <c r="BA396" s="377"/>
      <c r="BB396" s="377"/>
      <c r="BC396" s="377"/>
      <c r="BD396" s="377"/>
      <c r="BE396" s="377"/>
      <c r="BF396" s="377"/>
      <c r="BG396" s="377"/>
      <c r="BH396" s="377"/>
      <c r="BI396" s="377"/>
      <c r="BJ396" s="377"/>
      <c r="BK396" s="377"/>
      <c r="BL396" s="377"/>
      <c r="BM396" s="377"/>
      <c r="BN396" s="576"/>
      <c r="BO396" s="377"/>
      <c r="BP396" s="377"/>
      <c r="BQ396" s="377"/>
      <c r="BR396" s="377"/>
      <c r="BS396" s="377"/>
      <c r="BT396" s="377"/>
      <c r="BU396" s="377"/>
      <c r="BV396" s="377"/>
      <c r="BW396" s="377"/>
      <c r="BX396" s="377"/>
      <c r="BY396" s="377"/>
      <c r="BZ396" s="377"/>
      <c r="CA396" s="377"/>
      <c r="CB396" s="377"/>
      <c r="CC396" s="377"/>
      <c r="CD396" s="377"/>
      <c r="CE396" s="377"/>
      <c r="CF396" s="377"/>
      <c r="CG396" s="377"/>
      <c r="CH396" s="377"/>
      <c r="CI396" s="377"/>
    </row>
    <row r="397" spans="1:87" ht="15">
      <c r="A397" s="377"/>
      <c r="B397" s="377"/>
      <c r="C397" s="572"/>
      <c r="D397" s="377"/>
      <c r="E397" s="377"/>
      <c r="F397" s="377"/>
      <c r="G397" s="377"/>
      <c r="H397" s="573"/>
      <c r="I397" s="377"/>
      <c r="J397" s="377"/>
      <c r="K397" s="377"/>
      <c r="L397" s="377"/>
      <c r="M397" s="377"/>
      <c r="N397" s="377"/>
      <c r="O397" s="377"/>
      <c r="P397" s="377"/>
      <c r="Q397" s="377"/>
      <c r="R397" s="377"/>
      <c r="S397" s="377"/>
      <c r="T397" s="377"/>
      <c r="U397" s="377"/>
      <c r="V397" s="377"/>
      <c r="W397" s="377"/>
      <c r="X397" s="574"/>
      <c r="Y397" s="377"/>
      <c r="Z397" s="377"/>
      <c r="AA397" s="377"/>
      <c r="AB397" s="377"/>
      <c r="AC397" s="377"/>
      <c r="AD397" s="377"/>
      <c r="AE397" s="377"/>
      <c r="AF397" s="377"/>
      <c r="AG397" s="377"/>
      <c r="AH397" s="377"/>
      <c r="AI397" s="377"/>
      <c r="AJ397" s="377"/>
      <c r="AK397" s="377"/>
      <c r="AL397" s="574"/>
      <c r="AM397" s="377"/>
      <c r="AN397" s="377"/>
      <c r="AO397" s="377"/>
      <c r="AP397" s="377"/>
      <c r="AQ397" s="377"/>
      <c r="AR397" s="377"/>
      <c r="AS397" s="377"/>
      <c r="AT397" s="377"/>
      <c r="AU397" s="377"/>
      <c r="AV397" s="377"/>
      <c r="AW397" s="575"/>
      <c r="AX397" s="377"/>
      <c r="AY397" s="377"/>
      <c r="AZ397" s="377"/>
      <c r="BA397" s="377"/>
      <c r="BB397" s="377"/>
      <c r="BC397" s="377"/>
      <c r="BD397" s="377"/>
      <c r="BE397" s="377"/>
      <c r="BF397" s="377"/>
      <c r="BG397" s="377"/>
      <c r="BH397" s="377"/>
      <c r="BI397" s="377"/>
      <c r="BJ397" s="377"/>
      <c r="BK397" s="377"/>
      <c r="BL397" s="377"/>
      <c r="BM397" s="377"/>
      <c r="BN397" s="576"/>
      <c r="BO397" s="377"/>
      <c r="BP397" s="377"/>
      <c r="BQ397" s="377"/>
      <c r="BR397" s="377"/>
      <c r="BS397" s="377"/>
      <c r="BT397" s="377"/>
      <c r="BU397" s="377"/>
      <c r="BV397" s="377"/>
      <c r="BW397" s="377"/>
      <c r="BX397" s="377"/>
      <c r="BY397" s="377"/>
      <c r="BZ397" s="377"/>
      <c r="CA397" s="377"/>
      <c r="CB397" s="377"/>
      <c r="CC397" s="377"/>
      <c r="CD397" s="377"/>
      <c r="CE397" s="377"/>
      <c r="CF397" s="377"/>
      <c r="CG397" s="377"/>
      <c r="CH397" s="377"/>
      <c r="CI397" s="377"/>
    </row>
    <row r="398" spans="1:87" ht="15">
      <c r="A398" s="377"/>
      <c r="B398" s="377"/>
      <c r="C398" s="572"/>
      <c r="D398" s="377"/>
      <c r="E398" s="377"/>
      <c r="F398" s="377"/>
      <c r="G398" s="377"/>
      <c r="H398" s="573"/>
      <c r="I398" s="377"/>
      <c r="J398" s="377"/>
      <c r="K398" s="377"/>
      <c r="L398" s="377"/>
      <c r="M398" s="377"/>
      <c r="N398" s="377"/>
      <c r="O398" s="377"/>
      <c r="P398" s="377"/>
      <c r="Q398" s="377"/>
      <c r="R398" s="377"/>
      <c r="S398" s="377"/>
      <c r="T398" s="377"/>
      <c r="U398" s="377"/>
      <c r="V398" s="377"/>
      <c r="W398" s="377"/>
      <c r="X398" s="574"/>
      <c r="Y398" s="377"/>
      <c r="Z398" s="377"/>
      <c r="AA398" s="377"/>
      <c r="AB398" s="377"/>
      <c r="AC398" s="377"/>
      <c r="AD398" s="377"/>
      <c r="AE398" s="377"/>
      <c r="AF398" s="377"/>
      <c r="AG398" s="377"/>
      <c r="AH398" s="377"/>
      <c r="AI398" s="377"/>
      <c r="AJ398" s="377"/>
      <c r="AK398" s="377"/>
      <c r="AL398" s="574"/>
      <c r="AM398" s="377"/>
      <c r="AN398" s="377"/>
      <c r="AO398" s="377"/>
      <c r="AP398" s="377"/>
      <c r="AQ398" s="377"/>
      <c r="AR398" s="377"/>
      <c r="AS398" s="377"/>
      <c r="AT398" s="377"/>
      <c r="AU398" s="377"/>
      <c r="AV398" s="377"/>
      <c r="AW398" s="575"/>
      <c r="AX398" s="377"/>
      <c r="AY398" s="377"/>
      <c r="AZ398" s="377"/>
      <c r="BA398" s="377"/>
      <c r="BB398" s="377"/>
      <c r="BC398" s="377"/>
      <c r="BD398" s="377"/>
      <c r="BE398" s="377"/>
      <c r="BF398" s="377"/>
      <c r="BG398" s="377"/>
      <c r="BH398" s="377"/>
      <c r="BI398" s="377"/>
      <c r="BJ398" s="377"/>
      <c r="BK398" s="377"/>
      <c r="BL398" s="377"/>
      <c r="BM398" s="377"/>
      <c r="BN398" s="576"/>
      <c r="BO398" s="377"/>
      <c r="BP398" s="377"/>
      <c r="BQ398" s="377"/>
      <c r="BR398" s="377"/>
      <c r="BS398" s="377"/>
      <c r="BT398" s="377"/>
      <c r="BU398" s="377"/>
      <c r="BV398" s="377"/>
      <c r="BW398" s="377"/>
      <c r="BX398" s="377"/>
      <c r="BY398" s="377"/>
      <c r="BZ398" s="377"/>
      <c r="CA398" s="377"/>
      <c r="CB398" s="377"/>
      <c r="CC398" s="377"/>
      <c r="CD398" s="377"/>
      <c r="CE398" s="377"/>
      <c r="CF398" s="377"/>
      <c r="CG398" s="377"/>
      <c r="CH398" s="377"/>
      <c r="CI398" s="377"/>
    </row>
    <row r="399" spans="1:87" ht="15">
      <c r="A399" s="377"/>
      <c r="B399" s="377"/>
      <c r="C399" s="572"/>
      <c r="D399" s="377"/>
      <c r="E399" s="377"/>
      <c r="F399" s="377"/>
      <c r="G399" s="377"/>
      <c r="H399" s="573"/>
      <c r="I399" s="377"/>
      <c r="J399" s="377"/>
      <c r="K399" s="377"/>
      <c r="L399" s="377"/>
      <c r="M399" s="377"/>
      <c r="N399" s="377"/>
      <c r="O399" s="377"/>
      <c r="P399" s="377"/>
      <c r="Q399" s="377"/>
      <c r="R399" s="377"/>
      <c r="S399" s="377"/>
      <c r="T399" s="377"/>
      <c r="U399" s="377"/>
      <c r="V399" s="377"/>
      <c r="W399" s="377"/>
      <c r="X399" s="574"/>
      <c r="Y399" s="377"/>
      <c r="Z399" s="377"/>
      <c r="AA399" s="377"/>
      <c r="AB399" s="377"/>
      <c r="AC399" s="377"/>
      <c r="AD399" s="377"/>
      <c r="AE399" s="377"/>
      <c r="AF399" s="377"/>
      <c r="AG399" s="377"/>
      <c r="AH399" s="377"/>
      <c r="AI399" s="377"/>
      <c r="AJ399" s="377"/>
      <c r="AK399" s="377"/>
      <c r="AL399" s="574"/>
      <c r="AM399" s="377"/>
      <c r="AN399" s="377"/>
      <c r="AO399" s="377"/>
      <c r="AP399" s="377"/>
      <c r="AQ399" s="377"/>
      <c r="AR399" s="377"/>
      <c r="AS399" s="377"/>
      <c r="AT399" s="377"/>
      <c r="AU399" s="377"/>
      <c r="AV399" s="377"/>
      <c r="AW399" s="575"/>
      <c r="AX399" s="377"/>
      <c r="AY399" s="377"/>
      <c r="AZ399" s="377"/>
      <c r="BA399" s="377"/>
      <c r="BB399" s="377"/>
      <c r="BC399" s="377"/>
      <c r="BD399" s="377"/>
      <c r="BE399" s="377"/>
      <c r="BF399" s="377"/>
      <c r="BG399" s="377"/>
      <c r="BH399" s="377"/>
      <c r="BI399" s="377"/>
      <c r="BJ399" s="377"/>
      <c r="BK399" s="377"/>
      <c r="BL399" s="377"/>
      <c r="BM399" s="377"/>
      <c r="BN399" s="576"/>
      <c r="BO399" s="377"/>
      <c r="BP399" s="377"/>
      <c r="BQ399" s="377"/>
      <c r="BR399" s="377"/>
      <c r="BS399" s="377"/>
      <c r="BT399" s="377"/>
      <c r="BU399" s="377"/>
      <c r="BV399" s="377"/>
      <c r="BW399" s="377"/>
      <c r="BX399" s="377"/>
      <c r="BY399" s="377"/>
      <c r="BZ399" s="377"/>
      <c r="CA399" s="377"/>
      <c r="CB399" s="377"/>
      <c r="CC399" s="377"/>
      <c r="CD399" s="377"/>
      <c r="CE399" s="377"/>
      <c r="CF399" s="377"/>
      <c r="CG399" s="377"/>
      <c r="CH399" s="377"/>
      <c r="CI399" s="377"/>
    </row>
    <row r="400" spans="1:87" ht="15">
      <c r="A400" s="377"/>
      <c r="B400" s="377"/>
      <c r="C400" s="572"/>
      <c r="D400" s="377"/>
      <c r="E400" s="377"/>
      <c r="F400" s="377"/>
      <c r="G400" s="377"/>
      <c r="H400" s="573"/>
      <c r="I400" s="377"/>
      <c r="J400" s="377"/>
      <c r="K400" s="377"/>
      <c r="L400" s="377"/>
      <c r="M400" s="377"/>
      <c r="N400" s="377"/>
      <c r="O400" s="377"/>
      <c r="P400" s="377"/>
      <c r="Q400" s="377"/>
      <c r="R400" s="377"/>
      <c r="S400" s="377"/>
      <c r="T400" s="377"/>
      <c r="U400" s="377"/>
      <c r="V400" s="377"/>
      <c r="W400" s="377"/>
      <c r="X400" s="574"/>
      <c r="Y400" s="377"/>
      <c r="Z400" s="377"/>
      <c r="AA400" s="377"/>
      <c r="AB400" s="377"/>
      <c r="AC400" s="377"/>
      <c r="AD400" s="377"/>
      <c r="AE400" s="377"/>
      <c r="AF400" s="377"/>
      <c r="AG400" s="377"/>
      <c r="AH400" s="377"/>
      <c r="AI400" s="377"/>
      <c r="AJ400" s="377"/>
      <c r="AK400" s="377"/>
      <c r="AL400" s="574"/>
      <c r="AM400" s="377"/>
      <c r="AN400" s="377"/>
      <c r="AO400" s="377"/>
      <c r="AP400" s="377"/>
      <c r="AQ400" s="377"/>
      <c r="AR400" s="377"/>
      <c r="AS400" s="377"/>
      <c r="AT400" s="377"/>
      <c r="AU400" s="377"/>
      <c r="AV400" s="377"/>
      <c r="AW400" s="575"/>
      <c r="AX400" s="377"/>
      <c r="AY400" s="377"/>
      <c r="AZ400" s="377"/>
      <c r="BA400" s="377"/>
      <c r="BB400" s="377"/>
      <c r="BC400" s="377"/>
      <c r="BD400" s="377"/>
      <c r="BE400" s="377"/>
      <c r="BF400" s="377"/>
      <c r="BG400" s="377"/>
      <c r="BH400" s="377"/>
      <c r="BI400" s="377"/>
      <c r="BJ400" s="377"/>
      <c r="BK400" s="377"/>
      <c r="BL400" s="377"/>
      <c r="BM400" s="377"/>
      <c r="BN400" s="576"/>
      <c r="BO400" s="377"/>
      <c r="BP400" s="377"/>
      <c r="BQ400" s="377"/>
      <c r="BR400" s="377"/>
      <c r="BS400" s="377"/>
      <c r="BT400" s="377"/>
      <c r="BU400" s="377"/>
      <c r="BV400" s="377"/>
      <c r="BW400" s="377"/>
      <c r="BX400" s="377"/>
      <c r="BY400" s="377"/>
      <c r="BZ400" s="377"/>
      <c r="CA400" s="377"/>
      <c r="CB400" s="377"/>
      <c r="CC400" s="377"/>
      <c r="CD400" s="377"/>
      <c r="CE400" s="377"/>
      <c r="CF400" s="377"/>
      <c r="CG400" s="377"/>
      <c r="CH400" s="377"/>
      <c r="CI400" s="377"/>
    </row>
    <row r="401" spans="1:87" ht="15">
      <c r="A401" s="377"/>
      <c r="B401" s="377"/>
      <c r="C401" s="572"/>
      <c r="D401" s="377"/>
      <c r="E401" s="377"/>
      <c r="F401" s="377"/>
      <c r="G401" s="377"/>
      <c r="H401" s="573"/>
      <c r="I401" s="377"/>
      <c r="J401" s="377"/>
      <c r="K401" s="377"/>
      <c r="L401" s="377"/>
      <c r="M401" s="377"/>
      <c r="N401" s="377"/>
      <c r="O401" s="377"/>
      <c r="P401" s="377"/>
      <c r="Q401" s="377"/>
      <c r="R401" s="377"/>
      <c r="S401" s="377"/>
      <c r="T401" s="377"/>
      <c r="U401" s="377"/>
      <c r="V401" s="377"/>
      <c r="W401" s="377"/>
      <c r="X401" s="574"/>
      <c r="Y401" s="377"/>
      <c r="Z401" s="377"/>
      <c r="AA401" s="377"/>
      <c r="AB401" s="377"/>
      <c r="AC401" s="377"/>
      <c r="AD401" s="377"/>
      <c r="AE401" s="377"/>
      <c r="AF401" s="377"/>
      <c r="AG401" s="377"/>
      <c r="AH401" s="377"/>
      <c r="AI401" s="377"/>
      <c r="AJ401" s="377"/>
      <c r="AK401" s="377"/>
      <c r="AL401" s="574"/>
      <c r="AM401" s="377"/>
      <c r="AN401" s="377"/>
      <c r="AO401" s="377"/>
      <c r="AP401" s="377"/>
      <c r="AQ401" s="377"/>
      <c r="AR401" s="377"/>
      <c r="AS401" s="377"/>
      <c r="AT401" s="377"/>
      <c r="AU401" s="377"/>
      <c r="AV401" s="377"/>
      <c r="AW401" s="575"/>
      <c r="AX401" s="377"/>
      <c r="AY401" s="377"/>
      <c r="AZ401" s="377"/>
      <c r="BA401" s="377"/>
      <c r="BB401" s="377"/>
      <c r="BC401" s="377"/>
      <c r="BD401" s="377"/>
      <c r="BE401" s="377"/>
      <c r="BF401" s="377"/>
      <c r="BG401" s="377"/>
      <c r="BH401" s="377"/>
      <c r="BI401" s="377"/>
      <c r="BJ401" s="377"/>
      <c r="BK401" s="377"/>
      <c r="BL401" s="377"/>
      <c r="BM401" s="377"/>
      <c r="BN401" s="576"/>
      <c r="BO401" s="377"/>
      <c r="BP401" s="377"/>
      <c r="BQ401" s="377"/>
      <c r="BR401" s="377"/>
      <c r="BS401" s="377"/>
      <c r="BT401" s="377"/>
      <c r="BU401" s="377"/>
      <c r="BV401" s="377"/>
      <c r="BW401" s="377"/>
      <c r="BX401" s="377"/>
      <c r="BY401" s="377"/>
      <c r="BZ401" s="377"/>
      <c r="CA401" s="377"/>
      <c r="CB401" s="377"/>
      <c r="CC401" s="377"/>
      <c r="CD401" s="377"/>
      <c r="CE401" s="377"/>
      <c r="CF401" s="377"/>
      <c r="CG401" s="377"/>
      <c r="CH401" s="377"/>
      <c r="CI401" s="377"/>
    </row>
    <row r="402" spans="1:87" ht="15">
      <c r="A402" s="377"/>
      <c r="B402" s="377"/>
      <c r="C402" s="572"/>
      <c r="D402" s="377"/>
      <c r="E402" s="377"/>
      <c r="F402" s="377"/>
      <c r="G402" s="377"/>
      <c r="H402" s="573"/>
      <c r="I402" s="377"/>
      <c r="J402" s="377"/>
      <c r="K402" s="377"/>
      <c r="L402" s="377"/>
      <c r="M402" s="377"/>
      <c r="N402" s="377"/>
      <c r="O402" s="377"/>
      <c r="P402" s="377"/>
      <c r="Q402" s="377"/>
      <c r="R402" s="377"/>
      <c r="S402" s="377"/>
      <c r="T402" s="377"/>
      <c r="U402" s="377"/>
      <c r="V402" s="377"/>
      <c r="W402" s="377"/>
      <c r="X402" s="574"/>
      <c r="Y402" s="377"/>
      <c r="Z402" s="377"/>
      <c r="AA402" s="377"/>
      <c r="AB402" s="377"/>
      <c r="AC402" s="377"/>
      <c r="AD402" s="377"/>
      <c r="AE402" s="377"/>
      <c r="AF402" s="377"/>
      <c r="AG402" s="377"/>
      <c r="AH402" s="377"/>
      <c r="AI402" s="377"/>
      <c r="AJ402" s="377"/>
      <c r="AK402" s="377"/>
      <c r="AL402" s="574"/>
      <c r="AM402" s="377"/>
      <c r="AN402" s="377"/>
      <c r="AO402" s="377"/>
      <c r="AP402" s="377"/>
      <c r="AQ402" s="377"/>
      <c r="AR402" s="377"/>
      <c r="AS402" s="377"/>
      <c r="AT402" s="377"/>
      <c r="AU402" s="377"/>
      <c r="AV402" s="377"/>
      <c r="AW402" s="575"/>
      <c r="AX402" s="377"/>
      <c r="AY402" s="377"/>
      <c r="AZ402" s="377"/>
      <c r="BA402" s="377"/>
      <c r="BB402" s="377"/>
      <c r="BC402" s="377"/>
      <c r="BD402" s="377"/>
      <c r="BE402" s="377"/>
      <c r="BF402" s="377"/>
      <c r="BG402" s="377"/>
      <c r="BH402" s="377"/>
      <c r="BI402" s="377"/>
      <c r="BJ402" s="377"/>
      <c r="BK402" s="377"/>
      <c r="BL402" s="377"/>
      <c r="BM402" s="377"/>
      <c r="BN402" s="576"/>
      <c r="BO402" s="377"/>
      <c r="BP402" s="377"/>
      <c r="BQ402" s="377"/>
      <c r="BR402" s="377"/>
      <c r="BS402" s="377"/>
      <c r="BT402" s="377"/>
      <c r="BU402" s="377"/>
      <c r="BV402" s="377"/>
      <c r="BW402" s="377"/>
      <c r="BX402" s="377"/>
      <c r="BY402" s="377"/>
      <c r="BZ402" s="377"/>
      <c r="CA402" s="377"/>
      <c r="CB402" s="377"/>
      <c r="CC402" s="377"/>
      <c r="CD402" s="377"/>
      <c r="CE402" s="377"/>
      <c r="CF402" s="377"/>
      <c r="CG402" s="377"/>
      <c r="CH402" s="377"/>
      <c r="CI402" s="377"/>
    </row>
    <row r="403" spans="1:87" ht="15">
      <c r="A403" s="377"/>
      <c r="B403" s="377"/>
      <c r="C403" s="572"/>
      <c r="D403" s="377"/>
      <c r="E403" s="377"/>
      <c r="F403" s="377"/>
      <c r="G403" s="377"/>
      <c r="H403" s="573"/>
      <c r="I403" s="377"/>
      <c r="J403" s="377"/>
      <c r="K403" s="377"/>
      <c r="L403" s="377"/>
      <c r="M403" s="377"/>
      <c r="N403" s="377"/>
      <c r="O403" s="377"/>
      <c r="P403" s="377"/>
      <c r="Q403" s="377"/>
      <c r="R403" s="377"/>
      <c r="S403" s="377"/>
      <c r="T403" s="377"/>
      <c r="U403" s="377"/>
      <c r="V403" s="377"/>
      <c r="W403" s="377"/>
      <c r="X403" s="574"/>
      <c r="Y403" s="377"/>
      <c r="Z403" s="377"/>
      <c r="AA403" s="377"/>
      <c r="AB403" s="377"/>
      <c r="AC403" s="377"/>
      <c r="AD403" s="377"/>
      <c r="AE403" s="377"/>
      <c r="AF403" s="377"/>
      <c r="AG403" s="377"/>
      <c r="AH403" s="377"/>
      <c r="AI403" s="377"/>
      <c r="AJ403" s="377"/>
      <c r="AK403" s="377"/>
      <c r="AL403" s="574"/>
      <c r="AM403" s="377"/>
      <c r="AN403" s="377"/>
      <c r="AO403" s="377"/>
      <c r="AP403" s="377"/>
      <c r="AQ403" s="377"/>
      <c r="AR403" s="377"/>
      <c r="AS403" s="377"/>
      <c r="AT403" s="377"/>
      <c r="AU403" s="377"/>
      <c r="AV403" s="377"/>
      <c r="AW403" s="575"/>
      <c r="AX403" s="377"/>
      <c r="AY403" s="377"/>
      <c r="AZ403" s="377"/>
      <c r="BA403" s="377"/>
      <c r="BB403" s="377"/>
      <c r="BC403" s="377"/>
      <c r="BD403" s="377"/>
      <c r="BE403" s="377"/>
      <c r="BF403" s="377"/>
      <c r="BG403" s="377"/>
      <c r="BH403" s="377"/>
      <c r="BI403" s="377"/>
      <c r="BJ403" s="377"/>
      <c r="BK403" s="377"/>
      <c r="BL403" s="377"/>
      <c r="BM403" s="377"/>
      <c r="BN403" s="576"/>
      <c r="BO403" s="377"/>
      <c r="BP403" s="377"/>
      <c r="BQ403" s="377"/>
      <c r="BR403" s="377"/>
      <c r="BS403" s="377"/>
      <c r="BT403" s="377"/>
      <c r="BU403" s="377"/>
      <c r="BV403" s="377"/>
      <c r="BW403" s="377"/>
      <c r="BX403" s="377"/>
      <c r="BY403" s="377"/>
      <c r="BZ403" s="377"/>
      <c r="CA403" s="377"/>
      <c r="CB403" s="377"/>
      <c r="CC403" s="377"/>
      <c r="CD403" s="377"/>
      <c r="CE403" s="377"/>
      <c r="CF403" s="377"/>
      <c r="CG403" s="377"/>
      <c r="CH403" s="377"/>
      <c r="CI403" s="377"/>
    </row>
    <row r="404" spans="1:87" ht="15">
      <c r="A404" s="377"/>
      <c r="B404" s="377"/>
      <c r="C404" s="572"/>
      <c r="D404" s="377"/>
      <c r="E404" s="377"/>
      <c r="F404" s="377"/>
      <c r="G404" s="377"/>
      <c r="H404" s="573"/>
      <c r="I404" s="377"/>
      <c r="J404" s="377"/>
      <c r="K404" s="377"/>
      <c r="L404" s="377"/>
      <c r="M404" s="377"/>
      <c r="N404" s="377"/>
      <c r="O404" s="377"/>
      <c r="P404" s="377"/>
      <c r="Q404" s="377"/>
      <c r="R404" s="377"/>
      <c r="S404" s="377"/>
      <c r="T404" s="377"/>
      <c r="U404" s="377"/>
      <c r="V404" s="377"/>
      <c r="W404" s="377"/>
      <c r="X404" s="574"/>
      <c r="Y404" s="377"/>
      <c r="Z404" s="377"/>
      <c r="AA404" s="377"/>
      <c r="AB404" s="377"/>
      <c r="AC404" s="377"/>
      <c r="AD404" s="377"/>
      <c r="AE404" s="377"/>
      <c r="AF404" s="377"/>
      <c r="AG404" s="377"/>
      <c r="AH404" s="377"/>
      <c r="AI404" s="377"/>
      <c r="AJ404" s="377"/>
      <c r="AK404" s="377"/>
      <c r="AL404" s="574"/>
      <c r="AM404" s="377"/>
      <c r="AN404" s="377"/>
      <c r="AO404" s="377"/>
      <c r="AP404" s="377"/>
      <c r="AQ404" s="377"/>
      <c r="AR404" s="377"/>
      <c r="AS404" s="377"/>
      <c r="AT404" s="377"/>
      <c r="AU404" s="377"/>
      <c r="AV404" s="377"/>
      <c r="AW404" s="575"/>
      <c r="AX404" s="377"/>
      <c r="AY404" s="377"/>
      <c r="AZ404" s="377"/>
      <c r="BA404" s="377"/>
      <c r="BB404" s="377"/>
      <c r="BC404" s="377"/>
      <c r="BD404" s="377"/>
      <c r="BE404" s="377"/>
      <c r="BF404" s="377"/>
      <c r="BG404" s="377"/>
      <c r="BH404" s="377"/>
      <c r="BI404" s="377"/>
      <c r="BJ404" s="377"/>
      <c r="BK404" s="377"/>
      <c r="BL404" s="377"/>
      <c r="BM404" s="377"/>
      <c r="BN404" s="576"/>
      <c r="BO404" s="377"/>
      <c r="BP404" s="377"/>
      <c r="BQ404" s="377"/>
      <c r="BR404" s="377"/>
      <c r="BS404" s="377"/>
      <c r="BT404" s="377"/>
      <c r="BU404" s="377"/>
      <c r="BV404" s="377"/>
      <c r="BW404" s="377"/>
      <c r="BX404" s="377"/>
      <c r="BY404" s="377"/>
      <c r="BZ404" s="377"/>
      <c r="CA404" s="377"/>
      <c r="CB404" s="377"/>
      <c r="CC404" s="377"/>
      <c r="CD404" s="377"/>
      <c r="CE404" s="377"/>
      <c r="CF404" s="377"/>
      <c r="CG404" s="377"/>
      <c r="CH404" s="377"/>
      <c r="CI404" s="377"/>
    </row>
    <row r="405" spans="1:87" ht="15">
      <c r="A405" s="377"/>
      <c r="B405" s="377"/>
      <c r="C405" s="572"/>
      <c r="D405" s="377"/>
      <c r="E405" s="377"/>
      <c r="F405" s="377"/>
      <c r="G405" s="377"/>
      <c r="H405" s="573"/>
      <c r="I405" s="377"/>
      <c r="J405" s="377"/>
      <c r="K405" s="377"/>
      <c r="L405" s="377"/>
      <c r="M405" s="377"/>
      <c r="N405" s="377"/>
      <c r="O405" s="377"/>
      <c r="P405" s="377"/>
      <c r="Q405" s="377"/>
      <c r="R405" s="377"/>
      <c r="S405" s="377"/>
      <c r="T405" s="377"/>
      <c r="U405" s="377"/>
      <c r="V405" s="377"/>
      <c r="W405" s="377"/>
      <c r="X405" s="574"/>
      <c r="Y405" s="377"/>
      <c r="Z405" s="377"/>
      <c r="AA405" s="377"/>
      <c r="AB405" s="377"/>
      <c r="AC405" s="377"/>
      <c r="AD405" s="377"/>
      <c r="AE405" s="377"/>
      <c r="AF405" s="377"/>
      <c r="AG405" s="377"/>
      <c r="AH405" s="377"/>
      <c r="AI405" s="377"/>
      <c r="AJ405" s="377"/>
      <c r="AK405" s="377"/>
      <c r="AL405" s="574"/>
      <c r="AM405" s="377"/>
      <c r="AN405" s="377"/>
      <c r="AO405" s="377"/>
      <c r="AP405" s="377"/>
      <c r="AQ405" s="377"/>
      <c r="AR405" s="377"/>
      <c r="AS405" s="377"/>
      <c r="AT405" s="377"/>
      <c r="AU405" s="377"/>
      <c r="AV405" s="377"/>
      <c r="AW405" s="575"/>
      <c r="AX405" s="377"/>
      <c r="AY405" s="377"/>
      <c r="AZ405" s="377"/>
      <c r="BA405" s="377"/>
      <c r="BB405" s="377"/>
      <c r="BC405" s="377"/>
      <c r="BD405" s="377"/>
      <c r="BE405" s="377"/>
      <c r="BF405" s="377"/>
      <c r="BG405" s="377"/>
      <c r="BH405" s="377"/>
      <c r="BI405" s="377"/>
      <c r="BJ405" s="377"/>
      <c r="BK405" s="377"/>
      <c r="BL405" s="377"/>
      <c r="BM405" s="377"/>
      <c r="BN405" s="576"/>
      <c r="BO405" s="377"/>
      <c r="BP405" s="377"/>
      <c r="BQ405" s="377"/>
      <c r="BR405" s="377"/>
      <c r="BS405" s="377"/>
      <c r="BT405" s="377"/>
      <c r="BU405" s="377"/>
      <c r="BV405" s="377"/>
      <c r="BW405" s="377"/>
      <c r="BX405" s="377"/>
      <c r="BY405" s="377"/>
      <c r="BZ405" s="377"/>
      <c r="CA405" s="377"/>
      <c r="CB405" s="377"/>
      <c r="CC405" s="377"/>
      <c r="CD405" s="377"/>
      <c r="CE405" s="377"/>
      <c r="CF405" s="377"/>
      <c r="CG405" s="377"/>
      <c r="CH405" s="377"/>
      <c r="CI405" s="377"/>
    </row>
    <row r="406" spans="1:87" ht="15">
      <c r="A406" s="377"/>
      <c r="B406" s="377"/>
      <c r="C406" s="572"/>
      <c r="D406" s="377"/>
      <c r="E406" s="377"/>
      <c r="F406" s="377"/>
      <c r="G406" s="377"/>
      <c r="H406" s="573"/>
      <c r="I406" s="377"/>
      <c r="J406" s="377"/>
      <c r="K406" s="377"/>
      <c r="L406" s="377"/>
      <c r="M406" s="377"/>
      <c r="N406" s="377"/>
      <c r="O406" s="377"/>
      <c r="P406" s="377"/>
      <c r="Q406" s="377"/>
      <c r="R406" s="377"/>
      <c r="S406" s="377"/>
      <c r="T406" s="377"/>
      <c r="U406" s="377"/>
      <c r="V406" s="377"/>
      <c r="W406" s="377"/>
      <c r="X406" s="574"/>
      <c r="Y406" s="377"/>
      <c r="Z406" s="377"/>
      <c r="AA406" s="377"/>
      <c r="AB406" s="377"/>
      <c r="AC406" s="377"/>
      <c r="AD406" s="377"/>
      <c r="AE406" s="377"/>
      <c r="AF406" s="377"/>
      <c r="AG406" s="377"/>
      <c r="AH406" s="377"/>
      <c r="AI406" s="377"/>
      <c r="AJ406" s="377"/>
      <c r="AK406" s="377"/>
      <c r="AL406" s="574"/>
      <c r="AM406" s="377"/>
      <c r="AN406" s="377"/>
      <c r="AO406" s="377"/>
      <c r="AP406" s="377"/>
      <c r="AQ406" s="377"/>
      <c r="AR406" s="377"/>
      <c r="AS406" s="377"/>
      <c r="AT406" s="377"/>
      <c r="AU406" s="377"/>
      <c r="AV406" s="377"/>
      <c r="AW406" s="575"/>
      <c r="AX406" s="377"/>
      <c r="AY406" s="377"/>
      <c r="AZ406" s="377"/>
      <c r="BA406" s="377"/>
      <c r="BB406" s="377"/>
      <c r="BC406" s="377"/>
      <c r="BD406" s="377"/>
      <c r="BE406" s="377"/>
      <c r="BF406" s="377"/>
      <c r="BG406" s="377"/>
      <c r="BH406" s="377"/>
      <c r="BI406" s="377"/>
      <c r="BJ406" s="377"/>
      <c r="BK406" s="377"/>
      <c r="BL406" s="377"/>
      <c r="BM406" s="377"/>
      <c r="BN406" s="576"/>
      <c r="BO406" s="377"/>
      <c r="BP406" s="377"/>
      <c r="BQ406" s="377"/>
      <c r="BR406" s="377"/>
      <c r="BS406" s="377"/>
      <c r="BT406" s="377"/>
      <c r="BU406" s="377"/>
      <c r="BV406" s="377"/>
      <c r="BW406" s="377"/>
      <c r="BX406" s="377"/>
      <c r="BY406" s="377"/>
      <c r="BZ406" s="377"/>
      <c r="CA406" s="377"/>
      <c r="CB406" s="377"/>
      <c r="CC406" s="377"/>
      <c r="CD406" s="377"/>
      <c r="CE406" s="377"/>
      <c r="CF406" s="377"/>
      <c r="CG406" s="377"/>
      <c r="CH406" s="377"/>
      <c r="CI406" s="377"/>
    </row>
    <row r="407" spans="1:87" ht="15">
      <c r="A407" s="377"/>
      <c r="B407" s="377"/>
      <c r="C407" s="572"/>
      <c r="D407" s="377"/>
      <c r="E407" s="377"/>
      <c r="F407" s="377"/>
      <c r="G407" s="377"/>
      <c r="H407" s="573"/>
      <c r="I407" s="377"/>
      <c r="J407" s="377"/>
      <c r="K407" s="377"/>
      <c r="L407" s="377"/>
      <c r="M407" s="377"/>
      <c r="N407" s="377"/>
      <c r="O407" s="377"/>
      <c r="P407" s="377"/>
      <c r="Q407" s="377"/>
      <c r="R407" s="377"/>
      <c r="S407" s="377"/>
      <c r="T407" s="377"/>
      <c r="U407" s="377"/>
      <c r="V407" s="377"/>
      <c r="W407" s="377"/>
      <c r="X407" s="574"/>
      <c r="Y407" s="377"/>
      <c r="Z407" s="377"/>
      <c r="AA407" s="377"/>
      <c r="AB407" s="377"/>
      <c r="AC407" s="377"/>
      <c r="AD407" s="377"/>
      <c r="AE407" s="377"/>
      <c r="AF407" s="377"/>
      <c r="AG407" s="377"/>
      <c r="AH407" s="377"/>
      <c r="AI407" s="377"/>
      <c r="AJ407" s="377"/>
      <c r="AK407" s="377"/>
      <c r="AL407" s="574"/>
      <c r="AM407" s="377"/>
      <c r="AN407" s="377"/>
      <c r="AO407" s="377"/>
      <c r="AP407" s="377"/>
      <c r="AQ407" s="377"/>
      <c r="AR407" s="377"/>
      <c r="AS407" s="377"/>
      <c r="AT407" s="377"/>
      <c r="AU407" s="377"/>
      <c r="AV407" s="377"/>
      <c r="AW407" s="575"/>
      <c r="AX407" s="377"/>
      <c r="AY407" s="377"/>
      <c r="AZ407" s="377"/>
      <c r="BA407" s="377"/>
      <c r="BB407" s="377"/>
      <c r="BC407" s="377"/>
      <c r="BD407" s="377"/>
      <c r="BE407" s="377"/>
      <c r="BF407" s="377"/>
      <c r="BG407" s="377"/>
      <c r="BH407" s="377"/>
      <c r="BI407" s="377"/>
      <c r="BJ407" s="377"/>
      <c r="BK407" s="377"/>
      <c r="BL407" s="377"/>
      <c r="BM407" s="377"/>
      <c r="BN407" s="576"/>
      <c r="BO407" s="377"/>
      <c r="BP407" s="377"/>
      <c r="BQ407" s="377"/>
      <c r="BR407" s="377"/>
      <c r="BS407" s="377"/>
      <c r="BT407" s="377"/>
      <c r="BU407" s="377"/>
      <c r="BV407" s="377"/>
      <c r="BW407" s="377"/>
      <c r="BX407" s="377"/>
      <c r="BY407" s="377"/>
      <c r="BZ407" s="377"/>
      <c r="CA407" s="377"/>
      <c r="CB407" s="377"/>
      <c r="CC407" s="377"/>
      <c r="CD407" s="377"/>
      <c r="CE407" s="377"/>
      <c r="CF407" s="377"/>
      <c r="CG407" s="377"/>
      <c r="CH407" s="377"/>
      <c r="CI407" s="377"/>
    </row>
    <row r="408" spans="1:87" ht="15">
      <c r="A408" s="377"/>
      <c r="B408" s="377"/>
      <c r="C408" s="572"/>
      <c r="D408" s="377"/>
      <c r="E408" s="377"/>
      <c r="F408" s="377"/>
      <c r="G408" s="377"/>
      <c r="H408" s="573"/>
      <c r="I408" s="377"/>
      <c r="J408" s="377"/>
      <c r="K408" s="377"/>
      <c r="L408" s="377"/>
      <c r="M408" s="377"/>
      <c r="N408" s="377"/>
      <c r="O408" s="377"/>
      <c r="P408" s="377"/>
      <c r="Q408" s="377"/>
      <c r="R408" s="377"/>
      <c r="S408" s="377"/>
      <c r="T408" s="377"/>
      <c r="U408" s="377"/>
      <c r="V408" s="377"/>
      <c r="W408" s="377"/>
      <c r="X408" s="574"/>
      <c r="Y408" s="377"/>
      <c r="Z408" s="377"/>
      <c r="AA408" s="377"/>
      <c r="AB408" s="377"/>
      <c r="AC408" s="377"/>
      <c r="AD408" s="377"/>
      <c r="AE408" s="377"/>
      <c r="AF408" s="377"/>
      <c r="AG408" s="377"/>
      <c r="AH408" s="377"/>
      <c r="AI408" s="377"/>
      <c r="AJ408" s="377"/>
      <c r="AK408" s="377"/>
      <c r="AL408" s="574"/>
      <c r="AM408" s="377"/>
      <c r="AN408" s="377"/>
      <c r="AO408" s="377"/>
      <c r="AP408" s="377"/>
      <c r="AQ408" s="377"/>
      <c r="AR408" s="377"/>
      <c r="AS408" s="377"/>
      <c r="AT408" s="377"/>
      <c r="AU408" s="377"/>
      <c r="AV408" s="377"/>
      <c r="AW408" s="575"/>
      <c r="AX408" s="377"/>
      <c r="AY408" s="377"/>
      <c r="AZ408" s="377"/>
      <c r="BA408" s="377"/>
      <c r="BB408" s="377"/>
      <c r="BC408" s="377"/>
      <c r="BD408" s="377"/>
      <c r="BE408" s="377"/>
      <c r="BF408" s="377"/>
      <c r="BG408" s="377"/>
      <c r="BH408" s="377"/>
      <c r="BI408" s="377"/>
      <c r="BJ408" s="377"/>
      <c r="BK408" s="377"/>
      <c r="BL408" s="377"/>
      <c r="BM408" s="377"/>
      <c r="BN408" s="576"/>
      <c r="BO408" s="377"/>
      <c r="BP408" s="377"/>
      <c r="BQ408" s="377"/>
      <c r="BR408" s="377"/>
      <c r="BS408" s="377"/>
      <c r="BT408" s="377"/>
      <c r="BU408" s="377"/>
      <c r="BV408" s="377"/>
      <c r="BW408" s="377"/>
      <c r="BX408" s="377"/>
      <c r="BY408" s="377"/>
      <c r="BZ408" s="377"/>
      <c r="CA408" s="377"/>
      <c r="CB408" s="377"/>
      <c r="CC408" s="377"/>
      <c r="CD408" s="377"/>
      <c r="CE408" s="377"/>
      <c r="CF408" s="377"/>
      <c r="CG408" s="377"/>
      <c r="CH408" s="377"/>
      <c r="CI408" s="377"/>
    </row>
    <row r="409" spans="1:87" ht="15">
      <c r="A409" s="377"/>
      <c r="B409" s="377"/>
      <c r="C409" s="572"/>
      <c r="D409" s="377"/>
      <c r="E409" s="377"/>
      <c r="F409" s="377"/>
      <c r="G409" s="377"/>
      <c r="H409" s="573"/>
      <c r="I409" s="377"/>
      <c r="J409" s="377"/>
      <c r="K409" s="377"/>
      <c r="L409" s="377"/>
      <c r="M409" s="377"/>
      <c r="N409" s="377"/>
      <c r="O409" s="377"/>
      <c r="P409" s="377"/>
      <c r="Q409" s="377"/>
      <c r="R409" s="377"/>
      <c r="S409" s="377"/>
      <c r="T409" s="377"/>
      <c r="U409" s="377"/>
      <c r="V409" s="377"/>
      <c r="W409" s="377"/>
      <c r="X409" s="574"/>
      <c r="Y409" s="377"/>
      <c r="Z409" s="377"/>
      <c r="AA409" s="377"/>
      <c r="AB409" s="377"/>
      <c r="AC409" s="377"/>
      <c r="AD409" s="377"/>
      <c r="AE409" s="377"/>
      <c r="AF409" s="377"/>
      <c r="AG409" s="377"/>
      <c r="AH409" s="377"/>
      <c r="AI409" s="377"/>
      <c r="AJ409" s="377"/>
      <c r="AK409" s="377"/>
      <c r="AL409" s="574"/>
      <c r="AM409" s="377"/>
      <c r="AN409" s="377"/>
      <c r="AO409" s="377"/>
      <c r="AP409" s="377"/>
      <c r="AQ409" s="377"/>
      <c r="AR409" s="377"/>
      <c r="AS409" s="377"/>
      <c r="AT409" s="377"/>
      <c r="AU409" s="377"/>
      <c r="AV409" s="377"/>
      <c r="AW409" s="575"/>
      <c r="AX409" s="377"/>
      <c r="AY409" s="377"/>
      <c r="AZ409" s="377"/>
      <c r="BA409" s="377"/>
      <c r="BB409" s="377"/>
      <c r="BC409" s="377"/>
      <c r="BD409" s="377"/>
      <c r="BE409" s="377"/>
      <c r="BF409" s="377"/>
      <c r="BG409" s="377"/>
      <c r="BH409" s="377"/>
      <c r="BI409" s="377"/>
      <c r="BJ409" s="377"/>
      <c r="BK409" s="377"/>
      <c r="BL409" s="377"/>
      <c r="BM409" s="377"/>
      <c r="BN409" s="576"/>
      <c r="BO409" s="377"/>
      <c r="BP409" s="377"/>
      <c r="BQ409" s="377"/>
      <c r="BR409" s="377"/>
      <c r="BS409" s="377"/>
      <c r="BT409" s="377"/>
      <c r="BU409" s="377"/>
      <c r="BV409" s="377"/>
      <c r="BW409" s="377"/>
      <c r="BX409" s="377"/>
      <c r="BY409" s="377"/>
      <c r="BZ409" s="377"/>
      <c r="CA409" s="377"/>
      <c r="CB409" s="377"/>
      <c r="CC409" s="377"/>
      <c r="CD409" s="377"/>
      <c r="CE409" s="377"/>
      <c r="CF409" s="377"/>
      <c r="CG409" s="377"/>
      <c r="CH409" s="377"/>
      <c r="CI409" s="377"/>
    </row>
    <row r="410" spans="1:87" ht="15">
      <c r="A410" s="377"/>
      <c r="B410" s="377"/>
      <c r="C410" s="572"/>
      <c r="D410" s="377"/>
      <c r="E410" s="377"/>
      <c r="F410" s="377"/>
      <c r="G410" s="377"/>
      <c r="H410" s="573"/>
      <c r="I410" s="377"/>
      <c r="J410" s="377"/>
      <c r="K410" s="377"/>
      <c r="L410" s="377"/>
      <c r="M410" s="377"/>
      <c r="N410" s="377"/>
      <c r="O410" s="377"/>
      <c r="P410" s="377"/>
      <c r="Q410" s="377"/>
      <c r="R410" s="377"/>
      <c r="S410" s="377"/>
      <c r="T410" s="377"/>
      <c r="U410" s="377"/>
      <c r="V410" s="377"/>
      <c r="W410" s="377"/>
      <c r="X410" s="574"/>
      <c r="Y410" s="377"/>
      <c r="Z410" s="377"/>
      <c r="AA410" s="377"/>
      <c r="AB410" s="377"/>
      <c r="AC410" s="377"/>
      <c r="AD410" s="377"/>
      <c r="AE410" s="377"/>
      <c r="AF410" s="377"/>
      <c r="AG410" s="377"/>
      <c r="AH410" s="377"/>
      <c r="AI410" s="377"/>
      <c r="AJ410" s="377"/>
      <c r="AK410" s="377"/>
      <c r="AL410" s="574"/>
      <c r="AM410" s="377"/>
      <c r="AN410" s="377"/>
      <c r="AO410" s="377"/>
      <c r="AP410" s="377"/>
      <c r="AQ410" s="377"/>
      <c r="AR410" s="377"/>
      <c r="AS410" s="377"/>
      <c r="AT410" s="377"/>
      <c r="AU410" s="377"/>
      <c r="AV410" s="377"/>
      <c r="AW410" s="575"/>
      <c r="AX410" s="377"/>
      <c r="AY410" s="377"/>
      <c r="AZ410" s="377"/>
      <c r="BA410" s="377"/>
      <c r="BB410" s="377"/>
      <c r="BC410" s="377"/>
      <c r="BD410" s="377"/>
      <c r="BE410" s="377"/>
      <c r="BF410" s="377"/>
      <c r="BG410" s="377"/>
      <c r="BH410" s="377"/>
      <c r="BI410" s="377"/>
      <c r="BJ410" s="377"/>
      <c r="BK410" s="377"/>
      <c r="BL410" s="377"/>
      <c r="BM410" s="377"/>
      <c r="BN410" s="576"/>
      <c r="BO410" s="377"/>
      <c r="BP410" s="377"/>
      <c r="BQ410" s="377"/>
      <c r="BR410" s="377"/>
      <c r="BS410" s="377"/>
      <c r="BT410" s="377"/>
      <c r="BU410" s="377"/>
      <c r="BV410" s="377"/>
      <c r="BW410" s="377"/>
      <c r="BX410" s="377"/>
      <c r="BY410" s="377"/>
      <c r="BZ410" s="377"/>
      <c r="CA410" s="377"/>
      <c r="CB410" s="377"/>
      <c r="CC410" s="377"/>
      <c r="CD410" s="377"/>
      <c r="CE410" s="377"/>
      <c r="CF410" s="377"/>
      <c r="CG410" s="377"/>
      <c r="CH410" s="377"/>
      <c r="CI410" s="377"/>
    </row>
    <row r="411" spans="1:87" ht="15">
      <c r="A411" s="377"/>
      <c r="B411" s="377"/>
      <c r="C411" s="572"/>
      <c r="D411" s="377"/>
      <c r="E411" s="377"/>
      <c r="F411" s="377"/>
      <c r="G411" s="377"/>
      <c r="H411" s="573"/>
      <c r="I411" s="377"/>
      <c r="J411" s="377"/>
      <c r="K411" s="377"/>
      <c r="L411" s="377"/>
      <c r="M411" s="377"/>
      <c r="N411" s="377"/>
      <c r="O411" s="377"/>
      <c r="P411" s="377"/>
      <c r="Q411" s="377"/>
      <c r="R411" s="377"/>
      <c r="S411" s="377"/>
      <c r="T411" s="377"/>
      <c r="U411" s="377"/>
      <c r="V411" s="377"/>
      <c r="W411" s="377"/>
      <c r="X411" s="574"/>
      <c r="Y411" s="377"/>
      <c r="Z411" s="377"/>
      <c r="AA411" s="377"/>
      <c r="AB411" s="377"/>
      <c r="AC411" s="377"/>
      <c r="AD411" s="377"/>
      <c r="AE411" s="377"/>
      <c r="AF411" s="377"/>
      <c r="AG411" s="377"/>
      <c r="AH411" s="377"/>
      <c r="AI411" s="377"/>
      <c r="AJ411" s="377"/>
      <c r="AK411" s="377"/>
      <c r="AL411" s="574"/>
      <c r="AM411" s="377"/>
      <c r="AN411" s="377"/>
      <c r="AO411" s="377"/>
      <c r="AP411" s="377"/>
      <c r="AQ411" s="377"/>
      <c r="AR411" s="377"/>
      <c r="AS411" s="377"/>
      <c r="AT411" s="377"/>
      <c r="AU411" s="377"/>
      <c r="AV411" s="377"/>
      <c r="AW411" s="575"/>
      <c r="AX411" s="377"/>
      <c r="AY411" s="377"/>
      <c r="AZ411" s="377"/>
      <c r="BA411" s="377"/>
      <c r="BB411" s="377"/>
      <c r="BC411" s="377"/>
      <c r="BD411" s="377"/>
      <c r="BE411" s="377"/>
      <c r="BF411" s="377"/>
      <c r="BG411" s="377"/>
      <c r="BH411" s="377"/>
      <c r="BI411" s="377"/>
      <c r="BJ411" s="377"/>
      <c r="BK411" s="377"/>
      <c r="BL411" s="377"/>
      <c r="BM411" s="377"/>
      <c r="BN411" s="576"/>
      <c r="BO411" s="377"/>
      <c r="BP411" s="377"/>
      <c r="BQ411" s="377"/>
      <c r="BR411" s="377"/>
      <c r="BS411" s="377"/>
      <c r="BT411" s="377"/>
      <c r="BU411" s="377"/>
      <c r="BV411" s="377"/>
      <c r="BW411" s="377"/>
      <c r="BX411" s="377"/>
      <c r="BY411" s="377"/>
      <c r="BZ411" s="377"/>
      <c r="CA411" s="377"/>
      <c r="CB411" s="377"/>
      <c r="CC411" s="377"/>
      <c r="CD411" s="377"/>
      <c r="CE411" s="377"/>
      <c r="CF411" s="377"/>
      <c r="CG411" s="377"/>
      <c r="CH411" s="377"/>
      <c r="CI411" s="377"/>
    </row>
  </sheetData>
  <mergeCells count="75">
    <mergeCell ref="C211:E211"/>
    <mergeCell ref="G211:J211"/>
    <mergeCell ref="A201:B201"/>
    <mergeCell ref="C205:E205"/>
    <mergeCell ref="G205:J205"/>
    <mergeCell ref="C207:E207"/>
    <mergeCell ref="G207:J207"/>
    <mergeCell ref="C209:E209"/>
    <mergeCell ref="G209:J209"/>
    <mergeCell ref="A84:B84"/>
    <mergeCell ref="C84:J84"/>
    <mergeCell ref="A102:B102"/>
    <mergeCell ref="C102:J102"/>
    <mergeCell ref="A135:B135"/>
    <mergeCell ref="A143:B143"/>
    <mergeCell ref="BK12:BK13"/>
    <mergeCell ref="BL12:BL13"/>
    <mergeCell ref="BM12:BM13"/>
    <mergeCell ref="BN12:BN13"/>
    <mergeCell ref="A65:B65"/>
    <mergeCell ref="C65:J65"/>
    <mergeCell ref="BE12:BE13"/>
    <mergeCell ref="BF12:BF13"/>
    <mergeCell ref="BG12:BG13"/>
    <mergeCell ref="BH12:BH13"/>
    <mergeCell ref="BI12:BI13"/>
    <mergeCell ref="BJ12:BJ13"/>
    <mergeCell ref="AY12:AY13"/>
    <mergeCell ref="AZ12:AZ13"/>
    <mergeCell ref="BA12:BA13"/>
    <mergeCell ref="BB12:BB13"/>
    <mergeCell ref="BC12:BC13"/>
    <mergeCell ref="BD12:BD13"/>
    <mergeCell ref="AN12:AN13"/>
    <mergeCell ref="AO12:AR12"/>
    <mergeCell ref="AS12:AT12"/>
    <mergeCell ref="AU12:AV12"/>
    <mergeCell ref="AW12:AW13"/>
    <mergeCell ref="AX12:AX13"/>
    <mergeCell ref="AL12:AM12"/>
    <mergeCell ref="R12:V12"/>
    <mergeCell ref="W12:W13"/>
    <mergeCell ref="X12:X13"/>
    <mergeCell ref="Y12:Y13"/>
    <mergeCell ref="Z12:Z13"/>
    <mergeCell ref="AA12:AB12"/>
    <mergeCell ref="AC12:AD12"/>
    <mergeCell ref="AE12:AE13"/>
    <mergeCell ref="AF12:AG12"/>
    <mergeCell ref="AH12:AI12"/>
    <mergeCell ref="AJ12:AK12"/>
    <mergeCell ref="Q12:Q13"/>
    <mergeCell ref="A12:B13"/>
    <mergeCell ref="C12:C13"/>
    <mergeCell ref="D12:D13"/>
    <mergeCell ref="E12:E13"/>
    <mergeCell ref="F12:F13"/>
    <mergeCell ref="G12:G13"/>
    <mergeCell ref="H12:H13"/>
    <mergeCell ref="I12:I13"/>
    <mergeCell ref="J12:J13"/>
    <mergeCell ref="K12:K13"/>
    <mergeCell ref="L12:P12"/>
    <mergeCell ref="A10:AB10"/>
    <mergeCell ref="A3:I4"/>
    <mergeCell ref="P3:AB4"/>
    <mergeCell ref="A5:I5"/>
    <mergeCell ref="P5:AB5"/>
    <mergeCell ref="A6:I6"/>
    <mergeCell ref="P6:AB6"/>
    <mergeCell ref="A7:I7"/>
    <mergeCell ref="P7:AB7"/>
    <mergeCell ref="A8:I8"/>
    <mergeCell ref="P8:AB8"/>
    <mergeCell ref="A9:AB9"/>
  </mergeCells>
  <pageMargins left="0.23622047244094491" right="0.23622047244094491" top="0.35433070866141736" bottom="0.35433070866141736" header="0.31496062992125984" footer="0.31496062992125984"/>
  <pageSetup paperSize="9" scale="45"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8AD3C-B3DA-4403-94CD-478FBD672287}">
  <dimension ref="A1:CL411"/>
  <sheetViews>
    <sheetView zoomScale="60" zoomScaleNormal="60" workbookViewId="0">
      <pane xSplit="7" ySplit="13" topLeftCell="AR193" activePane="bottomRight" state="frozen"/>
      <selection pane="topRight" activeCell="H1" sqref="H1"/>
      <selection pane="bottomLeft" activeCell="A14" sqref="A14"/>
      <selection pane="bottomRight" activeCell="BL27" sqref="BL27"/>
    </sheetView>
  </sheetViews>
  <sheetFormatPr defaultColWidth="14.42578125" defaultRowHeight="12.75" outlineLevelCol="1"/>
  <cols>
    <col min="1" max="2" width="4.7109375" style="336" customWidth="1"/>
    <col min="3" max="3" width="25.85546875" style="336" customWidth="1"/>
    <col min="4" max="4" width="29.85546875" style="594" customWidth="1"/>
    <col min="5" max="5" width="0.140625" style="336" hidden="1" customWidth="1"/>
    <col min="6" max="6" width="13.7109375" style="336" customWidth="1"/>
    <col min="7" max="7" width="12.85546875" style="336" customWidth="1"/>
    <col min="8" max="8" width="13.7109375" style="595" customWidth="1"/>
    <col min="9" max="10" width="8.28515625" style="336" customWidth="1"/>
    <col min="11" max="11" width="15.7109375" style="336" customWidth="1"/>
    <col min="12" max="16" width="8" style="336" bestFit="1" customWidth="1" outlineLevel="1"/>
    <col min="17" max="17" width="12.5703125" style="336" bestFit="1" customWidth="1"/>
    <col min="18" max="22" width="8" style="336" bestFit="1" customWidth="1" outlineLevel="1"/>
    <col min="23" max="23" width="8.7109375" style="336" customWidth="1"/>
    <col min="24" max="24" width="9.7109375" style="336" bestFit="1" customWidth="1"/>
    <col min="25" max="25" width="15.140625" style="336" bestFit="1" customWidth="1"/>
    <col min="26" max="26" width="14" style="336" bestFit="1" customWidth="1"/>
    <col min="27" max="27" width="9.7109375" style="336" bestFit="1" customWidth="1"/>
    <col min="28" max="28" width="11.7109375" style="336" customWidth="1"/>
    <col min="29" max="29" width="8.140625" style="336" customWidth="1"/>
    <col min="30" max="30" width="12" style="336" bestFit="1" customWidth="1"/>
    <col min="31" max="31" width="13.28515625" style="336" customWidth="1"/>
    <col min="32" max="32" width="9.7109375" style="336" customWidth="1"/>
    <col min="33" max="33" width="12" style="336" bestFit="1" customWidth="1"/>
    <col min="34" max="34" width="10.140625" style="336" customWidth="1"/>
    <col min="35" max="35" width="14" style="336" bestFit="1" customWidth="1"/>
    <col min="36" max="36" width="9.7109375" style="336" bestFit="1" customWidth="1"/>
    <col min="37" max="37" width="12.85546875" style="336" customWidth="1"/>
    <col min="38" max="38" width="9.7109375" style="336" bestFit="1" customWidth="1"/>
    <col min="39" max="39" width="15.140625" style="336" bestFit="1" customWidth="1"/>
    <col min="40" max="40" width="16.140625" style="336" customWidth="1"/>
    <col min="41" max="41" width="14.7109375" style="336" customWidth="1"/>
    <col min="42" max="42" width="14.42578125" style="336" customWidth="1"/>
    <col min="43" max="43" width="14.140625" style="336" customWidth="1"/>
    <col min="44" max="44" width="13.42578125" style="336" customWidth="1"/>
    <col min="45" max="45" width="8.42578125" style="336" hidden="1" customWidth="1"/>
    <col min="46" max="46" width="12.7109375" style="336" hidden="1" customWidth="1"/>
    <col min="47" max="47" width="9.28515625" style="336" hidden="1" customWidth="1"/>
    <col min="48" max="48" width="13.28515625" style="336" hidden="1" customWidth="1"/>
    <col min="49" max="49" width="17.28515625" style="336" customWidth="1"/>
    <col min="50" max="50" width="15.140625" style="336" bestFit="1" customWidth="1"/>
    <col min="51" max="51" width="11.5703125" style="336" customWidth="1"/>
    <col min="52" max="52" width="14.7109375" style="336" customWidth="1"/>
    <col min="53" max="53" width="15.140625" style="336" bestFit="1" customWidth="1"/>
    <col min="54" max="54" width="14.42578125" style="336" customWidth="1"/>
    <col min="55" max="55" width="14" style="336" bestFit="1" customWidth="1"/>
    <col min="56" max="57" width="16.140625" style="336" customWidth="1"/>
    <col min="58" max="58" width="18.28515625" style="336" bestFit="1" customWidth="1"/>
    <col min="59" max="59" width="16.140625" style="336" customWidth="1"/>
    <col min="60" max="60" width="18.28515625" style="336" bestFit="1" customWidth="1"/>
    <col min="61" max="64" width="16.140625" style="336" customWidth="1"/>
    <col min="65" max="65" width="18.5703125" style="336" customWidth="1"/>
    <col min="66" max="66" width="11.42578125" style="578" customWidth="1"/>
    <col min="67" max="67" width="16.7109375" style="336" customWidth="1"/>
    <col min="68" max="87" width="16" style="336" customWidth="1"/>
    <col min="88" max="16384" width="14.42578125" style="336"/>
  </cols>
  <sheetData>
    <row r="1" spans="1:87" ht="15.75">
      <c r="A1" s="330"/>
      <c r="B1" s="330"/>
      <c r="C1" s="331"/>
      <c r="D1" s="331"/>
      <c r="E1" s="330"/>
      <c r="F1" s="330"/>
      <c r="G1" s="330"/>
      <c r="H1" s="332"/>
      <c r="I1" s="330"/>
      <c r="J1" s="330"/>
      <c r="K1" s="330"/>
      <c r="L1" s="330"/>
      <c r="M1" s="330"/>
      <c r="N1" s="330"/>
      <c r="O1" s="330"/>
      <c r="P1" s="330"/>
      <c r="Q1" s="330"/>
      <c r="R1" s="330"/>
      <c r="S1" s="330"/>
      <c r="T1" s="330"/>
      <c r="U1" s="330"/>
      <c r="V1" s="330"/>
      <c r="W1" s="330"/>
      <c r="X1" s="330"/>
      <c r="Y1" s="330"/>
      <c r="Z1" s="330"/>
      <c r="AA1" s="330"/>
      <c r="AB1" s="330"/>
      <c r="AC1" s="330"/>
      <c r="AD1" s="333"/>
      <c r="AE1" s="330"/>
      <c r="AF1" s="330"/>
      <c r="AG1" s="330"/>
      <c r="AH1" s="330"/>
      <c r="AI1" s="330"/>
      <c r="AJ1" s="330"/>
      <c r="AK1" s="330"/>
      <c r="AL1" s="330"/>
      <c r="AM1" s="330"/>
      <c r="AN1" s="330"/>
      <c r="AO1" s="330"/>
      <c r="AP1" s="330"/>
      <c r="AQ1" s="334"/>
      <c r="AR1" s="334"/>
      <c r="AS1" s="334"/>
      <c r="AT1" s="334"/>
      <c r="AU1" s="334"/>
      <c r="AV1" s="334"/>
      <c r="AW1" s="334"/>
      <c r="AX1" s="334"/>
      <c r="AY1" s="334"/>
      <c r="AZ1" s="334"/>
      <c r="BA1" s="334"/>
      <c r="BB1" s="334"/>
      <c r="BC1" s="334"/>
      <c r="BD1" s="334"/>
      <c r="BE1" s="334"/>
      <c r="BF1" s="334"/>
      <c r="BG1" s="334"/>
      <c r="BH1" s="334"/>
      <c r="BI1" s="334"/>
      <c r="BJ1" s="334"/>
      <c r="BK1" s="334"/>
      <c r="BL1" s="334"/>
      <c r="BM1" s="334"/>
      <c r="BN1" s="335"/>
      <c r="BO1" s="334"/>
      <c r="BP1" s="334"/>
      <c r="BQ1" s="334"/>
      <c r="BR1" s="334"/>
      <c r="BS1" s="334"/>
      <c r="BT1" s="334"/>
      <c r="BU1" s="334"/>
      <c r="BV1" s="334"/>
      <c r="BW1" s="334"/>
      <c r="BX1" s="334"/>
      <c r="BY1" s="334"/>
      <c r="BZ1" s="334"/>
      <c r="CA1" s="334"/>
      <c r="CB1" s="334"/>
      <c r="CC1" s="334"/>
      <c r="CD1" s="334"/>
      <c r="CE1" s="334"/>
      <c r="CF1" s="334"/>
      <c r="CG1" s="334"/>
      <c r="CH1" s="334"/>
      <c r="CI1" s="334"/>
    </row>
    <row r="2" spans="1:87" ht="15.75">
      <c r="A2" s="337"/>
      <c r="B2" s="337"/>
      <c r="C2" s="338"/>
      <c r="D2" s="338"/>
      <c r="E2" s="339"/>
      <c r="F2" s="337"/>
      <c r="G2" s="340"/>
      <c r="H2" s="341"/>
      <c r="I2" s="342"/>
      <c r="J2" s="342"/>
      <c r="K2" s="342"/>
      <c r="L2" s="342"/>
      <c r="M2" s="342"/>
      <c r="N2" s="342"/>
      <c r="O2" s="342"/>
      <c r="P2" s="342"/>
      <c r="Q2" s="342"/>
      <c r="R2" s="342"/>
      <c r="S2" s="342"/>
      <c r="T2" s="342"/>
      <c r="U2" s="342"/>
      <c r="V2" s="342"/>
      <c r="W2" s="342"/>
      <c r="X2" s="342"/>
      <c r="Y2" s="342"/>
      <c r="Z2" s="342"/>
      <c r="AA2" s="342"/>
      <c r="AB2" s="343"/>
      <c r="AC2" s="337"/>
      <c r="AD2" s="333"/>
      <c r="AE2" s="330"/>
      <c r="AF2" s="330"/>
      <c r="AG2" s="330"/>
      <c r="AH2" s="330"/>
      <c r="AI2" s="330"/>
      <c r="AJ2" s="330"/>
      <c r="AK2" s="330"/>
      <c r="AL2" s="330"/>
      <c r="AM2" s="330"/>
      <c r="AN2" s="330"/>
      <c r="AO2" s="330"/>
      <c r="AP2" s="330"/>
      <c r="AQ2" s="334"/>
      <c r="AR2" s="334"/>
      <c r="AS2" s="334"/>
      <c r="AT2" s="334"/>
      <c r="AU2" s="334"/>
      <c r="AV2" s="334"/>
      <c r="AW2" s="334"/>
      <c r="AX2" s="334"/>
      <c r="AY2" s="334"/>
      <c r="AZ2" s="334"/>
      <c r="BA2" s="334"/>
      <c r="BB2" s="334"/>
      <c r="BC2" s="334"/>
      <c r="BD2" s="334"/>
      <c r="BE2" s="334"/>
      <c r="BF2" s="334"/>
      <c r="BG2" s="334"/>
      <c r="BH2" s="334"/>
      <c r="BI2" s="334"/>
      <c r="BJ2" s="334"/>
      <c r="BK2" s="334"/>
      <c r="BL2" s="334"/>
      <c r="BM2" s="334"/>
      <c r="BN2" s="335"/>
      <c r="BO2" s="334"/>
      <c r="BP2" s="334"/>
      <c r="BQ2" s="334"/>
      <c r="BR2" s="334"/>
      <c r="BS2" s="334"/>
      <c r="BT2" s="334"/>
      <c r="BU2" s="334"/>
      <c r="BV2" s="334"/>
      <c r="BW2" s="334"/>
      <c r="BX2" s="334"/>
      <c r="BY2" s="334"/>
      <c r="BZ2" s="334"/>
      <c r="CA2" s="334"/>
      <c r="CB2" s="334"/>
      <c r="CC2" s="334"/>
      <c r="CD2" s="334"/>
      <c r="CE2" s="334"/>
      <c r="CF2" s="334"/>
      <c r="CG2" s="334"/>
      <c r="CH2" s="334"/>
      <c r="CI2" s="334"/>
    </row>
    <row r="3" spans="1:87" ht="22.5">
      <c r="A3" s="1488"/>
      <c r="B3" s="1488"/>
      <c r="C3" s="1488"/>
      <c r="D3" s="1488"/>
      <c r="E3" s="1488"/>
      <c r="F3" s="1488"/>
      <c r="G3" s="1488"/>
      <c r="H3" s="1488"/>
      <c r="I3" s="1488"/>
      <c r="J3" s="344"/>
      <c r="K3" s="344"/>
      <c r="L3" s="344"/>
      <c r="M3" s="345"/>
      <c r="N3" s="345"/>
      <c r="O3" s="345"/>
      <c r="P3" s="1489" t="s">
        <v>935</v>
      </c>
      <c r="Q3" s="1490"/>
      <c r="R3" s="1490"/>
      <c r="S3" s="1490"/>
      <c r="T3" s="1490"/>
      <c r="U3" s="1490"/>
      <c r="V3" s="1490"/>
      <c r="W3" s="1490"/>
      <c r="X3" s="1490"/>
      <c r="Y3" s="1490"/>
      <c r="Z3" s="1490"/>
      <c r="AA3" s="1490"/>
      <c r="AB3" s="1490"/>
      <c r="AC3" s="340"/>
      <c r="AD3" s="333"/>
      <c r="AE3" s="330"/>
      <c r="AF3" s="330"/>
      <c r="AG3" s="330"/>
      <c r="AH3" s="330"/>
      <c r="AI3" s="330"/>
      <c r="AJ3" s="330"/>
      <c r="AK3" s="330"/>
      <c r="AL3" s="330"/>
      <c r="AM3" s="330"/>
      <c r="AN3" s="330"/>
      <c r="AO3" s="330"/>
      <c r="AP3" s="330"/>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5"/>
      <c r="BO3" s="334"/>
      <c r="BP3" s="334"/>
      <c r="BQ3" s="334"/>
      <c r="BR3" s="334"/>
      <c r="BS3" s="334"/>
      <c r="BT3" s="334"/>
      <c r="BU3" s="334"/>
      <c r="BV3" s="334"/>
      <c r="BW3" s="334"/>
      <c r="BX3" s="334"/>
      <c r="BY3" s="334"/>
      <c r="BZ3" s="334"/>
      <c r="CA3" s="334"/>
      <c r="CB3" s="334"/>
      <c r="CC3" s="334"/>
      <c r="CD3" s="334"/>
      <c r="CE3" s="334"/>
      <c r="CF3" s="334"/>
      <c r="CG3" s="334"/>
      <c r="CH3" s="334"/>
      <c r="CI3" s="334"/>
    </row>
    <row r="4" spans="1:87" ht="22.5">
      <c r="A4" s="1488"/>
      <c r="B4" s="1488"/>
      <c r="C4" s="1488"/>
      <c r="D4" s="1488"/>
      <c r="E4" s="1488"/>
      <c r="F4" s="1488"/>
      <c r="G4" s="1488"/>
      <c r="H4" s="1488"/>
      <c r="I4" s="1488"/>
      <c r="J4" s="344"/>
      <c r="K4" s="344"/>
      <c r="L4" s="344"/>
      <c r="M4" s="345"/>
      <c r="N4" s="345"/>
      <c r="O4" s="345"/>
      <c r="P4" s="1490"/>
      <c r="Q4" s="1490"/>
      <c r="R4" s="1490"/>
      <c r="S4" s="1490"/>
      <c r="T4" s="1490"/>
      <c r="U4" s="1490"/>
      <c r="V4" s="1490"/>
      <c r="W4" s="1490"/>
      <c r="X4" s="1490"/>
      <c r="Y4" s="1490"/>
      <c r="Z4" s="1490"/>
      <c r="AA4" s="1490"/>
      <c r="AB4" s="1490"/>
      <c r="AC4" s="340"/>
      <c r="AD4" s="333"/>
      <c r="AE4" s="330"/>
      <c r="AF4" s="330"/>
      <c r="AG4" s="330"/>
      <c r="AH4" s="330"/>
      <c r="AI4" s="330"/>
      <c r="AJ4" s="330"/>
      <c r="AK4" s="330"/>
      <c r="AL4" s="330"/>
      <c r="AM4" s="330"/>
      <c r="AN4" s="330"/>
      <c r="AO4" s="330"/>
      <c r="AP4" s="330"/>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5"/>
      <c r="BO4" s="334"/>
      <c r="BP4" s="334"/>
      <c r="BQ4" s="334"/>
      <c r="BR4" s="334"/>
      <c r="BS4" s="334"/>
      <c r="BT4" s="334"/>
      <c r="BU4" s="334"/>
      <c r="BV4" s="334"/>
      <c r="BW4" s="334"/>
      <c r="BX4" s="334"/>
      <c r="BY4" s="334"/>
      <c r="BZ4" s="334"/>
      <c r="CA4" s="334"/>
      <c r="CB4" s="334"/>
      <c r="CC4" s="334"/>
      <c r="CD4" s="334"/>
      <c r="CE4" s="334"/>
      <c r="CF4" s="334"/>
      <c r="CG4" s="334"/>
      <c r="CH4" s="334"/>
      <c r="CI4" s="334"/>
    </row>
    <row r="5" spans="1:87" ht="26.25" customHeight="1">
      <c r="A5" s="1491"/>
      <c r="B5" s="1491"/>
      <c r="C5" s="1491"/>
      <c r="D5" s="1491"/>
      <c r="E5" s="1491"/>
      <c r="F5" s="1491"/>
      <c r="G5" s="1491"/>
      <c r="H5" s="1491"/>
      <c r="I5" s="1491"/>
      <c r="J5" s="344"/>
      <c r="K5" s="344"/>
      <c r="L5" s="344"/>
      <c r="M5" s="345"/>
      <c r="N5" s="345"/>
      <c r="O5" s="345"/>
      <c r="P5" s="1489" t="s">
        <v>936</v>
      </c>
      <c r="Q5" s="1490"/>
      <c r="R5" s="1490"/>
      <c r="S5" s="1490"/>
      <c r="T5" s="1490"/>
      <c r="U5" s="1490"/>
      <c r="V5" s="1490"/>
      <c r="W5" s="1490"/>
      <c r="X5" s="1490"/>
      <c r="Y5" s="1490"/>
      <c r="Z5" s="1490"/>
      <c r="AA5" s="1490"/>
      <c r="AB5" s="1490"/>
      <c r="AC5" s="340"/>
      <c r="AD5" s="333"/>
      <c r="AE5" s="330"/>
      <c r="AF5" s="330"/>
      <c r="AG5" s="330"/>
      <c r="AH5" s="330"/>
      <c r="AI5" s="330"/>
      <c r="AJ5" s="330"/>
      <c r="AK5" s="330"/>
      <c r="AL5" s="330"/>
      <c r="AM5" s="330"/>
      <c r="AN5" s="330"/>
      <c r="AO5" s="330"/>
      <c r="AP5" s="330"/>
      <c r="AQ5" s="334"/>
      <c r="AR5" s="334"/>
      <c r="AS5" s="334"/>
      <c r="AT5" s="334"/>
      <c r="AU5" s="334"/>
      <c r="AV5" s="334"/>
      <c r="AW5" s="334"/>
      <c r="AX5" s="334"/>
      <c r="AY5" s="334"/>
      <c r="AZ5" s="334"/>
      <c r="BA5" s="334"/>
      <c r="BB5" s="334"/>
      <c r="BC5" s="334"/>
      <c r="BD5" s="334"/>
      <c r="BE5" s="334"/>
      <c r="BF5" s="334"/>
      <c r="BG5" s="334"/>
      <c r="BH5" s="334"/>
      <c r="BI5" s="334"/>
      <c r="BJ5" s="334"/>
      <c r="BK5" s="334"/>
      <c r="BL5" s="334"/>
      <c r="BM5" s="334"/>
      <c r="BN5" s="335"/>
      <c r="BO5" s="334"/>
      <c r="BP5" s="334"/>
      <c r="BQ5" s="334"/>
      <c r="BR5" s="334"/>
      <c r="BS5" s="334"/>
      <c r="BT5" s="334"/>
      <c r="BU5" s="334"/>
      <c r="BV5" s="334"/>
      <c r="BW5" s="334"/>
      <c r="BX5" s="334"/>
      <c r="BY5" s="334"/>
      <c r="BZ5" s="334"/>
      <c r="CA5" s="334"/>
      <c r="CB5" s="334"/>
      <c r="CC5" s="334"/>
      <c r="CD5" s="334"/>
      <c r="CE5" s="334"/>
      <c r="CF5" s="334"/>
      <c r="CG5" s="334"/>
      <c r="CH5" s="334"/>
      <c r="CI5" s="334"/>
    </row>
    <row r="6" spans="1:87" ht="27" customHeight="1">
      <c r="A6" s="1492"/>
      <c r="B6" s="1492"/>
      <c r="C6" s="1492"/>
      <c r="D6" s="1492"/>
      <c r="E6" s="1492"/>
      <c r="F6" s="1492"/>
      <c r="G6" s="1492"/>
      <c r="H6" s="1492"/>
      <c r="I6" s="1492"/>
      <c r="J6" s="345"/>
      <c r="K6" s="345"/>
      <c r="L6" s="345"/>
      <c r="M6" s="345"/>
      <c r="N6" s="345"/>
      <c r="O6" s="345"/>
      <c r="P6" s="1489" t="s">
        <v>937</v>
      </c>
      <c r="Q6" s="1490"/>
      <c r="R6" s="1490"/>
      <c r="S6" s="1490"/>
      <c r="T6" s="1490"/>
      <c r="U6" s="1490"/>
      <c r="V6" s="1490"/>
      <c r="W6" s="1490"/>
      <c r="X6" s="1490"/>
      <c r="Y6" s="1490"/>
      <c r="Z6" s="1490"/>
      <c r="AA6" s="1490"/>
      <c r="AB6" s="1490"/>
      <c r="AC6" s="340"/>
      <c r="AD6" s="333"/>
      <c r="AE6" s="330"/>
      <c r="AF6" s="330"/>
      <c r="AG6" s="330"/>
      <c r="AH6" s="330"/>
      <c r="AI6" s="330"/>
      <c r="AJ6" s="330"/>
      <c r="AK6" s="330"/>
      <c r="AL6" s="330"/>
      <c r="AM6" s="330"/>
      <c r="AN6" s="330"/>
      <c r="AO6" s="330"/>
      <c r="AP6" s="330"/>
      <c r="AQ6" s="334"/>
      <c r="AR6" s="334"/>
      <c r="AS6" s="334"/>
      <c r="AT6" s="334"/>
      <c r="AU6" s="334"/>
      <c r="AV6" s="334"/>
      <c r="AW6" s="334"/>
      <c r="AX6" s="334"/>
      <c r="AY6" s="334"/>
      <c r="AZ6" s="334"/>
      <c r="BA6" s="334"/>
      <c r="BB6" s="334"/>
      <c r="BC6" s="334"/>
      <c r="BD6" s="334"/>
      <c r="BE6" s="334"/>
      <c r="BF6" s="334"/>
      <c r="BG6" s="334"/>
      <c r="BH6" s="334"/>
      <c r="BI6" s="334"/>
      <c r="BJ6" s="334"/>
      <c r="BK6" s="334"/>
      <c r="BL6" s="334"/>
      <c r="BM6" s="334"/>
      <c r="BN6" s="335"/>
      <c r="BO6" s="334"/>
      <c r="BP6" s="334"/>
      <c r="BQ6" s="334"/>
      <c r="BR6" s="334"/>
      <c r="BS6" s="334"/>
      <c r="BT6" s="334"/>
      <c r="BU6" s="334"/>
      <c r="BV6" s="334"/>
      <c r="BW6" s="334"/>
      <c r="BX6" s="334"/>
      <c r="BY6" s="334"/>
      <c r="BZ6" s="334"/>
      <c r="CA6" s="334"/>
      <c r="CB6" s="334"/>
      <c r="CC6" s="334"/>
      <c r="CD6" s="334"/>
      <c r="CE6" s="334"/>
      <c r="CF6" s="334"/>
      <c r="CG6" s="334"/>
      <c r="CH6" s="334"/>
      <c r="CI6" s="334"/>
    </row>
    <row r="7" spans="1:87" ht="23.25">
      <c r="A7" s="1492"/>
      <c r="B7" s="1492"/>
      <c r="C7" s="1492"/>
      <c r="D7" s="1492"/>
      <c r="E7" s="1492"/>
      <c r="F7" s="1492"/>
      <c r="G7" s="1492"/>
      <c r="H7" s="1492"/>
      <c r="I7" s="1492"/>
      <c r="J7" s="345"/>
      <c r="K7" s="345"/>
      <c r="L7" s="345"/>
      <c r="M7" s="345"/>
      <c r="N7" s="345"/>
      <c r="O7" s="346"/>
      <c r="P7" s="1489" t="s">
        <v>938</v>
      </c>
      <c r="Q7" s="1489"/>
      <c r="R7" s="1489"/>
      <c r="S7" s="1489"/>
      <c r="T7" s="1489"/>
      <c r="U7" s="1489"/>
      <c r="V7" s="1489"/>
      <c r="W7" s="1489"/>
      <c r="X7" s="1489"/>
      <c r="Y7" s="1489"/>
      <c r="Z7" s="1489"/>
      <c r="AA7" s="1489"/>
      <c r="AB7" s="1489"/>
      <c r="AC7" s="717"/>
      <c r="AD7" s="333"/>
      <c r="AE7" s="330"/>
      <c r="AF7" s="330"/>
      <c r="AG7" s="330"/>
      <c r="AH7" s="330"/>
      <c r="AI7" s="330"/>
      <c r="AJ7" s="330"/>
      <c r="AK7" s="330"/>
      <c r="AL7" s="330"/>
      <c r="AM7" s="330"/>
      <c r="AN7" s="330"/>
      <c r="AO7" s="330"/>
      <c r="AP7" s="330"/>
      <c r="AQ7" s="334"/>
      <c r="AR7" s="334"/>
      <c r="AS7" s="334"/>
      <c r="AT7" s="334"/>
      <c r="AU7" s="334"/>
      <c r="AV7" s="334"/>
      <c r="AW7" s="334"/>
      <c r="AX7" s="334"/>
      <c r="AY7" s="334"/>
      <c r="AZ7" s="334"/>
      <c r="BA7" s="334"/>
      <c r="BB7" s="334"/>
      <c r="BC7" s="334"/>
      <c r="BD7" s="334"/>
      <c r="BE7" s="334"/>
      <c r="BF7" s="334"/>
      <c r="BG7" s="334"/>
      <c r="BH7" s="334"/>
      <c r="BI7" s="334"/>
      <c r="BJ7" s="334"/>
      <c r="BK7" s="334"/>
      <c r="BL7" s="334"/>
      <c r="BM7" s="334"/>
      <c r="BN7" s="335"/>
      <c r="BO7" s="334"/>
      <c r="BP7" s="334"/>
      <c r="BQ7" s="334"/>
      <c r="BR7" s="334"/>
      <c r="BS7" s="334"/>
      <c r="BT7" s="334"/>
      <c r="BU7" s="334"/>
      <c r="BV7" s="334"/>
      <c r="BW7" s="334"/>
      <c r="BX7" s="334"/>
      <c r="BY7" s="334"/>
      <c r="BZ7" s="334"/>
      <c r="CA7" s="334"/>
      <c r="CB7" s="334"/>
      <c r="CC7" s="334"/>
      <c r="CD7" s="334"/>
      <c r="CE7" s="334"/>
      <c r="CF7" s="334"/>
      <c r="CG7" s="334"/>
      <c r="CH7" s="334"/>
      <c r="CI7" s="334"/>
    </row>
    <row r="8" spans="1:87" ht="26.25" customHeight="1">
      <c r="A8" s="1492"/>
      <c r="B8" s="1492"/>
      <c r="C8" s="1492"/>
      <c r="D8" s="1492"/>
      <c r="E8" s="1492"/>
      <c r="F8" s="1492"/>
      <c r="G8" s="1492"/>
      <c r="H8" s="1492"/>
      <c r="I8" s="1492"/>
      <c r="J8" s="345"/>
      <c r="K8" s="345"/>
      <c r="L8" s="345"/>
      <c r="M8" s="345"/>
      <c r="N8" s="345"/>
      <c r="O8" s="346"/>
      <c r="P8" s="1489" t="s">
        <v>2411</v>
      </c>
      <c r="Q8" s="1489"/>
      <c r="R8" s="1489"/>
      <c r="S8" s="1489"/>
      <c r="T8" s="1489"/>
      <c r="U8" s="1489"/>
      <c r="V8" s="1489"/>
      <c r="W8" s="1489"/>
      <c r="X8" s="1489"/>
      <c r="Y8" s="1489"/>
      <c r="Z8" s="1489"/>
      <c r="AA8" s="1489"/>
      <c r="AB8" s="1489"/>
      <c r="AC8" s="717"/>
      <c r="AD8" s="333"/>
      <c r="AE8" s="330"/>
      <c r="AF8" s="330"/>
      <c r="AG8" s="330"/>
      <c r="AH8" s="330"/>
      <c r="AI8" s="330"/>
      <c r="AJ8" s="330"/>
      <c r="AK8" s="330"/>
      <c r="AL8" s="330"/>
      <c r="AM8" s="330"/>
      <c r="AN8" s="330"/>
      <c r="AO8" s="330"/>
      <c r="AP8" s="330"/>
      <c r="AQ8" s="334"/>
      <c r="AR8" s="334"/>
      <c r="AS8" s="334"/>
      <c r="AT8" s="334"/>
      <c r="AU8" s="334"/>
      <c r="AV8" s="334"/>
      <c r="AW8" s="334"/>
      <c r="AX8" s="334"/>
      <c r="AY8" s="334"/>
      <c r="AZ8" s="334"/>
      <c r="BA8" s="334"/>
      <c r="BB8" s="334"/>
      <c r="BC8" s="334"/>
      <c r="BD8" s="334"/>
      <c r="BE8" s="334"/>
      <c r="BF8" s="334"/>
      <c r="BG8" s="334"/>
      <c r="BH8" s="334"/>
      <c r="BI8" s="334"/>
      <c r="BJ8" s="334"/>
      <c r="BK8" s="334"/>
      <c r="BL8" s="334"/>
      <c r="BM8" s="334"/>
      <c r="BN8" s="335"/>
      <c r="BO8" s="334"/>
      <c r="BP8" s="334"/>
      <c r="BQ8" s="334"/>
      <c r="BR8" s="334"/>
      <c r="BS8" s="334"/>
      <c r="BT8" s="334"/>
      <c r="BU8" s="334"/>
      <c r="BV8" s="334"/>
      <c r="BW8" s="334"/>
      <c r="BX8" s="334"/>
      <c r="BY8" s="334"/>
      <c r="BZ8" s="334"/>
      <c r="CA8" s="334"/>
      <c r="CB8" s="334"/>
      <c r="CC8" s="334"/>
      <c r="CD8" s="334"/>
      <c r="CE8" s="334"/>
      <c r="CF8" s="334"/>
      <c r="CG8" s="334"/>
      <c r="CH8" s="334"/>
      <c r="CI8" s="334"/>
    </row>
    <row r="9" spans="1:87" ht="29.25" customHeight="1">
      <c r="A9" s="1487" t="s">
        <v>2412</v>
      </c>
      <c r="B9" s="1487"/>
      <c r="C9" s="1487"/>
      <c r="D9" s="1487"/>
      <c r="E9" s="1487"/>
      <c r="F9" s="1487"/>
      <c r="G9" s="1487"/>
      <c r="H9" s="1487"/>
      <c r="I9" s="1487"/>
      <c r="J9" s="1487"/>
      <c r="K9" s="1487"/>
      <c r="L9" s="1487"/>
      <c r="M9" s="1487"/>
      <c r="N9" s="1487"/>
      <c r="O9" s="1487"/>
      <c r="P9" s="1487"/>
      <c r="Q9" s="1487"/>
      <c r="R9" s="1487"/>
      <c r="S9" s="1487"/>
      <c r="T9" s="1487"/>
      <c r="U9" s="1487"/>
      <c r="V9" s="1487"/>
      <c r="W9" s="1487"/>
      <c r="X9" s="1487"/>
      <c r="Y9" s="1487"/>
      <c r="Z9" s="1487"/>
      <c r="AA9" s="1487"/>
      <c r="AB9" s="1487"/>
      <c r="AC9" s="347"/>
      <c r="AD9" s="333"/>
      <c r="AE9" s="330"/>
      <c r="AF9" s="330"/>
      <c r="AG9" s="330"/>
      <c r="AH9" s="330"/>
      <c r="AI9" s="330"/>
      <c r="AJ9" s="330"/>
      <c r="AK9" s="330"/>
      <c r="AL9" s="330"/>
      <c r="AM9" s="330"/>
      <c r="AN9" s="330"/>
      <c r="AO9" s="330"/>
      <c r="AP9" s="330"/>
      <c r="AQ9" s="334"/>
      <c r="AR9" s="334"/>
      <c r="AS9" s="334"/>
      <c r="AT9" s="334"/>
      <c r="AU9" s="334"/>
      <c r="AV9" s="334"/>
      <c r="AW9" s="334"/>
      <c r="AX9" s="334"/>
      <c r="AY9" s="334"/>
      <c r="AZ9" s="334"/>
      <c r="BA9" s="334"/>
      <c r="BB9" s="334"/>
      <c r="BC9" s="334"/>
      <c r="BD9" s="334"/>
      <c r="BE9" s="334"/>
      <c r="BF9" s="334"/>
      <c r="BG9" s="334"/>
      <c r="BH9" s="334"/>
      <c r="BI9" s="334"/>
      <c r="BJ9" s="334"/>
      <c r="BK9" s="334"/>
      <c r="BL9" s="334"/>
      <c r="BM9" s="334"/>
      <c r="BN9" s="335"/>
      <c r="BO9" s="334"/>
      <c r="BP9" s="334"/>
      <c r="BQ9" s="334"/>
      <c r="BR9" s="334"/>
      <c r="BS9" s="334"/>
      <c r="BT9" s="334"/>
      <c r="BU9" s="334"/>
      <c r="BV9" s="334"/>
      <c r="BW9" s="334"/>
      <c r="BX9" s="334"/>
      <c r="BY9" s="334"/>
      <c r="BZ9" s="334"/>
      <c r="CA9" s="334"/>
      <c r="CB9" s="334"/>
      <c r="CC9" s="334"/>
      <c r="CD9" s="334"/>
      <c r="CE9" s="334"/>
      <c r="CF9" s="334"/>
      <c r="CG9" s="334"/>
      <c r="CH9" s="334"/>
      <c r="CI9" s="334"/>
    </row>
    <row r="10" spans="1:87" ht="28.5" customHeight="1">
      <c r="A10" s="1487" t="s">
        <v>2413</v>
      </c>
      <c r="B10" s="1487"/>
      <c r="C10" s="1487"/>
      <c r="D10" s="1487"/>
      <c r="E10" s="1487"/>
      <c r="F10" s="1487"/>
      <c r="G10" s="1487"/>
      <c r="H10" s="1487"/>
      <c r="I10" s="1487"/>
      <c r="J10" s="1487"/>
      <c r="K10" s="1487"/>
      <c r="L10" s="1487"/>
      <c r="M10" s="1487"/>
      <c r="N10" s="1487"/>
      <c r="O10" s="1487"/>
      <c r="P10" s="1487"/>
      <c r="Q10" s="1487"/>
      <c r="R10" s="1487"/>
      <c r="S10" s="1487"/>
      <c r="T10" s="1487"/>
      <c r="U10" s="1487"/>
      <c r="V10" s="1487"/>
      <c r="W10" s="1487"/>
      <c r="X10" s="1487"/>
      <c r="Y10" s="1487"/>
      <c r="Z10" s="1487"/>
      <c r="AA10" s="1487"/>
      <c r="AB10" s="1487"/>
      <c r="AC10" s="348"/>
      <c r="AD10" s="333"/>
      <c r="AE10" s="330"/>
      <c r="AF10" s="330"/>
      <c r="AG10" s="330"/>
      <c r="AH10" s="330"/>
      <c r="AI10" s="330"/>
      <c r="AJ10" s="330"/>
      <c r="AK10" s="330"/>
      <c r="AL10" s="330"/>
      <c r="AM10" s="330"/>
      <c r="AN10" s="330"/>
      <c r="AO10" s="330"/>
      <c r="AP10" s="330"/>
      <c r="AQ10" s="334"/>
      <c r="AR10" s="334"/>
      <c r="AS10" s="334"/>
      <c r="AT10" s="334"/>
      <c r="AU10" s="334"/>
      <c r="AV10" s="334"/>
      <c r="AW10" s="334"/>
      <c r="AX10" s="334"/>
      <c r="AY10" s="334"/>
      <c r="AZ10" s="334"/>
      <c r="BA10" s="334"/>
      <c r="BB10" s="334"/>
      <c r="BC10" s="334"/>
      <c r="BD10" s="334"/>
      <c r="BE10" s="334"/>
      <c r="BF10" s="334"/>
      <c r="BG10" s="334"/>
      <c r="BH10" s="334"/>
      <c r="BI10" s="334"/>
      <c r="BJ10" s="334"/>
      <c r="BK10" s="334"/>
      <c r="BL10" s="334"/>
      <c r="BM10" s="334"/>
      <c r="BN10" s="335"/>
      <c r="BO10" s="334"/>
      <c r="BP10" s="334"/>
      <c r="BQ10" s="334"/>
      <c r="BR10" s="334"/>
      <c r="BS10" s="334"/>
      <c r="BT10" s="334"/>
      <c r="BU10" s="334"/>
      <c r="BV10" s="334"/>
      <c r="BW10" s="334"/>
      <c r="BX10" s="334"/>
      <c r="BY10" s="334"/>
      <c r="BZ10" s="334"/>
      <c r="CA10" s="334"/>
      <c r="CB10" s="334"/>
      <c r="CC10" s="334"/>
      <c r="CD10" s="334"/>
      <c r="CE10" s="334"/>
      <c r="CF10" s="334"/>
      <c r="CG10" s="334"/>
      <c r="CH10" s="334"/>
      <c r="CI10" s="334"/>
    </row>
    <row r="11" spans="1:87" ht="15.75">
      <c r="A11" s="349"/>
      <c r="B11" s="349" t="s">
        <v>8</v>
      </c>
      <c r="C11" s="350"/>
      <c r="D11" s="350"/>
      <c r="E11" s="349"/>
      <c r="F11" s="349"/>
      <c r="G11" s="351"/>
      <c r="H11" s="352"/>
      <c r="I11" s="351"/>
      <c r="J11" s="351"/>
      <c r="K11" s="351"/>
      <c r="L11" s="351"/>
      <c r="M11" s="351"/>
      <c r="N11" s="351"/>
      <c r="O11" s="351"/>
      <c r="P11" s="351"/>
      <c r="Q11" s="351"/>
      <c r="R11" s="351"/>
      <c r="S11" s="351"/>
      <c r="T11" s="351"/>
      <c r="U11" s="351"/>
      <c r="V11" s="351"/>
      <c r="W11" s="351"/>
      <c r="X11" s="351"/>
      <c r="Y11" s="351"/>
      <c r="Z11" s="351"/>
      <c r="AA11" s="351"/>
      <c r="AB11" s="351"/>
      <c r="AC11" s="353"/>
      <c r="AD11" s="333"/>
      <c r="AE11" s="330"/>
      <c r="AF11" s="330"/>
      <c r="AG11" s="330"/>
      <c r="AH11" s="330"/>
      <c r="AI11" s="330"/>
      <c r="AJ11" s="330"/>
      <c r="AK11" s="330"/>
      <c r="AL11" s="330"/>
      <c r="AM11" s="330"/>
      <c r="AN11" s="330"/>
      <c r="AO11" s="330"/>
      <c r="AP11" s="330"/>
      <c r="AQ11" s="334"/>
      <c r="AR11" s="334"/>
      <c r="AS11" s="334"/>
      <c r="AT11" s="334"/>
      <c r="AU11" s="334"/>
      <c r="AV11" s="334"/>
      <c r="AW11" s="334"/>
      <c r="AX11" s="334"/>
      <c r="AY11" s="334"/>
      <c r="AZ11" s="354" t="s">
        <v>2414</v>
      </c>
      <c r="BA11" s="334"/>
      <c r="BB11" s="334"/>
      <c r="BC11" s="334"/>
      <c r="BD11" s="334"/>
      <c r="BE11" s="334"/>
      <c r="BF11" s="334"/>
      <c r="BG11" s="334"/>
      <c r="BH11" s="334"/>
      <c r="BI11" s="334"/>
      <c r="BJ11" s="334"/>
      <c r="BK11" s="334"/>
      <c r="BL11" s="334"/>
      <c r="BM11" s="334"/>
      <c r="BN11" s="335"/>
      <c r="BO11" s="334"/>
      <c r="BP11" s="334"/>
      <c r="BQ11" s="334"/>
      <c r="BR11" s="334"/>
      <c r="BS11" s="334"/>
      <c r="BT11" s="334"/>
      <c r="BU11" s="334"/>
      <c r="BV11" s="334"/>
      <c r="BW11" s="334"/>
      <c r="BX11" s="334"/>
      <c r="BY11" s="334"/>
      <c r="BZ11" s="334"/>
      <c r="CA11" s="334"/>
      <c r="CB11" s="334"/>
      <c r="CC11" s="334"/>
      <c r="CD11" s="334"/>
      <c r="CE11" s="334"/>
      <c r="CF11" s="334"/>
      <c r="CG11" s="334"/>
      <c r="CH11" s="334"/>
      <c r="CI11" s="334"/>
    </row>
    <row r="12" spans="1:87" ht="168.75" customHeight="1">
      <c r="A12" s="1495" t="s">
        <v>1</v>
      </c>
      <c r="B12" s="1496"/>
      <c r="C12" s="1499" t="s">
        <v>939</v>
      </c>
      <c r="D12" s="1499" t="s">
        <v>940</v>
      </c>
      <c r="E12" s="1499" t="s">
        <v>941</v>
      </c>
      <c r="F12" s="1499" t="s">
        <v>942</v>
      </c>
      <c r="G12" s="1499" t="s">
        <v>943</v>
      </c>
      <c r="H12" s="1501" t="s">
        <v>944</v>
      </c>
      <c r="I12" s="1499" t="s">
        <v>945</v>
      </c>
      <c r="J12" s="1499" t="s">
        <v>191</v>
      </c>
      <c r="K12" s="1504" t="s">
        <v>946</v>
      </c>
      <c r="L12" s="1506" t="s">
        <v>947</v>
      </c>
      <c r="M12" s="1507"/>
      <c r="N12" s="1507"/>
      <c r="O12" s="1507"/>
      <c r="P12" s="1508"/>
      <c r="Q12" s="1493" t="s">
        <v>948</v>
      </c>
      <c r="R12" s="1506" t="s">
        <v>949</v>
      </c>
      <c r="S12" s="1507"/>
      <c r="T12" s="1507"/>
      <c r="U12" s="1507"/>
      <c r="V12" s="1508"/>
      <c r="W12" s="1493" t="s">
        <v>950</v>
      </c>
      <c r="X12" s="1510" t="s">
        <v>951</v>
      </c>
      <c r="Y12" s="1504" t="s">
        <v>952</v>
      </c>
      <c r="Z12" s="1504" t="s">
        <v>953</v>
      </c>
      <c r="AA12" s="1509" t="s">
        <v>954</v>
      </c>
      <c r="AB12" s="1508"/>
      <c r="AC12" s="1509" t="s">
        <v>955</v>
      </c>
      <c r="AD12" s="1508"/>
      <c r="AE12" s="1499" t="s">
        <v>956</v>
      </c>
      <c r="AF12" s="1509" t="s">
        <v>957</v>
      </c>
      <c r="AG12" s="1508"/>
      <c r="AH12" s="1509" t="s">
        <v>958</v>
      </c>
      <c r="AI12" s="1508"/>
      <c r="AJ12" s="1509" t="s">
        <v>959</v>
      </c>
      <c r="AK12" s="1508"/>
      <c r="AL12" s="1509" t="s">
        <v>960</v>
      </c>
      <c r="AM12" s="1508"/>
      <c r="AN12" s="1499" t="s">
        <v>942</v>
      </c>
      <c r="AO12" s="1506" t="s">
        <v>961</v>
      </c>
      <c r="AP12" s="1512"/>
      <c r="AQ12" s="1512"/>
      <c r="AR12" s="1513"/>
      <c r="AS12" s="1509" t="s">
        <v>962</v>
      </c>
      <c r="AT12" s="1514"/>
      <c r="AU12" s="1509" t="s">
        <v>963</v>
      </c>
      <c r="AV12" s="1508"/>
      <c r="AW12" s="1499" t="s">
        <v>964</v>
      </c>
      <c r="AX12" s="1504" t="s">
        <v>965</v>
      </c>
      <c r="AY12" s="1504" t="s">
        <v>966</v>
      </c>
      <c r="AZ12" s="1504" t="s">
        <v>967</v>
      </c>
      <c r="BA12" s="1523" t="s">
        <v>968</v>
      </c>
      <c r="BB12" s="1504" t="s">
        <v>969</v>
      </c>
      <c r="BC12" s="1504" t="s">
        <v>970</v>
      </c>
      <c r="BD12" s="1504" t="s">
        <v>971</v>
      </c>
      <c r="BE12" s="1504" t="s">
        <v>972</v>
      </c>
      <c r="BF12" s="1523" t="s">
        <v>973</v>
      </c>
      <c r="BG12" s="1504" t="s">
        <v>974</v>
      </c>
      <c r="BH12" s="1523" t="s">
        <v>975</v>
      </c>
      <c r="BI12" s="1504" t="s">
        <v>976</v>
      </c>
      <c r="BJ12" s="1504" t="s">
        <v>977</v>
      </c>
      <c r="BK12" s="1527" t="s">
        <v>978</v>
      </c>
      <c r="BL12" s="1525" t="s">
        <v>2415</v>
      </c>
      <c r="BM12" s="1516" t="s">
        <v>979</v>
      </c>
      <c r="BN12" s="1518" t="s">
        <v>980</v>
      </c>
      <c r="BO12" s="355"/>
      <c r="BP12" s="355"/>
      <c r="BQ12" s="355"/>
      <c r="BR12" s="355"/>
      <c r="BS12" s="355"/>
      <c r="BT12" s="355"/>
      <c r="BU12" s="355"/>
      <c r="BV12" s="355"/>
      <c r="BW12" s="355"/>
      <c r="BX12" s="355"/>
      <c r="BY12" s="355"/>
      <c r="BZ12" s="355"/>
      <c r="CA12" s="355"/>
      <c r="CB12" s="355"/>
      <c r="CC12" s="355"/>
      <c r="CD12" s="355"/>
      <c r="CE12" s="355"/>
      <c r="CF12" s="355"/>
      <c r="CG12" s="355"/>
      <c r="CH12" s="355"/>
      <c r="CI12" s="356"/>
    </row>
    <row r="13" spans="1:87" ht="73.5" customHeight="1">
      <c r="A13" s="1497"/>
      <c r="B13" s="1498"/>
      <c r="C13" s="1500"/>
      <c r="D13" s="1500"/>
      <c r="E13" s="1500"/>
      <c r="F13" s="1500"/>
      <c r="G13" s="1500"/>
      <c r="H13" s="1502"/>
      <c r="I13" s="1503"/>
      <c r="J13" s="1503"/>
      <c r="K13" s="1505"/>
      <c r="L13" s="357">
        <v>7</v>
      </c>
      <c r="M13" s="357">
        <v>8</v>
      </c>
      <c r="N13" s="357">
        <v>9</v>
      </c>
      <c r="O13" s="357">
        <v>10</v>
      </c>
      <c r="P13" s="357">
        <v>11</v>
      </c>
      <c r="Q13" s="1494"/>
      <c r="R13" s="357">
        <v>7</v>
      </c>
      <c r="S13" s="357">
        <v>8</v>
      </c>
      <c r="T13" s="357">
        <v>9</v>
      </c>
      <c r="U13" s="357">
        <v>10</v>
      </c>
      <c r="V13" s="357">
        <v>11</v>
      </c>
      <c r="W13" s="1494"/>
      <c r="X13" s="1511"/>
      <c r="Y13" s="1505"/>
      <c r="Z13" s="1505"/>
      <c r="AA13" s="358" t="s">
        <v>981</v>
      </c>
      <c r="AB13" s="359" t="s">
        <v>982</v>
      </c>
      <c r="AC13" s="358" t="s">
        <v>983</v>
      </c>
      <c r="AD13" s="359" t="s">
        <v>982</v>
      </c>
      <c r="AE13" s="1503"/>
      <c r="AF13" s="358" t="s">
        <v>223</v>
      </c>
      <c r="AG13" s="359" t="s">
        <v>984</v>
      </c>
      <c r="AH13" s="358" t="s">
        <v>985</v>
      </c>
      <c r="AI13" s="359" t="s">
        <v>986</v>
      </c>
      <c r="AJ13" s="358" t="s">
        <v>987</v>
      </c>
      <c r="AK13" s="359" t="s">
        <v>988</v>
      </c>
      <c r="AL13" s="360" t="s">
        <v>989</v>
      </c>
      <c r="AM13" s="359" t="s">
        <v>990</v>
      </c>
      <c r="AN13" s="1503"/>
      <c r="AO13" s="359" t="s">
        <v>991</v>
      </c>
      <c r="AP13" s="359" t="s">
        <v>992</v>
      </c>
      <c r="AQ13" s="359" t="s">
        <v>993</v>
      </c>
      <c r="AR13" s="359" t="s">
        <v>194</v>
      </c>
      <c r="AS13" s="358" t="s">
        <v>994</v>
      </c>
      <c r="AT13" s="359" t="s">
        <v>982</v>
      </c>
      <c r="AU13" s="358" t="s">
        <v>995</v>
      </c>
      <c r="AV13" s="359" t="s">
        <v>996</v>
      </c>
      <c r="AW13" s="1503"/>
      <c r="AX13" s="1505"/>
      <c r="AY13" s="1505"/>
      <c r="AZ13" s="1505"/>
      <c r="BA13" s="1524"/>
      <c r="BB13" s="1505"/>
      <c r="BC13" s="1505"/>
      <c r="BD13" s="1505"/>
      <c r="BE13" s="1505"/>
      <c r="BF13" s="1524"/>
      <c r="BG13" s="1505"/>
      <c r="BH13" s="1524"/>
      <c r="BI13" s="1505"/>
      <c r="BJ13" s="1505"/>
      <c r="BK13" s="1528"/>
      <c r="BL13" s="1526"/>
      <c r="BM13" s="1517"/>
      <c r="BN13" s="1519"/>
      <c r="BO13" s="355"/>
      <c r="BP13" s="355"/>
      <c r="BQ13" s="355"/>
      <c r="BR13" s="355"/>
      <c r="BS13" s="355"/>
      <c r="BT13" s="355"/>
      <c r="BU13" s="355"/>
      <c r="BV13" s="355"/>
      <c r="BW13" s="355"/>
      <c r="BX13" s="355"/>
      <c r="BY13" s="355"/>
      <c r="BZ13" s="355"/>
      <c r="CA13" s="355"/>
      <c r="CB13" s="355"/>
      <c r="CC13" s="355"/>
      <c r="CD13" s="355"/>
      <c r="CE13" s="355"/>
      <c r="CF13" s="355"/>
      <c r="CG13" s="355"/>
      <c r="CH13" s="355"/>
      <c r="CI13" s="356"/>
    </row>
    <row r="14" spans="1:87" ht="73.5" customHeight="1">
      <c r="A14" s="141">
        <v>1</v>
      </c>
      <c r="B14" s="142">
        <v>1</v>
      </c>
      <c r="C14" s="143" t="s">
        <v>197</v>
      </c>
      <c r="D14" s="144" t="s">
        <v>262</v>
      </c>
      <c r="E14" s="142" t="s">
        <v>57</v>
      </c>
      <c r="F14" s="142" t="s">
        <v>249</v>
      </c>
      <c r="G14" s="145"/>
      <c r="H14" s="145" t="s">
        <v>2363</v>
      </c>
      <c r="I14" s="142">
        <f>17697</f>
        <v>17697</v>
      </c>
      <c r="J14" s="146">
        <v>11.4</v>
      </c>
      <c r="K14" s="146">
        <f t="shared" ref="K14:K65" si="0">I14*J14</f>
        <v>201745.80000000002</v>
      </c>
      <c r="L14" s="142"/>
      <c r="M14" s="142"/>
      <c r="N14" s="142">
        <v>24</v>
      </c>
      <c r="O14" s="142"/>
      <c r="P14" s="142"/>
      <c r="Q14" s="147">
        <f t="shared" ref="Q14:Q37" si="1">SUM(L14:P14)</f>
        <v>24</v>
      </c>
      <c r="R14" s="148"/>
      <c r="S14" s="148"/>
      <c r="T14" s="148">
        <v>3</v>
      </c>
      <c r="U14" s="148"/>
      <c r="V14" s="148"/>
      <c r="W14" s="147">
        <f t="shared" ref="W14:W37" si="2">SUM(R14:V14)</f>
        <v>3</v>
      </c>
      <c r="X14" s="149">
        <f t="shared" ref="X14:X65" si="3">Q14+W14</f>
        <v>27</v>
      </c>
      <c r="Y14" s="146">
        <f t="shared" ref="Y14:Y65" si="4">K14/16*X14</f>
        <v>340446.03750000003</v>
      </c>
      <c r="Z14" s="146">
        <f t="shared" ref="Z14:Z65" si="5">Y14*10%</f>
        <v>34044.603750000002</v>
      </c>
      <c r="AA14" s="142">
        <v>27</v>
      </c>
      <c r="AB14" s="146">
        <f t="shared" ref="AB14:AB65" si="6">I14/16*AA14*40%</f>
        <v>11945.475</v>
      </c>
      <c r="AC14" s="142">
        <v>0</v>
      </c>
      <c r="AD14" s="146">
        <f t="shared" ref="AD14:AD65" si="7">I14/16*AC14*40%*50%</f>
        <v>0</v>
      </c>
      <c r="AE14" s="146">
        <f>1*50000</f>
        <v>50000</v>
      </c>
      <c r="AF14" s="142">
        <v>225</v>
      </c>
      <c r="AG14" s="146">
        <f t="shared" ref="AG14:AG29" si="8">17697*20%</f>
        <v>3539.4</v>
      </c>
      <c r="AH14" s="142"/>
      <c r="AI14" s="146"/>
      <c r="AJ14" s="142"/>
      <c r="AK14" s="146"/>
      <c r="AL14" s="142">
        <v>27</v>
      </c>
      <c r="AM14" s="146">
        <v>102133.81125000001</v>
      </c>
      <c r="AN14" s="1006" t="s">
        <v>249</v>
      </c>
      <c r="AO14" s="1005">
        <v>170223.01875000002</v>
      </c>
      <c r="AP14" s="1005" t="s">
        <v>2364</v>
      </c>
      <c r="AQ14" s="1005" t="s">
        <v>2364</v>
      </c>
      <c r="AR14" s="1005" t="s">
        <v>2364</v>
      </c>
      <c r="AS14" s="1007"/>
      <c r="AT14" s="1005"/>
      <c r="AU14" s="1007"/>
      <c r="AV14" s="1005"/>
      <c r="AW14" s="1006"/>
      <c r="AX14" s="1008"/>
      <c r="AY14" s="1008"/>
      <c r="AZ14" s="1008">
        <v>371886.30875000003</v>
      </c>
      <c r="BA14" s="715">
        <v>712332.34625000006</v>
      </c>
      <c r="BB14" s="1008">
        <v>71233.234625000012</v>
      </c>
      <c r="BC14" s="1008">
        <v>14246.646925000001</v>
      </c>
      <c r="BD14" s="1008">
        <v>56312.446470000003</v>
      </c>
      <c r="BE14" s="1008">
        <v>570540.01823000005</v>
      </c>
      <c r="BF14" s="715">
        <v>8547988.1550000012</v>
      </c>
      <c r="BG14" s="1008">
        <v>340446.03750000003</v>
      </c>
      <c r="BH14" s="715">
        <v>8888434.1925000008</v>
      </c>
      <c r="BI14" s="1008">
        <v>399979.53866250004</v>
      </c>
      <c r="BJ14" s="1008">
        <v>256439.64465000003</v>
      </c>
      <c r="BK14" s="1009">
        <v>461169.872454</v>
      </c>
      <c r="BL14" s="1010">
        <v>444421.70962500008</v>
      </c>
      <c r="BM14" s="1011">
        <v>10450444.957891501</v>
      </c>
      <c r="BN14" s="714"/>
      <c r="BO14" s="355"/>
      <c r="BP14" s="355"/>
      <c r="BQ14" s="355"/>
      <c r="BR14" s="355"/>
      <c r="BS14" s="355"/>
      <c r="BT14" s="355"/>
      <c r="BU14" s="355"/>
      <c r="BV14" s="355"/>
      <c r="BW14" s="355"/>
      <c r="BX14" s="355"/>
      <c r="BY14" s="355"/>
      <c r="BZ14" s="355"/>
      <c r="CA14" s="355"/>
      <c r="CB14" s="355"/>
      <c r="CC14" s="355"/>
      <c r="CD14" s="355"/>
      <c r="CE14" s="355"/>
      <c r="CF14" s="355"/>
      <c r="CG14" s="355"/>
      <c r="CH14" s="355"/>
      <c r="CI14" s="356"/>
    </row>
    <row r="15" spans="1:87" ht="73.5" customHeight="1">
      <c r="A15" s="141">
        <f t="shared" ref="A15:B30" si="9">A14+1</f>
        <v>2</v>
      </c>
      <c r="B15" s="142">
        <f t="shared" si="9"/>
        <v>2</v>
      </c>
      <c r="C15" s="151" t="s">
        <v>250</v>
      </c>
      <c r="D15" s="144" t="s">
        <v>2365</v>
      </c>
      <c r="E15" s="142" t="s">
        <v>57</v>
      </c>
      <c r="F15" s="142" t="s">
        <v>249</v>
      </c>
      <c r="G15" s="142" t="s">
        <v>224</v>
      </c>
      <c r="H15" s="145" t="s">
        <v>2366</v>
      </c>
      <c r="I15" s="142">
        <v>17697</v>
      </c>
      <c r="J15" s="146">
        <v>11.02</v>
      </c>
      <c r="K15" s="146">
        <f t="shared" si="0"/>
        <v>195020.94</v>
      </c>
      <c r="L15" s="142"/>
      <c r="M15" s="142"/>
      <c r="N15" s="142"/>
      <c r="O15" s="142"/>
      <c r="P15" s="142">
        <v>27</v>
      </c>
      <c r="Q15" s="147">
        <f t="shared" si="1"/>
        <v>27</v>
      </c>
      <c r="R15" s="148"/>
      <c r="S15" s="148"/>
      <c r="T15" s="148"/>
      <c r="U15" s="148"/>
      <c r="V15" s="148"/>
      <c r="W15" s="147">
        <f t="shared" si="2"/>
        <v>0</v>
      </c>
      <c r="X15" s="149">
        <f t="shared" si="3"/>
        <v>27</v>
      </c>
      <c r="Y15" s="146">
        <f t="shared" si="4"/>
        <v>329097.83624999999</v>
      </c>
      <c r="Z15" s="146">
        <f t="shared" si="5"/>
        <v>32909.783625000004</v>
      </c>
      <c r="AA15" s="142">
        <v>9</v>
      </c>
      <c r="AB15" s="146">
        <f t="shared" si="6"/>
        <v>3981.8250000000003</v>
      </c>
      <c r="AC15" s="142">
        <v>18</v>
      </c>
      <c r="AD15" s="146">
        <f t="shared" si="7"/>
        <v>3981.8250000000003</v>
      </c>
      <c r="AE15" s="146"/>
      <c r="AF15" s="142" t="s">
        <v>251</v>
      </c>
      <c r="AG15" s="146">
        <f t="shared" si="8"/>
        <v>3539.4</v>
      </c>
      <c r="AH15" s="142"/>
      <c r="AI15" s="146"/>
      <c r="AJ15" s="142"/>
      <c r="AK15" s="146"/>
      <c r="AL15" s="142">
        <v>27</v>
      </c>
      <c r="AM15" s="146">
        <v>98729.350874999989</v>
      </c>
      <c r="AN15" s="1006" t="s">
        <v>249</v>
      </c>
      <c r="AO15" s="1005">
        <v>164548.918125</v>
      </c>
      <c r="AP15" s="1005" t="s">
        <v>2364</v>
      </c>
      <c r="AQ15" s="1005" t="s">
        <v>2364</v>
      </c>
      <c r="AR15" s="1005" t="s">
        <v>2364</v>
      </c>
      <c r="AS15" s="1007"/>
      <c r="AT15" s="1005"/>
      <c r="AU15" s="1007"/>
      <c r="AV15" s="1005"/>
      <c r="AW15" s="1006" t="s">
        <v>224</v>
      </c>
      <c r="AX15" s="1008">
        <v>45520</v>
      </c>
      <c r="AY15" s="1008"/>
      <c r="AZ15" s="1008">
        <v>353211.10262499994</v>
      </c>
      <c r="BA15" s="715">
        <v>682308.93887499999</v>
      </c>
      <c r="BB15" s="1008">
        <v>68230.893887500002</v>
      </c>
      <c r="BC15" s="1008">
        <v>13646.178777499999</v>
      </c>
      <c r="BD15" s="1008">
        <v>53670.386620999991</v>
      </c>
      <c r="BE15" s="1008">
        <v>546761.47958899988</v>
      </c>
      <c r="BF15" s="715">
        <v>8187707.2664999999</v>
      </c>
      <c r="BG15" s="1008">
        <v>329097.83624999999</v>
      </c>
      <c r="BH15" s="715">
        <v>8516805.1027499996</v>
      </c>
      <c r="BI15" s="1008">
        <v>383256.22962375003</v>
      </c>
      <c r="BJ15" s="1008">
        <v>245631.21799499998</v>
      </c>
      <c r="BK15" s="1009">
        <v>441894.5195622</v>
      </c>
      <c r="BL15" s="1010">
        <v>425840.2551375</v>
      </c>
      <c r="BM15" s="1011">
        <v>10013427.325068448</v>
      </c>
      <c r="BN15" s="714"/>
      <c r="BO15" s="355"/>
      <c r="BP15" s="355"/>
      <c r="BQ15" s="355"/>
      <c r="BR15" s="355"/>
      <c r="BS15" s="355"/>
      <c r="BT15" s="355"/>
      <c r="BU15" s="355"/>
      <c r="BV15" s="355"/>
      <c r="BW15" s="355"/>
      <c r="BX15" s="355"/>
      <c r="BY15" s="355"/>
      <c r="BZ15" s="355"/>
      <c r="CA15" s="355"/>
      <c r="CB15" s="355"/>
      <c r="CC15" s="355"/>
      <c r="CD15" s="355"/>
      <c r="CE15" s="355"/>
      <c r="CF15" s="355"/>
      <c r="CG15" s="355"/>
      <c r="CH15" s="355"/>
      <c r="CI15" s="356"/>
    </row>
    <row r="16" spans="1:87" ht="73.5" customHeight="1">
      <c r="A16" s="141">
        <f t="shared" si="9"/>
        <v>3</v>
      </c>
      <c r="B16" s="142">
        <f t="shared" si="9"/>
        <v>3</v>
      </c>
      <c r="C16" s="996" t="s">
        <v>2335</v>
      </c>
      <c r="D16" s="997" t="s">
        <v>2367</v>
      </c>
      <c r="E16" s="142" t="s">
        <v>57</v>
      </c>
      <c r="F16" s="142"/>
      <c r="G16" s="142" t="s">
        <v>224</v>
      </c>
      <c r="H16" s="145" t="s">
        <v>279</v>
      </c>
      <c r="I16" s="142">
        <v>17697</v>
      </c>
      <c r="J16" s="146">
        <v>9.66</v>
      </c>
      <c r="K16" s="146">
        <f t="shared" si="0"/>
        <v>170953.02</v>
      </c>
      <c r="L16" s="142"/>
      <c r="M16" s="142">
        <v>8</v>
      </c>
      <c r="N16" s="142">
        <v>8</v>
      </c>
      <c r="O16" s="142"/>
      <c r="P16" s="142">
        <v>9</v>
      </c>
      <c r="Q16" s="147">
        <f t="shared" si="1"/>
        <v>25</v>
      </c>
      <c r="R16" s="148"/>
      <c r="S16" s="148">
        <v>1</v>
      </c>
      <c r="T16" s="148">
        <v>1</v>
      </c>
      <c r="U16" s="148"/>
      <c r="V16" s="148"/>
      <c r="W16" s="147">
        <f t="shared" si="2"/>
        <v>2</v>
      </c>
      <c r="X16" s="149">
        <f t="shared" si="3"/>
        <v>27</v>
      </c>
      <c r="Y16" s="146">
        <f t="shared" si="4"/>
        <v>288483.22125</v>
      </c>
      <c r="Z16" s="146">
        <f t="shared" si="5"/>
        <v>28848.322125000002</v>
      </c>
      <c r="AA16" s="142">
        <v>18</v>
      </c>
      <c r="AB16" s="146">
        <f t="shared" si="6"/>
        <v>7963.6500000000005</v>
      </c>
      <c r="AC16" s="142">
        <v>9</v>
      </c>
      <c r="AD16" s="146">
        <f t="shared" si="7"/>
        <v>1990.9125000000001</v>
      </c>
      <c r="AE16" s="146"/>
      <c r="AF16" s="142"/>
      <c r="AG16" s="146"/>
      <c r="AH16" s="142"/>
      <c r="AI16" s="146"/>
      <c r="AJ16" s="142"/>
      <c r="AK16" s="146"/>
      <c r="AL16" s="142">
        <v>27</v>
      </c>
      <c r="AM16" s="146">
        <v>86544.966375000004</v>
      </c>
      <c r="AN16" s="1006">
        <v>0</v>
      </c>
      <c r="AO16" s="1005" t="s">
        <v>2364</v>
      </c>
      <c r="AP16" s="1005" t="s">
        <v>2364</v>
      </c>
      <c r="AQ16" s="1005" t="s">
        <v>2364</v>
      </c>
      <c r="AR16" s="1005" t="s">
        <v>2364</v>
      </c>
      <c r="AS16" s="1007"/>
      <c r="AT16" s="1005"/>
      <c r="AU16" s="1007"/>
      <c r="AV16" s="1005"/>
      <c r="AW16" s="1006" t="s">
        <v>224</v>
      </c>
      <c r="AX16" s="1008">
        <v>45520</v>
      </c>
      <c r="AY16" s="1008"/>
      <c r="AZ16" s="1008">
        <v>170867.851</v>
      </c>
      <c r="BA16" s="715">
        <v>459351.07224999997</v>
      </c>
      <c r="BB16" s="1008">
        <v>45935.107225</v>
      </c>
      <c r="BC16" s="1008">
        <v>9187.0214450000003</v>
      </c>
      <c r="BD16" s="1008">
        <v>34050.094357999995</v>
      </c>
      <c r="BE16" s="1008">
        <v>370178.84922199999</v>
      </c>
      <c r="BF16" s="715">
        <v>5512212.8669999996</v>
      </c>
      <c r="BG16" s="1008">
        <v>288483.22125</v>
      </c>
      <c r="BH16" s="715">
        <v>5800696.08825</v>
      </c>
      <c r="BI16" s="1008">
        <v>261031.32397125001</v>
      </c>
      <c r="BJ16" s="1008">
        <v>165366.38600999999</v>
      </c>
      <c r="BK16" s="1009">
        <v>301110.72045810008</v>
      </c>
      <c r="BL16" s="1010">
        <v>290034.8044125</v>
      </c>
      <c r="BM16" s="1011">
        <v>6818239.3231018493</v>
      </c>
      <c r="BN16" s="714"/>
      <c r="BO16" s="355"/>
      <c r="BP16" s="355"/>
      <c r="BQ16" s="355"/>
      <c r="BR16" s="355"/>
      <c r="BS16" s="355"/>
      <c r="BT16" s="355"/>
      <c r="BU16" s="355"/>
      <c r="BV16" s="355"/>
      <c r="BW16" s="355"/>
      <c r="BX16" s="355"/>
      <c r="BY16" s="355"/>
      <c r="BZ16" s="355"/>
      <c r="CA16" s="355"/>
      <c r="CB16" s="355"/>
      <c r="CC16" s="355"/>
      <c r="CD16" s="355"/>
      <c r="CE16" s="355"/>
      <c r="CF16" s="355"/>
      <c r="CG16" s="355"/>
      <c r="CH16" s="355"/>
      <c r="CI16" s="356"/>
    </row>
    <row r="17" spans="1:87" ht="73.5" customHeight="1">
      <c r="A17" s="141">
        <f t="shared" si="9"/>
        <v>4</v>
      </c>
      <c r="B17" s="142">
        <f t="shared" si="9"/>
        <v>4</v>
      </c>
      <c r="C17" s="143" t="s">
        <v>252</v>
      </c>
      <c r="D17" s="144" t="s">
        <v>253</v>
      </c>
      <c r="E17" s="142" t="s">
        <v>57</v>
      </c>
      <c r="F17" s="142"/>
      <c r="G17" s="142" t="s">
        <v>224</v>
      </c>
      <c r="H17" s="145" t="s">
        <v>2368</v>
      </c>
      <c r="I17" s="142">
        <v>17697</v>
      </c>
      <c r="J17" s="146">
        <v>10</v>
      </c>
      <c r="K17" s="146">
        <f t="shared" si="0"/>
        <v>176970</v>
      </c>
      <c r="L17" s="142">
        <v>24</v>
      </c>
      <c r="M17" s="142"/>
      <c r="N17" s="142"/>
      <c r="O17" s="142"/>
      <c r="P17" s="142"/>
      <c r="Q17" s="147">
        <f t="shared" si="1"/>
        <v>24</v>
      </c>
      <c r="R17" s="148">
        <v>3</v>
      </c>
      <c r="S17" s="148"/>
      <c r="T17" s="148"/>
      <c r="U17" s="148"/>
      <c r="V17" s="148"/>
      <c r="W17" s="147">
        <f t="shared" si="2"/>
        <v>3</v>
      </c>
      <c r="X17" s="149">
        <f t="shared" si="3"/>
        <v>27</v>
      </c>
      <c r="Y17" s="146">
        <f t="shared" si="4"/>
        <v>298636.875</v>
      </c>
      <c r="Z17" s="146">
        <f t="shared" si="5"/>
        <v>29863.6875</v>
      </c>
      <c r="AA17" s="142">
        <v>27</v>
      </c>
      <c r="AB17" s="146">
        <f t="shared" si="6"/>
        <v>11945.475</v>
      </c>
      <c r="AC17" s="142">
        <v>0</v>
      </c>
      <c r="AD17" s="146">
        <f t="shared" si="7"/>
        <v>0</v>
      </c>
      <c r="AE17" s="142"/>
      <c r="AF17" s="142">
        <v>209</v>
      </c>
      <c r="AG17" s="146">
        <f t="shared" si="8"/>
        <v>3539.4</v>
      </c>
      <c r="AH17" s="142"/>
      <c r="AI17" s="146"/>
      <c r="AJ17" s="142"/>
      <c r="AK17" s="146"/>
      <c r="AL17" s="142">
        <v>27</v>
      </c>
      <c r="AM17" s="146">
        <v>89591.0625</v>
      </c>
      <c r="AN17" s="1006">
        <v>0</v>
      </c>
      <c r="AO17" s="1005" t="s">
        <v>2364</v>
      </c>
      <c r="AP17" s="1005" t="s">
        <v>2364</v>
      </c>
      <c r="AQ17" s="1005" t="s">
        <v>2364</v>
      </c>
      <c r="AR17" s="1005" t="s">
        <v>2364</v>
      </c>
      <c r="AS17" s="1007"/>
      <c r="AT17" s="1005"/>
      <c r="AU17" s="1007"/>
      <c r="AV17" s="1005"/>
      <c r="AW17" s="1006" t="s">
        <v>224</v>
      </c>
      <c r="AX17" s="1008">
        <v>45520</v>
      </c>
      <c r="AY17" s="1008"/>
      <c r="AZ17" s="1008">
        <v>180459.625</v>
      </c>
      <c r="BA17" s="715">
        <v>479096.5</v>
      </c>
      <c r="BB17" s="1008">
        <v>47909.65</v>
      </c>
      <c r="BC17" s="1008">
        <v>9581.93</v>
      </c>
      <c r="BD17" s="1008">
        <v>35787.692000000003</v>
      </c>
      <c r="BE17" s="1008">
        <v>385817.228</v>
      </c>
      <c r="BF17" s="715">
        <v>5749158</v>
      </c>
      <c r="BG17" s="1008">
        <v>298636.875</v>
      </c>
      <c r="BH17" s="715">
        <v>6047794.875</v>
      </c>
      <c r="BI17" s="1008">
        <v>272150.76937500003</v>
      </c>
      <c r="BJ17" s="1008">
        <v>172474.74</v>
      </c>
      <c r="BK17" s="1009">
        <v>313932.77564999997</v>
      </c>
      <c r="BL17" s="1010">
        <v>302389.74375000002</v>
      </c>
      <c r="BM17" s="1011">
        <v>7108742.9037750009</v>
      </c>
      <c r="BN17" s="714"/>
      <c r="BO17" s="355"/>
      <c r="BP17" s="355"/>
      <c r="BQ17" s="355"/>
      <c r="BR17" s="355"/>
      <c r="BS17" s="355"/>
      <c r="BT17" s="355"/>
      <c r="BU17" s="355"/>
      <c r="BV17" s="355"/>
      <c r="BW17" s="355"/>
      <c r="BX17" s="355"/>
      <c r="BY17" s="355"/>
      <c r="BZ17" s="355"/>
      <c r="CA17" s="355"/>
      <c r="CB17" s="355"/>
      <c r="CC17" s="355"/>
      <c r="CD17" s="355"/>
      <c r="CE17" s="355"/>
      <c r="CF17" s="355"/>
      <c r="CG17" s="355"/>
      <c r="CH17" s="355"/>
      <c r="CI17" s="356"/>
    </row>
    <row r="18" spans="1:87" ht="73.5" customHeight="1">
      <c r="A18" s="141">
        <f t="shared" si="9"/>
        <v>5</v>
      </c>
      <c r="B18" s="142">
        <f t="shared" si="9"/>
        <v>5</v>
      </c>
      <c r="C18" s="143" t="s">
        <v>393</v>
      </c>
      <c r="D18" s="144" t="s">
        <v>2369</v>
      </c>
      <c r="E18" s="142" t="s">
        <v>57</v>
      </c>
      <c r="F18" s="142" t="s">
        <v>254</v>
      </c>
      <c r="G18" s="142" t="s">
        <v>224</v>
      </c>
      <c r="H18" s="145" t="s">
        <v>2370</v>
      </c>
      <c r="I18" s="142">
        <v>17697</v>
      </c>
      <c r="J18" s="146">
        <v>10.220000000000001</v>
      </c>
      <c r="K18" s="146">
        <f t="shared" si="0"/>
        <v>180863.34000000003</v>
      </c>
      <c r="L18" s="153"/>
      <c r="M18" s="153">
        <v>24</v>
      </c>
      <c r="N18" s="153"/>
      <c r="O18" s="153"/>
      <c r="P18" s="153"/>
      <c r="Q18" s="147">
        <f t="shared" si="1"/>
        <v>24</v>
      </c>
      <c r="R18" s="153"/>
      <c r="S18" s="153">
        <v>3</v>
      </c>
      <c r="T18" s="153"/>
      <c r="U18" s="153"/>
      <c r="V18" s="153"/>
      <c r="W18" s="154">
        <f t="shared" si="2"/>
        <v>3</v>
      </c>
      <c r="X18" s="149">
        <f t="shared" si="3"/>
        <v>27</v>
      </c>
      <c r="Y18" s="146">
        <f t="shared" si="4"/>
        <v>305206.88625000004</v>
      </c>
      <c r="Z18" s="146">
        <f t="shared" si="5"/>
        <v>30520.688625000006</v>
      </c>
      <c r="AA18" s="142">
        <v>27</v>
      </c>
      <c r="AB18" s="146">
        <f t="shared" si="6"/>
        <v>11945.475</v>
      </c>
      <c r="AC18" s="142">
        <v>0</v>
      </c>
      <c r="AD18" s="146">
        <f t="shared" si="7"/>
        <v>0</v>
      </c>
      <c r="AE18" s="142"/>
      <c r="AF18" s="142">
        <v>104</v>
      </c>
      <c r="AG18" s="146">
        <f t="shared" si="8"/>
        <v>3539.4</v>
      </c>
      <c r="AH18" s="142"/>
      <c r="AI18" s="146"/>
      <c r="AJ18" s="142"/>
      <c r="AK18" s="146"/>
      <c r="AL18" s="142">
        <v>27</v>
      </c>
      <c r="AM18" s="146">
        <v>91562.065875000015</v>
      </c>
      <c r="AN18" s="1006" t="s">
        <v>254</v>
      </c>
      <c r="AO18" s="1005" t="s">
        <v>2364</v>
      </c>
      <c r="AP18" s="1005" t="s">
        <v>2364</v>
      </c>
      <c r="AQ18" s="1005" t="s">
        <v>2364</v>
      </c>
      <c r="AR18" s="1005">
        <v>91562.065875000015</v>
      </c>
      <c r="AS18" s="1007"/>
      <c r="AT18" s="1005"/>
      <c r="AU18" s="1007"/>
      <c r="AV18" s="1005"/>
      <c r="AW18" s="1006" t="s">
        <v>224</v>
      </c>
      <c r="AX18" s="1008">
        <v>45520</v>
      </c>
      <c r="AY18" s="1008"/>
      <c r="AZ18" s="1008">
        <v>274649.69537500007</v>
      </c>
      <c r="BA18" s="715">
        <v>579856.58162500011</v>
      </c>
      <c r="BB18" s="1008">
        <v>57985.658162500011</v>
      </c>
      <c r="BC18" s="1008">
        <v>11597.131632500003</v>
      </c>
      <c r="BD18" s="1008">
        <v>44654.579183000016</v>
      </c>
      <c r="BE18" s="1008">
        <v>465619.21264700009</v>
      </c>
      <c r="BF18" s="715">
        <v>6958278.9795000013</v>
      </c>
      <c r="BG18" s="1008">
        <v>305206.88625000004</v>
      </c>
      <c r="BH18" s="715">
        <v>7263485.8657500017</v>
      </c>
      <c r="BI18" s="1008">
        <v>326856.86395875015</v>
      </c>
      <c r="BJ18" s="1008">
        <v>208748.36938500003</v>
      </c>
      <c r="BK18" s="1009">
        <v>376920.02299560001</v>
      </c>
      <c r="BL18" s="1010">
        <v>363174.2932875001</v>
      </c>
      <c r="BM18" s="1011">
        <v>8539185.4153768532</v>
      </c>
      <c r="BN18" s="714"/>
      <c r="BO18" s="355"/>
      <c r="BP18" s="355"/>
      <c r="BQ18" s="355"/>
      <c r="BR18" s="355"/>
      <c r="BS18" s="355"/>
      <c r="BT18" s="355"/>
      <c r="BU18" s="355"/>
      <c r="BV18" s="355"/>
      <c r="BW18" s="355"/>
      <c r="BX18" s="355"/>
      <c r="BY18" s="355"/>
      <c r="BZ18" s="355"/>
      <c r="CA18" s="355"/>
      <c r="CB18" s="355"/>
      <c r="CC18" s="355"/>
      <c r="CD18" s="355"/>
      <c r="CE18" s="355"/>
      <c r="CF18" s="355"/>
      <c r="CG18" s="355"/>
      <c r="CH18" s="355"/>
      <c r="CI18" s="356"/>
    </row>
    <row r="19" spans="1:87" ht="73.5" customHeight="1">
      <c r="A19" s="141">
        <f t="shared" si="9"/>
        <v>6</v>
      </c>
      <c r="B19" s="142">
        <f t="shared" si="9"/>
        <v>6</v>
      </c>
      <c r="C19" s="143" t="s">
        <v>199</v>
      </c>
      <c r="D19" s="144" t="s">
        <v>2371</v>
      </c>
      <c r="E19" s="142" t="s">
        <v>57</v>
      </c>
      <c r="F19" s="142" t="s">
        <v>255</v>
      </c>
      <c r="G19" s="142"/>
      <c r="H19" s="145" t="s">
        <v>2372</v>
      </c>
      <c r="I19" s="142">
        <v>17697</v>
      </c>
      <c r="J19" s="146">
        <v>10.6</v>
      </c>
      <c r="K19" s="146">
        <f t="shared" si="0"/>
        <v>187588.19999999998</v>
      </c>
      <c r="L19" s="142"/>
      <c r="M19" s="142">
        <v>8</v>
      </c>
      <c r="N19" s="142">
        <v>16</v>
      </c>
      <c r="O19" s="142"/>
      <c r="P19" s="142"/>
      <c r="Q19" s="147">
        <f t="shared" si="1"/>
        <v>24</v>
      </c>
      <c r="R19" s="148"/>
      <c r="S19" s="148">
        <v>1</v>
      </c>
      <c r="T19" s="148">
        <v>2</v>
      </c>
      <c r="U19" s="148"/>
      <c r="V19" s="148"/>
      <c r="W19" s="147">
        <f t="shared" si="2"/>
        <v>3</v>
      </c>
      <c r="X19" s="149">
        <f t="shared" si="3"/>
        <v>27</v>
      </c>
      <c r="Y19" s="146">
        <f t="shared" si="4"/>
        <v>316555.08749999997</v>
      </c>
      <c r="Z19" s="146">
        <f t="shared" si="5"/>
        <v>31655.508749999997</v>
      </c>
      <c r="AA19" s="142">
        <v>18</v>
      </c>
      <c r="AB19" s="146">
        <f t="shared" si="6"/>
        <v>7963.6500000000005</v>
      </c>
      <c r="AC19" s="142">
        <v>9</v>
      </c>
      <c r="AD19" s="146">
        <f t="shared" si="7"/>
        <v>1990.9125000000001</v>
      </c>
      <c r="AE19" s="142"/>
      <c r="AF19" s="142">
        <v>207</v>
      </c>
      <c r="AG19" s="146">
        <f t="shared" si="8"/>
        <v>3539.4</v>
      </c>
      <c r="AH19" s="142"/>
      <c r="AI19" s="146"/>
      <c r="AJ19" s="142"/>
      <c r="AK19" s="146"/>
      <c r="AL19" s="142">
        <v>27</v>
      </c>
      <c r="AM19" s="146">
        <v>94966.526249999981</v>
      </c>
      <c r="AN19" s="1006" t="s">
        <v>255</v>
      </c>
      <c r="AO19" s="1005" t="s">
        <v>2364</v>
      </c>
      <c r="AP19" s="1005">
        <v>126622.03499999999</v>
      </c>
      <c r="AQ19" s="1005" t="s">
        <v>2364</v>
      </c>
      <c r="AR19" s="1005" t="s">
        <v>2364</v>
      </c>
      <c r="AS19" s="1007"/>
      <c r="AT19" s="1005"/>
      <c r="AU19" s="1007"/>
      <c r="AV19" s="1005"/>
      <c r="AW19" s="1006"/>
      <c r="AX19" s="1008"/>
      <c r="AY19" s="1008"/>
      <c r="AZ19" s="1008">
        <v>266738.03249999997</v>
      </c>
      <c r="BA19" s="715">
        <v>583293.11999999988</v>
      </c>
      <c r="BB19" s="1008">
        <v>58329.311999999991</v>
      </c>
      <c r="BC19" s="1008">
        <v>11665.862399999998</v>
      </c>
      <c r="BD19" s="1008">
        <v>44956.994559999992</v>
      </c>
      <c r="BE19" s="1008">
        <v>468340.95103999984</v>
      </c>
      <c r="BF19" s="715">
        <v>6999517.4399999985</v>
      </c>
      <c r="BG19" s="1008">
        <v>316555.08749999997</v>
      </c>
      <c r="BH19" s="715">
        <v>7316072.5274999989</v>
      </c>
      <c r="BI19" s="1008">
        <v>329223.26373749995</v>
      </c>
      <c r="BJ19" s="1008">
        <v>209985.52319999994</v>
      </c>
      <c r="BK19" s="1009">
        <v>379668.97811699996</v>
      </c>
      <c r="BL19" s="1010">
        <v>365803.62637499999</v>
      </c>
      <c r="BM19" s="1011">
        <v>8600753.9189294986</v>
      </c>
      <c r="BN19" s="714"/>
      <c r="BO19" s="355"/>
      <c r="BP19" s="355"/>
      <c r="BQ19" s="355"/>
      <c r="BR19" s="355"/>
      <c r="BS19" s="355"/>
      <c r="BT19" s="355"/>
      <c r="BU19" s="355"/>
      <c r="BV19" s="355"/>
      <c r="BW19" s="355"/>
      <c r="BX19" s="355"/>
      <c r="BY19" s="355"/>
      <c r="BZ19" s="355"/>
      <c r="CA19" s="355"/>
      <c r="CB19" s="355"/>
      <c r="CC19" s="355"/>
      <c r="CD19" s="355"/>
      <c r="CE19" s="355"/>
      <c r="CF19" s="355"/>
      <c r="CG19" s="355"/>
      <c r="CH19" s="355"/>
      <c r="CI19" s="356"/>
    </row>
    <row r="20" spans="1:87" ht="73.5" customHeight="1">
      <c r="A20" s="141">
        <f t="shared" si="9"/>
        <v>7</v>
      </c>
      <c r="B20" s="142">
        <f t="shared" si="9"/>
        <v>7</v>
      </c>
      <c r="C20" s="143" t="s">
        <v>256</v>
      </c>
      <c r="D20" s="155" t="s">
        <v>2373</v>
      </c>
      <c r="E20" s="142" t="s">
        <v>57</v>
      </c>
      <c r="F20" s="142" t="s">
        <v>255</v>
      </c>
      <c r="G20" s="142"/>
      <c r="H20" s="145" t="s">
        <v>2374</v>
      </c>
      <c r="I20" s="142">
        <v>17697</v>
      </c>
      <c r="J20" s="146">
        <v>11.4</v>
      </c>
      <c r="K20" s="146">
        <f t="shared" si="0"/>
        <v>201745.80000000002</v>
      </c>
      <c r="L20" s="142"/>
      <c r="M20" s="142"/>
      <c r="N20" s="142"/>
      <c r="O20" s="142"/>
      <c r="P20" s="142">
        <v>27</v>
      </c>
      <c r="Q20" s="147">
        <f t="shared" si="1"/>
        <v>27</v>
      </c>
      <c r="R20" s="148"/>
      <c r="S20" s="148"/>
      <c r="T20" s="148"/>
      <c r="U20" s="148"/>
      <c r="V20" s="148"/>
      <c r="W20" s="147">
        <f t="shared" si="2"/>
        <v>0</v>
      </c>
      <c r="X20" s="149">
        <f t="shared" si="3"/>
        <v>27</v>
      </c>
      <c r="Y20" s="146">
        <f t="shared" si="4"/>
        <v>340446.03750000003</v>
      </c>
      <c r="Z20" s="146">
        <f t="shared" si="5"/>
        <v>34044.603750000002</v>
      </c>
      <c r="AA20" s="142">
        <v>9</v>
      </c>
      <c r="AB20" s="146">
        <f t="shared" si="6"/>
        <v>3981.8250000000003</v>
      </c>
      <c r="AC20" s="142">
        <v>18</v>
      </c>
      <c r="AD20" s="146">
        <f t="shared" si="7"/>
        <v>3981.8250000000003</v>
      </c>
      <c r="AE20" s="142"/>
      <c r="AF20" s="142" t="s">
        <v>257</v>
      </c>
      <c r="AG20" s="146">
        <f t="shared" si="8"/>
        <v>3539.4</v>
      </c>
      <c r="AH20" s="142"/>
      <c r="AI20" s="146"/>
      <c r="AJ20" s="142"/>
      <c r="AK20" s="146"/>
      <c r="AL20" s="142">
        <v>27</v>
      </c>
      <c r="AM20" s="146">
        <v>102133.81125000001</v>
      </c>
      <c r="AN20" s="1006" t="s">
        <v>255</v>
      </c>
      <c r="AO20" s="1005" t="s">
        <v>2364</v>
      </c>
      <c r="AP20" s="1005">
        <v>136178.41500000001</v>
      </c>
      <c r="AQ20" s="1005" t="s">
        <v>2364</v>
      </c>
      <c r="AR20" s="1005" t="s">
        <v>2364</v>
      </c>
      <c r="AS20" s="1007"/>
      <c r="AT20" s="1005"/>
      <c r="AU20" s="1007"/>
      <c r="AV20" s="1005"/>
      <c r="AW20" s="1006"/>
      <c r="AX20" s="1008"/>
      <c r="AY20" s="1008"/>
      <c r="AZ20" s="1008">
        <v>283859.88</v>
      </c>
      <c r="BA20" s="715">
        <v>624305.91749999998</v>
      </c>
      <c r="BB20" s="1008">
        <v>62430.59175</v>
      </c>
      <c r="BC20" s="1008">
        <v>12486.118350000001</v>
      </c>
      <c r="BD20" s="1008">
        <v>48566.120739999998</v>
      </c>
      <c r="BE20" s="1008">
        <v>500823.08665999997</v>
      </c>
      <c r="BF20" s="715">
        <v>7491671.0099999998</v>
      </c>
      <c r="BG20" s="1008">
        <v>340446.03750000003</v>
      </c>
      <c r="BH20" s="715">
        <v>7832117.0474999994</v>
      </c>
      <c r="BI20" s="1008">
        <v>352445.26713749999</v>
      </c>
      <c r="BJ20" s="1008">
        <v>224750.13029999999</v>
      </c>
      <c r="BK20" s="1009">
        <v>406452.64434300002</v>
      </c>
      <c r="BL20" s="1010">
        <v>391605.85237500002</v>
      </c>
      <c r="BM20" s="1011">
        <v>9207370.9416554999</v>
      </c>
      <c r="BN20" s="714"/>
      <c r="BO20" s="355"/>
      <c r="BP20" s="355"/>
      <c r="BQ20" s="355"/>
      <c r="BR20" s="355"/>
      <c r="BS20" s="355"/>
      <c r="BT20" s="355"/>
      <c r="BU20" s="355"/>
      <c r="BV20" s="355"/>
      <c r="BW20" s="355"/>
      <c r="BX20" s="355"/>
      <c r="BY20" s="355"/>
      <c r="BZ20" s="355"/>
      <c r="CA20" s="355"/>
      <c r="CB20" s="355"/>
      <c r="CC20" s="355"/>
      <c r="CD20" s="355"/>
      <c r="CE20" s="355"/>
      <c r="CF20" s="355"/>
      <c r="CG20" s="355"/>
      <c r="CH20" s="355"/>
      <c r="CI20" s="356"/>
    </row>
    <row r="21" spans="1:87" ht="73.5" customHeight="1">
      <c r="A21" s="141">
        <f t="shared" si="9"/>
        <v>8</v>
      </c>
      <c r="B21" s="142">
        <f t="shared" si="9"/>
        <v>8</v>
      </c>
      <c r="C21" s="143" t="s">
        <v>207</v>
      </c>
      <c r="D21" s="144" t="s">
        <v>2375</v>
      </c>
      <c r="E21" s="142" t="s">
        <v>57</v>
      </c>
      <c r="F21" s="142" t="s">
        <v>249</v>
      </c>
      <c r="G21" s="152"/>
      <c r="H21" s="145" t="s">
        <v>2376</v>
      </c>
      <c r="I21" s="142">
        <v>17697</v>
      </c>
      <c r="J21" s="146">
        <v>11.4</v>
      </c>
      <c r="K21" s="146">
        <f t="shared" si="0"/>
        <v>201745.80000000002</v>
      </c>
      <c r="L21" s="142"/>
      <c r="M21" s="142"/>
      <c r="N21" s="142">
        <v>24</v>
      </c>
      <c r="O21" s="142"/>
      <c r="P21" s="142"/>
      <c r="Q21" s="147">
        <f t="shared" si="1"/>
        <v>24</v>
      </c>
      <c r="R21" s="148"/>
      <c r="S21" s="148"/>
      <c r="T21" s="148">
        <v>3</v>
      </c>
      <c r="U21" s="148"/>
      <c r="V21" s="148"/>
      <c r="W21" s="147">
        <f t="shared" si="2"/>
        <v>3</v>
      </c>
      <c r="X21" s="149">
        <f t="shared" si="3"/>
        <v>27</v>
      </c>
      <c r="Y21" s="146">
        <f t="shared" si="4"/>
        <v>340446.03750000003</v>
      </c>
      <c r="Z21" s="146">
        <f t="shared" si="5"/>
        <v>34044.603750000002</v>
      </c>
      <c r="AA21" s="142">
        <v>27</v>
      </c>
      <c r="AB21" s="146">
        <f>I21/16*AA21*40%</f>
        <v>11945.475</v>
      </c>
      <c r="AC21" s="142">
        <v>0</v>
      </c>
      <c r="AD21" s="146">
        <f t="shared" si="7"/>
        <v>0</v>
      </c>
      <c r="AE21" s="142"/>
      <c r="AF21" s="142">
        <v>227</v>
      </c>
      <c r="AG21" s="146">
        <f t="shared" si="8"/>
        <v>3539.4</v>
      </c>
      <c r="AH21" s="142" t="s">
        <v>545</v>
      </c>
      <c r="AI21" s="146">
        <f>I21*200%</f>
        <v>35394</v>
      </c>
      <c r="AJ21" s="142"/>
      <c r="AK21" s="146"/>
      <c r="AL21" s="142">
        <v>27</v>
      </c>
      <c r="AM21" s="146">
        <v>102133.81125000001</v>
      </c>
      <c r="AN21" s="1006" t="s">
        <v>249</v>
      </c>
      <c r="AO21" s="1005">
        <v>170223.01875000002</v>
      </c>
      <c r="AP21" s="1005" t="s">
        <v>2364</v>
      </c>
      <c r="AQ21" s="1005" t="s">
        <v>2364</v>
      </c>
      <c r="AR21" s="1005" t="s">
        <v>2364</v>
      </c>
      <c r="AS21" s="1007"/>
      <c r="AT21" s="1005"/>
      <c r="AU21" s="1007"/>
      <c r="AV21" s="1005"/>
      <c r="AW21" s="1006"/>
      <c r="AX21" s="1008"/>
      <c r="AY21" s="1008"/>
      <c r="AZ21" s="1008">
        <v>357280.30875000008</v>
      </c>
      <c r="BA21" s="715">
        <v>697726.34625000018</v>
      </c>
      <c r="BB21" s="1008">
        <v>69772.634625000021</v>
      </c>
      <c r="BC21" s="1008">
        <v>13954.526925000004</v>
      </c>
      <c r="BD21" s="1008">
        <v>55027.118470000016</v>
      </c>
      <c r="BE21" s="1008">
        <v>558972.06623000011</v>
      </c>
      <c r="BF21" s="715">
        <v>8372716.1550000021</v>
      </c>
      <c r="BG21" s="1008">
        <v>340446.03750000003</v>
      </c>
      <c r="BH21" s="715">
        <v>8713162.1925000027</v>
      </c>
      <c r="BI21" s="1008">
        <v>392092.29866250016</v>
      </c>
      <c r="BJ21" s="1008">
        <v>251181.48465000006</v>
      </c>
      <c r="BK21" s="1009">
        <v>452090.78285400016</v>
      </c>
      <c r="BL21" s="1010">
        <v>435658.10962500016</v>
      </c>
      <c r="BM21" s="1011">
        <v>10244184.868291505</v>
      </c>
      <c r="BN21" s="714"/>
      <c r="BO21" s="355"/>
      <c r="BP21" s="355"/>
      <c r="BQ21" s="355"/>
      <c r="BR21" s="355"/>
      <c r="BS21" s="355"/>
      <c r="BT21" s="355"/>
      <c r="BU21" s="355"/>
      <c r="BV21" s="355"/>
      <c r="BW21" s="355"/>
      <c r="BX21" s="355"/>
      <c r="BY21" s="355"/>
      <c r="BZ21" s="355"/>
      <c r="CA21" s="355"/>
      <c r="CB21" s="355"/>
      <c r="CC21" s="355"/>
      <c r="CD21" s="355"/>
      <c r="CE21" s="355"/>
      <c r="CF21" s="355"/>
      <c r="CG21" s="355"/>
      <c r="CH21" s="355"/>
      <c r="CI21" s="356"/>
    </row>
    <row r="22" spans="1:87" ht="73.5" customHeight="1">
      <c r="A22" s="141">
        <f t="shared" si="9"/>
        <v>9</v>
      </c>
      <c r="B22" s="142">
        <f t="shared" si="9"/>
        <v>9</v>
      </c>
      <c r="C22" s="156" t="s">
        <v>205</v>
      </c>
      <c r="D22" s="144" t="s">
        <v>2377</v>
      </c>
      <c r="E22" s="142" t="s">
        <v>57</v>
      </c>
      <c r="F22" s="142" t="s">
        <v>249</v>
      </c>
      <c r="G22" s="142"/>
      <c r="H22" s="145" t="s">
        <v>2378</v>
      </c>
      <c r="I22" s="142">
        <v>17697</v>
      </c>
      <c r="J22" s="146">
        <v>10.82</v>
      </c>
      <c r="K22" s="146">
        <f t="shared" si="0"/>
        <v>191481.54</v>
      </c>
      <c r="L22" s="153"/>
      <c r="M22" s="153"/>
      <c r="N22" s="153"/>
      <c r="O22" s="153">
        <v>27</v>
      </c>
      <c r="P22" s="153"/>
      <c r="Q22" s="147">
        <f t="shared" si="1"/>
        <v>27</v>
      </c>
      <c r="R22" s="148"/>
      <c r="S22" s="148"/>
      <c r="T22" s="148"/>
      <c r="U22" s="148">
        <v>3</v>
      </c>
      <c r="V22" s="148"/>
      <c r="W22" s="147">
        <f t="shared" si="2"/>
        <v>3</v>
      </c>
      <c r="X22" s="149">
        <f t="shared" si="3"/>
        <v>30</v>
      </c>
      <c r="Y22" s="146">
        <f t="shared" si="4"/>
        <v>359027.88750000001</v>
      </c>
      <c r="Z22" s="146">
        <f t="shared" si="5"/>
        <v>35902.78875</v>
      </c>
      <c r="AA22" s="142">
        <v>21</v>
      </c>
      <c r="AB22" s="146">
        <f t="shared" si="6"/>
        <v>9290.9250000000011</v>
      </c>
      <c r="AC22" s="142">
        <v>9</v>
      </c>
      <c r="AD22" s="146">
        <f t="shared" si="7"/>
        <v>1990.9125000000001</v>
      </c>
      <c r="AE22" s="142"/>
      <c r="AF22" s="142" t="s">
        <v>546</v>
      </c>
      <c r="AG22" s="146">
        <f t="shared" si="8"/>
        <v>3539.4</v>
      </c>
      <c r="AH22" s="142"/>
      <c r="AI22" s="146"/>
      <c r="AJ22" s="142"/>
      <c r="AK22" s="146"/>
      <c r="AL22" s="142">
        <v>30</v>
      </c>
      <c r="AM22" s="146">
        <v>107708.36625000001</v>
      </c>
      <c r="AN22" s="1006" t="s">
        <v>249</v>
      </c>
      <c r="AO22" s="1005">
        <v>179513.94375000001</v>
      </c>
      <c r="AP22" s="1005" t="s">
        <v>2364</v>
      </c>
      <c r="AQ22" s="1005" t="s">
        <v>2364</v>
      </c>
      <c r="AR22" s="1005" t="s">
        <v>2364</v>
      </c>
      <c r="AS22" s="1007"/>
      <c r="AT22" s="1005"/>
      <c r="AU22" s="1007"/>
      <c r="AV22" s="1005"/>
      <c r="AW22" s="1006"/>
      <c r="AX22" s="1008"/>
      <c r="AY22" s="1008"/>
      <c r="AZ22" s="1008">
        <v>337946.33625000005</v>
      </c>
      <c r="BA22" s="715">
        <v>696974.22375000012</v>
      </c>
      <c r="BB22" s="1008">
        <v>69697.422375000009</v>
      </c>
      <c r="BC22" s="1008">
        <v>13939.484475000003</v>
      </c>
      <c r="BD22" s="1008">
        <v>54960.931690000027</v>
      </c>
      <c r="BE22" s="1008">
        <v>558376.38521000021</v>
      </c>
      <c r="BF22" s="715">
        <v>8363690.6850000015</v>
      </c>
      <c r="BG22" s="1008">
        <v>359027.88750000001</v>
      </c>
      <c r="BH22" s="715">
        <v>8722718.5725000016</v>
      </c>
      <c r="BI22" s="1008">
        <v>392522.33576250006</v>
      </c>
      <c r="BJ22" s="1008">
        <v>250910.72055000003</v>
      </c>
      <c r="BK22" s="1009">
        <v>452626.68340800016</v>
      </c>
      <c r="BL22" s="1010">
        <v>436135.92862500012</v>
      </c>
      <c r="BM22" s="1011">
        <v>10254914.240845503</v>
      </c>
      <c r="BN22" s="714"/>
      <c r="BO22" s="355"/>
      <c r="BP22" s="355"/>
      <c r="BQ22" s="355"/>
      <c r="BR22" s="355"/>
      <c r="BS22" s="355"/>
      <c r="BT22" s="355"/>
      <c r="BU22" s="355"/>
      <c r="BV22" s="355"/>
      <c r="BW22" s="355"/>
      <c r="BX22" s="355"/>
      <c r="BY22" s="355"/>
      <c r="BZ22" s="355"/>
      <c r="CA22" s="355"/>
      <c r="CB22" s="355"/>
      <c r="CC22" s="355"/>
      <c r="CD22" s="355"/>
      <c r="CE22" s="355"/>
      <c r="CF22" s="355"/>
      <c r="CG22" s="355"/>
      <c r="CH22" s="355"/>
      <c r="CI22" s="356"/>
    </row>
    <row r="23" spans="1:87" ht="73.5" customHeight="1">
      <c r="A23" s="141">
        <f t="shared" si="9"/>
        <v>10</v>
      </c>
      <c r="B23" s="142">
        <f t="shared" si="9"/>
        <v>10</v>
      </c>
      <c r="C23" s="156" t="s">
        <v>206</v>
      </c>
      <c r="D23" s="144" t="s">
        <v>2379</v>
      </c>
      <c r="E23" s="142" t="s">
        <v>57</v>
      </c>
      <c r="F23" s="142" t="s">
        <v>259</v>
      </c>
      <c r="G23" s="142" t="s">
        <v>224</v>
      </c>
      <c r="H23" s="145" t="s">
        <v>2380</v>
      </c>
      <c r="I23" s="142">
        <v>17697</v>
      </c>
      <c r="J23" s="146">
        <v>10.4</v>
      </c>
      <c r="K23" s="146">
        <f t="shared" si="0"/>
        <v>184048.80000000002</v>
      </c>
      <c r="L23" s="142"/>
      <c r="M23" s="142"/>
      <c r="N23" s="142">
        <v>8</v>
      </c>
      <c r="O23" s="142">
        <v>18</v>
      </c>
      <c r="P23" s="142"/>
      <c r="Q23" s="147">
        <f t="shared" si="1"/>
        <v>26</v>
      </c>
      <c r="R23" s="148"/>
      <c r="S23" s="148"/>
      <c r="T23" s="148">
        <v>1</v>
      </c>
      <c r="U23" s="148">
        <v>12</v>
      </c>
      <c r="V23" s="148"/>
      <c r="W23" s="147">
        <f t="shared" si="2"/>
        <v>13</v>
      </c>
      <c r="X23" s="149">
        <f t="shared" si="3"/>
        <v>39</v>
      </c>
      <c r="Y23" s="146">
        <f t="shared" si="4"/>
        <v>448618.95000000007</v>
      </c>
      <c r="Z23" s="146">
        <f t="shared" si="5"/>
        <v>44861.895000000011</v>
      </c>
      <c r="AA23" s="142">
        <v>17</v>
      </c>
      <c r="AB23" s="146">
        <f t="shared" si="6"/>
        <v>7521.2250000000004</v>
      </c>
      <c r="AC23" s="142">
        <v>18</v>
      </c>
      <c r="AD23" s="146">
        <f t="shared" si="7"/>
        <v>3981.8250000000003</v>
      </c>
      <c r="AE23" s="142"/>
      <c r="AF23" s="142" t="s">
        <v>394</v>
      </c>
      <c r="AG23" s="146">
        <f t="shared" si="8"/>
        <v>3539.4</v>
      </c>
      <c r="AH23" s="142"/>
      <c r="AI23" s="146"/>
      <c r="AJ23" s="142"/>
      <c r="AK23" s="146"/>
      <c r="AL23" s="142">
        <v>39</v>
      </c>
      <c r="AM23" s="146">
        <v>134585.68500000003</v>
      </c>
      <c r="AN23" s="1006" t="s">
        <v>259</v>
      </c>
      <c r="AO23" s="1005" t="s">
        <v>2364</v>
      </c>
      <c r="AP23" s="1005" t="s">
        <v>2364</v>
      </c>
      <c r="AQ23" s="1005">
        <v>157016.63250000001</v>
      </c>
      <c r="AR23" s="1005" t="s">
        <v>2364</v>
      </c>
      <c r="AS23" s="1007"/>
      <c r="AT23" s="1005"/>
      <c r="AU23" s="1007"/>
      <c r="AV23" s="1005"/>
      <c r="AW23" s="1006" t="s">
        <v>224</v>
      </c>
      <c r="AX23" s="1008">
        <v>45520</v>
      </c>
      <c r="AY23" s="1008"/>
      <c r="AZ23" s="1008">
        <v>397026.66250000003</v>
      </c>
      <c r="BA23" s="715">
        <v>845645.61250000005</v>
      </c>
      <c r="BB23" s="1008">
        <v>84564.561250000013</v>
      </c>
      <c r="BC23" s="1008">
        <v>16912.912250000001</v>
      </c>
      <c r="BD23" s="1008">
        <v>68044.013900000005</v>
      </c>
      <c r="BE23" s="1008">
        <v>676124.12509999995</v>
      </c>
      <c r="BF23" s="715">
        <v>10147747.350000001</v>
      </c>
      <c r="BG23" s="1008">
        <v>448618.95000000007</v>
      </c>
      <c r="BH23" s="715">
        <v>10596366.300000001</v>
      </c>
      <c r="BI23" s="1008">
        <v>476836.48350000009</v>
      </c>
      <c r="BJ23" s="1008">
        <v>304432.42050000001</v>
      </c>
      <c r="BK23" s="1009">
        <v>549878.73603000003</v>
      </c>
      <c r="BL23" s="1010">
        <v>529818.31500000006</v>
      </c>
      <c r="BM23" s="1011">
        <v>12457332.255029999</v>
      </c>
      <c r="BN23" s="714"/>
      <c r="BO23" s="355"/>
      <c r="BP23" s="355"/>
      <c r="BQ23" s="355"/>
      <c r="BR23" s="355"/>
      <c r="BS23" s="355"/>
      <c r="BT23" s="355"/>
      <c r="BU23" s="355"/>
      <c r="BV23" s="355"/>
      <c r="BW23" s="355"/>
      <c r="BX23" s="355"/>
      <c r="BY23" s="355"/>
      <c r="BZ23" s="355"/>
      <c r="CA23" s="355"/>
      <c r="CB23" s="355"/>
      <c r="CC23" s="355"/>
      <c r="CD23" s="355"/>
      <c r="CE23" s="355"/>
      <c r="CF23" s="355"/>
      <c r="CG23" s="355"/>
      <c r="CH23" s="355"/>
      <c r="CI23" s="356"/>
    </row>
    <row r="24" spans="1:87" ht="73.5" customHeight="1">
      <c r="A24" s="141">
        <f t="shared" si="9"/>
        <v>11</v>
      </c>
      <c r="B24" s="142">
        <f t="shared" si="9"/>
        <v>11</v>
      </c>
      <c r="C24" s="157" t="s">
        <v>261</v>
      </c>
      <c r="D24" s="158" t="s">
        <v>2381</v>
      </c>
      <c r="E24" s="159" t="s">
        <v>57</v>
      </c>
      <c r="F24" s="142" t="s">
        <v>254</v>
      </c>
      <c r="G24" s="142" t="s">
        <v>224</v>
      </c>
      <c r="H24" s="145" t="s">
        <v>396</v>
      </c>
      <c r="I24" s="142">
        <v>17697</v>
      </c>
      <c r="J24" s="146">
        <v>10</v>
      </c>
      <c r="K24" s="146">
        <f t="shared" si="0"/>
        <v>176970</v>
      </c>
      <c r="L24" s="153"/>
      <c r="M24" s="153"/>
      <c r="N24" s="153"/>
      <c r="O24" s="153">
        <v>27</v>
      </c>
      <c r="P24" s="153"/>
      <c r="Q24" s="147">
        <f t="shared" si="1"/>
        <v>27</v>
      </c>
      <c r="R24" s="153"/>
      <c r="S24" s="153"/>
      <c r="T24" s="153"/>
      <c r="U24" s="153">
        <v>12</v>
      </c>
      <c r="V24" s="153"/>
      <c r="W24" s="154">
        <f t="shared" si="2"/>
        <v>12</v>
      </c>
      <c r="X24" s="149">
        <f t="shared" si="3"/>
        <v>39</v>
      </c>
      <c r="Y24" s="146">
        <f t="shared" si="4"/>
        <v>431364.375</v>
      </c>
      <c r="Z24" s="146">
        <f t="shared" si="5"/>
        <v>43136.4375</v>
      </c>
      <c r="AA24" s="142">
        <v>35</v>
      </c>
      <c r="AB24" s="146">
        <f t="shared" si="6"/>
        <v>15484.875</v>
      </c>
      <c r="AC24" s="142">
        <v>0</v>
      </c>
      <c r="AD24" s="146">
        <f t="shared" si="7"/>
        <v>0</v>
      </c>
      <c r="AE24" s="142"/>
      <c r="AF24" s="142" t="s">
        <v>263</v>
      </c>
      <c r="AG24" s="146">
        <f t="shared" si="8"/>
        <v>3539.4</v>
      </c>
      <c r="AH24" s="142"/>
      <c r="AI24" s="146"/>
      <c r="AJ24" s="142"/>
      <c r="AK24" s="146"/>
      <c r="AL24" s="142">
        <v>39</v>
      </c>
      <c r="AM24" s="146">
        <v>129409.3125</v>
      </c>
      <c r="AN24" s="1006" t="s">
        <v>254</v>
      </c>
      <c r="AO24" s="1005" t="s">
        <v>2364</v>
      </c>
      <c r="AP24" s="1005" t="s">
        <v>2364</v>
      </c>
      <c r="AQ24" s="1005" t="s">
        <v>2364</v>
      </c>
      <c r="AR24" s="1005">
        <v>129409.3125</v>
      </c>
      <c r="AS24" s="1007"/>
      <c r="AT24" s="1005"/>
      <c r="AU24" s="1007"/>
      <c r="AV24" s="1005"/>
      <c r="AW24" s="1006" t="s">
        <v>224</v>
      </c>
      <c r="AX24" s="1008">
        <v>45520</v>
      </c>
      <c r="AY24" s="1008"/>
      <c r="AZ24" s="1008">
        <v>366499.33750000002</v>
      </c>
      <c r="BA24" s="715">
        <v>797863.71250000002</v>
      </c>
      <c r="BB24" s="1008">
        <v>79786.371250000011</v>
      </c>
      <c r="BC24" s="1008">
        <v>15957.27425</v>
      </c>
      <c r="BD24" s="1008">
        <v>63839.20670000001</v>
      </c>
      <c r="BE24" s="1008">
        <v>638280.86030000006</v>
      </c>
      <c r="BF24" s="715">
        <v>9574364.5500000007</v>
      </c>
      <c r="BG24" s="1008">
        <v>431364.375</v>
      </c>
      <c r="BH24" s="715">
        <v>10005728.925000001</v>
      </c>
      <c r="BI24" s="1008">
        <v>450257.80162500008</v>
      </c>
      <c r="BJ24" s="1008">
        <v>287230.93650000001</v>
      </c>
      <c r="BK24" s="1009">
        <v>519245.75994000013</v>
      </c>
      <c r="BL24" s="1010">
        <v>500286.44625000004</v>
      </c>
      <c r="BM24" s="1011">
        <v>11762749.869315002</v>
      </c>
      <c r="BN24" s="714"/>
      <c r="BO24" s="355"/>
      <c r="BP24" s="355"/>
      <c r="BQ24" s="355"/>
      <c r="BR24" s="355"/>
      <c r="BS24" s="355"/>
      <c r="BT24" s="355"/>
      <c r="BU24" s="355"/>
      <c r="BV24" s="355"/>
      <c r="BW24" s="355"/>
      <c r="BX24" s="355"/>
      <c r="BY24" s="355"/>
      <c r="BZ24" s="355"/>
      <c r="CA24" s="355"/>
      <c r="CB24" s="355"/>
      <c r="CC24" s="355"/>
      <c r="CD24" s="355"/>
      <c r="CE24" s="355"/>
      <c r="CF24" s="355"/>
      <c r="CG24" s="355"/>
      <c r="CH24" s="355"/>
      <c r="CI24" s="356"/>
    </row>
    <row r="25" spans="1:87" ht="73.5" customHeight="1">
      <c r="A25" s="141">
        <f t="shared" si="9"/>
        <v>12</v>
      </c>
      <c r="B25" s="142">
        <f t="shared" si="9"/>
        <v>12</v>
      </c>
      <c r="C25" s="143" t="s">
        <v>204</v>
      </c>
      <c r="D25" s="144" t="s">
        <v>253</v>
      </c>
      <c r="E25" s="142" t="s">
        <v>57</v>
      </c>
      <c r="F25" s="142" t="s">
        <v>249</v>
      </c>
      <c r="G25" s="142"/>
      <c r="H25" s="145" t="s">
        <v>2382</v>
      </c>
      <c r="I25" s="142">
        <v>17697</v>
      </c>
      <c r="J25" s="146">
        <v>11.4</v>
      </c>
      <c r="K25" s="146">
        <f t="shared" si="0"/>
        <v>201745.80000000002</v>
      </c>
      <c r="L25" s="142">
        <v>24</v>
      </c>
      <c r="M25" s="142"/>
      <c r="N25" s="142"/>
      <c r="O25" s="142"/>
      <c r="P25" s="142"/>
      <c r="Q25" s="147">
        <f t="shared" si="1"/>
        <v>24</v>
      </c>
      <c r="R25" s="148">
        <v>3</v>
      </c>
      <c r="S25" s="148"/>
      <c r="T25" s="148"/>
      <c r="U25" s="148"/>
      <c r="V25" s="148"/>
      <c r="W25" s="147">
        <f t="shared" si="2"/>
        <v>3</v>
      </c>
      <c r="X25" s="149">
        <f t="shared" si="3"/>
        <v>27</v>
      </c>
      <c r="Y25" s="146">
        <f t="shared" si="4"/>
        <v>340446.03750000003</v>
      </c>
      <c r="Z25" s="146">
        <f t="shared" si="5"/>
        <v>34044.603750000002</v>
      </c>
      <c r="AA25" s="142">
        <v>27</v>
      </c>
      <c r="AB25" s="146">
        <f t="shared" si="6"/>
        <v>11945.475</v>
      </c>
      <c r="AC25" s="142">
        <v>0</v>
      </c>
      <c r="AD25" s="146">
        <f t="shared" si="7"/>
        <v>0</v>
      </c>
      <c r="AE25" s="142"/>
      <c r="AF25" s="142">
        <v>223</v>
      </c>
      <c r="AG25" s="146">
        <f t="shared" si="8"/>
        <v>3539.4</v>
      </c>
      <c r="AH25" s="142"/>
      <c r="AI25" s="146"/>
      <c r="AJ25" s="142"/>
      <c r="AK25" s="146"/>
      <c r="AL25" s="142">
        <v>27</v>
      </c>
      <c r="AM25" s="146">
        <v>102133.81125000001</v>
      </c>
      <c r="AN25" s="1006" t="s">
        <v>249</v>
      </c>
      <c r="AO25" s="1005">
        <v>170223.01875000002</v>
      </c>
      <c r="AP25" s="1005" t="s">
        <v>2364</v>
      </c>
      <c r="AQ25" s="1005" t="s">
        <v>2364</v>
      </c>
      <c r="AR25" s="1005" t="s">
        <v>2364</v>
      </c>
      <c r="AS25" s="1007"/>
      <c r="AT25" s="1005"/>
      <c r="AU25" s="1007"/>
      <c r="AV25" s="1005"/>
      <c r="AW25" s="1006"/>
      <c r="AX25" s="1008"/>
      <c r="AY25" s="1008"/>
      <c r="AZ25" s="1008">
        <v>321886.30875000003</v>
      </c>
      <c r="BA25" s="715">
        <v>662332.34625000006</v>
      </c>
      <c r="BB25" s="1008">
        <v>66233.234625000012</v>
      </c>
      <c r="BC25" s="1008">
        <v>13246.646925000001</v>
      </c>
      <c r="BD25" s="1008">
        <v>51912.446470000003</v>
      </c>
      <c r="BE25" s="1008">
        <v>530940.01823000005</v>
      </c>
      <c r="BF25" s="715">
        <v>7947988.1550000012</v>
      </c>
      <c r="BG25" s="1008">
        <v>340446.03750000003</v>
      </c>
      <c r="BH25" s="715">
        <v>8288434.1925000008</v>
      </c>
      <c r="BI25" s="1008">
        <v>372979.53866250004</v>
      </c>
      <c r="BJ25" s="1008">
        <v>238439.64465000003</v>
      </c>
      <c r="BK25" s="1009">
        <v>430089.872454</v>
      </c>
      <c r="BL25" s="1010">
        <v>414421.70962500008</v>
      </c>
      <c r="BM25" s="1011">
        <v>9744364.9578915015</v>
      </c>
      <c r="BN25" s="714"/>
      <c r="BO25" s="355"/>
      <c r="BP25" s="355"/>
      <c r="BQ25" s="355"/>
      <c r="BR25" s="355"/>
      <c r="BS25" s="355"/>
      <c r="BT25" s="355"/>
      <c r="BU25" s="355"/>
      <c r="BV25" s="355"/>
      <c r="BW25" s="355"/>
      <c r="BX25" s="355"/>
      <c r="BY25" s="355"/>
      <c r="BZ25" s="355"/>
      <c r="CA25" s="355"/>
      <c r="CB25" s="355"/>
      <c r="CC25" s="355"/>
      <c r="CD25" s="355"/>
      <c r="CE25" s="355"/>
      <c r="CF25" s="355"/>
      <c r="CG25" s="355"/>
      <c r="CH25" s="355"/>
      <c r="CI25" s="356"/>
    </row>
    <row r="26" spans="1:87" ht="73.5" customHeight="1">
      <c r="A26" s="141">
        <f t="shared" si="9"/>
        <v>13</v>
      </c>
      <c r="B26" s="142">
        <f t="shared" si="9"/>
        <v>13</v>
      </c>
      <c r="C26" s="157" t="s">
        <v>209</v>
      </c>
      <c r="D26" s="158" t="s">
        <v>2383</v>
      </c>
      <c r="E26" s="159" t="s">
        <v>57</v>
      </c>
      <c r="F26" s="159" t="s">
        <v>249</v>
      </c>
      <c r="G26" s="159"/>
      <c r="H26" s="145" t="s">
        <v>2384</v>
      </c>
      <c r="I26" s="142">
        <v>17697</v>
      </c>
      <c r="J26" s="146">
        <v>11.4</v>
      </c>
      <c r="K26" s="146">
        <f t="shared" si="0"/>
        <v>201745.80000000002</v>
      </c>
      <c r="L26" s="142"/>
      <c r="M26" s="142"/>
      <c r="N26" s="142"/>
      <c r="O26" s="142"/>
      <c r="P26" s="142">
        <v>27</v>
      </c>
      <c r="Q26" s="147">
        <f t="shared" si="1"/>
        <v>27</v>
      </c>
      <c r="R26" s="148"/>
      <c r="S26" s="148"/>
      <c r="T26" s="148"/>
      <c r="U26" s="148"/>
      <c r="V26" s="148"/>
      <c r="W26" s="147">
        <f t="shared" si="2"/>
        <v>0</v>
      </c>
      <c r="X26" s="149">
        <f t="shared" si="3"/>
        <v>27</v>
      </c>
      <c r="Y26" s="146">
        <f t="shared" si="4"/>
        <v>340446.03750000003</v>
      </c>
      <c r="Z26" s="146">
        <f t="shared" si="5"/>
        <v>34044.603750000002</v>
      </c>
      <c r="AA26" s="142">
        <v>18</v>
      </c>
      <c r="AB26" s="146">
        <f t="shared" si="6"/>
        <v>7963.6500000000005</v>
      </c>
      <c r="AC26" s="142">
        <v>9</v>
      </c>
      <c r="AD26" s="146">
        <f t="shared" si="7"/>
        <v>1990.9125000000001</v>
      </c>
      <c r="AE26" s="142"/>
      <c r="AF26" s="142" t="s">
        <v>264</v>
      </c>
      <c r="AG26" s="146">
        <f t="shared" si="8"/>
        <v>3539.4</v>
      </c>
      <c r="AH26" s="142"/>
      <c r="AI26" s="146"/>
      <c r="AJ26" s="142"/>
      <c r="AK26" s="146"/>
      <c r="AL26" s="142">
        <v>27</v>
      </c>
      <c r="AM26" s="146">
        <v>102133.81125000001</v>
      </c>
      <c r="AN26" s="1006" t="s">
        <v>249</v>
      </c>
      <c r="AO26" s="1005">
        <v>170223.01875000002</v>
      </c>
      <c r="AP26" s="1005" t="s">
        <v>2364</v>
      </c>
      <c r="AQ26" s="1005" t="s">
        <v>2364</v>
      </c>
      <c r="AR26" s="1005" t="s">
        <v>2364</v>
      </c>
      <c r="AS26" s="1007"/>
      <c r="AT26" s="1005"/>
      <c r="AU26" s="1007"/>
      <c r="AV26" s="1005"/>
      <c r="AW26" s="1006"/>
      <c r="AX26" s="1008"/>
      <c r="AY26" s="1008">
        <v>17697</v>
      </c>
      <c r="AZ26" s="1008">
        <v>337592.39624999999</v>
      </c>
      <c r="BA26" s="715">
        <v>678038.43375000008</v>
      </c>
      <c r="BB26" s="1008">
        <v>67803.843375000011</v>
      </c>
      <c r="BC26" s="1008">
        <v>13560.768675000001</v>
      </c>
      <c r="BD26" s="1008">
        <v>53294.582170000001</v>
      </c>
      <c r="BE26" s="1008">
        <v>543379.23953000002</v>
      </c>
      <c r="BF26" s="715">
        <v>8136461.205000001</v>
      </c>
      <c r="BG26" s="1008">
        <v>340446.03750000003</v>
      </c>
      <c r="BH26" s="715">
        <v>8476907.2425000016</v>
      </c>
      <c r="BI26" s="1008">
        <v>381460.82591250009</v>
      </c>
      <c r="BJ26" s="1008">
        <v>244093.83615000002</v>
      </c>
      <c r="BK26" s="1009">
        <v>439852.77644400002</v>
      </c>
      <c r="BL26" s="1010">
        <v>423845.3621250001</v>
      </c>
      <c r="BM26" s="1011">
        <v>9966160.0431315005</v>
      </c>
      <c r="BN26" s="714"/>
      <c r="BO26" s="355"/>
      <c r="BP26" s="355"/>
      <c r="BQ26" s="355"/>
      <c r="BR26" s="355"/>
      <c r="BS26" s="355"/>
      <c r="BT26" s="355"/>
      <c r="BU26" s="355"/>
      <c r="BV26" s="355"/>
      <c r="BW26" s="355"/>
      <c r="BX26" s="355"/>
      <c r="BY26" s="355"/>
      <c r="BZ26" s="355"/>
      <c r="CA26" s="355"/>
      <c r="CB26" s="355"/>
      <c r="CC26" s="355"/>
      <c r="CD26" s="355"/>
      <c r="CE26" s="355"/>
      <c r="CF26" s="355"/>
      <c r="CG26" s="355"/>
      <c r="CH26" s="355"/>
      <c r="CI26" s="356"/>
    </row>
    <row r="27" spans="1:87" ht="73.5" customHeight="1">
      <c r="A27" s="141">
        <f t="shared" si="9"/>
        <v>14</v>
      </c>
      <c r="B27" s="142">
        <f t="shared" si="9"/>
        <v>14</v>
      </c>
      <c r="C27" s="143" t="s">
        <v>195</v>
      </c>
      <c r="D27" s="144" t="s">
        <v>2385</v>
      </c>
      <c r="E27" s="142" t="s">
        <v>57</v>
      </c>
      <c r="F27" s="142"/>
      <c r="G27" s="142"/>
      <c r="H27" s="145" t="s">
        <v>845</v>
      </c>
      <c r="I27" s="142">
        <v>17697</v>
      </c>
      <c r="J27" s="146">
        <v>10.220000000000001</v>
      </c>
      <c r="K27" s="146">
        <f t="shared" si="0"/>
        <v>180863.34000000003</v>
      </c>
      <c r="L27" s="142"/>
      <c r="M27" s="142">
        <v>24</v>
      </c>
      <c r="N27" s="142"/>
      <c r="O27" s="142"/>
      <c r="P27" s="142"/>
      <c r="Q27" s="147">
        <f t="shared" si="1"/>
        <v>24</v>
      </c>
      <c r="R27" s="148"/>
      <c r="S27" s="148">
        <v>3</v>
      </c>
      <c r="T27" s="148">
        <v>2</v>
      </c>
      <c r="U27" s="148">
        <v>3</v>
      </c>
      <c r="V27" s="148"/>
      <c r="W27" s="147">
        <f t="shared" si="2"/>
        <v>8</v>
      </c>
      <c r="X27" s="149">
        <f t="shared" si="3"/>
        <v>32</v>
      </c>
      <c r="Y27" s="146">
        <f t="shared" si="4"/>
        <v>361726.68000000005</v>
      </c>
      <c r="Z27" s="146">
        <f t="shared" si="5"/>
        <v>36172.668000000005</v>
      </c>
      <c r="AA27" s="142">
        <v>30</v>
      </c>
      <c r="AB27" s="146">
        <f t="shared" si="6"/>
        <v>13272.75</v>
      </c>
      <c r="AC27" s="142">
        <v>0</v>
      </c>
      <c r="AD27" s="146">
        <f t="shared" si="7"/>
        <v>0</v>
      </c>
      <c r="AE27" s="142"/>
      <c r="AF27" s="142">
        <v>213</v>
      </c>
      <c r="AG27" s="146">
        <f t="shared" si="8"/>
        <v>3539.4</v>
      </c>
      <c r="AH27" s="142"/>
      <c r="AI27" s="146"/>
      <c r="AJ27" s="142"/>
      <c r="AK27" s="146"/>
      <c r="AL27" s="142">
        <v>32</v>
      </c>
      <c r="AM27" s="146">
        <v>108518.00400000002</v>
      </c>
      <c r="AN27" s="1006">
        <v>0</v>
      </c>
      <c r="AO27" s="1005" t="s">
        <v>2364</v>
      </c>
      <c r="AP27" s="1005" t="s">
        <v>2364</v>
      </c>
      <c r="AQ27" s="1005" t="s">
        <v>2364</v>
      </c>
      <c r="AR27" s="1005" t="s">
        <v>2364</v>
      </c>
      <c r="AS27" s="1007"/>
      <c r="AT27" s="1005"/>
      <c r="AU27" s="1007"/>
      <c r="AV27" s="1005"/>
      <c r="AW27" s="1006"/>
      <c r="AX27" s="1008"/>
      <c r="AY27" s="1008"/>
      <c r="AZ27" s="1008">
        <v>161502.82200000001</v>
      </c>
      <c r="BA27" s="715">
        <v>523229.50200000009</v>
      </c>
      <c r="BB27" s="1008">
        <v>52322.950200000014</v>
      </c>
      <c r="BC27" s="1008">
        <v>10464.590040000003</v>
      </c>
      <c r="BD27" s="1008">
        <v>39671.396176000009</v>
      </c>
      <c r="BE27" s="1008">
        <v>420770.56558400008</v>
      </c>
      <c r="BF27" s="715">
        <v>6278754.0240000011</v>
      </c>
      <c r="BG27" s="1008">
        <v>361726.68000000005</v>
      </c>
      <c r="BH27" s="715">
        <v>6640480.7040000008</v>
      </c>
      <c r="BI27" s="1008">
        <v>298821.63168000005</v>
      </c>
      <c r="BJ27" s="1008">
        <v>188362.62072000004</v>
      </c>
      <c r="BK27" s="1009">
        <v>344772.69916320004</v>
      </c>
      <c r="BL27" s="1010">
        <v>332024.03520000004</v>
      </c>
      <c r="BM27" s="1011">
        <v>7804461.6907632006</v>
      </c>
      <c r="BN27" s="714"/>
      <c r="BO27" s="355"/>
      <c r="BP27" s="355"/>
      <c r="BQ27" s="355"/>
      <c r="BR27" s="355"/>
      <c r="BS27" s="355"/>
      <c r="BT27" s="355"/>
      <c r="BU27" s="355"/>
      <c r="BV27" s="355"/>
      <c r="BW27" s="355"/>
      <c r="BX27" s="355"/>
      <c r="BY27" s="355"/>
      <c r="BZ27" s="355"/>
      <c r="CA27" s="355"/>
      <c r="CB27" s="355"/>
      <c r="CC27" s="355"/>
      <c r="CD27" s="355"/>
      <c r="CE27" s="355"/>
      <c r="CF27" s="355"/>
      <c r="CG27" s="355"/>
      <c r="CH27" s="355"/>
      <c r="CI27" s="356"/>
    </row>
    <row r="28" spans="1:87" ht="73.5" customHeight="1">
      <c r="A28" s="141">
        <f t="shared" si="9"/>
        <v>15</v>
      </c>
      <c r="B28" s="142">
        <f t="shared" si="9"/>
        <v>15</v>
      </c>
      <c r="C28" s="143" t="s">
        <v>198</v>
      </c>
      <c r="D28" s="144" t="s">
        <v>2386</v>
      </c>
      <c r="E28" s="142" t="s">
        <v>57</v>
      </c>
      <c r="F28" s="142" t="s">
        <v>255</v>
      </c>
      <c r="G28" s="142"/>
      <c r="H28" s="145" t="s">
        <v>2387</v>
      </c>
      <c r="I28" s="142">
        <v>17697</v>
      </c>
      <c r="J28" s="146">
        <v>11.4</v>
      </c>
      <c r="K28" s="146">
        <f t="shared" si="0"/>
        <v>201745.80000000002</v>
      </c>
      <c r="L28" s="142"/>
      <c r="M28" s="142"/>
      <c r="N28" s="142"/>
      <c r="O28" s="142">
        <v>27</v>
      </c>
      <c r="P28" s="142"/>
      <c r="Q28" s="147">
        <f t="shared" si="1"/>
        <v>27</v>
      </c>
      <c r="R28" s="148"/>
      <c r="S28" s="148"/>
      <c r="T28" s="148"/>
      <c r="U28" s="148"/>
      <c r="V28" s="148"/>
      <c r="W28" s="147">
        <f t="shared" si="2"/>
        <v>0</v>
      </c>
      <c r="X28" s="149">
        <f t="shared" si="3"/>
        <v>27</v>
      </c>
      <c r="Y28" s="146">
        <f t="shared" si="4"/>
        <v>340446.03750000003</v>
      </c>
      <c r="Z28" s="146">
        <f t="shared" si="5"/>
        <v>34044.603750000002</v>
      </c>
      <c r="AA28" s="142">
        <v>0</v>
      </c>
      <c r="AB28" s="146">
        <f t="shared" si="6"/>
        <v>0</v>
      </c>
      <c r="AC28" s="142">
        <v>27</v>
      </c>
      <c r="AD28" s="146">
        <f t="shared" si="7"/>
        <v>5972.7375000000002</v>
      </c>
      <c r="AE28" s="142"/>
      <c r="AF28" s="142" t="s">
        <v>271</v>
      </c>
      <c r="AG28" s="146">
        <f t="shared" si="8"/>
        <v>3539.4</v>
      </c>
      <c r="AH28" s="142"/>
      <c r="AI28" s="146"/>
      <c r="AJ28" s="142"/>
      <c r="AK28" s="146"/>
      <c r="AL28" s="142">
        <v>27</v>
      </c>
      <c r="AM28" s="146">
        <v>102133.81125000001</v>
      </c>
      <c r="AN28" s="1006" t="s">
        <v>255</v>
      </c>
      <c r="AO28" s="1005" t="s">
        <v>2364</v>
      </c>
      <c r="AP28" s="1005">
        <v>136178.41500000001</v>
      </c>
      <c r="AQ28" s="1005" t="s">
        <v>2364</v>
      </c>
      <c r="AR28" s="1005" t="s">
        <v>2364</v>
      </c>
      <c r="AS28" s="1007"/>
      <c r="AT28" s="1005"/>
      <c r="AU28" s="1007"/>
      <c r="AV28" s="1005"/>
      <c r="AW28" s="1006"/>
      <c r="AX28" s="1008"/>
      <c r="AY28" s="1008"/>
      <c r="AZ28" s="1008">
        <v>281868.96750000003</v>
      </c>
      <c r="BA28" s="715">
        <v>622315.00500000012</v>
      </c>
      <c r="BB28" s="1008">
        <v>62231.500500000016</v>
      </c>
      <c r="BC28" s="1008">
        <v>12446.300100000002</v>
      </c>
      <c r="BD28" s="1008">
        <v>48390.920440000016</v>
      </c>
      <c r="BE28" s="1008">
        <v>499246.28396000015</v>
      </c>
      <c r="BF28" s="715">
        <v>7467780.0600000015</v>
      </c>
      <c r="BG28" s="1008">
        <v>340446.03750000003</v>
      </c>
      <c r="BH28" s="715">
        <v>7808226.0975000011</v>
      </c>
      <c r="BI28" s="1008">
        <v>351370.1743875001</v>
      </c>
      <c r="BJ28" s="1008">
        <v>224033.40180000002</v>
      </c>
      <c r="BK28" s="1009">
        <v>405215.09313300002</v>
      </c>
      <c r="BL28" s="1010">
        <v>390411.30487500009</v>
      </c>
      <c r="BM28" s="1011">
        <v>9179256.071695501</v>
      </c>
      <c r="BN28" s="714"/>
      <c r="BO28" s="355"/>
      <c r="BP28" s="355"/>
      <c r="BQ28" s="355"/>
      <c r="BR28" s="355"/>
      <c r="BS28" s="355"/>
      <c r="BT28" s="355"/>
      <c r="BU28" s="355"/>
      <c r="BV28" s="355"/>
      <c r="BW28" s="355"/>
      <c r="BX28" s="355"/>
      <c r="BY28" s="355"/>
      <c r="BZ28" s="355"/>
      <c r="CA28" s="355"/>
      <c r="CB28" s="355"/>
      <c r="CC28" s="355"/>
      <c r="CD28" s="355"/>
      <c r="CE28" s="355"/>
      <c r="CF28" s="355"/>
      <c r="CG28" s="355"/>
      <c r="CH28" s="355"/>
      <c r="CI28" s="356"/>
    </row>
    <row r="29" spans="1:87" ht="73.5" customHeight="1">
      <c r="A29" s="141">
        <f t="shared" si="9"/>
        <v>16</v>
      </c>
      <c r="B29" s="142">
        <f t="shared" si="9"/>
        <v>16</v>
      </c>
      <c r="C29" s="143" t="s">
        <v>203</v>
      </c>
      <c r="D29" s="144" t="s">
        <v>2388</v>
      </c>
      <c r="E29" s="142" t="s">
        <v>57</v>
      </c>
      <c r="F29" s="142" t="s">
        <v>249</v>
      </c>
      <c r="G29" s="142"/>
      <c r="H29" s="145" t="s">
        <v>2389</v>
      </c>
      <c r="I29" s="142">
        <v>17697</v>
      </c>
      <c r="J29" s="146">
        <v>11.4</v>
      </c>
      <c r="K29" s="146">
        <f t="shared" si="0"/>
        <v>201745.80000000002</v>
      </c>
      <c r="L29" s="153"/>
      <c r="M29" s="153"/>
      <c r="N29" s="153"/>
      <c r="O29" s="153"/>
      <c r="P29" s="153">
        <v>27</v>
      </c>
      <c r="Q29" s="147">
        <f t="shared" si="1"/>
        <v>27</v>
      </c>
      <c r="R29" s="153"/>
      <c r="S29" s="153"/>
      <c r="T29" s="153"/>
      <c r="U29" s="153"/>
      <c r="V29" s="153"/>
      <c r="W29" s="154">
        <f t="shared" si="2"/>
        <v>0</v>
      </c>
      <c r="X29" s="149">
        <f t="shared" si="3"/>
        <v>27</v>
      </c>
      <c r="Y29" s="146">
        <f t="shared" si="4"/>
        <v>340446.03750000003</v>
      </c>
      <c r="Z29" s="146">
        <f t="shared" si="5"/>
        <v>34044.603750000002</v>
      </c>
      <c r="AA29" s="142">
        <v>18</v>
      </c>
      <c r="AB29" s="146">
        <f t="shared" si="6"/>
        <v>7963.6500000000005</v>
      </c>
      <c r="AC29" s="142">
        <v>9</v>
      </c>
      <c r="AD29" s="146">
        <f t="shared" si="7"/>
        <v>1990.9125000000001</v>
      </c>
      <c r="AE29" s="142"/>
      <c r="AF29" s="142" t="s">
        <v>265</v>
      </c>
      <c r="AG29" s="146">
        <f t="shared" si="8"/>
        <v>3539.4</v>
      </c>
      <c r="AH29" s="142" t="s">
        <v>272</v>
      </c>
      <c r="AI29" s="146">
        <f>I29*200%</f>
        <v>35394</v>
      </c>
      <c r="AJ29" s="142"/>
      <c r="AK29" s="146"/>
      <c r="AL29" s="142">
        <v>27</v>
      </c>
      <c r="AM29" s="146">
        <v>102133.81125000001</v>
      </c>
      <c r="AN29" s="1006" t="s">
        <v>249</v>
      </c>
      <c r="AO29" s="1005">
        <v>170223.01875000002</v>
      </c>
      <c r="AP29" s="1005" t="s">
        <v>2364</v>
      </c>
      <c r="AQ29" s="1005" t="s">
        <v>2364</v>
      </c>
      <c r="AR29" s="1005" t="s">
        <v>2364</v>
      </c>
      <c r="AS29" s="1007"/>
      <c r="AT29" s="1005"/>
      <c r="AU29" s="1007"/>
      <c r="AV29" s="1005"/>
      <c r="AW29" s="1006"/>
      <c r="AX29" s="1008"/>
      <c r="AY29" s="1008"/>
      <c r="AZ29" s="1008">
        <v>355289.39624999999</v>
      </c>
      <c r="BA29" s="715">
        <v>695735.43375000008</v>
      </c>
      <c r="BB29" s="1008">
        <v>69573.543375000008</v>
      </c>
      <c r="BC29" s="1008">
        <v>13914.708675000002</v>
      </c>
      <c r="BD29" s="1008">
        <v>54851.918170000012</v>
      </c>
      <c r="BE29" s="1008">
        <v>557395.26353000011</v>
      </c>
      <c r="BF29" s="715">
        <v>8348825.205000001</v>
      </c>
      <c r="BG29" s="1008">
        <v>340446.03750000003</v>
      </c>
      <c r="BH29" s="715">
        <v>8689271.2425000016</v>
      </c>
      <c r="BI29" s="1008">
        <v>391017.2059125001</v>
      </c>
      <c r="BJ29" s="1008">
        <v>250464.75615000003</v>
      </c>
      <c r="BK29" s="1009">
        <v>450853.23164399998</v>
      </c>
      <c r="BL29" s="1010">
        <v>434463.56212500011</v>
      </c>
      <c r="BM29" s="1011">
        <v>10216069.998331502</v>
      </c>
      <c r="BN29" s="714"/>
      <c r="BO29" s="355"/>
      <c r="BP29" s="355"/>
      <c r="BQ29" s="355"/>
      <c r="BR29" s="355"/>
      <c r="BS29" s="355"/>
      <c r="BT29" s="355"/>
      <c r="BU29" s="355"/>
      <c r="BV29" s="355"/>
      <c r="BW29" s="355"/>
      <c r="BX29" s="355"/>
      <c r="BY29" s="355"/>
      <c r="BZ29" s="355"/>
      <c r="CA29" s="355"/>
      <c r="CB29" s="355"/>
      <c r="CC29" s="355"/>
      <c r="CD29" s="355"/>
      <c r="CE29" s="355"/>
      <c r="CF29" s="355"/>
      <c r="CG29" s="355"/>
      <c r="CH29" s="355"/>
      <c r="CI29" s="356"/>
    </row>
    <row r="30" spans="1:87" ht="73.5" customHeight="1">
      <c r="A30" s="141">
        <f t="shared" si="9"/>
        <v>17</v>
      </c>
      <c r="B30" s="142">
        <f t="shared" si="9"/>
        <v>17</v>
      </c>
      <c r="C30" s="143" t="s">
        <v>226</v>
      </c>
      <c r="D30" s="144" t="s">
        <v>2390</v>
      </c>
      <c r="E30" s="142" t="s">
        <v>57</v>
      </c>
      <c r="F30" s="142" t="s">
        <v>259</v>
      </c>
      <c r="G30" s="142" t="s">
        <v>266</v>
      </c>
      <c r="H30" s="145" t="s">
        <v>2391</v>
      </c>
      <c r="I30" s="142">
        <v>17697</v>
      </c>
      <c r="J30" s="146">
        <v>10.4</v>
      </c>
      <c r="K30" s="146">
        <f t="shared" si="0"/>
        <v>184048.80000000002</v>
      </c>
      <c r="L30" s="153"/>
      <c r="M30" s="153"/>
      <c r="N30" s="153"/>
      <c r="O30" s="153"/>
      <c r="P30" s="153"/>
      <c r="Q30" s="147">
        <f t="shared" si="1"/>
        <v>0</v>
      </c>
      <c r="R30" s="153">
        <v>21</v>
      </c>
      <c r="S30" s="153">
        <v>6</v>
      </c>
      <c r="T30" s="153"/>
      <c r="U30" s="153"/>
      <c r="V30" s="153"/>
      <c r="W30" s="154">
        <f t="shared" si="2"/>
        <v>27</v>
      </c>
      <c r="X30" s="149">
        <f t="shared" si="3"/>
        <v>27</v>
      </c>
      <c r="Y30" s="146">
        <f t="shared" si="4"/>
        <v>310582.35000000003</v>
      </c>
      <c r="Z30" s="146">
        <f t="shared" si="5"/>
        <v>31058.235000000004</v>
      </c>
      <c r="AA30" s="150">
        <v>0</v>
      </c>
      <c r="AB30" s="146">
        <f t="shared" si="6"/>
        <v>0</v>
      </c>
      <c r="AC30" s="142">
        <v>0</v>
      </c>
      <c r="AD30" s="146">
        <f t="shared" si="7"/>
        <v>0</v>
      </c>
      <c r="AE30" s="142"/>
      <c r="AF30" s="142"/>
      <c r="AG30" s="146"/>
      <c r="AH30" s="142"/>
      <c r="AI30" s="146"/>
      <c r="AJ30" s="142"/>
      <c r="AK30" s="146"/>
      <c r="AL30" s="142">
        <v>27</v>
      </c>
      <c r="AM30" s="146">
        <v>93174.705000000002</v>
      </c>
      <c r="AN30" s="1006" t="s">
        <v>259</v>
      </c>
      <c r="AO30" s="1005" t="s">
        <v>2364</v>
      </c>
      <c r="AP30" s="1005" t="s">
        <v>2364</v>
      </c>
      <c r="AQ30" s="1005">
        <v>108703.82250000001</v>
      </c>
      <c r="AR30" s="1005" t="s">
        <v>2364</v>
      </c>
      <c r="AS30" s="1007"/>
      <c r="AT30" s="1005"/>
      <c r="AU30" s="1007"/>
      <c r="AV30" s="1005"/>
      <c r="AW30" s="1006" t="s">
        <v>266</v>
      </c>
      <c r="AX30" s="1008">
        <v>45520</v>
      </c>
      <c r="AY30" s="1008"/>
      <c r="AZ30" s="1008">
        <v>278456.76250000001</v>
      </c>
      <c r="BA30" s="715">
        <v>589039.11250000005</v>
      </c>
      <c r="BB30" s="1008">
        <v>58903.911250000005</v>
      </c>
      <c r="BC30" s="1008">
        <v>11780.782250000002</v>
      </c>
      <c r="BD30" s="1008">
        <v>45462.64190000001</v>
      </c>
      <c r="BE30" s="1008">
        <v>472891.77710000006</v>
      </c>
      <c r="BF30" s="715">
        <v>7068469.3500000006</v>
      </c>
      <c r="BG30" s="1008">
        <v>310582.35000000003</v>
      </c>
      <c r="BH30" s="715">
        <v>7379051.7000000002</v>
      </c>
      <c r="BI30" s="1008">
        <v>332057.32650000002</v>
      </c>
      <c r="BJ30" s="1008">
        <v>212054.08050000001</v>
      </c>
      <c r="BK30" s="1009">
        <v>382918.15923000005</v>
      </c>
      <c r="BL30" s="1010">
        <v>368952.58500000002</v>
      </c>
      <c r="BM30" s="1011">
        <v>8675033.8512300011</v>
      </c>
      <c r="BN30" s="714"/>
      <c r="BO30" s="355"/>
      <c r="BP30" s="355"/>
      <c r="BQ30" s="355"/>
      <c r="BR30" s="355"/>
      <c r="BS30" s="355"/>
      <c r="BT30" s="355"/>
      <c r="BU30" s="355"/>
      <c r="BV30" s="355"/>
      <c r="BW30" s="355"/>
      <c r="BX30" s="355"/>
      <c r="BY30" s="355"/>
      <c r="BZ30" s="355"/>
      <c r="CA30" s="355"/>
      <c r="CB30" s="355"/>
      <c r="CC30" s="355"/>
      <c r="CD30" s="355"/>
      <c r="CE30" s="355"/>
      <c r="CF30" s="355"/>
      <c r="CG30" s="355"/>
      <c r="CH30" s="355"/>
      <c r="CI30" s="356"/>
    </row>
    <row r="31" spans="1:87" ht="73.5" customHeight="1">
      <c r="A31" s="141">
        <f t="shared" ref="A31:B37" si="10">A30+1</f>
        <v>18</v>
      </c>
      <c r="B31" s="142">
        <f t="shared" si="10"/>
        <v>18</v>
      </c>
      <c r="C31" s="998" t="s">
        <v>2392</v>
      </c>
      <c r="D31" s="999" t="s">
        <v>2393</v>
      </c>
      <c r="E31" s="142" t="s">
        <v>120</v>
      </c>
      <c r="F31" s="142"/>
      <c r="G31" s="142"/>
      <c r="H31" s="145" t="s">
        <v>2394</v>
      </c>
      <c r="I31" s="142">
        <v>17697</v>
      </c>
      <c r="J31" s="146">
        <v>8.14</v>
      </c>
      <c r="K31" s="146">
        <f t="shared" si="0"/>
        <v>144053.58000000002</v>
      </c>
      <c r="L31" s="153"/>
      <c r="M31" s="153"/>
      <c r="N31" s="153"/>
      <c r="O31" s="153"/>
      <c r="P31" s="153">
        <v>18</v>
      </c>
      <c r="Q31" s="147">
        <f t="shared" si="1"/>
        <v>18</v>
      </c>
      <c r="R31" s="153"/>
      <c r="S31" s="153"/>
      <c r="T31" s="153"/>
      <c r="U31" s="153"/>
      <c r="V31" s="153"/>
      <c r="W31" s="154">
        <f t="shared" si="2"/>
        <v>0</v>
      </c>
      <c r="X31" s="149">
        <f t="shared" si="3"/>
        <v>18</v>
      </c>
      <c r="Y31" s="146">
        <f t="shared" si="4"/>
        <v>162060.27750000003</v>
      </c>
      <c r="Z31" s="146">
        <f t="shared" si="5"/>
        <v>16206.027750000003</v>
      </c>
      <c r="AA31" s="150">
        <v>9</v>
      </c>
      <c r="AB31" s="146">
        <f t="shared" si="6"/>
        <v>3981.8250000000003</v>
      </c>
      <c r="AC31" s="142">
        <v>9</v>
      </c>
      <c r="AD31" s="146">
        <f t="shared" si="7"/>
        <v>1990.9125000000001</v>
      </c>
      <c r="AE31" s="142"/>
      <c r="AF31" s="142"/>
      <c r="AG31" s="146"/>
      <c r="AH31" s="142"/>
      <c r="AI31" s="146"/>
      <c r="AJ31" s="142"/>
      <c r="AK31" s="146"/>
      <c r="AL31" s="142">
        <v>18</v>
      </c>
      <c r="AM31" s="146">
        <v>48618.083250000003</v>
      </c>
      <c r="AN31" s="1006"/>
      <c r="AO31" s="1005"/>
      <c r="AP31" s="1005"/>
      <c r="AQ31" s="1005"/>
      <c r="AR31" s="1005"/>
      <c r="AS31" s="1007"/>
      <c r="AT31" s="1005"/>
      <c r="AU31" s="1007"/>
      <c r="AV31" s="1005"/>
      <c r="AW31" s="1006"/>
      <c r="AX31" s="1008"/>
      <c r="AY31" s="1008"/>
      <c r="AZ31" s="1008">
        <v>70796.848500000007</v>
      </c>
      <c r="BA31" s="715">
        <v>232857.12600000005</v>
      </c>
      <c r="BB31" s="1008">
        <v>23285.712600000006</v>
      </c>
      <c r="BC31" s="1008">
        <v>4657.1425200000012</v>
      </c>
      <c r="BD31" s="1008">
        <v>14118.627088000007</v>
      </c>
      <c r="BE31" s="1008">
        <v>190795.64379200005</v>
      </c>
      <c r="BF31" s="715">
        <v>2794285.5120000006</v>
      </c>
      <c r="BG31" s="1008">
        <v>162060.27750000003</v>
      </c>
      <c r="BH31" s="715">
        <v>2956345.7895000004</v>
      </c>
      <c r="BI31" s="1008">
        <v>133035.56052750003</v>
      </c>
      <c r="BJ31" s="1008">
        <v>83828.565360000008</v>
      </c>
      <c r="BK31" s="1009">
        <v>153495.24450660005</v>
      </c>
      <c r="BL31" s="1010">
        <v>147817.28947500003</v>
      </c>
      <c r="BM31" s="1011">
        <v>3474522.4493691004</v>
      </c>
      <c r="BN31" s="714"/>
      <c r="BO31" s="355"/>
      <c r="BP31" s="355"/>
      <c r="BQ31" s="355"/>
      <c r="BR31" s="355"/>
      <c r="BS31" s="355"/>
      <c r="BT31" s="355"/>
      <c r="BU31" s="355"/>
      <c r="BV31" s="355"/>
      <c r="BW31" s="355"/>
      <c r="BX31" s="355"/>
      <c r="BY31" s="355"/>
      <c r="BZ31" s="355"/>
      <c r="CA31" s="355"/>
      <c r="CB31" s="355"/>
      <c r="CC31" s="355"/>
      <c r="CD31" s="355"/>
      <c r="CE31" s="355"/>
      <c r="CF31" s="355"/>
      <c r="CG31" s="355"/>
      <c r="CH31" s="355"/>
      <c r="CI31" s="356"/>
    </row>
    <row r="32" spans="1:87" ht="73.5" customHeight="1">
      <c r="A32" s="141">
        <f t="shared" si="10"/>
        <v>19</v>
      </c>
      <c r="B32" s="142">
        <f t="shared" si="10"/>
        <v>19</v>
      </c>
      <c r="C32" s="143" t="s">
        <v>196</v>
      </c>
      <c r="D32" s="144" t="s">
        <v>2395</v>
      </c>
      <c r="E32" s="142" t="s">
        <v>57</v>
      </c>
      <c r="F32" s="142" t="s">
        <v>249</v>
      </c>
      <c r="G32" s="142" t="s">
        <v>224</v>
      </c>
      <c r="H32" s="145" t="s">
        <v>2396</v>
      </c>
      <c r="I32" s="142">
        <v>17697</v>
      </c>
      <c r="J32" s="146">
        <v>11.4</v>
      </c>
      <c r="K32" s="146">
        <f t="shared" si="0"/>
        <v>201745.80000000002</v>
      </c>
      <c r="L32" s="142">
        <v>8</v>
      </c>
      <c r="M32" s="142"/>
      <c r="N32" s="142"/>
      <c r="O32" s="142"/>
      <c r="P32" s="142">
        <v>18</v>
      </c>
      <c r="Q32" s="147">
        <f t="shared" si="1"/>
        <v>26</v>
      </c>
      <c r="R32" s="142">
        <v>1</v>
      </c>
      <c r="S32" s="142"/>
      <c r="T32" s="142"/>
      <c r="U32" s="142"/>
      <c r="V32" s="142"/>
      <c r="W32" s="154">
        <f t="shared" si="2"/>
        <v>1</v>
      </c>
      <c r="X32" s="149">
        <f t="shared" si="3"/>
        <v>27</v>
      </c>
      <c r="Y32" s="146">
        <f t="shared" si="4"/>
        <v>340446.03750000003</v>
      </c>
      <c r="Z32" s="146">
        <f t="shared" si="5"/>
        <v>34044.603750000002</v>
      </c>
      <c r="AA32" s="142">
        <v>27</v>
      </c>
      <c r="AB32" s="146">
        <f t="shared" si="6"/>
        <v>11945.475</v>
      </c>
      <c r="AC32" s="142">
        <v>0</v>
      </c>
      <c r="AD32" s="146">
        <f t="shared" si="7"/>
        <v>0</v>
      </c>
      <c r="AE32" s="142"/>
      <c r="AF32" s="142">
        <v>224</v>
      </c>
      <c r="AG32" s="146">
        <f t="shared" ref="AG32:AG35" si="11">17697*20%</f>
        <v>3539.4</v>
      </c>
      <c r="AH32" s="142"/>
      <c r="AI32" s="146"/>
      <c r="AJ32" s="142"/>
      <c r="AK32" s="146"/>
      <c r="AL32" s="142">
        <v>27</v>
      </c>
      <c r="AM32" s="146">
        <v>102133.81125000001</v>
      </c>
      <c r="AN32" s="1006" t="s">
        <v>249</v>
      </c>
      <c r="AO32" s="1005">
        <v>170223.01875000002</v>
      </c>
      <c r="AP32" s="1005" t="s">
        <v>2364</v>
      </c>
      <c r="AQ32" s="1005" t="s">
        <v>2364</v>
      </c>
      <c r="AR32" s="1005" t="s">
        <v>2364</v>
      </c>
      <c r="AS32" s="1007"/>
      <c r="AT32" s="1005"/>
      <c r="AU32" s="1007"/>
      <c r="AV32" s="1005"/>
      <c r="AW32" s="1006" t="s">
        <v>224</v>
      </c>
      <c r="AX32" s="1008">
        <v>45520</v>
      </c>
      <c r="AY32" s="1008"/>
      <c r="AZ32" s="1008">
        <v>367406.30875000003</v>
      </c>
      <c r="BA32" s="715">
        <v>707852.34625000006</v>
      </c>
      <c r="BB32" s="1008">
        <v>70785.234625000012</v>
      </c>
      <c r="BC32" s="1008">
        <v>14157.046925000002</v>
      </c>
      <c r="BD32" s="1008">
        <v>55918.206470000005</v>
      </c>
      <c r="BE32" s="1008">
        <v>566991.85823000001</v>
      </c>
      <c r="BF32" s="715">
        <v>8494228.1550000012</v>
      </c>
      <c r="BG32" s="1008">
        <v>340446.03750000003</v>
      </c>
      <c r="BH32" s="715">
        <v>8834674.1925000008</v>
      </c>
      <c r="BI32" s="1008">
        <v>397560.33866250003</v>
      </c>
      <c r="BJ32" s="1008">
        <v>254826.84465000001</v>
      </c>
      <c r="BK32" s="1009">
        <v>458385.10445400001</v>
      </c>
      <c r="BL32" s="1010">
        <v>441733.70962500008</v>
      </c>
      <c r="BM32" s="1011">
        <v>10387180.1898915</v>
      </c>
      <c r="BN32" s="714"/>
      <c r="BO32" s="355"/>
      <c r="BP32" s="355"/>
      <c r="BQ32" s="355"/>
      <c r="BR32" s="355"/>
      <c r="BS32" s="355"/>
      <c r="BT32" s="355"/>
      <c r="BU32" s="355"/>
      <c r="BV32" s="355"/>
      <c r="BW32" s="355"/>
      <c r="BX32" s="355"/>
      <c r="BY32" s="355"/>
      <c r="BZ32" s="355"/>
      <c r="CA32" s="355"/>
      <c r="CB32" s="355"/>
      <c r="CC32" s="355"/>
      <c r="CD32" s="355"/>
      <c r="CE32" s="355"/>
      <c r="CF32" s="355"/>
      <c r="CG32" s="355"/>
      <c r="CH32" s="355"/>
      <c r="CI32" s="356"/>
    </row>
    <row r="33" spans="1:87" ht="73.5" customHeight="1">
      <c r="A33" s="141">
        <f t="shared" si="10"/>
        <v>20</v>
      </c>
      <c r="B33" s="142">
        <f t="shared" si="10"/>
        <v>20</v>
      </c>
      <c r="C33" s="143" t="s">
        <v>267</v>
      </c>
      <c r="D33" s="144" t="s">
        <v>2397</v>
      </c>
      <c r="E33" s="142" t="s">
        <v>57</v>
      </c>
      <c r="F33" s="142" t="s">
        <v>249</v>
      </c>
      <c r="G33" s="142"/>
      <c r="H33" s="145" t="s">
        <v>2398</v>
      </c>
      <c r="I33" s="142">
        <v>17697</v>
      </c>
      <c r="J33" s="146">
        <v>11.4</v>
      </c>
      <c r="K33" s="146">
        <f t="shared" si="0"/>
        <v>201745.80000000002</v>
      </c>
      <c r="L33" s="142"/>
      <c r="M33" s="142"/>
      <c r="N33" s="142"/>
      <c r="O33" s="142">
        <v>27</v>
      </c>
      <c r="P33" s="142"/>
      <c r="Q33" s="147">
        <f t="shared" si="1"/>
        <v>27</v>
      </c>
      <c r="R33" s="142"/>
      <c r="S33" s="142"/>
      <c r="T33" s="142"/>
      <c r="U33" s="142"/>
      <c r="V33" s="142"/>
      <c r="W33" s="154">
        <f t="shared" si="2"/>
        <v>0</v>
      </c>
      <c r="X33" s="149">
        <f t="shared" si="3"/>
        <v>27</v>
      </c>
      <c r="Y33" s="146">
        <f t="shared" si="4"/>
        <v>340446.03750000003</v>
      </c>
      <c r="Z33" s="146">
        <f t="shared" si="5"/>
        <v>34044.603750000002</v>
      </c>
      <c r="AA33" s="142">
        <v>0</v>
      </c>
      <c r="AB33" s="146">
        <f t="shared" si="6"/>
        <v>0</v>
      </c>
      <c r="AC33" s="142">
        <v>27</v>
      </c>
      <c r="AD33" s="146">
        <f t="shared" si="7"/>
        <v>5972.7375000000002</v>
      </c>
      <c r="AE33" s="142"/>
      <c r="AF33" s="142" t="s">
        <v>547</v>
      </c>
      <c r="AG33" s="146">
        <f t="shared" si="11"/>
        <v>3539.4</v>
      </c>
      <c r="AH33" s="142"/>
      <c r="AI33" s="146"/>
      <c r="AJ33" s="142"/>
      <c r="AK33" s="146"/>
      <c r="AL33" s="142">
        <v>27</v>
      </c>
      <c r="AM33" s="146">
        <v>102133.81125000001</v>
      </c>
      <c r="AN33" s="1006" t="s">
        <v>249</v>
      </c>
      <c r="AO33" s="1005">
        <v>170223.01875000002</v>
      </c>
      <c r="AP33" s="1005" t="s">
        <v>2364</v>
      </c>
      <c r="AQ33" s="1005" t="s">
        <v>2364</v>
      </c>
      <c r="AR33" s="1005" t="s">
        <v>2364</v>
      </c>
      <c r="AS33" s="1007"/>
      <c r="AT33" s="1005"/>
      <c r="AU33" s="1007"/>
      <c r="AV33" s="1005"/>
      <c r="AW33" s="1006"/>
      <c r="AX33" s="1008"/>
      <c r="AY33" s="1008"/>
      <c r="AZ33" s="1008">
        <v>315913.57125000004</v>
      </c>
      <c r="BA33" s="715">
        <v>656359.60875000013</v>
      </c>
      <c r="BB33" s="1008">
        <v>65635.960875000019</v>
      </c>
      <c r="BC33" s="1008">
        <v>13127.192175000004</v>
      </c>
      <c r="BD33" s="1008">
        <v>51386.84557000002</v>
      </c>
      <c r="BE33" s="1008">
        <v>526209.61013000016</v>
      </c>
      <c r="BF33" s="715">
        <v>7876315.3050000016</v>
      </c>
      <c r="BG33" s="1008">
        <v>340446.03750000003</v>
      </c>
      <c r="BH33" s="715">
        <v>8216761.3425000012</v>
      </c>
      <c r="BI33" s="1008">
        <v>369754.26041250007</v>
      </c>
      <c r="BJ33" s="1008">
        <v>236289.45915000004</v>
      </c>
      <c r="BK33" s="1009">
        <v>426377.21882400004</v>
      </c>
      <c r="BL33" s="1010">
        <v>410838.06712500006</v>
      </c>
      <c r="BM33" s="1011">
        <v>9660020.3480114993</v>
      </c>
      <c r="BN33" s="714"/>
      <c r="BO33" s="355"/>
      <c r="BP33" s="355"/>
      <c r="BQ33" s="355"/>
      <c r="BR33" s="355"/>
      <c r="BS33" s="355"/>
      <c r="BT33" s="355"/>
      <c r="BU33" s="355"/>
      <c r="BV33" s="355"/>
      <c r="BW33" s="355"/>
      <c r="BX33" s="355"/>
      <c r="BY33" s="355"/>
      <c r="BZ33" s="355"/>
      <c r="CA33" s="355"/>
      <c r="CB33" s="355"/>
      <c r="CC33" s="355"/>
      <c r="CD33" s="355"/>
      <c r="CE33" s="355"/>
      <c r="CF33" s="355"/>
      <c r="CG33" s="355"/>
      <c r="CH33" s="355"/>
      <c r="CI33" s="356"/>
    </row>
    <row r="34" spans="1:87" ht="73.5" customHeight="1">
      <c r="A34" s="141">
        <f t="shared" si="10"/>
        <v>21</v>
      </c>
      <c r="B34" s="142">
        <f t="shared" si="10"/>
        <v>21</v>
      </c>
      <c r="C34" s="143" t="s">
        <v>202</v>
      </c>
      <c r="D34" s="144" t="s">
        <v>2399</v>
      </c>
      <c r="E34" s="142" t="s">
        <v>57</v>
      </c>
      <c r="F34" s="142"/>
      <c r="G34" s="142" t="s">
        <v>224</v>
      </c>
      <c r="H34" s="145" t="s">
        <v>2400</v>
      </c>
      <c r="I34" s="142">
        <v>17697</v>
      </c>
      <c r="J34" s="146">
        <v>11.18</v>
      </c>
      <c r="K34" s="146">
        <f t="shared" si="0"/>
        <v>197852.46</v>
      </c>
      <c r="L34" s="142">
        <v>24</v>
      </c>
      <c r="M34" s="142"/>
      <c r="N34" s="142"/>
      <c r="O34" s="142"/>
      <c r="P34" s="142"/>
      <c r="Q34" s="147">
        <f t="shared" si="1"/>
        <v>24</v>
      </c>
      <c r="R34" s="142">
        <v>3</v>
      </c>
      <c r="S34" s="142"/>
      <c r="T34" s="142"/>
      <c r="U34" s="142"/>
      <c r="V34" s="142"/>
      <c r="W34" s="154">
        <f t="shared" si="2"/>
        <v>3</v>
      </c>
      <c r="X34" s="149">
        <f t="shared" si="3"/>
        <v>27</v>
      </c>
      <c r="Y34" s="146">
        <f t="shared" si="4"/>
        <v>333876.02625</v>
      </c>
      <c r="Z34" s="146">
        <f t="shared" si="5"/>
        <v>33387.602625</v>
      </c>
      <c r="AA34" s="142">
        <v>27</v>
      </c>
      <c r="AB34" s="146">
        <f t="shared" si="6"/>
        <v>11945.475</v>
      </c>
      <c r="AC34" s="142"/>
      <c r="AD34" s="146">
        <f t="shared" si="7"/>
        <v>0</v>
      </c>
      <c r="AE34" s="142"/>
      <c r="AF34" s="142">
        <v>205</v>
      </c>
      <c r="AG34" s="146">
        <f t="shared" si="11"/>
        <v>3539.4</v>
      </c>
      <c r="AH34" s="142"/>
      <c r="AI34" s="146"/>
      <c r="AJ34" s="142"/>
      <c r="AK34" s="146"/>
      <c r="AL34" s="142">
        <v>27</v>
      </c>
      <c r="AM34" s="146">
        <v>100162.807875</v>
      </c>
      <c r="AN34" s="1006">
        <v>0</v>
      </c>
      <c r="AO34" s="1005" t="s">
        <v>2364</v>
      </c>
      <c r="AP34" s="1005" t="s">
        <v>2364</v>
      </c>
      <c r="AQ34" s="1005" t="s">
        <v>2364</v>
      </c>
      <c r="AR34" s="1005" t="s">
        <v>2364</v>
      </c>
      <c r="AS34" s="1007"/>
      <c r="AT34" s="1005"/>
      <c r="AU34" s="1007"/>
      <c r="AV34" s="1005"/>
      <c r="AW34" s="1006" t="s">
        <v>224</v>
      </c>
      <c r="AX34" s="1008">
        <v>45520</v>
      </c>
      <c r="AY34" s="1008"/>
      <c r="AZ34" s="1008">
        <v>194555.2855</v>
      </c>
      <c r="BA34" s="715">
        <v>528431.31174999999</v>
      </c>
      <c r="BB34" s="1008">
        <v>52843.131175000002</v>
      </c>
      <c r="BC34" s="1008">
        <v>10568.626235</v>
      </c>
      <c r="BD34" s="1008">
        <v>40129.155434000008</v>
      </c>
      <c r="BE34" s="1008">
        <v>424890.39890600002</v>
      </c>
      <c r="BF34" s="715">
        <v>6341175.7410000004</v>
      </c>
      <c r="BG34" s="1008">
        <v>333876.02625</v>
      </c>
      <c r="BH34" s="715">
        <v>6675051.7672500005</v>
      </c>
      <c r="BI34" s="1008">
        <v>300377.32952625002</v>
      </c>
      <c r="BJ34" s="1008">
        <v>190235.27223</v>
      </c>
      <c r="BK34" s="1009">
        <v>346502.20880130003</v>
      </c>
      <c r="BL34" s="1010">
        <v>333752.58836250007</v>
      </c>
      <c r="BM34" s="1011">
        <v>7845919.1661700513</v>
      </c>
      <c r="BN34" s="714"/>
      <c r="BO34" s="355"/>
      <c r="BP34" s="355"/>
      <c r="BQ34" s="355"/>
      <c r="BR34" s="355"/>
      <c r="BS34" s="355"/>
      <c r="BT34" s="355"/>
      <c r="BU34" s="355"/>
      <c r="BV34" s="355"/>
      <c r="BW34" s="355"/>
      <c r="BX34" s="355"/>
      <c r="BY34" s="355"/>
      <c r="BZ34" s="355"/>
      <c r="CA34" s="355"/>
      <c r="CB34" s="355"/>
      <c r="CC34" s="355"/>
      <c r="CD34" s="355"/>
      <c r="CE34" s="355"/>
      <c r="CF34" s="355"/>
      <c r="CG34" s="355"/>
      <c r="CH34" s="355"/>
      <c r="CI34" s="356"/>
    </row>
    <row r="35" spans="1:87" ht="73.5" customHeight="1">
      <c r="A35" s="141">
        <f t="shared" si="10"/>
        <v>22</v>
      </c>
      <c r="B35" s="142">
        <f t="shared" si="10"/>
        <v>22</v>
      </c>
      <c r="C35" s="143" t="s">
        <v>548</v>
      </c>
      <c r="D35" s="144" t="s">
        <v>2401</v>
      </c>
      <c r="E35" s="142" t="s">
        <v>57</v>
      </c>
      <c r="F35" s="142"/>
      <c r="G35" s="142"/>
      <c r="H35" s="145" t="s">
        <v>279</v>
      </c>
      <c r="I35" s="142">
        <v>17697</v>
      </c>
      <c r="J35" s="146">
        <v>9.66</v>
      </c>
      <c r="K35" s="146">
        <f t="shared" si="0"/>
        <v>170953.02</v>
      </c>
      <c r="L35" s="142"/>
      <c r="M35" s="142">
        <v>16</v>
      </c>
      <c r="N35" s="142"/>
      <c r="O35" s="142">
        <v>9</v>
      </c>
      <c r="P35" s="142"/>
      <c r="Q35" s="147">
        <f t="shared" si="1"/>
        <v>25</v>
      </c>
      <c r="R35" s="142"/>
      <c r="S35" s="142">
        <v>2</v>
      </c>
      <c r="T35" s="142"/>
      <c r="U35" s="142"/>
      <c r="V35" s="142"/>
      <c r="W35" s="154">
        <f t="shared" si="2"/>
        <v>2</v>
      </c>
      <c r="X35" s="149">
        <f t="shared" si="3"/>
        <v>27</v>
      </c>
      <c r="Y35" s="146">
        <f t="shared" si="4"/>
        <v>288483.22125</v>
      </c>
      <c r="Z35" s="146">
        <f t="shared" si="5"/>
        <v>28848.322125000002</v>
      </c>
      <c r="AA35" s="142">
        <v>18</v>
      </c>
      <c r="AB35" s="146">
        <f t="shared" si="6"/>
        <v>7963.6500000000005</v>
      </c>
      <c r="AC35" s="142">
        <v>9</v>
      </c>
      <c r="AD35" s="146">
        <f t="shared" si="7"/>
        <v>1990.9125000000001</v>
      </c>
      <c r="AE35" s="142"/>
      <c r="AF35" s="142">
        <v>210</v>
      </c>
      <c r="AG35" s="146">
        <f t="shared" si="11"/>
        <v>3539.4</v>
      </c>
      <c r="AH35" s="142"/>
      <c r="AI35" s="146"/>
      <c r="AJ35" s="142"/>
      <c r="AK35" s="146"/>
      <c r="AL35" s="142">
        <v>27</v>
      </c>
      <c r="AM35" s="146">
        <v>86544.966375000004</v>
      </c>
      <c r="AN35" s="1006">
        <v>0</v>
      </c>
      <c r="AO35" s="1005" t="s">
        <v>2364</v>
      </c>
      <c r="AP35" s="1005" t="s">
        <v>2364</v>
      </c>
      <c r="AQ35" s="1005" t="s">
        <v>2364</v>
      </c>
      <c r="AR35" s="1005" t="s">
        <v>2364</v>
      </c>
      <c r="AS35" s="1007"/>
      <c r="AT35" s="1005"/>
      <c r="AU35" s="1007"/>
      <c r="AV35" s="1005"/>
      <c r="AW35" s="1006"/>
      <c r="AX35" s="1008"/>
      <c r="AY35" s="1008"/>
      <c r="AZ35" s="1008">
        <v>128887.251</v>
      </c>
      <c r="BA35" s="715">
        <v>417370.47224999999</v>
      </c>
      <c r="BB35" s="1008">
        <v>41737.047225000002</v>
      </c>
      <c r="BC35" s="1008">
        <v>8347.4094449999993</v>
      </c>
      <c r="BD35" s="1008">
        <v>30355.801558000003</v>
      </c>
      <c r="BE35" s="1008">
        <v>336930.21402200003</v>
      </c>
      <c r="BF35" s="715">
        <v>5008445.6669999994</v>
      </c>
      <c r="BG35" s="1008">
        <v>288483.22125</v>
      </c>
      <c r="BH35" s="715">
        <v>5296928.8882499998</v>
      </c>
      <c r="BI35" s="1008">
        <v>238361.79997125</v>
      </c>
      <c r="BJ35" s="1008">
        <v>150253.37000999998</v>
      </c>
      <c r="BK35" s="1009">
        <v>275015.57949809992</v>
      </c>
      <c r="BL35" s="1010">
        <v>264846.44441250002</v>
      </c>
      <c r="BM35" s="1011">
        <v>6225406.0821418492</v>
      </c>
      <c r="BN35" s="714"/>
      <c r="BO35" s="355"/>
      <c r="BP35" s="355"/>
      <c r="BQ35" s="355"/>
      <c r="BR35" s="355"/>
      <c r="BS35" s="355"/>
      <c r="BT35" s="355"/>
      <c r="BU35" s="355"/>
      <c r="BV35" s="355"/>
      <c r="BW35" s="355"/>
      <c r="BX35" s="355"/>
      <c r="BY35" s="355"/>
      <c r="BZ35" s="355"/>
      <c r="CA35" s="355"/>
      <c r="CB35" s="355"/>
      <c r="CC35" s="355"/>
      <c r="CD35" s="355"/>
      <c r="CE35" s="355"/>
      <c r="CF35" s="355"/>
      <c r="CG35" s="355"/>
      <c r="CH35" s="355"/>
      <c r="CI35" s="356"/>
    </row>
    <row r="36" spans="1:87" ht="73.5" customHeight="1">
      <c r="A36" s="141">
        <f t="shared" si="10"/>
        <v>23</v>
      </c>
      <c r="B36" s="142">
        <f t="shared" si="10"/>
        <v>23</v>
      </c>
      <c r="C36" s="143" t="s">
        <v>268</v>
      </c>
      <c r="D36" s="144" t="s">
        <v>2402</v>
      </c>
      <c r="E36" s="142" t="s">
        <v>57</v>
      </c>
      <c r="F36" s="142" t="s">
        <v>254</v>
      </c>
      <c r="G36" s="142" t="s">
        <v>224</v>
      </c>
      <c r="H36" s="145" t="s">
        <v>2403</v>
      </c>
      <c r="I36" s="142">
        <v>17697</v>
      </c>
      <c r="J36" s="146">
        <v>10</v>
      </c>
      <c r="K36" s="146">
        <f t="shared" si="0"/>
        <v>176970</v>
      </c>
      <c r="L36" s="153"/>
      <c r="M36" s="153">
        <v>12</v>
      </c>
      <c r="N36" s="153">
        <v>16</v>
      </c>
      <c r="O36" s="153"/>
      <c r="P36" s="153"/>
      <c r="Q36" s="147">
        <f t="shared" si="1"/>
        <v>28</v>
      </c>
      <c r="R36" s="153"/>
      <c r="S36" s="153">
        <v>1</v>
      </c>
      <c r="T36" s="153">
        <v>2</v>
      </c>
      <c r="U36" s="153"/>
      <c r="V36" s="153"/>
      <c r="W36" s="154">
        <f t="shared" si="2"/>
        <v>3</v>
      </c>
      <c r="X36" s="149">
        <f t="shared" si="3"/>
        <v>31</v>
      </c>
      <c r="Y36" s="146">
        <f t="shared" si="4"/>
        <v>342879.375</v>
      </c>
      <c r="Z36" s="146">
        <f t="shared" si="5"/>
        <v>34287.9375</v>
      </c>
      <c r="AA36" s="142">
        <v>22</v>
      </c>
      <c r="AB36" s="146">
        <f t="shared" si="6"/>
        <v>9733.35</v>
      </c>
      <c r="AC36" s="142">
        <v>9</v>
      </c>
      <c r="AD36" s="146">
        <f t="shared" si="7"/>
        <v>1990.9125000000001</v>
      </c>
      <c r="AE36" s="142"/>
      <c r="AF36" s="142"/>
      <c r="AG36" s="146"/>
      <c r="AH36" s="142"/>
      <c r="AI36" s="146"/>
      <c r="AJ36" s="142"/>
      <c r="AK36" s="146"/>
      <c r="AL36" s="142">
        <v>31</v>
      </c>
      <c r="AM36" s="146">
        <v>102863.8125</v>
      </c>
      <c r="AN36" s="1006" t="s">
        <v>254</v>
      </c>
      <c r="AO36" s="1005" t="s">
        <v>2364</v>
      </c>
      <c r="AP36" s="1005" t="s">
        <v>2364</v>
      </c>
      <c r="AQ36" s="1005" t="s">
        <v>2364</v>
      </c>
      <c r="AR36" s="1005">
        <v>102863.8125</v>
      </c>
      <c r="AS36" s="1007"/>
      <c r="AT36" s="1005"/>
      <c r="AU36" s="1007"/>
      <c r="AV36" s="1005"/>
      <c r="AW36" s="1006" t="s">
        <v>224</v>
      </c>
      <c r="AX36" s="1008">
        <v>45520</v>
      </c>
      <c r="AY36" s="1008"/>
      <c r="AZ36" s="1008">
        <v>297259.82500000001</v>
      </c>
      <c r="BA36" s="715">
        <v>640139.19999999995</v>
      </c>
      <c r="BB36" s="1008">
        <v>64013.919999999998</v>
      </c>
      <c r="BC36" s="1008">
        <v>12802.784</v>
      </c>
      <c r="BD36" s="1008">
        <v>49959.449599999993</v>
      </c>
      <c r="BE36" s="1008">
        <v>513363.04639999993</v>
      </c>
      <c r="BF36" s="715">
        <v>7681670.3999999994</v>
      </c>
      <c r="BG36" s="1008">
        <v>342879.375</v>
      </c>
      <c r="BH36" s="715">
        <v>8024549.7749999994</v>
      </c>
      <c r="BI36" s="1008">
        <v>361104.73987499997</v>
      </c>
      <c r="BJ36" s="1008">
        <v>230450.11199999996</v>
      </c>
      <c r="BK36" s="1009">
        <v>416426.01297000004</v>
      </c>
      <c r="BL36" s="1010">
        <v>401227.48875000002</v>
      </c>
      <c r="BM36" s="1011">
        <v>9433758.1285950001</v>
      </c>
      <c r="BN36" s="714"/>
      <c r="BO36" s="355"/>
      <c r="BP36" s="355"/>
      <c r="BQ36" s="355"/>
      <c r="BR36" s="355"/>
      <c r="BS36" s="355"/>
      <c r="BT36" s="355"/>
      <c r="BU36" s="355"/>
      <c r="BV36" s="355"/>
      <c r="BW36" s="355"/>
      <c r="BX36" s="355"/>
      <c r="BY36" s="355"/>
      <c r="BZ36" s="355"/>
      <c r="CA36" s="355"/>
      <c r="CB36" s="355"/>
      <c r="CC36" s="355"/>
      <c r="CD36" s="355"/>
      <c r="CE36" s="355"/>
      <c r="CF36" s="355"/>
      <c r="CG36" s="355"/>
      <c r="CH36" s="355"/>
      <c r="CI36" s="356"/>
    </row>
    <row r="37" spans="1:87" ht="73.5" customHeight="1">
      <c r="A37" s="141">
        <f t="shared" si="10"/>
        <v>24</v>
      </c>
      <c r="B37" s="142">
        <f t="shared" si="10"/>
        <v>24</v>
      </c>
      <c r="C37" s="157" t="s">
        <v>269</v>
      </c>
      <c r="D37" s="144" t="s">
        <v>2377</v>
      </c>
      <c r="E37" s="142" t="s">
        <v>57</v>
      </c>
      <c r="F37" s="142" t="s">
        <v>254</v>
      </c>
      <c r="G37" s="142" t="s">
        <v>224</v>
      </c>
      <c r="H37" s="145" t="s">
        <v>396</v>
      </c>
      <c r="I37" s="142">
        <v>17697</v>
      </c>
      <c r="J37" s="146">
        <v>10</v>
      </c>
      <c r="K37" s="146">
        <f t="shared" si="0"/>
        <v>176970</v>
      </c>
      <c r="L37" s="153"/>
      <c r="M37" s="153"/>
      <c r="N37" s="153"/>
      <c r="O37" s="153">
        <v>27</v>
      </c>
      <c r="P37" s="153"/>
      <c r="Q37" s="147">
        <f t="shared" si="1"/>
        <v>27</v>
      </c>
      <c r="R37" s="153"/>
      <c r="S37" s="153"/>
      <c r="T37" s="153"/>
      <c r="U37" s="153"/>
      <c r="V37" s="153"/>
      <c r="W37" s="154">
        <f t="shared" si="2"/>
        <v>0</v>
      </c>
      <c r="X37" s="149">
        <f t="shared" si="3"/>
        <v>27</v>
      </c>
      <c r="Y37" s="146">
        <f t="shared" si="4"/>
        <v>298636.875</v>
      </c>
      <c r="Z37" s="146">
        <f t="shared" si="5"/>
        <v>29863.6875</v>
      </c>
      <c r="AA37" s="142">
        <v>0</v>
      </c>
      <c r="AB37" s="146">
        <f t="shared" si="6"/>
        <v>0</v>
      </c>
      <c r="AC37" s="142">
        <v>27</v>
      </c>
      <c r="AD37" s="146">
        <f t="shared" si="7"/>
        <v>5972.7375000000002</v>
      </c>
      <c r="AE37" s="142"/>
      <c r="AF37" s="142"/>
      <c r="AG37" s="146"/>
      <c r="AH37" s="142"/>
      <c r="AI37" s="146"/>
      <c r="AJ37" s="142"/>
      <c r="AK37" s="146"/>
      <c r="AL37" s="142">
        <v>27</v>
      </c>
      <c r="AM37" s="146">
        <v>89591.0625</v>
      </c>
      <c r="AN37" s="1006" t="s">
        <v>254</v>
      </c>
      <c r="AO37" s="1005" t="s">
        <v>2364</v>
      </c>
      <c r="AP37" s="1005" t="s">
        <v>2364</v>
      </c>
      <c r="AQ37" s="1005" t="s">
        <v>2364</v>
      </c>
      <c r="AR37" s="1005">
        <v>89591.0625</v>
      </c>
      <c r="AS37" s="1007"/>
      <c r="AT37" s="1005"/>
      <c r="AU37" s="1007"/>
      <c r="AV37" s="1005"/>
      <c r="AW37" s="1006" t="s">
        <v>224</v>
      </c>
      <c r="AX37" s="1008">
        <v>45520</v>
      </c>
      <c r="AY37" s="1008"/>
      <c r="AZ37" s="1008">
        <v>260538.55</v>
      </c>
      <c r="BA37" s="715">
        <v>559175.42500000005</v>
      </c>
      <c r="BB37" s="1008">
        <v>55917.54250000001</v>
      </c>
      <c r="BC37" s="1008">
        <v>11183.508500000002</v>
      </c>
      <c r="BD37" s="1008">
        <v>42834.637400000007</v>
      </c>
      <c r="BE37" s="1008">
        <v>449239.73660000006</v>
      </c>
      <c r="BF37" s="715">
        <v>6710105.1000000006</v>
      </c>
      <c r="BG37" s="1008">
        <v>298636.875</v>
      </c>
      <c r="BH37" s="715">
        <v>7008741.9750000006</v>
      </c>
      <c r="BI37" s="1008">
        <v>315393.38887500006</v>
      </c>
      <c r="BJ37" s="1008">
        <v>201303.15300000002</v>
      </c>
      <c r="BK37" s="1009">
        <v>363709.83542999998</v>
      </c>
      <c r="BL37" s="1010">
        <v>350437.09875000006</v>
      </c>
      <c r="BM37" s="1011">
        <v>8239585.4510550005</v>
      </c>
      <c r="BN37" s="714"/>
      <c r="BO37" s="355"/>
      <c r="BP37" s="355"/>
      <c r="BQ37" s="355"/>
      <c r="BR37" s="355"/>
      <c r="BS37" s="355"/>
      <c r="BT37" s="355"/>
      <c r="BU37" s="355"/>
      <c r="BV37" s="355"/>
      <c r="BW37" s="355"/>
      <c r="BX37" s="355"/>
      <c r="BY37" s="355"/>
      <c r="BZ37" s="355"/>
      <c r="CA37" s="355"/>
      <c r="CB37" s="355"/>
      <c r="CC37" s="355"/>
      <c r="CD37" s="355"/>
      <c r="CE37" s="355"/>
      <c r="CF37" s="355"/>
      <c r="CG37" s="355"/>
      <c r="CH37" s="355"/>
      <c r="CI37" s="356"/>
    </row>
    <row r="38" spans="1:87" ht="30">
      <c r="A38" s="361">
        <v>1</v>
      </c>
      <c r="B38" s="362">
        <v>1</v>
      </c>
      <c r="C38" s="378" t="s">
        <v>393</v>
      </c>
      <c r="D38" s="379" t="s">
        <v>1003</v>
      </c>
      <c r="E38" s="362" t="s">
        <v>998</v>
      </c>
      <c r="F38" s="362" t="s">
        <v>254</v>
      </c>
      <c r="G38" s="362" t="s">
        <v>224</v>
      </c>
      <c r="H38" s="365" t="s">
        <v>1401</v>
      </c>
      <c r="I38" s="366">
        <v>17697</v>
      </c>
      <c r="J38" s="367">
        <v>10.220000000000001</v>
      </c>
      <c r="K38" s="367">
        <f t="shared" si="0"/>
        <v>180863.34000000003</v>
      </c>
      <c r="L38" s="380"/>
      <c r="M38" s="380"/>
      <c r="N38" s="380"/>
      <c r="O38" s="380">
        <v>27</v>
      </c>
      <c r="P38" s="380"/>
      <c r="Q38" s="368">
        <f t="shared" ref="Q38:Q65" si="12">SUM(L38:P38)</f>
        <v>27</v>
      </c>
      <c r="R38" s="380"/>
      <c r="S38" s="380"/>
      <c r="T38" s="380"/>
      <c r="U38" s="380"/>
      <c r="V38" s="380"/>
      <c r="W38" s="381">
        <f t="shared" ref="W38:W65" si="13">SUM(R38:V38)</f>
        <v>0</v>
      </c>
      <c r="X38" s="370">
        <f t="shared" si="3"/>
        <v>27</v>
      </c>
      <c r="Y38" s="367">
        <f t="shared" si="4"/>
        <v>305206.88625000004</v>
      </c>
      <c r="Z38" s="367">
        <f t="shared" si="5"/>
        <v>30520.688625000006</v>
      </c>
      <c r="AA38" s="366">
        <v>27</v>
      </c>
      <c r="AB38" s="367">
        <f t="shared" si="6"/>
        <v>11945.475</v>
      </c>
      <c r="AC38" s="366">
        <v>0</v>
      </c>
      <c r="AD38" s="367">
        <f t="shared" si="7"/>
        <v>0</v>
      </c>
      <c r="AE38" s="366">
        <v>196600</v>
      </c>
      <c r="AF38" s="366"/>
      <c r="AG38" s="367"/>
      <c r="AH38" s="366"/>
      <c r="AI38" s="367"/>
      <c r="AJ38" s="366">
        <f t="shared" ref="AJ38:AJ65" si="14">X38</f>
        <v>27</v>
      </c>
      <c r="AK38" s="367">
        <f t="shared" ref="AK38:AK65" si="15">I38/16*AJ38*40%</f>
        <v>11945.475</v>
      </c>
      <c r="AL38" s="366">
        <f t="shared" ref="AL38:AL65" si="16">X38</f>
        <v>27</v>
      </c>
      <c r="AM38" s="367">
        <f t="shared" ref="AM38:AM65" si="17">K38/16*AL38*30%</f>
        <v>91562.065875000015</v>
      </c>
      <c r="AN38" s="366" t="str">
        <f t="shared" ref="AN38:AN65" si="18">F38</f>
        <v>Педагог-модератор</v>
      </c>
      <c r="AO38" s="367" t="str">
        <f t="shared" ref="AO38:AO65" si="19">IF(AN38="Педагог-зерттеуші", "0", IF(AN38="Педагог-шебер",K38/16*X38*50%, IF(AN38="Педагог-сарапшы", "0", IF(AN38="Педагог-модератор", "0", "0"))))</f>
        <v>0</v>
      </c>
      <c r="AP38" s="367" t="str">
        <f t="shared" ref="AP38:AP65" si="20">IF(AN38="Педагог-шебер", "0", IF(AN38="Педагог-зерттеуші",K38/16*X38*40%, IF(AN38="Педагог-сарапшы", "0", IF(AN38="Педагог-модератор", "0", "0"))))</f>
        <v>0</v>
      </c>
      <c r="AQ38" s="367" t="str">
        <f t="shared" ref="AQ38:AQ65" si="21">IF(AN38="Педагог-шебер", "0", IF(AN38="Педагог-сарапшы",K38/16*X38*35%, IF(AN38="Педагог-зерттеуші", "0", IF(AN38="Педагог-модератор", "0", "0"))))</f>
        <v>0</v>
      </c>
      <c r="AR38" s="367">
        <f t="shared" ref="AR38:AR65" si="22">IF(AN38="Педагог-шебер", "0", IF(AN38="Педагог-модератор",K38/16*X38*30%, IF(AN38="Педагог-зерттеуші", "0", IF(AN38="Педагог-сарапшы", "0", "0"))))</f>
        <v>91562.065875000015</v>
      </c>
      <c r="AS38" s="366"/>
      <c r="AT38" s="367"/>
      <c r="AU38" s="371"/>
      <c r="AV38" s="367"/>
      <c r="AW38" s="371" t="str">
        <f t="shared" ref="AW38:AW65" si="23">G38</f>
        <v>Магистр-математика</v>
      </c>
      <c r="AX38" s="372">
        <f>10*4552</f>
        <v>45520</v>
      </c>
      <c r="AY38" s="367"/>
      <c r="AZ38" s="367">
        <f t="shared" ref="AZ38:AZ65" si="24">Z38+AB38+AD38+AE38+AG38+AI38+AK38+AM38+AO38+AP38+AQ38++AR38+AT38+AV38+AX38+AY38</f>
        <v>479655.77037500008</v>
      </c>
      <c r="BA38" s="373">
        <f t="shared" ref="BA38:BA65" si="25">Y38+AZ38</f>
        <v>784862.65662500006</v>
      </c>
      <c r="BB38" s="374">
        <f t="shared" ref="BB38:BB65" si="26">BA38*10%</f>
        <v>78486.265662500009</v>
      </c>
      <c r="BC38" s="374">
        <f t="shared" ref="BC38:BC65" si="27">BA38*2%</f>
        <v>15697.253132500002</v>
      </c>
      <c r="BD38" s="374">
        <f t="shared" ref="BD38:BD65" si="28">(BA38-BB38-BC38-(14*4552))*10%</f>
        <v>62695.113783000008</v>
      </c>
      <c r="BE38" s="374">
        <f t="shared" ref="BE38:BE65" si="29">BA38-BB38-BC38-BD38</f>
        <v>627984.02404699998</v>
      </c>
      <c r="BF38" s="374">
        <f t="shared" ref="BF38:BF65" si="30">BA38*12</f>
        <v>9418351.8795000017</v>
      </c>
      <c r="BG38" s="374">
        <f t="shared" ref="BG38:BG65" si="31">Y38*2</f>
        <v>610413.77250000008</v>
      </c>
      <c r="BH38" s="374">
        <f t="shared" ref="BH38:BH65" si="32">BF38+BG38</f>
        <v>10028765.652000003</v>
      </c>
      <c r="BI38" s="374">
        <f t="shared" ref="BI38:BI65" si="33">BH38*0.9*5%</f>
        <v>451294.45434000017</v>
      </c>
      <c r="BJ38" s="374">
        <f t="shared" ref="BJ38:BJ65" si="34">BF38*3%</f>
        <v>282550.55638500006</v>
      </c>
      <c r="BK38" s="374">
        <f t="shared" ref="BK38:BK65" si="35">(BH38*0.9-(BC38*12))*11%-BI38</f>
        <v>520832.97107310011</v>
      </c>
      <c r="BL38" s="374">
        <f t="shared" ref="BL38:BL65" si="36">BH38*5%</f>
        <v>501438.28260000015</v>
      </c>
      <c r="BM38" s="373">
        <f t="shared" ref="BM38:BM65" si="37">BH38+BI38+BJ38+BK38+BL38</f>
        <v>11784881.916398102</v>
      </c>
      <c r="BN38" s="375"/>
      <c r="BO38" s="376"/>
      <c r="BP38" s="376"/>
      <c r="BQ38" s="377"/>
      <c r="BR38" s="377"/>
      <c r="BS38" s="377"/>
      <c r="BT38" s="377"/>
      <c r="BU38" s="377"/>
      <c r="BV38" s="377"/>
      <c r="BW38" s="377"/>
      <c r="BX38" s="377"/>
      <c r="BY38" s="377"/>
      <c r="BZ38" s="377"/>
      <c r="CA38" s="377"/>
      <c r="CB38" s="377"/>
      <c r="CC38" s="377"/>
      <c r="CD38" s="377"/>
      <c r="CE38" s="377"/>
      <c r="CF38" s="377"/>
      <c r="CG38" s="377"/>
      <c r="CH38" s="377"/>
      <c r="CI38" s="377"/>
    </row>
    <row r="39" spans="1:87" ht="47.25">
      <c r="A39" s="361">
        <f t="shared" ref="A39:B54" si="38">A38+1</f>
        <v>2</v>
      </c>
      <c r="B39" s="362">
        <f t="shared" si="38"/>
        <v>2</v>
      </c>
      <c r="C39" s="378" t="s">
        <v>256</v>
      </c>
      <c r="D39" s="379" t="s">
        <v>1004</v>
      </c>
      <c r="E39" s="362" t="s">
        <v>998</v>
      </c>
      <c r="F39" s="362" t="s">
        <v>1005</v>
      </c>
      <c r="G39" s="362"/>
      <c r="H39" s="365" t="s">
        <v>1006</v>
      </c>
      <c r="I39" s="366">
        <v>17697</v>
      </c>
      <c r="J39" s="367">
        <v>11.4</v>
      </c>
      <c r="K39" s="367">
        <f t="shared" si="0"/>
        <v>201745.80000000002</v>
      </c>
      <c r="L39" s="366"/>
      <c r="M39" s="366">
        <v>16</v>
      </c>
      <c r="N39" s="366"/>
      <c r="O39" s="366"/>
      <c r="P39" s="366"/>
      <c r="Q39" s="368">
        <f t="shared" si="12"/>
        <v>16</v>
      </c>
      <c r="R39" s="369"/>
      <c r="S39" s="369">
        <v>2</v>
      </c>
      <c r="T39" s="369"/>
      <c r="U39" s="369"/>
      <c r="V39" s="369"/>
      <c r="W39" s="368">
        <f t="shared" si="13"/>
        <v>2</v>
      </c>
      <c r="X39" s="370">
        <f t="shared" si="3"/>
        <v>18</v>
      </c>
      <c r="Y39" s="367">
        <f t="shared" si="4"/>
        <v>226964.02500000002</v>
      </c>
      <c r="Z39" s="367">
        <f t="shared" si="5"/>
        <v>22696.402500000004</v>
      </c>
      <c r="AA39" s="366">
        <v>18</v>
      </c>
      <c r="AB39" s="367">
        <f t="shared" si="6"/>
        <v>7963.6500000000005</v>
      </c>
      <c r="AC39" s="366">
        <v>0</v>
      </c>
      <c r="AD39" s="367">
        <f t="shared" si="7"/>
        <v>0</v>
      </c>
      <c r="AE39" s="366"/>
      <c r="AF39" s="366"/>
      <c r="AG39" s="367"/>
      <c r="AH39" s="366"/>
      <c r="AI39" s="367"/>
      <c r="AJ39" s="366">
        <f t="shared" si="14"/>
        <v>18</v>
      </c>
      <c r="AK39" s="367">
        <f t="shared" si="15"/>
        <v>7963.6500000000005</v>
      </c>
      <c r="AL39" s="366">
        <f t="shared" si="16"/>
        <v>18</v>
      </c>
      <c r="AM39" s="367">
        <f t="shared" si="17"/>
        <v>68089.207500000004</v>
      </c>
      <c r="AN39" s="366" t="str">
        <f t="shared" si="18"/>
        <v>Педагог-зерттеуші</v>
      </c>
      <c r="AO39" s="367" t="str">
        <f t="shared" si="19"/>
        <v>0</v>
      </c>
      <c r="AP39" s="367">
        <f t="shared" si="20"/>
        <v>90785.610000000015</v>
      </c>
      <c r="AQ39" s="367" t="str">
        <f t="shared" si="21"/>
        <v>0</v>
      </c>
      <c r="AR39" s="367" t="str">
        <f t="shared" si="22"/>
        <v>0</v>
      </c>
      <c r="AS39" s="366"/>
      <c r="AT39" s="367"/>
      <c r="AU39" s="372"/>
      <c r="AV39" s="367"/>
      <c r="AW39" s="371">
        <f t="shared" si="23"/>
        <v>0</v>
      </c>
      <c r="AX39" s="372"/>
      <c r="AY39" s="367"/>
      <c r="AZ39" s="367">
        <f t="shared" si="24"/>
        <v>197498.52000000002</v>
      </c>
      <c r="BA39" s="373">
        <f t="shared" si="25"/>
        <v>424462.54500000004</v>
      </c>
      <c r="BB39" s="374">
        <f t="shared" si="26"/>
        <v>42446.25450000001</v>
      </c>
      <c r="BC39" s="374">
        <f t="shared" si="27"/>
        <v>8489.2509000000009</v>
      </c>
      <c r="BD39" s="374">
        <f t="shared" si="28"/>
        <v>30979.903960000003</v>
      </c>
      <c r="BE39" s="374">
        <f t="shared" si="29"/>
        <v>342547.13563999999</v>
      </c>
      <c r="BF39" s="374">
        <f t="shared" si="30"/>
        <v>5093550.540000001</v>
      </c>
      <c r="BG39" s="374">
        <f t="shared" si="31"/>
        <v>453928.05000000005</v>
      </c>
      <c r="BH39" s="374">
        <f t="shared" si="32"/>
        <v>5547478.5900000008</v>
      </c>
      <c r="BI39" s="374">
        <f t="shared" si="33"/>
        <v>249636.53655000005</v>
      </c>
      <c r="BJ39" s="374">
        <f t="shared" si="34"/>
        <v>152806.51620000001</v>
      </c>
      <c r="BK39" s="374">
        <f t="shared" si="35"/>
        <v>288358.032672</v>
      </c>
      <c r="BL39" s="374">
        <f t="shared" si="36"/>
        <v>277373.92950000003</v>
      </c>
      <c r="BM39" s="373">
        <f t="shared" si="37"/>
        <v>6515653.6049220013</v>
      </c>
      <c r="BN39" s="375"/>
      <c r="BO39" s="376"/>
      <c r="BP39" s="376"/>
      <c r="BQ39" s="377"/>
      <c r="BR39" s="377"/>
      <c r="BS39" s="377"/>
      <c r="BT39" s="377"/>
      <c r="BU39" s="377"/>
      <c r="BV39" s="377"/>
      <c r="BW39" s="377"/>
      <c r="BX39" s="377"/>
      <c r="BY39" s="377"/>
      <c r="BZ39" s="377"/>
      <c r="CA39" s="377"/>
      <c r="CB39" s="377"/>
      <c r="CC39" s="377"/>
      <c r="CD39" s="377"/>
      <c r="CE39" s="377"/>
      <c r="CF39" s="377"/>
      <c r="CG39" s="377"/>
      <c r="CH39" s="377"/>
      <c r="CI39" s="377"/>
    </row>
    <row r="40" spans="1:87" ht="47.25">
      <c r="A40" s="361">
        <f t="shared" si="38"/>
        <v>3</v>
      </c>
      <c r="B40" s="362">
        <f t="shared" si="38"/>
        <v>3</v>
      </c>
      <c r="C40" s="378" t="s">
        <v>207</v>
      </c>
      <c r="D40" s="382" t="s">
        <v>1007</v>
      </c>
      <c r="E40" s="362" t="s">
        <v>998</v>
      </c>
      <c r="F40" s="362"/>
      <c r="G40" s="383"/>
      <c r="H40" s="365" t="s">
        <v>1008</v>
      </c>
      <c r="I40" s="366">
        <v>17697</v>
      </c>
      <c r="J40" s="367">
        <v>11.4</v>
      </c>
      <c r="K40" s="367">
        <f t="shared" si="0"/>
        <v>201745.80000000002</v>
      </c>
      <c r="L40" s="366"/>
      <c r="M40" s="366"/>
      <c r="N40" s="366"/>
      <c r="O40" s="366"/>
      <c r="P40" s="366">
        <v>18</v>
      </c>
      <c r="Q40" s="368">
        <f t="shared" si="12"/>
        <v>18</v>
      </c>
      <c r="R40" s="369"/>
      <c r="S40" s="369"/>
      <c r="T40" s="369"/>
      <c r="U40" s="369"/>
      <c r="V40" s="369"/>
      <c r="W40" s="368">
        <f t="shared" si="13"/>
        <v>0</v>
      </c>
      <c r="X40" s="370">
        <f t="shared" si="3"/>
        <v>18</v>
      </c>
      <c r="Y40" s="367">
        <f t="shared" si="4"/>
        <v>226964.02500000002</v>
      </c>
      <c r="Z40" s="367">
        <f t="shared" si="5"/>
        <v>22696.402500000004</v>
      </c>
      <c r="AA40" s="366">
        <v>18</v>
      </c>
      <c r="AB40" s="367">
        <f>I40/16*AA40*40%</f>
        <v>7963.6500000000005</v>
      </c>
      <c r="AC40" s="366">
        <v>0</v>
      </c>
      <c r="AD40" s="367">
        <f t="shared" si="7"/>
        <v>0</v>
      </c>
      <c r="AE40" s="366"/>
      <c r="AF40" s="366" t="s">
        <v>394</v>
      </c>
      <c r="AG40" s="367">
        <f t="shared" ref="AG40" si="39">17697*20%</f>
        <v>3539.4</v>
      </c>
      <c r="AH40" s="366" t="s">
        <v>1009</v>
      </c>
      <c r="AI40" s="367">
        <f>I40*200%</f>
        <v>35394</v>
      </c>
      <c r="AJ40" s="366">
        <f t="shared" si="14"/>
        <v>18</v>
      </c>
      <c r="AK40" s="367">
        <f t="shared" si="15"/>
        <v>7963.6500000000005</v>
      </c>
      <c r="AL40" s="366">
        <f t="shared" si="16"/>
        <v>18</v>
      </c>
      <c r="AM40" s="367">
        <f t="shared" si="17"/>
        <v>68089.207500000004</v>
      </c>
      <c r="AN40" s="366">
        <f t="shared" si="18"/>
        <v>0</v>
      </c>
      <c r="AO40" s="367" t="str">
        <f t="shared" si="19"/>
        <v>0</v>
      </c>
      <c r="AP40" s="367" t="str">
        <f t="shared" si="20"/>
        <v>0</v>
      </c>
      <c r="AQ40" s="367" t="str">
        <f t="shared" si="21"/>
        <v>0</v>
      </c>
      <c r="AR40" s="367" t="str">
        <f t="shared" si="22"/>
        <v>0</v>
      </c>
      <c r="AS40" s="366"/>
      <c r="AT40" s="367"/>
      <c r="AU40" s="366"/>
      <c r="AV40" s="367"/>
      <c r="AW40" s="371">
        <f t="shared" si="23"/>
        <v>0</v>
      </c>
      <c r="AX40" s="372"/>
      <c r="AY40" s="367"/>
      <c r="AZ40" s="367">
        <f t="shared" si="24"/>
        <v>145646.31</v>
      </c>
      <c r="BA40" s="373">
        <f t="shared" si="25"/>
        <v>372610.33500000002</v>
      </c>
      <c r="BB40" s="374">
        <f t="shared" si="26"/>
        <v>37261.033500000005</v>
      </c>
      <c r="BC40" s="374">
        <f t="shared" si="27"/>
        <v>7452.2067000000006</v>
      </c>
      <c r="BD40" s="374">
        <f t="shared" si="28"/>
        <v>26416.909480000002</v>
      </c>
      <c r="BE40" s="374">
        <f t="shared" si="29"/>
        <v>301480.18532000005</v>
      </c>
      <c r="BF40" s="374">
        <f t="shared" si="30"/>
        <v>4471324.0200000005</v>
      </c>
      <c r="BG40" s="374">
        <f t="shared" si="31"/>
        <v>453928.05000000005</v>
      </c>
      <c r="BH40" s="374">
        <f t="shared" si="32"/>
        <v>4925252.07</v>
      </c>
      <c r="BI40" s="374">
        <f t="shared" si="33"/>
        <v>221636.34315000006</v>
      </c>
      <c r="BJ40" s="374">
        <f t="shared" si="34"/>
        <v>134139.7206</v>
      </c>
      <c r="BK40" s="374">
        <f t="shared" si="35"/>
        <v>256126.69893600009</v>
      </c>
      <c r="BL40" s="374">
        <f t="shared" si="36"/>
        <v>246262.60350000003</v>
      </c>
      <c r="BM40" s="373">
        <f t="shared" si="37"/>
        <v>5783417.4361860007</v>
      </c>
      <c r="BN40" s="375"/>
      <c r="BO40" s="376"/>
      <c r="BP40" s="376"/>
      <c r="BQ40" s="377"/>
      <c r="BR40" s="377"/>
      <c r="BS40" s="377"/>
      <c r="BT40" s="377"/>
      <c r="BU40" s="377"/>
      <c r="BV40" s="377"/>
      <c r="BW40" s="377"/>
      <c r="BX40" s="377"/>
      <c r="BY40" s="377"/>
      <c r="BZ40" s="377"/>
      <c r="CA40" s="377"/>
      <c r="CB40" s="377"/>
      <c r="CC40" s="377"/>
      <c r="CD40" s="377"/>
      <c r="CE40" s="377"/>
      <c r="CF40" s="377"/>
      <c r="CG40" s="377"/>
      <c r="CH40" s="377"/>
      <c r="CI40" s="377"/>
    </row>
    <row r="41" spans="1:87" ht="47.25">
      <c r="A41" s="361">
        <f t="shared" si="38"/>
        <v>4</v>
      </c>
      <c r="B41" s="362">
        <f t="shared" si="38"/>
        <v>4</v>
      </c>
      <c r="C41" s="384" t="s">
        <v>1012</v>
      </c>
      <c r="D41" s="379" t="s">
        <v>1013</v>
      </c>
      <c r="E41" s="362" t="s">
        <v>998</v>
      </c>
      <c r="F41" s="362"/>
      <c r="G41" s="362"/>
      <c r="H41" s="365" t="s">
        <v>1403</v>
      </c>
      <c r="I41" s="366">
        <v>17697</v>
      </c>
      <c r="J41" s="367">
        <v>9.5</v>
      </c>
      <c r="K41" s="367">
        <f t="shared" si="0"/>
        <v>168121.5</v>
      </c>
      <c r="L41" s="366">
        <v>16</v>
      </c>
      <c r="M41" s="366"/>
      <c r="N41" s="366">
        <v>8</v>
      </c>
      <c r="O41" s="366"/>
      <c r="P41" s="366"/>
      <c r="Q41" s="368">
        <f t="shared" si="12"/>
        <v>24</v>
      </c>
      <c r="R41" s="369">
        <v>2</v>
      </c>
      <c r="S41" s="369"/>
      <c r="T41" s="369">
        <v>1</v>
      </c>
      <c r="U41" s="369"/>
      <c r="V41" s="369"/>
      <c r="W41" s="368">
        <f t="shared" si="13"/>
        <v>3</v>
      </c>
      <c r="X41" s="370">
        <f t="shared" si="3"/>
        <v>27</v>
      </c>
      <c r="Y41" s="367">
        <f t="shared" si="4"/>
        <v>283705.03125</v>
      </c>
      <c r="Z41" s="367">
        <f t="shared" si="5"/>
        <v>28370.503125000003</v>
      </c>
      <c r="AA41" s="366">
        <v>9</v>
      </c>
      <c r="AB41" s="367">
        <f t="shared" si="6"/>
        <v>3981.8250000000003</v>
      </c>
      <c r="AC41" s="366">
        <v>18</v>
      </c>
      <c r="AD41" s="367">
        <f t="shared" si="7"/>
        <v>3981.8250000000003</v>
      </c>
      <c r="AE41" s="366"/>
      <c r="AF41" s="366"/>
      <c r="AG41" s="367"/>
      <c r="AH41" s="366"/>
      <c r="AI41" s="367"/>
      <c r="AJ41" s="366">
        <f t="shared" si="14"/>
        <v>27</v>
      </c>
      <c r="AK41" s="367">
        <f t="shared" si="15"/>
        <v>11945.475</v>
      </c>
      <c r="AL41" s="366">
        <f t="shared" si="16"/>
        <v>27</v>
      </c>
      <c r="AM41" s="367">
        <f t="shared" si="17"/>
        <v>85111.509374999994</v>
      </c>
      <c r="AN41" s="366">
        <f t="shared" si="18"/>
        <v>0</v>
      </c>
      <c r="AO41" s="367" t="str">
        <f t="shared" si="19"/>
        <v>0</v>
      </c>
      <c r="AP41" s="367" t="str">
        <f t="shared" si="20"/>
        <v>0</v>
      </c>
      <c r="AQ41" s="367" t="str">
        <f t="shared" si="21"/>
        <v>0</v>
      </c>
      <c r="AR41" s="367" t="str">
        <f t="shared" si="22"/>
        <v>0</v>
      </c>
      <c r="AS41" s="366"/>
      <c r="AT41" s="367"/>
      <c r="AU41" s="366"/>
      <c r="AV41" s="367"/>
      <c r="AW41" s="371">
        <f t="shared" si="23"/>
        <v>0</v>
      </c>
      <c r="AX41" s="372"/>
      <c r="AY41" s="367"/>
      <c r="AZ41" s="367">
        <f t="shared" si="24"/>
        <v>133391.13750000001</v>
      </c>
      <c r="BA41" s="373">
        <f t="shared" si="25"/>
        <v>417096.16875000001</v>
      </c>
      <c r="BB41" s="374">
        <f t="shared" si="26"/>
        <v>41709.616875000007</v>
      </c>
      <c r="BC41" s="374">
        <f t="shared" si="27"/>
        <v>8341.9233750000003</v>
      </c>
      <c r="BD41" s="374">
        <f t="shared" si="28"/>
        <v>30331.662850000001</v>
      </c>
      <c r="BE41" s="374">
        <f t="shared" si="29"/>
        <v>336712.96564999997</v>
      </c>
      <c r="BF41" s="374">
        <f t="shared" si="30"/>
        <v>5005154.0250000004</v>
      </c>
      <c r="BG41" s="374">
        <f t="shared" si="31"/>
        <v>567410.0625</v>
      </c>
      <c r="BH41" s="374">
        <f t="shared" si="32"/>
        <v>5572564.0875000004</v>
      </c>
      <c r="BI41" s="374">
        <f t="shared" si="33"/>
        <v>250765.38393750007</v>
      </c>
      <c r="BJ41" s="374">
        <f t="shared" si="34"/>
        <v>150154.62075</v>
      </c>
      <c r="BK41" s="374">
        <f t="shared" si="35"/>
        <v>289907.12187000003</v>
      </c>
      <c r="BL41" s="374">
        <f t="shared" si="36"/>
        <v>278628.20437500003</v>
      </c>
      <c r="BM41" s="373">
        <f t="shared" si="37"/>
        <v>6542019.4184325002</v>
      </c>
      <c r="BN41" s="375"/>
      <c r="BO41" s="376"/>
      <c r="BP41" s="376"/>
      <c r="BQ41" s="377"/>
      <c r="BR41" s="377"/>
      <c r="BS41" s="377"/>
      <c r="BT41" s="377"/>
      <c r="BU41" s="377"/>
      <c r="BV41" s="377"/>
      <c r="BW41" s="377"/>
      <c r="BX41" s="377"/>
      <c r="BY41" s="377"/>
      <c r="BZ41" s="377"/>
      <c r="CA41" s="377"/>
      <c r="CB41" s="377"/>
      <c r="CC41" s="377"/>
      <c r="CD41" s="377"/>
      <c r="CE41" s="377"/>
      <c r="CF41" s="377"/>
      <c r="CG41" s="377"/>
      <c r="CH41" s="377"/>
      <c r="CI41" s="377"/>
    </row>
    <row r="42" spans="1:87" ht="47.25">
      <c r="A42" s="361">
        <f t="shared" si="38"/>
        <v>5</v>
      </c>
      <c r="B42" s="362">
        <f t="shared" si="38"/>
        <v>5</v>
      </c>
      <c r="C42" s="384" t="s">
        <v>1014</v>
      </c>
      <c r="D42" s="379" t="s">
        <v>1015</v>
      </c>
      <c r="E42" s="362" t="s">
        <v>998</v>
      </c>
      <c r="F42" s="362"/>
      <c r="G42" s="362"/>
      <c r="H42" s="365" t="s">
        <v>279</v>
      </c>
      <c r="I42" s="366">
        <v>17697</v>
      </c>
      <c r="J42" s="367">
        <v>9.66</v>
      </c>
      <c r="K42" s="367">
        <f t="shared" si="0"/>
        <v>170953.02</v>
      </c>
      <c r="L42" s="366"/>
      <c r="M42" s="366">
        <v>24</v>
      </c>
      <c r="N42" s="366"/>
      <c r="O42" s="366"/>
      <c r="P42" s="366"/>
      <c r="Q42" s="368">
        <f t="shared" si="12"/>
        <v>24</v>
      </c>
      <c r="R42" s="369"/>
      <c r="S42" s="369">
        <v>3</v>
      </c>
      <c r="T42" s="369"/>
      <c r="U42" s="369"/>
      <c r="V42" s="369"/>
      <c r="W42" s="368">
        <f t="shared" si="13"/>
        <v>3</v>
      </c>
      <c r="X42" s="370">
        <f t="shared" si="3"/>
        <v>27</v>
      </c>
      <c r="Y42" s="367">
        <f t="shared" si="4"/>
        <v>288483.22125</v>
      </c>
      <c r="Z42" s="367">
        <f t="shared" si="5"/>
        <v>28848.322125000002</v>
      </c>
      <c r="AA42" s="366">
        <v>9</v>
      </c>
      <c r="AB42" s="367">
        <f t="shared" si="6"/>
        <v>3981.8250000000003</v>
      </c>
      <c r="AC42" s="366">
        <v>18</v>
      </c>
      <c r="AD42" s="367">
        <f t="shared" si="7"/>
        <v>3981.8250000000003</v>
      </c>
      <c r="AE42" s="366"/>
      <c r="AF42" s="366"/>
      <c r="AG42" s="367"/>
      <c r="AH42" s="366"/>
      <c r="AI42" s="367"/>
      <c r="AJ42" s="366">
        <f t="shared" si="14"/>
        <v>27</v>
      </c>
      <c r="AK42" s="367">
        <f t="shared" si="15"/>
        <v>11945.475</v>
      </c>
      <c r="AL42" s="366">
        <f t="shared" si="16"/>
        <v>27</v>
      </c>
      <c r="AM42" s="367">
        <f t="shared" si="17"/>
        <v>86544.966375000004</v>
      </c>
      <c r="AN42" s="366">
        <f t="shared" si="18"/>
        <v>0</v>
      </c>
      <c r="AO42" s="367" t="str">
        <f t="shared" si="19"/>
        <v>0</v>
      </c>
      <c r="AP42" s="367" t="str">
        <f t="shared" si="20"/>
        <v>0</v>
      </c>
      <c r="AQ42" s="367" t="str">
        <f t="shared" si="21"/>
        <v>0</v>
      </c>
      <c r="AR42" s="367" t="str">
        <f t="shared" si="22"/>
        <v>0</v>
      </c>
      <c r="AS42" s="366"/>
      <c r="AT42" s="367"/>
      <c r="AU42" s="366"/>
      <c r="AV42" s="367"/>
      <c r="AW42" s="371">
        <f t="shared" si="23"/>
        <v>0</v>
      </c>
      <c r="AX42" s="372"/>
      <c r="AY42" s="367"/>
      <c r="AZ42" s="367">
        <f t="shared" si="24"/>
        <v>135302.4135</v>
      </c>
      <c r="BA42" s="373">
        <f t="shared" si="25"/>
        <v>423785.63474999997</v>
      </c>
      <c r="BB42" s="374">
        <f t="shared" si="26"/>
        <v>42378.563475000003</v>
      </c>
      <c r="BC42" s="374">
        <f t="shared" si="27"/>
        <v>8475.7126950000002</v>
      </c>
      <c r="BD42" s="374">
        <f t="shared" si="28"/>
        <v>30920.335858000002</v>
      </c>
      <c r="BE42" s="374">
        <f t="shared" si="29"/>
        <v>342011.02272200002</v>
      </c>
      <c r="BF42" s="374">
        <f t="shared" si="30"/>
        <v>5085427.6169999996</v>
      </c>
      <c r="BG42" s="374">
        <f t="shared" si="31"/>
        <v>576966.4425</v>
      </c>
      <c r="BH42" s="374">
        <f t="shared" si="32"/>
        <v>5662394.0594999995</v>
      </c>
      <c r="BI42" s="374">
        <f t="shared" si="33"/>
        <v>254807.7326775</v>
      </c>
      <c r="BJ42" s="374">
        <f t="shared" si="34"/>
        <v>152562.82850999999</v>
      </c>
      <c r="BK42" s="374">
        <f t="shared" si="35"/>
        <v>294581.33845559997</v>
      </c>
      <c r="BL42" s="374">
        <f t="shared" si="36"/>
        <v>283119.70297499996</v>
      </c>
      <c r="BM42" s="373">
        <f t="shared" si="37"/>
        <v>6647465.6621180996</v>
      </c>
      <c r="BN42" s="375"/>
      <c r="BO42" s="376"/>
      <c r="BP42" s="376"/>
      <c r="BQ42" s="377"/>
      <c r="BR42" s="377"/>
      <c r="BS42" s="377"/>
      <c r="BT42" s="377"/>
      <c r="BU42" s="377"/>
      <c r="BV42" s="377"/>
      <c r="BW42" s="377"/>
      <c r="BX42" s="377"/>
      <c r="BY42" s="377"/>
      <c r="BZ42" s="377"/>
      <c r="CA42" s="377"/>
      <c r="CB42" s="377"/>
      <c r="CC42" s="377"/>
      <c r="CD42" s="377"/>
      <c r="CE42" s="377"/>
      <c r="CF42" s="377"/>
      <c r="CG42" s="377"/>
      <c r="CH42" s="377"/>
      <c r="CI42" s="377"/>
    </row>
    <row r="43" spans="1:87" ht="47.25">
      <c r="A43" s="361">
        <f t="shared" si="38"/>
        <v>6</v>
      </c>
      <c r="B43" s="362">
        <f t="shared" si="38"/>
        <v>6</v>
      </c>
      <c r="C43" s="386" t="s">
        <v>204</v>
      </c>
      <c r="D43" s="379" t="s">
        <v>1018</v>
      </c>
      <c r="E43" s="362" t="s">
        <v>998</v>
      </c>
      <c r="F43" s="362" t="s">
        <v>999</v>
      </c>
      <c r="G43" s="362"/>
      <c r="H43" s="365" t="s">
        <v>1019</v>
      </c>
      <c r="I43" s="366">
        <v>17697</v>
      </c>
      <c r="J43" s="367">
        <v>11.4</v>
      </c>
      <c r="K43" s="367">
        <f t="shared" si="0"/>
        <v>201745.80000000002</v>
      </c>
      <c r="L43" s="366"/>
      <c r="M43" s="366"/>
      <c r="N43" s="366">
        <v>16</v>
      </c>
      <c r="O43" s="366"/>
      <c r="P43" s="366"/>
      <c r="Q43" s="368">
        <f t="shared" si="12"/>
        <v>16</v>
      </c>
      <c r="R43" s="369"/>
      <c r="S43" s="369"/>
      <c r="T43" s="369">
        <v>2</v>
      </c>
      <c r="U43" s="369"/>
      <c r="V43" s="369"/>
      <c r="W43" s="368">
        <f t="shared" si="13"/>
        <v>2</v>
      </c>
      <c r="X43" s="370">
        <f t="shared" si="3"/>
        <v>18</v>
      </c>
      <c r="Y43" s="367">
        <f t="shared" si="4"/>
        <v>226964.02500000002</v>
      </c>
      <c r="Z43" s="367">
        <f t="shared" si="5"/>
        <v>22696.402500000004</v>
      </c>
      <c r="AA43" s="366">
        <v>18</v>
      </c>
      <c r="AB43" s="367">
        <f t="shared" si="6"/>
        <v>7963.6500000000005</v>
      </c>
      <c r="AC43" s="366">
        <v>0</v>
      </c>
      <c r="AD43" s="367">
        <f t="shared" si="7"/>
        <v>0</v>
      </c>
      <c r="AE43" s="366"/>
      <c r="AF43" s="366"/>
      <c r="AG43" s="367"/>
      <c r="AH43" s="366"/>
      <c r="AI43" s="367"/>
      <c r="AJ43" s="366">
        <f t="shared" si="14"/>
        <v>18</v>
      </c>
      <c r="AK43" s="367">
        <f t="shared" si="15"/>
        <v>7963.6500000000005</v>
      </c>
      <c r="AL43" s="366">
        <f t="shared" si="16"/>
        <v>18</v>
      </c>
      <c r="AM43" s="367">
        <f t="shared" si="17"/>
        <v>68089.207500000004</v>
      </c>
      <c r="AN43" s="366" t="str">
        <f t="shared" si="18"/>
        <v>Педагог-шебер</v>
      </c>
      <c r="AO43" s="367">
        <f t="shared" si="19"/>
        <v>113482.01250000001</v>
      </c>
      <c r="AP43" s="367" t="str">
        <f t="shared" si="20"/>
        <v>0</v>
      </c>
      <c r="AQ43" s="367" t="str">
        <f t="shared" si="21"/>
        <v>0</v>
      </c>
      <c r="AR43" s="367" t="str">
        <f t="shared" si="22"/>
        <v>0</v>
      </c>
      <c r="AS43" s="366"/>
      <c r="AT43" s="367"/>
      <c r="AU43" s="371"/>
      <c r="AV43" s="367"/>
      <c r="AW43" s="371">
        <f t="shared" si="23"/>
        <v>0</v>
      </c>
      <c r="AX43" s="372"/>
      <c r="AY43" s="367"/>
      <c r="AZ43" s="367">
        <f t="shared" si="24"/>
        <v>220194.92250000002</v>
      </c>
      <c r="BA43" s="373">
        <f t="shared" si="25"/>
        <v>447158.94750000001</v>
      </c>
      <c r="BB43" s="374">
        <f t="shared" si="26"/>
        <v>44715.894750000007</v>
      </c>
      <c r="BC43" s="374">
        <f t="shared" si="27"/>
        <v>8943.1789499999995</v>
      </c>
      <c r="BD43" s="374">
        <f t="shared" si="28"/>
        <v>32977.18738000001</v>
      </c>
      <c r="BE43" s="374">
        <f t="shared" si="29"/>
        <v>360522.68642000004</v>
      </c>
      <c r="BF43" s="374">
        <f t="shared" si="30"/>
        <v>5365907.37</v>
      </c>
      <c r="BG43" s="374">
        <f t="shared" si="31"/>
        <v>453928.05000000005</v>
      </c>
      <c r="BH43" s="374">
        <f t="shared" si="32"/>
        <v>5819835.4199999999</v>
      </c>
      <c r="BI43" s="374">
        <f t="shared" si="33"/>
        <v>261892.59390000004</v>
      </c>
      <c r="BJ43" s="374">
        <f t="shared" si="34"/>
        <v>160977.2211</v>
      </c>
      <c r="BK43" s="374">
        <f t="shared" si="35"/>
        <v>302466.11646600004</v>
      </c>
      <c r="BL43" s="374">
        <f t="shared" si="36"/>
        <v>290991.77100000001</v>
      </c>
      <c r="BM43" s="373">
        <f t="shared" si="37"/>
        <v>6836163.1224659989</v>
      </c>
      <c r="BN43" s="375"/>
      <c r="BO43" s="376"/>
      <c r="BP43" s="376"/>
      <c r="BQ43" s="377"/>
      <c r="BR43" s="377"/>
      <c r="BS43" s="377"/>
      <c r="BT43" s="377"/>
      <c r="BU43" s="377"/>
      <c r="BV43" s="377"/>
      <c r="BW43" s="377"/>
      <c r="BX43" s="377"/>
      <c r="BY43" s="377"/>
      <c r="BZ43" s="377"/>
      <c r="CA43" s="377"/>
      <c r="CB43" s="377"/>
      <c r="CC43" s="377"/>
      <c r="CD43" s="377"/>
      <c r="CE43" s="377"/>
      <c r="CF43" s="377"/>
      <c r="CG43" s="377"/>
      <c r="CH43" s="377"/>
      <c r="CI43" s="377"/>
    </row>
    <row r="44" spans="1:87" ht="45">
      <c r="A44" s="361">
        <f t="shared" si="38"/>
        <v>7</v>
      </c>
      <c r="B44" s="362">
        <f t="shared" si="38"/>
        <v>7</v>
      </c>
      <c r="C44" s="387" t="s">
        <v>1020</v>
      </c>
      <c r="D44" s="388" t="s">
        <v>1021</v>
      </c>
      <c r="E44" s="389" t="s">
        <v>1022</v>
      </c>
      <c r="F44" s="366" t="s">
        <v>254</v>
      </c>
      <c r="G44" s="390"/>
      <c r="H44" s="371" t="s">
        <v>1404</v>
      </c>
      <c r="I44" s="366">
        <v>17697</v>
      </c>
      <c r="J44" s="367">
        <v>8.14</v>
      </c>
      <c r="K44" s="367">
        <f t="shared" si="0"/>
        <v>144053.58000000002</v>
      </c>
      <c r="L44" s="366"/>
      <c r="M44" s="366">
        <v>16</v>
      </c>
      <c r="N44" s="366">
        <v>16</v>
      </c>
      <c r="O44" s="366"/>
      <c r="P44" s="366"/>
      <c r="Q44" s="368">
        <f t="shared" si="12"/>
        <v>32</v>
      </c>
      <c r="R44" s="369"/>
      <c r="S44" s="369">
        <v>2</v>
      </c>
      <c r="T44" s="369">
        <v>2</v>
      </c>
      <c r="U44" s="369"/>
      <c r="V44" s="369"/>
      <c r="W44" s="368">
        <f t="shared" si="13"/>
        <v>4</v>
      </c>
      <c r="X44" s="370">
        <f t="shared" si="3"/>
        <v>36</v>
      </c>
      <c r="Y44" s="367">
        <f t="shared" si="4"/>
        <v>324120.55500000005</v>
      </c>
      <c r="Z44" s="367">
        <f t="shared" si="5"/>
        <v>32412.055500000006</v>
      </c>
      <c r="AA44" s="366">
        <v>18</v>
      </c>
      <c r="AB44" s="367">
        <f t="shared" si="6"/>
        <v>7963.6500000000005</v>
      </c>
      <c r="AC44" s="366">
        <v>18</v>
      </c>
      <c r="AD44" s="367">
        <f t="shared" si="7"/>
        <v>3981.8250000000003</v>
      </c>
      <c r="AE44" s="366"/>
      <c r="AF44" s="366"/>
      <c r="AG44" s="367"/>
      <c r="AH44" s="366"/>
      <c r="AI44" s="367"/>
      <c r="AJ44" s="366">
        <f t="shared" si="14"/>
        <v>36</v>
      </c>
      <c r="AK44" s="367">
        <f t="shared" si="15"/>
        <v>15927.300000000001</v>
      </c>
      <c r="AL44" s="366">
        <f t="shared" si="16"/>
        <v>36</v>
      </c>
      <c r="AM44" s="367">
        <f t="shared" si="17"/>
        <v>97236.166500000007</v>
      </c>
      <c r="AN44" s="366" t="str">
        <f t="shared" si="18"/>
        <v>Педагог-модератор</v>
      </c>
      <c r="AO44" s="367" t="str">
        <f t="shared" si="19"/>
        <v>0</v>
      </c>
      <c r="AP44" s="367" t="str">
        <f t="shared" si="20"/>
        <v>0</v>
      </c>
      <c r="AQ44" s="367" t="str">
        <f t="shared" si="21"/>
        <v>0</v>
      </c>
      <c r="AR44" s="367">
        <f t="shared" si="22"/>
        <v>97236.166500000007</v>
      </c>
      <c r="AS44" s="366"/>
      <c r="AT44" s="367"/>
      <c r="AU44" s="371"/>
      <c r="AV44" s="367"/>
      <c r="AW44" s="371">
        <f t="shared" si="23"/>
        <v>0</v>
      </c>
      <c r="AX44" s="372"/>
      <c r="AY44" s="367"/>
      <c r="AZ44" s="367">
        <f t="shared" si="24"/>
        <v>254757.16350000002</v>
      </c>
      <c r="BA44" s="373">
        <f t="shared" si="25"/>
        <v>578877.71850000008</v>
      </c>
      <c r="BB44" s="374">
        <f t="shared" si="26"/>
        <v>57887.771850000012</v>
      </c>
      <c r="BC44" s="374">
        <f t="shared" si="27"/>
        <v>11577.554370000002</v>
      </c>
      <c r="BD44" s="374">
        <f t="shared" si="28"/>
        <v>44568.439228000003</v>
      </c>
      <c r="BE44" s="374">
        <f t="shared" si="29"/>
        <v>464843.95305200003</v>
      </c>
      <c r="BF44" s="374">
        <f t="shared" si="30"/>
        <v>6946532.6220000014</v>
      </c>
      <c r="BG44" s="374">
        <f t="shared" si="31"/>
        <v>648241.1100000001</v>
      </c>
      <c r="BH44" s="374">
        <f t="shared" si="32"/>
        <v>7594773.7320000017</v>
      </c>
      <c r="BI44" s="374">
        <f t="shared" si="33"/>
        <v>341764.8179400001</v>
      </c>
      <c r="BJ44" s="374">
        <f t="shared" si="34"/>
        <v>208395.97866000002</v>
      </c>
      <c r="BK44" s="374">
        <f t="shared" si="35"/>
        <v>394835.40975960006</v>
      </c>
      <c r="BL44" s="374">
        <f t="shared" si="36"/>
        <v>379738.68660000013</v>
      </c>
      <c r="BM44" s="373">
        <f t="shared" si="37"/>
        <v>8919508.6249596011</v>
      </c>
      <c r="BN44" s="375"/>
      <c r="BO44" s="376"/>
      <c r="BP44" s="376"/>
      <c r="BQ44" s="377"/>
      <c r="BR44" s="377"/>
      <c r="BS44" s="377"/>
      <c r="BT44" s="377"/>
      <c r="BU44" s="377"/>
      <c r="BV44" s="377"/>
      <c r="BW44" s="377"/>
      <c r="BX44" s="377"/>
      <c r="BY44" s="377"/>
      <c r="BZ44" s="377"/>
      <c r="CA44" s="377"/>
      <c r="CB44" s="377"/>
      <c r="CC44" s="377"/>
      <c r="CD44" s="377"/>
      <c r="CE44" s="377"/>
      <c r="CF44" s="377"/>
      <c r="CG44" s="377"/>
      <c r="CH44" s="377"/>
      <c r="CI44" s="377"/>
    </row>
    <row r="45" spans="1:87" ht="51" customHeight="1">
      <c r="A45" s="361">
        <f t="shared" si="38"/>
        <v>8</v>
      </c>
      <c r="B45" s="362">
        <f t="shared" si="38"/>
        <v>8</v>
      </c>
      <c r="C45" s="391" t="s">
        <v>209</v>
      </c>
      <c r="D45" s="379" t="s">
        <v>1024</v>
      </c>
      <c r="E45" s="392" t="s">
        <v>998</v>
      </c>
      <c r="F45" s="366" t="s">
        <v>999</v>
      </c>
      <c r="G45" s="393"/>
      <c r="H45" s="371" t="s">
        <v>1025</v>
      </c>
      <c r="I45" s="366">
        <v>17697</v>
      </c>
      <c r="J45" s="367">
        <v>11.4</v>
      </c>
      <c r="K45" s="367">
        <f t="shared" si="0"/>
        <v>201745.80000000002</v>
      </c>
      <c r="L45" s="366"/>
      <c r="M45" s="366"/>
      <c r="N45" s="366"/>
      <c r="O45" s="366"/>
      <c r="P45" s="366">
        <v>18</v>
      </c>
      <c r="Q45" s="368">
        <f t="shared" si="12"/>
        <v>18</v>
      </c>
      <c r="R45" s="369"/>
      <c r="S45" s="369"/>
      <c r="T45" s="369"/>
      <c r="U45" s="369"/>
      <c r="V45" s="369"/>
      <c r="W45" s="368">
        <f t="shared" si="13"/>
        <v>0</v>
      </c>
      <c r="X45" s="370">
        <f t="shared" si="3"/>
        <v>18</v>
      </c>
      <c r="Y45" s="367">
        <f t="shared" si="4"/>
        <v>226964.02500000002</v>
      </c>
      <c r="Z45" s="367">
        <f t="shared" si="5"/>
        <v>22696.402500000004</v>
      </c>
      <c r="AA45" s="366">
        <v>18</v>
      </c>
      <c r="AB45" s="367">
        <f t="shared" si="6"/>
        <v>7963.6500000000005</v>
      </c>
      <c r="AC45" s="366">
        <v>0</v>
      </c>
      <c r="AD45" s="367">
        <f t="shared" si="7"/>
        <v>0</v>
      </c>
      <c r="AE45" s="366"/>
      <c r="AF45" s="366"/>
      <c r="AG45" s="367"/>
      <c r="AH45" s="366"/>
      <c r="AI45" s="367"/>
      <c r="AJ45" s="366">
        <f t="shared" si="14"/>
        <v>18</v>
      </c>
      <c r="AK45" s="367">
        <f t="shared" si="15"/>
        <v>7963.6500000000005</v>
      </c>
      <c r="AL45" s="366">
        <f t="shared" si="16"/>
        <v>18</v>
      </c>
      <c r="AM45" s="367">
        <f t="shared" si="17"/>
        <v>68089.207500000004</v>
      </c>
      <c r="AN45" s="366" t="str">
        <f t="shared" si="18"/>
        <v>Педагог-шебер</v>
      </c>
      <c r="AO45" s="367">
        <f t="shared" si="19"/>
        <v>113482.01250000001</v>
      </c>
      <c r="AP45" s="367" t="str">
        <f t="shared" si="20"/>
        <v>0</v>
      </c>
      <c r="AQ45" s="367" t="str">
        <f t="shared" si="21"/>
        <v>0</v>
      </c>
      <c r="AR45" s="367" t="str">
        <f t="shared" si="22"/>
        <v>0</v>
      </c>
      <c r="AS45" s="366"/>
      <c r="AT45" s="367"/>
      <c r="AU45" s="372"/>
      <c r="AV45" s="367"/>
      <c r="AW45" s="371">
        <f>G45</f>
        <v>0</v>
      </c>
      <c r="AX45" s="372"/>
      <c r="AY45" s="367"/>
      <c r="AZ45" s="367">
        <f t="shared" si="24"/>
        <v>220194.92250000002</v>
      </c>
      <c r="BA45" s="373">
        <f t="shared" si="25"/>
        <v>447158.94750000001</v>
      </c>
      <c r="BB45" s="374">
        <f t="shared" si="26"/>
        <v>44715.894750000007</v>
      </c>
      <c r="BC45" s="374">
        <f t="shared" si="27"/>
        <v>8943.1789499999995</v>
      </c>
      <c r="BD45" s="374">
        <f t="shared" si="28"/>
        <v>32977.18738000001</v>
      </c>
      <c r="BE45" s="374">
        <f t="shared" si="29"/>
        <v>360522.68642000004</v>
      </c>
      <c r="BF45" s="374">
        <f t="shared" si="30"/>
        <v>5365907.37</v>
      </c>
      <c r="BG45" s="374">
        <f t="shared" si="31"/>
        <v>453928.05000000005</v>
      </c>
      <c r="BH45" s="374">
        <f t="shared" si="32"/>
        <v>5819835.4199999999</v>
      </c>
      <c r="BI45" s="374">
        <f t="shared" si="33"/>
        <v>261892.59390000004</v>
      </c>
      <c r="BJ45" s="374">
        <f t="shared" si="34"/>
        <v>160977.2211</v>
      </c>
      <c r="BK45" s="374">
        <f t="shared" si="35"/>
        <v>302466.11646600004</v>
      </c>
      <c r="BL45" s="374">
        <f t="shared" si="36"/>
        <v>290991.77100000001</v>
      </c>
      <c r="BM45" s="373">
        <f t="shared" si="37"/>
        <v>6836163.1224659989</v>
      </c>
      <c r="BN45" s="375"/>
      <c r="BO45" s="376"/>
      <c r="BP45" s="376"/>
      <c r="BQ45" s="377"/>
      <c r="BR45" s="377"/>
      <c r="BS45" s="377"/>
      <c r="BT45" s="377"/>
      <c r="BU45" s="377"/>
      <c r="BV45" s="377"/>
      <c r="BW45" s="377"/>
      <c r="BX45" s="377"/>
      <c r="BY45" s="377"/>
      <c r="BZ45" s="377"/>
      <c r="CA45" s="377"/>
      <c r="CB45" s="377"/>
      <c r="CC45" s="377"/>
      <c r="CD45" s="377"/>
      <c r="CE45" s="377"/>
      <c r="CF45" s="377"/>
      <c r="CG45" s="377"/>
      <c r="CH45" s="377"/>
      <c r="CI45" s="377"/>
    </row>
    <row r="46" spans="1:87" ht="47.25">
      <c r="A46" s="361">
        <f t="shared" si="38"/>
        <v>9</v>
      </c>
      <c r="B46" s="362">
        <f t="shared" si="38"/>
        <v>9</v>
      </c>
      <c r="C46" s="378" t="s">
        <v>195</v>
      </c>
      <c r="D46" s="379" t="s">
        <v>1026</v>
      </c>
      <c r="E46" s="392" t="s">
        <v>998</v>
      </c>
      <c r="F46" s="366" t="s">
        <v>254</v>
      </c>
      <c r="G46" s="366"/>
      <c r="H46" s="371" t="s">
        <v>280</v>
      </c>
      <c r="I46" s="366">
        <v>17697</v>
      </c>
      <c r="J46" s="367">
        <v>10.220000000000001</v>
      </c>
      <c r="K46" s="367">
        <f t="shared" si="0"/>
        <v>180863.34000000003</v>
      </c>
      <c r="L46" s="366">
        <v>32</v>
      </c>
      <c r="M46" s="366"/>
      <c r="N46" s="366"/>
      <c r="O46" s="366"/>
      <c r="P46" s="366"/>
      <c r="Q46" s="368">
        <f t="shared" si="12"/>
        <v>32</v>
      </c>
      <c r="R46" s="369">
        <v>4</v>
      </c>
      <c r="S46" s="369"/>
      <c r="T46" s="369"/>
      <c r="U46" s="369"/>
      <c r="V46" s="369"/>
      <c r="W46" s="368">
        <f t="shared" si="13"/>
        <v>4</v>
      </c>
      <c r="X46" s="370">
        <f t="shared" si="3"/>
        <v>36</v>
      </c>
      <c r="Y46" s="367">
        <f t="shared" si="4"/>
        <v>406942.51500000007</v>
      </c>
      <c r="Z46" s="367">
        <f t="shared" si="5"/>
        <v>40694.251500000013</v>
      </c>
      <c r="AA46" s="366">
        <v>0</v>
      </c>
      <c r="AB46" s="367">
        <f t="shared" si="6"/>
        <v>0</v>
      </c>
      <c r="AC46" s="366">
        <v>36</v>
      </c>
      <c r="AD46" s="367">
        <f t="shared" si="7"/>
        <v>7963.6500000000005</v>
      </c>
      <c r="AE46" s="366"/>
      <c r="AF46" s="366"/>
      <c r="AG46" s="367"/>
      <c r="AH46" s="366"/>
      <c r="AI46" s="367"/>
      <c r="AJ46" s="366">
        <f t="shared" si="14"/>
        <v>36</v>
      </c>
      <c r="AK46" s="367">
        <f t="shared" si="15"/>
        <v>15927.300000000001</v>
      </c>
      <c r="AL46" s="366">
        <f t="shared" si="16"/>
        <v>36</v>
      </c>
      <c r="AM46" s="367">
        <f t="shared" si="17"/>
        <v>122082.75450000001</v>
      </c>
      <c r="AN46" s="366" t="str">
        <f t="shared" si="18"/>
        <v>Педагог-модератор</v>
      </c>
      <c r="AO46" s="367" t="str">
        <f t="shared" si="19"/>
        <v>0</v>
      </c>
      <c r="AP46" s="367" t="str">
        <f t="shared" si="20"/>
        <v>0</v>
      </c>
      <c r="AQ46" s="367" t="str">
        <f t="shared" si="21"/>
        <v>0</v>
      </c>
      <c r="AR46" s="367">
        <f t="shared" si="22"/>
        <v>122082.75450000001</v>
      </c>
      <c r="AS46" s="366"/>
      <c r="AT46" s="367"/>
      <c r="AU46" s="371"/>
      <c r="AV46" s="367"/>
      <c r="AW46" s="371">
        <f t="shared" si="23"/>
        <v>0</v>
      </c>
      <c r="AX46" s="372"/>
      <c r="AY46" s="367"/>
      <c r="AZ46" s="367">
        <f t="shared" si="24"/>
        <v>308750.71050000004</v>
      </c>
      <c r="BA46" s="373">
        <f t="shared" si="25"/>
        <v>715693.22550000018</v>
      </c>
      <c r="BB46" s="374">
        <f t="shared" si="26"/>
        <v>71569.322550000026</v>
      </c>
      <c r="BC46" s="374">
        <f t="shared" si="27"/>
        <v>14313.864510000003</v>
      </c>
      <c r="BD46" s="374">
        <f t="shared" si="28"/>
        <v>56608.203844000018</v>
      </c>
      <c r="BE46" s="374">
        <f t="shared" si="29"/>
        <v>573201.83459600015</v>
      </c>
      <c r="BF46" s="374">
        <f t="shared" si="30"/>
        <v>8588318.7060000021</v>
      </c>
      <c r="BG46" s="374">
        <f t="shared" si="31"/>
        <v>813885.03000000014</v>
      </c>
      <c r="BH46" s="374">
        <f t="shared" si="32"/>
        <v>9402203.7360000014</v>
      </c>
      <c r="BI46" s="374">
        <f t="shared" si="33"/>
        <v>423099.16812000005</v>
      </c>
      <c r="BJ46" s="374">
        <f t="shared" si="34"/>
        <v>257649.56118000005</v>
      </c>
      <c r="BK46" s="374">
        <f t="shared" si="35"/>
        <v>488824.70059080003</v>
      </c>
      <c r="BL46" s="374">
        <f t="shared" si="36"/>
        <v>470110.18680000008</v>
      </c>
      <c r="BM46" s="373">
        <f t="shared" si="37"/>
        <v>11041887.352690801</v>
      </c>
      <c r="BN46" s="375"/>
      <c r="BO46" s="376"/>
      <c r="BP46" s="376"/>
      <c r="BQ46" s="377"/>
      <c r="BR46" s="377"/>
      <c r="BS46" s="377"/>
      <c r="BT46" s="377"/>
      <c r="BU46" s="377"/>
      <c r="BV46" s="377"/>
      <c r="BW46" s="377"/>
      <c r="BX46" s="377"/>
      <c r="BY46" s="377"/>
      <c r="BZ46" s="377"/>
      <c r="CA46" s="377"/>
      <c r="CB46" s="377"/>
      <c r="CC46" s="377"/>
      <c r="CD46" s="377"/>
      <c r="CE46" s="377"/>
      <c r="CF46" s="377"/>
      <c r="CG46" s="377"/>
      <c r="CH46" s="377"/>
      <c r="CI46" s="377"/>
    </row>
    <row r="47" spans="1:87" ht="47.25">
      <c r="A47" s="361">
        <f t="shared" si="38"/>
        <v>10</v>
      </c>
      <c r="B47" s="362">
        <f t="shared" si="38"/>
        <v>10</v>
      </c>
      <c r="C47" s="378" t="s">
        <v>198</v>
      </c>
      <c r="D47" s="379" t="s">
        <v>1028</v>
      </c>
      <c r="E47" s="392" t="s">
        <v>998</v>
      </c>
      <c r="F47" s="366" t="s">
        <v>1005</v>
      </c>
      <c r="G47" s="366"/>
      <c r="H47" s="371" t="s">
        <v>1029</v>
      </c>
      <c r="I47" s="366">
        <v>17697</v>
      </c>
      <c r="J47" s="367">
        <v>11.4</v>
      </c>
      <c r="K47" s="367">
        <f t="shared" si="0"/>
        <v>201745.80000000002</v>
      </c>
      <c r="L47" s="366"/>
      <c r="M47" s="366"/>
      <c r="N47" s="366"/>
      <c r="O47" s="366">
        <v>27</v>
      </c>
      <c r="P47" s="366">
        <v>9</v>
      </c>
      <c r="Q47" s="368">
        <f t="shared" si="12"/>
        <v>36</v>
      </c>
      <c r="R47" s="369"/>
      <c r="S47" s="369"/>
      <c r="T47" s="369"/>
      <c r="U47" s="369"/>
      <c r="V47" s="369"/>
      <c r="W47" s="368">
        <f t="shared" si="13"/>
        <v>0</v>
      </c>
      <c r="X47" s="370">
        <f t="shared" si="3"/>
        <v>36</v>
      </c>
      <c r="Y47" s="367">
        <f t="shared" si="4"/>
        <v>453928.05000000005</v>
      </c>
      <c r="Z47" s="367">
        <f t="shared" si="5"/>
        <v>45392.805000000008</v>
      </c>
      <c r="AA47" s="366">
        <v>18</v>
      </c>
      <c r="AB47" s="367">
        <f t="shared" si="6"/>
        <v>7963.6500000000005</v>
      </c>
      <c r="AC47" s="366">
        <v>18</v>
      </c>
      <c r="AD47" s="367">
        <f t="shared" si="7"/>
        <v>3981.8250000000003</v>
      </c>
      <c r="AE47" s="366"/>
      <c r="AF47" s="366"/>
      <c r="AG47" s="367"/>
      <c r="AH47" s="366"/>
      <c r="AI47" s="367"/>
      <c r="AJ47" s="366">
        <f t="shared" si="14"/>
        <v>36</v>
      </c>
      <c r="AK47" s="367">
        <f t="shared" si="15"/>
        <v>15927.300000000001</v>
      </c>
      <c r="AL47" s="366">
        <f t="shared" si="16"/>
        <v>36</v>
      </c>
      <c r="AM47" s="367">
        <f t="shared" si="17"/>
        <v>136178.41500000001</v>
      </c>
      <c r="AN47" s="366" t="str">
        <f t="shared" si="18"/>
        <v>Педагог-зерттеуші</v>
      </c>
      <c r="AO47" s="367" t="str">
        <f t="shared" si="19"/>
        <v>0</v>
      </c>
      <c r="AP47" s="367">
        <f t="shared" si="20"/>
        <v>181571.22000000003</v>
      </c>
      <c r="AQ47" s="367" t="str">
        <f t="shared" si="21"/>
        <v>0</v>
      </c>
      <c r="AR47" s="367" t="str">
        <f t="shared" si="22"/>
        <v>0</v>
      </c>
      <c r="AS47" s="366"/>
      <c r="AT47" s="367"/>
      <c r="AU47" s="371"/>
      <c r="AV47" s="367"/>
      <c r="AW47" s="371">
        <f t="shared" si="23"/>
        <v>0</v>
      </c>
      <c r="AX47" s="372"/>
      <c r="AY47" s="367"/>
      <c r="AZ47" s="367">
        <f t="shared" si="24"/>
        <v>391015.21500000003</v>
      </c>
      <c r="BA47" s="373">
        <f t="shared" si="25"/>
        <v>844943.26500000013</v>
      </c>
      <c r="BB47" s="374">
        <f t="shared" si="26"/>
        <v>84494.326500000025</v>
      </c>
      <c r="BC47" s="374">
        <f t="shared" si="27"/>
        <v>16898.865300000001</v>
      </c>
      <c r="BD47" s="374">
        <f t="shared" si="28"/>
        <v>67982.20732000003</v>
      </c>
      <c r="BE47" s="374">
        <f t="shared" si="29"/>
        <v>675567.86588000017</v>
      </c>
      <c r="BF47" s="374">
        <f t="shared" si="30"/>
        <v>10139319.180000002</v>
      </c>
      <c r="BG47" s="374">
        <f t="shared" si="31"/>
        <v>907856.10000000009</v>
      </c>
      <c r="BH47" s="374">
        <f t="shared" si="32"/>
        <v>11047175.280000001</v>
      </c>
      <c r="BI47" s="374">
        <f t="shared" si="33"/>
        <v>497122.88760000013</v>
      </c>
      <c r="BJ47" s="374">
        <f t="shared" si="34"/>
        <v>304179.57540000003</v>
      </c>
      <c r="BK47" s="374">
        <f t="shared" si="35"/>
        <v>574240.96292399999</v>
      </c>
      <c r="BL47" s="374">
        <f t="shared" si="36"/>
        <v>552358.76400000008</v>
      </c>
      <c r="BM47" s="373">
        <f t="shared" si="37"/>
        <v>12975077.469924003</v>
      </c>
      <c r="BN47" s="375"/>
      <c r="BO47" s="376"/>
      <c r="BP47" s="376"/>
      <c r="BQ47" s="377"/>
      <c r="BR47" s="377"/>
      <c r="BS47" s="377"/>
      <c r="BT47" s="377"/>
      <c r="BU47" s="377"/>
      <c r="BV47" s="377"/>
      <c r="BW47" s="377"/>
      <c r="BX47" s="377"/>
      <c r="BY47" s="377"/>
      <c r="BZ47" s="377"/>
      <c r="CA47" s="377"/>
      <c r="CB47" s="377"/>
      <c r="CC47" s="377"/>
      <c r="CD47" s="377"/>
      <c r="CE47" s="377"/>
      <c r="CF47" s="377"/>
      <c r="CG47" s="377"/>
      <c r="CH47" s="377"/>
      <c r="CI47" s="377"/>
    </row>
    <row r="48" spans="1:87" ht="78.75">
      <c r="A48" s="361">
        <f t="shared" si="38"/>
        <v>11</v>
      </c>
      <c r="B48" s="362">
        <f t="shared" si="38"/>
        <v>11</v>
      </c>
      <c r="C48" s="378" t="s">
        <v>203</v>
      </c>
      <c r="D48" s="379" t="s">
        <v>1030</v>
      </c>
      <c r="E48" s="392" t="s">
        <v>998</v>
      </c>
      <c r="F48" s="366" t="s">
        <v>999</v>
      </c>
      <c r="G48" s="366"/>
      <c r="H48" s="371" t="s">
        <v>1031</v>
      </c>
      <c r="I48" s="366">
        <v>17697</v>
      </c>
      <c r="J48" s="367">
        <v>11.4</v>
      </c>
      <c r="K48" s="367">
        <f t="shared" si="0"/>
        <v>201745.80000000002</v>
      </c>
      <c r="L48" s="380"/>
      <c r="M48" s="380">
        <v>24</v>
      </c>
      <c r="N48" s="380"/>
      <c r="O48" s="380"/>
      <c r="P48" s="380">
        <v>9</v>
      </c>
      <c r="Q48" s="368">
        <f t="shared" si="12"/>
        <v>33</v>
      </c>
      <c r="R48" s="380"/>
      <c r="S48" s="380">
        <v>3</v>
      </c>
      <c r="T48" s="380"/>
      <c r="U48" s="380"/>
      <c r="V48" s="380"/>
      <c r="W48" s="381">
        <f t="shared" si="13"/>
        <v>3</v>
      </c>
      <c r="X48" s="370">
        <f t="shared" si="3"/>
        <v>36</v>
      </c>
      <c r="Y48" s="367">
        <f t="shared" si="4"/>
        <v>453928.05000000005</v>
      </c>
      <c r="Z48" s="367">
        <f t="shared" si="5"/>
        <v>45392.805000000008</v>
      </c>
      <c r="AA48" s="366">
        <v>27</v>
      </c>
      <c r="AB48" s="367">
        <f t="shared" si="6"/>
        <v>11945.475</v>
      </c>
      <c r="AC48" s="366">
        <v>9</v>
      </c>
      <c r="AD48" s="367">
        <f t="shared" si="7"/>
        <v>1990.9125000000001</v>
      </c>
      <c r="AE48" s="366"/>
      <c r="AF48" s="366"/>
      <c r="AG48" s="367"/>
      <c r="AH48" s="366" t="s">
        <v>1032</v>
      </c>
      <c r="AI48" s="367">
        <f>I48*200%</f>
        <v>35394</v>
      </c>
      <c r="AJ48" s="366">
        <f t="shared" si="14"/>
        <v>36</v>
      </c>
      <c r="AK48" s="367">
        <f t="shared" si="15"/>
        <v>15927.300000000001</v>
      </c>
      <c r="AL48" s="366">
        <f t="shared" si="16"/>
        <v>36</v>
      </c>
      <c r="AM48" s="367">
        <f t="shared" si="17"/>
        <v>136178.41500000001</v>
      </c>
      <c r="AN48" s="366" t="str">
        <f t="shared" si="18"/>
        <v>Педагог-шебер</v>
      </c>
      <c r="AO48" s="367">
        <f t="shared" si="19"/>
        <v>226964.02500000002</v>
      </c>
      <c r="AP48" s="367" t="str">
        <f t="shared" si="20"/>
        <v>0</v>
      </c>
      <c r="AQ48" s="367" t="str">
        <f t="shared" si="21"/>
        <v>0</v>
      </c>
      <c r="AR48" s="367" t="str">
        <f t="shared" si="22"/>
        <v>0</v>
      </c>
      <c r="AS48" s="366"/>
      <c r="AT48" s="367"/>
      <c r="AU48" s="371"/>
      <c r="AV48" s="367"/>
      <c r="AW48" s="371">
        <f t="shared" si="23"/>
        <v>0</v>
      </c>
      <c r="AX48" s="372"/>
      <c r="AY48" s="367"/>
      <c r="AZ48" s="367">
        <f t="shared" si="24"/>
        <v>473792.93250000005</v>
      </c>
      <c r="BA48" s="373">
        <f t="shared" si="25"/>
        <v>927720.98250000016</v>
      </c>
      <c r="BB48" s="374">
        <f t="shared" si="26"/>
        <v>92772.098250000025</v>
      </c>
      <c r="BC48" s="374">
        <f t="shared" si="27"/>
        <v>18554.419650000003</v>
      </c>
      <c r="BD48" s="374">
        <f t="shared" si="28"/>
        <v>75266.646460000004</v>
      </c>
      <c r="BE48" s="374">
        <f t="shared" si="29"/>
        <v>741127.8181400001</v>
      </c>
      <c r="BF48" s="374">
        <f t="shared" si="30"/>
        <v>11132651.790000003</v>
      </c>
      <c r="BG48" s="374">
        <f t="shared" si="31"/>
        <v>907856.10000000009</v>
      </c>
      <c r="BH48" s="374">
        <f t="shared" si="32"/>
        <v>12040507.890000002</v>
      </c>
      <c r="BI48" s="374">
        <f t="shared" si="33"/>
        <v>541822.85505000013</v>
      </c>
      <c r="BJ48" s="374">
        <f t="shared" si="34"/>
        <v>333979.55370000005</v>
      </c>
      <c r="BK48" s="374">
        <f t="shared" si="35"/>
        <v>625695.59212199994</v>
      </c>
      <c r="BL48" s="374">
        <f t="shared" si="36"/>
        <v>602025.39450000017</v>
      </c>
      <c r="BM48" s="373">
        <f t="shared" si="37"/>
        <v>14144031.285372002</v>
      </c>
      <c r="BN48" s="375"/>
      <c r="BO48" s="376"/>
      <c r="BP48" s="376"/>
      <c r="BQ48" s="377"/>
      <c r="BR48" s="377"/>
      <c r="BS48" s="377"/>
      <c r="BT48" s="377"/>
      <c r="BU48" s="377"/>
      <c r="BV48" s="377"/>
      <c r="BW48" s="377"/>
      <c r="BX48" s="377"/>
      <c r="BY48" s="377"/>
      <c r="BZ48" s="377"/>
      <c r="CA48" s="377"/>
      <c r="CB48" s="377"/>
      <c r="CC48" s="377"/>
      <c r="CD48" s="377"/>
      <c r="CE48" s="377"/>
      <c r="CF48" s="377"/>
      <c r="CG48" s="377"/>
      <c r="CH48" s="377"/>
      <c r="CI48" s="377"/>
    </row>
    <row r="49" spans="1:87" ht="73.5" customHeight="1">
      <c r="A49" s="361">
        <f t="shared" si="38"/>
        <v>12</v>
      </c>
      <c r="B49" s="362">
        <f t="shared" si="38"/>
        <v>12</v>
      </c>
      <c r="C49" s="378" t="s">
        <v>1033</v>
      </c>
      <c r="D49" s="379" t="s">
        <v>1034</v>
      </c>
      <c r="E49" s="392" t="s">
        <v>998</v>
      </c>
      <c r="F49" s="366"/>
      <c r="G49" s="366" t="s">
        <v>1035</v>
      </c>
      <c r="H49" s="371" t="s">
        <v>279</v>
      </c>
      <c r="I49" s="366">
        <v>17697</v>
      </c>
      <c r="J49" s="367">
        <v>9.66</v>
      </c>
      <c r="K49" s="367">
        <f t="shared" si="0"/>
        <v>170953.02</v>
      </c>
      <c r="L49" s="380"/>
      <c r="M49" s="380">
        <v>16</v>
      </c>
      <c r="N49" s="380">
        <v>8</v>
      </c>
      <c r="O49" s="380"/>
      <c r="P49" s="380"/>
      <c r="Q49" s="368">
        <f t="shared" si="12"/>
        <v>24</v>
      </c>
      <c r="R49" s="380">
        <v>12</v>
      </c>
      <c r="S49" s="380">
        <v>2</v>
      </c>
      <c r="T49" s="380">
        <v>1</v>
      </c>
      <c r="U49" s="380"/>
      <c r="V49" s="380"/>
      <c r="W49" s="381">
        <f t="shared" ref="W49:W50" si="40">SUM(R49:V49)</f>
        <v>15</v>
      </c>
      <c r="X49" s="370">
        <f t="shared" si="3"/>
        <v>39</v>
      </c>
      <c r="Y49" s="367">
        <f t="shared" si="4"/>
        <v>416697.98624999996</v>
      </c>
      <c r="Z49" s="367">
        <f t="shared" si="5"/>
        <v>41669.798624999996</v>
      </c>
      <c r="AA49" s="366">
        <v>9</v>
      </c>
      <c r="AB49" s="367">
        <f t="shared" si="6"/>
        <v>3981.8250000000003</v>
      </c>
      <c r="AC49" s="366">
        <v>18</v>
      </c>
      <c r="AD49" s="367">
        <f t="shared" si="7"/>
        <v>3981.8250000000003</v>
      </c>
      <c r="AE49" s="366"/>
      <c r="AF49" s="366"/>
      <c r="AG49" s="367"/>
      <c r="AH49" s="366"/>
      <c r="AI49" s="367"/>
      <c r="AJ49" s="366">
        <f t="shared" si="14"/>
        <v>39</v>
      </c>
      <c r="AK49" s="367">
        <f t="shared" si="15"/>
        <v>17254.575000000001</v>
      </c>
      <c r="AL49" s="366">
        <f t="shared" si="16"/>
        <v>39</v>
      </c>
      <c r="AM49" s="367">
        <f t="shared" si="17"/>
        <v>125009.39587499999</v>
      </c>
      <c r="AN49" s="366">
        <f t="shared" si="18"/>
        <v>0</v>
      </c>
      <c r="AO49" s="367" t="str">
        <f t="shared" si="19"/>
        <v>0</v>
      </c>
      <c r="AP49" s="367" t="str">
        <f t="shared" si="20"/>
        <v>0</v>
      </c>
      <c r="AQ49" s="367" t="str">
        <f t="shared" si="21"/>
        <v>0</v>
      </c>
      <c r="AR49" s="367" t="str">
        <f t="shared" si="22"/>
        <v>0</v>
      </c>
      <c r="AS49" s="366"/>
      <c r="AT49" s="367"/>
      <c r="AU49" s="371"/>
      <c r="AV49" s="367"/>
      <c r="AW49" s="371" t="str">
        <f t="shared" si="23"/>
        <v>Магистр прикладная математика</v>
      </c>
      <c r="AX49" s="372">
        <f>10*4552</f>
        <v>45520</v>
      </c>
      <c r="AY49" s="367"/>
      <c r="AZ49" s="367">
        <f t="shared" si="24"/>
        <v>237417.41949999996</v>
      </c>
      <c r="BA49" s="373">
        <f t="shared" si="25"/>
        <v>654115.40574999992</v>
      </c>
      <c r="BB49" s="374">
        <f t="shared" si="26"/>
        <v>65411.540574999992</v>
      </c>
      <c r="BC49" s="374">
        <f t="shared" si="27"/>
        <v>13082.308114999998</v>
      </c>
      <c r="BD49" s="374">
        <f t="shared" si="28"/>
        <v>51189.355705999995</v>
      </c>
      <c r="BE49" s="374">
        <f t="shared" si="29"/>
        <v>524432.2013539999</v>
      </c>
      <c r="BF49" s="374">
        <f t="shared" si="30"/>
        <v>7849384.868999999</v>
      </c>
      <c r="BG49" s="374">
        <f t="shared" si="31"/>
        <v>833395.97249999992</v>
      </c>
      <c r="BH49" s="374">
        <f t="shared" si="32"/>
        <v>8682780.8414999992</v>
      </c>
      <c r="BI49" s="374">
        <f t="shared" si="33"/>
        <v>390725.13786750002</v>
      </c>
      <c r="BJ49" s="374">
        <f t="shared" si="34"/>
        <v>235481.54606999995</v>
      </c>
      <c r="BK49" s="374">
        <f t="shared" si="35"/>
        <v>451601.51872919995</v>
      </c>
      <c r="BL49" s="374">
        <f t="shared" si="36"/>
        <v>434139.042075</v>
      </c>
      <c r="BM49" s="373">
        <f t="shared" si="37"/>
        <v>10194728.0862417</v>
      </c>
      <c r="BN49" s="375"/>
      <c r="BO49" s="376"/>
      <c r="BP49" s="376"/>
      <c r="BQ49" s="377"/>
      <c r="BR49" s="377"/>
      <c r="BS49" s="377"/>
      <c r="BT49" s="377"/>
      <c r="BU49" s="377"/>
      <c r="BV49" s="377"/>
      <c r="BW49" s="377"/>
      <c r="BX49" s="377"/>
      <c r="BY49" s="377"/>
      <c r="BZ49" s="377"/>
      <c r="CA49" s="377"/>
      <c r="CB49" s="377"/>
      <c r="CC49" s="377"/>
      <c r="CD49" s="377"/>
      <c r="CE49" s="377"/>
      <c r="CF49" s="377"/>
      <c r="CG49" s="377"/>
      <c r="CH49" s="377"/>
      <c r="CI49" s="377"/>
    </row>
    <row r="50" spans="1:87" ht="94.5" customHeight="1">
      <c r="A50" s="361">
        <f t="shared" si="38"/>
        <v>13</v>
      </c>
      <c r="B50" s="362">
        <f t="shared" si="38"/>
        <v>13</v>
      </c>
      <c r="C50" s="378" t="s">
        <v>455</v>
      </c>
      <c r="D50" s="379" t="s">
        <v>1036</v>
      </c>
      <c r="E50" s="392" t="s">
        <v>998</v>
      </c>
      <c r="F50" s="366" t="s">
        <v>254</v>
      </c>
      <c r="G50" s="366"/>
      <c r="H50" s="371" t="s">
        <v>1405</v>
      </c>
      <c r="I50" s="366">
        <v>17697</v>
      </c>
      <c r="J50" s="367">
        <v>10.220000000000001</v>
      </c>
      <c r="K50" s="367">
        <f t="shared" si="0"/>
        <v>180863.34000000003</v>
      </c>
      <c r="L50" s="380"/>
      <c r="M50" s="380"/>
      <c r="N50" s="380"/>
      <c r="O50" s="380"/>
      <c r="P50" s="380"/>
      <c r="Q50" s="368">
        <f t="shared" si="12"/>
        <v>0</v>
      </c>
      <c r="R50" s="380">
        <v>12</v>
      </c>
      <c r="S50" s="380">
        <v>10</v>
      </c>
      <c r="T50" s="380"/>
      <c r="U50" s="380">
        <v>7</v>
      </c>
      <c r="V50" s="380">
        <v>7</v>
      </c>
      <c r="W50" s="381">
        <f t="shared" si="40"/>
        <v>36</v>
      </c>
      <c r="X50" s="370">
        <f t="shared" si="3"/>
        <v>36</v>
      </c>
      <c r="Y50" s="367">
        <f t="shared" si="4"/>
        <v>406942.51500000007</v>
      </c>
      <c r="Z50" s="367">
        <f t="shared" si="5"/>
        <v>40694.251500000013</v>
      </c>
      <c r="AA50" s="366">
        <v>0</v>
      </c>
      <c r="AB50" s="367">
        <f t="shared" si="6"/>
        <v>0</v>
      </c>
      <c r="AC50" s="366">
        <v>0</v>
      </c>
      <c r="AD50" s="367">
        <f t="shared" si="7"/>
        <v>0</v>
      </c>
      <c r="AE50" s="366"/>
      <c r="AF50" s="366"/>
      <c r="AG50" s="367"/>
      <c r="AH50" s="366"/>
      <c r="AI50" s="367"/>
      <c r="AJ50" s="366">
        <f t="shared" si="14"/>
        <v>36</v>
      </c>
      <c r="AK50" s="367">
        <f t="shared" si="15"/>
        <v>15927.300000000001</v>
      </c>
      <c r="AL50" s="366">
        <f t="shared" si="16"/>
        <v>36</v>
      </c>
      <c r="AM50" s="367">
        <f t="shared" si="17"/>
        <v>122082.75450000001</v>
      </c>
      <c r="AN50" s="366" t="str">
        <f t="shared" si="18"/>
        <v>Педагог-модератор</v>
      </c>
      <c r="AO50" s="367" t="str">
        <f t="shared" si="19"/>
        <v>0</v>
      </c>
      <c r="AP50" s="367" t="str">
        <f t="shared" si="20"/>
        <v>0</v>
      </c>
      <c r="AQ50" s="367" t="str">
        <f t="shared" si="21"/>
        <v>0</v>
      </c>
      <c r="AR50" s="367">
        <f t="shared" si="22"/>
        <v>122082.75450000001</v>
      </c>
      <c r="AS50" s="366"/>
      <c r="AT50" s="367"/>
      <c r="AU50" s="371"/>
      <c r="AV50" s="367"/>
      <c r="AW50" s="371">
        <f t="shared" si="23"/>
        <v>0</v>
      </c>
      <c r="AX50" s="372"/>
      <c r="AY50" s="367"/>
      <c r="AZ50" s="367">
        <f t="shared" si="24"/>
        <v>300787.06050000002</v>
      </c>
      <c r="BA50" s="373">
        <f t="shared" si="25"/>
        <v>707729.57550000004</v>
      </c>
      <c r="BB50" s="374">
        <f t="shared" si="26"/>
        <v>70772.957550000006</v>
      </c>
      <c r="BC50" s="374">
        <f t="shared" si="27"/>
        <v>14154.59151</v>
      </c>
      <c r="BD50" s="374">
        <f t="shared" si="28"/>
        <v>55907.402643999994</v>
      </c>
      <c r="BE50" s="374">
        <f t="shared" si="29"/>
        <v>566894.62379599991</v>
      </c>
      <c r="BF50" s="374">
        <f t="shared" si="30"/>
        <v>8492754.9059999995</v>
      </c>
      <c r="BG50" s="374">
        <f t="shared" si="31"/>
        <v>813885.03000000014</v>
      </c>
      <c r="BH50" s="374">
        <f t="shared" si="32"/>
        <v>9306639.9359999988</v>
      </c>
      <c r="BI50" s="374">
        <f t="shared" si="33"/>
        <v>418798.79712</v>
      </c>
      <c r="BJ50" s="374">
        <f t="shared" si="34"/>
        <v>254782.64717999997</v>
      </c>
      <c r="BK50" s="374">
        <f t="shared" si="35"/>
        <v>483874.49575079989</v>
      </c>
      <c r="BL50" s="374">
        <f t="shared" si="36"/>
        <v>465331.99679999996</v>
      </c>
      <c r="BM50" s="373">
        <f t="shared" si="37"/>
        <v>10929427.872850798</v>
      </c>
      <c r="BN50" s="375"/>
      <c r="BO50" s="376"/>
      <c r="BP50" s="376"/>
      <c r="BQ50" s="377"/>
      <c r="BR50" s="377"/>
      <c r="BS50" s="377"/>
      <c r="BT50" s="377"/>
      <c r="BU50" s="377"/>
      <c r="BV50" s="377"/>
      <c r="BW50" s="377"/>
      <c r="BX50" s="377"/>
      <c r="BY50" s="377"/>
      <c r="BZ50" s="377"/>
      <c r="CA50" s="377"/>
      <c r="CB50" s="377"/>
      <c r="CC50" s="377"/>
      <c r="CD50" s="377"/>
      <c r="CE50" s="377"/>
      <c r="CF50" s="377"/>
      <c r="CG50" s="377"/>
      <c r="CH50" s="377"/>
      <c r="CI50" s="377"/>
    </row>
    <row r="51" spans="1:87" ht="47.25">
      <c r="A51" s="361">
        <f t="shared" si="38"/>
        <v>14</v>
      </c>
      <c r="B51" s="362">
        <f t="shared" si="38"/>
        <v>14</v>
      </c>
      <c r="C51" s="378" t="s">
        <v>267</v>
      </c>
      <c r="D51" s="379" t="s">
        <v>1037</v>
      </c>
      <c r="E51" s="392" t="s">
        <v>998</v>
      </c>
      <c r="F51" s="366" t="s">
        <v>999</v>
      </c>
      <c r="G51" s="366"/>
      <c r="H51" s="371" t="s">
        <v>1038</v>
      </c>
      <c r="I51" s="366">
        <v>17697</v>
      </c>
      <c r="J51" s="367">
        <v>11.4</v>
      </c>
      <c r="K51" s="367">
        <f t="shared" si="0"/>
        <v>201745.80000000002</v>
      </c>
      <c r="L51" s="366"/>
      <c r="M51" s="366"/>
      <c r="N51" s="366"/>
      <c r="O51" s="366"/>
      <c r="P51" s="366">
        <v>36</v>
      </c>
      <c r="Q51" s="368">
        <f t="shared" si="12"/>
        <v>36</v>
      </c>
      <c r="R51" s="366"/>
      <c r="S51" s="366"/>
      <c r="T51" s="366"/>
      <c r="U51" s="366"/>
      <c r="V51" s="366"/>
      <c r="W51" s="381">
        <f t="shared" si="13"/>
        <v>0</v>
      </c>
      <c r="X51" s="370">
        <f t="shared" si="3"/>
        <v>36</v>
      </c>
      <c r="Y51" s="367">
        <f t="shared" si="4"/>
        <v>453928.05000000005</v>
      </c>
      <c r="Z51" s="367">
        <f t="shared" si="5"/>
        <v>45392.805000000008</v>
      </c>
      <c r="AA51" s="366">
        <v>0</v>
      </c>
      <c r="AB51" s="367">
        <f t="shared" si="6"/>
        <v>0</v>
      </c>
      <c r="AC51" s="366">
        <v>36</v>
      </c>
      <c r="AD51" s="367">
        <f t="shared" si="7"/>
        <v>7963.6500000000005</v>
      </c>
      <c r="AE51" s="366"/>
      <c r="AF51" s="366" t="s">
        <v>547</v>
      </c>
      <c r="AG51" s="367">
        <f t="shared" ref="AG51:AG53" si="41">17697*20%</f>
        <v>3539.4</v>
      </c>
      <c r="AH51" s="366"/>
      <c r="AI51" s="367"/>
      <c r="AJ51" s="366">
        <f t="shared" si="14"/>
        <v>36</v>
      </c>
      <c r="AK51" s="367">
        <f t="shared" si="15"/>
        <v>15927.300000000001</v>
      </c>
      <c r="AL51" s="366">
        <f t="shared" si="16"/>
        <v>36</v>
      </c>
      <c r="AM51" s="367">
        <f t="shared" si="17"/>
        <v>136178.41500000001</v>
      </c>
      <c r="AN51" s="366" t="str">
        <f t="shared" si="18"/>
        <v>Педагог-шебер</v>
      </c>
      <c r="AO51" s="367">
        <f t="shared" si="19"/>
        <v>226964.02500000002</v>
      </c>
      <c r="AP51" s="367" t="str">
        <f t="shared" si="20"/>
        <v>0</v>
      </c>
      <c r="AQ51" s="367" t="str">
        <f t="shared" si="21"/>
        <v>0</v>
      </c>
      <c r="AR51" s="367" t="str">
        <f t="shared" si="22"/>
        <v>0</v>
      </c>
      <c r="AS51" s="366"/>
      <c r="AT51" s="367"/>
      <c r="AU51" s="366"/>
      <c r="AV51" s="367"/>
      <c r="AW51" s="371">
        <f t="shared" si="23"/>
        <v>0</v>
      </c>
      <c r="AX51" s="372"/>
      <c r="AY51" s="367"/>
      <c r="AZ51" s="367">
        <f t="shared" si="24"/>
        <v>435965.59500000003</v>
      </c>
      <c r="BA51" s="373">
        <f t="shared" si="25"/>
        <v>889893.64500000002</v>
      </c>
      <c r="BB51" s="374">
        <f t="shared" si="26"/>
        <v>88989.364500000011</v>
      </c>
      <c r="BC51" s="374">
        <f t="shared" si="27"/>
        <v>17797.872900000002</v>
      </c>
      <c r="BD51" s="374">
        <f t="shared" si="28"/>
        <v>71937.840760000006</v>
      </c>
      <c r="BE51" s="374">
        <f t="shared" si="29"/>
        <v>711168.56683999998</v>
      </c>
      <c r="BF51" s="374">
        <f t="shared" si="30"/>
        <v>10678723.74</v>
      </c>
      <c r="BG51" s="374">
        <f t="shared" si="31"/>
        <v>907856.10000000009</v>
      </c>
      <c r="BH51" s="374">
        <f t="shared" si="32"/>
        <v>11586579.84</v>
      </c>
      <c r="BI51" s="374">
        <f t="shared" si="33"/>
        <v>521396.09280000004</v>
      </c>
      <c r="BJ51" s="374">
        <f t="shared" si="34"/>
        <v>320361.71220000001</v>
      </c>
      <c r="BK51" s="374">
        <f t="shared" si="35"/>
        <v>602182.11913200002</v>
      </c>
      <c r="BL51" s="374">
        <f t="shared" si="36"/>
        <v>579328.99199999997</v>
      </c>
      <c r="BM51" s="373">
        <f t="shared" si="37"/>
        <v>13609848.756132001</v>
      </c>
      <c r="BN51" s="375"/>
      <c r="BO51" s="376"/>
      <c r="BP51" s="376"/>
      <c r="BQ51" s="377"/>
      <c r="BR51" s="377"/>
      <c r="BS51" s="377"/>
      <c r="BT51" s="377"/>
      <c r="BU51" s="377"/>
      <c r="BV51" s="377"/>
      <c r="BW51" s="377"/>
      <c r="BX51" s="377"/>
      <c r="BY51" s="377"/>
      <c r="BZ51" s="377"/>
      <c r="CA51" s="377"/>
      <c r="CB51" s="377"/>
      <c r="CC51" s="377"/>
      <c r="CD51" s="377"/>
      <c r="CE51" s="377"/>
      <c r="CF51" s="377"/>
      <c r="CG51" s="377"/>
      <c r="CH51" s="377"/>
      <c r="CI51" s="377"/>
    </row>
    <row r="52" spans="1:87" ht="47.25">
      <c r="A52" s="361">
        <f t="shared" si="38"/>
        <v>15</v>
      </c>
      <c r="B52" s="362">
        <f t="shared" si="38"/>
        <v>15</v>
      </c>
      <c r="C52" s="378" t="s">
        <v>202</v>
      </c>
      <c r="D52" s="379" t="s">
        <v>1039</v>
      </c>
      <c r="E52" s="392" t="s">
        <v>998</v>
      </c>
      <c r="F52" s="366" t="s">
        <v>1011</v>
      </c>
      <c r="G52" s="366" t="s">
        <v>224</v>
      </c>
      <c r="H52" s="371" t="s">
        <v>1040</v>
      </c>
      <c r="I52" s="366">
        <v>17697</v>
      </c>
      <c r="J52" s="367">
        <v>11.4</v>
      </c>
      <c r="K52" s="367">
        <f t="shared" si="0"/>
        <v>201745.80000000002</v>
      </c>
      <c r="L52" s="366"/>
      <c r="M52" s="366"/>
      <c r="N52" s="366">
        <v>32</v>
      </c>
      <c r="O52" s="366"/>
      <c r="P52" s="366"/>
      <c r="Q52" s="368">
        <f t="shared" si="12"/>
        <v>32</v>
      </c>
      <c r="R52" s="366"/>
      <c r="S52" s="366"/>
      <c r="T52" s="366">
        <v>4</v>
      </c>
      <c r="U52" s="366"/>
      <c r="V52" s="366"/>
      <c r="W52" s="381">
        <f t="shared" si="13"/>
        <v>4</v>
      </c>
      <c r="X52" s="370">
        <f t="shared" si="3"/>
        <v>36</v>
      </c>
      <c r="Y52" s="367">
        <f t="shared" si="4"/>
        <v>453928.05000000005</v>
      </c>
      <c r="Z52" s="367">
        <f t="shared" si="5"/>
        <v>45392.805000000008</v>
      </c>
      <c r="AA52" s="366">
        <v>36</v>
      </c>
      <c r="AB52" s="367">
        <f t="shared" si="6"/>
        <v>15927.300000000001</v>
      </c>
      <c r="AC52" s="366">
        <v>0</v>
      </c>
      <c r="AD52" s="367">
        <f t="shared" si="7"/>
        <v>0</v>
      </c>
      <c r="AE52" s="366"/>
      <c r="AF52" s="366"/>
      <c r="AG52" s="367"/>
      <c r="AH52" s="366"/>
      <c r="AI52" s="367"/>
      <c r="AJ52" s="366">
        <f t="shared" si="14"/>
        <v>36</v>
      </c>
      <c r="AK52" s="367">
        <f t="shared" si="15"/>
        <v>15927.300000000001</v>
      </c>
      <c r="AL52" s="366">
        <f t="shared" si="16"/>
        <v>36</v>
      </c>
      <c r="AM52" s="367">
        <f t="shared" si="17"/>
        <v>136178.41500000001</v>
      </c>
      <c r="AN52" s="366" t="str">
        <f t="shared" si="18"/>
        <v>Педагог-сарапшы</v>
      </c>
      <c r="AO52" s="367" t="str">
        <f t="shared" si="19"/>
        <v>0</v>
      </c>
      <c r="AP52" s="367" t="str">
        <f t="shared" si="20"/>
        <v>0</v>
      </c>
      <c r="AQ52" s="367">
        <f t="shared" si="21"/>
        <v>158874.8175</v>
      </c>
      <c r="AR52" s="367" t="str">
        <f t="shared" si="22"/>
        <v>0</v>
      </c>
      <c r="AS52" s="366"/>
      <c r="AT52" s="367"/>
      <c r="AU52" s="371"/>
      <c r="AV52" s="367"/>
      <c r="AW52" s="371" t="str">
        <f t="shared" si="23"/>
        <v>Магистр-математика</v>
      </c>
      <c r="AX52" s="372">
        <f>10*4552</f>
        <v>45520</v>
      </c>
      <c r="AY52" s="367"/>
      <c r="AZ52" s="367">
        <f t="shared" si="24"/>
        <v>417820.63750000001</v>
      </c>
      <c r="BA52" s="373">
        <f t="shared" si="25"/>
        <v>871748.6875</v>
      </c>
      <c r="BB52" s="374">
        <f t="shared" si="26"/>
        <v>87174.868750000009</v>
      </c>
      <c r="BC52" s="374">
        <f t="shared" si="27"/>
        <v>17434.973750000001</v>
      </c>
      <c r="BD52" s="374">
        <f t="shared" si="28"/>
        <v>70341.084499999997</v>
      </c>
      <c r="BE52" s="374">
        <f t="shared" si="29"/>
        <v>696797.76049999997</v>
      </c>
      <c r="BF52" s="374">
        <f t="shared" si="30"/>
        <v>10460984.25</v>
      </c>
      <c r="BG52" s="374">
        <f t="shared" si="31"/>
        <v>907856.10000000009</v>
      </c>
      <c r="BH52" s="374">
        <f t="shared" si="32"/>
        <v>11368840.35</v>
      </c>
      <c r="BI52" s="374">
        <f t="shared" si="33"/>
        <v>511597.81575000001</v>
      </c>
      <c r="BJ52" s="374">
        <f t="shared" si="34"/>
        <v>313829.52749999997</v>
      </c>
      <c r="BK52" s="374">
        <f t="shared" si="35"/>
        <v>590903.21354999975</v>
      </c>
      <c r="BL52" s="374">
        <f t="shared" si="36"/>
        <v>568442.01749999996</v>
      </c>
      <c r="BM52" s="373">
        <f t="shared" si="37"/>
        <v>13353612.924299998</v>
      </c>
      <c r="BN52" s="375"/>
      <c r="BO52" s="376"/>
      <c r="BP52" s="376"/>
      <c r="BQ52" s="377"/>
      <c r="BR52" s="377"/>
      <c r="BS52" s="377"/>
      <c r="BT52" s="377"/>
      <c r="BU52" s="377"/>
      <c r="BV52" s="377"/>
      <c r="BW52" s="377"/>
      <c r="BX52" s="377"/>
      <c r="BY52" s="377"/>
      <c r="BZ52" s="377"/>
      <c r="CA52" s="377"/>
      <c r="CB52" s="377"/>
      <c r="CC52" s="377"/>
      <c r="CD52" s="377"/>
      <c r="CE52" s="377"/>
      <c r="CF52" s="377"/>
      <c r="CG52" s="377"/>
      <c r="CH52" s="377"/>
      <c r="CI52" s="377"/>
    </row>
    <row r="53" spans="1:87" ht="47.25">
      <c r="A53" s="361">
        <f t="shared" si="38"/>
        <v>16</v>
      </c>
      <c r="B53" s="362">
        <f t="shared" si="38"/>
        <v>16</v>
      </c>
      <c r="C53" s="378" t="s">
        <v>548</v>
      </c>
      <c r="D53" s="379" t="s">
        <v>1041</v>
      </c>
      <c r="E53" s="392" t="s">
        <v>998</v>
      </c>
      <c r="F53" s="366"/>
      <c r="G53" s="366"/>
      <c r="H53" s="371" t="s">
        <v>1406</v>
      </c>
      <c r="I53" s="366">
        <v>17697</v>
      </c>
      <c r="J53" s="367">
        <v>9.84</v>
      </c>
      <c r="K53" s="367">
        <f t="shared" si="0"/>
        <v>174138.48</v>
      </c>
      <c r="L53" s="366"/>
      <c r="M53" s="366"/>
      <c r="N53" s="366"/>
      <c r="O53" s="366">
        <v>27</v>
      </c>
      <c r="P53" s="366"/>
      <c r="Q53" s="368">
        <f t="shared" si="12"/>
        <v>27</v>
      </c>
      <c r="R53" s="366"/>
      <c r="S53" s="366"/>
      <c r="T53" s="366"/>
      <c r="U53" s="366"/>
      <c r="V53" s="366"/>
      <c r="W53" s="381">
        <f t="shared" si="13"/>
        <v>0</v>
      </c>
      <c r="X53" s="370">
        <f t="shared" si="3"/>
        <v>27</v>
      </c>
      <c r="Y53" s="367">
        <f t="shared" si="4"/>
        <v>293858.685</v>
      </c>
      <c r="Z53" s="367">
        <f t="shared" si="5"/>
        <v>29385.8685</v>
      </c>
      <c r="AA53" s="366">
        <v>18</v>
      </c>
      <c r="AB53" s="367">
        <f t="shared" si="6"/>
        <v>7963.6500000000005</v>
      </c>
      <c r="AC53" s="366">
        <v>9</v>
      </c>
      <c r="AD53" s="367">
        <f t="shared" si="7"/>
        <v>1990.9125000000001</v>
      </c>
      <c r="AE53" s="366"/>
      <c r="AF53" s="366" t="s">
        <v>1043</v>
      </c>
      <c r="AG53" s="367">
        <f t="shared" si="41"/>
        <v>3539.4</v>
      </c>
      <c r="AH53" s="366"/>
      <c r="AI53" s="367"/>
      <c r="AJ53" s="366">
        <f t="shared" si="14"/>
        <v>27</v>
      </c>
      <c r="AK53" s="367">
        <f t="shared" si="15"/>
        <v>11945.475</v>
      </c>
      <c r="AL53" s="366">
        <f t="shared" si="16"/>
        <v>27</v>
      </c>
      <c r="AM53" s="367">
        <f t="shared" si="17"/>
        <v>88157.605499999991</v>
      </c>
      <c r="AN53" s="366">
        <f t="shared" si="18"/>
        <v>0</v>
      </c>
      <c r="AO53" s="367" t="str">
        <f t="shared" si="19"/>
        <v>0</v>
      </c>
      <c r="AP53" s="367" t="str">
        <f t="shared" si="20"/>
        <v>0</v>
      </c>
      <c r="AQ53" s="367" t="str">
        <f t="shared" si="21"/>
        <v>0</v>
      </c>
      <c r="AR53" s="367" t="str">
        <f t="shared" si="22"/>
        <v>0</v>
      </c>
      <c r="AS53" s="366"/>
      <c r="AT53" s="367"/>
      <c r="AU53" s="371"/>
      <c r="AV53" s="367"/>
      <c r="AW53" s="371">
        <f t="shared" si="23"/>
        <v>0</v>
      </c>
      <c r="AX53" s="372"/>
      <c r="AY53" s="367"/>
      <c r="AZ53" s="367">
        <f t="shared" si="24"/>
        <v>142982.91149999999</v>
      </c>
      <c r="BA53" s="373">
        <f t="shared" si="25"/>
        <v>436841.59649999999</v>
      </c>
      <c r="BB53" s="374">
        <f t="shared" si="26"/>
        <v>43684.159650000001</v>
      </c>
      <c r="BC53" s="374">
        <f t="shared" si="27"/>
        <v>8736.8319300000003</v>
      </c>
      <c r="BD53" s="374">
        <f t="shared" si="28"/>
        <v>32069.260492000001</v>
      </c>
      <c r="BE53" s="374">
        <f t="shared" si="29"/>
        <v>352351.34442800004</v>
      </c>
      <c r="BF53" s="374">
        <f t="shared" si="30"/>
        <v>5242099.1579999998</v>
      </c>
      <c r="BG53" s="374">
        <f t="shared" si="31"/>
        <v>587717.37</v>
      </c>
      <c r="BH53" s="374">
        <f t="shared" si="32"/>
        <v>5829816.5279999999</v>
      </c>
      <c r="BI53" s="374">
        <f t="shared" si="33"/>
        <v>262341.74375999998</v>
      </c>
      <c r="BJ53" s="374">
        <f t="shared" si="34"/>
        <v>157262.97473999998</v>
      </c>
      <c r="BK53" s="374">
        <f t="shared" si="35"/>
        <v>303277.47436439991</v>
      </c>
      <c r="BL53" s="374">
        <f t="shared" si="36"/>
        <v>291490.82640000002</v>
      </c>
      <c r="BM53" s="373">
        <f t="shared" si="37"/>
        <v>6844189.5472643999</v>
      </c>
      <c r="BN53" s="375">
        <v>0.5</v>
      </c>
      <c r="BO53" s="376"/>
      <c r="BP53" s="376"/>
      <c r="BQ53" s="377"/>
      <c r="BR53" s="377"/>
      <c r="BS53" s="377"/>
      <c r="BT53" s="377"/>
      <c r="BU53" s="377"/>
      <c r="BV53" s="377"/>
      <c r="BW53" s="377"/>
      <c r="BX53" s="377"/>
      <c r="BY53" s="377"/>
      <c r="BZ53" s="377"/>
      <c r="CA53" s="377"/>
      <c r="CB53" s="377"/>
      <c r="CC53" s="377"/>
      <c r="CD53" s="377"/>
      <c r="CE53" s="377"/>
      <c r="CF53" s="377"/>
      <c r="CG53" s="377"/>
      <c r="CH53" s="377"/>
      <c r="CI53" s="377"/>
    </row>
    <row r="54" spans="1:87" ht="47.25">
      <c r="A54" s="361">
        <f t="shared" si="38"/>
        <v>17</v>
      </c>
      <c r="B54" s="362">
        <f t="shared" si="38"/>
        <v>17</v>
      </c>
      <c r="C54" s="378" t="s">
        <v>1044</v>
      </c>
      <c r="D54" s="379" t="s">
        <v>1045</v>
      </c>
      <c r="E54" s="392" t="s">
        <v>998</v>
      </c>
      <c r="F54" s="366" t="s">
        <v>254</v>
      </c>
      <c r="G54" s="394" t="s">
        <v>1046</v>
      </c>
      <c r="H54" s="371" t="s">
        <v>1407</v>
      </c>
      <c r="I54" s="366">
        <v>17697</v>
      </c>
      <c r="J54" s="367">
        <v>10.4</v>
      </c>
      <c r="K54" s="367">
        <f t="shared" si="0"/>
        <v>184048.80000000002</v>
      </c>
      <c r="L54" s="366">
        <v>32</v>
      </c>
      <c r="M54" s="366"/>
      <c r="N54" s="366"/>
      <c r="O54" s="366"/>
      <c r="P54" s="366"/>
      <c r="Q54" s="368">
        <f t="shared" si="12"/>
        <v>32</v>
      </c>
      <c r="R54" s="366">
        <v>4</v>
      </c>
      <c r="S54" s="366"/>
      <c r="T54" s="366"/>
      <c r="U54" s="366"/>
      <c r="V54" s="366"/>
      <c r="W54" s="381">
        <f t="shared" si="13"/>
        <v>4</v>
      </c>
      <c r="X54" s="370">
        <f t="shared" si="3"/>
        <v>36</v>
      </c>
      <c r="Y54" s="367">
        <f t="shared" si="4"/>
        <v>414109.80000000005</v>
      </c>
      <c r="Z54" s="367">
        <f t="shared" si="5"/>
        <v>41410.98000000001</v>
      </c>
      <c r="AA54" s="366">
        <v>0</v>
      </c>
      <c r="AB54" s="367">
        <f t="shared" si="6"/>
        <v>0</v>
      </c>
      <c r="AC54" s="366">
        <v>36</v>
      </c>
      <c r="AD54" s="367">
        <f t="shared" si="7"/>
        <v>7963.6500000000005</v>
      </c>
      <c r="AE54" s="366"/>
      <c r="AF54" s="366"/>
      <c r="AG54" s="367"/>
      <c r="AH54" s="366"/>
      <c r="AI54" s="367"/>
      <c r="AJ54" s="366">
        <f t="shared" si="14"/>
        <v>36</v>
      </c>
      <c r="AK54" s="367">
        <f t="shared" si="15"/>
        <v>15927.300000000001</v>
      </c>
      <c r="AL54" s="366">
        <f t="shared" si="16"/>
        <v>36</v>
      </c>
      <c r="AM54" s="367">
        <f t="shared" si="17"/>
        <v>124232.94</v>
      </c>
      <c r="AN54" s="366" t="str">
        <f t="shared" si="18"/>
        <v>Педагог-модератор</v>
      </c>
      <c r="AO54" s="367" t="str">
        <f t="shared" si="19"/>
        <v>0</v>
      </c>
      <c r="AP54" s="367" t="str">
        <f t="shared" si="20"/>
        <v>0</v>
      </c>
      <c r="AQ54" s="367" t="str">
        <f t="shared" si="21"/>
        <v>0</v>
      </c>
      <c r="AR54" s="367">
        <f t="shared" si="22"/>
        <v>124232.94</v>
      </c>
      <c r="AS54" s="366"/>
      <c r="AT54" s="367"/>
      <c r="AU54" s="371"/>
      <c r="AV54" s="367"/>
      <c r="AW54" s="371" t="str">
        <f t="shared" si="23"/>
        <v>Магистр педагогических наук</v>
      </c>
      <c r="AX54" s="372">
        <f>10*4552</f>
        <v>45520</v>
      </c>
      <c r="AY54" s="367"/>
      <c r="AZ54" s="367">
        <f t="shared" si="24"/>
        <v>359287.81000000006</v>
      </c>
      <c r="BA54" s="373">
        <f t="shared" si="25"/>
        <v>773397.6100000001</v>
      </c>
      <c r="BB54" s="374">
        <f t="shared" si="26"/>
        <v>77339.761000000013</v>
      </c>
      <c r="BC54" s="374">
        <f t="shared" si="27"/>
        <v>15467.952200000002</v>
      </c>
      <c r="BD54" s="374">
        <f t="shared" si="28"/>
        <v>61686.189680000003</v>
      </c>
      <c r="BE54" s="374">
        <f t="shared" si="29"/>
        <v>618903.70712000004</v>
      </c>
      <c r="BF54" s="374">
        <f t="shared" si="30"/>
        <v>9280771.3200000003</v>
      </c>
      <c r="BG54" s="374">
        <f t="shared" si="31"/>
        <v>828219.60000000009</v>
      </c>
      <c r="BH54" s="374">
        <f t="shared" si="32"/>
        <v>10108990.92</v>
      </c>
      <c r="BI54" s="374">
        <f t="shared" si="33"/>
        <v>454904.59140000003</v>
      </c>
      <c r="BJ54" s="374">
        <f t="shared" si="34"/>
        <v>278423.13959999999</v>
      </c>
      <c r="BK54" s="374">
        <f t="shared" si="35"/>
        <v>525467.81277599989</v>
      </c>
      <c r="BL54" s="374">
        <f t="shared" si="36"/>
        <v>505449.54600000003</v>
      </c>
      <c r="BM54" s="373">
        <f t="shared" si="37"/>
        <v>11873236.009775998</v>
      </c>
      <c r="BN54" s="375"/>
      <c r="BO54" s="376"/>
      <c r="BP54" s="376"/>
      <c r="BQ54" s="377"/>
      <c r="BR54" s="377"/>
      <c r="BS54" s="377"/>
      <c r="BT54" s="377"/>
      <c r="BU54" s="377"/>
      <c r="BV54" s="377"/>
      <c r="BW54" s="377"/>
      <c r="BX54" s="377"/>
      <c r="BY54" s="377"/>
      <c r="BZ54" s="377"/>
      <c r="CA54" s="377"/>
      <c r="CB54" s="377"/>
      <c r="CC54" s="377"/>
      <c r="CD54" s="377"/>
      <c r="CE54" s="377"/>
      <c r="CF54" s="377"/>
      <c r="CG54" s="377"/>
      <c r="CH54" s="377"/>
      <c r="CI54" s="377"/>
    </row>
    <row r="55" spans="1:87" ht="47.25">
      <c r="A55" s="361">
        <f t="shared" ref="A55:B65" si="42">A54+1</f>
        <v>18</v>
      </c>
      <c r="B55" s="362">
        <f t="shared" si="42"/>
        <v>18</v>
      </c>
      <c r="C55" s="378" t="s">
        <v>1047</v>
      </c>
      <c r="D55" s="379" t="s">
        <v>1048</v>
      </c>
      <c r="E55" s="392" t="s">
        <v>998</v>
      </c>
      <c r="F55" s="394"/>
      <c r="G55" s="394"/>
      <c r="H55" s="395" t="s">
        <v>1403</v>
      </c>
      <c r="I55" s="394">
        <v>17697</v>
      </c>
      <c r="J55" s="367">
        <v>9.5</v>
      </c>
      <c r="K55" s="367">
        <f t="shared" si="0"/>
        <v>168121.5</v>
      </c>
      <c r="L55" s="366">
        <v>16</v>
      </c>
      <c r="M55" s="366"/>
      <c r="N55" s="366">
        <v>8</v>
      </c>
      <c r="O55" s="366"/>
      <c r="P55" s="366"/>
      <c r="Q55" s="368">
        <f t="shared" si="12"/>
        <v>24</v>
      </c>
      <c r="R55" s="366">
        <v>2</v>
      </c>
      <c r="S55" s="366"/>
      <c r="T55" s="366">
        <v>1</v>
      </c>
      <c r="U55" s="366"/>
      <c r="V55" s="366"/>
      <c r="W55" s="381">
        <f t="shared" si="13"/>
        <v>3</v>
      </c>
      <c r="X55" s="370">
        <f t="shared" si="3"/>
        <v>27</v>
      </c>
      <c r="Y55" s="367">
        <f t="shared" si="4"/>
        <v>283705.03125</v>
      </c>
      <c r="Z55" s="367">
        <f t="shared" si="5"/>
        <v>28370.503125000003</v>
      </c>
      <c r="AA55" s="366">
        <v>9</v>
      </c>
      <c r="AB55" s="367">
        <f t="shared" si="6"/>
        <v>3981.8250000000003</v>
      </c>
      <c r="AC55" s="366">
        <v>18</v>
      </c>
      <c r="AD55" s="367">
        <f t="shared" si="7"/>
        <v>3981.8250000000003</v>
      </c>
      <c r="AE55" s="366"/>
      <c r="AF55" s="366"/>
      <c r="AG55" s="367"/>
      <c r="AH55" s="366"/>
      <c r="AI55" s="367"/>
      <c r="AJ55" s="366">
        <f t="shared" si="14"/>
        <v>27</v>
      </c>
      <c r="AK55" s="367">
        <f t="shared" si="15"/>
        <v>11945.475</v>
      </c>
      <c r="AL55" s="366">
        <f t="shared" si="16"/>
        <v>27</v>
      </c>
      <c r="AM55" s="367">
        <f t="shared" si="17"/>
        <v>85111.509374999994</v>
      </c>
      <c r="AN55" s="366">
        <f t="shared" si="18"/>
        <v>0</v>
      </c>
      <c r="AO55" s="367" t="str">
        <f t="shared" si="19"/>
        <v>0</v>
      </c>
      <c r="AP55" s="367" t="str">
        <f t="shared" si="20"/>
        <v>0</v>
      </c>
      <c r="AQ55" s="367" t="str">
        <f t="shared" si="21"/>
        <v>0</v>
      </c>
      <c r="AR55" s="367" t="str">
        <f t="shared" si="22"/>
        <v>0</v>
      </c>
      <c r="AS55" s="366"/>
      <c r="AT55" s="367"/>
      <c r="AU55" s="371"/>
      <c r="AV55" s="367"/>
      <c r="AW55" s="371">
        <f t="shared" si="23"/>
        <v>0</v>
      </c>
      <c r="AX55" s="372"/>
      <c r="AY55" s="367"/>
      <c r="AZ55" s="367">
        <f t="shared" si="24"/>
        <v>133391.13750000001</v>
      </c>
      <c r="BA55" s="373">
        <f t="shared" si="25"/>
        <v>417096.16875000001</v>
      </c>
      <c r="BB55" s="374">
        <f t="shared" si="26"/>
        <v>41709.616875000007</v>
      </c>
      <c r="BC55" s="374">
        <f t="shared" si="27"/>
        <v>8341.9233750000003</v>
      </c>
      <c r="BD55" s="374">
        <f t="shared" si="28"/>
        <v>30331.662850000001</v>
      </c>
      <c r="BE55" s="374">
        <f t="shared" si="29"/>
        <v>336712.96564999997</v>
      </c>
      <c r="BF55" s="374">
        <f t="shared" si="30"/>
        <v>5005154.0250000004</v>
      </c>
      <c r="BG55" s="374">
        <f t="shared" si="31"/>
        <v>567410.0625</v>
      </c>
      <c r="BH55" s="374">
        <f t="shared" si="32"/>
        <v>5572564.0875000004</v>
      </c>
      <c r="BI55" s="374">
        <f t="shared" si="33"/>
        <v>250765.38393750007</v>
      </c>
      <c r="BJ55" s="374">
        <f t="shared" si="34"/>
        <v>150154.62075</v>
      </c>
      <c r="BK55" s="374">
        <f t="shared" si="35"/>
        <v>289907.12187000003</v>
      </c>
      <c r="BL55" s="374">
        <f t="shared" si="36"/>
        <v>278628.20437500003</v>
      </c>
      <c r="BM55" s="373">
        <f t="shared" si="37"/>
        <v>6542019.4184325002</v>
      </c>
      <c r="BN55" s="375"/>
      <c r="BO55" s="376"/>
      <c r="BP55" s="376"/>
      <c r="BQ55" s="377"/>
      <c r="BR55" s="377"/>
      <c r="BS55" s="377"/>
      <c r="BT55" s="377"/>
      <c r="BU55" s="377"/>
      <c r="BV55" s="377"/>
      <c r="BW55" s="377"/>
      <c r="BX55" s="377"/>
      <c r="BY55" s="377"/>
      <c r="BZ55" s="377"/>
      <c r="CA55" s="377"/>
      <c r="CB55" s="377"/>
      <c r="CC55" s="377"/>
      <c r="CD55" s="377"/>
      <c r="CE55" s="377"/>
      <c r="CF55" s="377"/>
      <c r="CG55" s="377"/>
      <c r="CH55" s="377"/>
      <c r="CI55" s="377"/>
    </row>
    <row r="56" spans="1:87" ht="47.25">
      <c r="A56" s="361">
        <f t="shared" si="42"/>
        <v>19</v>
      </c>
      <c r="B56" s="362">
        <f t="shared" si="42"/>
        <v>19</v>
      </c>
      <c r="C56" s="378" t="s">
        <v>201</v>
      </c>
      <c r="D56" s="379" t="s">
        <v>1039</v>
      </c>
      <c r="E56" s="396" t="s">
        <v>998</v>
      </c>
      <c r="F56" s="362" t="s">
        <v>1005</v>
      </c>
      <c r="G56" s="362"/>
      <c r="H56" s="397" t="s">
        <v>1049</v>
      </c>
      <c r="I56" s="362">
        <v>17697</v>
      </c>
      <c r="J56" s="398">
        <v>11.4</v>
      </c>
      <c r="K56" s="367">
        <f>I56*J56</f>
        <v>201745.80000000002</v>
      </c>
      <c r="L56" s="366"/>
      <c r="M56" s="366"/>
      <c r="N56" s="366">
        <v>32</v>
      </c>
      <c r="O56" s="366"/>
      <c r="P56" s="366"/>
      <c r="Q56" s="368">
        <f t="shared" si="12"/>
        <v>32</v>
      </c>
      <c r="R56" s="366"/>
      <c r="S56" s="366"/>
      <c r="T56" s="366">
        <v>4</v>
      </c>
      <c r="U56" s="366"/>
      <c r="V56" s="366"/>
      <c r="W56" s="381">
        <f t="shared" si="13"/>
        <v>4</v>
      </c>
      <c r="X56" s="370">
        <f t="shared" si="3"/>
        <v>36</v>
      </c>
      <c r="Y56" s="367">
        <f t="shared" si="4"/>
        <v>453928.05000000005</v>
      </c>
      <c r="Z56" s="367">
        <f t="shared" si="5"/>
        <v>45392.805000000008</v>
      </c>
      <c r="AA56" s="366">
        <v>36</v>
      </c>
      <c r="AB56" s="367">
        <f>I56/16*AA56*40%</f>
        <v>15927.300000000001</v>
      </c>
      <c r="AC56" s="366"/>
      <c r="AD56" s="367">
        <f>I56/16*AC56*40%*50%</f>
        <v>0</v>
      </c>
      <c r="AE56" s="366"/>
      <c r="AF56" s="366"/>
      <c r="AG56" s="367"/>
      <c r="AH56" s="366" t="s">
        <v>1050</v>
      </c>
      <c r="AI56" s="367">
        <f>I56*200%</f>
        <v>35394</v>
      </c>
      <c r="AJ56" s="366">
        <f t="shared" si="14"/>
        <v>36</v>
      </c>
      <c r="AK56" s="367">
        <f>I56/16*AJ56*40%</f>
        <v>15927.300000000001</v>
      </c>
      <c r="AL56" s="366">
        <f t="shared" si="16"/>
        <v>36</v>
      </c>
      <c r="AM56" s="367">
        <f t="shared" si="17"/>
        <v>136178.41500000001</v>
      </c>
      <c r="AN56" s="366" t="str">
        <f t="shared" si="18"/>
        <v>Педагог-зерттеуші</v>
      </c>
      <c r="AO56" s="367" t="str">
        <f t="shared" si="19"/>
        <v>0</v>
      </c>
      <c r="AP56" s="367">
        <f t="shared" si="20"/>
        <v>181571.22000000003</v>
      </c>
      <c r="AQ56" s="367" t="str">
        <f t="shared" si="21"/>
        <v>0</v>
      </c>
      <c r="AR56" s="367" t="str">
        <f t="shared" si="22"/>
        <v>0</v>
      </c>
      <c r="AS56" s="366"/>
      <c r="AT56" s="367"/>
      <c r="AU56" s="371"/>
      <c r="AV56" s="367"/>
      <c r="AW56" s="371">
        <f t="shared" si="23"/>
        <v>0</v>
      </c>
      <c r="AX56" s="372"/>
      <c r="AY56" s="367">
        <v>17697</v>
      </c>
      <c r="AZ56" s="367">
        <f t="shared" si="24"/>
        <v>448088.04000000004</v>
      </c>
      <c r="BA56" s="373">
        <f t="shared" si="25"/>
        <v>902016.09000000008</v>
      </c>
      <c r="BB56" s="374">
        <f t="shared" si="26"/>
        <v>90201.609000000011</v>
      </c>
      <c r="BC56" s="374">
        <f t="shared" si="27"/>
        <v>18040.321800000002</v>
      </c>
      <c r="BD56" s="374">
        <f t="shared" si="28"/>
        <v>73004.615919999997</v>
      </c>
      <c r="BE56" s="374">
        <f t="shared" si="29"/>
        <v>720769.54327999998</v>
      </c>
      <c r="BF56" s="374">
        <f t="shared" si="30"/>
        <v>10824193.080000002</v>
      </c>
      <c r="BG56" s="374">
        <f t="shared" si="31"/>
        <v>907856.10000000009</v>
      </c>
      <c r="BH56" s="374">
        <f t="shared" si="32"/>
        <v>11732049.180000002</v>
      </c>
      <c r="BI56" s="374">
        <f t="shared" si="33"/>
        <v>527942.21310000017</v>
      </c>
      <c r="BJ56" s="374">
        <f t="shared" si="34"/>
        <v>324725.79240000003</v>
      </c>
      <c r="BK56" s="374">
        <f t="shared" si="35"/>
        <v>609717.43094400002</v>
      </c>
      <c r="BL56" s="374">
        <f t="shared" si="36"/>
        <v>586602.45900000015</v>
      </c>
      <c r="BM56" s="373">
        <f t="shared" si="37"/>
        <v>13781037.075444002</v>
      </c>
      <c r="BN56" s="375"/>
      <c r="BO56" s="376"/>
      <c r="BP56" s="376"/>
      <c r="BQ56" s="377"/>
      <c r="BR56" s="377"/>
      <c r="BS56" s="377"/>
      <c r="BT56" s="377"/>
      <c r="BU56" s="377"/>
      <c r="BV56" s="377"/>
      <c r="BW56" s="377"/>
      <c r="BX56" s="377"/>
      <c r="BY56" s="377"/>
      <c r="BZ56" s="377"/>
      <c r="CA56" s="377"/>
      <c r="CB56" s="377"/>
      <c r="CC56" s="377"/>
      <c r="CD56" s="377"/>
      <c r="CE56" s="377"/>
      <c r="CF56" s="377"/>
      <c r="CG56" s="377"/>
      <c r="CH56" s="377"/>
      <c r="CI56" s="377"/>
    </row>
    <row r="57" spans="1:87" ht="47.25">
      <c r="A57" s="361">
        <f t="shared" si="42"/>
        <v>20</v>
      </c>
      <c r="B57" s="362">
        <f t="shared" si="42"/>
        <v>20</v>
      </c>
      <c r="C57" s="378" t="s">
        <v>916</v>
      </c>
      <c r="D57" s="379" t="s">
        <v>1051</v>
      </c>
      <c r="E57" s="396" t="s">
        <v>998</v>
      </c>
      <c r="F57" s="366" t="s">
        <v>254</v>
      </c>
      <c r="G57" s="362"/>
      <c r="H57" s="397" t="s">
        <v>1408</v>
      </c>
      <c r="I57" s="362">
        <v>17697</v>
      </c>
      <c r="J57" s="399">
        <v>9.84</v>
      </c>
      <c r="K57" s="367">
        <f>I57*J57</f>
        <v>174138.48</v>
      </c>
      <c r="L57" s="366"/>
      <c r="M57" s="366"/>
      <c r="N57" s="366"/>
      <c r="O57" s="366">
        <v>9</v>
      </c>
      <c r="P57" s="366">
        <v>18</v>
      </c>
      <c r="Q57" s="368">
        <f t="shared" si="12"/>
        <v>27</v>
      </c>
      <c r="R57" s="366"/>
      <c r="S57" s="366"/>
      <c r="T57" s="366"/>
      <c r="U57" s="366"/>
      <c r="V57" s="366"/>
      <c r="W57" s="381">
        <f t="shared" si="13"/>
        <v>0</v>
      </c>
      <c r="X57" s="370">
        <f t="shared" si="3"/>
        <v>27</v>
      </c>
      <c r="Y57" s="367">
        <f t="shared" si="4"/>
        <v>293858.685</v>
      </c>
      <c r="Z57" s="367">
        <f t="shared" si="5"/>
        <v>29385.8685</v>
      </c>
      <c r="AA57" s="366">
        <v>18</v>
      </c>
      <c r="AB57" s="367">
        <f>I57/16*AA57*40%</f>
        <v>7963.6500000000005</v>
      </c>
      <c r="AC57" s="366">
        <v>9</v>
      </c>
      <c r="AD57" s="367">
        <f>I57/16*AC57*40%*50%</f>
        <v>1990.9125000000001</v>
      </c>
      <c r="AE57" s="366"/>
      <c r="AF57" s="366"/>
      <c r="AG57" s="367"/>
      <c r="AH57" s="366"/>
      <c r="AI57" s="367"/>
      <c r="AJ57" s="366">
        <f t="shared" si="14"/>
        <v>27</v>
      </c>
      <c r="AK57" s="367">
        <f>I57/16*AJ57*40%</f>
        <v>11945.475</v>
      </c>
      <c r="AL57" s="366">
        <f t="shared" si="16"/>
        <v>27</v>
      </c>
      <c r="AM57" s="367">
        <f t="shared" si="17"/>
        <v>88157.605499999991</v>
      </c>
      <c r="AN57" s="366" t="str">
        <f t="shared" si="18"/>
        <v>Педагог-модератор</v>
      </c>
      <c r="AO57" s="367" t="str">
        <f t="shared" si="19"/>
        <v>0</v>
      </c>
      <c r="AP57" s="367" t="str">
        <f t="shared" si="20"/>
        <v>0</v>
      </c>
      <c r="AQ57" s="367" t="str">
        <f t="shared" si="21"/>
        <v>0</v>
      </c>
      <c r="AR57" s="367">
        <f t="shared" si="22"/>
        <v>88157.605499999991</v>
      </c>
      <c r="AS57" s="366"/>
      <c r="AT57" s="367"/>
      <c r="AU57" s="371"/>
      <c r="AV57" s="367"/>
      <c r="AW57" s="371">
        <f t="shared" si="23"/>
        <v>0</v>
      </c>
      <c r="AX57" s="372"/>
      <c r="AY57" s="367"/>
      <c r="AZ57" s="367">
        <f t="shared" si="24"/>
        <v>227601.11699999997</v>
      </c>
      <c r="BA57" s="373">
        <f t="shared" si="25"/>
        <v>521459.80199999997</v>
      </c>
      <c r="BB57" s="374">
        <f t="shared" si="26"/>
        <v>52145.980199999998</v>
      </c>
      <c r="BC57" s="374">
        <f t="shared" si="27"/>
        <v>10429.196039999999</v>
      </c>
      <c r="BD57" s="374">
        <f t="shared" si="28"/>
        <v>39515.662576000002</v>
      </c>
      <c r="BE57" s="374">
        <f t="shared" si="29"/>
        <v>419368.96318399999</v>
      </c>
      <c r="BF57" s="374">
        <f t="shared" si="30"/>
        <v>6257517.6239999998</v>
      </c>
      <c r="BG57" s="374">
        <f t="shared" si="31"/>
        <v>587717.37</v>
      </c>
      <c r="BH57" s="374">
        <f t="shared" si="32"/>
        <v>6845234.9939999999</v>
      </c>
      <c r="BI57" s="374">
        <f t="shared" si="33"/>
        <v>308035.57472999999</v>
      </c>
      <c r="BJ57" s="374">
        <f t="shared" si="34"/>
        <v>187725.52872</v>
      </c>
      <c r="BK57" s="374">
        <f t="shared" si="35"/>
        <v>355876.15090320003</v>
      </c>
      <c r="BL57" s="374">
        <f t="shared" si="36"/>
        <v>342261.74970000004</v>
      </c>
      <c r="BM57" s="373">
        <f t="shared" si="37"/>
        <v>8039133.9980532005</v>
      </c>
      <c r="BN57" s="385">
        <v>0.25</v>
      </c>
      <c r="BO57" s="376"/>
      <c r="BP57" s="376"/>
      <c r="BQ57" s="377"/>
      <c r="BR57" s="377"/>
      <c r="BS57" s="377"/>
      <c r="BT57" s="377"/>
      <c r="BU57" s="377"/>
      <c r="BV57" s="377"/>
      <c r="BW57" s="377"/>
      <c r="BX57" s="377"/>
      <c r="BY57" s="377"/>
      <c r="BZ57" s="377"/>
      <c r="CA57" s="377"/>
      <c r="CB57" s="377"/>
      <c r="CC57" s="377"/>
      <c r="CD57" s="377"/>
      <c r="CE57" s="377"/>
      <c r="CF57" s="377"/>
      <c r="CG57" s="377"/>
      <c r="CH57" s="377"/>
      <c r="CI57" s="377"/>
    </row>
    <row r="58" spans="1:87" ht="78.75">
      <c r="A58" s="361">
        <f t="shared" si="42"/>
        <v>21</v>
      </c>
      <c r="B58" s="362">
        <f t="shared" si="42"/>
        <v>21</v>
      </c>
      <c r="C58" s="378" t="s">
        <v>112</v>
      </c>
      <c r="D58" s="379" t="s">
        <v>1052</v>
      </c>
      <c r="E58" s="396" t="s">
        <v>998</v>
      </c>
      <c r="F58" s="362" t="s">
        <v>1005</v>
      </c>
      <c r="G58" s="362"/>
      <c r="H58" s="397" t="s">
        <v>1053</v>
      </c>
      <c r="I58" s="362">
        <v>17697</v>
      </c>
      <c r="J58" s="399">
        <v>11.4</v>
      </c>
      <c r="K58" s="367">
        <f t="shared" si="0"/>
        <v>201745.80000000002</v>
      </c>
      <c r="L58" s="366">
        <v>24</v>
      </c>
      <c r="M58" s="366"/>
      <c r="N58" s="366"/>
      <c r="O58" s="366">
        <v>9</v>
      </c>
      <c r="P58" s="366"/>
      <c r="Q58" s="368">
        <f t="shared" si="12"/>
        <v>33</v>
      </c>
      <c r="R58" s="366">
        <v>3</v>
      </c>
      <c r="S58" s="366"/>
      <c r="T58" s="366"/>
      <c r="U58" s="366"/>
      <c r="V58" s="366"/>
      <c r="W58" s="381">
        <f t="shared" si="13"/>
        <v>3</v>
      </c>
      <c r="X58" s="370">
        <f t="shared" si="3"/>
        <v>36</v>
      </c>
      <c r="Y58" s="367">
        <f t="shared" si="4"/>
        <v>453928.05000000005</v>
      </c>
      <c r="Z58" s="367">
        <f t="shared" si="5"/>
        <v>45392.805000000008</v>
      </c>
      <c r="AA58" s="366">
        <v>0</v>
      </c>
      <c r="AB58" s="367">
        <f t="shared" si="6"/>
        <v>0</v>
      </c>
      <c r="AC58" s="366">
        <v>36</v>
      </c>
      <c r="AD58" s="367">
        <f t="shared" si="7"/>
        <v>7963.6500000000005</v>
      </c>
      <c r="AE58" s="366"/>
      <c r="AF58" s="366"/>
      <c r="AG58" s="367"/>
      <c r="AH58" s="366" t="s">
        <v>1055</v>
      </c>
      <c r="AI58" s="367">
        <f>I58*200%</f>
        <v>35394</v>
      </c>
      <c r="AJ58" s="366">
        <f t="shared" si="14"/>
        <v>36</v>
      </c>
      <c r="AK58" s="367">
        <f t="shared" si="15"/>
        <v>15927.300000000001</v>
      </c>
      <c r="AL58" s="366">
        <f t="shared" si="16"/>
        <v>36</v>
      </c>
      <c r="AM58" s="367">
        <f t="shared" si="17"/>
        <v>136178.41500000001</v>
      </c>
      <c r="AN58" s="366" t="str">
        <f t="shared" si="18"/>
        <v>Педагог-зерттеуші</v>
      </c>
      <c r="AO58" s="367" t="str">
        <f t="shared" si="19"/>
        <v>0</v>
      </c>
      <c r="AP58" s="367">
        <f t="shared" si="20"/>
        <v>181571.22000000003</v>
      </c>
      <c r="AQ58" s="367" t="str">
        <f t="shared" si="21"/>
        <v>0</v>
      </c>
      <c r="AR58" s="367" t="str">
        <f t="shared" si="22"/>
        <v>0</v>
      </c>
      <c r="AS58" s="366"/>
      <c r="AT58" s="367"/>
      <c r="AU58" s="371"/>
      <c r="AV58" s="367"/>
      <c r="AW58" s="371">
        <f t="shared" si="23"/>
        <v>0</v>
      </c>
      <c r="AX58" s="372"/>
      <c r="AY58" s="367">
        <v>17697</v>
      </c>
      <c r="AZ58" s="367">
        <f t="shared" si="24"/>
        <v>440124.39000000007</v>
      </c>
      <c r="BA58" s="373">
        <f t="shared" si="25"/>
        <v>894052.44000000018</v>
      </c>
      <c r="BB58" s="374">
        <f t="shared" si="26"/>
        <v>89405.244000000021</v>
      </c>
      <c r="BC58" s="374">
        <f t="shared" si="27"/>
        <v>17881.048800000004</v>
      </c>
      <c r="BD58" s="374">
        <f t="shared" si="28"/>
        <v>72303.814720000009</v>
      </c>
      <c r="BE58" s="374">
        <f t="shared" si="29"/>
        <v>714462.3324800001</v>
      </c>
      <c r="BF58" s="374">
        <f t="shared" si="30"/>
        <v>10728629.280000001</v>
      </c>
      <c r="BG58" s="374">
        <f t="shared" si="31"/>
        <v>907856.10000000009</v>
      </c>
      <c r="BH58" s="374">
        <f t="shared" si="32"/>
        <v>11636485.380000001</v>
      </c>
      <c r="BI58" s="374">
        <f t="shared" si="33"/>
        <v>523641.84210000001</v>
      </c>
      <c r="BJ58" s="374">
        <f t="shared" si="34"/>
        <v>321858.87840000005</v>
      </c>
      <c r="BK58" s="374">
        <f t="shared" si="35"/>
        <v>604767.22610400012</v>
      </c>
      <c r="BL58" s="374">
        <f t="shared" si="36"/>
        <v>581824.26900000009</v>
      </c>
      <c r="BM58" s="373">
        <f t="shared" si="37"/>
        <v>13668577.595604001</v>
      </c>
      <c r="BN58" s="375"/>
      <c r="BO58" s="376"/>
      <c r="BP58" s="376"/>
      <c r="BQ58" s="377"/>
      <c r="BR58" s="377"/>
      <c r="BS58" s="377"/>
      <c r="BT58" s="377"/>
      <c r="BU58" s="377"/>
      <c r="BV58" s="377"/>
      <c r="BW58" s="377"/>
      <c r="BX58" s="377"/>
      <c r="BY58" s="377"/>
      <c r="BZ58" s="377"/>
      <c r="CA58" s="377"/>
      <c r="CB58" s="377"/>
      <c r="CC58" s="377"/>
      <c r="CD58" s="377"/>
      <c r="CE58" s="377"/>
      <c r="CF58" s="377"/>
      <c r="CG58" s="377"/>
      <c r="CH58" s="377"/>
      <c r="CI58" s="377"/>
    </row>
    <row r="59" spans="1:87" ht="94.5" customHeight="1">
      <c r="A59" s="361">
        <f t="shared" si="42"/>
        <v>22</v>
      </c>
      <c r="B59" s="362">
        <f t="shared" si="42"/>
        <v>22</v>
      </c>
      <c r="C59" s="378" t="s">
        <v>1056</v>
      </c>
      <c r="D59" s="379" t="s">
        <v>1057</v>
      </c>
      <c r="E59" s="396" t="s">
        <v>998</v>
      </c>
      <c r="F59" s="362" t="s">
        <v>1005</v>
      </c>
      <c r="G59" s="362"/>
      <c r="H59" s="689" t="s">
        <v>1409</v>
      </c>
      <c r="I59" s="362">
        <v>17697</v>
      </c>
      <c r="J59" s="400">
        <v>10.6</v>
      </c>
      <c r="K59" s="398">
        <f t="shared" si="0"/>
        <v>187588.19999999998</v>
      </c>
      <c r="L59" s="366">
        <v>8</v>
      </c>
      <c r="M59" s="366">
        <v>16</v>
      </c>
      <c r="N59" s="366"/>
      <c r="O59" s="366">
        <v>9</v>
      </c>
      <c r="P59" s="366"/>
      <c r="Q59" s="368">
        <f t="shared" si="12"/>
        <v>33</v>
      </c>
      <c r="R59" s="366">
        <v>1</v>
      </c>
      <c r="S59" s="366">
        <v>2</v>
      </c>
      <c r="T59" s="366"/>
      <c r="U59" s="366"/>
      <c r="V59" s="366"/>
      <c r="W59" s="381">
        <f t="shared" ref="W59:W62" si="43">SUM(R59:V59)</f>
        <v>3</v>
      </c>
      <c r="X59" s="370">
        <f t="shared" si="3"/>
        <v>36</v>
      </c>
      <c r="Y59" s="367">
        <f t="shared" si="4"/>
        <v>422073.44999999995</v>
      </c>
      <c r="Z59" s="367">
        <f t="shared" si="5"/>
        <v>42207.345000000001</v>
      </c>
      <c r="AA59" s="366">
        <v>9</v>
      </c>
      <c r="AB59" s="367">
        <f t="shared" si="6"/>
        <v>3981.8250000000003</v>
      </c>
      <c r="AC59" s="366">
        <v>27</v>
      </c>
      <c r="AD59" s="367">
        <f t="shared" si="7"/>
        <v>5972.7375000000002</v>
      </c>
      <c r="AE59" s="366"/>
      <c r="AF59" s="366"/>
      <c r="AG59" s="367"/>
      <c r="AH59" s="366"/>
      <c r="AI59" s="367"/>
      <c r="AJ59" s="366">
        <f t="shared" si="14"/>
        <v>36</v>
      </c>
      <c r="AK59" s="367">
        <f t="shared" si="15"/>
        <v>15927.300000000001</v>
      </c>
      <c r="AL59" s="366">
        <f t="shared" si="16"/>
        <v>36</v>
      </c>
      <c r="AM59" s="367">
        <f t="shared" si="17"/>
        <v>126622.03499999997</v>
      </c>
      <c r="AN59" s="366" t="str">
        <f t="shared" si="18"/>
        <v>Педагог-зерттеуші</v>
      </c>
      <c r="AO59" s="367" t="str">
        <f t="shared" si="19"/>
        <v>0</v>
      </c>
      <c r="AP59" s="367">
        <f t="shared" si="20"/>
        <v>168829.38</v>
      </c>
      <c r="AQ59" s="367" t="str">
        <f t="shared" si="21"/>
        <v>0</v>
      </c>
      <c r="AR59" s="367" t="str">
        <f t="shared" si="22"/>
        <v>0</v>
      </c>
      <c r="AS59" s="366"/>
      <c r="AT59" s="367"/>
      <c r="AU59" s="371"/>
      <c r="AV59" s="367"/>
      <c r="AW59" s="371">
        <f t="shared" si="23"/>
        <v>0</v>
      </c>
      <c r="AX59" s="372"/>
      <c r="AY59" s="367"/>
      <c r="AZ59" s="367">
        <f t="shared" si="24"/>
        <v>363540.6225</v>
      </c>
      <c r="BA59" s="373">
        <f t="shared" si="25"/>
        <v>785614.07250000001</v>
      </c>
      <c r="BB59" s="374">
        <f t="shared" si="26"/>
        <v>78561.407250000004</v>
      </c>
      <c r="BC59" s="374">
        <f t="shared" si="27"/>
        <v>15712.28145</v>
      </c>
      <c r="BD59" s="374">
        <f t="shared" si="28"/>
        <v>62761.238379999995</v>
      </c>
      <c r="BE59" s="374">
        <f t="shared" si="29"/>
        <v>628579.14541999996</v>
      </c>
      <c r="BF59" s="374">
        <f t="shared" si="30"/>
        <v>9427368.870000001</v>
      </c>
      <c r="BG59" s="374">
        <f t="shared" si="31"/>
        <v>844146.89999999991</v>
      </c>
      <c r="BH59" s="374">
        <f t="shared" si="32"/>
        <v>10271515.770000001</v>
      </c>
      <c r="BI59" s="374">
        <f t="shared" si="33"/>
        <v>462218.20965000009</v>
      </c>
      <c r="BJ59" s="374">
        <f t="shared" si="34"/>
        <v>282821.0661</v>
      </c>
      <c r="BK59" s="374">
        <f t="shared" si="35"/>
        <v>533921.64006600017</v>
      </c>
      <c r="BL59" s="374">
        <f t="shared" si="36"/>
        <v>513575.78850000008</v>
      </c>
      <c r="BM59" s="373">
        <f t="shared" si="37"/>
        <v>12064052.474316001</v>
      </c>
      <c r="BN59" s="375"/>
      <c r="BO59" s="376"/>
      <c r="BP59" s="376"/>
      <c r="BQ59" s="377"/>
      <c r="BR59" s="377"/>
      <c r="BS59" s="377"/>
      <c r="BT59" s="377"/>
      <c r="BU59" s="377"/>
      <c r="BV59" s="377"/>
      <c r="BW59" s="377"/>
      <c r="BX59" s="377"/>
      <c r="BY59" s="377"/>
      <c r="BZ59" s="377"/>
      <c r="CA59" s="377"/>
      <c r="CB59" s="377"/>
      <c r="CC59" s="377"/>
      <c r="CD59" s="377"/>
      <c r="CE59" s="377"/>
      <c r="CF59" s="377"/>
      <c r="CG59" s="377"/>
      <c r="CH59" s="377"/>
      <c r="CI59" s="377"/>
    </row>
    <row r="60" spans="1:87" ht="57.75" customHeight="1">
      <c r="A60" s="361">
        <f t="shared" si="42"/>
        <v>23</v>
      </c>
      <c r="B60" s="362">
        <f t="shared" si="42"/>
        <v>23</v>
      </c>
      <c r="C60" s="378" t="s">
        <v>1058</v>
      </c>
      <c r="D60" s="379" t="s">
        <v>1059</v>
      </c>
      <c r="E60" s="396" t="s">
        <v>998</v>
      </c>
      <c r="F60" s="690"/>
      <c r="G60" s="691"/>
      <c r="H60" s="692" t="s">
        <v>1410</v>
      </c>
      <c r="I60" s="691">
        <v>17697</v>
      </c>
      <c r="J60" s="693">
        <v>10</v>
      </c>
      <c r="K60" s="399">
        <f t="shared" si="0"/>
        <v>176970</v>
      </c>
      <c r="L60" s="366">
        <v>8</v>
      </c>
      <c r="M60" s="366">
        <v>16</v>
      </c>
      <c r="N60" s="366"/>
      <c r="O60" s="366"/>
      <c r="P60" s="366"/>
      <c r="Q60" s="368">
        <f t="shared" si="12"/>
        <v>24</v>
      </c>
      <c r="R60" s="366">
        <v>1</v>
      </c>
      <c r="S60" s="366">
        <v>2</v>
      </c>
      <c r="T60" s="366"/>
      <c r="U60" s="366"/>
      <c r="V60" s="366"/>
      <c r="W60" s="381">
        <f t="shared" si="43"/>
        <v>3</v>
      </c>
      <c r="X60" s="370">
        <f t="shared" si="3"/>
        <v>27</v>
      </c>
      <c r="Y60" s="367">
        <f t="shared" si="4"/>
        <v>298636.875</v>
      </c>
      <c r="Z60" s="367">
        <f t="shared" si="5"/>
        <v>29863.6875</v>
      </c>
      <c r="AA60" s="366">
        <v>9</v>
      </c>
      <c r="AB60" s="367">
        <f t="shared" si="6"/>
        <v>3981.8250000000003</v>
      </c>
      <c r="AC60" s="366">
        <v>18</v>
      </c>
      <c r="AD60" s="367">
        <f t="shared" si="7"/>
        <v>3981.8250000000003</v>
      </c>
      <c r="AE60" s="366"/>
      <c r="AF60" s="366"/>
      <c r="AG60" s="367"/>
      <c r="AH60" s="366"/>
      <c r="AI60" s="367"/>
      <c r="AJ60" s="366">
        <f t="shared" si="14"/>
        <v>27</v>
      </c>
      <c r="AK60" s="367">
        <f t="shared" si="15"/>
        <v>11945.475</v>
      </c>
      <c r="AL60" s="366">
        <f t="shared" si="16"/>
        <v>27</v>
      </c>
      <c r="AM60" s="367">
        <f t="shared" si="17"/>
        <v>89591.0625</v>
      </c>
      <c r="AN60" s="366">
        <f t="shared" si="18"/>
        <v>0</v>
      </c>
      <c r="AO60" s="367" t="str">
        <f t="shared" si="19"/>
        <v>0</v>
      </c>
      <c r="AP60" s="367" t="str">
        <f t="shared" si="20"/>
        <v>0</v>
      </c>
      <c r="AQ60" s="367" t="str">
        <f t="shared" si="21"/>
        <v>0</v>
      </c>
      <c r="AR60" s="367" t="str">
        <f t="shared" si="22"/>
        <v>0</v>
      </c>
      <c r="AS60" s="366"/>
      <c r="AT60" s="367"/>
      <c r="AU60" s="371"/>
      <c r="AV60" s="367"/>
      <c r="AW60" s="371">
        <f t="shared" si="23"/>
        <v>0</v>
      </c>
      <c r="AX60" s="372"/>
      <c r="AY60" s="367"/>
      <c r="AZ60" s="367">
        <f t="shared" si="24"/>
        <v>139363.875</v>
      </c>
      <c r="BA60" s="373">
        <f t="shared" si="25"/>
        <v>438000.75</v>
      </c>
      <c r="BB60" s="374">
        <f t="shared" si="26"/>
        <v>43800.075000000004</v>
      </c>
      <c r="BC60" s="374">
        <f t="shared" si="27"/>
        <v>8760.0149999999994</v>
      </c>
      <c r="BD60" s="374">
        <f t="shared" si="28"/>
        <v>32171.266</v>
      </c>
      <c r="BE60" s="374">
        <f t="shared" si="29"/>
        <v>353269.39399999997</v>
      </c>
      <c r="BF60" s="374">
        <f t="shared" si="30"/>
        <v>5256009</v>
      </c>
      <c r="BG60" s="374">
        <f t="shared" si="31"/>
        <v>597273.75</v>
      </c>
      <c r="BH60" s="374">
        <f t="shared" si="32"/>
        <v>5853282.75</v>
      </c>
      <c r="BI60" s="374">
        <f t="shared" si="33"/>
        <v>263397.72375000006</v>
      </c>
      <c r="BJ60" s="374">
        <f t="shared" si="34"/>
        <v>157680.26999999999</v>
      </c>
      <c r="BK60" s="374">
        <f t="shared" si="35"/>
        <v>304514.04869999998</v>
      </c>
      <c r="BL60" s="374">
        <f t="shared" si="36"/>
        <v>292664.13750000001</v>
      </c>
      <c r="BM60" s="373">
        <f t="shared" si="37"/>
        <v>6871538.9299499998</v>
      </c>
      <c r="BN60" s="375"/>
      <c r="BO60" s="376"/>
      <c r="BP60" s="376"/>
      <c r="BQ60" s="377"/>
      <c r="BR60" s="377"/>
      <c r="BS60" s="377"/>
      <c r="BT60" s="377"/>
      <c r="BU60" s="377"/>
      <c r="BV60" s="377"/>
      <c r="BW60" s="377"/>
      <c r="BX60" s="377"/>
      <c r="BY60" s="377"/>
      <c r="BZ60" s="377"/>
      <c r="CA60" s="377"/>
      <c r="CB60" s="377"/>
      <c r="CC60" s="377"/>
      <c r="CD60" s="377"/>
      <c r="CE60" s="377"/>
      <c r="CF60" s="377"/>
      <c r="CG60" s="377"/>
      <c r="CH60" s="377"/>
      <c r="CI60" s="377"/>
    </row>
    <row r="61" spans="1:87" ht="47.25">
      <c r="A61" s="361">
        <f t="shared" si="42"/>
        <v>24</v>
      </c>
      <c r="B61" s="362">
        <f t="shared" si="42"/>
        <v>24</v>
      </c>
      <c r="C61" s="384" t="s">
        <v>225</v>
      </c>
      <c r="D61" s="379" t="s">
        <v>1060</v>
      </c>
      <c r="E61" s="396" t="s">
        <v>998</v>
      </c>
      <c r="F61" s="362" t="s">
        <v>1011</v>
      </c>
      <c r="G61" s="362" t="s">
        <v>224</v>
      </c>
      <c r="H61" s="397" t="s">
        <v>845</v>
      </c>
      <c r="I61" s="362">
        <v>17697</v>
      </c>
      <c r="J61" s="400">
        <v>10.220000000000001</v>
      </c>
      <c r="K61" s="400">
        <f t="shared" si="0"/>
        <v>180863.34000000003</v>
      </c>
      <c r="L61" s="401"/>
      <c r="M61" s="380"/>
      <c r="N61" s="380"/>
      <c r="O61" s="380"/>
      <c r="P61" s="380">
        <v>9</v>
      </c>
      <c r="Q61" s="368">
        <f t="shared" si="12"/>
        <v>9</v>
      </c>
      <c r="R61" s="380"/>
      <c r="S61" s="380"/>
      <c r="T61" s="380"/>
      <c r="U61" s="380"/>
      <c r="V61" s="380"/>
      <c r="W61" s="381">
        <f t="shared" si="43"/>
        <v>0</v>
      </c>
      <c r="X61" s="370">
        <f t="shared" si="3"/>
        <v>9</v>
      </c>
      <c r="Y61" s="367">
        <f t="shared" si="4"/>
        <v>101735.62875000002</v>
      </c>
      <c r="Z61" s="367"/>
      <c r="AA61" s="366">
        <v>0</v>
      </c>
      <c r="AB61" s="367">
        <f t="shared" si="6"/>
        <v>0</v>
      </c>
      <c r="AC61" s="366">
        <v>9</v>
      </c>
      <c r="AD61" s="367">
        <f t="shared" si="7"/>
        <v>1990.9125000000001</v>
      </c>
      <c r="AE61" s="366"/>
      <c r="AF61" s="366"/>
      <c r="AG61" s="367"/>
      <c r="AH61" s="366"/>
      <c r="AI61" s="367"/>
      <c r="AJ61" s="366">
        <f t="shared" si="14"/>
        <v>9</v>
      </c>
      <c r="AK61" s="367">
        <f t="shared" si="15"/>
        <v>3981.8250000000003</v>
      </c>
      <c r="AL61" s="366">
        <f t="shared" si="16"/>
        <v>9</v>
      </c>
      <c r="AM61" s="367">
        <f t="shared" si="17"/>
        <v>30520.688625000003</v>
      </c>
      <c r="AN61" s="366" t="str">
        <f t="shared" si="18"/>
        <v>Педагог-сарапшы</v>
      </c>
      <c r="AO61" s="367" t="str">
        <f t="shared" si="19"/>
        <v>0</v>
      </c>
      <c r="AP61" s="367" t="str">
        <f t="shared" si="20"/>
        <v>0</v>
      </c>
      <c r="AQ61" s="367">
        <f t="shared" si="21"/>
        <v>35607.470062500004</v>
      </c>
      <c r="AR61" s="367" t="str">
        <f t="shared" si="22"/>
        <v>0</v>
      </c>
      <c r="AS61" s="366"/>
      <c r="AT61" s="367"/>
      <c r="AU61" s="371"/>
      <c r="AV61" s="367"/>
      <c r="AW61" s="371" t="str">
        <f t="shared" si="23"/>
        <v>Магистр-математика</v>
      </c>
      <c r="AX61" s="372">
        <f>10*4552</f>
        <v>45520</v>
      </c>
      <c r="AY61" s="367"/>
      <c r="AZ61" s="367">
        <f t="shared" si="24"/>
        <v>117620.89618750001</v>
      </c>
      <c r="BA61" s="373">
        <f t="shared" si="25"/>
        <v>219356.52493750001</v>
      </c>
      <c r="BB61" s="374">
        <f t="shared" si="26"/>
        <v>21935.652493750003</v>
      </c>
      <c r="BC61" s="374">
        <f t="shared" si="27"/>
        <v>4387.1304987500007</v>
      </c>
      <c r="BD61" s="374">
        <f t="shared" si="28"/>
        <v>12930.574194500003</v>
      </c>
      <c r="BE61" s="374">
        <f t="shared" si="29"/>
        <v>180103.16775050003</v>
      </c>
      <c r="BF61" s="374">
        <f t="shared" si="30"/>
        <v>2632278.2992500002</v>
      </c>
      <c r="BG61" s="374">
        <f t="shared" si="31"/>
        <v>203471.25750000004</v>
      </c>
      <c r="BH61" s="374">
        <f t="shared" si="32"/>
        <v>2835749.55675</v>
      </c>
      <c r="BI61" s="374">
        <f t="shared" si="33"/>
        <v>127608.73005375001</v>
      </c>
      <c r="BJ61" s="374">
        <f t="shared" si="34"/>
        <v>78968.348977500005</v>
      </c>
      <c r="BK61" s="374">
        <f t="shared" si="35"/>
        <v>147339.46380614999</v>
      </c>
      <c r="BL61" s="374">
        <f t="shared" si="36"/>
        <v>141787.47783750002</v>
      </c>
      <c r="BM61" s="373">
        <f t="shared" si="37"/>
        <v>3331453.5774249001</v>
      </c>
      <c r="BN61" s="375">
        <v>1</v>
      </c>
      <c r="BO61" s="376"/>
      <c r="BP61" s="376"/>
      <c r="BQ61" s="377"/>
      <c r="BR61" s="377"/>
      <c r="BS61" s="377"/>
      <c r="BT61" s="377"/>
      <c r="BU61" s="377"/>
      <c r="BV61" s="377"/>
      <c r="BW61" s="377"/>
      <c r="BX61" s="377"/>
      <c r="BY61" s="377"/>
      <c r="BZ61" s="377"/>
      <c r="CA61" s="377"/>
      <c r="CB61" s="377"/>
      <c r="CC61" s="377"/>
      <c r="CD61" s="377"/>
      <c r="CE61" s="377"/>
      <c r="CF61" s="377"/>
      <c r="CG61" s="377"/>
      <c r="CH61" s="377"/>
      <c r="CI61" s="377"/>
    </row>
    <row r="62" spans="1:87" ht="78.75">
      <c r="A62" s="361">
        <f t="shared" si="42"/>
        <v>25</v>
      </c>
      <c r="B62" s="362">
        <f t="shared" si="42"/>
        <v>25</v>
      </c>
      <c r="C62" s="384" t="s">
        <v>189</v>
      </c>
      <c r="D62" s="379" t="s">
        <v>1061</v>
      </c>
      <c r="E62" s="396" t="s">
        <v>998</v>
      </c>
      <c r="F62" s="390" t="s">
        <v>999</v>
      </c>
      <c r="G62" s="362"/>
      <c r="H62" s="397" t="s">
        <v>1411</v>
      </c>
      <c r="I62" s="362">
        <v>17697</v>
      </c>
      <c r="J62" s="400">
        <v>11.02</v>
      </c>
      <c r="K62" s="400">
        <f t="shared" si="0"/>
        <v>195020.94</v>
      </c>
      <c r="L62" s="401"/>
      <c r="M62" s="380">
        <v>24</v>
      </c>
      <c r="N62" s="380"/>
      <c r="O62" s="380"/>
      <c r="P62" s="380">
        <v>9</v>
      </c>
      <c r="Q62" s="368">
        <f t="shared" si="12"/>
        <v>33</v>
      </c>
      <c r="R62" s="380"/>
      <c r="S62" s="380">
        <v>3</v>
      </c>
      <c r="T62" s="380"/>
      <c r="U62" s="380"/>
      <c r="V62" s="380"/>
      <c r="W62" s="381">
        <f t="shared" si="43"/>
        <v>3</v>
      </c>
      <c r="X62" s="370">
        <f t="shared" si="3"/>
        <v>36</v>
      </c>
      <c r="Y62" s="367">
        <f t="shared" si="4"/>
        <v>438797.11499999999</v>
      </c>
      <c r="Z62" s="367">
        <f t="shared" si="5"/>
        <v>43879.711500000005</v>
      </c>
      <c r="AA62" s="366">
        <v>36</v>
      </c>
      <c r="AB62" s="367">
        <f t="shared" si="6"/>
        <v>15927.300000000001</v>
      </c>
      <c r="AC62" s="366">
        <v>0</v>
      </c>
      <c r="AD62" s="367">
        <f t="shared" si="7"/>
        <v>0</v>
      </c>
      <c r="AE62" s="366"/>
      <c r="AF62" s="366"/>
      <c r="AG62" s="367"/>
      <c r="AH62" s="366"/>
      <c r="AI62" s="367"/>
      <c r="AJ62" s="366">
        <f t="shared" si="14"/>
        <v>36</v>
      </c>
      <c r="AK62" s="367">
        <f t="shared" si="15"/>
        <v>15927.300000000001</v>
      </c>
      <c r="AL62" s="366">
        <f t="shared" si="16"/>
        <v>36</v>
      </c>
      <c r="AM62" s="367">
        <f t="shared" si="17"/>
        <v>131639.13449999999</v>
      </c>
      <c r="AN62" s="366" t="str">
        <f t="shared" si="18"/>
        <v>Педагог-шебер</v>
      </c>
      <c r="AO62" s="367">
        <f t="shared" si="19"/>
        <v>219398.5575</v>
      </c>
      <c r="AP62" s="367" t="str">
        <f t="shared" si="20"/>
        <v>0</v>
      </c>
      <c r="AQ62" s="367" t="str">
        <f t="shared" si="21"/>
        <v>0</v>
      </c>
      <c r="AR62" s="367" t="str">
        <f t="shared" si="22"/>
        <v>0</v>
      </c>
      <c r="AS62" s="366"/>
      <c r="AT62" s="367"/>
      <c r="AU62" s="371"/>
      <c r="AV62" s="367"/>
      <c r="AW62" s="371">
        <f t="shared" si="23"/>
        <v>0</v>
      </c>
      <c r="AX62" s="372"/>
      <c r="AY62" s="367"/>
      <c r="AZ62" s="367">
        <f t="shared" si="24"/>
        <v>426772.00349999999</v>
      </c>
      <c r="BA62" s="373">
        <f t="shared" si="25"/>
        <v>865569.11849999998</v>
      </c>
      <c r="BB62" s="374">
        <f t="shared" si="26"/>
        <v>86556.911850000004</v>
      </c>
      <c r="BC62" s="374">
        <f t="shared" si="27"/>
        <v>17311.382369999999</v>
      </c>
      <c r="BD62" s="374">
        <f t="shared" si="28"/>
        <v>69797.282427999991</v>
      </c>
      <c r="BE62" s="374">
        <f t="shared" si="29"/>
        <v>691903.54185199994</v>
      </c>
      <c r="BF62" s="374">
        <f t="shared" si="30"/>
        <v>10386829.422</v>
      </c>
      <c r="BG62" s="374">
        <f t="shared" si="31"/>
        <v>877594.23</v>
      </c>
      <c r="BH62" s="374">
        <f t="shared" si="32"/>
        <v>11264423.652000001</v>
      </c>
      <c r="BI62" s="374">
        <f t="shared" si="33"/>
        <v>506899.06434000004</v>
      </c>
      <c r="BJ62" s="374">
        <f t="shared" si="34"/>
        <v>311604.88266</v>
      </c>
      <c r="BK62" s="374">
        <f t="shared" si="35"/>
        <v>585427.85247960011</v>
      </c>
      <c r="BL62" s="374">
        <f t="shared" si="36"/>
        <v>563221.18260000006</v>
      </c>
      <c r="BM62" s="373">
        <f t="shared" si="37"/>
        <v>13231576.634079602</v>
      </c>
      <c r="BN62" s="375"/>
      <c r="BO62" s="376"/>
      <c r="BP62" s="376"/>
      <c r="BQ62" s="377"/>
      <c r="BR62" s="377"/>
      <c r="BS62" s="377"/>
      <c r="BT62" s="377"/>
      <c r="BU62" s="377"/>
      <c r="BV62" s="377"/>
      <c r="BW62" s="377"/>
      <c r="BX62" s="377"/>
      <c r="BY62" s="377"/>
      <c r="BZ62" s="377"/>
      <c r="CA62" s="377"/>
      <c r="CB62" s="377"/>
      <c r="CC62" s="377"/>
      <c r="CD62" s="377"/>
      <c r="CE62" s="377"/>
      <c r="CF62" s="377"/>
      <c r="CG62" s="377"/>
      <c r="CH62" s="377"/>
      <c r="CI62" s="377"/>
    </row>
    <row r="63" spans="1:87" ht="47.25">
      <c r="A63" s="361">
        <f t="shared" si="42"/>
        <v>26</v>
      </c>
      <c r="B63" s="362">
        <f t="shared" si="42"/>
        <v>26</v>
      </c>
      <c r="C63" s="378" t="s">
        <v>208</v>
      </c>
      <c r="D63" s="379" t="s">
        <v>1062</v>
      </c>
      <c r="E63" s="392" t="s">
        <v>998</v>
      </c>
      <c r="F63" s="390" t="s">
        <v>999</v>
      </c>
      <c r="G63" s="390"/>
      <c r="H63" s="402" t="s">
        <v>1412</v>
      </c>
      <c r="I63" s="390">
        <v>17697</v>
      </c>
      <c r="J63" s="403">
        <v>11.02</v>
      </c>
      <c r="K63" s="403">
        <f t="shared" si="0"/>
        <v>195020.94</v>
      </c>
      <c r="L63" s="380"/>
      <c r="M63" s="380"/>
      <c r="N63" s="380"/>
      <c r="O63" s="380">
        <v>31</v>
      </c>
      <c r="P63" s="380"/>
      <c r="Q63" s="368">
        <f t="shared" si="12"/>
        <v>31</v>
      </c>
      <c r="R63" s="380"/>
      <c r="S63" s="380"/>
      <c r="T63" s="380"/>
      <c r="U63" s="380"/>
      <c r="V63" s="380"/>
      <c r="W63" s="381">
        <f t="shared" si="13"/>
        <v>0</v>
      </c>
      <c r="X63" s="370">
        <f t="shared" si="3"/>
        <v>31</v>
      </c>
      <c r="Y63" s="367">
        <f t="shared" si="4"/>
        <v>377853.07124999998</v>
      </c>
      <c r="Z63" s="367">
        <f t="shared" si="5"/>
        <v>37785.307124999999</v>
      </c>
      <c r="AA63" s="366">
        <v>31</v>
      </c>
      <c r="AB63" s="367">
        <f t="shared" si="6"/>
        <v>13715.175000000001</v>
      </c>
      <c r="AC63" s="366">
        <v>0</v>
      </c>
      <c r="AD63" s="367">
        <f t="shared" si="7"/>
        <v>0</v>
      </c>
      <c r="AE63" s="366"/>
      <c r="AF63" s="366" t="s">
        <v>1063</v>
      </c>
      <c r="AG63" s="367">
        <f t="shared" ref="AG63:AG65" si="44">17697*20%</f>
        <v>3539.4</v>
      </c>
      <c r="AH63" s="366"/>
      <c r="AI63" s="367"/>
      <c r="AJ63" s="366">
        <f t="shared" si="14"/>
        <v>31</v>
      </c>
      <c r="AK63" s="367">
        <f t="shared" si="15"/>
        <v>13715.175000000001</v>
      </c>
      <c r="AL63" s="366">
        <f t="shared" si="16"/>
        <v>31</v>
      </c>
      <c r="AM63" s="367">
        <f t="shared" si="17"/>
        <v>113355.92137499999</v>
      </c>
      <c r="AN63" s="366" t="str">
        <f t="shared" si="18"/>
        <v>Педагог-шебер</v>
      </c>
      <c r="AO63" s="367">
        <f t="shared" si="19"/>
        <v>188926.53562499999</v>
      </c>
      <c r="AP63" s="367" t="str">
        <f t="shared" si="20"/>
        <v>0</v>
      </c>
      <c r="AQ63" s="367" t="str">
        <f t="shared" si="21"/>
        <v>0</v>
      </c>
      <c r="AR63" s="367" t="str">
        <f t="shared" si="22"/>
        <v>0</v>
      </c>
      <c r="AS63" s="366"/>
      <c r="AT63" s="367"/>
      <c r="AU63" s="371"/>
      <c r="AV63" s="367"/>
      <c r="AW63" s="371">
        <f t="shared" si="23"/>
        <v>0</v>
      </c>
      <c r="AX63" s="372"/>
      <c r="AY63" s="367"/>
      <c r="AZ63" s="367">
        <f t="shared" si="24"/>
        <v>371037.51412499999</v>
      </c>
      <c r="BA63" s="373">
        <f t="shared" si="25"/>
        <v>748890.58537500002</v>
      </c>
      <c r="BB63" s="374">
        <f t="shared" si="26"/>
        <v>74889.058537500008</v>
      </c>
      <c r="BC63" s="374">
        <f t="shared" si="27"/>
        <v>14977.811707500001</v>
      </c>
      <c r="BD63" s="374">
        <f t="shared" si="28"/>
        <v>59529.571513000003</v>
      </c>
      <c r="BE63" s="374">
        <f t="shared" si="29"/>
        <v>599494.14361699997</v>
      </c>
      <c r="BF63" s="374">
        <f t="shared" si="30"/>
        <v>8986687.0245000012</v>
      </c>
      <c r="BG63" s="374">
        <f t="shared" si="31"/>
        <v>755706.14249999996</v>
      </c>
      <c r="BH63" s="374">
        <f t="shared" si="32"/>
        <v>9742393.1670000013</v>
      </c>
      <c r="BI63" s="374">
        <f t="shared" si="33"/>
        <v>438407.69251500006</v>
      </c>
      <c r="BJ63" s="374">
        <f t="shared" si="34"/>
        <v>269600.61073500005</v>
      </c>
      <c r="BK63" s="374">
        <f t="shared" si="35"/>
        <v>506318.51956410002</v>
      </c>
      <c r="BL63" s="374">
        <f t="shared" si="36"/>
        <v>487119.6583500001</v>
      </c>
      <c r="BM63" s="373">
        <f t="shared" si="37"/>
        <v>11443839.648164101</v>
      </c>
      <c r="BN63" s="375"/>
      <c r="BO63" s="376"/>
      <c r="BP63" s="376"/>
      <c r="BQ63" s="377"/>
      <c r="BR63" s="377"/>
      <c r="BS63" s="377"/>
      <c r="BT63" s="377"/>
      <c r="BU63" s="377"/>
      <c r="BV63" s="377"/>
      <c r="BW63" s="377"/>
      <c r="BX63" s="377"/>
      <c r="BY63" s="377"/>
      <c r="BZ63" s="377"/>
      <c r="CA63" s="377"/>
      <c r="CB63" s="377"/>
      <c r="CC63" s="377"/>
      <c r="CD63" s="377"/>
      <c r="CE63" s="377"/>
      <c r="CF63" s="377"/>
      <c r="CG63" s="377"/>
      <c r="CH63" s="377"/>
      <c r="CI63" s="377"/>
    </row>
    <row r="64" spans="1:87" ht="60">
      <c r="A64" s="361">
        <f t="shared" si="42"/>
        <v>27</v>
      </c>
      <c r="B64" s="362">
        <f t="shared" si="42"/>
        <v>27</v>
      </c>
      <c r="C64" s="378" t="s">
        <v>200</v>
      </c>
      <c r="D64" s="379" t="s">
        <v>1064</v>
      </c>
      <c r="E64" s="404" t="s">
        <v>998</v>
      </c>
      <c r="F64" s="394" t="s">
        <v>999</v>
      </c>
      <c r="G64" s="394" t="s">
        <v>229</v>
      </c>
      <c r="H64" s="395" t="s">
        <v>1065</v>
      </c>
      <c r="I64" s="394">
        <v>17697</v>
      </c>
      <c r="J64" s="367">
        <v>11.4</v>
      </c>
      <c r="K64" s="367">
        <f t="shared" si="0"/>
        <v>201745.80000000002</v>
      </c>
      <c r="L64" s="380"/>
      <c r="M64" s="380"/>
      <c r="N64" s="380"/>
      <c r="O64" s="380">
        <v>18</v>
      </c>
      <c r="P64" s="380"/>
      <c r="Q64" s="368">
        <f t="shared" si="12"/>
        <v>18</v>
      </c>
      <c r="R64" s="380"/>
      <c r="S64" s="380"/>
      <c r="T64" s="380"/>
      <c r="U64" s="380"/>
      <c r="V64" s="380"/>
      <c r="W64" s="381">
        <f t="shared" si="13"/>
        <v>0</v>
      </c>
      <c r="X64" s="370">
        <f t="shared" si="3"/>
        <v>18</v>
      </c>
      <c r="Y64" s="367">
        <f t="shared" si="4"/>
        <v>226964.02500000002</v>
      </c>
      <c r="Z64" s="367">
        <f t="shared" si="5"/>
        <v>22696.402500000004</v>
      </c>
      <c r="AA64" s="366">
        <v>9</v>
      </c>
      <c r="AB64" s="367">
        <f t="shared" si="6"/>
        <v>3981.8250000000003</v>
      </c>
      <c r="AC64" s="366">
        <v>9</v>
      </c>
      <c r="AD64" s="367">
        <f t="shared" si="7"/>
        <v>1990.9125000000001</v>
      </c>
      <c r="AE64" s="366"/>
      <c r="AF64" s="366"/>
      <c r="AG64" s="367"/>
      <c r="AH64" s="366"/>
      <c r="AI64" s="367"/>
      <c r="AJ64" s="366">
        <f t="shared" si="14"/>
        <v>18</v>
      </c>
      <c r="AK64" s="367">
        <f t="shared" si="15"/>
        <v>7963.6500000000005</v>
      </c>
      <c r="AL64" s="366">
        <f t="shared" si="16"/>
        <v>18</v>
      </c>
      <c r="AM64" s="367">
        <f t="shared" si="17"/>
        <v>68089.207500000004</v>
      </c>
      <c r="AN64" s="366" t="str">
        <f t="shared" si="18"/>
        <v>Педагог-шебер</v>
      </c>
      <c r="AO64" s="367">
        <f t="shared" si="19"/>
        <v>113482.01250000001</v>
      </c>
      <c r="AP64" s="367" t="str">
        <f t="shared" si="20"/>
        <v>0</v>
      </c>
      <c r="AQ64" s="367" t="str">
        <f t="shared" si="21"/>
        <v>0</v>
      </c>
      <c r="AR64" s="367" t="str">
        <f t="shared" si="22"/>
        <v>0</v>
      </c>
      <c r="AS64" s="366"/>
      <c r="AT64" s="367"/>
      <c r="AU64" s="371"/>
      <c r="AV64" s="367"/>
      <c r="AW64" s="371" t="str">
        <f t="shared" si="23"/>
        <v>Магистр-информационные системы</v>
      </c>
      <c r="AX64" s="372">
        <f>10*4552</f>
        <v>45520</v>
      </c>
      <c r="AY64" s="367"/>
      <c r="AZ64" s="367">
        <f t="shared" si="24"/>
        <v>263724.01</v>
      </c>
      <c r="BA64" s="373">
        <f t="shared" si="25"/>
        <v>490688.03500000003</v>
      </c>
      <c r="BB64" s="374">
        <f t="shared" si="26"/>
        <v>49068.803500000009</v>
      </c>
      <c r="BC64" s="374">
        <f t="shared" si="27"/>
        <v>9813.7607000000007</v>
      </c>
      <c r="BD64" s="374">
        <f t="shared" si="28"/>
        <v>36807.747080000001</v>
      </c>
      <c r="BE64" s="374">
        <f t="shared" si="29"/>
        <v>394997.72372000001</v>
      </c>
      <c r="BF64" s="374">
        <f t="shared" si="30"/>
        <v>5888256.4199999999</v>
      </c>
      <c r="BG64" s="374">
        <f t="shared" si="31"/>
        <v>453928.05000000005</v>
      </c>
      <c r="BH64" s="374">
        <f t="shared" si="32"/>
        <v>6342184.4699999997</v>
      </c>
      <c r="BI64" s="374">
        <f t="shared" si="33"/>
        <v>285398.30115000001</v>
      </c>
      <c r="BJ64" s="374">
        <f t="shared" si="34"/>
        <v>176647.69259999998</v>
      </c>
      <c r="BK64" s="374">
        <f t="shared" si="35"/>
        <v>329523.79725600005</v>
      </c>
      <c r="BL64" s="374">
        <f t="shared" si="36"/>
        <v>317109.22350000002</v>
      </c>
      <c r="BM64" s="373">
        <f t="shared" si="37"/>
        <v>7450863.4845059998</v>
      </c>
      <c r="BN64" s="375"/>
      <c r="BO64" s="376"/>
      <c r="BP64" s="376"/>
      <c r="BQ64" s="377"/>
      <c r="BR64" s="377"/>
      <c r="BS64" s="377"/>
      <c r="BT64" s="377"/>
      <c r="BU64" s="377"/>
      <c r="BV64" s="377"/>
      <c r="BW64" s="377"/>
      <c r="BX64" s="377"/>
      <c r="BY64" s="377"/>
      <c r="BZ64" s="377"/>
      <c r="CA64" s="377"/>
      <c r="CB64" s="377"/>
      <c r="CC64" s="377"/>
      <c r="CD64" s="377"/>
      <c r="CE64" s="377"/>
      <c r="CF64" s="377"/>
      <c r="CG64" s="377"/>
      <c r="CH64" s="377"/>
      <c r="CI64" s="377"/>
    </row>
    <row r="65" spans="1:87" ht="75">
      <c r="A65" s="361">
        <f t="shared" si="42"/>
        <v>28</v>
      </c>
      <c r="B65" s="362">
        <f t="shared" si="42"/>
        <v>28</v>
      </c>
      <c r="C65" s="405" t="s">
        <v>1066</v>
      </c>
      <c r="D65" s="364" t="s">
        <v>1067</v>
      </c>
      <c r="E65" s="694" t="s">
        <v>998</v>
      </c>
      <c r="F65" s="362" t="s">
        <v>1011</v>
      </c>
      <c r="G65" s="406" t="s">
        <v>1068</v>
      </c>
      <c r="H65" s="397" t="s">
        <v>1413</v>
      </c>
      <c r="I65" s="362">
        <v>17697</v>
      </c>
      <c r="J65" s="398">
        <v>10.6</v>
      </c>
      <c r="K65" s="367">
        <f t="shared" si="0"/>
        <v>187588.19999999998</v>
      </c>
      <c r="L65" s="380">
        <v>24</v>
      </c>
      <c r="M65" s="380"/>
      <c r="N65" s="380"/>
      <c r="O65" s="380"/>
      <c r="P65" s="380"/>
      <c r="Q65" s="368">
        <f t="shared" si="12"/>
        <v>24</v>
      </c>
      <c r="R65" s="380">
        <v>3</v>
      </c>
      <c r="S65" s="380"/>
      <c r="T65" s="380"/>
      <c r="U65" s="380"/>
      <c r="V65" s="380"/>
      <c r="W65" s="381">
        <f t="shared" si="13"/>
        <v>3</v>
      </c>
      <c r="X65" s="370">
        <f t="shared" si="3"/>
        <v>27</v>
      </c>
      <c r="Y65" s="367">
        <f t="shared" si="4"/>
        <v>316555.08749999997</v>
      </c>
      <c r="Z65" s="367">
        <f t="shared" si="5"/>
        <v>31655.508749999997</v>
      </c>
      <c r="AA65" s="366">
        <v>0</v>
      </c>
      <c r="AB65" s="367">
        <f t="shared" si="6"/>
        <v>0</v>
      </c>
      <c r="AC65" s="366">
        <v>27</v>
      </c>
      <c r="AD65" s="367">
        <f t="shared" si="7"/>
        <v>5972.7375000000002</v>
      </c>
      <c r="AE65" s="366"/>
      <c r="AF65" s="366" t="s">
        <v>274</v>
      </c>
      <c r="AG65" s="367">
        <f t="shared" si="44"/>
        <v>3539.4</v>
      </c>
      <c r="AH65" s="366" t="s">
        <v>1069</v>
      </c>
      <c r="AI65" s="367">
        <f>I65*200%</f>
        <v>35394</v>
      </c>
      <c r="AJ65" s="366">
        <f t="shared" si="14"/>
        <v>27</v>
      </c>
      <c r="AK65" s="367">
        <f t="shared" si="15"/>
        <v>11945.475</v>
      </c>
      <c r="AL65" s="366">
        <f t="shared" si="16"/>
        <v>27</v>
      </c>
      <c r="AM65" s="367">
        <f t="shared" si="17"/>
        <v>94966.526249999981</v>
      </c>
      <c r="AN65" s="366" t="str">
        <f t="shared" si="18"/>
        <v>Педагог-сарапшы</v>
      </c>
      <c r="AO65" s="367" t="str">
        <f t="shared" si="19"/>
        <v>0</v>
      </c>
      <c r="AP65" s="367" t="str">
        <f t="shared" si="20"/>
        <v>0</v>
      </c>
      <c r="AQ65" s="367">
        <f t="shared" si="21"/>
        <v>110794.28062499998</v>
      </c>
      <c r="AR65" s="367" t="str">
        <f t="shared" si="22"/>
        <v>0</v>
      </c>
      <c r="AS65" s="366"/>
      <c r="AT65" s="367"/>
      <c r="AU65" s="371"/>
      <c r="AV65" s="367"/>
      <c r="AW65" s="371" t="str">
        <f t="shared" si="23"/>
        <v>Магистр-матем. и комп. моделирование</v>
      </c>
      <c r="AX65" s="372">
        <f>10*4552</f>
        <v>45520</v>
      </c>
      <c r="AY65" s="367"/>
      <c r="AZ65" s="367">
        <f t="shared" si="24"/>
        <v>339787.92812499998</v>
      </c>
      <c r="BA65" s="373">
        <f t="shared" si="25"/>
        <v>656343.015625</v>
      </c>
      <c r="BB65" s="374">
        <f t="shared" si="26"/>
        <v>65634.301562499997</v>
      </c>
      <c r="BC65" s="374">
        <f t="shared" si="27"/>
        <v>13126.860312500001</v>
      </c>
      <c r="BD65" s="374">
        <f t="shared" si="28"/>
        <v>51385.385375000005</v>
      </c>
      <c r="BE65" s="374">
        <f t="shared" si="29"/>
        <v>526196.46837500005</v>
      </c>
      <c r="BF65" s="374">
        <f t="shared" si="30"/>
        <v>7876116.1875</v>
      </c>
      <c r="BG65" s="374">
        <f t="shared" si="31"/>
        <v>633110.17499999993</v>
      </c>
      <c r="BH65" s="374">
        <f t="shared" si="32"/>
        <v>8509226.3625000007</v>
      </c>
      <c r="BI65" s="374">
        <f t="shared" si="33"/>
        <v>382915.1863125001</v>
      </c>
      <c r="BJ65" s="374">
        <f t="shared" si="34"/>
        <v>236283.485625</v>
      </c>
      <c r="BK65" s="374">
        <f t="shared" si="35"/>
        <v>442170.76796250005</v>
      </c>
      <c r="BL65" s="374">
        <f t="shared" si="36"/>
        <v>425461.31812500005</v>
      </c>
      <c r="BM65" s="373">
        <f t="shared" si="37"/>
        <v>9996057.1205250025</v>
      </c>
      <c r="BN65" s="375"/>
      <c r="BO65" s="376"/>
      <c r="BP65" s="376"/>
      <c r="BQ65" s="377"/>
      <c r="BR65" s="377"/>
      <c r="BS65" s="377"/>
      <c r="BT65" s="377"/>
      <c r="BU65" s="377"/>
      <c r="BV65" s="377"/>
      <c r="BW65" s="377"/>
      <c r="BX65" s="377"/>
      <c r="BY65" s="377"/>
      <c r="BZ65" s="377"/>
      <c r="CA65" s="377"/>
      <c r="CB65" s="377"/>
      <c r="CC65" s="377"/>
      <c r="CD65" s="377"/>
      <c r="CE65" s="377"/>
      <c r="CF65" s="377"/>
      <c r="CG65" s="377"/>
      <c r="CH65" s="377"/>
      <c r="CI65" s="377"/>
    </row>
    <row r="66" spans="1:87" ht="15">
      <c r="A66" s="1520"/>
      <c r="B66" s="1521"/>
      <c r="C66" s="1520" t="s">
        <v>2</v>
      </c>
      <c r="D66" s="1522"/>
      <c r="E66" s="1522"/>
      <c r="F66" s="1522"/>
      <c r="G66" s="1522"/>
      <c r="H66" s="1522"/>
      <c r="I66" s="1522"/>
      <c r="J66" s="1508"/>
      <c r="K66" s="407">
        <f>SUM(K14:K65)</f>
        <v>9750693.0599999949</v>
      </c>
      <c r="L66" s="407">
        <f t="shared" ref="L66:BN66" si="45">SUM(L14:L65)</f>
        <v>240</v>
      </c>
      <c r="M66" s="407">
        <f t="shared" si="45"/>
        <v>244</v>
      </c>
      <c r="N66" s="407">
        <f t="shared" si="45"/>
        <v>216</v>
      </c>
      <c r="O66" s="407">
        <f t="shared" si="45"/>
        <v>319</v>
      </c>
      <c r="P66" s="407">
        <f t="shared" si="45"/>
        <v>279</v>
      </c>
      <c r="Q66" s="407">
        <f t="shared" si="45"/>
        <v>1298</v>
      </c>
      <c r="R66" s="407">
        <f t="shared" si="45"/>
        <v>75</v>
      </c>
      <c r="S66" s="407">
        <f t="shared" si="45"/>
        <v>46</v>
      </c>
      <c r="T66" s="407">
        <f t="shared" si="45"/>
        <v>29</v>
      </c>
      <c r="U66" s="407">
        <f t="shared" si="45"/>
        <v>37</v>
      </c>
      <c r="V66" s="407">
        <f t="shared" si="45"/>
        <v>7</v>
      </c>
      <c r="W66" s="407">
        <f t="shared" si="45"/>
        <v>194</v>
      </c>
      <c r="X66" s="407">
        <f t="shared" si="45"/>
        <v>1492</v>
      </c>
      <c r="Y66" s="407">
        <f t="shared" si="45"/>
        <v>17470920.825000003</v>
      </c>
      <c r="Z66" s="407">
        <f t="shared" si="45"/>
        <v>1736918.519625</v>
      </c>
      <c r="AA66" s="407">
        <f t="shared" si="45"/>
        <v>831</v>
      </c>
      <c r="AB66" s="407">
        <f t="shared" si="45"/>
        <v>367655.17500000005</v>
      </c>
      <c r="AC66" s="407">
        <f t="shared" si="45"/>
        <v>576</v>
      </c>
      <c r="AD66" s="407">
        <f t="shared" si="45"/>
        <v>127418.4</v>
      </c>
      <c r="AE66" s="407">
        <f t="shared" si="45"/>
        <v>246600</v>
      </c>
      <c r="AF66" s="407">
        <f t="shared" si="45"/>
        <v>2047</v>
      </c>
      <c r="AG66" s="407">
        <f t="shared" si="45"/>
        <v>84945.599999999991</v>
      </c>
      <c r="AH66" s="407">
        <f t="shared" si="45"/>
        <v>0</v>
      </c>
      <c r="AI66" s="407">
        <f t="shared" si="45"/>
        <v>247758</v>
      </c>
      <c r="AJ66" s="407">
        <f t="shared" si="45"/>
        <v>817</v>
      </c>
      <c r="AK66" s="407">
        <f t="shared" si="45"/>
        <v>361461.22499999992</v>
      </c>
      <c r="AL66" s="407">
        <f t="shared" si="45"/>
        <v>1492</v>
      </c>
      <c r="AM66" s="407">
        <f t="shared" si="45"/>
        <v>5241276.2474999987</v>
      </c>
      <c r="AN66" s="407">
        <f t="shared" si="45"/>
        <v>0</v>
      </c>
      <c r="AO66" s="407">
        <f t="shared" si="45"/>
        <v>2738323.1737500005</v>
      </c>
      <c r="AP66" s="407">
        <f t="shared" si="45"/>
        <v>1203307.5150000001</v>
      </c>
      <c r="AQ66" s="407">
        <f t="shared" si="45"/>
        <v>570997.02318749996</v>
      </c>
      <c r="AR66" s="407">
        <f t="shared" si="45"/>
        <v>1058780.5402500003</v>
      </c>
      <c r="AS66" s="407">
        <f t="shared" si="45"/>
        <v>0</v>
      </c>
      <c r="AT66" s="407">
        <f t="shared" si="45"/>
        <v>0</v>
      </c>
      <c r="AU66" s="407">
        <f t="shared" si="45"/>
        <v>0</v>
      </c>
      <c r="AV66" s="407">
        <f t="shared" si="45"/>
        <v>0</v>
      </c>
      <c r="AW66" s="407">
        <f t="shared" si="45"/>
        <v>0</v>
      </c>
      <c r="AX66" s="407">
        <f t="shared" si="45"/>
        <v>819360</v>
      </c>
      <c r="AY66" s="407">
        <f t="shared" si="45"/>
        <v>53091</v>
      </c>
      <c r="AZ66" s="407">
        <f t="shared" si="45"/>
        <v>14857892.419312499</v>
      </c>
      <c r="BA66" s="407">
        <f t="shared" si="45"/>
        <v>32328813.244312506</v>
      </c>
      <c r="BB66" s="407">
        <f t="shared" si="45"/>
        <v>3232881.3244312499</v>
      </c>
      <c r="BC66" s="407">
        <f t="shared" si="45"/>
        <v>646576.26488625002</v>
      </c>
      <c r="BD66" s="407">
        <f t="shared" si="45"/>
        <v>2513549.9654995007</v>
      </c>
      <c r="BE66" s="407">
        <f t="shared" si="45"/>
        <v>25935805.689495504</v>
      </c>
      <c r="BF66" s="407">
        <f t="shared" si="45"/>
        <v>387945758.93175006</v>
      </c>
      <c r="BG66" s="407">
        <f t="shared" si="45"/>
        <v>27002591.388750009</v>
      </c>
      <c r="BH66" s="407">
        <f t="shared" si="45"/>
        <v>414948350.32050002</v>
      </c>
      <c r="BI66" s="407">
        <f t="shared" si="45"/>
        <v>18672675.764422502</v>
      </c>
      <c r="BJ66" s="407">
        <f t="shared" si="45"/>
        <v>11638372.767952504</v>
      </c>
      <c r="BK66" s="407">
        <f t="shared" si="45"/>
        <v>21553730.24765715</v>
      </c>
      <c r="BL66" s="407">
        <f t="shared" si="45"/>
        <v>20747417.516024996</v>
      </c>
      <c r="BM66" s="407">
        <f t="shared" si="45"/>
        <v>487560546.61655724</v>
      </c>
      <c r="BN66" s="407">
        <f t="shared" si="45"/>
        <v>1.75</v>
      </c>
      <c r="BO66" s="408"/>
      <c r="BP66" s="355"/>
      <c r="BQ66" s="355"/>
      <c r="BR66" s="355"/>
      <c r="BS66" s="355"/>
      <c r="BT66" s="355"/>
      <c r="BU66" s="355"/>
      <c r="BV66" s="355"/>
      <c r="BW66" s="355"/>
      <c r="BX66" s="355"/>
      <c r="BY66" s="355"/>
      <c r="BZ66" s="355"/>
      <c r="CA66" s="355"/>
      <c r="CB66" s="355"/>
      <c r="CC66" s="355"/>
      <c r="CD66" s="355"/>
      <c r="CE66" s="355"/>
      <c r="CF66" s="355"/>
      <c r="CG66" s="355"/>
      <c r="CH66" s="355"/>
      <c r="CI66" s="356"/>
    </row>
    <row r="67" spans="1:87" ht="141.75">
      <c r="A67" s="366">
        <f>A65+1</f>
        <v>29</v>
      </c>
      <c r="B67" s="366">
        <v>1</v>
      </c>
      <c r="C67" s="409" t="s">
        <v>217</v>
      </c>
      <c r="D67" s="410" t="s">
        <v>1070</v>
      </c>
      <c r="E67" s="366" t="s">
        <v>998</v>
      </c>
      <c r="F67" s="366" t="s">
        <v>254</v>
      </c>
      <c r="G67" s="366" t="s">
        <v>227</v>
      </c>
      <c r="H67" s="371" t="s">
        <v>1414</v>
      </c>
      <c r="I67" s="366">
        <v>17697</v>
      </c>
      <c r="J67" s="367">
        <v>10.82</v>
      </c>
      <c r="K67" s="367">
        <f t="shared" ref="K67:K85" si="46">I67*J67</f>
        <v>191481.54</v>
      </c>
      <c r="L67" s="380"/>
      <c r="M67" s="380"/>
      <c r="N67" s="380">
        <v>4</v>
      </c>
      <c r="O67" s="380">
        <v>16</v>
      </c>
      <c r="P67" s="380"/>
      <c r="Q67" s="368">
        <f t="shared" ref="Q67:Q85" si="47">SUM(L67:P67)</f>
        <v>20</v>
      </c>
      <c r="R67" s="411">
        <v>6</v>
      </c>
      <c r="S67" s="411"/>
      <c r="T67" s="411">
        <v>10</v>
      </c>
      <c r="U67" s="411"/>
      <c r="V67" s="411"/>
      <c r="W67" s="381">
        <f t="shared" ref="W67:W85" si="48">SUM(R67:V67)</f>
        <v>16</v>
      </c>
      <c r="X67" s="370">
        <f t="shared" ref="X67:X85" si="49">Q67+W67</f>
        <v>36</v>
      </c>
      <c r="Y67" s="367">
        <f t="shared" ref="Y67:Y85" si="50">K67/16*X67</f>
        <v>430833.46500000003</v>
      </c>
      <c r="Z67" s="367">
        <f t="shared" ref="Z67:Z85" si="51">Y67*10%</f>
        <v>43083.346500000007</v>
      </c>
      <c r="AA67" s="366">
        <v>21</v>
      </c>
      <c r="AB67" s="367">
        <f t="shared" ref="AB67:AB85" si="52">I67/16*AA67*40%</f>
        <v>9290.9250000000011</v>
      </c>
      <c r="AC67" s="366">
        <v>0</v>
      </c>
      <c r="AD67" s="367">
        <f t="shared" ref="AD67:AD85" si="53">I67/16*AC67*40%*50%</f>
        <v>0</v>
      </c>
      <c r="AE67" s="366">
        <v>196600</v>
      </c>
      <c r="AF67" s="366"/>
      <c r="AG67" s="367"/>
      <c r="AH67" s="366"/>
      <c r="AI67" s="367"/>
      <c r="AJ67" s="366">
        <f t="shared" ref="AJ67:AJ85" si="54">X67</f>
        <v>36</v>
      </c>
      <c r="AK67" s="367">
        <f t="shared" ref="AK67:AK85" si="55">I67/16*AJ67*40%</f>
        <v>15927.300000000001</v>
      </c>
      <c r="AL67" s="366">
        <f t="shared" ref="AL67:AL85" si="56">X67</f>
        <v>36</v>
      </c>
      <c r="AM67" s="367">
        <f t="shared" ref="AM67:AM85" si="57">K67/16*AL67*30%</f>
        <v>129250.0395</v>
      </c>
      <c r="AN67" s="366" t="str">
        <f t="shared" ref="AN67:AN81" si="58">F67</f>
        <v>Педагог-модератор</v>
      </c>
      <c r="AO67" s="367" t="str">
        <f t="shared" ref="AO67:AO85" si="59">IF(AN67="Педагог-зерттеуші", "0", IF(AN67="Педагог-шебер",K67/16*X67*50%, IF(AN67="Педагог-сарапшы", "0", IF(AN67="Педагог-модератор", "0", "0"))))</f>
        <v>0</v>
      </c>
      <c r="AP67" s="367" t="str">
        <f t="shared" ref="AP67:AP85" si="60">IF(AN67="Педагог-шебер", "0", IF(AN67="Педагог-зерттеуші",K67/16*X67*40%, IF(AN67="Педагог-сарапшы", "0", IF(AN67="Педагог-модератор", "0", "0"))))</f>
        <v>0</v>
      </c>
      <c r="AQ67" s="367" t="str">
        <f t="shared" ref="AQ67:AQ85" si="61">IF(AN67="Педагог-шебер", "0", IF(AN67="Педагог-сарапшы",K67/16*X67*35%, IF(AN67="Педагог-зерттеуші", "0", IF(AN67="Педагог-модератор", "0", "0"))))</f>
        <v>0</v>
      </c>
      <c r="AR67" s="367">
        <f t="shared" ref="AR67:AR85" si="62">IF(AN67="Педагог-шебер", "0", IF(AN67="Педагог-модератор",K67/16*X67*30%, IF(AN67="Педагог-зерттеуші", "0", IF(AN67="Педагог-сарапшы", "0", "0"))))</f>
        <v>129250.0395</v>
      </c>
      <c r="AS67" s="366"/>
      <c r="AT67" s="367"/>
      <c r="AU67" s="371"/>
      <c r="AV67" s="367"/>
      <c r="AW67" s="371" t="str">
        <f>G67</f>
        <v>Магистр-техническая физика</v>
      </c>
      <c r="AX67" s="372">
        <f>10*4552</f>
        <v>45520</v>
      </c>
      <c r="AY67" s="367"/>
      <c r="AZ67" s="367">
        <f t="shared" ref="AZ67:AZ85" si="63">Z67+AB67+AD67+AE67+AG67+AI67+AK67+AM67+AO67+AP67+AQ67++AR67+AT67+AV67+AX67+AY67</f>
        <v>568921.65049999999</v>
      </c>
      <c r="BA67" s="373">
        <f t="shared" ref="BA67:BA85" si="64">Y67+AZ67</f>
        <v>999755.11550000007</v>
      </c>
      <c r="BB67" s="374">
        <f t="shared" ref="BB67:BB122" si="65">BA67*10%</f>
        <v>99975.51155000001</v>
      </c>
      <c r="BC67" s="374">
        <f t="shared" ref="BC67:BC122" si="66">BA67*2%</f>
        <v>19995.102310000002</v>
      </c>
      <c r="BD67" s="374">
        <f t="shared" ref="BD67:BD85" si="67">(BA67-BB67-BC67-(14*4552))*10%</f>
        <v>81605.650164000006</v>
      </c>
      <c r="BE67" s="374">
        <f t="shared" ref="BE67:BE122" si="68">BA67-BB67-BC67-BD67</f>
        <v>798178.85147600004</v>
      </c>
      <c r="BF67" s="374">
        <f t="shared" ref="BF67:BF122" si="69">BA67*12</f>
        <v>11997061.386</v>
      </c>
      <c r="BG67" s="374">
        <f t="shared" ref="BG67:BG85" si="70">Y67*2</f>
        <v>861666.93</v>
      </c>
      <c r="BH67" s="374">
        <f t="shared" ref="BH67:BH122" si="71">BF67+BG67</f>
        <v>12858728.316</v>
      </c>
      <c r="BI67" s="374">
        <f t="shared" ref="BI67:BI122" si="72">BH67*0.9*5%</f>
        <v>578642.77422000002</v>
      </c>
      <c r="BJ67" s="374">
        <f t="shared" ref="BJ67:BJ122" si="73">BF67*3%</f>
        <v>359911.84158000001</v>
      </c>
      <c r="BK67" s="374">
        <f t="shared" ref="BK67:BK122" si="74">(BH67*0.9-(BC67*12))*11%-BI67</f>
        <v>667977.79401480011</v>
      </c>
      <c r="BL67" s="374">
        <f t="shared" ref="BL67:BL85" si="75">BH67*5%</f>
        <v>642936.41580000008</v>
      </c>
      <c r="BM67" s="373">
        <f t="shared" ref="BM67:BM130" si="76">BH67+BI67+BJ67+BK67+BL67</f>
        <v>15108197.1416148</v>
      </c>
      <c r="BN67" s="385">
        <v>0.25</v>
      </c>
      <c r="BO67" s="377"/>
      <c r="BP67" s="377"/>
      <c r="BQ67" s="377"/>
      <c r="BR67" s="377"/>
      <c r="BS67" s="377"/>
      <c r="BT67" s="377"/>
      <c r="BU67" s="377"/>
      <c r="BV67" s="377"/>
      <c r="BW67" s="377"/>
      <c r="BX67" s="377"/>
      <c r="BY67" s="377"/>
      <c r="BZ67" s="377"/>
      <c r="CA67" s="377"/>
      <c r="CB67" s="377"/>
      <c r="CC67" s="377"/>
      <c r="CD67" s="377"/>
      <c r="CE67" s="377"/>
      <c r="CF67" s="377"/>
      <c r="CG67" s="377"/>
      <c r="CH67" s="377"/>
      <c r="CI67" s="377"/>
    </row>
    <row r="68" spans="1:87" ht="30">
      <c r="A68" s="366">
        <f t="shared" ref="A68:B83" si="77">A67+1</f>
        <v>30</v>
      </c>
      <c r="B68" s="366">
        <f t="shared" si="77"/>
        <v>2</v>
      </c>
      <c r="C68" s="409" t="s">
        <v>210</v>
      </c>
      <c r="D68" s="412" t="s">
        <v>1071</v>
      </c>
      <c r="E68" s="366" t="s">
        <v>998</v>
      </c>
      <c r="F68" s="366" t="s">
        <v>999</v>
      </c>
      <c r="G68" s="366"/>
      <c r="H68" s="371" t="s">
        <v>1072</v>
      </c>
      <c r="I68" s="366">
        <v>17697</v>
      </c>
      <c r="J68" s="367">
        <v>11.4</v>
      </c>
      <c r="K68" s="367">
        <f t="shared" si="46"/>
        <v>201745.80000000002</v>
      </c>
      <c r="L68" s="380"/>
      <c r="M68" s="380"/>
      <c r="N68" s="380"/>
      <c r="O68" s="380"/>
      <c r="P68" s="380">
        <v>16</v>
      </c>
      <c r="Q68" s="368">
        <f t="shared" si="47"/>
        <v>16</v>
      </c>
      <c r="R68" s="411"/>
      <c r="S68" s="411"/>
      <c r="T68" s="411"/>
      <c r="U68" s="411"/>
      <c r="V68" s="411"/>
      <c r="W68" s="381">
        <f t="shared" si="48"/>
        <v>0</v>
      </c>
      <c r="X68" s="370">
        <f t="shared" si="49"/>
        <v>16</v>
      </c>
      <c r="Y68" s="367">
        <f t="shared" si="50"/>
        <v>201745.80000000002</v>
      </c>
      <c r="Z68" s="367">
        <f t="shared" si="51"/>
        <v>20174.580000000002</v>
      </c>
      <c r="AA68" s="366">
        <v>12</v>
      </c>
      <c r="AB68" s="367">
        <f t="shared" si="52"/>
        <v>5309.1</v>
      </c>
      <c r="AC68" s="366">
        <v>4</v>
      </c>
      <c r="AD68" s="367">
        <f t="shared" si="53"/>
        <v>884.85</v>
      </c>
      <c r="AE68" s="380"/>
      <c r="AF68" s="366" t="s">
        <v>1073</v>
      </c>
      <c r="AG68" s="367">
        <f t="shared" ref="AG68:AG71" si="78">17697*20%</f>
        <v>3539.4</v>
      </c>
      <c r="AH68" s="366"/>
      <c r="AI68" s="367"/>
      <c r="AJ68" s="366">
        <f t="shared" si="54"/>
        <v>16</v>
      </c>
      <c r="AK68" s="367">
        <f t="shared" si="55"/>
        <v>7078.8</v>
      </c>
      <c r="AL68" s="366">
        <f t="shared" si="56"/>
        <v>16</v>
      </c>
      <c r="AM68" s="367">
        <f t="shared" si="57"/>
        <v>60523.740000000005</v>
      </c>
      <c r="AN68" s="366" t="str">
        <f t="shared" si="58"/>
        <v>Педагог-шебер</v>
      </c>
      <c r="AO68" s="367">
        <f t="shared" si="59"/>
        <v>100872.90000000001</v>
      </c>
      <c r="AP68" s="367" t="str">
        <f t="shared" si="60"/>
        <v>0</v>
      </c>
      <c r="AQ68" s="367" t="str">
        <f t="shared" si="61"/>
        <v>0</v>
      </c>
      <c r="AR68" s="367" t="str">
        <f t="shared" si="62"/>
        <v>0</v>
      </c>
      <c r="AS68" s="366"/>
      <c r="AT68" s="367"/>
      <c r="AU68" s="380"/>
      <c r="AV68" s="367"/>
      <c r="AW68" s="371">
        <f t="shared" ref="AW68:AW85" si="79">G68</f>
        <v>0</v>
      </c>
      <c r="AX68" s="372"/>
      <c r="AY68" s="367"/>
      <c r="AZ68" s="367">
        <f t="shared" si="63"/>
        <v>198383.37</v>
      </c>
      <c r="BA68" s="373">
        <f t="shared" si="64"/>
        <v>400129.17000000004</v>
      </c>
      <c r="BB68" s="374">
        <f t="shared" si="65"/>
        <v>40012.917000000009</v>
      </c>
      <c r="BC68" s="374">
        <f t="shared" si="66"/>
        <v>8002.5834000000013</v>
      </c>
      <c r="BD68" s="374">
        <f t="shared" si="67"/>
        <v>28838.566960000004</v>
      </c>
      <c r="BE68" s="374">
        <f t="shared" si="68"/>
        <v>323275.10264</v>
      </c>
      <c r="BF68" s="374">
        <f t="shared" si="69"/>
        <v>4801550.040000001</v>
      </c>
      <c r="BG68" s="374">
        <f t="shared" si="70"/>
        <v>403491.60000000003</v>
      </c>
      <c r="BH68" s="374">
        <f t="shared" si="71"/>
        <v>5205041.6400000006</v>
      </c>
      <c r="BI68" s="374">
        <f t="shared" si="72"/>
        <v>234226.87380000006</v>
      </c>
      <c r="BJ68" s="374">
        <f t="shared" si="73"/>
        <v>144046.50120000003</v>
      </c>
      <c r="BK68" s="374">
        <f t="shared" si="74"/>
        <v>270508.83847200009</v>
      </c>
      <c r="BL68" s="374">
        <f t="shared" si="75"/>
        <v>260252.08200000005</v>
      </c>
      <c r="BM68" s="373">
        <f t="shared" si="76"/>
        <v>6114075.9354720013</v>
      </c>
      <c r="BN68" s="375"/>
      <c r="BO68" s="377"/>
      <c r="BP68" s="377"/>
      <c r="BQ68" s="377"/>
      <c r="BR68" s="377"/>
      <c r="BS68" s="377"/>
      <c r="BT68" s="377"/>
      <c r="BU68" s="377"/>
      <c r="BV68" s="377"/>
      <c r="BW68" s="377"/>
      <c r="BX68" s="377"/>
      <c r="BY68" s="377"/>
      <c r="BZ68" s="377"/>
      <c r="CA68" s="377"/>
      <c r="CB68" s="377"/>
      <c r="CC68" s="377"/>
      <c r="CD68" s="377"/>
      <c r="CE68" s="377"/>
      <c r="CF68" s="377"/>
      <c r="CG68" s="377"/>
      <c r="CH68" s="377"/>
      <c r="CI68" s="377"/>
    </row>
    <row r="69" spans="1:87" ht="90">
      <c r="A69" s="366">
        <f t="shared" si="77"/>
        <v>31</v>
      </c>
      <c r="B69" s="366">
        <f t="shared" si="77"/>
        <v>3</v>
      </c>
      <c r="C69" s="409" t="s">
        <v>914</v>
      </c>
      <c r="D69" s="412" t="s">
        <v>1074</v>
      </c>
      <c r="E69" s="366" t="s">
        <v>998</v>
      </c>
      <c r="F69" s="366" t="s">
        <v>254</v>
      </c>
      <c r="G69" s="366" t="s">
        <v>1075</v>
      </c>
      <c r="H69" s="371" t="s">
        <v>1403</v>
      </c>
      <c r="I69" s="366">
        <v>17697</v>
      </c>
      <c r="J69" s="367">
        <v>9.5</v>
      </c>
      <c r="K69" s="367">
        <f t="shared" si="46"/>
        <v>168121.5</v>
      </c>
      <c r="L69" s="380"/>
      <c r="M69" s="380"/>
      <c r="N69" s="380">
        <v>4</v>
      </c>
      <c r="O69" s="380">
        <v>8</v>
      </c>
      <c r="P69" s="380"/>
      <c r="Q69" s="368">
        <f t="shared" si="47"/>
        <v>12</v>
      </c>
      <c r="R69" s="411"/>
      <c r="S69" s="411"/>
      <c r="T69" s="411">
        <v>1</v>
      </c>
      <c r="U69" s="411">
        <v>20</v>
      </c>
      <c r="V69" s="411"/>
      <c r="W69" s="381">
        <f t="shared" ref="W69" si="80">SUM(R69:V69)</f>
        <v>21</v>
      </c>
      <c r="X69" s="370">
        <f t="shared" si="49"/>
        <v>33</v>
      </c>
      <c r="Y69" s="367">
        <f t="shared" si="50"/>
        <v>346750.59375</v>
      </c>
      <c r="Z69" s="367">
        <f t="shared" si="51"/>
        <v>34675.059375000004</v>
      </c>
      <c r="AA69" s="366">
        <v>13</v>
      </c>
      <c r="AB69" s="367">
        <f t="shared" si="52"/>
        <v>5751.5250000000005</v>
      </c>
      <c r="AC69" s="366">
        <v>0</v>
      </c>
      <c r="AD69" s="367">
        <f t="shared" si="53"/>
        <v>0</v>
      </c>
      <c r="AE69" s="380"/>
      <c r="AF69" s="366"/>
      <c r="AG69" s="367"/>
      <c r="AH69" s="366"/>
      <c r="AI69" s="367"/>
      <c r="AJ69" s="366">
        <f t="shared" si="54"/>
        <v>33</v>
      </c>
      <c r="AK69" s="367">
        <f t="shared" si="55"/>
        <v>14600.025000000001</v>
      </c>
      <c r="AL69" s="366">
        <f t="shared" si="56"/>
        <v>33</v>
      </c>
      <c r="AM69" s="367">
        <f t="shared" si="57"/>
        <v>104025.17812499999</v>
      </c>
      <c r="AN69" s="366" t="str">
        <f t="shared" si="58"/>
        <v>Педагог-модератор</v>
      </c>
      <c r="AO69" s="367" t="str">
        <f t="shared" si="59"/>
        <v>0</v>
      </c>
      <c r="AP69" s="367" t="str">
        <f t="shared" si="60"/>
        <v>0</v>
      </c>
      <c r="AQ69" s="367" t="str">
        <f t="shared" si="61"/>
        <v>0</v>
      </c>
      <c r="AR69" s="367">
        <f t="shared" si="62"/>
        <v>104025.17812499999</v>
      </c>
      <c r="AS69" s="366"/>
      <c r="AT69" s="367"/>
      <c r="AU69" s="380"/>
      <c r="AV69" s="367"/>
      <c r="AW69" s="371" t="str">
        <f t="shared" si="79"/>
        <v>Магистр физика, кандидат доктора естест. Наук</v>
      </c>
      <c r="AX69" s="372">
        <f>(10*4552)+(17*4552)</f>
        <v>122904</v>
      </c>
      <c r="AY69" s="367"/>
      <c r="AZ69" s="367">
        <f t="shared" si="63"/>
        <v>385980.96562500001</v>
      </c>
      <c r="BA69" s="373">
        <f t="shared" si="64"/>
        <v>732731.55937499995</v>
      </c>
      <c r="BB69" s="374">
        <f t="shared" si="65"/>
        <v>73273.155937499992</v>
      </c>
      <c r="BC69" s="374">
        <f t="shared" si="66"/>
        <v>14654.631187499999</v>
      </c>
      <c r="BD69" s="374">
        <f t="shared" si="67"/>
        <v>58107.577225000008</v>
      </c>
      <c r="BE69" s="374">
        <f t="shared" si="68"/>
        <v>586696.19502500002</v>
      </c>
      <c r="BF69" s="374">
        <f t="shared" si="69"/>
        <v>8792778.7124999985</v>
      </c>
      <c r="BG69" s="374">
        <f t="shared" si="70"/>
        <v>693501.1875</v>
      </c>
      <c r="BH69" s="374">
        <f t="shared" si="71"/>
        <v>9486279.8999999985</v>
      </c>
      <c r="BI69" s="374">
        <f t="shared" si="72"/>
        <v>426882.59549999994</v>
      </c>
      <c r="BJ69" s="374">
        <f t="shared" si="73"/>
        <v>263783.36137499992</v>
      </c>
      <c r="BK69" s="374">
        <f t="shared" si="74"/>
        <v>492915.00143249996</v>
      </c>
      <c r="BL69" s="374">
        <f t="shared" si="75"/>
        <v>474313.99499999994</v>
      </c>
      <c r="BM69" s="373">
        <f t="shared" si="76"/>
        <v>11144174.853307499</v>
      </c>
      <c r="BN69" s="375">
        <v>0.5</v>
      </c>
      <c r="BO69" s="377"/>
      <c r="BP69" s="377"/>
      <c r="BQ69" s="377"/>
      <c r="BR69" s="377"/>
      <c r="BS69" s="377"/>
      <c r="BT69" s="377"/>
      <c r="BU69" s="377"/>
      <c r="BV69" s="377"/>
      <c r="BW69" s="377"/>
      <c r="BX69" s="377"/>
      <c r="BY69" s="377"/>
      <c r="BZ69" s="377"/>
      <c r="CA69" s="377"/>
      <c r="CB69" s="377"/>
      <c r="CC69" s="377"/>
      <c r="CD69" s="377"/>
      <c r="CE69" s="377"/>
      <c r="CF69" s="377"/>
      <c r="CG69" s="377"/>
      <c r="CH69" s="377"/>
      <c r="CI69" s="377"/>
    </row>
    <row r="70" spans="1:87" ht="63" customHeight="1">
      <c r="A70" s="366">
        <f t="shared" si="77"/>
        <v>32</v>
      </c>
      <c r="B70" s="366">
        <f t="shared" si="77"/>
        <v>4</v>
      </c>
      <c r="C70" s="413" t="s">
        <v>1076</v>
      </c>
      <c r="D70" s="414" t="s">
        <v>1077</v>
      </c>
      <c r="E70" s="394" t="s">
        <v>998</v>
      </c>
      <c r="F70" s="394" t="s">
        <v>1005</v>
      </c>
      <c r="G70" s="394"/>
      <c r="H70" s="371" t="s">
        <v>1078</v>
      </c>
      <c r="I70" s="366">
        <v>17697</v>
      </c>
      <c r="J70" s="367">
        <v>11.4</v>
      </c>
      <c r="K70" s="367">
        <f t="shared" si="46"/>
        <v>201745.80000000002</v>
      </c>
      <c r="L70" s="380"/>
      <c r="M70" s="380">
        <v>12</v>
      </c>
      <c r="N70" s="380"/>
      <c r="O70" s="380"/>
      <c r="P70" s="380"/>
      <c r="Q70" s="368">
        <f t="shared" si="47"/>
        <v>12</v>
      </c>
      <c r="R70" s="411"/>
      <c r="S70" s="411">
        <v>3</v>
      </c>
      <c r="T70" s="411"/>
      <c r="U70" s="411"/>
      <c r="V70" s="411"/>
      <c r="W70" s="381">
        <f t="shared" si="48"/>
        <v>3</v>
      </c>
      <c r="X70" s="370">
        <f t="shared" si="49"/>
        <v>15</v>
      </c>
      <c r="Y70" s="367">
        <f t="shared" si="50"/>
        <v>189136.68750000003</v>
      </c>
      <c r="Z70" s="367">
        <f t="shared" si="51"/>
        <v>18913.668750000004</v>
      </c>
      <c r="AA70" s="366">
        <v>10</v>
      </c>
      <c r="AB70" s="367">
        <f t="shared" si="52"/>
        <v>4424.25</v>
      </c>
      <c r="AC70" s="366">
        <v>5</v>
      </c>
      <c r="AD70" s="367">
        <f t="shared" si="53"/>
        <v>1106.0625</v>
      </c>
      <c r="AE70" s="380"/>
      <c r="AF70" s="366" t="s">
        <v>275</v>
      </c>
      <c r="AG70" s="367">
        <f t="shared" si="78"/>
        <v>3539.4</v>
      </c>
      <c r="AH70" s="366"/>
      <c r="AI70" s="367"/>
      <c r="AJ70" s="366">
        <f t="shared" si="54"/>
        <v>15</v>
      </c>
      <c r="AK70" s="367">
        <f t="shared" si="55"/>
        <v>6636.375</v>
      </c>
      <c r="AL70" s="366">
        <f t="shared" si="56"/>
        <v>15</v>
      </c>
      <c r="AM70" s="367">
        <f t="shared" si="57"/>
        <v>56741.006250000006</v>
      </c>
      <c r="AN70" s="366" t="str">
        <f t="shared" si="58"/>
        <v>Педагог-зерттеуші</v>
      </c>
      <c r="AO70" s="367" t="str">
        <f t="shared" si="59"/>
        <v>0</v>
      </c>
      <c r="AP70" s="367">
        <f t="shared" si="60"/>
        <v>75654.675000000017</v>
      </c>
      <c r="AQ70" s="367" t="str">
        <f t="shared" si="61"/>
        <v>0</v>
      </c>
      <c r="AR70" s="367" t="str">
        <f t="shared" si="62"/>
        <v>0</v>
      </c>
      <c r="AS70" s="366"/>
      <c r="AT70" s="367"/>
      <c r="AU70" s="371"/>
      <c r="AV70" s="367"/>
      <c r="AW70" s="371">
        <f t="shared" si="79"/>
        <v>0</v>
      </c>
      <c r="AX70" s="372"/>
      <c r="AY70" s="367"/>
      <c r="AZ70" s="367">
        <f t="shared" si="63"/>
        <v>167015.43750000003</v>
      </c>
      <c r="BA70" s="373">
        <f t="shared" si="64"/>
        <v>356152.12500000006</v>
      </c>
      <c r="BB70" s="374">
        <f t="shared" si="65"/>
        <v>35615.212500000009</v>
      </c>
      <c r="BC70" s="374">
        <f t="shared" si="66"/>
        <v>7123.0425000000014</v>
      </c>
      <c r="BD70" s="374">
        <f t="shared" si="67"/>
        <v>24968.587000000007</v>
      </c>
      <c r="BE70" s="374">
        <f t="shared" si="68"/>
        <v>288445.28300000005</v>
      </c>
      <c r="BF70" s="374">
        <f t="shared" si="69"/>
        <v>4273825.5000000009</v>
      </c>
      <c r="BG70" s="374">
        <f t="shared" si="70"/>
        <v>378273.37500000006</v>
      </c>
      <c r="BH70" s="374">
        <f t="shared" si="71"/>
        <v>4652098.8750000009</v>
      </c>
      <c r="BI70" s="374">
        <f t="shared" si="72"/>
        <v>209344.44937500005</v>
      </c>
      <c r="BJ70" s="374">
        <f t="shared" si="73"/>
        <v>128214.76500000003</v>
      </c>
      <c r="BK70" s="374">
        <f t="shared" si="74"/>
        <v>241810.92315000008</v>
      </c>
      <c r="BL70" s="374">
        <f t="shared" si="75"/>
        <v>232604.94375000006</v>
      </c>
      <c r="BM70" s="373">
        <f t="shared" si="76"/>
        <v>5464073.9562750002</v>
      </c>
      <c r="BN70" s="375"/>
      <c r="BO70" s="377"/>
      <c r="BP70" s="377"/>
      <c r="BQ70" s="377"/>
      <c r="BR70" s="377"/>
      <c r="BS70" s="377"/>
      <c r="BT70" s="377"/>
      <c r="BU70" s="377"/>
      <c r="BV70" s="377"/>
      <c r="BW70" s="377"/>
      <c r="BX70" s="377"/>
      <c r="BY70" s="377"/>
      <c r="BZ70" s="377"/>
      <c r="CA70" s="377"/>
      <c r="CB70" s="377"/>
      <c r="CC70" s="377"/>
      <c r="CD70" s="377"/>
      <c r="CE70" s="377"/>
      <c r="CF70" s="377"/>
      <c r="CG70" s="377"/>
      <c r="CH70" s="377"/>
      <c r="CI70" s="377"/>
    </row>
    <row r="71" spans="1:87" ht="30">
      <c r="A71" s="366">
        <f t="shared" si="77"/>
        <v>33</v>
      </c>
      <c r="B71" s="366">
        <f t="shared" si="77"/>
        <v>5</v>
      </c>
      <c r="C71" s="378" t="s">
        <v>1079</v>
      </c>
      <c r="D71" s="379" t="s">
        <v>1080</v>
      </c>
      <c r="E71" s="362" t="s">
        <v>998</v>
      </c>
      <c r="F71" s="362" t="s">
        <v>999</v>
      </c>
      <c r="G71" s="383"/>
      <c r="H71" s="365" t="s">
        <v>1081</v>
      </c>
      <c r="I71" s="366">
        <v>17697</v>
      </c>
      <c r="J71" s="367">
        <v>11.4</v>
      </c>
      <c r="K71" s="367">
        <f t="shared" si="46"/>
        <v>201745.80000000002</v>
      </c>
      <c r="L71" s="380"/>
      <c r="M71" s="380"/>
      <c r="N71" s="380"/>
      <c r="O71" s="380"/>
      <c r="P71" s="380">
        <v>16</v>
      </c>
      <c r="Q71" s="368">
        <f t="shared" si="47"/>
        <v>16</v>
      </c>
      <c r="R71" s="411"/>
      <c r="S71" s="411"/>
      <c r="T71" s="411"/>
      <c r="U71" s="411"/>
      <c r="V71" s="411"/>
      <c r="W71" s="381">
        <f t="shared" si="48"/>
        <v>0</v>
      </c>
      <c r="X71" s="370">
        <f t="shared" si="49"/>
        <v>16</v>
      </c>
      <c r="Y71" s="367">
        <f t="shared" si="50"/>
        <v>201745.80000000002</v>
      </c>
      <c r="Z71" s="367">
        <f t="shared" si="51"/>
        <v>20174.580000000002</v>
      </c>
      <c r="AA71" s="366">
        <v>12</v>
      </c>
      <c r="AB71" s="367">
        <f t="shared" si="52"/>
        <v>5309.1</v>
      </c>
      <c r="AC71" s="366">
        <v>4</v>
      </c>
      <c r="AD71" s="367">
        <f t="shared" si="53"/>
        <v>884.85</v>
      </c>
      <c r="AE71" s="380"/>
      <c r="AF71" s="366" t="s">
        <v>1082</v>
      </c>
      <c r="AG71" s="367">
        <f t="shared" si="78"/>
        <v>3539.4</v>
      </c>
      <c r="AH71" s="366"/>
      <c r="AI71" s="367"/>
      <c r="AJ71" s="366">
        <f t="shared" si="54"/>
        <v>16</v>
      </c>
      <c r="AK71" s="367">
        <f t="shared" si="55"/>
        <v>7078.8</v>
      </c>
      <c r="AL71" s="366">
        <f t="shared" si="56"/>
        <v>16</v>
      </c>
      <c r="AM71" s="367">
        <f t="shared" si="57"/>
        <v>60523.740000000005</v>
      </c>
      <c r="AN71" s="366" t="str">
        <f t="shared" si="58"/>
        <v>Педагог-шебер</v>
      </c>
      <c r="AO71" s="367">
        <f t="shared" si="59"/>
        <v>100872.90000000001</v>
      </c>
      <c r="AP71" s="367" t="str">
        <f t="shared" si="60"/>
        <v>0</v>
      </c>
      <c r="AQ71" s="367" t="str">
        <f t="shared" si="61"/>
        <v>0</v>
      </c>
      <c r="AR71" s="367" t="str">
        <f t="shared" si="62"/>
        <v>0</v>
      </c>
      <c r="AS71" s="366"/>
      <c r="AT71" s="367"/>
      <c r="AU71" s="380"/>
      <c r="AV71" s="367"/>
      <c r="AW71" s="371">
        <f t="shared" si="79"/>
        <v>0</v>
      </c>
      <c r="AX71" s="372"/>
      <c r="AY71" s="367"/>
      <c r="AZ71" s="367">
        <f t="shared" si="63"/>
        <v>198383.37</v>
      </c>
      <c r="BA71" s="373">
        <f t="shared" si="64"/>
        <v>400129.17000000004</v>
      </c>
      <c r="BB71" s="374">
        <f t="shared" si="65"/>
        <v>40012.917000000009</v>
      </c>
      <c r="BC71" s="374">
        <f t="shared" si="66"/>
        <v>8002.5834000000013</v>
      </c>
      <c r="BD71" s="374">
        <f t="shared" si="67"/>
        <v>28838.566960000004</v>
      </c>
      <c r="BE71" s="374">
        <f t="shared" si="68"/>
        <v>323275.10264</v>
      </c>
      <c r="BF71" s="374">
        <f t="shared" si="69"/>
        <v>4801550.040000001</v>
      </c>
      <c r="BG71" s="374">
        <f t="shared" si="70"/>
        <v>403491.60000000003</v>
      </c>
      <c r="BH71" s="374">
        <f t="shared" si="71"/>
        <v>5205041.6400000006</v>
      </c>
      <c r="BI71" s="374">
        <f t="shared" si="72"/>
        <v>234226.87380000006</v>
      </c>
      <c r="BJ71" s="374">
        <f t="shared" si="73"/>
        <v>144046.50120000003</v>
      </c>
      <c r="BK71" s="374">
        <f t="shared" si="74"/>
        <v>270508.83847200009</v>
      </c>
      <c r="BL71" s="374">
        <f t="shared" si="75"/>
        <v>260252.08200000005</v>
      </c>
      <c r="BM71" s="373">
        <f t="shared" si="76"/>
        <v>6114075.9354720013</v>
      </c>
      <c r="BN71" s="375"/>
      <c r="BO71" s="377"/>
      <c r="BP71" s="377"/>
      <c r="BQ71" s="377"/>
      <c r="BR71" s="377"/>
      <c r="BS71" s="377"/>
      <c r="BT71" s="377"/>
      <c r="BU71" s="377"/>
      <c r="BV71" s="377"/>
      <c r="BW71" s="377"/>
      <c r="BX71" s="377"/>
      <c r="BY71" s="377"/>
      <c r="BZ71" s="377"/>
      <c r="CA71" s="377"/>
      <c r="CB71" s="377"/>
      <c r="CC71" s="377"/>
      <c r="CD71" s="377"/>
      <c r="CE71" s="377"/>
      <c r="CF71" s="377"/>
      <c r="CG71" s="377"/>
      <c r="CH71" s="377"/>
      <c r="CI71" s="377"/>
    </row>
    <row r="72" spans="1:87" ht="68.25" customHeight="1">
      <c r="A72" s="366">
        <f t="shared" si="77"/>
        <v>34</v>
      </c>
      <c r="B72" s="366">
        <f t="shared" si="77"/>
        <v>6</v>
      </c>
      <c r="C72" s="415" t="s">
        <v>1083</v>
      </c>
      <c r="D72" s="379" t="s">
        <v>1084</v>
      </c>
      <c r="E72" s="362" t="s">
        <v>998</v>
      </c>
      <c r="F72" s="362" t="s">
        <v>254</v>
      </c>
      <c r="G72" s="406" t="s">
        <v>1085</v>
      </c>
      <c r="H72" s="365" t="s">
        <v>1415</v>
      </c>
      <c r="I72" s="366">
        <v>17697</v>
      </c>
      <c r="J72" s="367">
        <v>10</v>
      </c>
      <c r="K72" s="367">
        <f t="shared" si="46"/>
        <v>176970</v>
      </c>
      <c r="L72" s="380"/>
      <c r="M72" s="380"/>
      <c r="N72" s="380">
        <v>16</v>
      </c>
      <c r="O72" s="380">
        <v>12</v>
      </c>
      <c r="P72" s="380"/>
      <c r="Q72" s="368">
        <f t="shared" si="47"/>
        <v>28</v>
      </c>
      <c r="R72" s="411"/>
      <c r="S72" s="411"/>
      <c r="T72" s="411">
        <v>4</v>
      </c>
      <c r="U72" s="411"/>
      <c r="V72" s="411"/>
      <c r="W72" s="381">
        <f t="shared" si="48"/>
        <v>4</v>
      </c>
      <c r="X72" s="370">
        <f t="shared" si="49"/>
        <v>32</v>
      </c>
      <c r="Y72" s="367">
        <f t="shared" si="50"/>
        <v>353940</v>
      </c>
      <c r="Z72" s="367">
        <f t="shared" si="51"/>
        <v>35394</v>
      </c>
      <c r="AA72" s="366">
        <v>32</v>
      </c>
      <c r="AB72" s="367">
        <f t="shared" si="52"/>
        <v>14157.6</v>
      </c>
      <c r="AC72" s="366">
        <v>0</v>
      </c>
      <c r="AD72" s="367">
        <f t="shared" si="53"/>
        <v>0</v>
      </c>
      <c r="AE72" s="416"/>
      <c r="AF72" s="366"/>
      <c r="AG72" s="367"/>
      <c r="AH72" s="366"/>
      <c r="AI72" s="367"/>
      <c r="AJ72" s="366">
        <f t="shared" si="54"/>
        <v>32</v>
      </c>
      <c r="AK72" s="367">
        <f t="shared" si="55"/>
        <v>14157.6</v>
      </c>
      <c r="AL72" s="366">
        <f t="shared" si="56"/>
        <v>32</v>
      </c>
      <c r="AM72" s="367">
        <f t="shared" si="57"/>
        <v>106182</v>
      </c>
      <c r="AN72" s="366" t="str">
        <f t="shared" si="58"/>
        <v>Педагог-модератор</v>
      </c>
      <c r="AO72" s="367" t="str">
        <f t="shared" si="59"/>
        <v>0</v>
      </c>
      <c r="AP72" s="367" t="str">
        <f t="shared" si="60"/>
        <v>0</v>
      </c>
      <c r="AQ72" s="367" t="str">
        <f t="shared" si="61"/>
        <v>0</v>
      </c>
      <c r="AR72" s="367">
        <f t="shared" si="62"/>
        <v>106182</v>
      </c>
      <c r="AS72" s="366"/>
      <c r="AT72" s="367"/>
      <c r="AU72" s="371"/>
      <c r="AV72" s="367"/>
      <c r="AW72" s="371" t="str">
        <f t="shared" si="79"/>
        <v>Магистр материаловедение</v>
      </c>
      <c r="AX72" s="372">
        <f>10*4552</f>
        <v>45520</v>
      </c>
      <c r="AY72" s="367"/>
      <c r="AZ72" s="367">
        <f t="shared" si="63"/>
        <v>321593.2</v>
      </c>
      <c r="BA72" s="373">
        <f t="shared" si="64"/>
        <v>675533.2</v>
      </c>
      <c r="BB72" s="374">
        <f t="shared" si="65"/>
        <v>67553.319999999992</v>
      </c>
      <c r="BC72" s="374">
        <f t="shared" si="66"/>
        <v>13510.663999999999</v>
      </c>
      <c r="BD72" s="374">
        <f t="shared" si="67"/>
        <v>53074.121600000006</v>
      </c>
      <c r="BE72" s="374">
        <f t="shared" si="68"/>
        <v>541395.09440000006</v>
      </c>
      <c r="BF72" s="374">
        <f t="shared" si="69"/>
        <v>8106398.3999999994</v>
      </c>
      <c r="BG72" s="374">
        <f t="shared" si="70"/>
        <v>707880</v>
      </c>
      <c r="BH72" s="374">
        <f t="shared" si="71"/>
        <v>8814278.3999999985</v>
      </c>
      <c r="BI72" s="374">
        <f t="shared" si="72"/>
        <v>396642.52799999993</v>
      </c>
      <c r="BJ72" s="374">
        <f t="shared" si="73"/>
        <v>243191.95199999996</v>
      </c>
      <c r="BK72" s="374">
        <f t="shared" si="74"/>
        <v>458136.95711999992</v>
      </c>
      <c r="BL72" s="374">
        <f t="shared" si="75"/>
        <v>440713.91999999993</v>
      </c>
      <c r="BM72" s="373">
        <f t="shared" si="76"/>
        <v>10352963.757119998</v>
      </c>
      <c r="BN72" s="375"/>
      <c r="BO72" s="377"/>
      <c r="BP72" s="377"/>
      <c r="BQ72" s="377"/>
      <c r="BR72" s="377"/>
      <c r="BS72" s="377"/>
      <c r="BT72" s="377"/>
      <c r="BU72" s="377"/>
      <c r="BV72" s="377"/>
      <c r="BW72" s="377"/>
      <c r="BX72" s="377"/>
      <c r="BY72" s="377"/>
      <c r="BZ72" s="377"/>
      <c r="CA72" s="377"/>
      <c r="CB72" s="377"/>
      <c r="CC72" s="377"/>
      <c r="CD72" s="377"/>
      <c r="CE72" s="377"/>
      <c r="CF72" s="377"/>
      <c r="CG72" s="377"/>
      <c r="CH72" s="377"/>
      <c r="CI72" s="377"/>
    </row>
    <row r="73" spans="1:87" ht="47.25">
      <c r="A73" s="366">
        <f t="shared" si="77"/>
        <v>35</v>
      </c>
      <c r="B73" s="366">
        <f t="shared" si="77"/>
        <v>7</v>
      </c>
      <c r="C73" s="417" t="s">
        <v>1086</v>
      </c>
      <c r="D73" s="379" t="s">
        <v>1087</v>
      </c>
      <c r="E73" s="362" t="s">
        <v>998</v>
      </c>
      <c r="F73" s="362"/>
      <c r="G73" s="362"/>
      <c r="H73" s="365" t="s">
        <v>1088</v>
      </c>
      <c r="I73" s="366">
        <v>17697</v>
      </c>
      <c r="J73" s="367">
        <v>11.4</v>
      </c>
      <c r="K73" s="367">
        <f t="shared" si="46"/>
        <v>201745.80000000002</v>
      </c>
      <c r="L73" s="380"/>
      <c r="M73" s="380">
        <v>20</v>
      </c>
      <c r="N73" s="380"/>
      <c r="O73" s="380"/>
      <c r="P73" s="380"/>
      <c r="Q73" s="368">
        <f t="shared" si="47"/>
        <v>20</v>
      </c>
      <c r="R73" s="411"/>
      <c r="S73" s="411">
        <v>5</v>
      </c>
      <c r="T73" s="411"/>
      <c r="U73" s="411"/>
      <c r="V73" s="411"/>
      <c r="W73" s="381">
        <f t="shared" si="48"/>
        <v>5</v>
      </c>
      <c r="X73" s="370">
        <f t="shared" si="49"/>
        <v>25</v>
      </c>
      <c r="Y73" s="367">
        <f t="shared" si="50"/>
        <v>315227.8125</v>
      </c>
      <c r="Z73" s="367">
        <f t="shared" si="51"/>
        <v>31522.78125</v>
      </c>
      <c r="AA73" s="366">
        <v>5</v>
      </c>
      <c r="AB73" s="367">
        <f t="shared" si="52"/>
        <v>2212.125</v>
      </c>
      <c r="AC73" s="366">
        <v>20</v>
      </c>
      <c r="AD73" s="367">
        <f t="shared" si="53"/>
        <v>4424.25</v>
      </c>
      <c r="AE73" s="380"/>
      <c r="AF73" s="366"/>
      <c r="AG73" s="367"/>
      <c r="AH73" s="366"/>
      <c r="AI73" s="367"/>
      <c r="AJ73" s="366">
        <f t="shared" si="54"/>
        <v>25</v>
      </c>
      <c r="AK73" s="367">
        <f t="shared" si="55"/>
        <v>11060.625</v>
      </c>
      <c r="AL73" s="366">
        <f t="shared" si="56"/>
        <v>25</v>
      </c>
      <c r="AM73" s="367">
        <f t="shared" si="57"/>
        <v>94568.34375</v>
      </c>
      <c r="AN73" s="366">
        <f t="shared" si="58"/>
        <v>0</v>
      </c>
      <c r="AO73" s="367" t="str">
        <f t="shared" si="59"/>
        <v>0</v>
      </c>
      <c r="AP73" s="367" t="str">
        <f t="shared" si="60"/>
        <v>0</v>
      </c>
      <c r="AQ73" s="367" t="str">
        <f t="shared" si="61"/>
        <v>0</v>
      </c>
      <c r="AR73" s="367" t="str">
        <f t="shared" si="62"/>
        <v>0</v>
      </c>
      <c r="AS73" s="366"/>
      <c r="AT73" s="367"/>
      <c r="AU73" s="371"/>
      <c r="AV73" s="367"/>
      <c r="AW73" s="371">
        <f t="shared" si="79"/>
        <v>0</v>
      </c>
      <c r="AX73" s="372"/>
      <c r="AY73" s="367"/>
      <c r="AZ73" s="367">
        <f t="shared" si="63"/>
        <v>143788.125</v>
      </c>
      <c r="BA73" s="373">
        <f t="shared" si="64"/>
        <v>459015.9375</v>
      </c>
      <c r="BB73" s="374">
        <f t="shared" si="65"/>
        <v>45901.59375</v>
      </c>
      <c r="BC73" s="374">
        <f t="shared" si="66"/>
        <v>9180.3187500000004</v>
      </c>
      <c r="BD73" s="374">
        <f t="shared" si="67"/>
        <v>34020.602500000001</v>
      </c>
      <c r="BE73" s="374">
        <f t="shared" si="68"/>
        <v>369913.42250000004</v>
      </c>
      <c r="BF73" s="374">
        <f t="shared" si="69"/>
        <v>5508191.25</v>
      </c>
      <c r="BG73" s="374">
        <f t="shared" si="70"/>
        <v>630455.625</v>
      </c>
      <c r="BH73" s="374">
        <f t="shared" si="71"/>
        <v>6138646.875</v>
      </c>
      <c r="BI73" s="374">
        <f t="shared" si="72"/>
        <v>276239.109375</v>
      </c>
      <c r="BJ73" s="374">
        <f t="shared" si="73"/>
        <v>165245.73749999999</v>
      </c>
      <c r="BK73" s="374">
        <f t="shared" si="74"/>
        <v>319368.9105</v>
      </c>
      <c r="BL73" s="374">
        <f t="shared" si="75"/>
        <v>306932.34375</v>
      </c>
      <c r="BM73" s="373">
        <f t="shared" si="76"/>
        <v>7206432.976125</v>
      </c>
      <c r="BN73" s="375"/>
      <c r="BO73" s="377"/>
      <c r="BP73" s="377"/>
      <c r="BQ73" s="377"/>
      <c r="BR73" s="377"/>
      <c r="BS73" s="377"/>
      <c r="BT73" s="377"/>
      <c r="BU73" s="377"/>
      <c r="BV73" s="377"/>
      <c r="BW73" s="377"/>
      <c r="BX73" s="377"/>
      <c r="BY73" s="377"/>
      <c r="BZ73" s="377"/>
      <c r="CA73" s="377"/>
      <c r="CB73" s="377"/>
      <c r="CC73" s="377"/>
      <c r="CD73" s="377"/>
      <c r="CE73" s="377"/>
      <c r="CF73" s="377"/>
      <c r="CG73" s="377"/>
      <c r="CH73" s="377"/>
      <c r="CI73" s="377"/>
    </row>
    <row r="74" spans="1:87" ht="47.25">
      <c r="A74" s="366">
        <f t="shared" si="77"/>
        <v>36</v>
      </c>
      <c r="B74" s="366">
        <f t="shared" si="77"/>
        <v>8</v>
      </c>
      <c r="C74" s="417" t="s">
        <v>1089</v>
      </c>
      <c r="D74" s="379" t="s">
        <v>1090</v>
      </c>
      <c r="E74" s="362" t="s">
        <v>998</v>
      </c>
      <c r="F74" s="394" t="s">
        <v>1005</v>
      </c>
      <c r="G74" s="362"/>
      <c r="H74" s="365" t="s">
        <v>1416</v>
      </c>
      <c r="I74" s="366">
        <v>17697</v>
      </c>
      <c r="J74" s="367">
        <v>11.02</v>
      </c>
      <c r="K74" s="367">
        <f t="shared" si="46"/>
        <v>195020.94</v>
      </c>
      <c r="L74" s="380"/>
      <c r="M74" s="380">
        <v>4</v>
      </c>
      <c r="N74" s="380">
        <v>12</v>
      </c>
      <c r="O74" s="380"/>
      <c r="P74" s="380"/>
      <c r="Q74" s="368">
        <f t="shared" si="47"/>
        <v>16</v>
      </c>
      <c r="R74" s="411"/>
      <c r="S74" s="411">
        <v>1</v>
      </c>
      <c r="T74" s="411">
        <v>3</v>
      </c>
      <c r="U74" s="411"/>
      <c r="V74" s="411"/>
      <c r="W74" s="381">
        <f t="shared" si="48"/>
        <v>4</v>
      </c>
      <c r="X74" s="370">
        <f t="shared" si="49"/>
        <v>20</v>
      </c>
      <c r="Y74" s="367">
        <f t="shared" si="50"/>
        <v>243776.17499999999</v>
      </c>
      <c r="Z74" s="367">
        <f t="shared" si="51"/>
        <v>24377.6175</v>
      </c>
      <c r="AA74" s="366">
        <v>15</v>
      </c>
      <c r="AB74" s="367">
        <f t="shared" si="52"/>
        <v>6636.375</v>
      </c>
      <c r="AC74" s="366">
        <v>5</v>
      </c>
      <c r="AD74" s="367">
        <f t="shared" si="53"/>
        <v>1106.0625</v>
      </c>
      <c r="AE74" s="380"/>
      <c r="AF74" s="366"/>
      <c r="AG74" s="367"/>
      <c r="AH74" s="366"/>
      <c r="AI74" s="367"/>
      <c r="AJ74" s="366">
        <f t="shared" si="54"/>
        <v>20</v>
      </c>
      <c r="AK74" s="367">
        <f t="shared" si="55"/>
        <v>8848.5</v>
      </c>
      <c r="AL74" s="366">
        <f t="shared" si="56"/>
        <v>20</v>
      </c>
      <c r="AM74" s="367">
        <f t="shared" si="57"/>
        <v>73132.852499999994</v>
      </c>
      <c r="AN74" s="366" t="str">
        <f t="shared" si="58"/>
        <v>Педагог-зерттеуші</v>
      </c>
      <c r="AO74" s="367" t="str">
        <f t="shared" si="59"/>
        <v>0</v>
      </c>
      <c r="AP74" s="367">
        <f t="shared" si="60"/>
        <v>97510.47</v>
      </c>
      <c r="AQ74" s="367" t="str">
        <f t="shared" si="61"/>
        <v>0</v>
      </c>
      <c r="AR74" s="367" t="str">
        <f t="shared" si="62"/>
        <v>0</v>
      </c>
      <c r="AS74" s="366"/>
      <c r="AT74" s="367"/>
      <c r="AU74" s="371"/>
      <c r="AV74" s="367"/>
      <c r="AW74" s="371">
        <f t="shared" si="79"/>
        <v>0</v>
      </c>
      <c r="AX74" s="372"/>
      <c r="AY74" s="367"/>
      <c r="AZ74" s="367">
        <f t="shared" si="63"/>
        <v>211611.8775</v>
      </c>
      <c r="BA74" s="373">
        <f t="shared" si="64"/>
        <v>455388.05249999999</v>
      </c>
      <c r="BB74" s="374">
        <f t="shared" si="65"/>
        <v>45538.805250000005</v>
      </c>
      <c r="BC74" s="374">
        <f t="shared" si="66"/>
        <v>9107.7610499999992</v>
      </c>
      <c r="BD74" s="374">
        <f t="shared" si="67"/>
        <v>33701.348620000004</v>
      </c>
      <c r="BE74" s="374">
        <f t="shared" si="68"/>
        <v>367040.13758000004</v>
      </c>
      <c r="BF74" s="374">
        <f t="shared" si="69"/>
        <v>5464656.6299999999</v>
      </c>
      <c r="BG74" s="374">
        <f t="shared" si="70"/>
        <v>487552.35</v>
      </c>
      <c r="BH74" s="374">
        <f t="shared" si="71"/>
        <v>5952208.9799999995</v>
      </c>
      <c r="BI74" s="374">
        <f t="shared" si="72"/>
        <v>267849.40409999999</v>
      </c>
      <c r="BJ74" s="374">
        <f t="shared" si="73"/>
        <v>163939.69889999999</v>
      </c>
      <c r="BK74" s="374">
        <f t="shared" si="74"/>
        <v>309397.04033399996</v>
      </c>
      <c r="BL74" s="374">
        <f t="shared" si="75"/>
        <v>297610.44899999996</v>
      </c>
      <c r="BM74" s="373">
        <f t="shared" si="76"/>
        <v>6991005.5723339999</v>
      </c>
      <c r="BN74" s="375"/>
      <c r="BO74" s="377"/>
      <c r="BP74" s="377"/>
      <c r="BQ74" s="377"/>
      <c r="BR74" s="377"/>
      <c r="BS74" s="377"/>
      <c r="BT74" s="377"/>
      <c r="BU74" s="377"/>
      <c r="BV74" s="377"/>
      <c r="BW74" s="377"/>
      <c r="BX74" s="377"/>
      <c r="BY74" s="377"/>
      <c r="BZ74" s="377"/>
      <c r="CA74" s="377"/>
      <c r="CB74" s="377"/>
      <c r="CC74" s="377"/>
      <c r="CD74" s="377"/>
      <c r="CE74" s="377"/>
      <c r="CF74" s="377"/>
      <c r="CG74" s="377"/>
      <c r="CH74" s="377"/>
      <c r="CI74" s="377"/>
    </row>
    <row r="75" spans="1:87" ht="47.25">
      <c r="A75" s="366">
        <f t="shared" si="77"/>
        <v>37</v>
      </c>
      <c r="B75" s="366">
        <f t="shared" si="77"/>
        <v>9</v>
      </c>
      <c r="C75" s="378" t="s">
        <v>1091</v>
      </c>
      <c r="D75" s="379" t="s">
        <v>1092</v>
      </c>
      <c r="E75" s="362" t="s">
        <v>998</v>
      </c>
      <c r="F75" s="362" t="s">
        <v>1005</v>
      </c>
      <c r="G75" s="362" t="s">
        <v>1093</v>
      </c>
      <c r="H75" s="365" t="s">
        <v>1417</v>
      </c>
      <c r="I75" s="366">
        <v>17697</v>
      </c>
      <c r="J75" s="367">
        <v>10.82</v>
      </c>
      <c r="K75" s="367">
        <f t="shared" si="46"/>
        <v>191481.54</v>
      </c>
      <c r="L75" s="380">
        <v>20</v>
      </c>
      <c r="M75" s="380"/>
      <c r="N75" s="380">
        <v>4</v>
      </c>
      <c r="O75" s="380"/>
      <c r="P75" s="380"/>
      <c r="Q75" s="368">
        <f t="shared" ref="Q75" si="81">SUM(L75:P75)</f>
        <v>24</v>
      </c>
      <c r="R75" s="411">
        <v>5</v>
      </c>
      <c r="S75" s="411"/>
      <c r="T75" s="411">
        <v>1</v>
      </c>
      <c r="U75" s="411"/>
      <c r="V75" s="411"/>
      <c r="W75" s="381">
        <f t="shared" ref="W75" si="82">SUM(R75:V75)</f>
        <v>6</v>
      </c>
      <c r="X75" s="370">
        <f t="shared" si="49"/>
        <v>30</v>
      </c>
      <c r="Y75" s="367">
        <f t="shared" si="50"/>
        <v>359027.88750000001</v>
      </c>
      <c r="Z75" s="367">
        <f t="shared" si="51"/>
        <v>35902.78875</v>
      </c>
      <c r="AA75" s="366">
        <v>5</v>
      </c>
      <c r="AB75" s="367">
        <f t="shared" si="52"/>
        <v>2212.125</v>
      </c>
      <c r="AC75" s="366">
        <v>25</v>
      </c>
      <c r="AD75" s="367">
        <f t="shared" si="53"/>
        <v>5530.3125</v>
      </c>
      <c r="AE75" s="380"/>
      <c r="AF75" s="366" t="s">
        <v>1094</v>
      </c>
      <c r="AG75" s="367">
        <f t="shared" ref="AG75:AG79" si="83">17697*20%</f>
        <v>3539.4</v>
      </c>
      <c r="AH75" s="366"/>
      <c r="AI75" s="367"/>
      <c r="AJ75" s="366">
        <f t="shared" si="54"/>
        <v>30</v>
      </c>
      <c r="AK75" s="367">
        <f t="shared" si="55"/>
        <v>13272.75</v>
      </c>
      <c r="AL75" s="366">
        <f t="shared" si="56"/>
        <v>30</v>
      </c>
      <c r="AM75" s="367">
        <f t="shared" si="57"/>
        <v>107708.36625000001</v>
      </c>
      <c r="AN75" s="366" t="str">
        <f t="shared" si="58"/>
        <v>Педагог-зерттеуші</v>
      </c>
      <c r="AO75" s="367" t="str">
        <f t="shared" si="59"/>
        <v>0</v>
      </c>
      <c r="AP75" s="367">
        <f t="shared" si="60"/>
        <v>143611.155</v>
      </c>
      <c r="AQ75" s="367" t="str">
        <f t="shared" si="61"/>
        <v>0</v>
      </c>
      <c r="AR75" s="367" t="str">
        <f t="shared" si="62"/>
        <v>0</v>
      </c>
      <c r="AS75" s="366"/>
      <c r="AT75" s="367"/>
      <c r="AU75" s="371"/>
      <c r="AV75" s="367"/>
      <c r="AW75" s="371" t="str">
        <f t="shared" si="79"/>
        <v>Магистр-физика</v>
      </c>
      <c r="AX75" s="372">
        <f>10*4552</f>
        <v>45520</v>
      </c>
      <c r="AY75" s="367"/>
      <c r="AZ75" s="367">
        <f t="shared" si="63"/>
        <v>357296.89749999996</v>
      </c>
      <c r="BA75" s="373">
        <f t="shared" si="64"/>
        <v>716324.78499999992</v>
      </c>
      <c r="BB75" s="374">
        <f t="shared" si="65"/>
        <v>71632.478499999997</v>
      </c>
      <c r="BC75" s="374">
        <f t="shared" si="66"/>
        <v>14326.495699999999</v>
      </c>
      <c r="BD75" s="374">
        <f t="shared" si="67"/>
        <v>56663.781080000001</v>
      </c>
      <c r="BE75" s="374">
        <f t="shared" si="68"/>
        <v>573702.02971999999</v>
      </c>
      <c r="BF75" s="374">
        <f t="shared" si="69"/>
        <v>8595897.4199999981</v>
      </c>
      <c r="BG75" s="374">
        <f t="shared" si="70"/>
        <v>718055.77500000002</v>
      </c>
      <c r="BH75" s="374">
        <f t="shared" si="71"/>
        <v>9313953.1949999984</v>
      </c>
      <c r="BI75" s="374">
        <f t="shared" si="72"/>
        <v>419127.893775</v>
      </c>
      <c r="BJ75" s="374">
        <f t="shared" si="73"/>
        <v>257876.92259999993</v>
      </c>
      <c r="BK75" s="374">
        <f t="shared" si="74"/>
        <v>484042.49820599984</v>
      </c>
      <c r="BL75" s="374">
        <f t="shared" si="75"/>
        <v>465697.65974999993</v>
      </c>
      <c r="BM75" s="373">
        <f t="shared" si="76"/>
        <v>10940698.169330996</v>
      </c>
      <c r="BN75" s="375"/>
      <c r="BO75" s="377"/>
      <c r="BP75" s="377"/>
      <c r="BQ75" s="377"/>
      <c r="BR75" s="377"/>
      <c r="BS75" s="377"/>
      <c r="BT75" s="377"/>
      <c r="BU75" s="377"/>
      <c r="BV75" s="377"/>
      <c r="BW75" s="377"/>
      <c r="BX75" s="377"/>
      <c r="BY75" s="377"/>
      <c r="BZ75" s="377"/>
      <c r="CA75" s="377"/>
      <c r="CB75" s="377"/>
      <c r="CC75" s="377"/>
      <c r="CD75" s="377"/>
      <c r="CE75" s="377"/>
      <c r="CF75" s="377"/>
      <c r="CG75" s="377"/>
      <c r="CH75" s="377"/>
      <c r="CI75" s="377"/>
    </row>
    <row r="76" spans="1:87" ht="96.6" customHeight="1">
      <c r="A76" s="366">
        <f t="shared" si="77"/>
        <v>38</v>
      </c>
      <c r="B76" s="366">
        <f t="shared" si="77"/>
        <v>10</v>
      </c>
      <c r="C76" s="418" t="s">
        <v>1095</v>
      </c>
      <c r="D76" s="412" t="s">
        <v>1096</v>
      </c>
      <c r="E76" s="390" t="s">
        <v>998</v>
      </c>
      <c r="F76" s="390" t="s">
        <v>1005</v>
      </c>
      <c r="G76" s="390" t="s">
        <v>1097</v>
      </c>
      <c r="H76" s="371" t="s">
        <v>1418</v>
      </c>
      <c r="I76" s="366">
        <v>17697</v>
      </c>
      <c r="J76" s="367">
        <v>10.6</v>
      </c>
      <c r="K76" s="367">
        <f t="shared" si="46"/>
        <v>187588.19999999998</v>
      </c>
      <c r="L76" s="380"/>
      <c r="M76" s="380"/>
      <c r="N76" s="380">
        <v>8</v>
      </c>
      <c r="O76" s="380"/>
      <c r="P76" s="380">
        <v>20</v>
      </c>
      <c r="Q76" s="368">
        <f t="shared" si="47"/>
        <v>28</v>
      </c>
      <c r="R76" s="380"/>
      <c r="S76" s="380">
        <v>3</v>
      </c>
      <c r="T76" s="380">
        <v>6</v>
      </c>
      <c r="U76" s="380"/>
      <c r="V76" s="380"/>
      <c r="W76" s="381">
        <f t="shared" si="48"/>
        <v>9</v>
      </c>
      <c r="X76" s="370">
        <f t="shared" si="49"/>
        <v>37</v>
      </c>
      <c r="Y76" s="367">
        <f t="shared" si="50"/>
        <v>433797.71249999997</v>
      </c>
      <c r="Z76" s="367">
        <f t="shared" si="51"/>
        <v>43379.771249999998</v>
      </c>
      <c r="AA76" s="366">
        <v>10</v>
      </c>
      <c r="AB76" s="367">
        <f t="shared" si="52"/>
        <v>4424.25</v>
      </c>
      <c r="AC76" s="366">
        <v>20</v>
      </c>
      <c r="AD76" s="367">
        <f t="shared" si="53"/>
        <v>4424.25</v>
      </c>
      <c r="AE76" s="380"/>
      <c r="AF76" s="366"/>
      <c r="AG76" s="367"/>
      <c r="AH76" s="366"/>
      <c r="AI76" s="367"/>
      <c r="AJ76" s="366">
        <f t="shared" si="54"/>
        <v>37</v>
      </c>
      <c r="AK76" s="367">
        <f t="shared" si="55"/>
        <v>16369.725</v>
      </c>
      <c r="AL76" s="366">
        <f t="shared" si="56"/>
        <v>37</v>
      </c>
      <c r="AM76" s="367">
        <f t="shared" si="57"/>
        <v>130139.31374999999</v>
      </c>
      <c r="AN76" s="366" t="str">
        <f t="shared" si="58"/>
        <v>Педагог-зерттеуші</v>
      </c>
      <c r="AO76" s="367" t="str">
        <f t="shared" si="59"/>
        <v>0</v>
      </c>
      <c r="AP76" s="367">
        <f t="shared" si="60"/>
        <v>173519.08499999999</v>
      </c>
      <c r="AQ76" s="367" t="str">
        <f t="shared" si="61"/>
        <v>0</v>
      </c>
      <c r="AR76" s="367" t="str">
        <f t="shared" si="62"/>
        <v>0</v>
      </c>
      <c r="AS76" s="366"/>
      <c r="AT76" s="367"/>
      <c r="AU76" s="366"/>
      <c r="AV76" s="367"/>
      <c r="AW76" s="371" t="str">
        <f t="shared" si="79"/>
        <v>Магистр- физика</v>
      </c>
      <c r="AX76" s="372">
        <f>10*4552</f>
        <v>45520</v>
      </c>
      <c r="AY76" s="367"/>
      <c r="AZ76" s="367">
        <f t="shared" si="63"/>
        <v>417776.39500000002</v>
      </c>
      <c r="BA76" s="373">
        <f t="shared" si="64"/>
        <v>851574.10749999993</v>
      </c>
      <c r="BB76" s="374">
        <f t="shared" si="65"/>
        <v>85157.410749999995</v>
      </c>
      <c r="BC76" s="374">
        <f t="shared" si="66"/>
        <v>17031.48215</v>
      </c>
      <c r="BD76" s="374">
        <f t="shared" si="67"/>
        <v>68565.721459999986</v>
      </c>
      <c r="BE76" s="374">
        <f t="shared" si="68"/>
        <v>680819.4931399998</v>
      </c>
      <c r="BF76" s="374">
        <f t="shared" si="69"/>
        <v>10218889.289999999</v>
      </c>
      <c r="BG76" s="374">
        <f t="shared" si="70"/>
        <v>867595.42499999993</v>
      </c>
      <c r="BH76" s="374">
        <f t="shared" si="71"/>
        <v>11086484.715</v>
      </c>
      <c r="BI76" s="374">
        <f t="shared" si="72"/>
        <v>498891.81217500003</v>
      </c>
      <c r="BJ76" s="374">
        <f t="shared" si="73"/>
        <v>306566.67869999999</v>
      </c>
      <c r="BK76" s="374">
        <f t="shared" si="74"/>
        <v>576188.61817199993</v>
      </c>
      <c r="BL76" s="374">
        <f t="shared" si="75"/>
        <v>554324.23574999999</v>
      </c>
      <c r="BM76" s="373">
        <f t="shared" si="76"/>
        <v>13022456.059797</v>
      </c>
      <c r="BN76" s="375"/>
      <c r="BO76" s="377"/>
      <c r="BP76" s="377"/>
      <c r="BQ76" s="377"/>
      <c r="BR76" s="377"/>
      <c r="BS76" s="377"/>
      <c r="BT76" s="377"/>
      <c r="BU76" s="377"/>
      <c r="BV76" s="377"/>
      <c r="BW76" s="377"/>
      <c r="BX76" s="377"/>
      <c r="BY76" s="377"/>
      <c r="BZ76" s="377"/>
      <c r="CA76" s="377"/>
      <c r="CB76" s="377"/>
      <c r="CC76" s="377"/>
      <c r="CD76" s="377"/>
      <c r="CE76" s="377"/>
      <c r="CF76" s="377"/>
      <c r="CG76" s="377"/>
      <c r="CH76" s="377"/>
      <c r="CI76" s="377"/>
    </row>
    <row r="77" spans="1:87" ht="48" customHeight="1">
      <c r="A77" s="366">
        <f t="shared" si="77"/>
        <v>39</v>
      </c>
      <c r="B77" s="366">
        <f t="shared" si="77"/>
        <v>11</v>
      </c>
      <c r="C77" s="418" t="s">
        <v>1098</v>
      </c>
      <c r="D77" s="412" t="s">
        <v>1099</v>
      </c>
      <c r="E77" s="390" t="s">
        <v>998</v>
      </c>
      <c r="F77" s="362" t="s">
        <v>999</v>
      </c>
      <c r="G77" s="390" t="s">
        <v>1097</v>
      </c>
      <c r="H77" s="371" t="s">
        <v>1100</v>
      </c>
      <c r="I77" s="366">
        <v>17697</v>
      </c>
      <c r="J77" s="367">
        <v>11.4</v>
      </c>
      <c r="K77" s="367">
        <f t="shared" si="46"/>
        <v>201745.80000000002</v>
      </c>
      <c r="L77" s="380">
        <v>20</v>
      </c>
      <c r="M77" s="380"/>
      <c r="N77" s="380"/>
      <c r="O77" s="380"/>
      <c r="P77" s="380"/>
      <c r="Q77" s="368">
        <f t="shared" si="47"/>
        <v>20</v>
      </c>
      <c r="R77" s="380">
        <v>5</v>
      </c>
      <c r="S77" s="380"/>
      <c r="T77" s="380"/>
      <c r="U77" s="380"/>
      <c r="V77" s="380"/>
      <c r="W77" s="381">
        <f t="shared" ref="W77" si="84">SUM(R77:V77)</f>
        <v>5</v>
      </c>
      <c r="X77" s="370">
        <f t="shared" si="49"/>
        <v>25</v>
      </c>
      <c r="Y77" s="367">
        <f t="shared" si="50"/>
        <v>315227.8125</v>
      </c>
      <c r="Z77" s="367">
        <f t="shared" si="51"/>
        <v>31522.78125</v>
      </c>
      <c r="AA77" s="366">
        <v>0</v>
      </c>
      <c r="AB77" s="367">
        <f t="shared" si="52"/>
        <v>0</v>
      </c>
      <c r="AC77" s="366">
        <v>25</v>
      </c>
      <c r="AD77" s="367">
        <f t="shared" si="53"/>
        <v>5530.3125</v>
      </c>
      <c r="AE77" s="380"/>
      <c r="AF77" s="366"/>
      <c r="AG77" s="367"/>
      <c r="AH77" s="366"/>
      <c r="AI77" s="367"/>
      <c r="AJ77" s="366">
        <f t="shared" si="54"/>
        <v>25</v>
      </c>
      <c r="AK77" s="367">
        <f t="shared" si="55"/>
        <v>11060.625</v>
      </c>
      <c r="AL77" s="366">
        <f t="shared" si="56"/>
        <v>25</v>
      </c>
      <c r="AM77" s="367">
        <f t="shared" si="57"/>
        <v>94568.34375</v>
      </c>
      <c r="AN77" s="366" t="str">
        <f t="shared" si="58"/>
        <v>Педагог-шебер</v>
      </c>
      <c r="AO77" s="367">
        <f t="shared" si="59"/>
        <v>157613.90625</v>
      </c>
      <c r="AP77" s="367" t="str">
        <f t="shared" si="60"/>
        <v>0</v>
      </c>
      <c r="AQ77" s="367" t="str">
        <f t="shared" si="61"/>
        <v>0</v>
      </c>
      <c r="AR77" s="367" t="str">
        <f t="shared" si="62"/>
        <v>0</v>
      </c>
      <c r="AS77" s="366"/>
      <c r="AT77" s="367"/>
      <c r="AU77" s="366"/>
      <c r="AV77" s="367"/>
      <c r="AW77" s="371" t="str">
        <f t="shared" si="79"/>
        <v>Магистр- физика</v>
      </c>
      <c r="AX77" s="372">
        <f>10*4552</f>
        <v>45520</v>
      </c>
      <c r="AY77" s="367"/>
      <c r="AZ77" s="367">
        <f t="shared" si="63"/>
        <v>345815.96875</v>
      </c>
      <c r="BA77" s="373">
        <f t="shared" si="64"/>
        <v>661043.78125</v>
      </c>
      <c r="BB77" s="374">
        <f t="shared" si="65"/>
        <v>66104.378125000003</v>
      </c>
      <c r="BC77" s="374">
        <f t="shared" si="66"/>
        <v>13220.875625000001</v>
      </c>
      <c r="BD77" s="374">
        <f t="shared" si="67"/>
        <v>51799.052750000003</v>
      </c>
      <c r="BE77" s="374">
        <f t="shared" si="68"/>
        <v>529919.47474999994</v>
      </c>
      <c r="BF77" s="374">
        <f t="shared" si="69"/>
        <v>7932525.375</v>
      </c>
      <c r="BG77" s="374">
        <f t="shared" si="70"/>
        <v>630455.625</v>
      </c>
      <c r="BH77" s="374">
        <f t="shared" si="71"/>
        <v>8562981</v>
      </c>
      <c r="BI77" s="374">
        <f t="shared" si="72"/>
        <v>385334.14500000002</v>
      </c>
      <c r="BJ77" s="374">
        <f t="shared" si="73"/>
        <v>237975.76124999998</v>
      </c>
      <c r="BK77" s="374">
        <f t="shared" si="74"/>
        <v>444949.418175</v>
      </c>
      <c r="BL77" s="374">
        <f t="shared" si="75"/>
        <v>428149.05000000005</v>
      </c>
      <c r="BM77" s="373">
        <f t="shared" si="76"/>
        <v>10059389.374425001</v>
      </c>
      <c r="BN77" s="375"/>
      <c r="BO77" s="377"/>
      <c r="BP77" s="377"/>
      <c r="BQ77" s="377"/>
      <c r="BR77" s="377"/>
      <c r="BS77" s="377"/>
      <c r="BT77" s="377"/>
      <c r="BU77" s="377"/>
      <c r="BV77" s="377"/>
      <c r="BW77" s="377"/>
      <c r="BX77" s="377"/>
      <c r="BY77" s="377"/>
      <c r="BZ77" s="377"/>
      <c r="CA77" s="377"/>
      <c r="CB77" s="377"/>
      <c r="CC77" s="377"/>
      <c r="CD77" s="377"/>
      <c r="CE77" s="377"/>
      <c r="CF77" s="377"/>
      <c r="CG77" s="377"/>
      <c r="CH77" s="377"/>
      <c r="CI77" s="377"/>
    </row>
    <row r="78" spans="1:87" ht="63.75" customHeight="1">
      <c r="A78" s="366">
        <f t="shared" si="77"/>
        <v>40</v>
      </c>
      <c r="B78" s="366">
        <f t="shared" si="77"/>
        <v>12</v>
      </c>
      <c r="C78" s="409" t="s">
        <v>1101</v>
      </c>
      <c r="D78" s="412" t="s">
        <v>1102</v>
      </c>
      <c r="E78" s="366" t="s">
        <v>998</v>
      </c>
      <c r="F78" s="366" t="s">
        <v>1005</v>
      </c>
      <c r="G78" s="366" t="s">
        <v>227</v>
      </c>
      <c r="H78" s="371" t="s">
        <v>1402</v>
      </c>
      <c r="I78" s="366">
        <v>17697</v>
      </c>
      <c r="J78" s="367">
        <v>10.4</v>
      </c>
      <c r="K78" s="367">
        <f t="shared" si="46"/>
        <v>184048.80000000002</v>
      </c>
      <c r="L78" s="380"/>
      <c r="M78" s="380"/>
      <c r="N78" s="380">
        <v>12</v>
      </c>
      <c r="O78" s="380">
        <v>16</v>
      </c>
      <c r="P78" s="380"/>
      <c r="Q78" s="368">
        <f t="shared" si="47"/>
        <v>28</v>
      </c>
      <c r="R78" s="411"/>
      <c r="S78" s="411"/>
      <c r="T78" s="411">
        <v>3</v>
      </c>
      <c r="U78" s="411"/>
      <c r="V78" s="411"/>
      <c r="W78" s="381">
        <f t="shared" si="48"/>
        <v>3</v>
      </c>
      <c r="X78" s="370">
        <f t="shared" si="49"/>
        <v>31</v>
      </c>
      <c r="Y78" s="367">
        <f t="shared" si="50"/>
        <v>356594.55000000005</v>
      </c>
      <c r="Z78" s="367">
        <f t="shared" si="51"/>
        <v>35659.455000000009</v>
      </c>
      <c r="AA78" s="366">
        <v>23</v>
      </c>
      <c r="AB78" s="367">
        <f t="shared" si="52"/>
        <v>10175.775000000001</v>
      </c>
      <c r="AC78" s="366">
        <v>8</v>
      </c>
      <c r="AD78" s="367">
        <f t="shared" si="53"/>
        <v>1769.7</v>
      </c>
      <c r="AE78" s="416"/>
      <c r="AF78" s="366" t="s">
        <v>1103</v>
      </c>
      <c r="AG78" s="367">
        <f t="shared" si="83"/>
        <v>3539.4</v>
      </c>
      <c r="AH78" s="366"/>
      <c r="AI78" s="367"/>
      <c r="AJ78" s="366">
        <f t="shared" si="54"/>
        <v>31</v>
      </c>
      <c r="AK78" s="367">
        <f t="shared" si="55"/>
        <v>13715.175000000001</v>
      </c>
      <c r="AL78" s="366">
        <f t="shared" si="56"/>
        <v>31</v>
      </c>
      <c r="AM78" s="367">
        <f t="shared" si="57"/>
        <v>106978.36500000001</v>
      </c>
      <c r="AN78" s="366" t="str">
        <f t="shared" si="58"/>
        <v>Педагог-зерттеуші</v>
      </c>
      <c r="AO78" s="367" t="str">
        <f t="shared" si="59"/>
        <v>0</v>
      </c>
      <c r="AP78" s="367">
        <f t="shared" si="60"/>
        <v>142637.82000000004</v>
      </c>
      <c r="AQ78" s="367" t="str">
        <f t="shared" si="61"/>
        <v>0</v>
      </c>
      <c r="AR78" s="367" t="str">
        <f t="shared" si="62"/>
        <v>0</v>
      </c>
      <c r="AS78" s="366"/>
      <c r="AT78" s="367"/>
      <c r="AU78" s="371"/>
      <c r="AV78" s="367"/>
      <c r="AW78" s="371" t="str">
        <f t="shared" si="79"/>
        <v>Магистр-техническая физика</v>
      </c>
      <c r="AX78" s="372">
        <f>10*4552</f>
        <v>45520</v>
      </c>
      <c r="AY78" s="367"/>
      <c r="AZ78" s="367">
        <f t="shared" si="63"/>
        <v>359995.69000000006</v>
      </c>
      <c r="BA78" s="373">
        <f t="shared" si="64"/>
        <v>716590.24000000011</v>
      </c>
      <c r="BB78" s="374">
        <f t="shared" si="65"/>
        <v>71659.024000000019</v>
      </c>
      <c r="BC78" s="374">
        <f t="shared" si="66"/>
        <v>14331.804800000002</v>
      </c>
      <c r="BD78" s="374">
        <f t="shared" si="67"/>
        <v>56687.141120000015</v>
      </c>
      <c r="BE78" s="374">
        <f t="shared" si="68"/>
        <v>573912.27008000005</v>
      </c>
      <c r="BF78" s="374">
        <f t="shared" si="69"/>
        <v>8599082.8800000008</v>
      </c>
      <c r="BG78" s="374">
        <f t="shared" si="70"/>
        <v>713189.10000000009</v>
      </c>
      <c r="BH78" s="374">
        <f t="shared" si="71"/>
        <v>9312271.9800000004</v>
      </c>
      <c r="BI78" s="374">
        <f t="shared" si="72"/>
        <v>419052.23910000006</v>
      </c>
      <c r="BJ78" s="374">
        <f t="shared" si="73"/>
        <v>257972.48640000002</v>
      </c>
      <c r="BK78" s="374">
        <f t="shared" si="74"/>
        <v>483944.70458400011</v>
      </c>
      <c r="BL78" s="374">
        <f t="shared" si="75"/>
        <v>465613.59900000005</v>
      </c>
      <c r="BM78" s="373">
        <f t="shared" si="76"/>
        <v>10938855.009084001</v>
      </c>
      <c r="BN78" s="375"/>
      <c r="BO78" s="377"/>
      <c r="BP78" s="377"/>
      <c r="BQ78" s="377"/>
      <c r="BR78" s="377"/>
      <c r="BS78" s="377"/>
      <c r="BT78" s="377"/>
      <c r="BU78" s="377"/>
      <c r="BV78" s="377"/>
      <c r="BW78" s="377"/>
      <c r="BX78" s="377"/>
      <c r="BY78" s="377"/>
      <c r="BZ78" s="377"/>
      <c r="CA78" s="377"/>
      <c r="CB78" s="377"/>
      <c r="CC78" s="377"/>
      <c r="CD78" s="377"/>
      <c r="CE78" s="377"/>
      <c r="CF78" s="377"/>
      <c r="CG78" s="377"/>
      <c r="CH78" s="377"/>
      <c r="CI78" s="377"/>
    </row>
    <row r="79" spans="1:87" ht="126">
      <c r="A79" s="366">
        <f t="shared" si="77"/>
        <v>41</v>
      </c>
      <c r="B79" s="366">
        <f t="shared" si="77"/>
        <v>13</v>
      </c>
      <c r="C79" s="409" t="s">
        <v>915</v>
      </c>
      <c r="D79" s="412" t="s">
        <v>1104</v>
      </c>
      <c r="E79" s="366" t="s">
        <v>998</v>
      </c>
      <c r="F79" s="366" t="s">
        <v>999</v>
      </c>
      <c r="G79" s="366" t="s">
        <v>1093</v>
      </c>
      <c r="H79" s="371" t="s">
        <v>1105</v>
      </c>
      <c r="I79" s="366">
        <v>17697</v>
      </c>
      <c r="J79" s="367">
        <v>11.4</v>
      </c>
      <c r="K79" s="367">
        <f t="shared" si="46"/>
        <v>201745.80000000002</v>
      </c>
      <c r="L79" s="380"/>
      <c r="M79" s="380">
        <v>16</v>
      </c>
      <c r="N79" s="380"/>
      <c r="O79" s="380"/>
      <c r="P79" s="380"/>
      <c r="Q79" s="368">
        <f t="shared" si="47"/>
        <v>16</v>
      </c>
      <c r="R79" s="411">
        <v>2</v>
      </c>
      <c r="S79" s="411">
        <v>4</v>
      </c>
      <c r="T79" s="411">
        <v>14</v>
      </c>
      <c r="U79" s="411"/>
      <c r="V79" s="411"/>
      <c r="W79" s="381">
        <f t="shared" si="48"/>
        <v>20</v>
      </c>
      <c r="X79" s="370">
        <f t="shared" si="49"/>
        <v>36</v>
      </c>
      <c r="Y79" s="367">
        <f t="shared" si="50"/>
        <v>453928.05000000005</v>
      </c>
      <c r="Z79" s="367">
        <f t="shared" si="51"/>
        <v>45392.805000000008</v>
      </c>
      <c r="AA79" s="366">
        <v>15</v>
      </c>
      <c r="AB79" s="367">
        <f t="shared" si="52"/>
        <v>6636.375</v>
      </c>
      <c r="AC79" s="366">
        <v>5</v>
      </c>
      <c r="AD79" s="367">
        <f t="shared" si="53"/>
        <v>1106.0625</v>
      </c>
      <c r="AE79" s="416"/>
      <c r="AF79" s="366" t="s">
        <v>1106</v>
      </c>
      <c r="AG79" s="367">
        <f t="shared" si="83"/>
        <v>3539.4</v>
      </c>
      <c r="AH79" s="366"/>
      <c r="AI79" s="367"/>
      <c r="AJ79" s="366">
        <f t="shared" si="54"/>
        <v>36</v>
      </c>
      <c r="AK79" s="367">
        <f t="shared" si="55"/>
        <v>15927.300000000001</v>
      </c>
      <c r="AL79" s="366">
        <f t="shared" si="56"/>
        <v>36</v>
      </c>
      <c r="AM79" s="367">
        <f t="shared" si="57"/>
        <v>136178.41500000001</v>
      </c>
      <c r="AN79" s="366" t="str">
        <f t="shared" si="58"/>
        <v>Педагог-шебер</v>
      </c>
      <c r="AO79" s="367">
        <f t="shared" si="59"/>
        <v>226964.02500000002</v>
      </c>
      <c r="AP79" s="367" t="str">
        <f t="shared" si="60"/>
        <v>0</v>
      </c>
      <c r="AQ79" s="367" t="str">
        <f t="shared" si="61"/>
        <v>0</v>
      </c>
      <c r="AR79" s="367" t="str">
        <f t="shared" si="62"/>
        <v>0</v>
      </c>
      <c r="AS79" s="366"/>
      <c r="AT79" s="367"/>
      <c r="AU79" s="371"/>
      <c r="AV79" s="367"/>
      <c r="AW79" s="371" t="str">
        <f t="shared" si="79"/>
        <v>Магистр-физика</v>
      </c>
      <c r="AX79" s="372">
        <f>10*4552</f>
        <v>45520</v>
      </c>
      <c r="AY79" s="367"/>
      <c r="AZ79" s="367">
        <f t="shared" si="63"/>
        <v>481264.38250000007</v>
      </c>
      <c r="BA79" s="373">
        <f t="shared" si="64"/>
        <v>935192.43250000011</v>
      </c>
      <c r="BB79" s="374">
        <f t="shared" si="65"/>
        <v>93519.243250000014</v>
      </c>
      <c r="BC79" s="374">
        <f t="shared" si="66"/>
        <v>18703.848650000004</v>
      </c>
      <c r="BD79" s="374">
        <f t="shared" si="67"/>
        <v>75924.134059999997</v>
      </c>
      <c r="BE79" s="374">
        <f t="shared" si="68"/>
        <v>747045.20654000004</v>
      </c>
      <c r="BF79" s="374">
        <f t="shared" si="69"/>
        <v>11222309.190000001</v>
      </c>
      <c r="BG79" s="374">
        <f t="shared" si="70"/>
        <v>907856.10000000009</v>
      </c>
      <c r="BH79" s="374">
        <f t="shared" si="71"/>
        <v>12130165.290000001</v>
      </c>
      <c r="BI79" s="374">
        <f t="shared" si="72"/>
        <v>545857.43805000011</v>
      </c>
      <c r="BJ79" s="374">
        <f t="shared" si="73"/>
        <v>336669.27570000006</v>
      </c>
      <c r="BK79" s="374">
        <f t="shared" si="74"/>
        <v>630339.84544199996</v>
      </c>
      <c r="BL79" s="374">
        <f t="shared" si="75"/>
        <v>606508.26450000005</v>
      </c>
      <c r="BM79" s="373">
        <f t="shared" si="76"/>
        <v>14249540.113692001</v>
      </c>
      <c r="BN79" s="375"/>
      <c r="BO79" s="377"/>
      <c r="BP79" s="377"/>
      <c r="BQ79" s="377"/>
      <c r="BR79" s="377"/>
      <c r="BS79" s="377"/>
      <c r="BT79" s="377"/>
      <c r="BU79" s="377"/>
      <c r="BV79" s="377"/>
      <c r="BW79" s="377"/>
      <c r="BX79" s="377"/>
      <c r="BY79" s="377"/>
      <c r="BZ79" s="377"/>
      <c r="CA79" s="377"/>
      <c r="CB79" s="377"/>
      <c r="CC79" s="377"/>
      <c r="CD79" s="377"/>
      <c r="CE79" s="377"/>
      <c r="CF79" s="377"/>
      <c r="CG79" s="377"/>
      <c r="CH79" s="377"/>
      <c r="CI79" s="377"/>
    </row>
    <row r="80" spans="1:87" ht="47.25">
      <c r="A80" s="366">
        <f t="shared" si="77"/>
        <v>42</v>
      </c>
      <c r="B80" s="366">
        <f t="shared" si="77"/>
        <v>14</v>
      </c>
      <c r="C80" s="409" t="s">
        <v>1107</v>
      </c>
      <c r="D80" s="412" t="s">
        <v>1099</v>
      </c>
      <c r="E80" s="366" t="s">
        <v>998</v>
      </c>
      <c r="F80" s="366"/>
      <c r="G80" s="366"/>
      <c r="H80" s="371" t="s">
        <v>1403</v>
      </c>
      <c r="I80" s="366">
        <v>17697</v>
      </c>
      <c r="J80" s="367">
        <v>9.5</v>
      </c>
      <c r="K80" s="367">
        <f t="shared" si="46"/>
        <v>168121.5</v>
      </c>
      <c r="L80" s="380">
        <v>20</v>
      </c>
      <c r="M80" s="380"/>
      <c r="N80" s="380"/>
      <c r="O80" s="380"/>
      <c r="P80" s="380"/>
      <c r="Q80" s="368">
        <f t="shared" si="47"/>
        <v>20</v>
      </c>
      <c r="R80" s="411">
        <v>5</v>
      </c>
      <c r="S80" s="411"/>
      <c r="T80" s="411"/>
      <c r="U80" s="411"/>
      <c r="V80" s="411"/>
      <c r="W80" s="381">
        <f t="shared" ref="W80:W83" si="85">SUM(R80:V80)</f>
        <v>5</v>
      </c>
      <c r="X80" s="370">
        <f t="shared" si="49"/>
        <v>25</v>
      </c>
      <c r="Y80" s="367">
        <f t="shared" si="50"/>
        <v>262689.84375</v>
      </c>
      <c r="Z80" s="367">
        <f t="shared" si="51"/>
        <v>26268.984375</v>
      </c>
      <c r="AA80" s="366">
        <v>0</v>
      </c>
      <c r="AB80" s="367">
        <f t="shared" si="52"/>
        <v>0</v>
      </c>
      <c r="AC80" s="366">
        <v>25</v>
      </c>
      <c r="AD80" s="367">
        <f t="shared" si="53"/>
        <v>5530.3125</v>
      </c>
      <c r="AE80" s="416"/>
      <c r="AF80" s="366"/>
      <c r="AG80" s="367"/>
      <c r="AH80" s="366"/>
      <c r="AI80" s="367"/>
      <c r="AJ80" s="366">
        <f t="shared" si="54"/>
        <v>25</v>
      </c>
      <c r="AK80" s="367">
        <f t="shared" si="55"/>
        <v>11060.625</v>
      </c>
      <c r="AL80" s="366">
        <f t="shared" si="56"/>
        <v>25</v>
      </c>
      <c r="AM80" s="367">
        <f t="shared" si="57"/>
        <v>78806.953125</v>
      </c>
      <c r="AN80" s="366">
        <f t="shared" si="58"/>
        <v>0</v>
      </c>
      <c r="AO80" s="367" t="str">
        <f t="shared" si="59"/>
        <v>0</v>
      </c>
      <c r="AP80" s="367" t="str">
        <f t="shared" si="60"/>
        <v>0</v>
      </c>
      <c r="AQ80" s="367" t="str">
        <f t="shared" si="61"/>
        <v>0</v>
      </c>
      <c r="AR80" s="367" t="str">
        <f t="shared" si="62"/>
        <v>0</v>
      </c>
      <c r="AS80" s="366"/>
      <c r="AT80" s="367"/>
      <c r="AU80" s="371"/>
      <c r="AV80" s="367"/>
      <c r="AW80" s="371">
        <f t="shared" si="79"/>
        <v>0</v>
      </c>
      <c r="AX80" s="372"/>
      <c r="AY80" s="367"/>
      <c r="AZ80" s="367">
        <f t="shared" si="63"/>
        <v>121666.875</v>
      </c>
      <c r="BA80" s="373">
        <f t="shared" si="64"/>
        <v>384356.71875</v>
      </c>
      <c r="BB80" s="374">
        <f t="shared" si="65"/>
        <v>38435.671875</v>
      </c>
      <c r="BC80" s="374">
        <f t="shared" si="66"/>
        <v>7687.1343750000005</v>
      </c>
      <c r="BD80" s="374">
        <f t="shared" si="67"/>
        <v>27450.591249999998</v>
      </c>
      <c r="BE80" s="374">
        <f t="shared" si="68"/>
        <v>310783.32124999998</v>
      </c>
      <c r="BF80" s="374">
        <f t="shared" si="69"/>
        <v>4612280.625</v>
      </c>
      <c r="BG80" s="374">
        <f t="shared" si="70"/>
        <v>525379.6875</v>
      </c>
      <c r="BH80" s="374">
        <f t="shared" si="71"/>
        <v>5137660.3125</v>
      </c>
      <c r="BI80" s="374">
        <f t="shared" si="72"/>
        <v>231194.71406250002</v>
      </c>
      <c r="BJ80" s="374">
        <f t="shared" si="73"/>
        <v>138368.41874999998</v>
      </c>
      <c r="BK80" s="374">
        <f t="shared" si="74"/>
        <v>267286.63950000005</v>
      </c>
      <c r="BL80" s="374">
        <f t="shared" si="75"/>
        <v>256883.015625</v>
      </c>
      <c r="BM80" s="373">
        <f t="shared" si="76"/>
        <v>6031393.1004374996</v>
      </c>
      <c r="BN80" s="375"/>
      <c r="BO80" s="377"/>
      <c r="BP80" s="377"/>
      <c r="BQ80" s="377"/>
      <c r="BR80" s="377"/>
      <c r="BS80" s="377"/>
      <c r="BT80" s="377"/>
      <c r="BU80" s="377"/>
      <c r="BV80" s="377"/>
      <c r="BW80" s="377"/>
      <c r="BX80" s="377"/>
      <c r="BY80" s="377"/>
      <c r="BZ80" s="377"/>
      <c r="CA80" s="377"/>
      <c r="CB80" s="377"/>
      <c r="CC80" s="377"/>
      <c r="CD80" s="377"/>
      <c r="CE80" s="377"/>
      <c r="CF80" s="377"/>
      <c r="CG80" s="377"/>
      <c r="CH80" s="377"/>
      <c r="CI80" s="377"/>
    </row>
    <row r="81" spans="1:87" ht="47.25">
      <c r="A81" s="366">
        <f t="shared" si="77"/>
        <v>43</v>
      </c>
      <c r="B81" s="366">
        <f t="shared" si="77"/>
        <v>15</v>
      </c>
      <c r="C81" s="409" t="s">
        <v>228</v>
      </c>
      <c r="D81" s="412" t="s">
        <v>1092</v>
      </c>
      <c r="E81" s="366" t="s">
        <v>998</v>
      </c>
      <c r="F81" s="366"/>
      <c r="G81" s="366"/>
      <c r="H81" s="371" t="s">
        <v>398</v>
      </c>
      <c r="I81" s="366">
        <v>17697</v>
      </c>
      <c r="J81" s="367">
        <v>11.18</v>
      </c>
      <c r="K81" s="367">
        <f t="shared" si="46"/>
        <v>197852.46</v>
      </c>
      <c r="L81" s="380">
        <v>20</v>
      </c>
      <c r="M81" s="380"/>
      <c r="N81" s="380">
        <v>4</v>
      </c>
      <c r="O81" s="380"/>
      <c r="P81" s="380"/>
      <c r="Q81" s="368">
        <f t="shared" si="47"/>
        <v>24</v>
      </c>
      <c r="R81" s="411">
        <v>5</v>
      </c>
      <c r="S81" s="411"/>
      <c r="T81" s="411">
        <v>1</v>
      </c>
      <c r="U81" s="411"/>
      <c r="V81" s="411"/>
      <c r="W81" s="381">
        <f t="shared" si="85"/>
        <v>6</v>
      </c>
      <c r="X81" s="370">
        <f t="shared" si="49"/>
        <v>30</v>
      </c>
      <c r="Y81" s="367">
        <f t="shared" si="50"/>
        <v>370973.36249999999</v>
      </c>
      <c r="Z81" s="367">
        <f t="shared" si="51"/>
        <v>37097.33625</v>
      </c>
      <c r="AA81" s="366">
        <v>5</v>
      </c>
      <c r="AB81" s="367">
        <f t="shared" si="52"/>
        <v>2212.125</v>
      </c>
      <c r="AC81" s="366">
        <v>25</v>
      </c>
      <c r="AD81" s="367">
        <f t="shared" si="53"/>
        <v>5530.3125</v>
      </c>
      <c r="AE81" s="372"/>
      <c r="AF81" s="366" t="s">
        <v>1108</v>
      </c>
      <c r="AG81" s="367">
        <f>17697*20%</f>
        <v>3539.4</v>
      </c>
      <c r="AH81" s="366" t="s">
        <v>1109</v>
      </c>
      <c r="AI81" s="367">
        <f>I81*200%</f>
        <v>35394</v>
      </c>
      <c r="AJ81" s="366">
        <f t="shared" si="54"/>
        <v>30</v>
      </c>
      <c r="AK81" s="367">
        <f t="shared" si="55"/>
        <v>13272.75</v>
      </c>
      <c r="AL81" s="366">
        <f t="shared" si="56"/>
        <v>30</v>
      </c>
      <c r="AM81" s="367">
        <f t="shared" si="57"/>
        <v>111292.00874999999</v>
      </c>
      <c r="AN81" s="366">
        <f t="shared" si="58"/>
        <v>0</v>
      </c>
      <c r="AO81" s="367" t="str">
        <f t="shared" si="59"/>
        <v>0</v>
      </c>
      <c r="AP81" s="367" t="str">
        <f t="shared" si="60"/>
        <v>0</v>
      </c>
      <c r="AQ81" s="367" t="str">
        <f t="shared" si="61"/>
        <v>0</v>
      </c>
      <c r="AR81" s="367" t="str">
        <f t="shared" si="62"/>
        <v>0</v>
      </c>
      <c r="AS81" s="366"/>
      <c r="AT81" s="367"/>
      <c r="AU81" s="371"/>
      <c r="AV81" s="367"/>
      <c r="AW81" s="371">
        <f t="shared" si="79"/>
        <v>0</v>
      </c>
      <c r="AX81" s="367"/>
      <c r="AY81" s="367"/>
      <c r="AZ81" s="367">
        <f t="shared" si="63"/>
        <v>208337.9325</v>
      </c>
      <c r="BA81" s="373">
        <f t="shared" si="64"/>
        <v>579311.29499999993</v>
      </c>
      <c r="BB81" s="374">
        <f t="shared" si="65"/>
        <v>57931.129499999995</v>
      </c>
      <c r="BC81" s="374">
        <f t="shared" si="66"/>
        <v>11586.225899999999</v>
      </c>
      <c r="BD81" s="374">
        <f t="shared" si="67"/>
        <v>44606.593959999998</v>
      </c>
      <c r="BE81" s="374">
        <f t="shared" si="68"/>
        <v>465187.34563999996</v>
      </c>
      <c r="BF81" s="374">
        <f t="shared" si="69"/>
        <v>6951735.5399999991</v>
      </c>
      <c r="BG81" s="374">
        <f t="shared" si="70"/>
        <v>741946.72499999998</v>
      </c>
      <c r="BH81" s="374">
        <f t="shared" si="71"/>
        <v>7693682.2649999987</v>
      </c>
      <c r="BI81" s="374">
        <f t="shared" si="72"/>
        <v>346215.70192499994</v>
      </c>
      <c r="BJ81" s="374">
        <f t="shared" si="73"/>
        <v>208552.06619999997</v>
      </c>
      <c r="BK81" s="374">
        <f t="shared" si="74"/>
        <v>400165.02412199986</v>
      </c>
      <c r="BL81" s="374">
        <f t="shared" si="75"/>
        <v>384684.11324999994</v>
      </c>
      <c r="BM81" s="373">
        <f t="shared" si="76"/>
        <v>9033299.1704970002</v>
      </c>
      <c r="BN81" s="375"/>
      <c r="BO81" s="377"/>
      <c r="BP81" s="377"/>
      <c r="BQ81" s="377"/>
      <c r="BR81" s="377"/>
      <c r="BS81" s="377"/>
      <c r="BT81" s="377"/>
      <c r="BU81" s="377"/>
      <c r="BV81" s="377"/>
      <c r="BW81" s="377"/>
      <c r="BX81" s="377"/>
      <c r="BY81" s="377"/>
      <c r="BZ81" s="377"/>
      <c r="CA81" s="377"/>
      <c r="CB81" s="377"/>
      <c r="CC81" s="377"/>
      <c r="CD81" s="377"/>
      <c r="CE81" s="377"/>
      <c r="CF81" s="377"/>
      <c r="CG81" s="377"/>
      <c r="CH81" s="377"/>
      <c r="CI81" s="377"/>
    </row>
    <row r="82" spans="1:87" ht="30">
      <c r="A82" s="366">
        <f t="shared" si="77"/>
        <v>44</v>
      </c>
      <c r="B82" s="366">
        <f t="shared" si="77"/>
        <v>16</v>
      </c>
      <c r="C82" s="409" t="s">
        <v>1110</v>
      </c>
      <c r="D82" s="412" t="s">
        <v>1111</v>
      </c>
      <c r="E82" s="366" t="s">
        <v>998</v>
      </c>
      <c r="F82" s="366" t="s">
        <v>999</v>
      </c>
      <c r="G82" s="366"/>
      <c r="H82" s="371" t="s">
        <v>1112</v>
      </c>
      <c r="I82" s="366">
        <v>17697</v>
      </c>
      <c r="J82" s="367">
        <v>11.4</v>
      </c>
      <c r="K82" s="367">
        <f t="shared" si="46"/>
        <v>201745.80000000002</v>
      </c>
      <c r="L82" s="380"/>
      <c r="M82" s="380"/>
      <c r="N82" s="380"/>
      <c r="O82" s="380"/>
      <c r="P82" s="380">
        <v>16</v>
      </c>
      <c r="Q82" s="368">
        <f t="shared" si="47"/>
        <v>16</v>
      </c>
      <c r="R82" s="411"/>
      <c r="S82" s="411"/>
      <c r="T82" s="411"/>
      <c r="U82" s="411"/>
      <c r="V82" s="411"/>
      <c r="W82" s="381">
        <f t="shared" si="85"/>
        <v>0</v>
      </c>
      <c r="X82" s="370">
        <f t="shared" si="49"/>
        <v>16</v>
      </c>
      <c r="Y82" s="367">
        <f t="shared" si="50"/>
        <v>201745.80000000002</v>
      </c>
      <c r="Z82" s="367">
        <f t="shared" si="51"/>
        <v>20174.580000000002</v>
      </c>
      <c r="AA82" s="366"/>
      <c r="AB82" s="367">
        <f t="shared" si="52"/>
        <v>0</v>
      </c>
      <c r="AC82" s="366">
        <v>16</v>
      </c>
      <c r="AD82" s="367">
        <f t="shared" si="53"/>
        <v>3539.4</v>
      </c>
      <c r="AE82" s="416"/>
      <c r="AF82" s="366" t="s">
        <v>264</v>
      </c>
      <c r="AG82" s="367">
        <f t="shared" ref="AG82" si="86">17697*20%</f>
        <v>3539.4</v>
      </c>
      <c r="AH82" s="366"/>
      <c r="AI82" s="367"/>
      <c r="AJ82" s="366">
        <f t="shared" si="54"/>
        <v>16</v>
      </c>
      <c r="AK82" s="367">
        <f t="shared" si="55"/>
        <v>7078.8</v>
      </c>
      <c r="AL82" s="366">
        <f t="shared" si="56"/>
        <v>16</v>
      </c>
      <c r="AM82" s="367">
        <f t="shared" si="57"/>
        <v>60523.740000000005</v>
      </c>
      <c r="AN82" s="366" t="str">
        <f>F82</f>
        <v>Педагог-шебер</v>
      </c>
      <c r="AO82" s="367">
        <f t="shared" si="59"/>
        <v>100872.90000000001</v>
      </c>
      <c r="AP82" s="367" t="str">
        <f t="shared" si="60"/>
        <v>0</v>
      </c>
      <c r="AQ82" s="367" t="str">
        <f t="shared" si="61"/>
        <v>0</v>
      </c>
      <c r="AR82" s="367" t="str">
        <f t="shared" si="62"/>
        <v>0</v>
      </c>
      <c r="AS82" s="366"/>
      <c r="AT82" s="367"/>
      <c r="AU82" s="371"/>
      <c r="AV82" s="367"/>
      <c r="AW82" s="371">
        <f t="shared" si="79"/>
        <v>0</v>
      </c>
      <c r="AX82" s="367"/>
      <c r="AY82" s="367"/>
      <c r="AZ82" s="367">
        <f t="shared" si="63"/>
        <v>195728.82</v>
      </c>
      <c r="BA82" s="373">
        <f t="shared" si="64"/>
        <v>397474.62</v>
      </c>
      <c r="BB82" s="374">
        <f t="shared" si="65"/>
        <v>39747.462</v>
      </c>
      <c r="BC82" s="374">
        <f t="shared" si="66"/>
        <v>7949.4924000000001</v>
      </c>
      <c r="BD82" s="374">
        <f t="shared" si="67"/>
        <v>28604.966560000001</v>
      </c>
      <c r="BE82" s="374">
        <f t="shared" si="68"/>
        <v>321172.69903999998</v>
      </c>
      <c r="BF82" s="374">
        <f t="shared" si="69"/>
        <v>4769695.4399999995</v>
      </c>
      <c r="BG82" s="374">
        <f t="shared" si="70"/>
        <v>403491.60000000003</v>
      </c>
      <c r="BH82" s="374">
        <f t="shared" si="71"/>
        <v>5173187.0399999991</v>
      </c>
      <c r="BI82" s="374">
        <f t="shared" si="72"/>
        <v>232793.41679999998</v>
      </c>
      <c r="BJ82" s="374">
        <f t="shared" si="73"/>
        <v>143090.86319999999</v>
      </c>
      <c r="BK82" s="374">
        <f t="shared" si="74"/>
        <v>268858.77019199985</v>
      </c>
      <c r="BL82" s="374">
        <f t="shared" si="75"/>
        <v>258659.35199999996</v>
      </c>
      <c r="BM82" s="373">
        <f t="shared" si="76"/>
        <v>6076589.4421919985</v>
      </c>
      <c r="BN82" s="375"/>
      <c r="BO82" s="377"/>
      <c r="BP82" s="377"/>
      <c r="BQ82" s="377"/>
      <c r="BR82" s="377"/>
      <c r="BS82" s="377"/>
      <c r="BT82" s="377"/>
      <c r="BU82" s="377"/>
      <c r="BV82" s="377"/>
      <c r="BW82" s="377"/>
      <c r="BX82" s="377"/>
      <c r="BY82" s="377"/>
      <c r="BZ82" s="377"/>
      <c r="CA82" s="377"/>
      <c r="CB82" s="377"/>
      <c r="CC82" s="377"/>
      <c r="CD82" s="377"/>
      <c r="CE82" s="377"/>
      <c r="CF82" s="377"/>
      <c r="CG82" s="377"/>
      <c r="CH82" s="377"/>
      <c r="CI82" s="377"/>
    </row>
    <row r="83" spans="1:87" ht="47.25">
      <c r="A83" s="366">
        <f t="shared" si="77"/>
        <v>45</v>
      </c>
      <c r="B83" s="366">
        <f t="shared" si="77"/>
        <v>17</v>
      </c>
      <c r="C83" s="413" t="s">
        <v>1113</v>
      </c>
      <c r="D83" s="419" t="s">
        <v>1114</v>
      </c>
      <c r="E83" s="366" t="s">
        <v>998</v>
      </c>
      <c r="F83" s="394"/>
      <c r="G83" s="394" t="s">
        <v>1046</v>
      </c>
      <c r="H83" s="395" t="s">
        <v>1419</v>
      </c>
      <c r="I83" s="366">
        <v>17697</v>
      </c>
      <c r="J83" s="367">
        <v>9.84</v>
      </c>
      <c r="K83" s="367">
        <f t="shared" si="46"/>
        <v>174138.48</v>
      </c>
      <c r="L83" s="380"/>
      <c r="M83" s="380">
        <v>20</v>
      </c>
      <c r="N83" s="380"/>
      <c r="O83" s="380"/>
      <c r="P83" s="380"/>
      <c r="Q83" s="368">
        <f t="shared" si="47"/>
        <v>20</v>
      </c>
      <c r="R83" s="411"/>
      <c r="S83" s="411">
        <v>5</v>
      </c>
      <c r="T83" s="411"/>
      <c r="U83" s="411"/>
      <c r="V83" s="411"/>
      <c r="W83" s="381">
        <f t="shared" si="85"/>
        <v>5</v>
      </c>
      <c r="X83" s="370">
        <f t="shared" si="49"/>
        <v>25</v>
      </c>
      <c r="Y83" s="367">
        <f t="shared" si="50"/>
        <v>272091.375</v>
      </c>
      <c r="Z83" s="367">
        <f t="shared" si="51"/>
        <v>27209.137500000001</v>
      </c>
      <c r="AA83" s="366">
        <v>15</v>
      </c>
      <c r="AB83" s="367">
        <f t="shared" si="52"/>
        <v>6636.375</v>
      </c>
      <c r="AC83" s="366">
        <v>10</v>
      </c>
      <c r="AD83" s="367">
        <f t="shared" si="53"/>
        <v>2212.125</v>
      </c>
      <c r="AE83" s="416"/>
      <c r="AF83" s="366"/>
      <c r="AG83" s="367"/>
      <c r="AH83" s="366"/>
      <c r="AI83" s="367"/>
      <c r="AJ83" s="366">
        <f t="shared" si="54"/>
        <v>25</v>
      </c>
      <c r="AK83" s="367">
        <f t="shared" si="55"/>
        <v>11060.625</v>
      </c>
      <c r="AL83" s="366">
        <f t="shared" si="56"/>
        <v>25</v>
      </c>
      <c r="AM83" s="367">
        <f t="shared" si="57"/>
        <v>81627.412499999991</v>
      </c>
      <c r="AN83" s="366">
        <f t="shared" ref="AN83" si="87">F83</f>
        <v>0</v>
      </c>
      <c r="AO83" s="367" t="str">
        <f t="shared" si="59"/>
        <v>0</v>
      </c>
      <c r="AP83" s="367" t="str">
        <f t="shared" si="60"/>
        <v>0</v>
      </c>
      <c r="AQ83" s="367" t="str">
        <f t="shared" si="61"/>
        <v>0</v>
      </c>
      <c r="AR83" s="367" t="str">
        <f t="shared" si="62"/>
        <v>0</v>
      </c>
      <c r="AS83" s="366"/>
      <c r="AT83" s="367"/>
      <c r="AU83" s="371"/>
      <c r="AV83" s="367"/>
      <c r="AW83" s="371" t="str">
        <f t="shared" si="79"/>
        <v>Магистр педагогических наук</v>
      </c>
      <c r="AX83" s="372">
        <f>10*4552</f>
        <v>45520</v>
      </c>
      <c r="AY83" s="367"/>
      <c r="AZ83" s="367">
        <f t="shared" si="63"/>
        <v>174265.67499999999</v>
      </c>
      <c r="BA83" s="373">
        <f t="shared" si="64"/>
        <v>446357.05</v>
      </c>
      <c r="BB83" s="374">
        <f t="shared" si="65"/>
        <v>44635.705000000002</v>
      </c>
      <c r="BC83" s="374">
        <f t="shared" si="66"/>
        <v>8927.1409999999996</v>
      </c>
      <c r="BD83" s="374">
        <f t="shared" si="67"/>
        <v>32906.6204</v>
      </c>
      <c r="BE83" s="374">
        <f t="shared" si="68"/>
        <v>359887.58359999995</v>
      </c>
      <c r="BF83" s="374">
        <f t="shared" si="69"/>
        <v>5356284.5999999996</v>
      </c>
      <c r="BG83" s="374">
        <f t="shared" si="70"/>
        <v>544182.75</v>
      </c>
      <c r="BH83" s="374">
        <f t="shared" si="71"/>
        <v>5900467.3499999996</v>
      </c>
      <c r="BI83" s="374">
        <f t="shared" si="72"/>
        <v>265521.03075000003</v>
      </c>
      <c r="BJ83" s="374">
        <f t="shared" si="73"/>
        <v>160688.53799999997</v>
      </c>
      <c r="BK83" s="374">
        <f t="shared" si="74"/>
        <v>306841.41078000003</v>
      </c>
      <c r="BL83" s="374">
        <f t="shared" si="75"/>
        <v>295023.36749999999</v>
      </c>
      <c r="BM83" s="373">
        <f t="shared" si="76"/>
        <v>6928541.6970299985</v>
      </c>
      <c r="BN83" s="375"/>
      <c r="BO83" s="377"/>
      <c r="BP83" s="377"/>
      <c r="BQ83" s="377"/>
      <c r="BR83" s="377"/>
      <c r="BS83" s="377"/>
      <c r="BT83" s="377"/>
      <c r="BU83" s="377"/>
      <c r="BV83" s="377"/>
      <c r="BW83" s="377"/>
      <c r="BX83" s="377"/>
      <c r="BY83" s="377"/>
      <c r="BZ83" s="377"/>
      <c r="CA83" s="377"/>
      <c r="CB83" s="377"/>
      <c r="CC83" s="377"/>
      <c r="CD83" s="377"/>
      <c r="CE83" s="377"/>
      <c r="CF83" s="377"/>
      <c r="CG83" s="377"/>
      <c r="CH83" s="377"/>
      <c r="CI83" s="377"/>
    </row>
    <row r="84" spans="1:87" ht="63">
      <c r="A84" s="366">
        <f t="shared" ref="A84:B85" si="88">A83+1</f>
        <v>46</v>
      </c>
      <c r="B84" s="366">
        <f t="shared" si="88"/>
        <v>18</v>
      </c>
      <c r="C84" s="413" t="s">
        <v>919</v>
      </c>
      <c r="D84" s="410" t="s">
        <v>1115</v>
      </c>
      <c r="E84" s="366" t="s">
        <v>998</v>
      </c>
      <c r="F84" s="394" t="s">
        <v>1005</v>
      </c>
      <c r="G84" s="394" t="s">
        <v>1116</v>
      </c>
      <c r="H84" s="395" t="s">
        <v>1420</v>
      </c>
      <c r="I84" s="394">
        <v>17697</v>
      </c>
      <c r="J84" s="367">
        <v>10.4</v>
      </c>
      <c r="K84" s="367">
        <f t="shared" si="46"/>
        <v>184048.80000000002</v>
      </c>
      <c r="L84" s="380"/>
      <c r="M84" s="380"/>
      <c r="N84" s="380"/>
      <c r="O84" s="380">
        <v>20</v>
      </c>
      <c r="P84" s="380">
        <v>4</v>
      </c>
      <c r="Q84" s="368">
        <f t="shared" si="47"/>
        <v>24</v>
      </c>
      <c r="R84" s="411">
        <v>10</v>
      </c>
      <c r="S84" s="411">
        <v>4</v>
      </c>
      <c r="T84" s="411"/>
      <c r="U84" s="411"/>
      <c r="V84" s="411"/>
      <c r="W84" s="381">
        <f t="shared" si="48"/>
        <v>14</v>
      </c>
      <c r="X84" s="370">
        <f t="shared" si="49"/>
        <v>38</v>
      </c>
      <c r="Y84" s="367">
        <f t="shared" si="50"/>
        <v>437115.9</v>
      </c>
      <c r="Z84" s="367">
        <f t="shared" si="51"/>
        <v>43711.590000000004</v>
      </c>
      <c r="AA84" s="366">
        <v>12</v>
      </c>
      <c r="AB84" s="367">
        <f t="shared" si="52"/>
        <v>5309.1</v>
      </c>
      <c r="AC84" s="366">
        <v>12</v>
      </c>
      <c r="AD84" s="367">
        <f t="shared" si="53"/>
        <v>2654.55</v>
      </c>
      <c r="AE84" s="416"/>
      <c r="AF84" s="366"/>
      <c r="AG84" s="367"/>
      <c r="AH84" s="366"/>
      <c r="AI84" s="367"/>
      <c r="AJ84" s="366">
        <f t="shared" si="54"/>
        <v>38</v>
      </c>
      <c r="AK84" s="367">
        <f t="shared" si="55"/>
        <v>16812.150000000001</v>
      </c>
      <c r="AL84" s="366">
        <f t="shared" si="56"/>
        <v>38</v>
      </c>
      <c r="AM84" s="367">
        <f t="shared" si="57"/>
        <v>131134.76999999999</v>
      </c>
      <c r="AN84" s="366" t="str">
        <f>F84</f>
        <v>Педагог-зерттеуші</v>
      </c>
      <c r="AO84" s="367" t="str">
        <f t="shared" si="59"/>
        <v>0</v>
      </c>
      <c r="AP84" s="367">
        <f t="shared" si="60"/>
        <v>174846.36000000002</v>
      </c>
      <c r="AQ84" s="367" t="str">
        <f t="shared" si="61"/>
        <v>0</v>
      </c>
      <c r="AR84" s="367" t="str">
        <f t="shared" si="62"/>
        <v>0</v>
      </c>
      <c r="AS84" s="366"/>
      <c r="AT84" s="367"/>
      <c r="AU84" s="420"/>
      <c r="AV84" s="367"/>
      <c r="AW84" s="371" t="str">
        <f t="shared" si="79"/>
        <v>Магистр-ядерная физика</v>
      </c>
      <c r="AX84" s="372">
        <f>10*4552</f>
        <v>45520</v>
      </c>
      <c r="AY84" s="367"/>
      <c r="AZ84" s="367">
        <f t="shared" si="63"/>
        <v>419988.52</v>
      </c>
      <c r="BA84" s="373">
        <f t="shared" si="64"/>
        <v>857104.42</v>
      </c>
      <c r="BB84" s="374">
        <f t="shared" si="65"/>
        <v>85710.44200000001</v>
      </c>
      <c r="BC84" s="374">
        <f t="shared" si="66"/>
        <v>17142.088400000001</v>
      </c>
      <c r="BD84" s="374">
        <f t="shared" si="67"/>
        <v>69052.388959999997</v>
      </c>
      <c r="BE84" s="374">
        <f t="shared" si="68"/>
        <v>685199.50063999998</v>
      </c>
      <c r="BF84" s="374">
        <f t="shared" si="69"/>
        <v>10285253.040000001</v>
      </c>
      <c r="BG84" s="374">
        <f t="shared" si="70"/>
        <v>874231.8</v>
      </c>
      <c r="BH84" s="374">
        <f t="shared" si="71"/>
        <v>11159484.840000002</v>
      </c>
      <c r="BI84" s="374">
        <f t="shared" si="72"/>
        <v>502176.81780000014</v>
      </c>
      <c r="BJ84" s="374">
        <f t="shared" si="73"/>
        <v>308557.59120000002</v>
      </c>
      <c r="BK84" s="374">
        <f t="shared" si="74"/>
        <v>579984.6246720003</v>
      </c>
      <c r="BL84" s="374">
        <f t="shared" si="75"/>
        <v>557974.24200000009</v>
      </c>
      <c r="BM84" s="373">
        <f t="shared" si="76"/>
        <v>13108178.115672002</v>
      </c>
      <c r="BN84" s="385">
        <v>0.25</v>
      </c>
      <c r="BO84" s="377"/>
      <c r="BP84" s="377"/>
      <c r="BQ84" s="377"/>
      <c r="BR84" s="377"/>
      <c r="BS84" s="377"/>
      <c r="BT84" s="377"/>
      <c r="BU84" s="377"/>
      <c r="BV84" s="377"/>
      <c r="BW84" s="377"/>
      <c r="BX84" s="377"/>
      <c r="BY84" s="377"/>
      <c r="BZ84" s="377"/>
      <c r="CA84" s="377"/>
      <c r="CB84" s="377"/>
      <c r="CC84" s="377"/>
      <c r="CD84" s="377"/>
      <c r="CE84" s="377"/>
      <c r="CF84" s="377"/>
      <c r="CG84" s="377"/>
      <c r="CH84" s="377"/>
      <c r="CI84" s="377"/>
    </row>
    <row r="85" spans="1:87" ht="47.25">
      <c r="A85" s="366">
        <f t="shared" si="88"/>
        <v>47</v>
      </c>
      <c r="B85" s="366">
        <f t="shared" si="88"/>
        <v>19</v>
      </c>
      <c r="C85" s="378" t="s">
        <v>930</v>
      </c>
      <c r="D85" s="421" t="s">
        <v>1117</v>
      </c>
      <c r="E85" s="366" t="s">
        <v>998</v>
      </c>
      <c r="F85" s="362"/>
      <c r="G85" s="362"/>
      <c r="H85" s="397" t="s">
        <v>279</v>
      </c>
      <c r="I85" s="394">
        <v>17697</v>
      </c>
      <c r="J85" s="398">
        <v>9.66</v>
      </c>
      <c r="K85" s="367">
        <f t="shared" si="46"/>
        <v>170953.02</v>
      </c>
      <c r="L85" s="380"/>
      <c r="M85" s="380">
        <v>8</v>
      </c>
      <c r="N85" s="380">
        <v>8</v>
      </c>
      <c r="O85" s="380"/>
      <c r="P85" s="380"/>
      <c r="Q85" s="368">
        <f t="shared" si="47"/>
        <v>16</v>
      </c>
      <c r="R85" s="411"/>
      <c r="S85" s="411">
        <v>2</v>
      </c>
      <c r="T85" s="411">
        <v>2</v>
      </c>
      <c r="U85" s="411"/>
      <c r="V85" s="411"/>
      <c r="W85" s="381">
        <f t="shared" si="48"/>
        <v>4</v>
      </c>
      <c r="X85" s="370">
        <f t="shared" si="49"/>
        <v>20</v>
      </c>
      <c r="Y85" s="367">
        <f t="shared" si="50"/>
        <v>213691.27499999999</v>
      </c>
      <c r="Z85" s="367">
        <f t="shared" si="51"/>
        <v>21369.127500000002</v>
      </c>
      <c r="AA85" s="366">
        <v>20</v>
      </c>
      <c r="AB85" s="367">
        <f t="shared" si="52"/>
        <v>8848.5</v>
      </c>
      <c r="AC85" s="366"/>
      <c r="AD85" s="367">
        <f t="shared" si="53"/>
        <v>0</v>
      </c>
      <c r="AE85" s="416"/>
      <c r="AF85" s="366"/>
      <c r="AG85" s="367"/>
      <c r="AH85" s="366"/>
      <c r="AI85" s="367"/>
      <c r="AJ85" s="366">
        <f t="shared" si="54"/>
        <v>20</v>
      </c>
      <c r="AK85" s="367">
        <f t="shared" si="55"/>
        <v>8848.5</v>
      </c>
      <c r="AL85" s="366">
        <f t="shared" si="56"/>
        <v>20</v>
      </c>
      <c r="AM85" s="367">
        <f t="shared" si="57"/>
        <v>64107.382499999992</v>
      </c>
      <c r="AN85" s="366">
        <f>F85</f>
        <v>0</v>
      </c>
      <c r="AO85" s="367" t="str">
        <f t="shared" si="59"/>
        <v>0</v>
      </c>
      <c r="AP85" s="367" t="str">
        <f t="shared" si="60"/>
        <v>0</v>
      </c>
      <c r="AQ85" s="367" t="str">
        <f t="shared" si="61"/>
        <v>0</v>
      </c>
      <c r="AR85" s="367" t="str">
        <f t="shared" si="62"/>
        <v>0</v>
      </c>
      <c r="AS85" s="366"/>
      <c r="AT85" s="367"/>
      <c r="AU85" s="371"/>
      <c r="AV85" s="367"/>
      <c r="AW85" s="371">
        <f t="shared" si="79"/>
        <v>0</v>
      </c>
      <c r="AX85" s="372"/>
      <c r="AY85" s="367"/>
      <c r="AZ85" s="367">
        <f t="shared" si="63"/>
        <v>103173.51</v>
      </c>
      <c r="BA85" s="373">
        <f t="shared" si="64"/>
        <v>316864.78499999997</v>
      </c>
      <c r="BB85" s="374">
        <f t="shared" si="65"/>
        <v>31686.478499999997</v>
      </c>
      <c r="BC85" s="374">
        <f t="shared" si="66"/>
        <v>6337.2956999999997</v>
      </c>
      <c r="BD85" s="374">
        <f t="shared" si="67"/>
        <v>21511.301079999994</v>
      </c>
      <c r="BE85" s="374">
        <f t="shared" si="68"/>
        <v>257329.70971999993</v>
      </c>
      <c r="BF85" s="374">
        <f t="shared" si="69"/>
        <v>3802377.42</v>
      </c>
      <c r="BG85" s="374">
        <f t="shared" si="70"/>
        <v>427382.55</v>
      </c>
      <c r="BH85" s="374">
        <f t="shared" si="71"/>
        <v>4229759.97</v>
      </c>
      <c r="BI85" s="374">
        <f t="shared" si="72"/>
        <v>190339.19865000001</v>
      </c>
      <c r="BJ85" s="374">
        <f t="shared" si="73"/>
        <v>114071.3226</v>
      </c>
      <c r="BK85" s="374">
        <f t="shared" si="74"/>
        <v>220041.80805599995</v>
      </c>
      <c r="BL85" s="374">
        <f t="shared" si="75"/>
        <v>211487.99849999999</v>
      </c>
      <c r="BM85" s="373">
        <f t="shared" si="76"/>
        <v>4965700.2978059985</v>
      </c>
      <c r="BN85" s="375"/>
      <c r="BO85" s="377"/>
      <c r="BP85" s="377"/>
      <c r="BQ85" s="377"/>
      <c r="BR85" s="377"/>
      <c r="BS85" s="377"/>
      <c r="BT85" s="377"/>
      <c r="BU85" s="377"/>
      <c r="BV85" s="377"/>
      <c r="BW85" s="377"/>
      <c r="BX85" s="377"/>
      <c r="BY85" s="377"/>
      <c r="BZ85" s="377"/>
      <c r="CA85" s="377"/>
      <c r="CB85" s="377"/>
      <c r="CC85" s="377"/>
      <c r="CD85" s="377"/>
      <c r="CE85" s="377"/>
      <c r="CF85" s="377"/>
      <c r="CG85" s="377"/>
      <c r="CH85" s="377"/>
      <c r="CI85" s="377"/>
    </row>
    <row r="86" spans="1:87" ht="15">
      <c r="A86" s="1529"/>
      <c r="B86" s="1521"/>
      <c r="C86" s="1520" t="s">
        <v>2</v>
      </c>
      <c r="D86" s="1507"/>
      <c r="E86" s="1507"/>
      <c r="F86" s="1507"/>
      <c r="G86" s="1522"/>
      <c r="H86" s="1522"/>
      <c r="I86" s="1507"/>
      <c r="J86" s="1508"/>
      <c r="K86" s="422">
        <f t="shared" ref="K86:AE86" si="89">SUM(K67:K85)</f>
        <v>3602047.3799999994</v>
      </c>
      <c r="L86" s="422">
        <f t="shared" si="89"/>
        <v>80</v>
      </c>
      <c r="M86" s="422">
        <f t="shared" si="89"/>
        <v>80</v>
      </c>
      <c r="N86" s="422">
        <f t="shared" si="89"/>
        <v>72</v>
      </c>
      <c r="O86" s="422">
        <f t="shared" si="89"/>
        <v>72</v>
      </c>
      <c r="P86" s="422">
        <f t="shared" si="89"/>
        <v>72</v>
      </c>
      <c r="Q86" s="422">
        <f t="shared" si="89"/>
        <v>376</v>
      </c>
      <c r="R86" s="422">
        <f t="shared" si="89"/>
        <v>38</v>
      </c>
      <c r="S86" s="422">
        <f t="shared" si="89"/>
        <v>27</v>
      </c>
      <c r="T86" s="422">
        <f t="shared" si="89"/>
        <v>45</v>
      </c>
      <c r="U86" s="422">
        <f t="shared" si="89"/>
        <v>20</v>
      </c>
      <c r="V86" s="422">
        <f t="shared" si="89"/>
        <v>0</v>
      </c>
      <c r="W86" s="422">
        <f t="shared" si="89"/>
        <v>130</v>
      </c>
      <c r="X86" s="422">
        <f t="shared" si="89"/>
        <v>506</v>
      </c>
      <c r="Y86" s="423">
        <f t="shared" si="89"/>
        <v>5960039.9025000008</v>
      </c>
      <c r="Z86" s="422">
        <f t="shared" si="89"/>
        <v>596003.99025000003</v>
      </c>
      <c r="AA86" s="422">
        <f t="shared" si="89"/>
        <v>225</v>
      </c>
      <c r="AB86" s="422">
        <f t="shared" si="89"/>
        <v>99545.625</v>
      </c>
      <c r="AC86" s="422">
        <f t="shared" si="89"/>
        <v>209</v>
      </c>
      <c r="AD86" s="422">
        <f t="shared" si="89"/>
        <v>46233.412500000006</v>
      </c>
      <c r="AE86" s="422">
        <f t="shared" si="89"/>
        <v>196600</v>
      </c>
      <c r="AF86" s="422">
        <v>8</v>
      </c>
      <c r="AG86" s="422">
        <f>SUM(AG67:AG85)</f>
        <v>28315.200000000004</v>
      </c>
      <c r="AH86" s="422">
        <v>1</v>
      </c>
      <c r="AI86" s="422">
        <f t="shared" ref="AI86:BN86" si="90">SUM(AI67:AI85)</f>
        <v>35394</v>
      </c>
      <c r="AJ86" s="422">
        <f t="shared" si="90"/>
        <v>506</v>
      </c>
      <c r="AK86" s="422">
        <f t="shared" si="90"/>
        <v>223867.04999999996</v>
      </c>
      <c r="AL86" s="422">
        <f t="shared" si="90"/>
        <v>506</v>
      </c>
      <c r="AM86" s="422">
        <f t="shared" si="90"/>
        <v>1788011.9707500003</v>
      </c>
      <c r="AN86" s="422">
        <f t="shared" si="90"/>
        <v>0</v>
      </c>
      <c r="AO86" s="422">
        <f t="shared" si="90"/>
        <v>687196.63125000009</v>
      </c>
      <c r="AP86" s="422">
        <f t="shared" si="90"/>
        <v>807779.56500000006</v>
      </c>
      <c r="AQ86" s="422">
        <f t="shared" si="90"/>
        <v>0</v>
      </c>
      <c r="AR86" s="422">
        <f t="shared" si="90"/>
        <v>339457.21762499999</v>
      </c>
      <c r="AS86" s="422">
        <f t="shared" si="90"/>
        <v>0</v>
      </c>
      <c r="AT86" s="422">
        <f t="shared" si="90"/>
        <v>0</v>
      </c>
      <c r="AU86" s="422">
        <f t="shared" si="90"/>
        <v>0</v>
      </c>
      <c r="AV86" s="422">
        <f t="shared" si="90"/>
        <v>0</v>
      </c>
      <c r="AW86" s="422">
        <f t="shared" si="90"/>
        <v>0</v>
      </c>
      <c r="AX86" s="422">
        <f t="shared" si="90"/>
        <v>532584</v>
      </c>
      <c r="AY86" s="422">
        <f t="shared" si="90"/>
        <v>0</v>
      </c>
      <c r="AZ86" s="422">
        <f t="shared" si="90"/>
        <v>5380988.6623749994</v>
      </c>
      <c r="BA86" s="422">
        <f t="shared" si="90"/>
        <v>11341028.564875001</v>
      </c>
      <c r="BB86" s="422">
        <f t="shared" si="90"/>
        <v>1134102.8564875</v>
      </c>
      <c r="BC86" s="422">
        <f t="shared" si="90"/>
        <v>226820.57129749999</v>
      </c>
      <c r="BD86" s="422">
        <f t="shared" si="90"/>
        <v>876927.31370899989</v>
      </c>
      <c r="BE86" s="422">
        <f t="shared" si="90"/>
        <v>9103177.8233809993</v>
      </c>
      <c r="BF86" s="422">
        <f t="shared" si="90"/>
        <v>136092342.77849999</v>
      </c>
      <c r="BG86" s="422">
        <f t="shared" si="90"/>
        <v>11920079.805000002</v>
      </c>
      <c r="BH86" s="422">
        <f t="shared" si="90"/>
        <v>148012422.5835</v>
      </c>
      <c r="BI86" s="422">
        <f t="shared" si="90"/>
        <v>6660559.0162575003</v>
      </c>
      <c r="BJ86" s="422">
        <f t="shared" si="90"/>
        <v>4082770.283355</v>
      </c>
      <c r="BK86" s="422">
        <f t="shared" si="90"/>
        <v>7693267.6653962992</v>
      </c>
      <c r="BL86" s="422">
        <f t="shared" si="90"/>
        <v>7400621.1291750008</v>
      </c>
      <c r="BM86" s="422">
        <f t="shared" si="90"/>
        <v>173849640.6776838</v>
      </c>
      <c r="BN86" s="422">
        <f t="shared" si="90"/>
        <v>1</v>
      </c>
      <c r="BO86" s="408"/>
      <c r="BP86" s="355"/>
      <c r="BQ86" s="355"/>
      <c r="BR86" s="355"/>
      <c r="BS86" s="355"/>
      <c r="BT86" s="355"/>
      <c r="BU86" s="355"/>
      <c r="BV86" s="355"/>
      <c r="BW86" s="355"/>
      <c r="BX86" s="355"/>
      <c r="BY86" s="355"/>
      <c r="BZ86" s="355"/>
      <c r="CA86" s="355"/>
      <c r="CB86" s="355"/>
      <c r="CC86" s="355"/>
      <c r="CD86" s="355"/>
      <c r="CE86" s="355"/>
      <c r="CF86" s="355"/>
      <c r="CG86" s="355"/>
      <c r="CH86" s="355"/>
      <c r="CI86" s="356"/>
    </row>
    <row r="87" spans="1:87" ht="24" customHeight="1">
      <c r="A87" s="369">
        <f>A85+1</f>
        <v>48</v>
      </c>
      <c r="B87" s="416">
        <v>1</v>
      </c>
      <c r="C87" s="409" t="s">
        <v>1118</v>
      </c>
      <c r="D87" s="414" t="s">
        <v>1119</v>
      </c>
      <c r="E87" s="366" t="s">
        <v>998</v>
      </c>
      <c r="F87" s="366"/>
      <c r="G87" s="366"/>
      <c r="H87" s="371" t="s">
        <v>1120</v>
      </c>
      <c r="I87" s="366">
        <v>17697</v>
      </c>
      <c r="J87" s="367">
        <v>11.4</v>
      </c>
      <c r="K87" s="367">
        <f t="shared" ref="K87:K102" si="91">I87*J87</f>
        <v>201745.80000000002</v>
      </c>
      <c r="L87" s="380"/>
      <c r="M87" s="380">
        <v>9</v>
      </c>
      <c r="N87" s="380"/>
      <c r="O87" s="380"/>
      <c r="P87" s="380"/>
      <c r="Q87" s="368">
        <f t="shared" ref="Q87:Q102" si="92">SUM(L87:P87)</f>
        <v>9</v>
      </c>
      <c r="R87" s="380"/>
      <c r="S87" s="380"/>
      <c r="T87" s="380"/>
      <c r="U87" s="380"/>
      <c r="V87" s="380"/>
      <c r="W87" s="381">
        <f t="shared" ref="W87:W102" si="93">SUM(R87:V87)</f>
        <v>0</v>
      </c>
      <c r="X87" s="424">
        <f t="shared" ref="X87:X102" si="94">Q87+W87</f>
        <v>9</v>
      </c>
      <c r="Y87" s="400">
        <f t="shared" ref="Y87:Y102" si="95">K87/16*X87</f>
        <v>113482.01250000001</v>
      </c>
      <c r="Z87" s="398">
        <f t="shared" ref="Z87:Z102" si="96">Y87*10%</f>
        <v>11348.201250000002</v>
      </c>
      <c r="AA87" s="366"/>
      <c r="AB87" s="367">
        <f t="shared" ref="AB87:AB102" si="97">I87/16*AA87*40%</f>
        <v>0</v>
      </c>
      <c r="AC87" s="366"/>
      <c r="AD87" s="367">
        <f t="shared" ref="AD87:AD102" si="98">I87/16*AC87*40%*50%</f>
        <v>0</v>
      </c>
      <c r="AE87" s="367"/>
      <c r="AF87" s="366"/>
      <c r="AG87" s="367"/>
      <c r="AH87" s="366"/>
      <c r="AI87" s="367"/>
      <c r="AJ87" s="366">
        <f t="shared" ref="AJ87:AJ102" si="99">X87</f>
        <v>9</v>
      </c>
      <c r="AK87" s="367">
        <f t="shared" ref="AK87:AK102" si="100">I87/16*AJ87*40%</f>
        <v>3981.8250000000003</v>
      </c>
      <c r="AL87" s="366">
        <f t="shared" ref="AL87:AL102" si="101">X87</f>
        <v>9</v>
      </c>
      <c r="AM87" s="367">
        <f t="shared" ref="AM87:AM102" si="102">K87/16*AL87*30%</f>
        <v>34044.603750000002</v>
      </c>
      <c r="AN87" s="366">
        <f t="shared" ref="AN87:AN102" si="103">F87</f>
        <v>0</v>
      </c>
      <c r="AO87" s="367" t="str">
        <f t="shared" ref="AO87:AO102" si="104">IF(AN87="Педагог-зерттеуші", "0", IF(AN87="Педагог-шебер",K87/16*X87*50%, IF(AN87="Педагог-сарапшы", "0", IF(AN87="Педагог-модератор", "0", "0"))))</f>
        <v>0</v>
      </c>
      <c r="AP87" s="367" t="str">
        <f t="shared" ref="AP87:AP102" si="105">IF(AN87="Педагог-шебер", "0", IF(AN87="Педагог-зерттеуші",K87/16*X87*40%, IF(AN87="Педагог-сарапшы", "0", IF(AN87="Педагог-модератор", "0", "0"))))</f>
        <v>0</v>
      </c>
      <c r="AQ87" s="367" t="str">
        <f t="shared" ref="AQ87:AQ102" si="106">IF(AN87="Педагог-шебер", "0", IF(AN87="Педагог-сарапшы",K87/16*X87*35%, IF(AN87="Педагог-зерттеуші", "0", IF(AN87="Педагог-модератор", "0", "0"))))</f>
        <v>0</v>
      </c>
      <c r="AR87" s="367" t="str">
        <f t="shared" ref="AR87:AR102" si="107">IF(AN87="Педагог-шебер", "0", IF(AN87="Педагог-модератор",K87/16*X87*30%, IF(AN87="Педагог-зерттеуші", "0", IF(AN87="Педагог-сарапшы", "0", "0"))))</f>
        <v>0</v>
      </c>
      <c r="AS87" s="366"/>
      <c r="AT87" s="367"/>
      <c r="AU87" s="366"/>
      <c r="AV87" s="367"/>
      <c r="AW87" s="371">
        <f>G87</f>
        <v>0</v>
      </c>
      <c r="AX87" s="367"/>
      <c r="AY87" s="367"/>
      <c r="AZ87" s="367">
        <f t="shared" ref="AZ87:AZ102" si="108">Z87+AB87+AD87+AE87+AG87+AI87+AK87+AM87+AO87+AP87+AQ87++AR87+AT87+AV87+AX87+AY87</f>
        <v>49374.630000000005</v>
      </c>
      <c r="BA87" s="373">
        <f t="shared" ref="BA87:BA102" si="109">Y87+AZ87</f>
        <v>162856.64250000002</v>
      </c>
      <c r="BB87" s="374">
        <f t="shared" si="65"/>
        <v>16285.664250000002</v>
      </c>
      <c r="BC87" s="374">
        <f t="shared" si="66"/>
        <v>3257.1328500000004</v>
      </c>
      <c r="BD87" s="374">
        <f t="shared" ref="BD87:BD102" si="110">(BA87-BB87-BC87-(14*4552))*10%</f>
        <v>7958.5845400000026</v>
      </c>
      <c r="BE87" s="374">
        <f t="shared" si="68"/>
        <v>135355.26086000001</v>
      </c>
      <c r="BF87" s="374">
        <f t="shared" si="69"/>
        <v>1954279.7100000002</v>
      </c>
      <c r="BG87" s="374">
        <f t="shared" ref="BG87:BG102" si="111">Y87*2</f>
        <v>226964.02500000002</v>
      </c>
      <c r="BH87" s="374">
        <f t="shared" si="71"/>
        <v>2181243.7350000003</v>
      </c>
      <c r="BI87" s="374">
        <f t="shared" si="72"/>
        <v>98155.968075000026</v>
      </c>
      <c r="BJ87" s="374">
        <f t="shared" si="73"/>
        <v>58628.391300000003</v>
      </c>
      <c r="BK87" s="374">
        <f t="shared" si="74"/>
        <v>113487.74632800002</v>
      </c>
      <c r="BL87" s="374">
        <f t="shared" ref="BL87:BL102" si="112">BH87*5%</f>
        <v>109062.18675000002</v>
      </c>
      <c r="BM87" s="373">
        <f t="shared" si="76"/>
        <v>2560578.0274530002</v>
      </c>
      <c r="BN87" s="375"/>
      <c r="BO87" s="377"/>
      <c r="BP87" s="377"/>
      <c r="BQ87" s="377"/>
      <c r="BR87" s="377"/>
      <c r="BS87" s="377"/>
      <c r="BT87" s="377"/>
      <c r="BU87" s="377"/>
      <c r="BV87" s="377"/>
      <c r="BW87" s="377"/>
      <c r="BX87" s="377"/>
      <c r="BY87" s="377"/>
      <c r="BZ87" s="377"/>
      <c r="CA87" s="377"/>
      <c r="CB87" s="377"/>
      <c r="CC87" s="377"/>
      <c r="CD87" s="377"/>
      <c r="CE87" s="377"/>
      <c r="CF87" s="377"/>
      <c r="CG87" s="377"/>
      <c r="CH87" s="377"/>
      <c r="CI87" s="377"/>
    </row>
    <row r="88" spans="1:87" ht="45">
      <c r="A88" s="369">
        <f t="shared" ref="A88:B102" si="113">A87+1</f>
        <v>49</v>
      </c>
      <c r="B88" s="416">
        <f t="shared" si="113"/>
        <v>2</v>
      </c>
      <c r="C88" s="425" t="s">
        <v>1121</v>
      </c>
      <c r="D88" s="695" t="s">
        <v>1122</v>
      </c>
      <c r="E88" s="392" t="s">
        <v>998</v>
      </c>
      <c r="F88" s="366" t="s">
        <v>1005</v>
      </c>
      <c r="G88" s="366" t="s">
        <v>1123</v>
      </c>
      <c r="H88" s="371" t="s">
        <v>1421</v>
      </c>
      <c r="I88" s="366">
        <v>17697</v>
      </c>
      <c r="J88" s="367">
        <v>10.82</v>
      </c>
      <c r="K88" s="367">
        <f t="shared" si="91"/>
        <v>191481.54</v>
      </c>
      <c r="L88" s="380"/>
      <c r="M88" s="380"/>
      <c r="N88" s="380">
        <v>15</v>
      </c>
      <c r="O88" s="380">
        <v>12</v>
      </c>
      <c r="P88" s="380">
        <v>6</v>
      </c>
      <c r="Q88" s="368">
        <f t="shared" si="92"/>
        <v>33</v>
      </c>
      <c r="R88" s="380"/>
      <c r="S88" s="380"/>
      <c r="T88" s="380"/>
      <c r="U88" s="380"/>
      <c r="V88" s="380"/>
      <c r="W88" s="381">
        <f t="shared" si="93"/>
        <v>0</v>
      </c>
      <c r="X88" s="424">
        <f t="shared" si="94"/>
        <v>33</v>
      </c>
      <c r="Y88" s="400">
        <f t="shared" si="95"/>
        <v>394930.67625000002</v>
      </c>
      <c r="Z88" s="398">
        <f t="shared" si="96"/>
        <v>39493.067625000003</v>
      </c>
      <c r="AA88" s="366"/>
      <c r="AB88" s="367">
        <f t="shared" si="97"/>
        <v>0</v>
      </c>
      <c r="AC88" s="366"/>
      <c r="AD88" s="367">
        <f t="shared" si="98"/>
        <v>0</v>
      </c>
      <c r="AE88" s="366">
        <v>196600</v>
      </c>
      <c r="AF88" s="366" t="s">
        <v>1124</v>
      </c>
      <c r="AG88" s="367">
        <f t="shared" ref="AG88:AG90" si="114">17697*20%</f>
        <v>3539.4</v>
      </c>
      <c r="AH88" s="366"/>
      <c r="AI88" s="367"/>
      <c r="AJ88" s="366">
        <f t="shared" si="99"/>
        <v>33</v>
      </c>
      <c r="AK88" s="367">
        <f t="shared" si="100"/>
        <v>14600.025000000001</v>
      </c>
      <c r="AL88" s="366">
        <f t="shared" si="101"/>
        <v>33</v>
      </c>
      <c r="AM88" s="367">
        <f t="shared" si="102"/>
        <v>118479.202875</v>
      </c>
      <c r="AN88" s="366" t="str">
        <f t="shared" si="103"/>
        <v>Педагог-зерттеуші</v>
      </c>
      <c r="AO88" s="367" t="str">
        <f t="shared" si="104"/>
        <v>0</v>
      </c>
      <c r="AP88" s="367">
        <f t="shared" si="105"/>
        <v>157972.27050000001</v>
      </c>
      <c r="AQ88" s="367" t="str">
        <f t="shared" si="106"/>
        <v>0</v>
      </c>
      <c r="AR88" s="367" t="str">
        <f t="shared" si="107"/>
        <v>0</v>
      </c>
      <c r="AS88" s="366"/>
      <c r="AT88" s="367"/>
      <c r="AU88" s="372"/>
      <c r="AV88" s="367"/>
      <c r="AW88" s="371" t="str">
        <f>G88</f>
        <v>Магистр-информатики</v>
      </c>
      <c r="AX88" s="372">
        <f t="shared" ref="AX88:AX93" si="115">10*4552</f>
        <v>45520</v>
      </c>
      <c r="AY88" s="367"/>
      <c r="AZ88" s="367">
        <f t="shared" si="108"/>
        <v>576203.96600000001</v>
      </c>
      <c r="BA88" s="373">
        <f t="shared" si="109"/>
        <v>971134.64225000003</v>
      </c>
      <c r="BB88" s="374">
        <f t="shared" si="65"/>
        <v>97113.464225000003</v>
      </c>
      <c r="BC88" s="374">
        <f t="shared" si="66"/>
        <v>19422.692845000001</v>
      </c>
      <c r="BD88" s="374">
        <f t="shared" si="110"/>
        <v>79087.048518000011</v>
      </c>
      <c r="BE88" s="374">
        <f t="shared" si="68"/>
        <v>775511.43666200002</v>
      </c>
      <c r="BF88" s="374">
        <f t="shared" si="69"/>
        <v>11653615.707</v>
      </c>
      <c r="BG88" s="374">
        <f t="shared" si="111"/>
        <v>789861.35250000004</v>
      </c>
      <c r="BH88" s="374">
        <f t="shared" si="71"/>
        <v>12443477.059500001</v>
      </c>
      <c r="BI88" s="374">
        <f t="shared" si="72"/>
        <v>559956.4676775001</v>
      </c>
      <c r="BJ88" s="374">
        <f t="shared" si="73"/>
        <v>349608.47120999999</v>
      </c>
      <c r="BK88" s="374">
        <f t="shared" si="74"/>
        <v>646309.80665760022</v>
      </c>
      <c r="BL88" s="374">
        <f t="shared" si="112"/>
        <v>622173.85297500005</v>
      </c>
      <c r="BM88" s="373">
        <f t="shared" si="76"/>
        <v>14621525.658020101</v>
      </c>
      <c r="BN88" s="375">
        <v>0.5</v>
      </c>
      <c r="BO88" s="377"/>
      <c r="BP88" s="377"/>
      <c r="BQ88" s="377"/>
      <c r="BR88" s="377"/>
      <c r="BS88" s="377"/>
      <c r="BT88" s="377"/>
      <c r="BU88" s="377"/>
      <c r="BV88" s="377"/>
      <c r="BW88" s="377"/>
      <c r="BX88" s="377"/>
      <c r="BY88" s="377"/>
      <c r="BZ88" s="377"/>
      <c r="CA88" s="377"/>
      <c r="CB88" s="377"/>
      <c r="CC88" s="377"/>
      <c r="CD88" s="377"/>
      <c r="CE88" s="377"/>
      <c r="CF88" s="377"/>
      <c r="CG88" s="377"/>
      <c r="CH88" s="377"/>
      <c r="CI88" s="377"/>
    </row>
    <row r="89" spans="1:87" ht="60">
      <c r="A89" s="369">
        <f t="shared" si="113"/>
        <v>50</v>
      </c>
      <c r="B89" s="416">
        <f t="shared" si="113"/>
        <v>3</v>
      </c>
      <c r="C89" s="378" t="s">
        <v>116</v>
      </c>
      <c r="D89" s="406" t="s">
        <v>1125</v>
      </c>
      <c r="E89" s="392" t="s">
        <v>998</v>
      </c>
      <c r="F89" s="366" t="s">
        <v>1126</v>
      </c>
      <c r="G89" s="366" t="s">
        <v>229</v>
      </c>
      <c r="H89" s="371" t="s">
        <v>1127</v>
      </c>
      <c r="I89" s="366">
        <v>17697</v>
      </c>
      <c r="J89" s="367">
        <v>11.4</v>
      </c>
      <c r="K89" s="367">
        <f t="shared" si="91"/>
        <v>201745.80000000002</v>
      </c>
      <c r="L89" s="380"/>
      <c r="M89" s="380"/>
      <c r="N89" s="380"/>
      <c r="O89" s="380">
        <v>2</v>
      </c>
      <c r="P89" s="380">
        <v>8</v>
      </c>
      <c r="Q89" s="368">
        <f t="shared" si="92"/>
        <v>10</v>
      </c>
      <c r="R89" s="380"/>
      <c r="S89" s="380"/>
      <c r="T89" s="380"/>
      <c r="U89" s="380"/>
      <c r="V89" s="380"/>
      <c r="W89" s="381">
        <f t="shared" si="93"/>
        <v>0</v>
      </c>
      <c r="X89" s="424">
        <f t="shared" si="94"/>
        <v>10</v>
      </c>
      <c r="Y89" s="400">
        <f t="shared" si="95"/>
        <v>126091.12500000001</v>
      </c>
      <c r="Z89" s="398"/>
      <c r="AA89" s="366"/>
      <c r="AB89" s="367">
        <f t="shared" si="97"/>
        <v>0</v>
      </c>
      <c r="AC89" s="366"/>
      <c r="AD89" s="367">
        <f t="shared" si="98"/>
        <v>0</v>
      </c>
      <c r="AE89" s="372"/>
      <c r="AF89" s="366"/>
      <c r="AG89" s="367"/>
      <c r="AH89" s="366"/>
      <c r="AI89" s="367"/>
      <c r="AJ89" s="366">
        <f t="shared" si="99"/>
        <v>10</v>
      </c>
      <c r="AK89" s="367">
        <f t="shared" si="100"/>
        <v>4424.25</v>
      </c>
      <c r="AL89" s="366">
        <f t="shared" si="101"/>
        <v>10</v>
      </c>
      <c r="AM89" s="367">
        <f t="shared" si="102"/>
        <v>37827.337500000001</v>
      </c>
      <c r="AN89" s="366" t="str">
        <f t="shared" si="103"/>
        <v>педагог-шебер</v>
      </c>
      <c r="AO89" s="367">
        <f t="shared" si="104"/>
        <v>63045.562500000007</v>
      </c>
      <c r="AP89" s="367" t="str">
        <f t="shared" si="105"/>
        <v>0</v>
      </c>
      <c r="AQ89" s="367" t="str">
        <f t="shared" si="106"/>
        <v>0</v>
      </c>
      <c r="AR89" s="367" t="str">
        <f t="shared" si="107"/>
        <v>0</v>
      </c>
      <c r="AS89" s="366"/>
      <c r="AT89" s="367"/>
      <c r="AU89" s="372"/>
      <c r="AV89" s="367"/>
      <c r="AW89" s="371" t="str">
        <f>G89</f>
        <v>Магистр-информационные системы</v>
      </c>
      <c r="AX89" s="372">
        <f t="shared" si="115"/>
        <v>45520</v>
      </c>
      <c r="AY89" s="367"/>
      <c r="AZ89" s="367">
        <f t="shared" si="108"/>
        <v>150817.15000000002</v>
      </c>
      <c r="BA89" s="373">
        <f t="shared" si="109"/>
        <v>276908.27500000002</v>
      </c>
      <c r="BB89" s="374">
        <f t="shared" si="65"/>
        <v>27690.827500000003</v>
      </c>
      <c r="BC89" s="374">
        <f t="shared" si="66"/>
        <v>5538.165500000001</v>
      </c>
      <c r="BD89" s="374">
        <f t="shared" si="110"/>
        <v>17995.128200000003</v>
      </c>
      <c r="BE89" s="374">
        <f t="shared" si="68"/>
        <v>225684.1538</v>
      </c>
      <c r="BF89" s="374">
        <f t="shared" si="69"/>
        <v>3322899.3000000003</v>
      </c>
      <c r="BG89" s="374">
        <f t="shared" si="111"/>
        <v>252182.25000000003</v>
      </c>
      <c r="BH89" s="374">
        <f t="shared" si="71"/>
        <v>3575081.5500000003</v>
      </c>
      <c r="BI89" s="374">
        <f t="shared" si="72"/>
        <v>160878.66975000003</v>
      </c>
      <c r="BJ89" s="374">
        <f t="shared" si="73"/>
        <v>99686.979000000007</v>
      </c>
      <c r="BK89" s="374">
        <f t="shared" si="74"/>
        <v>185744.02524000002</v>
      </c>
      <c r="BL89" s="374">
        <f t="shared" si="112"/>
        <v>178754.07750000001</v>
      </c>
      <c r="BM89" s="373">
        <f t="shared" si="76"/>
        <v>4200145.3014899995</v>
      </c>
      <c r="BN89" s="375">
        <v>1</v>
      </c>
      <c r="BO89" s="377"/>
      <c r="BP89" s="377"/>
      <c r="BQ89" s="377"/>
      <c r="BR89" s="377"/>
      <c r="BS89" s="377"/>
      <c r="BT89" s="377"/>
      <c r="BU89" s="377"/>
      <c r="BV89" s="377"/>
      <c r="BW89" s="377"/>
      <c r="BX89" s="377"/>
      <c r="BY89" s="377"/>
      <c r="BZ89" s="377"/>
      <c r="CA89" s="377"/>
      <c r="CB89" s="377"/>
      <c r="CC89" s="377"/>
      <c r="CD89" s="377"/>
      <c r="CE89" s="377"/>
      <c r="CF89" s="377"/>
      <c r="CG89" s="377"/>
      <c r="CH89" s="377"/>
      <c r="CI89" s="377"/>
    </row>
    <row r="90" spans="1:87" ht="42" customHeight="1">
      <c r="A90" s="369">
        <f t="shared" si="113"/>
        <v>51</v>
      </c>
      <c r="B90" s="416">
        <f t="shared" si="113"/>
        <v>4</v>
      </c>
      <c r="C90" s="378" t="s">
        <v>1128</v>
      </c>
      <c r="D90" s="379" t="s">
        <v>1129</v>
      </c>
      <c r="E90" s="392" t="s">
        <v>998</v>
      </c>
      <c r="F90" s="366" t="s">
        <v>999</v>
      </c>
      <c r="G90" s="366" t="s">
        <v>1123</v>
      </c>
      <c r="H90" s="371" t="s">
        <v>1130</v>
      </c>
      <c r="I90" s="366">
        <v>17697</v>
      </c>
      <c r="J90" s="367">
        <v>11.4</v>
      </c>
      <c r="K90" s="367">
        <f t="shared" si="91"/>
        <v>201745.80000000002</v>
      </c>
      <c r="L90" s="380"/>
      <c r="M90" s="380">
        <v>9</v>
      </c>
      <c r="N90" s="380">
        <v>12</v>
      </c>
      <c r="O90" s="380">
        <v>6</v>
      </c>
      <c r="P90" s="380"/>
      <c r="Q90" s="368">
        <f t="shared" si="92"/>
        <v>27</v>
      </c>
      <c r="R90" s="380"/>
      <c r="S90" s="380"/>
      <c r="T90" s="380"/>
      <c r="U90" s="380"/>
      <c r="V90" s="380"/>
      <c r="W90" s="381">
        <f t="shared" si="93"/>
        <v>0</v>
      </c>
      <c r="X90" s="424">
        <f t="shared" si="94"/>
        <v>27</v>
      </c>
      <c r="Y90" s="400">
        <f t="shared" si="95"/>
        <v>340446.03750000003</v>
      </c>
      <c r="Z90" s="398">
        <f t="shared" si="96"/>
        <v>34044.603750000002</v>
      </c>
      <c r="AA90" s="366"/>
      <c r="AB90" s="367">
        <f t="shared" si="97"/>
        <v>0</v>
      </c>
      <c r="AC90" s="366"/>
      <c r="AD90" s="367">
        <f t="shared" si="98"/>
        <v>0</v>
      </c>
      <c r="AE90" s="366"/>
      <c r="AF90" s="366" t="s">
        <v>1131</v>
      </c>
      <c r="AG90" s="367">
        <f t="shared" si="114"/>
        <v>3539.4</v>
      </c>
      <c r="AH90" s="366"/>
      <c r="AI90" s="367"/>
      <c r="AJ90" s="366">
        <f t="shared" si="99"/>
        <v>27</v>
      </c>
      <c r="AK90" s="367">
        <f t="shared" si="100"/>
        <v>11945.475</v>
      </c>
      <c r="AL90" s="366">
        <f t="shared" si="101"/>
        <v>27</v>
      </c>
      <c r="AM90" s="367">
        <f t="shared" si="102"/>
        <v>102133.81125000001</v>
      </c>
      <c r="AN90" s="366" t="str">
        <f t="shared" si="103"/>
        <v>Педагог-шебер</v>
      </c>
      <c r="AO90" s="367">
        <f t="shared" si="104"/>
        <v>170223.01875000002</v>
      </c>
      <c r="AP90" s="367" t="str">
        <f t="shared" si="105"/>
        <v>0</v>
      </c>
      <c r="AQ90" s="367" t="str">
        <f t="shared" si="106"/>
        <v>0</v>
      </c>
      <c r="AR90" s="367" t="str">
        <f t="shared" si="107"/>
        <v>0</v>
      </c>
      <c r="AS90" s="366"/>
      <c r="AT90" s="367"/>
      <c r="AU90" s="366"/>
      <c r="AV90" s="367"/>
      <c r="AW90" s="371" t="str">
        <f>G90</f>
        <v>Магистр-информатики</v>
      </c>
      <c r="AX90" s="372">
        <f t="shared" si="115"/>
        <v>45520</v>
      </c>
      <c r="AY90" s="367">
        <v>17697</v>
      </c>
      <c r="AZ90" s="367">
        <f t="shared" si="108"/>
        <v>385103.30875000003</v>
      </c>
      <c r="BA90" s="373">
        <f t="shared" si="109"/>
        <v>725549.34625000006</v>
      </c>
      <c r="BB90" s="374">
        <f t="shared" si="65"/>
        <v>72554.934625000009</v>
      </c>
      <c r="BC90" s="374">
        <f t="shared" si="66"/>
        <v>14510.986925000001</v>
      </c>
      <c r="BD90" s="374">
        <f t="shared" si="110"/>
        <v>57475.542470000015</v>
      </c>
      <c r="BE90" s="374">
        <f t="shared" si="68"/>
        <v>581007.8822300001</v>
      </c>
      <c r="BF90" s="374">
        <f t="shared" si="69"/>
        <v>8706592.1550000012</v>
      </c>
      <c r="BG90" s="374">
        <f t="shared" si="111"/>
        <v>680892.07500000007</v>
      </c>
      <c r="BH90" s="374">
        <f t="shared" si="71"/>
        <v>9387484.2300000004</v>
      </c>
      <c r="BI90" s="374">
        <f t="shared" si="72"/>
        <v>422436.79035000002</v>
      </c>
      <c r="BJ90" s="374">
        <f t="shared" si="73"/>
        <v>261197.76465000003</v>
      </c>
      <c r="BK90" s="374">
        <f t="shared" si="74"/>
        <v>487769.64567899995</v>
      </c>
      <c r="BL90" s="374">
        <f t="shared" si="112"/>
        <v>469374.21150000003</v>
      </c>
      <c r="BM90" s="373">
        <f t="shared" si="76"/>
        <v>11028262.642179001</v>
      </c>
      <c r="BN90" s="375"/>
      <c r="BO90" s="377"/>
      <c r="BP90" s="377"/>
      <c r="BQ90" s="377"/>
      <c r="BR90" s="377"/>
      <c r="BS90" s="377"/>
      <c r="BT90" s="377"/>
      <c r="BU90" s="377"/>
      <c r="BV90" s="377"/>
      <c r="BW90" s="377"/>
      <c r="BX90" s="377"/>
      <c r="BY90" s="377"/>
      <c r="BZ90" s="377"/>
      <c r="CA90" s="377"/>
      <c r="CB90" s="377"/>
      <c r="CC90" s="377"/>
      <c r="CD90" s="377"/>
      <c r="CE90" s="377"/>
      <c r="CF90" s="377"/>
      <c r="CG90" s="377"/>
      <c r="CH90" s="377"/>
      <c r="CI90" s="377"/>
    </row>
    <row r="91" spans="1:87" ht="45.75" customHeight="1">
      <c r="A91" s="369">
        <f t="shared" si="113"/>
        <v>52</v>
      </c>
      <c r="B91" s="416">
        <f t="shared" si="113"/>
        <v>5</v>
      </c>
      <c r="C91" s="418" t="s">
        <v>1132</v>
      </c>
      <c r="D91" s="421" t="s">
        <v>1133</v>
      </c>
      <c r="E91" s="366" t="s">
        <v>998</v>
      </c>
      <c r="F91" s="366"/>
      <c r="G91" s="366" t="s">
        <v>1046</v>
      </c>
      <c r="H91" s="371" t="s">
        <v>1422</v>
      </c>
      <c r="I91" s="366">
        <v>17697</v>
      </c>
      <c r="J91" s="367">
        <v>9.84</v>
      </c>
      <c r="K91" s="367">
        <f t="shared" si="91"/>
        <v>174138.48</v>
      </c>
      <c r="L91" s="380">
        <v>15</v>
      </c>
      <c r="M91" s="380">
        <v>6</v>
      </c>
      <c r="N91" s="380"/>
      <c r="O91" s="380"/>
      <c r="P91" s="380"/>
      <c r="Q91" s="368">
        <f t="shared" si="92"/>
        <v>21</v>
      </c>
      <c r="R91" s="380"/>
      <c r="S91" s="380"/>
      <c r="T91" s="380"/>
      <c r="U91" s="380"/>
      <c r="V91" s="380"/>
      <c r="W91" s="381">
        <f t="shared" si="93"/>
        <v>0</v>
      </c>
      <c r="X91" s="424">
        <f t="shared" si="94"/>
        <v>21</v>
      </c>
      <c r="Y91" s="400">
        <f t="shared" si="95"/>
        <v>228556.755</v>
      </c>
      <c r="Z91" s="398">
        <f t="shared" si="96"/>
        <v>22855.675500000001</v>
      </c>
      <c r="AA91" s="366"/>
      <c r="AB91" s="367">
        <f t="shared" si="97"/>
        <v>0</v>
      </c>
      <c r="AC91" s="366"/>
      <c r="AD91" s="367">
        <f t="shared" si="98"/>
        <v>0</v>
      </c>
      <c r="AE91" s="366"/>
      <c r="AF91" s="366"/>
      <c r="AG91" s="367"/>
      <c r="AH91" s="366"/>
      <c r="AI91" s="367"/>
      <c r="AJ91" s="366">
        <f t="shared" si="99"/>
        <v>21</v>
      </c>
      <c r="AK91" s="367">
        <f t="shared" si="100"/>
        <v>9290.9250000000011</v>
      </c>
      <c r="AL91" s="366">
        <f t="shared" si="101"/>
        <v>21</v>
      </c>
      <c r="AM91" s="367">
        <f t="shared" si="102"/>
        <v>68567.026499999993</v>
      </c>
      <c r="AN91" s="366">
        <f t="shared" si="103"/>
        <v>0</v>
      </c>
      <c r="AO91" s="367" t="str">
        <f t="shared" si="104"/>
        <v>0</v>
      </c>
      <c r="AP91" s="367" t="str">
        <f t="shared" si="105"/>
        <v>0</v>
      </c>
      <c r="AQ91" s="367" t="str">
        <f t="shared" si="106"/>
        <v>0</v>
      </c>
      <c r="AR91" s="367" t="str">
        <f t="shared" si="107"/>
        <v>0</v>
      </c>
      <c r="AS91" s="366"/>
      <c r="AT91" s="367"/>
      <c r="AU91" s="366"/>
      <c r="AV91" s="367"/>
      <c r="AW91" s="371" t="str">
        <f t="shared" ref="AW91:AW102" si="116">G91</f>
        <v>Магистр педагогических наук</v>
      </c>
      <c r="AX91" s="372">
        <f t="shared" si="115"/>
        <v>45520</v>
      </c>
      <c r="AY91" s="367"/>
      <c r="AZ91" s="367">
        <f t="shared" si="108"/>
        <v>146233.62699999998</v>
      </c>
      <c r="BA91" s="373">
        <f t="shared" si="109"/>
        <v>374790.38199999998</v>
      </c>
      <c r="BB91" s="374">
        <f t="shared" si="65"/>
        <v>37479.038200000003</v>
      </c>
      <c r="BC91" s="374">
        <f t="shared" si="66"/>
        <v>7495.80764</v>
      </c>
      <c r="BD91" s="374">
        <f t="shared" si="110"/>
        <v>26608.753615999998</v>
      </c>
      <c r="BE91" s="374">
        <f t="shared" si="68"/>
        <v>303206.78254399996</v>
      </c>
      <c r="BF91" s="374">
        <f t="shared" si="69"/>
        <v>4497484.5839999998</v>
      </c>
      <c r="BG91" s="374">
        <f t="shared" si="111"/>
        <v>457113.51</v>
      </c>
      <c r="BH91" s="374">
        <f t="shared" si="71"/>
        <v>4954598.0939999996</v>
      </c>
      <c r="BI91" s="374">
        <f t="shared" si="72"/>
        <v>222956.91422999999</v>
      </c>
      <c r="BJ91" s="374">
        <f t="shared" si="73"/>
        <v>134924.53751999998</v>
      </c>
      <c r="BK91" s="374">
        <f t="shared" si="74"/>
        <v>257653.8309912</v>
      </c>
      <c r="BL91" s="374">
        <f t="shared" si="112"/>
        <v>247729.90469999998</v>
      </c>
      <c r="BM91" s="373">
        <f t="shared" si="76"/>
        <v>5817863.2814411996</v>
      </c>
      <c r="BN91" s="375"/>
      <c r="BO91" s="377"/>
      <c r="BP91" s="377"/>
      <c r="BQ91" s="377"/>
      <c r="BR91" s="377"/>
      <c r="BS91" s="377"/>
      <c r="BT91" s="377"/>
      <c r="BU91" s="377"/>
      <c r="BV91" s="377"/>
      <c r="BW91" s="377"/>
      <c r="BX91" s="377"/>
      <c r="BY91" s="377"/>
      <c r="BZ91" s="377"/>
      <c r="CA91" s="377"/>
      <c r="CB91" s="377"/>
      <c r="CC91" s="377"/>
      <c r="CD91" s="377"/>
      <c r="CE91" s="377"/>
      <c r="CF91" s="377"/>
      <c r="CG91" s="377"/>
      <c r="CH91" s="377"/>
      <c r="CI91" s="377"/>
    </row>
    <row r="92" spans="1:87" ht="42.75" customHeight="1">
      <c r="A92" s="369">
        <f t="shared" si="113"/>
        <v>53</v>
      </c>
      <c r="B92" s="416">
        <f t="shared" si="113"/>
        <v>6</v>
      </c>
      <c r="C92" s="409" t="s">
        <v>1135</v>
      </c>
      <c r="D92" s="412" t="s">
        <v>1136</v>
      </c>
      <c r="E92" s="366" t="s">
        <v>998</v>
      </c>
      <c r="F92" s="366" t="s">
        <v>1005</v>
      </c>
      <c r="G92" s="366" t="s">
        <v>1123</v>
      </c>
      <c r="H92" s="371" t="s">
        <v>1423</v>
      </c>
      <c r="I92" s="366">
        <v>17697</v>
      </c>
      <c r="J92" s="367">
        <v>10.82</v>
      </c>
      <c r="K92" s="367">
        <f t="shared" si="91"/>
        <v>191481.54</v>
      </c>
      <c r="L92" s="380"/>
      <c r="M92" s="380">
        <v>15</v>
      </c>
      <c r="N92" s="426"/>
      <c r="O92" s="380"/>
      <c r="P92" s="380">
        <v>10</v>
      </c>
      <c r="Q92" s="368">
        <f t="shared" si="92"/>
        <v>25</v>
      </c>
      <c r="R92" s="380"/>
      <c r="S92" s="380"/>
      <c r="T92" s="380"/>
      <c r="U92" s="380"/>
      <c r="V92" s="380"/>
      <c r="W92" s="381">
        <f t="shared" si="93"/>
        <v>0</v>
      </c>
      <c r="X92" s="424">
        <f t="shared" si="94"/>
        <v>25</v>
      </c>
      <c r="Y92" s="400">
        <f t="shared" si="95"/>
        <v>299189.90625</v>
      </c>
      <c r="Z92" s="398">
        <f t="shared" si="96"/>
        <v>29918.990625000002</v>
      </c>
      <c r="AA92" s="366"/>
      <c r="AB92" s="367">
        <f t="shared" si="97"/>
        <v>0</v>
      </c>
      <c r="AC92" s="366"/>
      <c r="AD92" s="367">
        <f t="shared" si="98"/>
        <v>0</v>
      </c>
      <c r="AE92" s="420"/>
      <c r="AF92" s="366" t="s">
        <v>1138</v>
      </c>
      <c r="AG92" s="367">
        <f t="shared" ref="AG92" si="117">17697*20%</f>
        <v>3539.4</v>
      </c>
      <c r="AH92" s="366" t="s">
        <v>1139</v>
      </c>
      <c r="AI92" s="367">
        <f>I92*200%</f>
        <v>35394</v>
      </c>
      <c r="AJ92" s="366">
        <f t="shared" si="99"/>
        <v>25</v>
      </c>
      <c r="AK92" s="367">
        <f t="shared" si="100"/>
        <v>11060.625</v>
      </c>
      <c r="AL92" s="366">
        <f t="shared" si="101"/>
        <v>25</v>
      </c>
      <c r="AM92" s="367">
        <f t="shared" si="102"/>
        <v>89756.971875000003</v>
      </c>
      <c r="AN92" s="366" t="str">
        <f t="shared" si="103"/>
        <v>Педагог-зерттеуші</v>
      </c>
      <c r="AO92" s="367" t="str">
        <f t="shared" si="104"/>
        <v>0</v>
      </c>
      <c r="AP92" s="367">
        <f t="shared" si="105"/>
        <v>119675.96250000001</v>
      </c>
      <c r="AQ92" s="367" t="str">
        <f t="shared" si="106"/>
        <v>0</v>
      </c>
      <c r="AR92" s="367" t="str">
        <f t="shared" si="107"/>
        <v>0</v>
      </c>
      <c r="AS92" s="366"/>
      <c r="AT92" s="367"/>
      <c r="AU92" s="420"/>
      <c r="AV92" s="367"/>
      <c r="AW92" s="371" t="str">
        <f t="shared" si="116"/>
        <v>Магистр-информатики</v>
      </c>
      <c r="AX92" s="372">
        <f t="shared" si="115"/>
        <v>45520</v>
      </c>
      <c r="AY92" s="367"/>
      <c r="AZ92" s="367">
        <f t="shared" si="108"/>
        <v>334865.95</v>
      </c>
      <c r="BA92" s="373">
        <f t="shared" si="109"/>
        <v>634055.85624999995</v>
      </c>
      <c r="BB92" s="374">
        <f t="shared" si="65"/>
        <v>63405.585625</v>
      </c>
      <c r="BC92" s="374">
        <f t="shared" si="66"/>
        <v>12681.117124999999</v>
      </c>
      <c r="BD92" s="374">
        <f t="shared" si="110"/>
        <v>49424.115350000007</v>
      </c>
      <c r="BE92" s="374">
        <f t="shared" si="68"/>
        <v>508545.03815000004</v>
      </c>
      <c r="BF92" s="374">
        <f t="shared" si="69"/>
        <v>7608670.2749999994</v>
      </c>
      <c r="BG92" s="374">
        <f t="shared" si="111"/>
        <v>598379.8125</v>
      </c>
      <c r="BH92" s="374">
        <f t="shared" si="71"/>
        <v>8207050.0874999994</v>
      </c>
      <c r="BI92" s="374">
        <f t="shared" si="72"/>
        <v>369317.25393750001</v>
      </c>
      <c r="BJ92" s="374">
        <f t="shared" si="73"/>
        <v>228260.10824999996</v>
      </c>
      <c r="BK92" s="374">
        <f t="shared" si="74"/>
        <v>426441.63011999993</v>
      </c>
      <c r="BL92" s="374">
        <f t="shared" si="112"/>
        <v>410352.50437500002</v>
      </c>
      <c r="BM92" s="373">
        <f t="shared" si="76"/>
        <v>9641421.584182499</v>
      </c>
      <c r="BN92" s="375"/>
      <c r="BO92" s="377"/>
      <c r="BP92" s="377"/>
      <c r="BQ92" s="377"/>
      <c r="BR92" s="377"/>
      <c r="BS92" s="377"/>
      <c r="BT92" s="377"/>
      <c r="BU92" s="377"/>
      <c r="BV92" s="377"/>
      <c r="BW92" s="377"/>
      <c r="BX92" s="377"/>
      <c r="BY92" s="377"/>
      <c r="BZ92" s="377"/>
      <c r="CA92" s="377"/>
      <c r="CB92" s="377"/>
      <c r="CC92" s="377"/>
      <c r="CD92" s="377"/>
      <c r="CE92" s="377"/>
      <c r="CF92" s="377"/>
      <c r="CG92" s="377"/>
      <c r="CH92" s="377"/>
      <c r="CI92" s="377"/>
    </row>
    <row r="93" spans="1:87" ht="45" customHeight="1">
      <c r="A93" s="369">
        <f t="shared" si="113"/>
        <v>54</v>
      </c>
      <c r="B93" s="416">
        <f t="shared" si="113"/>
        <v>7</v>
      </c>
      <c r="C93" s="387" t="s">
        <v>1143</v>
      </c>
      <c r="D93" s="429" t="s">
        <v>1144</v>
      </c>
      <c r="E93" s="362" t="s">
        <v>998</v>
      </c>
      <c r="F93" s="362" t="s">
        <v>1005</v>
      </c>
      <c r="G93" s="362" t="s">
        <v>1123</v>
      </c>
      <c r="H93" s="397" t="s">
        <v>1424</v>
      </c>
      <c r="I93" s="362">
        <v>17697</v>
      </c>
      <c r="J93" s="400">
        <v>10.6</v>
      </c>
      <c r="K93" s="400">
        <f t="shared" si="91"/>
        <v>187588.19999999998</v>
      </c>
      <c r="L93" s="401"/>
      <c r="M93" s="380"/>
      <c r="N93" s="380">
        <v>12</v>
      </c>
      <c r="O93" s="380"/>
      <c r="P93" s="380">
        <v>8</v>
      </c>
      <c r="Q93" s="368">
        <f t="shared" si="92"/>
        <v>20</v>
      </c>
      <c r="R93" s="426"/>
      <c r="S93" s="380"/>
      <c r="T93" s="380"/>
      <c r="U93" s="380"/>
      <c r="V93" s="430"/>
      <c r="W93" s="381">
        <f t="shared" si="93"/>
        <v>0</v>
      </c>
      <c r="X93" s="424">
        <f t="shared" si="94"/>
        <v>20</v>
      </c>
      <c r="Y93" s="400">
        <f t="shared" si="95"/>
        <v>234485.24999999997</v>
      </c>
      <c r="Z93" s="398">
        <f t="shared" si="96"/>
        <v>23448.524999999998</v>
      </c>
      <c r="AA93" s="366"/>
      <c r="AB93" s="367">
        <f t="shared" si="97"/>
        <v>0</v>
      </c>
      <c r="AC93" s="366"/>
      <c r="AD93" s="367">
        <f t="shared" si="98"/>
        <v>0</v>
      </c>
      <c r="AE93" s="366"/>
      <c r="AF93" s="366" t="s">
        <v>1146</v>
      </c>
      <c r="AG93" s="367">
        <f>17697*20%</f>
        <v>3539.4</v>
      </c>
      <c r="AH93" s="366"/>
      <c r="AI93" s="367"/>
      <c r="AJ93" s="366">
        <f t="shared" si="99"/>
        <v>20</v>
      </c>
      <c r="AK93" s="367">
        <f t="shared" si="100"/>
        <v>8848.5</v>
      </c>
      <c r="AL93" s="366">
        <f t="shared" si="101"/>
        <v>20</v>
      </c>
      <c r="AM93" s="367">
        <f t="shared" si="102"/>
        <v>70345.574999999983</v>
      </c>
      <c r="AN93" s="366" t="str">
        <f t="shared" si="103"/>
        <v>Педагог-зерттеуші</v>
      </c>
      <c r="AO93" s="367" t="str">
        <f t="shared" si="104"/>
        <v>0</v>
      </c>
      <c r="AP93" s="367">
        <f t="shared" si="105"/>
        <v>93794.099999999991</v>
      </c>
      <c r="AQ93" s="367" t="str">
        <f t="shared" si="106"/>
        <v>0</v>
      </c>
      <c r="AR93" s="367" t="str">
        <f t="shared" si="107"/>
        <v>0</v>
      </c>
      <c r="AS93" s="366"/>
      <c r="AT93" s="367"/>
      <c r="AU93" s="371"/>
      <c r="AV93" s="367"/>
      <c r="AW93" s="371" t="str">
        <f t="shared" si="116"/>
        <v>Магистр-информатики</v>
      </c>
      <c r="AX93" s="372">
        <f t="shared" si="115"/>
        <v>45520</v>
      </c>
      <c r="AY93" s="367"/>
      <c r="AZ93" s="367">
        <f t="shared" si="108"/>
        <v>245496.09999999998</v>
      </c>
      <c r="BA93" s="373">
        <f t="shared" si="109"/>
        <v>479981.35</v>
      </c>
      <c r="BB93" s="374">
        <f t="shared" si="65"/>
        <v>47998.135000000002</v>
      </c>
      <c r="BC93" s="374">
        <f t="shared" si="66"/>
        <v>9599.6270000000004</v>
      </c>
      <c r="BD93" s="374">
        <f t="shared" si="110"/>
        <v>35865.558799999999</v>
      </c>
      <c r="BE93" s="374">
        <f t="shared" si="68"/>
        <v>386518.02919999999</v>
      </c>
      <c r="BF93" s="374">
        <f t="shared" si="69"/>
        <v>5759776.1999999993</v>
      </c>
      <c r="BG93" s="374">
        <f t="shared" si="111"/>
        <v>468970.49999999994</v>
      </c>
      <c r="BH93" s="374">
        <f t="shared" si="71"/>
        <v>6228746.6999999993</v>
      </c>
      <c r="BI93" s="374">
        <f t="shared" si="72"/>
        <v>280293.60149999999</v>
      </c>
      <c r="BJ93" s="374">
        <f t="shared" si="73"/>
        <v>172793.28599999996</v>
      </c>
      <c r="BK93" s="374">
        <f t="shared" si="74"/>
        <v>323680.81415999995</v>
      </c>
      <c r="BL93" s="374">
        <f t="shared" si="112"/>
        <v>311437.33499999996</v>
      </c>
      <c r="BM93" s="373">
        <f t="shared" si="76"/>
        <v>7316951.736659999</v>
      </c>
      <c r="BN93" s="375"/>
      <c r="BO93" s="377"/>
      <c r="BP93" s="377"/>
      <c r="BQ93" s="377"/>
      <c r="BR93" s="377"/>
      <c r="BS93" s="377"/>
      <c r="BT93" s="377"/>
      <c r="BU93" s="377"/>
      <c r="BV93" s="377"/>
      <c r="BW93" s="377"/>
      <c r="BX93" s="377"/>
      <c r="BY93" s="377"/>
      <c r="BZ93" s="377"/>
      <c r="CA93" s="377"/>
      <c r="CB93" s="377"/>
      <c r="CC93" s="377"/>
      <c r="CD93" s="377"/>
      <c r="CE93" s="377"/>
      <c r="CF93" s="377"/>
      <c r="CG93" s="377"/>
      <c r="CH93" s="377"/>
      <c r="CI93" s="377"/>
    </row>
    <row r="94" spans="1:87" ht="45" customHeight="1">
      <c r="A94" s="369">
        <f t="shared" si="113"/>
        <v>55</v>
      </c>
      <c r="B94" s="428">
        <f t="shared" si="113"/>
        <v>8</v>
      </c>
      <c r="C94" s="387" t="s">
        <v>1147</v>
      </c>
      <c r="D94" s="379" t="s">
        <v>1148</v>
      </c>
      <c r="E94" s="362" t="s">
        <v>1022</v>
      </c>
      <c r="F94" s="362"/>
      <c r="G94" s="362"/>
      <c r="H94" s="397" t="s">
        <v>1403</v>
      </c>
      <c r="I94" s="362">
        <v>17697</v>
      </c>
      <c r="J94" s="400">
        <v>7.98</v>
      </c>
      <c r="K94" s="400">
        <f t="shared" si="91"/>
        <v>141222.06</v>
      </c>
      <c r="L94" s="401">
        <v>15</v>
      </c>
      <c r="M94" s="380"/>
      <c r="N94" s="380"/>
      <c r="O94" s="380"/>
      <c r="P94" s="380"/>
      <c r="Q94" s="368">
        <f t="shared" si="92"/>
        <v>15</v>
      </c>
      <c r="R94" s="426"/>
      <c r="S94" s="380"/>
      <c r="T94" s="380"/>
      <c r="U94" s="380"/>
      <c r="V94" s="430"/>
      <c r="W94" s="381">
        <f t="shared" si="93"/>
        <v>0</v>
      </c>
      <c r="X94" s="424">
        <f t="shared" si="94"/>
        <v>15</v>
      </c>
      <c r="Y94" s="400">
        <f t="shared" si="95"/>
        <v>132395.68124999999</v>
      </c>
      <c r="Z94" s="398">
        <f t="shared" si="96"/>
        <v>13239.568125</v>
      </c>
      <c r="AA94" s="366"/>
      <c r="AB94" s="367">
        <f t="shared" si="97"/>
        <v>0</v>
      </c>
      <c r="AC94" s="366"/>
      <c r="AD94" s="367">
        <f t="shared" si="98"/>
        <v>0</v>
      </c>
      <c r="AE94" s="366"/>
      <c r="AF94" s="366"/>
      <c r="AG94" s="367"/>
      <c r="AH94" s="366"/>
      <c r="AI94" s="367"/>
      <c r="AJ94" s="366">
        <f t="shared" si="99"/>
        <v>15</v>
      </c>
      <c r="AK94" s="367">
        <f t="shared" si="100"/>
        <v>6636.375</v>
      </c>
      <c r="AL94" s="366">
        <f t="shared" si="101"/>
        <v>15</v>
      </c>
      <c r="AM94" s="367">
        <f t="shared" si="102"/>
        <v>39718.704374999994</v>
      </c>
      <c r="AN94" s="366">
        <f t="shared" si="103"/>
        <v>0</v>
      </c>
      <c r="AO94" s="367" t="str">
        <f t="shared" si="104"/>
        <v>0</v>
      </c>
      <c r="AP94" s="367" t="str">
        <f t="shared" si="105"/>
        <v>0</v>
      </c>
      <c r="AQ94" s="367" t="str">
        <f t="shared" si="106"/>
        <v>0</v>
      </c>
      <c r="AR94" s="367" t="str">
        <f t="shared" si="107"/>
        <v>0</v>
      </c>
      <c r="AS94" s="366"/>
      <c r="AT94" s="367"/>
      <c r="AU94" s="371"/>
      <c r="AV94" s="367"/>
      <c r="AW94" s="371">
        <f t="shared" si="116"/>
        <v>0</v>
      </c>
      <c r="AX94" s="372"/>
      <c r="AY94" s="367"/>
      <c r="AZ94" s="367">
        <f t="shared" si="108"/>
        <v>59594.647499999992</v>
      </c>
      <c r="BA94" s="373">
        <f t="shared" si="109"/>
        <v>191990.32874999999</v>
      </c>
      <c r="BB94" s="374">
        <f t="shared" si="65"/>
        <v>19199.032875000001</v>
      </c>
      <c r="BC94" s="374">
        <f t="shared" si="66"/>
        <v>3839.8065749999996</v>
      </c>
      <c r="BD94" s="374">
        <f t="shared" si="110"/>
        <v>10522.34893</v>
      </c>
      <c r="BE94" s="374">
        <f t="shared" si="68"/>
        <v>158429.14036999998</v>
      </c>
      <c r="BF94" s="374">
        <f t="shared" si="69"/>
        <v>2303883.9449999998</v>
      </c>
      <c r="BG94" s="374">
        <f t="shared" si="111"/>
        <v>264791.36249999999</v>
      </c>
      <c r="BH94" s="374">
        <f t="shared" si="71"/>
        <v>2568675.3074999996</v>
      </c>
      <c r="BI94" s="374">
        <f t="shared" si="72"/>
        <v>115590.3888375</v>
      </c>
      <c r="BJ94" s="374">
        <f t="shared" si="73"/>
        <v>69116.518349999998</v>
      </c>
      <c r="BK94" s="374">
        <f t="shared" si="74"/>
        <v>133639.92192599998</v>
      </c>
      <c r="BL94" s="374">
        <f t="shared" si="112"/>
        <v>128433.76537499999</v>
      </c>
      <c r="BM94" s="373">
        <f t="shared" si="76"/>
        <v>3015455.9019884998</v>
      </c>
      <c r="BN94" s="375"/>
      <c r="BO94" s="377"/>
      <c r="BP94" s="377"/>
      <c r="BQ94" s="377"/>
      <c r="BR94" s="377"/>
      <c r="BS94" s="377"/>
      <c r="BT94" s="377"/>
      <c r="BU94" s="377"/>
      <c r="BV94" s="377"/>
      <c r="BW94" s="377"/>
      <c r="BX94" s="377"/>
      <c r="BY94" s="377"/>
      <c r="BZ94" s="377"/>
      <c r="CA94" s="377"/>
      <c r="CB94" s="377"/>
      <c r="CC94" s="377"/>
      <c r="CD94" s="377"/>
      <c r="CE94" s="377"/>
      <c r="CF94" s="377"/>
      <c r="CG94" s="377"/>
      <c r="CH94" s="377"/>
      <c r="CI94" s="377"/>
    </row>
    <row r="95" spans="1:87" ht="63">
      <c r="A95" s="369">
        <f t="shared" si="113"/>
        <v>56</v>
      </c>
      <c r="B95" s="428">
        <f t="shared" si="113"/>
        <v>9</v>
      </c>
      <c r="C95" s="431" t="s">
        <v>1149</v>
      </c>
      <c r="D95" s="379" t="s">
        <v>1150</v>
      </c>
      <c r="E95" s="362" t="s">
        <v>998</v>
      </c>
      <c r="F95" s="362"/>
      <c r="G95" s="362"/>
      <c r="H95" s="397" t="s">
        <v>1402</v>
      </c>
      <c r="I95" s="362">
        <v>17697</v>
      </c>
      <c r="J95" s="400">
        <v>10.4</v>
      </c>
      <c r="K95" s="400">
        <f t="shared" si="91"/>
        <v>184048.80000000002</v>
      </c>
      <c r="L95" s="401"/>
      <c r="M95" s="380"/>
      <c r="N95" s="380"/>
      <c r="O95" s="380"/>
      <c r="P95" s="380"/>
      <c r="Q95" s="368">
        <f t="shared" si="92"/>
        <v>0</v>
      </c>
      <c r="R95" s="380"/>
      <c r="S95" s="380"/>
      <c r="T95" s="380">
        <v>11</v>
      </c>
      <c r="U95" s="380">
        <v>14</v>
      </c>
      <c r="V95" s="380"/>
      <c r="W95" s="381">
        <f t="shared" si="93"/>
        <v>25</v>
      </c>
      <c r="X95" s="424">
        <f t="shared" si="94"/>
        <v>25</v>
      </c>
      <c r="Y95" s="400">
        <f t="shared" si="95"/>
        <v>287576.25</v>
      </c>
      <c r="Z95" s="398">
        <f t="shared" si="96"/>
        <v>28757.625</v>
      </c>
      <c r="AA95" s="366"/>
      <c r="AB95" s="367">
        <f t="shared" si="97"/>
        <v>0</v>
      </c>
      <c r="AC95" s="366"/>
      <c r="AD95" s="367">
        <f t="shared" si="98"/>
        <v>0</v>
      </c>
      <c r="AE95" s="366"/>
      <c r="AF95" s="366"/>
      <c r="AG95" s="367"/>
      <c r="AH95" s="366"/>
      <c r="AI95" s="367"/>
      <c r="AJ95" s="366">
        <f t="shared" si="99"/>
        <v>25</v>
      </c>
      <c r="AK95" s="367">
        <f t="shared" si="100"/>
        <v>11060.625</v>
      </c>
      <c r="AL95" s="366">
        <f t="shared" si="101"/>
        <v>25</v>
      </c>
      <c r="AM95" s="367">
        <f t="shared" si="102"/>
        <v>86272.875</v>
      </c>
      <c r="AN95" s="366">
        <f t="shared" si="103"/>
        <v>0</v>
      </c>
      <c r="AO95" s="367" t="str">
        <f t="shared" si="104"/>
        <v>0</v>
      </c>
      <c r="AP95" s="367" t="str">
        <f t="shared" si="105"/>
        <v>0</v>
      </c>
      <c r="AQ95" s="367" t="str">
        <f t="shared" si="106"/>
        <v>0</v>
      </c>
      <c r="AR95" s="367" t="str">
        <f t="shared" si="107"/>
        <v>0</v>
      </c>
      <c r="AS95" s="366"/>
      <c r="AT95" s="367"/>
      <c r="AU95" s="366"/>
      <c r="AV95" s="367"/>
      <c r="AW95" s="371">
        <f t="shared" si="116"/>
        <v>0</v>
      </c>
      <c r="AX95" s="367"/>
      <c r="AY95" s="367"/>
      <c r="AZ95" s="367">
        <f t="shared" si="108"/>
        <v>126091.125</v>
      </c>
      <c r="BA95" s="373">
        <f t="shared" si="109"/>
        <v>413667.375</v>
      </c>
      <c r="BB95" s="374">
        <f t="shared" si="65"/>
        <v>41366.737500000003</v>
      </c>
      <c r="BC95" s="374">
        <f t="shared" si="66"/>
        <v>8273.3474999999999</v>
      </c>
      <c r="BD95" s="374">
        <f t="shared" si="110"/>
        <v>30029.929000000004</v>
      </c>
      <c r="BE95" s="374">
        <f t="shared" si="68"/>
        <v>333997.36100000003</v>
      </c>
      <c r="BF95" s="374">
        <f t="shared" si="69"/>
        <v>4964008.5</v>
      </c>
      <c r="BG95" s="374">
        <f t="shared" si="111"/>
        <v>575152.5</v>
      </c>
      <c r="BH95" s="374">
        <f t="shared" si="71"/>
        <v>5539161</v>
      </c>
      <c r="BI95" s="374">
        <f t="shared" si="72"/>
        <v>249262.24500000002</v>
      </c>
      <c r="BJ95" s="374">
        <f t="shared" si="73"/>
        <v>148920.255</v>
      </c>
      <c r="BK95" s="374">
        <f t="shared" si="74"/>
        <v>288193.87530000007</v>
      </c>
      <c r="BL95" s="374">
        <f t="shared" si="112"/>
        <v>276958.05</v>
      </c>
      <c r="BM95" s="373">
        <f t="shared" si="76"/>
        <v>6502495.4253000002</v>
      </c>
      <c r="BN95" s="375"/>
      <c r="BO95" s="377"/>
      <c r="BP95" s="377"/>
      <c r="BQ95" s="377"/>
      <c r="BR95" s="377"/>
      <c r="BS95" s="377"/>
      <c r="BT95" s="377"/>
      <c r="BU95" s="377"/>
      <c r="BV95" s="377"/>
      <c r="BW95" s="377"/>
      <c r="BX95" s="377"/>
      <c r="BY95" s="377"/>
      <c r="BZ95" s="377"/>
      <c r="CA95" s="377"/>
      <c r="CB95" s="377"/>
      <c r="CC95" s="377"/>
      <c r="CD95" s="377"/>
      <c r="CE95" s="377"/>
      <c r="CF95" s="377"/>
      <c r="CG95" s="377"/>
      <c r="CH95" s="377"/>
      <c r="CI95" s="377"/>
    </row>
    <row r="96" spans="1:87" ht="126">
      <c r="A96" s="369">
        <f t="shared" si="113"/>
        <v>57</v>
      </c>
      <c r="B96" s="428">
        <f t="shared" si="113"/>
        <v>10</v>
      </c>
      <c r="C96" s="432" t="s">
        <v>918</v>
      </c>
      <c r="D96" s="433" t="s">
        <v>1151</v>
      </c>
      <c r="E96" s="389" t="s">
        <v>998</v>
      </c>
      <c r="F96" s="390" t="s">
        <v>1011</v>
      </c>
      <c r="G96" s="390" t="s">
        <v>229</v>
      </c>
      <c r="H96" s="402" t="s">
        <v>1425</v>
      </c>
      <c r="I96" s="390">
        <v>17697</v>
      </c>
      <c r="J96" s="434">
        <v>10.82</v>
      </c>
      <c r="K96" s="403">
        <f t="shared" si="91"/>
        <v>191481.54</v>
      </c>
      <c r="L96" s="380"/>
      <c r="M96" s="380"/>
      <c r="N96" s="380"/>
      <c r="O96" s="380"/>
      <c r="P96" s="380"/>
      <c r="Q96" s="368">
        <f t="shared" si="92"/>
        <v>0</v>
      </c>
      <c r="R96" s="380"/>
      <c r="S96" s="380"/>
      <c r="T96" s="380">
        <v>5</v>
      </c>
      <c r="U96" s="380">
        <v>27</v>
      </c>
      <c r="V96" s="430">
        <v>4</v>
      </c>
      <c r="W96" s="381">
        <f t="shared" si="93"/>
        <v>36</v>
      </c>
      <c r="X96" s="424">
        <f t="shared" si="94"/>
        <v>36</v>
      </c>
      <c r="Y96" s="400">
        <f t="shared" si="95"/>
        <v>430833.46500000003</v>
      </c>
      <c r="Z96" s="398">
        <f t="shared" si="96"/>
        <v>43083.346500000007</v>
      </c>
      <c r="AA96" s="366"/>
      <c r="AB96" s="367">
        <f t="shared" si="97"/>
        <v>0</v>
      </c>
      <c r="AC96" s="366"/>
      <c r="AD96" s="367">
        <f t="shared" si="98"/>
        <v>0</v>
      </c>
      <c r="AE96" s="366"/>
      <c r="AF96" s="366"/>
      <c r="AG96" s="367"/>
      <c r="AH96" s="366"/>
      <c r="AI96" s="367"/>
      <c r="AJ96" s="366">
        <f t="shared" si="99"/>
        <v>36</v>
      </c>
      <c r="AK96" s="367">
        <f t="shared" si="100"/>
        <v>15927.300000000001</v>
      </c>
      <c r="AL96" s="366">
        <f t="shared" si="101"/>
        <v>36</v>
      </c>
      <c r="AM96" s="367">
        <f t="shared" si="102"/>
        <v>129250.0395</v>
      </c>
      <c r="AN96" s="366" t="str">
        <f t="shared" si="103"/>
        <v>Педагог-сарапшы</v>
      </c>
      <c r="AO96" s="367" t="str">
        <f t="shared" si="104"/>
        <v>0</v>
      </c>
      <c r="AP96" s="367" t="str">
        <f t="shared" si="105"/>
        <v>0</v>
      </c>
      <c r="AQ96" s="367">
        <f t="shared" si="106"/>
        <v>150791.71275000001</v>
      </c>
      <c r="AR96" s="367" t="str">
        <f t="shared" si="107"/>
        <v>0</v>
      </c>
      <c r="AS96" s="366"/>
      <c r="AT96" s="367"/>
      <c r="AU96" s="366"/>
      <c r="AV96" s="367"/>
      <c r="AW96" s="371" t="str">
        <f t="shared" si="116"/>
        <v>Магистр-информационные системы</v>
      </c>
      <c r="AX96" s="372">
        <f t="shared" ref="AX96:AX102" si="118">10*4552</f>
        <v>45520</v>
      </c>
      <c r="AY96" s="367"/>
      <c r="AZ96" s="367">
        <f t="shared" si="108"/>
        <v>384572.39875000005</v>
      </c>
      <c r="BA96" s="373">
        <f t="shared" si="109"/>
        <v>815405.86375000002</v>
      </c>
      <c r="BB96" s="374">
        <f t="shared" si="65"/>
        <v>81540.586375000014</v>
      </c>
      <c r="BC96" s="374">
        <f t="shared" si="66"/>
        <v>16308.117275000001</v>
      </c>
      <c r="BD96" s="374">
        <f t="shared" si="110"/>
        <v>65382.916010000015</v>
      </c>
      <c r="BE96" s="374">
        <f t="shared" si="68"/>
        <v>652174.24409000005</v>
      </c>
      <c r="BF96" s="374">
        <f t="shared" si="69"/>
        <v>9784870.3650000002</v>
      </c>
      <c r="BG96" s="374">
        <f t="shared" si="111"/>
        <v>861666.93</v>
      </c>
      <c r="BH96" s="374">
        <f t="shared" si="71"/>
        <v>10646537.295</v>
      </c>
      <c r="BI96" s="374">
        <f t="shared" si="72"/>
        <v>479094.17827500007</v>
      </c>
      <c r="BJ96" s="374">
        <f t="shared" si="73"/>
        <v>293546.11095</v>
      </c>
      <c r="BK96" s="374">
        <f t="shared" si="74"/>
        <v>553386.29912700003</v>
      </c>
      <c r="BL96" s="374">
        <f t="shared" si="112"/>
        <v>532326.86475000007</v>
      </c>
      <c r="BM96" s="373">
        <f t="shared" si="76"/>
        <v>12504890.748102</v>
      </c>
      <c r="BN96" s="375"/>
      <c r="BO96" s="377"/>
      <c r="BP96" s="377"/>
      <c r="BQ96" s="377"/>
      <c r="BR96" s="377"/>
      <c r="BS96" s="377"/>
      <c r="BT96" s="377"/>
      <c r="BU96" s="377"/>
      <c r="BV96" s="377"/>
      <c r="BW96" s="377"/>
      <c r="BX96" s="377"/>
      <c r="BY96" s="377"/>
      <c r="BZ96" s="377"/>
      <c r="CA96" s="377"/>
      <c r="CB96" s="377"/>
      <c r="CC96" s="377"/>
      <c r="CD96" s="377"/>
      <c r="CE96" s="377"/>
      <c r="CF96" s="377"/>
      <c r="CG96" s="377"/>
      <c r="CH96" s="377"/>
      <c r="CI96" s="377"/>
    </row>
    <row r="97" spans="1:87" ht="60">
      <c r="A97" s="369">
        <f t="shared" si="113"/>
        <v>58</v>
      </c>
      <c r="B97" s="428">
        <f t="shared" si="113"/>
        <v>11</v>
      </c>
      <c r="C97" s="378" t="s">
        <v>1152</v>
      </c>
      <c r="D97" s="412" t="s">
        <v>1153</v>
      </c>
      <c r="E97" s="392" t="s">
        <v>998</v>
      </c>
      <c r="F97" s="366" t="s">
        <v>1005</v>
      </c>
      <c r="G97" s="366" t="s">
        <v>229</v>
      </c>
      <c r="H97" s="371" t="s">
        <v>1344</v>
      </c>
      <c r="I97" s="366">
        <v>17697</v>
      </c>
      <c r="J97" s="435">
        <v>10.6</v>
      </c>
      <c r="K97" s="367">
        <f t="shared" si="91"/>
        <v>187588.19999999998</v>
      </c>
      <c r="L97" s="380"/>
      <c r="M97" s="380"/>
      <c r="N97" s="380"/>
      <c r="O97" s="380">
        <v>8</v>
      </c>
      <c r="P97" s="380"/>
      <c r="Q97" s="368">
        <f t="shared" si="92"/>
        <v>8</v>
      </c>
      <c r="R97" s="380"/>
      <c r="S97" s="380"/>
      <c r="T97" s="380"/>
      <c r="U97" s="380"/>
      <c r="V97" s="430"/>
      <c r="W97" s="381">
        <f t="shared" si="93"/>
        <v>0</v>
      </c>
      <c r="X97" s="424">
        <f t="shared" si="94"/>
        <v>8</v>
      </c>
      <c r="Y97" s="400">
        <f t="shared" si="95"/>
        <v>93794.099999999991</v>
      </c>
      <c r="Z97" s="398">
        <f t="shared" si="96"/>
        <v>9379.41</v>
      </c>
      <c r="AA97" s="366"/>
      <c r="AB97" s="367">
        <f t="shared" si="97"/>
        <v>0</v>
      </c>
      <c r="AC97" s="366"/>
      <c r="AD97" s="367">
        <f t="shared" si="98"/>
        <v>0</v>
      </c>
      <c r="AE97" s="366"/>
      <c r="AF97" s="366"/>
      <c r="AG97" s="367"/>
      <c r="AH97" s="366"/>
      <c r="AI97" s="367"/>
      <c r="AJ97" s="366">
        <f t="shared" si="99"/>
        <v>8</v>
      </c>
      <c r="AK97" s="367">
        <f t="shared" si="100"/>
        <v>3539.4</v>
      </c>
      <c r="AL97" s="366">
        <f t="shared" si="101"/>
        <v>8</v>
      </c>
      <c r="AM97" s="367">
        <f t="shared" si="102"/>
        <v>28138.229999999996</v>
      </c>
      <c r="AN97" s="366" t="str">
        <f t="shared" si="103"/>
        <v>Педагог-зерттеуші</v>
      </c>
      <c r="AO97" s="367" t="str">
        <f t="shared" si="104"/>
        <v>0</v>
      </c>
      <c r="AP97" s="367">
        <f t="shared" si="105"/>
        <v>37517.64</v>
      </c>
      <c r="AQ97" s="367" t="str">
        <f t="shared" si="106"/>
        <v>0</v>
      </c>
      <c r="AR97" s="367" t="str">
        <f t="shared" si="107"/>
        <v>0</v>
      </c>
      <c r="AS97" s="366"/>
      <c r="AT97" s="367"/>
      <c r="AU97" s="366"/>
      <c r="AV97" s="367"/>
      <c r="AW97" s="371" t="str">
        <f t="shared" si="116"/>
        <v>Магистр-информационные системы</v>
      </c>
      <c r="AX97" s="372">
        <f t="shared" si="118"/>
        <v>45520</v>
      </c>
      <c r="AY97" s="367"/>
      <c r="AZ97" s="367">
        <f t="shared" si="108"/>
        <v>124094.68</v>
      </c>
      <c r="BA97" s="373">
        <f t="shared" si="109"/>
        <v>217888.77999999997</v>
      </c>
      <c r="BB97" s="374">
        <f t="shared" si="65"/>
        <v>21788.877999999997</v>
      </c>
      <c r="BC97" s="374">
        <f t="shared" si="66"/>
        <v>4357.775599999999</v>
      </c>
      <c r="BD97" s="374">
        <f t="shared" si="110"/>
        <v>12801.412639999999</v>
      </c>
      <c r="BE97" s="374">
        <f t="shared" si="68"/>
        <v>178940.71375999998</v>
      </c>
      <c r="BF97" s="374">
        <f t="shared" si="69"/>
        <v>2614665.3599999994</v>
      </c>
      <c r="BG97" s="374">
        <f t="shared" si="111"/>
        <v>187588.19999999998</v>
      </c>
      <c r="BH97" s="374">
        <f t="shared" si="71"/>
        <v>2802253.5599999996</v>
      </c>
      <c r="BI97" s="374">
        <f t="shared" si="72"/>
        <v>126101.4102</v>
      </c>
      <c r="BJ97" s="374">
        <f t="shared" si="73"/>
        <v>78439.960799999986</v>
      </c>
      <c r="BK97" s="374">
        <f t="shared" si="74"/>
        <v>145569.42844799999</v>
      </c>
      <c r="BL97" s="374">
        <f t="shared" si="112"/>
        <v>140112.67799999999</v>
      </c>
      <c r="BM97" s="373">
        <f t="shared" si="76"/>
        <v>3292477.0374479992</v>
      </c>
      <c r="BN97" s="375"/>
      <c r="BO97" s="377"/>
      <c r="BP97" s="377"/>
      <c r="BQ97" s="377"/>
      <c r="BR97" s="377"/>
      <c r="BS97" s="377"/>
      <c r="BT97" s="377"/>
      <c r="BU97" s="377"/>
      <c r="BV97" s="377"/>
      <c r="BW97" s="377"/>
      <c r="BX97" s="377"/>
      <c r="BY97" s="377"/>
      <c r="BZ97" s="377"/>
      <c r="CA97" s="377"/>
      <c r="CB97" s="377"/>
      <c r="CC97" s="377"/>
      <c r="CD97" s="377"/>
      <c r="CE97" s="377"/>
      <c r="CF97" s="377"/>
      <c r="CG97" s="377"/>
      <c r="CH97" s="377"/>
      <c r="CI97" s="377"/>
    </row>
    <row r="98" spans="1:87" ht="60">
      <c r="A98" s="369">
        <f t="shared" si="113"/>
        <v>59</v>
      </c>
      <c r="B98" s="428">
        <f t="shared" si="113"/>
        <v>12</v>
      </c>
      <c r="C98" s="436" t="s">
        <v>1154</v>
      </c>
      <c r="D98" s="696" t="s">
        <v>1155</v>
      </c>
      <c r="E98" s="392" t="s">
        <v>998</v>
      </c>
      <c r="F98" s="437" t="s">
        <v>1005</v>
      </c>
      <c r="G98" s="437" t="s">
        <v>1156</v>
      </c>
      <c r="H98" s="438" t="s">
        <v>1426</v>
      </c>
      <c r="I98" s="437">
        <v>17697</v>
      </c>
      <c r="J98" s="439">
        <v>10.6</v>
      </c>
      <c r="K98" s="440">
        <f t="shared" si="91"/>
        <v>187588.19999999998</v>
      </c>
      <c r="L98" s="441"/>
      <c r="M98" s="441"/>
      <c r="N98" s="441"/>
      <c r="O98" s="442"/>
      <c r="P98" s="442"/>
      <c r="Q98" s="443">
        <f t="shared" si="92"/>
        <v>0</v>
      </c>
      <c r="R98" s="442"/>
      <c r="S98" s="442">
        <v>6</v>
      </c>
      <c r="T98" s="442"/>
      <c r="U98" s="442">
        <v>14</v>
      </c>
      <c r="V98" s="442"/>
      <c r="W98" s="444">
        <f t="shared" si="93"/>
        <v>20</v>
      </c>
      <c r="X98" s="445">
        <f t="shared" si="94"/>
        <v>20</v>
      </c>
      <c r="Y98" s="446">
        <f t="shared" si="95"/>
        <v>234485.24999999997</v>
      </c>
      <c r="Z98" s="398">
        <f t="shared" si="96"/>
        <v>23448.524999999998</v>
      </c>
      <c r="AA98" s="437"/>
      <c r="AB98" s="447">
        <f t="shared" si="97"/>
        <v>0</v>
      </c>
      <c r="AC98" s="437"/>
      <c r="AD98" s="447">
        <f t="shared" si="98"/>
        <v>0</v>
      </c>
      <c r="AE98" s="437"/>
      <c r="AF98" s="437"/>
      <c r="AG98" s="447"/>
      <c r="AH98" s="437"/>
      <c r="AI98" s="447"/>
      <c r="AJ98" s="437">
        <f t="shared" si="99"/>
        <v>20</v>
      </c>
      <c r="AK98" s="447">
        <f t="shared" si="100"/>
        <v>8848.5</v>
      </c>
      <c r="AL98" s="437">
        <f t="shared" si="101"/>
        <v>20</v>
      </c>
      <c r="AM98" s="447">
        <f t="shared" si="102"/>
        <v>70345.574999999983</v>
      </c>
      <c r="AN98" s="437" t="str">
        <f t="shared" si="103"/>
        <v>Педагог-зерттеуші</v>
      </c>
      <c r="AO98" s="447" t="str">
        <f t="shared" si="104"/>
        <v>0</v>
      </c>
      <c r="AP98" s="447">
        <f t="shared" si="105"/>
        <v>93794.099999999991</v>
      </c>
      <c r="AQ98" s="447" t="str">
        <f t="shared" si="106"/>
        <v>0</v>
      </c>
      <c r="AR98" s="447" t="str">
        <f t="shared" si="107"/>
        <v>0</v>
      </c>
      <c r="AS98" s="366"/>
      <c r="AT98" s="367"/>
      <c r="AU98" s="437"/>
      <c r="AV98" s="447"/>
      <c r="AW98" s="371" t="str">
        <f t="shared" si="116"/>
        <v>Магистр-Управления IT проектами</v>
      </c>
      <c r="AX98" s="372">
        <f t="shared" si="118"/>
        <v>45520</v>
      </c>
      <c r="AY98" s="447"/>
      <c r="AZ98" s="367">
        <f t="shared" si="108"/>
        <v>241956.69999999995</v>
      </c>
      <c r="BA98" s="373">
        <f t="shared" si="109"/>
        <v>476441.94999999995</v>
      </c>
      <c r="BB98" s="374">
        <f t="shared" si="65"/>
        <v>47644.195</v>
      </c>
      <c r="BC98" s="374">
        <f t="shared" si="66"/>
        <v>9528.8389999999999</v>
      </c>
      <c r="BD98" s="374">
        <f t="shared" si="110"/>
        <v>35554.0916</v>
      </c>
      <c r="BE98" s="374">
        <f t="shared" si="68"/>
        <v>383714.82439999998</v>
      </c>
      <c r="BF98" s="374">
        <f t="shared" si="69"/>
        <v>5717303.3999999994</v>
      </c>
      <c r="BG98" s="374">
        <f t="shared" si="111"/>
        <v>468970.49999999994</v>
      </c>
      <c r="BH98" s="374">
        <f t="shared" si="71"/>
        <v>6186273.8999999994</v>
      </c>
      <c r="BI98" s="374">
        <f t="shared" si="72"/>
        <v>278382.32549999998</v>
      </c>
      <c r="BJ98" s="374">
        <f t="shared" si="73"/>
        <v>171519.10199999998</v>
      </c>
      <c r="BK98" s="374">
        <f t="shared" si="74"/>
        <v>321480.72312000004</v>
      </c>
      <c r="BL98" s="374">
        <f t="shared" si="112"/>
        <v>309313.69500000001</v>
      </c>
      <c r="BM98" s="373">
        <f t="shared" si="76"/>
        <v>7266969.7456200002</v>
      </c>
      <c r="BN98" s="448"/>
      <c r="BO98" s="449"/>
      <c r="BP98" s="449"/>
      <c r="BQ98" s="449"/>
      <c r="BR98" s="449"/>
      <c r="BS98" s="449"/>
      <c r="BT98" s="449"/>
      <c r="BU98" s="449"/>
      <c r="BV98" s="449"/>
      <c r="BW98" s="449"/>
      <c r="BX98" s="449"/>
      <c r="BY98" s="449"/>
      <c r="BZ98" s="449"/>
      <c r="CA98" s="449"/>
      <c r="CB98" s="449"/>
      <c r="CC98" s="449"/>
      <c r="CD98" s="449"/>
      <c r="CE98" s="449"/>
      <c r="CF98" s="449"/>
      <c r="CG98" s="449"/>
      <c r="CH98" s="449"/>
      <c r="CI98" s="450"/>
    </row>
    <row r="99" spans="1:87" ht="47.25">
      <c r="A99" s="369">
        <f t="shared" si="113"/>
        <v>60</v>
      </c>
      <c r="B99" s="416">
        <f t="shared" si="113"/>
        <v>13</v>
      </c>
      <c r="C99" s="378" t="s">
        <v>1152</v>
      </c>
      <c r="D99" s="1000" t="s">
        <v>1157</v>
      </c>
      <c r="E99" s="394" t="s">
        <v>998</v>
      </c>
      <c r="F99" s="691" t="s">
        <v>999</v>
      </c>
      <c r="G99" s="691" t="s">
        <v>1158</v>
      </c>
      <c r="H99" s="1001" t="s">
        <v>273</v>
      </c>
      <c r="I99" s="691">
        <v>17697</v>
      </c>
      <c r="J99" s="693">
        <v>11.4</v>
      </c>
      <c r="K99" s="400">
        <f t="shared" si="91"/>
        <v>201745.80000000002</v>
      </c>
      <c r="L99" s="1002">
        <v>30</v>
      </c>
      <c r="M99" s="1002">
        <v>21</v>
      </c>
      <c r="N99" s="1002"/>
      <c r="O99" s="401"/>
      <c r="P99" s="380"/>
      <c r="Q99" s="443">
        <f t="shared" si="92"/>
        <v>51</v>
      </c>
      <c r="R99" s="380"/>
      <c r="S99" s="380"/>
      <c r="T99" s="380"/>
      <c r="U99" s="380"/>
      <c r="V99" s="380"/>
      <c r="W99" s="444">
        <f t="shared" si="93"/>
        <v>0</v>
      </c>
      <c r="X99" s="445">
        <f t="shared" si="94"/>
        <v>51</v>
      </c>
      <c r="Y99" s="403">
        <f t="shared" si="95"/>
        <v>643064.73750000005</v>
      </c>
      <c r="Z99" s="367">
        <f t="shared" si="96"/>
        <v>64306.473750000005</v>
      </c>
      <c r="AA99" s="366"/>
      <c r="AB99" s="367">
        <f t="shared" si="97"/>
        <v>0</v>
      </c>
      <c r="AC99" s="366"/>
      <c r="AD99" s="367">
        <f t="shared" si="98"/>
        <v>0</v>
      </c>
      <c r="AE99" s="366"/>
      <c r="AF99" s="366"/>
      <c r="AG99" s="367"/>
      <c r="AH99" s="366"/>
      <c r="AI99" s="367"/>
      <c r="AJ99" s="366">
        <f t="shared" si="99"/>
        <v>51</v>
      </c>
      <c r="AK99" s="367">
        <f t="shared" si="100"/>
        <v>22563.675000000003</v>
      </c>
      <c r="AL99" s="366">
        <f t="shared" si="101"/>
        <v>51</v>
      </c>
      <c r="AM99" s="367">
        <f t="shared" si="102"/>
        <v>192919.42125000001</v>
      </c>
      <c r="AN99" s="366" t="str">
        <f t="shared" si="103"/>
        <v>Педагог-шебер</v>
      </c>
      <c r="AO99" s="367">
        <f t="shared" si="104"/>
        <v>321532.36875000002</v>
      </c>
      <c r="AP99" s="367" t="str">
        <f t="shared" si="105"/>
        <v>0</v>
      </c>
      <c r="AQ99" s="367" t="str">
        <f t="shared" si="106"/>
        <v>0</v>
      </c>
      <c r="AR99" s="367" t="str">
        <f t="shared" si="107"/>
        <v>0</v>
      </c>
      <c r="AS99" s="366"/>
      <c r="AT99" s="367"/>
      <c r="AU99" s="366"/>
      <c r="AV99" s="367"/>
      <c r="AW99" s="371" t="str">
        <f t="shared" si="116"/>
        <v>Магистр</v>
      </c>
      <c r="AX99" s="372">
        <f t="shared" si="118"/>
        <v>45520</v>
      </c>
      <c r="AY99" s="367"/>
      <c r="AZ99" s="367">
        <f t="shared" si="108"/>
        <v>646841.93874999997</v>
      </c>
      <c r="BA99" s="373">
        <f t="shared" si="109"/>
        <v>1289906.67625</v>
      </c>
      <c r="BB99" s="374">
        <f t="shared" si="65"/>
        <v>128990.667625</v>
      </c>
      <c r="BC99" s="374">
        <f t="shared" si="66"/>
        <v>25798.133525000001</v>
      </c>
      <c r="BD99" s="374">
        <f t="shared" si="110"/>
        <v>107138.98751000001</v>
      </c>
      <c r="BE99" s="374">
        <f t="shared" si="68"/>
        <v>1027978.8875900001</v>
      </c>
      <c r="BF99" s="374">
        <f t="shared" si="69"/>
        <v>15478880.115</v>
      </c>
      <c r="BG99" s="374">
        <f t="shared" si="111"/>
        <v>1286129.4750000001</v>
      </c>
      <c r="BH99" s="374">
        <f t="shared" si="71"/>
        <v>16765009.59</v>
      </c>
      <c r="BI99" s="374">
        <f t="shared" si="72"/>
        <v>754425.4315500001</v>
      </c>
      <c r="BJ99" s="374">
        <f t="shared" si="73"/>
        <v>464366.40344999998</v>
      </c>
      <c r="BK99" s="374">
        <f t="shared" si="74"/>
        <v>871256.98160700011</v>
      </c>
      <c r="BL99" s="374">
        <f t="shared" si="112"/>
        <v>838250.47950000002</v>
      </c>
      <c r="BM99" s="373">
        <f t="shared" si="76"/>
        <v>19693308.886107001</v>
      </c>
      <c r="BN99" s="375"/>
      <c r="BO99" s="466"/>
      <c r="BP99" s="466"/>
      <c r="BQ99" s="466"/>
      <c r="BR99" s="466"/>
      <c r="BS99" s="466"/>
      <c r="BT99" s="466"/>
      <c r="BU99" s="466"/>
      <c r="BV99" s="466"/>
      <c r="BW99" s="466"/>
      <c r="BX99" s="466"/>
      <c r="BY99" s="466"/>
      <c r="BZ99" s="466"/>
      <c r="CA99" s="466"/>
      <c r="CB99" s="466"/>
      <c r="CC99" s="466"/>
      <c r="CD99" s="466"/>
      <c r="CE99" s="466"/>
      <c r="CF99" s="466"/>
      <c r="CG99" s="466"/>
      <c r="CH99" s="466"/>
      <c r="CI99" s="466"/>
    </row>
    <row r="100" spans="1:87" ht="141.75">
      <c r="A100" s="369">
        <f t="shared" si="113"/>
        <v>61</v>
      </c>
      <c r="B100" s="416">
        <f t="shared" si="113"/>
        <v>14</v>
      </c>
      <c r="C100" s="436" t="s">
        <v>1154</v>
      </c>
      <c r="D100" s="429" t="s">
        <v>1159</v>
      </c>
      <c r="E100" s="394" t="s">
        <v>998</v>
      </c>
      <c r="F100" s="691" t="s">
        <v>999</v>
      </c>
      <c r="G100" s="691" t="s">
        <v>1158</v>
      </c>
      <c r="H100" s="1001" t="s">
        <v>273</v>
      </c>
      <c r="I100" s="691">
        <v>17697</v>
      </c>
      <c r="J100" s="693">
        <v>11.4</v>
      </c>
      <c r="K100" s="400">
        <f t="shared" si="91"/>
        <v>201745.80000000002</v>
      </c>
      <c r="L100" s="1002"/>
      <c r="M100" s="1002"/>
      <c r="N100" s="1002"/>
      <c r="O100" s="401"/>
      <c r="P100" s="380"/>
      <c r="Q100" s="443">
        <f t="shared" si="92"/>
        <v>0</v>
      </c>
      <c r="R100" s="380">
        <v>8</v>
      </c>
      <c r="S100" s="380">
        <v>10</v>
      </c>
      <c r="T100" s="380"/>
      <c r="U100" s="380">
        <v>15</v>
      </c>
      <c r="V100" s="380">
        <v>3</v>
      </c>
      <c r="W100" s="444">
        <f t="shared" si="93"/>
        <v>36</v>
      </c>
      <c r="X100" s="445">
        <f t="shared" si="94"/>
        <v>36</v>
      </c>
      <c r="Y100" s="403">
        <f t="shared" si="95"/>
        <v>453928.05000000005</v>
      </c>
      <c r="Z100" s="367">
        <f t="shared" si="96"/>
        <v>45392.805000000008</v>
      </c>
      <c r="AA100" s="366"/>
      <c r="AB100" s="367">
        <f t="shared" si="97"/>
        <v>0</v>
      </c>
      <c r="AC100" s="366"/>
      <c r="AD100" s="367">
        <f t="shared" si="98"/>
        <v>0</v>
      </c>
      <c r="AE100" s="366"/>
      <c r="AF100" s="366"/>
      <c r="AG100" s="367"/>
      <c r="AH100" s="366"/>
      <c r="AI100" s="367"/>
      <c r="AJ100" s="366">
        <f t="shared" si="99"/>
        <v>36</v>
      </c>
      <c r="AK100" s="367">
        <f t="shared" si="100"/>
        <v>15927.300000000001</v>
      </c>
      <c r="AL100" s="366">
        <f t="shared" si="101"/>
        <v>36</v>
      </c>
      <c r="AM100" s="367">
        <f t="shared" si="102"/>
        <v>136178.41500000001</v>
      </c>
      <c r="AN100" s="366" t="str">
        <f t="shared" si="103"/>
        <v>Педагог-шебер</v>
      </c>
      <c r="AO100" s="367">
        <f t="shared" si="104"/>
        <v>226964.02500000002</v>
      </c>
      <c r="AP100" s="367" t="str">
        <f t="shared" si="105"/>
        <v>0</v>
      </c>
      <c r="AQ100" s="367" t="str">
        <f t="shared" si="106"/>
        <v>0</v>
      </c>
      <c r="AR100" s="367" t="str">
        <f t="shared" si="107"/>
        <v>0</v>
      </c>
      <c r="AS100" s="366"/>
      <c r="AT100" s="367"/>
      <c r="AU100" s="366"/>
      <c r="AV100" s="367"/>
      <c r="AW100" s="371" t="str">
        <f t="shared" si="116"/>
        <v>Магистр</v>
      </c>
      <c r="AX100" s="372">
        <f t="shared" si="118"/>
        <v>45520</v>
      </c>
      <c r="AY100" s="367"/>
      <c r="AZ100" s="367">
        <f t="shared" si="108"/>
        <v>469982.54500000004</v>
      </c>
      <c r="BA100" s="373">
        <f t="shared" si="109"/>
        <v>923910.59500000009</v>
      </c>
      <c r="BB100" s="374">
        <f t="shared" si="65"/>
        <v>92391.059500000018</v>
      </c>
      <c r="BC100" s="374">
        <f t="shared" si="66"/>
        <v>18478.211900000002</v>
      </c>
      <c r="BD100" s="374">
        <f t="shared" si="110"/>
        <v>74931.332360000015</v>
      </c>
      <c r="BE100" s="374">
        <f t="shared" si="68"/>
        <v>738109.99124000012</v>
      </c>
      <c r="BF100" s="374">
        <f t="shared" si="69"/>
        <v>11086927.140000001</v>
      </c>
      <c r="BG100" s="374">
        <f t="shared" si="111"/>
        <v>907856.10000000009</v>
      </c>
      <c r="BH100" s="374">
        <f t="shared" si="71"/>
        <v>11994783.24</v>
      </c>
      <c r="BI100" s="374">
        <f t="shared" si="72"/>
        <v>539765.24580000003</v>
      </c>
      <c r="BJ100" s="374">
        <f t="shared" si="73"/>
        <v>332607.81420000002</v>
      </c>
      <c r="BK100" s="374">
        <f t="shared" si="74"/>
        <v>623327.05525200011</v>
      </c>
      <c r="BL100" s="374">
        <f t="shared" si="112"/>
        <v>599739.16200000001</v>
      </c>
      <c r="BM100" s="373">
        <f t="shared" si="76"/>
        <v>14090222.517252002</v>
      </c>
      <c r="BN100" s="375"/>
      <c r="BO100" s="466"/>
      <c r="BP100" s="466"/>
      <c r="BQ100" s="466"/>
      <c r="BR100" s="466"/>
      <c r="BS100" s="466"/>
      <c r="BT100" s="466"/>
      <c r="BU100" s="466"/>
      <c r="BV100" s="466"/>
      <c r="BW100" s="466"/>
      <c r="BX100" s="466"/>
      <c r="BY100" s="466"/>
      <c r="BZ100" s="466"/>
      <c r="CA100" s="466"/>
      <c r="CB100" s="466"/>
      <c r="CC100" s="466"/>
      <c r="CD100" s="466"/>
      <c r="CE100" s="466"/>
      <c r="CF100" s="466"/>
      <c r="CG100" s="466"/>
      <c r="CH100" s="466"/>
      <c r="CI100" s="466"/>
    </row>
    <row r="101" spans="1:87" ht="63">
      <c r="A101" s="369">
        <f t="shared" si="113"/>
        <v>62</v>
      </c>
      <c r="B101" s="416">
        <f t="shared" si="113"/>
        <v>15</v>
      </c>
      <c r="C101" s="409" t="s">
        <v>1118</v>
      </c>
      <c r="D101" s="429" t="s">
        <v>1160</v>
      </c>
      <c r="E101" s="394" t="s">
        <v>998</v>
      </c>
      <c r="F101" s="691" t="s">
        <v>999</v>
      </c>
      <c r="G101" s="691" t="s">
        <v>1158</v>
      </c>
      <c r="H101" s="1001" t="s">
        <v>273</v>
      </c>
      <c r="I101" s="691">
        <v>17697</v>
      </c>
      <c r="J101" s="693">
        <v>11.4</v>
      </c>
      <c r="K101" s="400">
        <f t="shared" si="91"/>
        <v>201745.80000000002</v>
      </c>
      <c r="L101" s="1002"/>
      <c r="M101" s="1002"/>
      <c r="N101" s="1002"/>
      <c r="O101" s="401"/>
      <c r="P101" s="380"/>
      <c r="Q101" s="443">
        <f t="shared" si="92"/>
        <v>0</v>
      </c>
      <c r="R101" s="380"/>
      <c r="S101" s="380"/>
      <c r="T101" s="380"/>
      <c r="U101" s="380"/>
      <c r="V101" s="380">
        <v>14</v>
      </c>
      <c r="W101" s="444">
        <f t="shared" si="93"/>
        <v>14</v>
      </c>
      <c r="X101" s="445">
        <f t="shared" si="94"/>
        <v>14</v>
      </c>
      <c r="Y101" s="403">
        <f t="shared" si="95"/>
        <v>176527.57500000001</v>
      </c>
      <c r="Z101" s="367">
        <f t="shared" si="96"/>
        <v>17652.757500000003</v>
      </c>
      <c r="AA101" s="366"/>
      <c r="AB101" s="367">
        <f t="shared" si="97"/>
        <v>0</v>
      </c>
      <c r="AC101" s="366"/>
      <c r="AD101" s="367">
        <f t="shared" si="98"/>
        <v>0</v>
      </c>
      <c r="AE101" s="366"/>
      <c r="AF101" s="366"/>
      <c r="AG101" s="367"/>
      <c r="AH101" s="366"/>
      <c r="AI101" s="367"/>
      <c r="AJ101" s="366">
        <f t="shared" si="99"/>
        <v>14</v>
      </c>
      <c r="AK101" s="367">
        <f t="shared" si="100"/>
        <v>6193.9500000000007</v>
      </c>
      <c r="AL101" s="366">
        <f t="shared" si="101"/>
        <v>14</v>
      </c>
      <c r="AM101" s="367">
        <f t="shared" si="102"/>
        <v>52958.272499999999</v>
      </c>
      <c r="AN101" s="366" t="str">
        <f t="shared" si="103"/>
        <v>Педагог-шебер</v>
      </c>
      <c r="AO101" s="367">
        <f t="shared" si="104"/>
        <v>88263.787500000006</v>
      </c>
      <c r="AP101" s="367" t="str">
        <f t="shared" si="105"/>
        <v>0</v>
      </c>
      <c r="AQ101" s="367" t="str">
        <f t="shared" si="106"/>
        <v>0</v>
      </c>
      <c r="AR101" s="367" t="str">
        <f t="shared" si="107"/>
        <v>0</v>
      </c>
      <c r="AS101" s="366"/>
      <c r="AT101" s="367"/>
      <c r="AU101" s="366"/>
      <c r="AV101" s="367"/>
      <c r="AW101" s="371" t="str">
        <f t="shared" si="116"/>
        <v>Магистр</v>
      </c>
      <c r="AX101" s="372">
        <f t="shared" si="118"/>
        <v>45520</v>
      </c>
      <c r="AY101" s="367"/>
      <c r="AZ101" s="367">
        <f t="shared" si="108"/>
        <v>210588.76750000002</v>
      </c>
      <c r="BA101" s="373">
        <f t="shared" si="109"/>
        <v>387116.34250000003</v>
      </c>
      <c r="BB101" s="374">
        <f t="shared" si="65"/>
        <v>38711.634250000003</v>
      </c>
      <c r="BC101" s="374">
        <f t="shared" si="66"/>
        <v>7742.3268500000004</v>
      </c>
      <c r="BD101" s="374">
        <f t="shared" si="110"/>
        <v>27693.438140000002</v>
      </c>
      <c r="BE101" s="374">
        <f t="shared" si="68"/>
        <v>312968.94326000003</v>
      </c>
      <c r="BF101" s="374">
        <f t="shared" si="69"/>
        <v>4645396.1100000003</v>
      </c>
      <c r="BG101" s="374">
        <f t="shared" si="111"/>
        <v>353055.15</v>
      </c>
      <c r="BH101" s="374">
        <f t="shared" si="71"/>
        <v>4998451.2600000007</v>
      </c>
      <c r="BI101" s="374">
        <f t="shared" si="72"/>
        <v>224930.30670000004</v>
      </c>
      <c r="BJ101" s="374">
        <f t="shared" si="73"/>
        <v>139361.88330000002</v>
      </c>
      <c r="BK101" s="374">
        <f t="shared" si="74"/>
        <v>259696.49659800003</v>
      </c>
      <c r="BL101" s="374">
        <f t="shared" si="112"/>
        <v>249922.56300000005</v>
      </c>
      <c r="BM101" s="373">
        <f t="shared" si="76"/>
        <v>5872362.509598</v>
      </c>
      <c r="BN101" s="375"/>
      <c r="BO101" s="466"/>
      <c r="BP101" s="466"/>
      <c r="BQ101" s="466"/>
      <c r="BR101" s="466"/>
      <c r="BS101" s="466"/>
      <c r="BT101" s="466"/>
      <c r="BU101" s="466"/>
      <c r="BV101" s="466"/>
      <c r="BW101" s="466"/>
      <c r="BX101" s="466"/>
      <c r="BY101" s="466"/>
      <c r="BZ101" s="466"/>
      <c r="CA101" s="466"/>
      <c r="CB101" s="466"/>
      <c r="CC101" s="466"/>
      <c r="CD101" s="466"/>
      <c r="CE101" s="466"/>
      <c r="CF101" s="466"/>
      <c r="CG101" s="466"/>
      <c r="CH101" s="466"/>
      <c r="CI101" s="466"/>
    </row>
    <row r="102" spans="1:87" ht="47.25">
      <c r="A102" s="369">
        <f t="shared" si="113"/>
        <v>63</v>
      </c>
      <c r="B102" s="416">
        <f t="shared" si="113"/>
        <v>16</v>
      </c>
      <c r="C102" s="387" t="s">
        <v>1147</v>
      </c>
      <c r="D102" s="429" t="s">
        <v>1161</v>
      </c>
      <c r="E102" s="394" t="s">
        <v>998</v>
      </c>
      <c r="F102" s="691" t="s">
        <v>999</v>
      </c>
      <c r="G102" s="691" t="s">
        <v>1158</v>
      </c>
      <c r="H102" s="1001" t="s">
        <v>273</v>
      </c>
      <c r="I102" s="691">
        <v>17697</v>
      </c>
      <c r="J102" s="693">
        <v>11.4</v>
      </c>
      <c r="K102" s="400">
        <f t="shared" si="91"/>
        <v>201745.80000000002</v>
      </c>
      <c r="L102" s="1002"/>
      <c r="M102" s="1002"/>
      <c r="N102" s="1002"/>
      <c r="O102" s="401"/>
      <c r="P102" s="380"/>
      <c r="Q102" s="443">
        <f t="shared" si="92"/>
        <v>0</v>
      </c>
      <c r="R102" s="380"/>
      <c r="S102" s="380"/>
      <c r="T102" s="380"/>
      <c r="U102" s="380">
        <v>7</v>
      </c>
      <c r="V102" s="380">
        <v>9</v>
      </c>
      <c r="W102" s="444">
        <f t="shared" si="93"/>
        <v>16</v>
      </c>
      <c r="X102" s="445">
        <f t="shared" si="94"/>
        <v>16</v>
      </c>
      <c r="Y102" s="403">
        <f t="shared" si="95"/>
        <v>201745.80000000002</v>
      </c>
      <c r="Z102" s="367">
        <f t="shared" si="96"/>
        <v>20174.580000000002</v>
      </c>
      <c r="AA102" s="366"/>
      <c r="AB102" s="367">
        <f t="shared" si="97"/>
        <v>0</v>
      </c>
      <c r="AC102" s="366"/>
      <c r="AD102" s="367">
        <f t="shared" si="98"/>
        <v>0</v>
      </c>
      <c r="AE102" s="366"/>
      <c r="AF102" s="366"/>
      <c r="AG102" s="367"/>
      <c r="AH102" s="366"/>
      <c r="AI102" s="367"/>
      <c r="AJ102" s="366">
        <f t="shared" si="99"/>
        <v>16</v>
      </c>
      <c r="AK102" s="367">
        <f t="shared" si="100"/>
        <v>7078.8</v>
      </c>
      <c r="AL102" s="366">
        <f t="shared" si="101"/>
        <v>16</v>
      </c>
      <c r="AM102" s="367">
        <f t="shared" si="102"/>
        <v>60523.740000000005</v>
      </c>
      <c r="AN102" s="366" t="str">
        <f t="shared" si="103"/>
        <v>Педагог-шебер</v>
      </c>
      <c r="AO102" s="367">
        <f t="shared" si="104"/>
        <v>100872.90000000001</v>
      </c>
      <c r="AP102" s="367" t="str">
        <f t="shared" si="105"/>
        <v>0</v>
      </c>
      <c r="AQ102" s="367" t="str">
        <f t="shared" si="106"/>
        <v>0</v>
      </c>
      <c r="AR102" s="367" t="str">
        <f t="shared" si="107"/>
        <v>0</v>
      </c>
      <c r="AS102" s="366"/>
      <c r="AT102" s="367"/>
      <c r="AU102" s="366"/>
      <c r="AV102" s="367"/>
      <c r="AW102" s="371" t="str">
        <f t="shared" si="116"/>
        <v>Магистр</v>
      </c>
      <c r="AX102" s="372">
        <f t="shared" si="118"/>
        <v>45520</v>
      </c>
      <c r="AY102" s="367"/>
      <c r="AZ102" s="367">
        <f t="shared" si="108"/>
        <v>234170.02000000002</v>
      </c>
      <c r="BA102" s="373">
        <f t="shared" si="109"/>
        <v>435915.82000000007</v>
      </c>
      <c r="BB102" s="374">
        <f t="shared" si="65"/>
        <v>43591.582000000009</v>
      </c>
      <c r="BC102" s="374">
        <f t="shared" si="66"/>
        <v>8718.3164000000015</v>
      </c>
      <c r="BD102" s="374">
        <f t="shared" si="110"/>
        <v>31987.792160000008</v>
      </c>
      <c r="BE102" s="374">
        <f t="shared" si="68"/>
        <v>351618.12944000005</v>
      </c>
      <c r="BF102" s="374">
        <f t="shared" si="69"/>
        <v>5230989.8400000008</v>
      </c>
      <c r="BG102" s="374">
        <f t="shared" si="111"/>
        <v>403491.60000000003</v>
      </c>
      <c r="BH102" s="374">
        <f t="shared" si="71"/>
        <v>5634481.4400000004</v>
      </c>
      <c r="BI102" s="374">
        <f t="shared" si="72"/>
        <v>253551.66480000003</v>
      </c>
      <c r="BJ102" s="374">
        <f t="shared" si="73"/>
        <v>156929.69520000002</v>
      </c>
      <c r="BK102" s="374">
        <f t="shared" si="74"/>
        <v>292753.82011199999</v>
      </c>
      <c r="BL102" s="374">
        <f t="shared" si="112"/>
        <v>281724.07200000004</v>
      </c>
      <c r="BM102" s="373">
        <f t="shared" si="76"/>
        <v>6619440.6921120007</v>
      </c>
      <c r="BN102" s="375"/>
      <c r="BO102" s="466"/>
      <c r="BP102" s="466"/>
      <c r="BQ102" s="466"/>
      <c r="BR102" s="466"/>
      <c r="BS102" s="466"/>
      <c r="BT102" s="466"/>
      <c r="BU102" s="466"/>
      <c r="BV102" s="466"/>
      <c r="BW102" s="466"/>
      <c r="BX102" s="466"/>
      <c r="BY102" s="466"/>
      <c r="BZ102" s="466"/>
      <c r="CA102" s="466"/>
      <c r="CB102" s="466"/>
      <c r="CC102" s="466"/>
      <c r="CD102" s="466"/>
      <c r="CE102" s="466"/>
      <c r="CF102" s="466"/>
      <c r="CG102" s="466"/>
      <c r="CH102" s="466"/>
      <c r="CI102" s="466"/>
    </row>
    <row r="103" spans="1:87" ht="15">
      <c r="A103" s="1530"/>
      <c r="B103" s="1531"/>
      <c r="C103" s="1532" t="s">
        <v>1162</v>
      </c>
      <c r="D103" s="1531"/>
      <c r="E103" s="1531"/>
      <c r="F103" s="1531"/>
      <c r="G103" s="1531"/>
      <c r="H103" s="1531"/>
      <c r="I103" s="1531"/>
      <c r="J103" s="1531"/>
      <c r="K103" s="468">
        <f t="shared" ref="K103:AE103" si="119">SUM(K87:K102)</f>
        <v>3048839.1599999992</v>
      </c>
      <c r="L103" s="468">
        <f t="shared" si="119"/>
        <v>60</v>
      </c>
      <c r="M103" s="468">
        <f t="shared" si="119"/>
        <v>60</v>
      </c>
      <c r="N103" s="468">
        <f t="shared" si="119"/>
        <v>39</v>
      </c>
      <c r="O103" s="468">
        <f t="shared" si="119"/>
        <v>28</v>
      </c>
      <c r="P103" s="468">
        <f t="shared" si="119"/>
        <v>32</v>
      </c>
      <c r="Q103" s="468">
        <f t="shared" si="119"/>
        <v>219</v>
      </c>
      <c r="R103" s="468">
        <f t="shared" si="119"/>
        <v>8</v>
      </c>
      <c r="S103" s="468">
        <f t="shared" si="119"/>
        <v>16</v>
      </c>
      <c r="T103" s="468">
        <f t="shared" si="119"/>
        <v>16</v>
      </c>
      <c r="U103" s="468">
        <f t="shared" si="119"/>
        <v>77</v>
      </c>
      <c r="V103" s="468">
        <f t="shared" si="119"/>
        <v>30</v>
      </c>
      <c r="W103" s="468">
        <f t="shared" si="119"/>
        <v>147</v>
      </c>
      <c r="X103" s="468">
        <f t="shared" si="119"/>
        <v>366</v>
      </c>
      <c r="Y103" s="468">
        <f t="shared" si="119"/>
        <v>4391532.6712499997</v>
      </c>
      <c r="Z103" s="468">
        <f t="shared" si="119"/>
        <v>426544.15462500002</v>
      </c>
      <c r="AA103" s="468">
        <f t="shared" si="119"/>
        <v>0</v>
      </c>
      <c r="AB103" s="468">
        <f t="shared" si="119"/>
        <v>0</v>
      </c>
      <c r="AC103" s="468">
        <f t="shared" si="119"/>
        <v>0</v>
      </c>
      <c r="AD103" s="468">
        <f t="shared" si="119"/>
        <v>0</v>
      </c>
      <c r="AE103" s="468">
        <f t="shared" si="119"/>
        <v>196600</v>
      </c>
      <c r="AF103" s="468">
        <v>5</v>
      </c>
      <c r="AG103" s="468">
        <f>SUM(AG87:AG102)</f>
        <v>14157.6</v>
      </c>
      <c r="AH103" s="468">
        <v>1</v>
      </c>
      <c r="AI103" s="468">
        <f t="shared" ref="AI103:BN103" si="120">SUM(AI87:AI102)</f>
        <v>35394</v>
      </c>
      <c r="AJ103" s="468">
        <f t="shared" si="120"/>
        <v>366</v>
      </c>
      <c r="AK103" s="468">
        <f t="shared" si="120"/>
        <v>161927.54999999999</v>
      </c>
      <c r="AL103" s="468">
        <f t="shared" si="120"/>
        <v>366</v>
      </c>
      <c r="AM103" s="468">
        <f t="shared" si="120"/>
        <v>1317459.8013749998</v>
      </c>
      <c r="AN103" s="468">
        <f t="shared" si="120"/>
        <v>0</v>
      </c>
      <c r="AO103" s="468">
        <f t="shared" si="120"/>
        <v>970901.66250000009</v>
      </c>
      <c r="AP103" s="468">
        <f t="shared" si="120"/>
        <v>502754.07299999997</v>
      </c>
      <c r="AQ103" s="468">
        <f t="shared" si="120"/>
        <v>150791.71275000001</v>
      </c>
      <c r="AR103" s="468">
        <f t="shared" si="120"/>
        <v>0</v>
      </c>
      <c r="AS103" s="468">
        <f t="shared" si="120"/>
        <v>0</v>
      </c>
      <c r="AT103" s="468">
        <f t="shared" si="120"/>
        <v>0</v>
      </c>
      <c r="AU103" s="468">
        <f t="shared" si="120"/>
        <v>0</v>
      </c>
      <c r="AV103" s="468">
        <f t="shared" si="120"/>
        <v>0</v>
      </c>
      <c r="AW103" s="468">
        <f t="shared" si="120"/>
        <v>0</v>
      </c>
      <c r="AX103" s="468">
        <f t="shared" si="120"/>
        <v>591760</v>
      </c>
      <c r="AY103" s="468">
        <f t="shared" si="120"/>
        <v>17697</v>
      </c>
      <c r="AZ103" s="468">
        <f t="shared" si="120"/>
        <v>4385987.55425</v>
      </c>
      <c r="BA103" s="468">
        <f t="shared" si="120"/>
        <v>8777520.2255000006</v>
      </c>
      <c r="BB103" s="468">
        <f t="shared" si="120"/>
        <v>877752.02254999999</v>
      </c>
      <c r="BC103" s="468">
        <f t="shared" si="120"/>
        <v>175550.40451000002</v>
      </c>
      <c r="BD103" s="468">
        <f t="shared" si="120"/>
        <v>670456.97984400007</v>
      </c>
      <c r="BE103" s="468">
        <f t="shared" si="120"/>
        <v>7053760.8185960017</v>
      </c>
      <c r="BF103" s="468">
        <f t="shared" si="120"/>
        <v>105330242.706</v>
      </c>
      <c r="BG103" s="468">
        <f t="shared" si="120"/>
        <v>8783065.3424999993</v>
      </c>
      <c r="BH103" s="468">
        <f t="shared" si="120"/>
        <v>114113308.0485</v>
      </c>
      <c r="BI103" s="468">
        <f t="shared" si="120"/>
        <v>5135098.8621824998</v>
      </c>
      <c r="BJ103" s="468">
        <f t="shared" si="120"/>
        <v>3159907.2811799999</v>
      </c>
      <c r="BK103" s="468">
        <f t="shared" si="120"/>
        <v>5930392.1006658003</v>
      </c>
      <c r="BL103" s="468">
        <f t="shared" si="120"/>
        <v>5705665.4024250004</v>
      </c>
      <c r="BM103" s="468">
        <f t="shared" si="120"/>
        <v>134044371.69495329</v>
      </c>
      <c r="BN103" s="468">
        <f t="shared" si="120"/>
        <v>1.5</v>
      </c>
      <c r="BO103" s="355"/>
      <c r="BP103" s="355"/>
      <c r="BQ103" s="355"/>
      <c r="BR103" s="355"/>
      <c r="BS103" s="355"/>
      <c r="BT103" s="355"/>
      <c r="BU103" s="355"/>
      <c r="BV103" s="355"/>
      <c r="BW103" s="355"/>
      <c r="BX103" s="355"/>
      <c r="BY103" s="355"/>
      <c r="BZ103" s="355"/>
      <c r="CA103" s="355"/>
      <c r="CB103" s="355"/>
      <c r="CC103" s="355"/>
      <c r="CD103" s="355"/>
      <c r="CE103" s="355"/>
      <c r="CF103" s="355"/>
      <c r="CG103" s="355"/>
      <c r="CH103" s="355"/>
      <c r="CI103" s="356"/>
    </row>
    <row r="104" spans="1:87" ht="94.5">
      <c r="A104" s="469">
        <f>A102+1</f>
        <v>64</v>
      </c>
      <c r="B104" s="470">
        <v>1</v>
      </c>
      <c r="C104" s="418" t="s">
        <v>1163</v>
      </c>
      <c r="D104" s="471" t="s">
        <v>1164</v>
      </c>
      <c r="E104" s="390" t="s">
        <v>998</v>
      </c>
      <c r="F104" s="472" t="s">
        <v>1005</v>
      </c>
      <c r="G104" s="390" t="s">
        <v>1165</v>
      </c>
      <c r="H104" s="402" t="s">
        <v>1427</v>
      </c>
      <c r="I104" s="390">
        <v>17697</v>
      </c>
      <c r="J104" s="403">
        <v>11.18</v>
      </c>
      <c r="K104" s="367">
        <f t="shared" ref="K104:K122" si="121">I104*J104</f>
        <v>197852.46</v>
      </c>
      <c r="L104" s="380"/>
      <c r="M104" s="380"/>
      <c r="N104" s="380">
        <v>9</v>
      </c>
      <c r="O104" s="380"/>
      <c r="P104" s="380">
        <v>12</v>
      </c>
      <c r="Q104" s="368">
        <f t="shared" ref="Q104:Q122" si="122">SUM(L104:P104)</f>
        <v>21</v>
      </c>
      <c r="R104" s="380"/>
      <c r="S104" s="380"/>
      <c r="T104" s="380">
        <v>6</v>
      </c>
      <c r="U104" s="380"/>
      <c r="V104" s="380">
        <v>8</v>
      </c>
      <c r="W104" s="381">
        <f t="shared" ref="W104:W121" si="123">SUM(R104:V104)</f>
        <v>14</v>
      </c>
      <c r="X104" s="370">
        <f t="shared" ref="X104:X122" si="124">Q104+W104</f>
        <v>35</v>
      </c>
      <c r="Y104" s="367">
        <f t="shared" ref="Y104:Y122" si="125">K104/16*X104</f>
        <v>432802.25624999998</v>
      </c>
      <c r="Z104" s="367">
        <f t="shared" ref="Z104:Z122" si="126">Y104*10%</f>
        <v>43280.225624999999</v>
      </c>
      <c r="AA104" s="366">
        <v>15</v>
      </c>
      <c r="AB104" s="367">
        <f>I104/16*AA104*50%</f>
        <v>8295.46875</v>
      </c>
      <c r="AC104" s="366">
        <v>16</v>
      </c>
      <c r="AD104" s="367">
        <f>I104/16*AC104*50%*50%</f>
        <v>4424.25</v>
      </c>
      <c r="AE104" s="366">
        <v>196600</v>
      </c>
      <c r="AF104" s="366" t="s">
        <v>1167</v>
      </c>
      <c r="AG104" s="367">
        <f>17697*20%</f>
        <v>3539.4</v>
      </c>
      <c r="AH104" s="366" t="s">
        <v>1168</v>
      </c>
      <c r="AI104" s="367">
        <f>I104*200%</f>
        <v>35394</v>
      </c>
      <c r="AJ104" s="366">
        <f>X104</f>
        <v>35</v>
      </c>
      <c r="AK104" s="367">
        <f t="shared" ref="AK104:AK122" si="127">I104/16*AJ104*40%</f>
        <v>15484.875</v>
      </c>
      <c r="AL104" s="366">
        <f t="shared" ref="AL104:AL122" si="128">X104</f>
        <v>35</v>
      </c>
      <c r="AM104" s="367">
        <f t="shared" ref="AM104:AM122" si="129">K104/16*AL104*30%</f>
        <v>129840.67687499999</v>
      </c>
      <c r="AN104" s="366" t="str">
        <f>F104</f>
        <v>Педагог-зерттеуші</v>
      </c>
      <c r="AO104" s="367" t="str">
        <f t="shared" ref="AO104:AO122" si="130">IF(AN104="Педагог-зерттеуші", "0", IF(AN104="Педагог-шебер",K104/16*X104*50%, IF(AN104="Педагог-сарапшы", "0", IF(AN104="Педагог-модератор", "0", "0"))))</f>
        <v>0</v>
      </c>
      <c r="AP104" s="367">
        <f t="shared" ref="AP104:AP122" si="131">IF(AN104="Педагог-шебер", "0", IF(AN104="Педагог-зерттеуші",K104/16*X104*40%, IF(AN104="Педагог-сарапшы", "0", IF(AN104="Педагог-модератор", "0", "0"))))</f>
        <v>173120.9025</v>
      </c>
      <c r="AQ104" s="367" t="str">
        <f t="shared" ref="AQ104:AQ122" si="132">IF(AN104="Педагог-шебер", "0", IF(AN104="Педагог-сарапшы",K104/16*X104*35%, IF(AN104="Педагог-зерттеуші", "0", IF(AN104="Педагог-модератор", "0", "0"))))</f>
        <v>0</v>
      </c>
      <c r="AR104" s="367" t="str">
        <f t="shared" ref="AR104:AR122" si="133">IF(AN104="Педагог-шебер", "0", IF(AN104="Педагог-модератор",K104/16*X104*30%, IF(AN104="Педагог-зерттеуші", "0", IF(AN104="Педагог-сарапшы", "0", "0"))))</f>
        <v>0</v>
      </c>
      <c r="AS104" s="366"/>
      <c r="AT104" s="367"/>
      <c r="AU104" s="371"/>
      <c r="AV104" s="367"/>
      <c r="AW104" s="371" t="str">
        <f>G104</f>
        <v>Магистр-лингвистика</v>
      </c>
      <c r="AX104" s="372">
        <f>10*4552</f>
        <v>45520</v>
      </c>
      <c r="AY104" s="367"/>
      <c r="AZ104" s="367">
        <f t="shared" ref="AZ104:AZ122" si="134">Z104+AB104+AD104+AE104+AG104+AI104+AK104+AM104+AO104+AP104+AQ104++AR104+AT104+AV104+AX104+AY104</f>
        <v>655499.79874999996</v>
      </c>
      <c r="BA104" s="373">
        <f t="shared" ref="BA104:BA122" si="135">Y104+AZ104</f>
        <v>1088302.0549999999</v>
      </c>
      <c r="BB104" s="374">
        <f t="shared" si="65"/>
        <v>108830.2055</v>
      </c>
      <c r="BC104" s="374">
        <f t="shared" si="66"/>
        <v>21766.041099999999</v>
      </c>
      <c r="BD104" s="374">
        <f t="shared" ref="BD104:BD122" si="136">(BA104-BB104-BC104-(14*4552))*10%</f>
        <v>89397.780839999992</v>
      </c>
      <c r="BE104" s="374">
        <f t="shared" si="68"/>
        <v>868308.02755999984</v>
      </c>
      <c r="BF104" s="374">
        <f t="shared" si="69"/>
        <v>13059624.66</v>
      </c>
      <c r="BG104" s="374">
        <f t="shared" ref="BG104:BG122" si="137">Y104*2</f>
        <v>865604.51249999995</v>
      </c>
      <c r="BH104" s="374">
        <f t="shared" si="71"/>
        <v>13925229.172499999</v>
      </c>
      <c r="BI104" s="374">
        <f t="shared" si="72"/>
        <v>626635.31276250002</v>
      </c>
      <c r="BJ104" s="374">
        <f t="shared" si="73"/>
        <v>391788.73979999998</v>
      </c>
      <c r="BK104" s="374">
        <f t="shared" si="74"/>
        <v>723231.2010629999</v>
      </c>
      <c r="BL104" s="374">
        <f t="shared" ref="BL104:BL122" si="138">BH104*5%</f>
        <v>696261.45862499997</v>
      </c>
      <c r="BM104" s="373">
        <f t="shared" si="76"/>
        <v>16363145.8847505</v>
      </c>
      <c r="BN104" s="375"/>
      <c r="BO104" s="376"/>
      <c r="BP104" s="377"/>
      <c r="BQ104" s="377"/>
      <c r="BR104" s="377"/>
      <c r="BS104" s="377"/>
      <c r="BT104" s="377"/>
      <c r="BU104" s="377"/>
      <c r="BV104" s="377"/>
      <c r="BW104" s="377"/>
      <c r="BX104" s="377"/>
      <c r="BY104" s="377"/>
      <c r="BZ104" s="377"/>
      <c r="CA104" s="377"/>
      <c r="CB104" s="377"/>
      <c r="CC104" s="377"/>
      <c r="CD104" s="377"/>
      <c r="CE104" s="377"/>
      <c r="CF104" s="377"/>
      <c r="CG104" s="377"/>
      <c r="CH104" s="377"/>
      <c r="CI104" s="377"/>
    </row>
    <row r="105" spans="1:87" ht="31.5">
      <c r="A105" s="369">
        <f t="shared" ref="A105:B120" si="139">A104+1</f>
        <v>65</v>
      </c>
      <c r="B105" s="416">
        <f t="shared" si="139"/>
        <v>2</v>
      </c>
      <c r="C105" s="473" t="s">
        <v>1169</v>
      </c>
      <c r="D105" s="474" t="s">
        <v>1170</v>
      </c>
      <c r="E105" s="366" t="s">
        <v>998</v>
      </c>
      <c r="F105" s="366" t="s">
        <v>1011</v>
      </c>
      <c r="G105" s="393"/>
      <c r="H105" s="371" t="s">
        <v>1171</v>
      </c>
      <c r="I105" s="366">
        <v>17697</v>
      </c>
      <c r="J105" s="367">
        <v>11.4</v>
      </c>
      <c r="K105" s="367">
        <f t="shared" si="121"/>
        <v>201745.80000000002</v>
      </c>
      <c r="L105" s="380"/>
      <c r="M105" s="380">
        <v>3</v>
      </c>
      <c r="N105" s="380"/>
      <c r="O105" s="380"/>
      <c r="P105" s="380"/>
      <c r="Q105" s="368">
        <f t="shared" si="122"/>
        <v>3</v>
      </c>
      <c r="R105" s="380"/>
      <c r="S105" s="380">
        <v>2</v>
      </c>
      <c r="T105" s="380"/>
      <c r="U105" s="380"/>
      <c r="V105" s="380"/>
      <c r="W105" s="381">
        <f t="shared" si="123"/>
        <v>2</v>
      </c>
      <c r="X105" s="370">
        <f t="shared" si="124"/>
        <v>5</v>
      </c>
      <c r="Y105" s="367">
        <f t="shared" si="125"/>
        <v>63045.562500000007</v>
      </c>
      <c r="Z105" s="367">
        <f t="shared" si="126"/>
        <v>6304.5562500000015</v>
      </c>
      <c r="AA105" s="366">
        <v>0</v>
      </c>
      <c r="AB105" s="367">
        <f t="shared" ref="AB105:AB122" si="140">I105/16*AA105*50%</f>
        <v>0</v>
      </c>
      <c r="AC105" s="372">
        <v>5</v>
      </c>
      <c r="AD105" s="367">
        <f t="shared" ref="AD105:AD122" si="141">I105/16*AC105*50%*50%</f>
        <v>1382.578125</v>
      </c>
      <c r="AE105" s="366"/>
      <c r="AF105" s="366"/>
      <c r="AG105" s="367"/>
      <c r="AH105" s="366"/>
      <c r="AI105" s="367"/>
      <c r="AJ105" s="366">
        <f t="shared" ref="AJ105:AJ122" si="142">X105</f>
        <v>5</v>
      </c>
      <c r="AK105" s="367">
        <f t="shared" si="127"/>
        <v>2212.125</v>
      </c>
      <c r="AL105" s="366">
        <f t="shared" si="128"/>
        <v>5</v>
      </c>
      <c r="AM105" s="367">
        <f t="shared" si="129"/>
        <v>18913.668750000001</v>
      </c>
      <c r="AN105" s="366" t="str">
        <f>F105</f>
        <v>Педагог-сарапшы</v>
      </c>
      <c r="AO105" s="367" t="str">
        <f t="shared" si="130"/>
        <v>0</v>
      </c>
      <c r="AP105" s="367" t="str">
        <f t="shared" si="131"/>
        <v>0</v>
      </c>
      <c r="AQ105" s="367">
        <f t="shared" si="132"/>
        <v>22065.946875000001</v>
      </c>
      <c r="AR105" s="367" t="str">
        <f t="shared" si="133"/>
        <v>0</v>
      </c>
      <c r="AS105" s="366"/>
      <c r="AT105" s="367"/>
      <c r="AU105" s="371"/>
      <c r="AV105" s="367"/>
      <c r="AW105" s="371"/>
      <c r="AX105" s="372"/>
      <c r="AY105" s="367"/>
      <c r="AZ105" s="367">
        <f t="shared" si="134"/>
        <v>50878.875</v>
      </c>
      <c r="BA105" s="373">
        <f t="shared" si="135"/>
        <v>113924.4375</v>
      </c>
      <c r="BB105" s="374">
        <f t="shared" si="65"/>
        <v>11392.44375</v>
      </c>
      <c r="BC105" s="374">
        <f t="shared" si="66"/>
        <v>2278.48875</v>
      </c>
      <c r="BD105" s="374">
        <f t="shared" si="136"/>
        <v>3652.5504999999994</v>
      </c>
      <c r="BE105" s="374">
        <f t="shared" si="68"/>
        <v>96600.954499999993</v>
      </c>
      <c r="BF105" s="374">
        <f t="shared" si="69"/>
        <v>1367093.25</v>
      </c>
      <c r="BG105" s="374">
        <f t="shared" si="137"/>
        <v>126091.12500000001</v>
      </c>
      <c r="BH105" s="374">
        <f t="shared" si="71"/>
        <v>1493184.375</v>
      </c>
      <c r="BI105" s="374">
        <f t="shared" si="72"/>
        <v>67193.296875</v>
      </c>
      <c r="BJ105" s="374">
        <f t="shared" si="73"/>
        <v>41012.797500000001</v>
      </c>
      <c r="BK105" s="374">
        <f t="shared" si="74"/>
        <v>77624.3511</v>
      </c>
      <c r="BL105" s="374">
        <f t="shared" si="138"/>
        <v>74659.21875</v>
      </c>
      <c r="BM105" s="373">
        <f t="shared" si="76"/>
        <v>1753674.0392250002</v>
      </c>
      <c r="BN105" s="375"/>
      <c r="BO105" s="377"/>
      <c r="BP105" s="377"/>
      <c r="BQ105" s="377"/>
      <c r="BR105" s="377"/>
      <c r="BS105" s="377"/>
      <c r="BT105" s="377"/>
      <c r="BU105" s="377"/>
      <c r="BV105" s="377"/>
      <c r="BW105" s="377"/>
      <c r="BX105" s="377"/>
      <c r="BY105" s="377"/>
      <c r="BZ105" s="377"/>
      <c r="CA105" s="377"/>
      <c r="CB105" s="377"/>
      <c r="CC105" s="377"/>
      <c r="CD105" s="377"/>
      <c r="CE105" s="377"/>
      <c r="CF105" s="377"/>
      <c r="CG105" s="377"/>
      <c r="CH105" s="377"/>
      <c r="CI105" s="377"/>
    </row>
    <row r="106" spans="1:87" ht="45">
      <c r="A106" s="369">
        <f t="shared" si="139"/>
        <v>66</v>
      </c>
      <c r="B106" s="416">
        <f t="shared" si="139"/>
        <v>3</v>
      </c>
      <c r="C106" s="473" t="s">
        <v>1172</v>
      </c>
      <c r="D106" s="475" t="s">
        <v>1173</v>
      </c>
      <c r="E106" s="366" t="s">
        <v>998</v>
      </c>
      <c r="F106" s="366"/>
      <c r="G106" s="393" t="s">
        <v>1174</v>
      </c>
      <c r="H106" s="371" t="s">
        <v>1428</v>
      </c>
      <c r="I106" s="366">
        <v>17697</v>
      </c>
      <c r="J106" s="367">
        <v>11.4</v>
      </c>
      <c r="K106" s="367">
        <f>I106*J106</f>
        <v>201745.80000000002</v>
      </c>
      <c r="L106" s="380"/>
      <c r="M106" s="380">
        <v>15</v>
      </c>
      <c r="N106" s="380">
        <v>6</v>
      </c>
      <c r="O106" s="380"/>
      <c r="P106" s="380"/>
      <c r="Q106" s="368">
        <f>SUM(L106:P106)</f>
        <v>21</v>
      </c>
      <c r="R106" s="380"/>
      <c r="S106" s="380">
        <v>10</v>
      </c>
      <c r="T106" s="380">
        <v>4</v>
      </c>
      <c r="U106" s="380"/>
      <c r="V106" s="380"/>
      <c r="W106" s="381">
        <f>SUM(R106:V106)</f>
        <v>14</v>
      </c>
      <c r="X106" s="370">
        <f>Q106+W106</f>
        <v>35</v>
      </c>
      <c r="Y106" s="367">
        <f>K106/16*X106</f>
        <v>441318.93750000006</v>
      </c>
      <c r="Z106" s="367">
        <f>Y106*10%</f>
        <v>44131.89375000001</v>
      </c>
      <c r="AA106" s="366">
        <v>25</v>
      </c>
      <c r="AB106" s="367">
        <f t="shared" si="140"/>
        <v>13825.78125</v>
      </c>
      <c r="AC106" s="372">
        <v>10</v>
      </c>
      <c r="AD106" s="367">
        <f t="shared" si="141"/>
        <v>2765.15625</v>
      </c>
      <c r="AE106" s="366"/>
      <c r="AF106" s="366" t="s">
        <v>1175</v>
      </c>
      <c r="AG106" s="367">
        <f>17697*20%</f>
        <v>3539.4</v>
      </c>
      <c r="AH106" s="366"/>
      <c r="AI106" s="367"/>
      <c r="AJ106" s="366">
        <f>X106</f>
        <v>35</v>
      </c>
      <c r="AK106" s="367">
        <f>I106/16*AJ106*40%</f>
        <v>15484.875</v>
      </c>
      <c r="AL106" s="366">
        <f>X106</f>
        <v>35</v>
      </c>
      <c r="AM106" s="367">
        <f>K106/16*AL106*30%</f>
        <v>132395.68125000002</v>
      </c>
      <c r="AN106" s="366">
        <f>F106</f>
        <v>0</v>
      </c>
      <c r="AO106" s="367" t="str">
        <f t="shared" si="130"/>
        <v>0</v>
      </c>
      <c r="AP106" s="367" t="str">
        <f t="shared" si="131"/>
        <v>0</v>
      </c>
      <c r="AQ106" s="367" t="str">
        <f t="shared" si="132"/>
        <v>0</v>
      </c>
      <c r="AR106" s="367" t="str">
        <f t="shared" si="133"/>
        <v>0</v>
      </c>
      <c r="AS106" s="366"/>
      <c r="AT106" s="367"/>
      <c r="AU106" s="371"/>
      <c r="AV106" s="367"/>
      <c r="AW106" s="371" t="str">
        <f>G106</f>
        <v>Магистр образования (ин.язык)</v>
      </c>
      <c r="AX106" s="372">
        <f>10*4552</f>
        <v>45520</v>
      </c>
      <c r="AY106" s="367"/>
      <c r="AZ106" s="367">
        <f t="shared" si="134"/>
        <v>257662.78750000003</v>
      </c>
      <c r="BA106" s="373">
        <f t="shared" si="135"/>
        <v>698981.72500000009</v>
      </c>
      <c r="BB106" s="374">
        <f>BA106*10%</f>
        <v>69898.172500000015</v>
      </c>
      <c r="BC106" s="374">
        <f>BA106*2%</f>
        <v>13979.634500000002</v>
      </c>
      <c r="BD106" s="374">
        <f t="shared" si="136"/>
        <v>55137.591800000009</v>
      </c>
      <c r="BE106" s="374">
        <f>BA106-BB106-BC106-BD106</f>
        <v>559966.32620000001</v>
      </c>
      <c r="BF106" s="374">
        <f>BA106*12</f>
        <v>8387780.7000000011</v>
      </c>
      <c r="BG106" s="374">
        <f t="shared" si="137"/>
        <v>882637.87500000012</v>
      </c>
      <c r="BH106" s="374">
        <f>BF106+BG106</f>
        <v>9270418.5750000011</v>
      </c>
      <c r="BI106" s="374">
        <f t="shared" si="72"/>
        <v>417168.83587500011</v>
      </c>
      <c r="BJ106" s="374">
        <f>BF106*3%</f>
        <v>251633.42100000003</v>
      </c>
      <c r="BK106" s="374">
        <f t="shared" si="74"/>
        <v>482149.48551000003</v>
      </c>
      <c r="BL106" s="374">
        <f t="shared" si="138"/>
        <v>463520.92875000008</v>
      </c>
      <c r="BM106" s="373">
        <f>BH106+BI106+BJ106+BK106+BL106</f>
        <v>10884891.246135004</v>
      </c>
      <c r="BN106" s="375"/>
      <c r="BO106" s="377"/>
      <c r="BP106" s="377"/>
      <c r="BQ106" s="377"/>
      <c r="BR106" s="377"/>
      <c r="BS106" s="377"/>
      <c r="BT106" s="377"/>
      <c r="BU106" s="377"/>
      <c r="BV106" s="377"/>
      <c r="BW106" s="377"/>
      <c r="BX106" s="377"/>
      <c r="BY106" s="377"/>
      <c r="BZ106" s="377"/>
      <c r="CA106" s="377"/>
      <c r="CB106" s="377"/>
      <c r="CC106" s="377"/>
      <c r="CD106" s="377"/>
      <c r="CE106" s="377"/>
      <c r="CF106" s="377"/>
      <c r="CG106" s="377"/>
      <c r="CH106" s="377"/>
      <c r="CI106" s="377"/>
    </row>
    <row r="107" spans="1:87" ht="94.5">
      <c r="A107" s="369">
        <f t="shared" si="139"/>
        <v>67</v>
      </c>
      <c r="B107" s="416">
        <f t="shared" si="139"/>
        <v>4</v>
      </c>
      <c r="C107" s="473" t="s">
        <v>910</v>
      </c>
      <c r="D107" s="419" t="s">
        <v>1176</v>
      </c>
      <c r="E107" s="366" t="s">
        <v>998</v>
      </c>
      <c r="F107" s="366"/>
      <c r="G107" s="393"/>
      <c r="H107" s="371" t="s">
        <v>279</v>
      </c>
      <c r="I107" s="366">
        <v>17697</v>
      </c>
      <c r="J107" s="367">
        <v>9.66</v>
      </c>
      <c r="K107" s="367">
        <f>I107*J107</f>
        <v>170953.02</v>
      </c>
      <c r="L107" s="380"/>
      <c r="M107" s="380"/>
      <c r="N107" s="380">
        <v>9</v>
      </c>
      <c r="O107" s="380">
        <v>12</v>
      </c>
      <c r="P107" s="380"/>
      <c r="Q107" s="368">
        <f>SUM(L107:P107)</f>
        <v>21</v>
      </c>
      <c r="R107" s="380"/>
      <c r="S107" s="380"/>
      <c r="T107" s="380">
        <v>6</v>
      </c>
      <c r="U107" s="380">
        <v>6</v>
      </c>
      <c r="V107" s="380"/>
      <c r="W107" s="381">
        <f>SUM(R107:V107)</f>
        <v>12</v>
      </c>
      <c r="X107" s="370">
        <f>Q107+W107</f>
        <v>33</v>
      </c>
      <c r="Y107" s="367">
        <f>K107/16*X107</f>
        <v>352590.60374999995</v>
      </c>
      <c r="Z107" s="367">
        <f>Y107*10%</f>
        <v>35259.060374999994</v>
      </c>
      <c r="AA107" s="366">
        <v>30</v>
      </c>
      <c r="AB107" s="367">
        <f t="shared" si="140"/>
        <v>16590.9375</v>
      </c>
      <c r="AC107" s="372"/>
      <c r="AD107" s="367">
        <f t="shared" si="141"/>
        <v>0</v>
      </c>
      <c r="AE107" s="366"/>
      <c r="AF107" s="366"/>
      <c r="AG107" s="367"/>
      <c r="AH107" s="366"/>
      <c r="AI107" s="367"/>
      <c r="AJ107" s="366">
        <f>X107</f>
        <v>33</v>
      </c>
      <c r="AK107" s="367">
        <f>I107/16*AJ107*40%</f>
        <v>14600.025000000001</v>
      </c>
      <c r="AL107" s="366">
        <f>X107</f>
        <v>33</v>
      </c>
      <c r="AM107" s="367">
        <f>K107/16*AL107*30%</f>
        <v>105777.18112499999</v>
      </c>
      <c r="AN107" s="366">
        <f>F107</f>
        <v>0</v>
      </c>
      <c r="AO107" s="367" t="str">
        <f t="shared" si="130"/>
        <v>0</v>
      </c>
      <c r="AP107" s="367" t="str">
        <f t="shared" si="131"/>
        <v>0</v>
      </c>
      <c r="AQ107" s="367" t="str">
        <f t="shared" si="132"/>
        <v>0</v>
      </c>
      <c r="AR107" s="367" t="str">
        <f t="shared" si="133"/>
        <v>0</v>
      </c>
      <c r="AS107" s="366"/>
      <c r="AT107" s="367"/>
      <c r="AU107" s="371"/>
      <c r="AV107" s="367"/>
      <c r="AW107" s="371"/>
      <c r="AX107" s="372"/>
      <c r="AY107" s="367"/>
      <c r="AZ107" s="367">
        <f t="shared" si="134"/>
        <v>172227.20399999997</v>
      </c>
      <c r="BA107" s="373">
        <f t="shared" si="135"/>
        <v>524817.80774999992</v>
      </c>
      <c r="BB107" s="374">
        <f>BA107*10%</f>
        <v>52481.780774999992</v>
      </c>
      <c r="BC107" s="374">
        <f>BA107*2%</f>
        <v>10496.356154999999</v>
      </c>
      <c r="BD107" s="374">
        <f t="shared" si="136"/>
        <v>39811.167082</v>
      </c>
      <c r="BE107" s="374">
        <f>BA107-BB107-BC107-BD107</f>
        <v>422028.50373799994</v>
      </c>
      <c r="BF107" s="374">
        <f>BA107*12</f>
        <v>6297813.692999999</v>
      </c>
      <c r="BG107" s="374">
        <f t="shared" si="137"/>
        <v>705181.2074999999</v>
      </c>
      <c r="BH107" s="374">
        <f>BF107+BG107</f>
        <v>7002994.9004999986</v>
      </c>
      <c r="BI107" s="374">
        <f t="shared" si="72"/>
        <v>315134.77052249992</v>
      </c>
      <c r="BJ107" s="374">
        <f>BF107*3%</f>
        <v>188934.41078999997</v>
      </c>
      <c r="BK107" s="374">
        <f t="shared" si="74"/>
        <v>364306.53450239985</v>
      </c>
      <c r="BL107" s="374">
        <f t="shared" si="138"/>
        <v>350149.74502499995</v>
      </c>
      <c r="BM107" s="373">
        <f>BH107+BI107+BJ107+BK107+BL107</f>
        <v>8221520.3613398988</v>
      </c>
      <c r="BN107" s="375"/>
      <c r="BO107" s="377"/>
      <c r="BP107" s="377"/>
      <c r="BQ107" s="377"/>
      <c r="BR107" s="377"/>
      <c r="BS107" s="377"/>
      <c r="BT107" s="377"/>
      <c r="BU107" s="377"/>
      <c r="BV107" s="377"/>
      <c r="BW107" s="377"/>
      <c r="BX107" s="377"/>
      <c r="BY107" s="377"/>
      <c r="BZ107" s="377"/>
      <c r="CA107" s="377"/>
      <c r="CB107" s="377"/>
      <c r="CC107" s="377"/>
      <c r="CD107" s="377"/>
      <c r="CE107" s="377"/>
      <c r="CF107" s="377"/>
      <c r="CG107" s="377"/>
      <c r="CH107" s="377"/>
      <c r="CI107" s="377"/>
    </row>
    <row r="108" spans="1:87" ht="47.25">
      <c r="A108" s="369">
        <f t="shared" si="139"/>
        <v>68</v>
      </c>
      <c r="B108" s="416">
        <f t="shared" si="139"/>
        <v>5</v>
      </c>
      <c r="C108" s="409" t="s">
        <v>1177</v>
      </c>
      <c r="D108" s="476" t="s">
        <v>1178</v>
      </c>
      <c r="E108" s="366" t="s">
        <v>998</v>
      </c>
      <c r="F108" s="366" t="s">
        <v>254</v>
      </c>
      <c r="G108" s="366" t="s">
        <v>1174</v>
      </c>
      <c r="H108" s="371" t="s">
        <v>845</v>
      </c>
      <c r="I108" s="366">
        <v>17697</v>
      </c>
      <c r="J108" s="367">
        <v>10.220000000000001</v>
      </c>
      <c r="K108" s="367">
        <f t="shared" si="121"/>
        <v>180863.34000000003</v>
      </c>
      <c r="L108" s="380"/>
      <c r="M108" s="380">
        <v>3</v>
      </c>
      <c r="N108" s="380"/>
      <c r="O108" s="380"/>
      <c r="P108" s="380"/>
      <c r="Q108" s="368">
        <f t="shared" si="122"/>
        <v>3</v>
      </c>
      <c r="R108" s="380"/>
      <c r="S108" s="380">
        <v>5</v>
      </c>
      <c r="T108" s="380"/>
      <c r="U108" s="380"/>
      <c r="V108" s="380"/>
      <c r="W108" s="381">
        <f t="shared" si="123"/>
        <v>5</v>
      </c>
      <c r="X108" s="370">
        <f t="shared" si="124"/>
        <v>8</v>
      </c>
      <c r="Y108" s="367">
        <f t="shared" si="125"/>
        <v>90431.670000000013</v>
      </c>
      <c r="Z108" s="367"/>
      <c r="AA108" s="366">
        <v>5</v>
      </c>
      <c r="AB108" s="367">
        <f t="shared" si="140"/>
        <v>2765.15625</v>
      </c>
      <c r="AC108" s="366"/>
      <c r="AD108" s="367">
        <f t="shared" si="141"/>
        <v>0</v>
      </c>
      <c r="AE108" s="367"/>
      <c r="AF108" s="366"/>
      <c r="AG108" s="367"/>
      <c r="AH108" s="366"/>
      <c r="AI108" s="367"/>
      <c r="AJ108" s="366">
        <f t="shared" si="142"/>
        <v>8</v>
      </c>
      <c r="AK108" s="367">
        <f t="shared" si="127"/>
        <v>3539.4</v>
      </c>
      <c r="AL108" s="366">
        <f t="shared" si="128"/>
        <v>8</v>
      </c>
      <c r="AM108" s="367">
        <f t="shared" si="129"/>
        <v>27129.501000000004</v>
      </c>
      <c r="AN108" s="366" t="str">
        <f t="shared" ref="AN108:AN122" si="143">F108</f>
        <v>Педагог-модератор</v>
      </c>
      <c r="AO108" s="367" t="str">
        <f t="shared" si="130"/>
        <v>0</v>
      </c>
      <c r="AP108" s="367" t="str">
        <f t="shared" si="131"/>
        <v>0</v>
      </c>
      <c r="AQ108" s="367" t="str">
        <f t="shared" si="132"/>
        <v>0</v>
      </c>
      <c r="AR108" s="367">
        <f t="shared" si="133"/>
        <v>27129.501000000004</v>
      </c>
      <c r="AS108" s="366"/>
      <c r="AT108" s="367"/>
      <c r="AU108" s="371"/>
      <c r="AV108" s="367"/>
      <c r="AW108" s="371" t="str">
        <f>G108</f>
        <v>Магистр образования (ин.язык)</v>
      </c>
      <c r="AX108" s="372">
        <f>10*4552</f>
        <v>45520</v>
      </c>
      <c r="AY108" s="367"/>
      <c r="AZ108" s="367">
        <f t="shared" si="134"/>
        <v>106083.55825</v>
      </c>
      <c r="BA108" s="373">
        <f t="shared" si="135"/>
        <v>196515.22825000001</v>
      </c>
      <c r="BB108" s="374">
        <f t="shared" si="65"/>
        <v>19651.522825000004</v>
      </c>
      <c r="BC108" s="374">
        <f t="shared" si="66"/>
        <v>3930.3045650000004</v>
      </c>
      <c r="BD108" s="374">
        <f t="shared" si="136"/>
        <v>10920.540086000003</v>
      </c>
      <c r="BE108" s="374">
        <f t="shared" si="68"/>
        <v>162012.86077400003</v>
      </c>
      <c r="BF108" s="374">
        <f t="shared" si="69"/>
        <v>2358182.7390000001</v>
      </c>
      <c r="BG108" s="374">
        <f t="shared" si="137"/>
        <v>180863.34000000003</v>
      </c>
      <c r="BH108" s="374">
        <f t="shared" si="71"/>
        <v>2539046.0789999999</v>
      </c>
      <c r="BI108" s="374">
        <f t="shared" si="72"/>
        <v>114257.07355500001</v>
      </c>
      <c r="BJ108" s="374">
        <f t="shared" si="73"/>
        <v>70745.482170000003</v>
      </c>
      <c r="BK108" s="374">
        <f t="shared" si="74"/>
        <v>131920.48624020003</v>
      </c>
      <c r="BL108" s="374">
        <f t="shared" si="138"/>
        <v>126952.30395</v>
      </c>
      <c r="BM108" s="373">
        <f t="shared" si="76"/>
        <v>2982921.4249152006</v>
      </c>
      <c r="BN108" s="375">
        <v>1</v>
      </c>
      <c r="BO108" s="377"/>
      <c r="BP108" s="377"/>
      <c r="BQ108" s="377"/>
      <c r="BR108" s="377"/>
      <c r="BS108" s="377"/>
      <c r="BT108" s="377"/>
      <c r="BU108" s="377"/>
      <c r="BV108" s="377"/>
      <c r="BW108" s="377"/>
      <c r="BX108" s="377"/>
      <c r="BY108" s="377"/>
      <c r="BZ108" s="377"/>
      <c r="CA108" s="377"/>
      <c r="CB108" s="377"/>
      <c r="CC108" s="377"/>
      <c r="CD108" s="377"/>
      <c r="CE108" s="377"/>
      <c r="CF108" s="377"/>
      <c r="CG108" s="377"/>
      <c r="CH108" s="377"/>
      <c r="CI108" s="377"/>
    </row>
    <row r="109" spans="1:87" ht="94.5">
      <c r="A109" s="369">
        <f t="shared" si="139"/>
        <v>69</v>
      </c>
      <c r="B109" s="416">
        <f t="shared" si="139"/>
        <v>6</v>
      </c>
      <c r="C109" s="477" t="s">
        <v>1179</v>
      </c>
      <c r="D109" s="412" t="s">
        <v>1180</v>
      </c>
      <c r="E109" s="366" t="s">
        <v>998</v>
      </c>
      <c r="F109" s="366" t="s">
        <v>254</v>
      </c>
      <c r="G109" s="366" t="s">
        <v>1174</v>
      </c>
      <c r="H109" s="371" t="s">
        <v>278</v>
      </c>
      <c r="I109" s="366">
        <v>17697</v>
      </c>
      <c r="J109" s="367">
        <v>10</v>
      </c>
      <c r="K109" s="367">
        <f t="shared" si="121"/>
        <v>176970</v>
      </c>
      <c r="L109" s="380"/>
      <c r="M109" s="380">
        <v>12</v>
      </c>
      <c r="N109" s="380"/>
      <c r="O109" s="380">
        <v>9</v>
      </c>
      <c r="P109" s="380"/>
      <c r="Q109" s="368">
        <f t="shared" si="122"/>
        <v>21</v>
      </c>
      <c r="R109" s="380"/>
      <c r="S109" s="380">
        <v>8</v>
      </c>
      <c r="T109" s="380"/>
      <c r="U109" s="380">
        <v>6</v>
      </c>
      <c r="V109" s="380"/>
      <c r="W109" s="381">
        <f t="shared" si="123"/>
        <v>14</v>
      </c>
      <c r="X109" s="370">
        <f t="shared" si="124"/>
        <v>35</v>
      </c>
      <c r="Y109" s="367">
        <f t="shared" si="125"/>
        <v>387121.875</v>
      </c>
      <c r="Z109" s="367">
        <f t="shared" si="126"/>
        <v>38712.1875</v>
      </c>
      <c r="AA109" s="366">
        <v>29</v>
      </c>
      <c r="AB109" s="367">
        <f t="shared" si="140"/>
        <v>16037.90625</v>
      </c>
      <c r="AC109" s="372">
        <v>3</v>
      </c>
      <c r="AD109" s="367">
        <f t="shared" si="141"/>
        <v>829.546875</v>
      </c>
      <c r="AE109" s="366"/>
      <c r="AF109" s="366"/>
      <c r="AG109" s="367"/>
      <c r="AH109" s="366"/>
      <c r="AI109" s="367"/>
      <c r="AJ109" s="366">
        <f t="shared" si="142"/>
        <v>35</v>
      </c>
      <c r="AK109" s="367">
        <f t="shared" si="127"/>
        <v>15484.875</v>
      </c>
      <c r="AL109" s="366">
        <f t="shared" si="128"/>
        <v>35</v>
      </c>
      <c r="AM109" s="367">
        <f t="shared" si="129"/>
        <v>116136.5625</v>
      </c>
      <c r="AN109" s="366" t="str">
        <f t="shared" si="143"/>
        <v>Педагог-модератор</v>
      </c>
      <c r="AO109" s="367" t="str">
        <f t="shared" si="130"/>
        <v>0</v>
      </c>
      <c r="AP109" s="367" t="str">
        <f t="shared" si="131"/>
        <v>0</v>
      </c>
      <c r="AQ109" s="367" t="str">
        <f t="shared" si="132"/>
        <v>0</v>
      </c>
      <c r="AR109" s="367">
        <f t="shared" si="133"/>
        <v>116136.5625</v>
      </c>
      <c r="AS109" s="366"/>
      <c r="AT109" s="367"/>
      <c r="AU109" s="371"/>
      <c r="AV109" s="367"/>
      <c r="AW109" s="371" t="str">
        <f>G109</f>
        <v>Магистр образования (ин.язык)</v>
      </c>
      <c r="AX109" s="372">
        <f>10*4552</f>
        <v>45520</v>
      </c>
      <c r="AY109" s="367"/>
      <c r="AZ109" s="367">
        <f t="shared" si="134"/>
        <v>348857.640625</v>
      </c>
      <c r="BA109" s="373">
        <f t="shared" si="135"/>
        <v>735979.515625</v>
      </c>
      <c r="BB109" s="374">
        <f t="shared" si="65"/>
        <v>73597.951562500006</v>
      </c>
      <c r="BC109" s="374">
        <f t="shared" si="66"/>
        <v>14719.5903125</v>
      </c>
      <c r="BD109" s="374">
        <f t="shared" si="136"/>
        <v>58393.397375</v>
      </c>
      <c r="BE109" s="374">
        <f t="shared" si="68"/>
        <v>589268.57637499995</v>
      </c>
      <c r="BF109" s="374">
        <f t="shared" si="69"/>
        <v>8831754.1875</v>
      </c>
      <c r="BG109" s="374">
        <f t="shared" si="137"/>
        <v>774243.75</v>
      </c>
      <c r="BH109" s="374">
        <f t="shared" si="71"/>
        <v>9605997.9375</v>
      </c>
      <c r="BI109" s="374">
        <f t="shared" si="72"/>
        <v>432269.90718750004</v>
      </c>
      <c r="BJ109" s="374">
        <f t="shared" si="73"/>
        <v>264952.62562499999</v>
      </c>
      <c r="BK109" s="374">
        <f t="shared" si="74"/>
        <v>499294.02941249998</v>
      </c>
      <c r="BL109" s="374">
        <f t="shared" si="138"/>
        <v>480299.89687500003</v>
      </c>
      <c r="BM109" s="373">
        <f t="shared" si="76"/>
        <v>11282814.396599999</v>
      </c>
      <c r="BN109" s="375"/>
      <c r="BO109" s="377"/>
      <c r="BP109" s="377"/>
      <c r="BQ109" s="377"/>
      <c r="BR109" s="377"/>
      <c r="BS109" s="377"/>
      <c r="BT109" s="377"/>
      <c r="BU109" s="377"/>
      <c r="BV109" s="377"/>
      <c r="BW109" s="377"/>
      <c r="BX109" s="377"/>
      <c r="BY109" s="377"/>
      <c r="BZ109" s="377"/>
      <c r="CA109" s="377"/>
      <c r="CB109" s="377"/>
      <c r="CC109" s="377"/>
      <c r="CD109" s="377"/>
      <c r="CE109" s="377"/>
      <c r="CF109" s="377"/>
      <c r="CG109" s="377"/>
      <c r="CH109" s="377"/>
      <c r="CI109" s="377"/>
    </row>
    <row r="110" spans="1:87" ht="45">
      <c r="A110" s="369">
        <f t="shared" si="139"/>
        <v>70</v>
      </c>
      <c r="B110" s="416">
        <f t="shared" si="139"/>
        <v>7</v>
      </c>
      <c r="C110" s="477" t="s">
        <v>1181</v>
      </c>
      <c r="D110" s="412" t="s">
        <v>1182</v>
      </c>
      <c r="E110" s="366" t="s">
        <v>998</v>
      </c>
      <c r="F110" s="366"/>
      <c r="G110" s="366" t="s">
        <v>1046</v>
      </c>
      <c r="H110" s="371" t="s">
        <v>1429</v>
      </c>
      <c r="I110" s="366">
        <v>17697</v>
      </c>
      <c r="J110" s="367">
        <v>9.5</v>
      </c>
      <c r="K110" s="367">
        <f t="shared" si="121"/>
        <v>168121.5</v>
      </c>
      <c r="L110" s="380">
        <v>15</v>
      </c>
      <c r="M110" s="380"/>
      <c r="N110" s="380"/>
      <c r="O110" s="380"/>
      <c r="P110" s="380"/>
      <c r="Q110" s="368">
        <f t="shared" si="122"/>
        <v>15</v>
      </c>
      <c r="R110" s="380">
        <v>10</v>
      </c>
      <c r="S110" s="380"/>
      <c r="T110" s="380"/>
      <c r="U110" s="380"/>
      <c r="V110" s="380"/>
      <c r="W110" s="381">
        <f t="shared" ref="W110" si="144">SUM(R110:V110)</f>
        <v>10</v>
      </c>
      <c r="X110" s="370">
        <f t="shared" si="124"/>
        <v>25</v>
      </c>
      <c r="Y110" s="367">
        <f t="shared" si="125"/>
        <v>262689.84375</v>
      </c>
      <c r="Z110" s="367">
        <f t="shared" si="126"/>
        <v>26268.984375</v>
      </c>
      <c r="AA110" s="366">
        <v>0</v>
      </c>
      <c r="AB110" s="367">
        <f t="shared" si="140"/>
        <v>0</v>
      </c>
      <c r="AC110" s="372">
        <v>25</v>
      </c>
      <c r="AD110" s="367">
        <f t="shared" si="141"/>
        <v>6912.890625</v>
      </c>
      <c r="AE110" s="366"/>
      <c r="AF110" s="366"/>
      <c r="AG110" s="367"/>
      <c r="AH110" s="366"/>
      <c r="AI110" s="367"/>
      <c r="AJ110" s="366">
        <f t="shared" si="142"/>
        <v>25</v>
      </c>
      <c r="AK110" s="367">
        <f t="shared" si="127"/>
        <v>11060.625</v>
      </c>
      <c r="AL110" s="366">
        <f t="shared" si="128"/>
        <v>25</v>
      </c>
      <c r="AM110" s="367">
        <f t="shared" si="129"/>
        <v>78806.953125</v>
      </c>
      <c r="AN110" s="366">
        <f t="shared" si="143"/>
        <v>0</v>
      </c>
      <c r="AO110" s="367" t="str">
        <f t="shared" si="130"/>
        <v>0</v>
      </c>
      <c r="AP110" s="367" t="str">
        <f t="shared" si="131"/>
        <v>0</v>
      </c>
      <c r="AQ110" s="367" t="str">
        <f t="shared" si="132"/>
        <v>0</v>
      </c>
      <c r="AR110" s="367" t="str">
        <f t="shared" si="133"/>
        <v>0</v>
      </c>
      <c r="AS110" s="366"/>
      <c r="AT110" s="367"/>
      <c r="AU110" s="371"/>
      <c r="AV110" s="367"/>
      <c r="AW110" s="371" t="str">
        <f t="shared" ref="AW110" si="145">G110</f>
        <v>Магистр педагогических наук</v>
      </c>
      <c r="AX110" s="372">
        <f>10*4552</f>
        <v>45520</v>
      </c>
      <c r="AY110" s="367"/>
      <c r="AZ110" s="367">
        <f t="shared" si="134"/>
        <v>168569.453125</v>
      </c>
      <c r="BA110" s="373">
        <f t="shared" si="135"/>
        <v>431259.296875</v>
      </c>
      <c r="BB110" s="374">
        <f t="shared" si="65"/>
        <v>43125.9296875</v>
      </c>
      <c r="BC110" s="374">
        <f t="shared" si="66"/>
        <v>8625.1859375000004</v>
      </c>
      <c r="BD110" s="374">
        <f t="shared" si="136"/>
        <v>31578.018125000002</v>
      </c>
      <c r="BE110" s="374">
        <f t="shared" si="68"/>
        <v>347930.16312500002</v>
      </c>
      <c r="BF110" s="374">
        <f t="shared" si="69"/>
        <v>5175111.5625</v>
      </c>
      <c r="BG110" s="374">
        <f t="shared" si="137"/>
        <v>525379.6875</v>
      </c>
      <c r="BH110" s="374">
        <f t="shared" si="71"/>
        <v>5700491.25</v>
      </c>
      <c r="BI110" s="374">
        <f t="shared" si="72"/>
        <v>256522.10625000001</v>
      </c>
      <c r="BJ110" s="374">
        <f t="shared" si="73"/>
        <v>155253.34687499999</v>
      </c>
      <c r="BK110" s="374">
        <f t="shared" si="74"/>
        <v>296441.28206249996</v>
      </c>
      <c r="BL110" s="374">
        <f t="shared" si="138"/>
        <v>285024.5625</v>
      </c>
      <c r="BM110" s="373">
        <f t="shared" si="76"/>
        <v>6693732.5476874998</v>
      </c>
      <c r="BN110" s="375"/>
      <c r="BO110" s="377"/>
      <c r="BP110" s="377"/>
      <c r="BQ110" s="377"/>
      <c r="BR110" s="377"/>
      <c r="BS110" s="377"/>
      <c r="BT110" s="377"/>
      <c r="BU110" s="377"/>
      <c r="BV110" s="377"/>
      <c r="BW110" s="377"/>
      <c r="BX110" s="377"/>
      <c r="BY110" s="377"/>
      <c r="BZ110" s="377"/>
      <c r="CA110" s="377"/>
      <c r="CB110" s="377"/>
      <c r="CC110" s="377"/>
      <c r="CD110" s="377"/>
      <c r="CE110" s="377"/>
      <c r="CF110" s="377"/>
      <c r="CG110" s="377"/>
      <c r="CH110" s="377"/>
      <c r="CI110" s="377"/>
    </row>
    <row r="111" spans="1:87" ht="31.5">
      <c r="A111" s="369">
        <f t="shared" si="139"/>
        <v>71</v>
      </c>
      <c r="B111" s="416">
        <f t="shared" si="139"/>
        <v>8</v>
      </c>
      <c r="C111" s="409" t="s">
        <v>1185</v>
      </c>
      <c r="D111" s="412" t="s">
        <v>1186</v>
      </c>
      <c r="E111" s="366" t="s">
        <v>998</v>
      </c>
      <c r="F111" s="366"/>
      <c r="G111" s="366"/>
      <c r="H111" s="371" t="s">
        <v>1187</v>
      </c>
      <c r="I111" s="366">
        <v>17697</v>
      </c>
      <c r="J111" s="367">
        <v>11.4</v>
      </c>
      <c r="K111" s="367">
        <f t="shared" si="121"/>
        <v>201745.80000000002</v>
      </c>
      <c r="L111" s="380"/>
      <c r="M111" s="380">
        <v>3</v>
      </c>
      <c r="N111" s="380"/>
      <c r="O111" s="380"/>
      <c r="P111" s="380"/>
      <c r="Q111" s="368">
        <f t="shared" si="122"/>
        <v>3</v>
      </c>
      <c r="R111" s="380"/>
      <c r="S111" s="380">
        <v>2</v>
      </c>
      <c r="T111" s="380"/>
      <c r="U111" s="380"/>
      <c r="V111" s="380"/>
      <c r="W111" s="381">
        <f t="shared" si="123"/>
        <v>2</v>
      </c>
      <c r="X111" s="370">
        <f t="shared" si="124"/>
        <v>5</v>
      </c>
      <c r="Y111" s="367">
        <f t="shared" si="125"/>
        <v>63045.562500000007</v>
      </c>
      <c r="Z111" s="367">
        <f t="shared" si="126"/>
        <v>6304.5562500000015</v>
      </c>
      <c r="AA111" s="366">
        <v>5</v>
      </c>
      <c r="AB111" s="367">
        <f t="shared" si="140"/>
        <v>2765.15625</v>
      </c>
      <c r="AC111" s="366">
        <v>0</v>
      </c>
      <c r="AD111" s="367">
        <f t="shared" si="141"/>
        <v>0</v>
      </c>
      <c r="AE111" s="366"/>
      <c r="AF111" s="366"/>
      <c r="AG111" s="367"/>
      <c r="AH111" s="366"/>
      <c r="AI111" s="367"/>
      <c r="AJ111" s="366">
        <f t="shared" si="142"/>
        <v>5</v>
      </c>
      <c r="AK111" s="367">
        <f t="shared" si="127"/>
        <v>2212.125</v>
      </c>
      <c r="AL111" s="366">
        <f t="shared" si="128"/>
        <v>5</v>
      </c>
      <c r="AM111" s="367">
        <f t="shared" si="129"/>
        <v>18913.668750000001</v>
      </c>
      <c r="AN111" s="366">
        <f t="shared" si="143"/>
        <v>0</v>
      </c>
      <c r="AO111" s="367" t="str">
        <f t="shared" si="130"/>
        <v>0</v>
      </c>
      <c r="AP111" s="367" t="str">
        <f t="shared" si="131"/>
        <v>0</v>
      </c>
      <c r="AQ111" s="367" t="str">
        <f t="shared" si="132"/>
        <v>0</v>
      </c>
      <c r="AR111" s="367" t="str">
        <f t="shared" si="133"/>
        <v>0</v>
      </c>
      <c r="AS111" s="366"/>
      <c r="AT111" s="367"/>
      <c r="AU111" s="371"/>
      <c r="AV111" s="367"/>
      <c r="AW111" s="371"/>
      <c r="AX111" s="372"/>
      <c r="AY111" s="367"/>
      <c r="AZ111" s="367">
        <f t="shared" si="134"/>
        <v>30195.506250000002</v>
      </c>
      <c r="BA111" s="373">
        <f t="shared" si="135"/>
        <v>93241.068750000006</v>
      </c>
      <c r="BB111" s="374">
        <f t="shared" si="65"/>
        <v>9324.1068750000013</v>
      </c>
      <c r="BC111" s="374">
        <f t="shared" si="66"/>
        <v>1864.8213750000002</v>
      </c>
      <c r="BD111" s="374">
        <f t="shared" si="136"/>
        <v>1832.414050000001</v>
      </c>
      <c r="BE111" s="374">
        <f t="shared" si="68"/>
        <v>80219.726450000002</v>
      </c>
      <c r="BF111" s="374">
        <f t="shared" si="69"/>
        <v>1118892.8250000002</v>
      </c>
      <c r="BG111" s="374">
        <f t="shared" si="137"/>
        <v>126091.12500000001</v>
      </c>
      <c r="BH111" s="374">
        <f t="shared" si="71"/>
        <v>1244983.9500000002</v>
      </c>
      <c r="BI111" s="374">
        <f t="shared" si="72"/>
        <v>56024.277750000008</v>
      </c>
      <c r="BJ111" s="374">
        <f t="shared" si="73"/>
        <v>33566.784750000006</v>
      </c>
      <c r="BK111" s="374">
        <f t="shared" si="74"/>
        <v>64767.56908500001</v>
      </c>
      <c r="BL111" s="374">
        <f t="shared" si="138"/>
        <v>62249.197500000009</v>
      </c>
      <c r="BM111" s="373">
        <f t="shared" si="76"/>
        <v>1461591.7790850003</v>
      </c>
      <c r="BN111" s="375"/>
      <c r="BO111" s="377"/>
      <c r="BP111" s="377"/>
      <c r="BQ111" s="377"/>
      <c r="BR111" s="377"/>
      <c r="BS111" s="377"/>
      <c r="BT111" s="377"/>
      <c r="BU111" s="377"/>
      <c r="BV111" s="377"/>
      <c r="BW111" s="377"/>
      <c r="BX111" s="377"/>
      <c r="BY111" s="377"/>
      <c r="BZ111" s="377"/>
      <c r="CA111" s="377"/>
      <c r="CB111" s="377"/>
      <c r="CC111" s="377"/>
      <c r="CD111" s="377"/>
      <c r="CE111" s="377"/>
      <c r="CF111" s="377"/>
      <c r="CG111" s="377"/>
      <c r="CH111" s="377"/>
      <c r="CI111" s="377"/>
    </row>
    <row r="112" spans="1:87" ht="75">
      <c r="A112" s="369">
        <f t="shared" si="139"/>
        <v>72</v>
      </c>
      <c r="B112" s="416">
        <f t="shared" si="139"/>
        <v>9</v>
      </c>
      <c r="C112" s="409" t="s">
        <v>1188</v>
      </c>
      <c r="D112" s="412" t="s">
        <v>1189</v>
      </c>
      <c r="E112" s="366" t="s">
        <v>998</v>
      </c>
      <c r="F112" s="366" t="s">
        <v>1005</v>
      </c>
      <c r="G112" s="366" t="s">
        <v>1190</v>
      </c>
      <c r="H112" s="371" t="s">
        <v>1431</v>
      </c>
      <c r="I112" s="366">
        <v>17697</v>
      </c>
      <c r="J112" s="367">
        <v>10.82</v>
      </c>
      <c r="K112" s="367">
        <f t="shared" si="121"/>
        <v>191481.54</v>
      </c>
      <c r="L112" s="380"/>
      <c r="M112" s="380"/>
      <c r="N112" s="380">
        <v>21</v>
      </c>
      <c r="O112" s="380"/>
      <c r="P112" s="380"/>
      <c r="Q112" s="368">
        <f t="shared" si="122"/>
        <v>21</v>
      </c>
      <c r="R112" s="380"/>
      <c r="S112" s="380"/>
      <c r="T112" s="380">
        <v>14</v>
      </c>
      <c r="U112" s="380"/>
      <c r="V112" s="380"/>
      <c r="W112" s="381">
        <f t="shared" si="123"/>
        <v>14</v>
      </c>
      <c r="X112" s="370">
        <f t="shared" si="124"/>
        <v>35</v>
      </c>
      <c r="Y112" s="367">
        <f t="shared" si="125"/>
        <v>418865.86875000002</v>
      </c>
      <c r="Z112" s="367">
        <f t="shared" si="126"/>
        <v>41886.586875000008</v>
      </c>
      <c r="AA112" s="366">
        <v>35</v>
      </c>
      <c r="AB112" s="367">
        <f t="shared" si="140"/>
        <v>19356.09375</v>
      </c>
      <c r="AC112" s="366">
        <v>0</v>
      </c>
      <c r="AD112" s="367">
        <f t="shared" si="141"/>
        <v>0</v>
      </c>
      <c r="AE112" s="366"/>
      <c r="AF112" s="366" t="s">
        <v>260</v>
      </c>
      <c r="AG112" s="367">
        <f>17697*20%</f>
        <v>3539.4</v>
      </c>
      <c r="AH112" s="366"/>
      <c r="AI112" s="367"/>
      <c r="AJ112" s="366">
        <f t="shared" si="142"/>
        <v>35</v>
      </c>
      <c r="AK112" s="367">
        <f t="shared" si="127"/>
        <v>15484.875</v>
      </c>
      <c r="AL112" s="366">
        <f t="shared" si="128"/>
        <v>35</v>
      </c>
      <c r="AM112" s="367">
        <f t="shared" si="129"/>
        <v>125659.760625</v>
      </c>
      <c r="AN112" s="366" t="str">
        <f t="shared" si="143"/>
        <v>Педагог-зерттеуші</v>
      </c>
      <c r="AO112" s="367" t="str">
        <f t="shared" si="130"/>
        <v>0</v>
      </c>
      <c r="AP112" s="367">
        <f t="shared" si="131"/>
        <v>167546.34750000003</v>
      </c>
      <c r="AQ112" s="367" t="str">
        <f t="shared" si="132"/>
        <v>0</v>
      </c>
      <c r="AR112" s="367" t="str">
        <f t="shared" si="133"/>
        <v>0</v>
      </c>
      <c r="AS112" s="366"/>
      <c r="AT112" s="367"/>
      <c r="AU112" s="371"/>
      <c r="AV112" s="367"/>
      <c r="AW112" s="371" t="str">
        <f>G112</f>
        <v>Магистр-иностранный язык (два инностранных языка)</v>
      </c>
      <c r="AX112" s="372">
        <f>10*4552</f>
        <v>45520</v>
      </c>
      <c r="AY112" s="367"/>
      <c r="AZ112" s="367">
        <f t="shared" si="134"/>
        <v>418993.06375000003</v>
      </c>
      <c r="BA112" s="373">
        <f t="shared" si="135"/>
        <v>837858.93250000011</v>
      </c>
      <c r="BB112" s="374">
        <f t="shared" si="65"/>
        <v>83785.893250000023</v>
      </c>
      <c r="BC112" s="374">
        <f t="shared" si="66"/>
        <v>16757.178650000002</v>
      </c>
      <c r="BD112" s="374">
        <f t="shared" si="136"/>
        <v>67358.786060000013</v>
      </c>
      <c r="BE112" s="374">
        <f t="shared" si="68"/>
        <v>669957.07454000018</v>
      </c>
      <c r="BF112" s="374">
        <f t="shared" si="69"/>
        <v>10054307.190000001</v>
      </c>
      <c r="BG112" s="374">
        <f t="shared" si="137"/>
        <v>837731.73750000005</v>
      </c>
      <c r="BH112" s="374">
        <f t="shared" si="71"/>
        <v>10892038.927500002</v>
      </c>
      <c r="BI112" s="374">
        <f t="shared" si="72"/>
        <v>490141.75173750008</v>
      </c>
      <c r="BJ112" s="374">
        <f t="shared" si="73"/>
        <v>301629.2157</v>
      </c>
      <c r="BK112" s="374">
        <f t="shared" si="74"/>
        <v>566050.6262670001</v>
      </c>
      <c r="BL112" s="374">
        <f t="shared" si="138"/>
        <v>544601.94637500017</v>
      </c>
      <c r="BM112" s="373">
        <f t="shared" si="76"/>
        <v>12794462.467579501</v>
      </c>
      <c r="BN112" s="375"/>
      <c r="BO112" s="377"/>
      <c r="BP112" s="377"/>
      <c r="BQ112" s="377"/>
      <c r="BR112" s="377"/>
      <c r="BS112" s="377"/>
      <c r="BT112" s="377"/>
      <c r="BU112" s="377"/>
      <c r="BV112" s="377"/>
      <c r="BW112" s="377"/>
      <c r="BX112" s="377"/>
      <c r="BY112" s="377"/>
      <c r="BZ112" s="377"/>
      <c r="CA112" s="377"/>
      <c r="CB112" s="377"/>
      <c r="CC112" s="377"/>
      <c r="CD112" s="377"/>
      <c r="CE112" s="377"/>
      <c r="CF112" s="377"/>
      <c r="CG112" s="377"/>
      <c r="CH112" s="377"/>
      <c r="CI112" s="377"/>
    </row>
    <row r="113" spans="1:87" ht="31.5">
      <c r="A113" s="369">
        <f t="shared" si="139"/>
        <v>73</v>
      </c>
      <c r="B113" s="416">
        <f t="shared" si="139"/>
        <v>10</v>
      </c>
      <c r="C113" s="409" t="s">
        <v>1191</v>
      </c>
      <c r="D113" s="412" t="s">
        <v>1192</v>
      </c>
      <c r="E113" s="366" t="s">
        <v>998</v>
      </c>
      <c r="F113" s="366" t="s">
        <v>1011</v>
      </c>
      <c r="G113" s="366"/>
      <c r="H113" s="371" t="s">
        <v>1432</v>
      </c>
      <c r="I113" s="366">
        <v>17697</v>
      </c>
      <c r="J113" s="367">
        <v>11.4</v>
      </c>
      <c r="K113" s="367">
        <f t="shared" si="121"/>
        <v>201745.80000000002</v>
      </c>
      <c r="L113" s="380">
        <v>15</v>
      </c>
      <c r="M113" s="380">
        <v>6</v>
      </c>
      <c r="N113" s="380"/>
      <c r="O113" s="380"/>
      <c r="P113" s="380"/>
      <c r="Q113" s="368">
        <f t="shared" si="122"/>
        <v>21</v>
      </c>
      <c r="R113" s="380">
        <v>10</v>
      </c>
      <c r="S113" s="380">
        <v>4</v>
      </c>
      <c r="T113" s="380"/>
      <c r="U113" s="380"/>
      <c r="V113" s="380"/>
      <c r="W113" s="381">
        <f t="shared" si="123"/>
        <v>14</v>
      </c>
      <c r="X113" s="370">
        <f t="shared" si="124"/>
        <v>35</v>
      </c>
      <c r="Y113" s="367">
        <f t="shared" si="125"/>
        <v>441318.93750000006</v>
      </c>
      <c r="Z113" s="367">
        <f t="shared" si="126"/>
        <v>44131.89375000001</v>
      </c>
      <c r="AA113" s="366">
        <v>10</v>
      </c>
      <c r="AB113" s="367">
        <f t="shared" si="140"/>
        <v>5530.3125</v>
      </c>
      <c r="AC113" s="366">
        <v>25</v>
      </c>
      <c r="AD113" s="367">
        <f t="shared" si="141"/>
        <v>6912.890625</v>
      </c>
      <c r="AE113" s="366"/>
      <c r="AF113" s="366"/>
      <c r="AG113" s="367"/>
      <c r="AH113" s="366"/>
      <c r="AI113" s="367"/>
      <c r="AJ113" s="366">
        <f t="shared" si="142"/>
        <v>35</v>
      </c>
      <c r="AK113" s="367">
        <f t="shared" si="127"/>
        <v>15484.875</v>
      </c>
      <c r="AL113" s="366">
        <f t="shared" si="128"/>
        <v>35</v>
      </c>
      <c r="AM113" s="367">
        <f t="shared" si="129"/>
        <v>132395.68125000002</v>
      </c>
      <c r="AN113" s="366" t="str">
        <f t="shared" si="143"/>
        <v>Педагог-сарапшы</v>
      </c>
      <c r="AO113" s="367" t="str">
        <f t="shared" si="130"/>
        <v>0</v>
      </c>
      <c r="AP113" s="367" t="str">
        <f t="shared" si="131"/>
        <v>0</v>
      </c>
      <c r="AQ113" s="367">
        <f t="shared" si="132"/>
        <v>154461.62812500002</v>
      </c>
      <c r="AR113" s="367" t="str">
        <f t="shared" si="133"/>
        <v>0</v>
      </c>
      <c r="AS113" s="366"/>
      <c r="AT113" s="367"/>
      <c r="AU113" s="371"/>
      <c r="AV113" s="367"/>
      <c r="AW113" s="371"/>
      <c r="AX113" s="372"/>
      <c r="AY113" s="367"/>
      <c r="AZ113" s="367">
        <f t="shared" si="134"/>
        <v>358917.28125000006</v>
      </c>
      <c r="BA113" s="373">
        <f t="shared" si="135"/>
        <v>800236.21875000012</v>
      </c>
      <c r="BB113" s="374">
        <f t="shared" si="65"/>
        <v>80023.621875000012</v>
      </c>
      <c r="BC113" s="374">
        <f t="shared" si="66"/>
        <v>16004.724375000003</v>
      </c>
      <c r="BD113" s="374">
        <f t="shared" si="136"/>
        <v>64047.987250000006</v>
      </c>
      <c r="BE113" s="374">
        <f t="shared" si="68"/>
        <v>640159.88525000005</v>
      </c>
      <c r="BF113" s="374">
        <f t="shared" si="69"/>
        <v>9602834.6250000019</v>
      </c>
      <c r="BG113" s="374">
        <f t="shared" si="137"/>
        <v>882637.87500000012</v>
      </c>
      <c r="BH113" s="374">
        <f t="shared" si="71"/>
        <v>10485472.500000002</v>
      </c>
      <c r="BI113" s="374">
        <f t="shared" si="72"/>
        <v>471846.26250000013</v>
      </c>
      <c r="BJ113" s="374">
        <f t="shared" si="73"/>
        <v>288085.03875000007</v>
      </c>
      <c r="BK113" s="374">
        <f t="shared" si="74"/>
        <v>545089.27882499993</v>
      </c>
      <c r="BL113" s="374">
        <f t="shared" si="138"/>
        <v>524273.62500000012</v>
      </c>
      <c r="BM113" s="373">
        <f t="shared" si="76"/>
        <v>12314766.705075001</v>
      </c>
      <c r="BN113" s="375"/>
      <c r="BO113" s="377"/>
      <c r="BP113" s="377"/>
      <c r="BQ113" s="377"/>
      <c r="BR113" s="377"/>
      <c r="BS113" s="377"/>
      <c r="BT113" s="377"/>
      <c r="BU113" s="377"/>
      <c r="BV113" s="377"/>
      <c r="BW113" s="377"/>
      <c r="BX113" s="377"/>
      <c r="BY113" s="377"/>
      <c r="BZ113" s="377"/>
      <c r="CA113" s="377"/>
      <c r="CB113" s="377"/>
      <c r="CC113" s="377"/>
      <c r="CD113" s="377"/>
      <c r="CE113" s="377"/>
      <c r="CF113" s="377"/>
      <c r="CG113" s="377"/>
      <c r="CH113" s="377"/>
      <c r="CI113" s="377"/>
    </row>
    <row r="114" spans="1:87" ht="94.5">
      <c r="A114" s="369">
        <f t="shared" si="139"/>
        <v>74</v>
      </c>
      <c r="B114" s="416">
        <f t="shared" si="139"/>
        <v>11</v>
      </c>
      <c r="C114" s="473" t="s">
        <v>912</v>
      </c>
      <c r="D114" s="421" t="s">
        <v>1193</v>
      </c>
      <c r="E114" s="366" t="s">
        <v>998</v>
      </c>
      <c r="F114" s="366" t="s">
        <v>254</v>
      </c>
      <c r="G114" s="393" t="s">
        <v>1190</v>
      </c>
      <c r="H114" s="478" t="s">
        <v>278</v>
      </c>
      <c r="I114" s="393">
        <v>17697</v>
      </c>
      <c r="J114" s="479">
        <v>10</v>
      </c>
      <c r="K114" s="479">
        <f t="shared" si="121"/>
        <v>176970</v>
      </c>
      <c r="L114" s="430"/>
      <c r="M114" s="430"/>
      <c r="N114" s="430">
        <v>6</v>
      </c>
      <c r="O114" s="430">
        <v>15</v>
      </c>
      <c r="P114" s="430"/>
      <c r="Q114" s="368">
        <f t="shared" si="122"/>
        <v>21</v>
      </c>
      <c r="R114" s="430"/>
      <c r="S114" s="430"/>
      <c r="T114" s="430">
        <v>4</v>
      </c>
      <c r="U114" s="430">
        <v>8</v>
      </c>
      <c r="V114" s="430"/>
      <c r="W114" s="381">
        <f t="shared" si="123"/>
        <v>12</v>
      </c>
      <c r="X114" s="370">
        <f t="shared" si="124"/>
        <v>33</v>
      </c>
      <c r="Y114" s="479">
        <f t="shared" si="125"/>
        <v>365000.625</v>
      </c>
      <c r="Z114" s="367">
        <f t="shared" si="126"/>
        <v>36500.0625</v>
      </c>
      <c r="AA114" s="366">
        <v>25</v>
      </c>
      <c r="AB114" s="367">
        <f t="shared" si="140"/>
        <v>13825.78125</v>
      </c>
      <c r="AC114" s="366">
        <v>4</v>
      </c>
      <c r="AD114" s="367">
        <f t="shared" si="141"/>
        <v>1106.0625</v>
      </c>
      <c r="AE114" s="393"/>
      <c r="AF114" s="366" t="s">
        <v>1194</v>
      </c>
      <c r="AG114" s="367">
        <f>17697*20%</f>
        <v>3539.4</v>
      </c>
      <c r="AH114" s="393"/>
      <c r="AI114" s="479"/>
      <c r="AJ114" s="366">
        <f t="shared" si="142"/>
        <v>33</v>
      </c>
      <c r="AK114" s="479">
        <f t="shared" si="127"/>
        <v>14600.025000000001</v>
      </c>
      <c r="AL114" s="393">
        <f t="shared" si="128"/>
        <v>33</v>
      </c>
      <c r="AM114" s="479">
        <f t="shared" si="129"/>
        <v>109500.1875</v>
      </c>
      <c r="AN114" s="393" t="str">
        <f t="shared" si="143"/>
        <v>Педагог-модератор</v>
      </c>
      <c r="AO114" s="479" t="str">
        <f t="shared" si="130"/>
        <v>0</v>
      </c>
      <c r="AP114" s="479" t="str">
        <f t="shared" si="131"/>
        <v>0</v>
      </c>
      <c r="AQ114" s="479" t="str">
        <f t="shared" si="132"/>
        <v>0</v>
      </c>
      <c r="AR114" s="479">
        <f t="shared" si="133"/>
        <v>109500.1875</v>
      </c>
      <c r="AS114" s="393"/>
      <c r="AT114" s="479"/>
      <c r="AU114" s="478"/>
      <c r="AV114" s="479"/>
      <c r="AW114" s="478" t="str">
        <f>G114</f>
        <v>Магистр-иностранный язык (два инностранных языка)</v>
      </c>
      <c r="AX114" s="372">
        <f>10*4552</f>
        <v>45520</v>
      </c>
      <c r="AY114" s="479"/>
      <c r="AZ114" s="367">
        <f t="shared" si="134"/>
        <v>334091.70624999999</v>
      </c>
      <c r="BA114" s="373">
        <f t="shared" si="135"/>
        <v>699092.33125000005</v>
      </c>
      <c r="BB114" s="374">
        <f t="shared" si="65"/>
        <v>69909.233125000013</v>
      </c>
      <c r="BC114" s="374">
        <f t="shared" si="66"/>
        <v>13981.846625000002</v>
      </c>
      <c r="BD114" s="374">
        <f t="shared" si="136"/>
        <v>55147.325150000004</v>
      </c>
      <c r="BE114" s="374">
        <f t="shared" si="68"/>
        <v>560053.92634999997</v>
      </c>
      <c r="BF114" s="374">
        <f t="shared" si="69"/>
        <v>8389107.9750000015</v>
      </c>
      <c r="BG114" s="374">
        <f t="shared" si="137"/>
        <v>730001.25</v>
      </c>
      <c r="BH114" s="374">
        <f t="shared" si="71"/>
        <v>9119109.2250000015</v>
      </c>
      <c r="BI114" s="374">
        <f t="shared" si="72"/>
        <v>410359.91512500006</v>
      </c>
      <c r="BJ114" s="374">
        <f t="shared" si="73"/>
        <v>251673.23925000004</v>
      </c>
      <c r="BK114" s="374">
        <f t="shared" si="74"/>
        <v>473975.86060500005</v>
      </c>
      <c r="BL114" s="374">
        <f t="shared" si="138"/>
        <v>455955.46125000011</v>
      </c>
      <c r="BM114" s="373">
        <f t="shared" si="76"/>
        <v>10711073.701230001</v>
      </c>
      <c r="BN114" s="480"/>
      <c r="BO114" s="481"/>
      <c r="BP114" s="481"/>
      <c r="BQ114" s="481"/>
      <c r="BR114" s="481"/>
      <c r="BS114" s="481"/>
      <c r="BT114" s="481"/>
      <c r="BU114" s="481"/>
      <c r="BV114" s="481"/>
      <c r="BW114" s="481"/>
      <c r="BX114" s="481"/>
      <c r="BY114" s="481"/>
      <c r="BZ114" s="481"/>
      <c r="CA114" s="481"/>
      <c r="CB114" s="481"/>
      <c r="CC114" s="481"/>
      <c r="CD114" s="481"/>
      <c r="CE114" s="481"/>
      <c r="CF114" s="481"/>
      <c r="CG114" s="481"/>
      <c r="CH114" s="481"/>
      <c r="CI114" s="481"/>
    </row>
    <row r="115" spans="1:87" ht="78.75">
      <c r="A115" s="369">
        <f t="shared" si="139"/>
        <v>75</v>
      </c>
      <c r="B115" s="416">
        <f t="shared" si="139"/>
        <v>12</v>
      </c>
      <c r="C115" s="473" t="s">
        <v>913</v>
      </c>
      <c r="D115" s="421" t="s">
        <v>1195</v>
      </c>
      <c r="E115" s="366" t="s">
        <v>998</v>
      </c>
      <c r="F115" s="366" t="s">
        <v>254</v>
      </c>
      <c r="G115" s="393" t="s">
        <v>1196</v>
      </c>
      <c r="H115" s="478" t="s">
        <v>1433</v>
      </c>
      <c r="I115" s="393">
        <v>17697</v>
      </c>
      <c r="J115" s="479">
        <v>9.5</v>
      </c>
      <c r="K115" s="479">
        <f t="shared" si="121"/>
        <v>168121.5</v>
      </c>
      <c r="L115" s="430"/>
      <c r="M115" s="430">
        <v>12</v>
      </c>
      <c r="N115" s="430"/>
      <c r="O115" s="430">
        <v>6</v>
      </c>
      <c r="P115" s="430"/>
      <c r="Q115" s="368">
        <f t="shared" si="122"/>
        <v>18</v>
      </c>
      <c r="R115" s="430"/>
      <c r="S115" s="430">
        <v>8</v>
      </c>
      <c r="T115" s="430"/>
      <c r="U115" s="380">
        <v>2</v>
      </c>
      <c r="V115" s="430"/>
      <c r="W115" s="381">
        <f t="shared" si="123"/>
        <v>10</v>
      </c>
      <c r="X115" s="370">
        <f t="shared" si="124"/>
        <v>28</v>
      </c>
      <c r="Y115" s="479">
        <f t="shared" si="125"/>
        <v>294212.625</v>
      </c>
      <c r="Z115" s="367">
        <f t="shared" si="126"/>
        <v>29421.262500000001</v>
      </c>
      <c r="AA115" s="366">
        <v>17</v>
      </c>
      <c r="AB115" s="367">
        <f t="shared" si="140"/>
        <v>9401.53125</v>
      </c>
      <c r="AC115" s="366">
        <v>10</v>
      </c>
      <c r="AD115" s="367">
        <f t="shared" si="141"/>
        <v>2765.15625</v>
      </c>
      <c r="AE115" s="393"/>
      <c r="AF115" s="366"/>
      <c r="AG115" s="367"/>
      <c r="AH115" s="366" t="s">
        <v>258</v>
      </c>
      <c r="AI115" s="367">
        <f>I115*200%</f>
        <v>35394</v>
      </c>
      <c r="AJ115" s="366">
        <f t="shared" si="142"/>
        <v>28</v>
      </c>
      <c r="AK115" s="479">
        <f t="shared" si="127"/>
        <v>12387.900000000001</v>
      </c>
      <c r="AL115" s="393">
        <f t="shared" si="128"/>
        <v>28</v>
      </c>
      <c r="AM115" s="479">
        <f t="shared" si="129"/>
        <v>88263.787499999991</v>
      </c>
      <c r="AN115" s="393" t="str">
        <f t="shared" si="143"/>
        <v>Педагог-модератор</v>
      </c>
      <c r="AO115" s="479" t="str">
        <f t="shared" si="130"/>
        <v>0</v>
      </c>
      <c r="AP115" s="479" t="str">
        <f t="shared" si="131"/>
        <v>0</v>
      </c>
      <c r="AQ115" s="479" t="str">
        <f t="shared" si="132"/>
        <v>0</v>
      </c>
      <c r="AR115" s="479">
        <f t="shared" si="133"/>
        <v>88263.787499999991</v>
      </c>
      <c r="AS115" s="393"/>
      <c r="AT115" s="479"/>
      <c r="AU115" s="478"/>
      <c r="AV115" s="479"/>
      <c r="AW115" s="478" t="str">
        <f>G115</f>
        <v>Магистр по спец.управлении образованием</v>
      </c>
      <c r="AX115" s="372">
        <f>10*4552</f>
        <v>45520</v>
      </c>
      <c r="AY115" s="479"/>
      <c r="AZ115" s="367">
        <f t="shared" si="134"/>
        <v>311417.42499999999</v>
      </c>
      <c r="BA115" s="373">
        <f t="shared" si="135"/>
        <v>605630.05000000005</v>
      </c>
      <c r="BB115" s="374">
        <f t="shared" si="65"/>
        <v>60563.005000000005</v>
      </c>
      <c r="BC115" s="374">
        <f t="shared" si="66"/>
        <v>12112.601000000001</v>
      </c>
      <c r="BD115" s="374">
        <f t="shared" si="136"/>
        <v>46922.644400000005</v>
      </c>
      <c r="BE115" s="374">
        <f t="shared" si="68"/>
        <v>486031.79960000003</v>
      </c>
      <c r="BF115" s="374">
        <f t="shared" si="69"/>
        <v>7267560.6000000006</v>
      </c>
      <c r="BG115" s="374">
        <f t="shared" si="137"/>
        <v>588425.25</v>
      </c>
      <c r="BH115" s="374">
        <f t="shared" si="71"/>
        <v>7855985.8500000006</v>
      </c>
      <c r="BI115" s="374">
        <f t="shared" si="72"/>
        <v>353519.36325000005</v>
      </c>
      <c r="BJ115" s="374">
        <f t="shared" si="73"/>
        <v>218026.818</v>
      </c>
      <c r="BK115" s="374">
        <f t="shared" si="74"/>
        <v>408234.60257999995</v>
      </c>
      <c r="BL115" s="374">
        <f t="shared" si="138"/>
        <v>392799.29250000004</v>
      </c>
      <c r="BM115" s="373">
        <f t="shared" si="76"/>
        <v>9228565.926330002</v>
      </c>
      <c r="BN115" s="482">
        <v>0.25</v>
      </c>
      <c r="BO115" s="481"/>
      <c r="BP115" s="481"/>
      <c r="BQ115" s="481"/>
      <c r="BR115" s="481"/>
      <c r="BS115" s="481"/>
      <c r="BT115" s="481"/>
      <c r="BU115" s="481"/>
      <c r="BV115" s="481"/>
      <c r="BW115" s="481"/>
      <c r="BX115" s="481"/>
      <c r="BY115" s="481"/>
      <c r="BZ115" s="481"/>
      <c r="CA115" s="481"/>
      <c r="CB115" s="481"/>
      <c r="CC115" s="481"/>
      <c r="CD115" s="481"/>
      <c r="CE115" s="481"/>
      <c r="CF115" s="481"/>
      <c r="CG115" s="481"/>
      <c r="CH115" s="481"/>
      <c r="CI115" s="481"/>
    </row>
    <row r="116" spans="1:87" ht="31.5">
      <c r="A116" s="369">
        <f t="shared" si="139"/>
        <v>76</v>
      </c>
      <c r="B116" s="416">
        <f t="shared" si="139"/>
        <v>13</v>
      </c>
      <c r="C116" s="409" t="s">
        <v>1197</v>
      </c>
      <c r="D116" s="410" t="s">
        <v>1198</v>
      </c>
      <c r="E116" s="366" t="s">
        <v>998</v>
      </c>
      <c r="F116" s="366" t="s">
        <v>1005</v>
      </c>
      <c r="G116" s="366"/>
      <c r="H116" s="371" t="s">
        <v>1199</v>
      </c>
      <c r="I116" s="366">
        <v>17697</v>
      </c>
      <c r="J116" s="367">
        <v>11.4</v>
      </c>
      <c r="K116" s="367">
        <f t="shared" si="121"/>
        <v>201745.80000000002</v>
      </c>
      <c r="L116" s="380"/>
      <c r="M116" s="380"/>
      <c r="N116" s="380">
        <v>3</v>
      </c>
      <c r="O116" s="380"/>
      <c r="P116" s="380"/>
      <c r="Q116" s="368">
        <f t="shared" si="122"/>
        <v>3</v>
      </c>
      <c r="R116" s="380"/>
      <c r="S116" s="380"/>
      <c r="T116" s="380">
        <v>2</v>
      </c>
      <c r="U116" s="380"/>
      <c r="V116" s="380"/>
      <c r="W116" s="381">
        <f t="shared" si="123"/>
        <v>2</v>
      </c>
      <c r="X116" s="370">
        <f t="shared" si="124"/>
        <v>5</v>
      </c>
      <c r="Y116" s="367">
        <f t="shared" si="125"/>
        <v>63045.562500000007</v>
      </c>
      <c r="Z116" s="367">
        <f t="shared" si="126"/>
        <v>6304.5562500000015</v>
      </c>
      <c r="AA116" s="366">
        <v>5</v>
      </c>
      <c r="AB116" s="367">
        <f t="shared" si="140"/>
        <v>2765.15625</v>
      </c>
      <c r="AC116" s="366">
        <v>0</v>
      </c>
      <c r="AD116" s="367">
        <f t="shared" si="141"/>
        <v>0</v>
      </c>
      <c r="AE116" s="366"/>
      <c r="AF116" s="366"/>
      <c r="AG116" s="367"/>
      <c r="AH116" s="366"/>
      <c r="AI116" s="367"/>
      <c r="AJ116" s="366">
        <f t="shared" si="142"/>
        <v>5</v>
      </c>
      <c r="AK116" s="367">
        <f t="shared" si="127"/>
        <v>2212.125</v>
      </c>
      <c r="AL116" s="366">
        <f t="shared" si="128"/>
        <v>5</v>
      </c>
      <c r="AM116" s="367">
        <f t="shared" si="129"/>
        <v>18913.668750000001</v>
      </c>
      <c r="AN116" s="366" t="str">
        <f t="shared" si="143"/>
        <v>Педагог-зерттеуші</v>
      </c>
      <c r="AO116" s="367" t="str">
        <f t="shared" si="130"/>
        <v>0</v>
      </c>
      <c r="AP116" s="367">
        <f t="shared" si="131"/>
        <v>25218.225000000006</v>
      </c>
      <c r="AQ116" s="367" t="str">
        <f t="shared" si="132"/>
        <v>0</v>
      </c>
      <c r="AR116" s="367" t="str">
        <f t="shared" si="133"/>
        <v>0</v>
      </c>
      <c r="AS116" s="366"/>
      <c r="AT116" s="367"/>
      <c r="AU116" s="371"/>
      <c r="AV116" s="367"/>
      <c r="AW116" s="478"/>
      <c r="AX116" s="372"/>
      <c r="AY116" s="367"/>
      <c r="AZ116" s="367">
        <f t="shared" si="134"/>
        <v>55413.731250000012</v>
      </c>
      <c r="BA116" s="373">
        <f t="shared" si="135"/>
        <v>118459.29375000001</v>
      </c>
      <c r="BB116" s="374">
        <f t="shared" si="65"/>
        <v>11845.929375000002</v>
      </c>
      <c r="BC116" s="374">
        <f t="shared" si="66"/>
        <v>2369.1858750000001</v>
      </c>
      <c r="BD116" s="374">
        <f t="shared" si="136"/>
        <v>4051.617850000001</v>
      </c>
      <c r="BE116" s="374">
        <f t="shared" si="68"/>
        <v>100192.56065000001</v>
      </c>
      <c r="BF116" s="374">
        <f t="shared" si="69"/>
        <v>1421511.5250000001</v>
      </c>
      <c r="BG116" s="374">
        <f t="shared" si="137"/>
        <v>126091.12500000001</v>
      </c>
      <c r="BH116" s="374">
        <f t="shared" si="71"/>
        <v>1547602.6500000001</v>
      </c>
      <c r="BI116" s="374">
        <f t="shared" si="72"/>
        <v>69642.119250000018</v>
      </c>
      <c r="BJ116" s="374">
        <f t="shared" si="73"/>
        <v>42645.34575</v>
      </c>
      <c r="BK116" s="374">
        <f t="shared" si="74"/>
        <v>80443.217745000002</v>
      </c>
      <c r="BL116" s="374">
        <f t="shared" si="138"/>
        <v>77380.132500000007</v>
      </c>
      <c r="BM116" s="373">
        <f t="shared" si="76"/>
        <v>1817713.4652450003</v>
      </c>
      <c r="BN116" s="385"/>
      <c r="BO116" s="377"/>
      <c r="BP116" s="377"/>
      <c r="BQ116" s="377"/>
      <c r="BR116" s="377"/>
      <c r="BS116" s="377"/>
      <c r="BT116" s="377"/>
      <c r="BU116" s="377"/>
      <c r="BV116" s="377"/>
      <c r="BW116" s="377"/>
      <c r="BX116" s="377"/>
      <c r="BY116" s="377"/>
      <c r="BZ116" s="377"/>
      <c r="CA116" s="377"/>
      <c r="CB116" s="377"/>
      <c r="CC116" s="377"/>
      <c r="CD116" s="377"/>
      <c r="CE116" s="377"/>
      <c r="CF116" s="377"/>
      <c r="CG116" s="377"/>
      <c r="CH116" s="377"/>
      <c r="CI116" s="377"/>
    </row>
    <row r="117" spans="1:87" ht="60">
      <c r="A117" s="369">
        <f t="shared" si="139"/>
        <v>77</v>
      </c>
      <c r="B117" s="416">
        <f t="shared" si="139"/>
        <v>14</v>
      </c>
      <c r="C117" s="409" t="s">
        <v>1200</v>
      </c>
      <c r="D117" s="412" t="s">
        <v>1201</v>
      </c>
      <c r="E117" s="366" t="s">
        <v>998</v>
      </c>
      <c r="F117" s="366" t="s">
        <v>1005</v>
      </c>
      <c r="G117" s="366" t="s">
        <v>1202</v>
      </c>
      <c r="H117" s="371" t="s">
        <v>1402</v>
      </c>
      <c r="I117" s="366">
        <v>17697</v>
      </c>
      <c r="J117" s="367">
        <v>10.4</v>
      </c>
      <c r="K117" s="367">
        <f t="shared" si="121"/>
        <v>184048.80000000002</v>
      </c>
      <c r="L117" s="380"/>
      <c r="M117" s="380"/>
      <c r="N117" s="380"/>
      <c r="O117" s="380">
        <v>3</v>
      </c>
      <c r="P117" s="380"/>
      <c r="Q117" s="368">
        <f t="shared" si="122"/>
        <v>3</v>
      </c>
      <c r="R117" s="380"/>
      <c r="S117" s="380"/>
      <c r="T117" s="380"/>
      <c r="U117" s="380"/>
      <c r="V117" s="380"/>
      <c r="W117" s="381">
        <f t="shared" si="123"/>
        <v>0</v>
      </c>
      <c r="X117" s="370">
        <f t="shared" si="124"/>
        <v>3</v>
      </c>
      <c r="Y117" s="367">
        <f t="shared" si="125"/>
        <v>34509.15</v>
      </c>
      <c r="Z117" s="367"/>
      <c r="AA117" s="393">
        <v>3</v>
      </c>
      <c r="AB117" s="367">
        <f t="shared" si="140"/>
        <v>1659.09375</v>
      </c>
      <c r="AC117" s="393"/>
      <c r="AD117" s="367">
        <f t="shared" si="141"/>
        <v>0</v>
      </c>
      <c r="AE117" s="366"/>
      <c r="AF117" s="366"/>
      <c r="AG117" s="367"/>
      <c r="AH117" s="366"/>
      <c r="AI117" s="367"/>
      <c r="AJ117" s="366">
        <f t="shared" si="142"/>
        <v>3</v>
      </c>
      <c r="AK117" s="367">
        <f t="shared" si="127"/>
        <v>1327.2750000000001</v>
      </c>
      <c r="AL117" s="366">
        <f t="shared" si="128"/>
        <v>3</v>
      </c>
      <c r="AM117" s="367">
        <f t="shared" si="129"/>
        <v>10352.745000000001</v>
      </c>
      <c r="AN117" s="366" t="str">
        <f t="shared" si="143"/>
        <v>Педагог-зерттеуші</v>
      </c>
      <c r="AO117" s="367" t="str">
        <f t="shared" si="130"/>
        <v>0</v>
      </c>
      <c r="AP117" s="367">
        <f t="shared" si="131"/>
        <v>13803.660000000002</v>
      </c>
      <c r="AQ117" s="367" t="str">
        <f t="shared" si="132"/>
        <v>0</v>
      </c>
      <c r="AR117" s="367" t="str">
        <f t="shared" si="133"/>
        <v>0</v>
      </c>
      <c r="AS117" s="366"/>
      <c r="AT117" s="367"/>
      <c r="AU117" s="371"/>
      <c r="AV117" s="367"/>
      <c r="AW117" s="478" t="str">
        <f t="shared" ref="AW117:AW119" si="146">G117</f>
        <v>Магистр наук в области лингвистики</v>
      </c>
      <c r="AX117" s="372">
        <f>10*4552</f>
        <v>45520</v>
      </c>
      <c r="AY117" s="367"/>
      <c r="AZ117" s="367">
        <f t="shared" si="134"/>
        <v>72662.773749999993</v>
      </c>
      <c r="BA117" s="373">
        <f t="shared" si="135"/>
        <v>107171.92374999999</v>
      </c>
      <c r="BB117" s="374">
        <f t="shared" si="65"/>
        <v>10717.192374999999</v>
      </c>
      <c r="BC117" s="374">
        <f t="shared" si="66"/>
        <v>2143.4384749999999</v>
      </c>
      <c r="BD117" s="374">
        <f t="shared" si="136"/>
        <v>3058.3292899999988</v>
      </c>
      <c r="BE117" s="374">
        <f t="shared" si="68"/>
        <v>91252.963609999992</v>
      </c>
      <c r="BF117" s="374">
        <f t="shared" si="69"/>
        <v>1286063.085</v>
      </c>
      <c r="BG117" s="374">
        <f t="shared" si="137"/>
        <v>69018.3</v>
      </c>
      <c r="BH117" s="374">
        <f t="shared" si="71"/>
        <v>1355081.385</v>
      </c>
      <c r="BI117" s="374">
        <f t="shared" si="72"/>
        <v>60978.662325000012</v>
      </c>
      <c r="BJ117" s="374">
        <f t="shared" si="73"/>
        <v>38581.892549999997</v>
      </c>
      <c r="BK117" s="374">
        <f t="shared" si="74"/>
        <v>70345.056003000005</v>
      </c>
      <c r="BL117" s="374">
        <f t="shared" si="138"/>
        <v>67754.06925</v>
      </c>
      <c r="BM117" s="373">
        <f t="shared" si="76"/>
        <v>1592741.0651279998</v>
      </c>
      <c r="BN117" s="385">
        <v>1.25</v>
      </c>
      <c r="BO117" s="377"/>
      <c r="BP117" s="377"/>
      <c r="BQ117" s="377"/>
      <c r="BR117" s="377"/>
      <c r="BS117" s="377"/>
      <c r="BT117" s="377"/>
      <c r="BU117" s="377"/>
      <c r="BV117" s="377"/>
      <c r="BW117" s="377"/>
      <c r="BX117" s="377"/>
      <c r="BY117" s="377"/>
      <c r="BZ117" s="377"/>
      <c r="CA117" s="377"/>
      <c r="CB117" s="377"/>
      <c r="CC117" s="377"/>
      <c r="CD117" s="377"/>
      <c r="CE117" s="377"/>
      <c r="CF117" s="377"/>
      <c r="CG117" s="377"/>
      <c r="CH117" s="377"/>
      <c r="CI117" s="377"/>
    </row>
    <row r="118" spans="1:87" ht="47.25">
      <c r="A118" s="369">
        <f t="shared" si="139"/>
        <v>78</v>
      </c>
      <c r="B118" s="416">
        <f t="shared" si="139"/>
        <v>15</v>
      </c>
      <c r="C118" s="409" t="s">
        <v>1203</v>
      </c>
      <c r="D118" s="412" t="s">
        <v>1204</v>
      </c>
      <c r="E118" s="366" t="s">
        <v>998</v>
      </c>
      <c r="F118" s="366"/>
      <c r="G118" s="366"/>
      <c r="H118" s="371" t="s">
        <v>1434</v>
      </c>
      <c r="I118" s="366">
        <v>17697</v>
      </c>
      <c r="J118" s="367">
        <v>11.18</v>
      </c>
      <c r="K118" s="367">
        <f t="shared" si="121"/>
        <v>197852.46</v>
      </c>
      <c r="L118" s="380"/>
      <c r="M118" s="380"/>
      <c r="N118" s="380"/>
      <c r="O118" s="380">
        <v>6</v>
      </c>
      <c r="P118" s="380"/>
      <c r="Q118" s="368">
        <f t="shared" si="122"/>
        <v>6</v>
      </c>
      <c r="R118" s="380"/>
      <c r="S118" s="380"/>
      <c r="T118" s="380"/>
      <c r="U118" s="380">
        <v>4</v>
      </c>
      <c r="V118" s="380"/>
      <c r="W118" s="381">
        <f t="shared" si="123"/>
        <v>4</v>
      </c>
      <c r="X118" s="370">
        <f t="shared" si="124"/>
        <v>10</v>
      </c>
      <c r="Y118" s="367">
        <f t="shared" si="125"/>
        <v>123657.78749999999</v>
      </c>
      <c r="Z118" s="367">
        <f t="shared" si="126"/>
        <v>12365.778749999999</v>
      </c>
      <c r="AA118" s="366">
        <v>5</v>
      </c>
      <c r="AB118" s="367">
        <f t="shared" si="140"/>
        <v>2765.15625</v>
      </c>
      <c r="AC118" s="366">
        <v>5</v>
      </c>
      <c r="AD118" s="367">
        <f t="shared" si="141"/>
        <v>1382.578125</v>
      </c>
      <c r="AE118" s="366"/>
      <c r="AF118" s="366"/>
      <c r="AG118" s="367"/>
      <c r="AH118" s="366"/>
      <c r="AI118" s="367"/>
      <c r="AJ118" s="366">
        <f t="shared" si="142"/>
        <v>10</v>
      </c>
      <c r="AK118" s="367">
        <f>I118/16*AJ118*40%</f>
        <v>4424.25</v>
      </c>
      <c r="AL118" s="366">
        <f t="shared" si="128"/>
        <v>10</v>
      </c>
      <c r="AM118" s="367">
        <f t="shared" si="129"/>
        <v>37097.336249999993</v>
      </c>
      <c r="AN118" s="366">
        <f t="shared" si="143"/>
        <v>0</v>
      </c>
      <c r="AO118" s="367" t="str">
        <f t="shared" si="130"/>
        <v>0</v>
      </c>
      <c r="AP118" s="367" t="str">
        <f t="shared" si="131"/>
        <v>0</v>
      </c>
      <c r="AQ118" s="367" t="str">
        <f t="shared" si="132"/>
        <v>0</v>
      </c>
      <c r="AR118" s="367" t="str">
        <f t="shared" si="133"/>
        <v>0</v>
      </c>
      <c r="AS118" s="366"/>
      <c r="AT118" s="367"/>
      <c r="AU118" s="371"/>
      <c r="AV118" s="367"/>
      <c r="AW118" s="478"/>
      <c r="AX118" s="372"/>
      <c r="AY118" s="367"/>
      <c r="AZ118" s="367">
        <f t="shared" si="134"/>
        <v>58035.099374999991</v>
      </c>
      <c r="BA118" s="373">
        <f t="shared" si="135"/>
        <v>181692.88687499997</v>
      </c>
      <c r="BB118" s="374">
        <f t="shared" si="65"/>
        <v>18169.288687499997</v>
      </c>
      <c r="BC118" s="374">
        <f t="shared" si="66"/>
        <v>3633.8577374999995</v>
      </c>
      <c r="BD118" s="374">
        <f t="shared" si="136"/>
        <v>9616.1740449999979</v>
      </c>
      <c r="BE118" s="374">
        <f t="shared" si="68"/>
        <v>150273.56640499999</v>
      </c>
      <c r="BF118" s="374">
        <f t="shared" si="69"/>
        <v>2180314.6424999996</v>
      </c>
      <c r="BG118" s="374">
        <f t="shared" si="137"/>
        <v>247315.57499999998</v>
      </c>
      <c r="BH118" s="374">
        <f t="shared" si="71"/>
        <v>2427630.2174999998</v>
      </c>
      <c r="BI118" s="374">
        <f t="shared" si="72"/>
        <v>109243.3597875</v>
      </c>
      <c r="BJ118" s="374">
        <f t="shared" si="73"/>
        <v>65409.439274999982</v>
      </c>
      <c r="BK118" s="374">
        <f t="shared" si="74"/>
        <v>126295.33953150001</v>
      </c>
      <c r="BL118" s="374">
        <f t="shared" si="138"/>
        <v>121381.51087499999</v>
      </c>
      <c r="BM118" s="373">
        <f t="shared" si="76"/>
        <v>2849959.8669689996</v>
      </c>
      <c r="BN118" s="375"/>
      <c r="BO118" s="377"/>
      <c r="BP118" s="377"/>
      <c r="BQ118" s="377"/>
      <c r="BR118" s="377"/>
      <c r="BS118" s="377"/>
      <c r="BT118" s="377"/>
      <c r="BU118" s="377"/>
      <c r="BV118" s="377"/>
      <c r="BW118" s="377"/>
      <c r="BX118" s="377"/>
      <c r="BY118" s="377"/>
      <c r="BZ118" s="377"/>
      <c r="CA118" s="377"/>
      <c r="CB118" s="377"/>
      <c r="CC118" s="377"/>
      <c r="CD118" s="377"/>
      <c r="CE118" s="377"/>
      <c r="CF118" s="377"/>
      <c r="CG118" s="377"/>
      <c r="CH118" s="377"/>
      <c r="CI118" s="377"/>
    </row>
    <row r="119" spans="1:87" ht="45">
      <c r="A119" s="369">
        <f t="shared" si="139"/>
        <v>79</v>
      </c>
      <c r="B119" s="416">
        <f t="shared" si="139"/>
        <v>16</v>
      </c>
      <c r="C119" s="409" t="s">
        <v>1205</v>
      </c>
      <c r="D119" s="412" t="s">
        <v>1182</v>
      </c>
      <c r="E119" s="366" t="s">
        <v>998</v>
      </c>
      <c r="F119" s="366"/>
      <c r="G119" s="366" t="s">
        <v>1046</v>
      </c>
      <c r="H119" s="371" t="s">
        <v>1403</v>
      </c>
      <c r="I119" s="366">
        <v>17697</v>
      </c>
      <c r="J119" s="367">
        <v>9.5</v>
      </c>
      <c r="K119" s="367">
        <f t="shared" si="121"/>
        <v>168121.5</v>
      </c>
      <c r="L119" s="380">
        <v>15</v>
      </c>
      <c r="M119" s="380"/>
      <c r="N119" s="380"/>
      <c r="O119" s="380"/>
      <c r="P119" s="380"/>
      <c r="Q119" s="368">
        <f t="shared" si="122"/>
        <v>15</v>
      </c>
      <c r="R119" s="380">
        <v>10</v>
      </c>
      <c r="S119" s="380"/>
      <c r="T119" s="380"/>
      <c r="U119" s="380"/>
      <c r="V119" s="380"/>
      <c r="W119" s="381">
        <f t="shared" si="123"/>
        <v>10</v>
      </c>
      <c r="X119" s="370">
        <f t="shared" si="124"/>
        <v>25</v>
      </c>
      <c r="Y119" s="367">
        <f t="shared" si="125"/>
        <v>262689.84375</v>
      </c>
      <c r="Z119" s="367">
        <f t="shared" si="126"/>
        <v>26268.984375</v>
      </c>
      <c r="AA119" s="366">
        <v>0</v>
      </c>
      <c r="AB119" s="367">
        <f t="shared" si="140"/>
        <v>0</v>
      </c>
      <c r="AC119" s="366">
        <v>25</v>
      </c>
      <c r="AD119" s="367">
        <f t="shared" si="141"/>
        <v>6912.890625</v>
      </c>
      <c r="AE119" s="366"/>
      <c r="AF119" s="366"/>
      <c r="AG119" s="367"/>
      <c r="AH119" s="366"/>
      <c r="AI119" s="367"/>
      <c r="AJ119" s="366">
        <f t="shared" si="142"/>
        <v>25</v>
      </c>
      <c r="AK119" s="367">
        <f>I119/16*AJ119*40%</f>
        <v>11060.625</v>
      </c>
      <c r="AL119" s="366">
        <f t="shared" si="128"/>
        <v>25</v>
      </c>
      <c r="AM119" s="367">
        <f t="shared" si="129"/>
        <v>78806.953125</v>
      </c>
      <c r="AN119" s="366">
        <f t="shared" si="143"/>
        <v>0</v>
      </c>
      <c r="AO119" s="367" t="str">
        <f t="shared" si="130"/>
        <v>0</v>
      </c>
      <c r="AP119" s="367" t="str">
        <f t="shared" si="131"/>
        <v>0</v>
      </c>
      <c r="AQ119" s="367" t="str">
        <f t="shared" si="132"/>
        <v>0</v>
      </c>
      <c r="AR119" s="367" t="str">
        <f t="shared" si="133"/>
        <v>0</v>
      </c>
      <c r="AS119" s="366"/>
      <c r="AT119" s="367"/>
      <c r="AU119" s="371"/>
      <c r="AV119" s="367"/>
      <c r="AW119" s="478" t="str">
        <f t="shared" si="146"/>
        <v>Магистр педагогических наук</v>
      </c>
      <c r="AX119" s="372">
        <f>10*4552</f>
        <v>45520</v>
      </c>
      <c r="AY119" s="367"/>
      <c r="AZ119" s="367">
        <f t="shared" si="134"/>
        <v>168569.453125</v>
      </c>
      <c r="BA119" s="373">
        <f t="shared" si="135"/>
        <v>431259.296875</v>
      </c>
      <c r="BB119" s="374">
        <f t="shared" si="65"/>
        <v>43125.9296875</v>
      </c>
      <c r="BC119" s="374">
        <f t="shared" si="66"/>
        <v>8625.1859375000004</v>
      </c>
      <c r="BD119" s="374">
        <f t="shared" si="136"/>
        <v>31578.018125000002</v>
      </c>
      <c r="BE119" s="374">
        <f t="shared" si="68"/>
        <v>347930.16312500002</v>
      </c>
      <c r="BF119" s="374">
        <f t="shared" si="69"/>
        <v>5175111.5625</v>
      </c>
      <c r="BG119" s="374">
        <f t="shared" si="137"/>
        <v>525379.6875</v>
      </c>
      <c r="BH119" s="374">
        <f t="shared" si="71"/>
        <v>5700491.25</v>
      </c>
      <c r="BI119" s="374">
        <f t="shared" si="72"/>
        <v>256522.10625000001</v>
      </c>
      <c r="BJ119" s="374">
        <f t="shared" si="73"/>
        <v>155253.34687499999</v>
      </c>
      <c r="BK119" s="374">
        <f t="shared" si="74"/>
        <v>296441.28206249996</v>
      </c>
      <c r="BL119" s="374">
        <f t="shared" si="138"/>
        <v>285024.5625</v>
      </c>
      <c r="BM119" s="373">
        <f t="shared" si="76"/>
        <v>6693732.5476874998</v>
      </c>
      <c r="BN119" s="375"/>
      <c r="BO119" s="377"/>
      <c r="BP119" s="377"/>
      <c r="BQ119" s="377"/>
      <c r="BR119" s="377"/>
      <c r="BS119" s="377"/>
      <c r="BT119" s="377"/>
      <c r="BU119" s="377"/>
      <c r="BV119" s="377"/>
      <c r="BW119" s="377"/>
      <c r="BX119" s="377"/>
      <c r="BY119" s="377"/>
      <c r="BZ119" s="377"/>
      <c r="CA119" s="377"/>
      <c r="CB119" s="377"/>
      <c r="CC119" s="377"/>
      <c r="CD119" s="377"/>
      <c r="CE119" s="377"/>
      <c r="CF119" s="377"/>
      <c r="CG119" s="377"/>
      <c r="CH119" s="377"/>
      <c r="CI119" s="377"/>
    </row>
    <row r="120" spans="1:87" ht="63">
      <c r="A120" s="369">
        <f t="shared" si="139"/>
        <v>80</v>
      </c>
      <c r="B120" s="416">
        <f t="shared" si="139"/>
        <v>17</v>
      </c>
      <c r="C120" s="409" t="s">
        <v>1206</v>
      </c>
      <c r="D120" s="475" t="s">
        <v>1207</v>
      </c>
      <c r="E120" s="366" t="s">
        <v>998</v>
      </c>
      <c r="F120" s="366"/>
      <c r="G120" s="366" t="s">
        <v>1208</v>
      </c>
      <c r="H120" s="371" t="s">
        <v>1435</v>
      </c>
      <c r="I120" s="366">
        <v>17697</v>
      </c>
      <c r="J120" s="367">
        <v>10.82</v>
      </c>
      <c r="K120" s="367">
        <f t="shared" si="121"/>
        <v>191481.54</v>
      </c>
      <c r="L120" s="380"/>
      <c r="M120" s="380"/>
      <c r="N120" s="380"/>
      <c r="O120" s="380"/>
      <c r="P120" s="380">
        <v>21</v>
      </c>
      <c r="Q120" s="368">
        <f t="shared" si="122"/>
        <v>21</v>
      </c>
      <c r="R120" s="380"/>
      <c r="S120" s="380"/>
      <c r="T120" s="380"/>
      <c r="U120" s="380"/>
      <c r="V120" s="380">
        <v>14</v>
      </c>
      <c r="W120" s="381">
        <f t="shared" si="123"/>
        <v>14</v>
      </c>
      <c r="X120" s="370">
        <f t="shared" si="124"/>
        <v>35</v>
      </c>
      <c r="Y120" s="367">
        <f t="shared" si="125"/>
        <v>418865.86875000002</v>
      </c>
      <c r="Z120" s="367">
        <f t="shared" si="126"/>
        <v>41886.586875000008</v>
      </c>
      <c r="AA120" s="366">
        <v>16</v>
      </c>
      <c r="AB120" s="367">
        <f t="shared" si="140"/>
        <v>8848.5</v>
      </c>
      <c r="AC120" s="366">
        <v>12</v>
      </c>
      <c r="AD120" s="367">
        <f t="shared" si="141"/>
        <v>3318.1875</v>
      </c>
      <c r="AE120" s="366"/>
      <c r="AF120" s="366" t="s">
        <v>1209</v>
      </c>
      <c r="AG120" s="367">
        <f t="shared" ref="AG120" si="147">17697*20%</f>
        <v>3539.4</v>
      </c>
      <c r="AH120" s="366"/>
      <c r="AI120" s="367"/>
      <c r="AJ120" s="366">
        <f t="shared" si="142"/>
        <v>35</v>
      </c>
      <c r="AK120" s="367">
        <f t="shared" si="127"/>
        <v>15484.875</v>
      </c>
      <c r="AL120" s="366">
        <f t="shared" si="128"/>
        <v>35</v>
      </c>
      <c r="AM120" s="367">
        <f t="shared" si="129"/>
        <v>125659.760625</v>
      </c>
      <c r="AN120" s="366">
        <f t="shared" si="143"/>
        <v>0</v>
      </c>
      <c r="AO120" s="367" t="str">
        <f t="shared" si="130"/>
        <v>0</v>
      </c>
      <c r="AP120" s="367" t="str">
        <f t="shared" si="131"/>
        <v>0</v>
      </c>
      <c r="AQ120" s="367" t="str">
        <f t="shared" si="132"/>
        <v>0</v>
      </c>
      <c r="AR120" s="367" t="str">
        <f t="shared" si="133"/>
        <v>0</v>
      </c>
      <c r="AS120" s="366"/>
      <c r="AT120" s="367"/>
      <c r="AU120" s="371"/>
      <c r="AV120" s="367"/>
      <c r="AW120" s="371" t="str">
        <f>G120</f>
        <v>Магистр-лингвистика и препод. англ. яз.</v>
      </c>
      <c r="AX120" s="372">
        <f>10*4552</f>
        <v>45520</v>
      </c>
      <c r="AY120" s="367"/>
      <c r="AZ120" s="367">
        <f t="shared" si="134"/>
        <v>244257.31</v>
      </c>
      <c r="BA120" s="373">
        <f t="shared" si="135"/>
        <v>663123.17874999996</v>
      </c>
      <c r="BB120" s="374">
        <f t="shared" si="65"/>
        <v>66312.317874999993</v>
      </c>
      <c r="BC120" s="374">
        <f t="shared" si="66"/>
        <v>13262.463575</v>
      </c>
      <c r="BD120" s="374">
        <f t="shared" si="136"/>
        <v>51982.039730000011</v>
      </c>
      <c r="BE120" s="374">
        <f t="shared" si="68"/>
        <v>531566.35757000011</v>
      </c>
      <c r="BF120" s="374">
        <f t="shared" si="69"/>
        <v>7957478.1449999996</v>
      </c>
      <c r="BG120" s="374">
        <f t="shared" si="137"/>
        <v>837731.73750000005</v>
      </c>
      <c r="BH120" s="374">
        <f t="shared" si="71"/>
        <v>8795209.8825000003</v>
      </c>
      <c r="BI120" s="374">
        <f t="shared" si="72"/>
        <v>395784.44471250009</v>
      </c>
      <c r="BJ120" s="374">
        <f t="shared" si="73"/>
        <v>238724.34434999997</v>
      </c>
      <c r="BK120" s="374">
        <f t="shared" si="74"/>
        <v>457434.88173599995</v>
      </c>
      <c r="BL120" s="374">
        <f t="shared" si="138"/>
        <v>439760.49412500003</v>
      </c>
      <c r="BM120" s="373">
        <f t="shared" si="76"/>
        <v>10326914.047423501</v>
      </c>
      <c r="BN120" s="375"/>
      <c r="BO120" s="377"/>
      <c r="BP120" s="377"/>
      <c r="BQ120" s="377"/>
      <c r="BR120" s="377"/>
      <c r="BS120" s="377"/>
      <c r="BT120" s="377"/>
      <c r="BU120" s="377"/>
      <c r="BV120" s="377"/>
      <c r="BW120" s="377"/>
      <c r="BX120" s="377"/>
      <c r="BY120" s="377"/>
      <c r="BZ120" s="377"/>
      <c r="CA120" s="377"/>
      <c r="CB120" s="377"/>
      <c r="CC120" s="377"/>
      <c r="CD120" s="377"/>
      <c r="CE120" s="377"/>
      <c r="CF120" s="377"/>
      <c r="CG120" s="377"/>
      <c r="CH120" s="377"/>
      <c r="CI120" s="377"/>
    </row>
    <row r="121" spans="1:87" ht="90.75" customHeight="1">
      <c r="A121" s="369">
        <f t="shared" ref="A121:B122" si="148">A120+1</f>
        <v>81</v>
      </c>
      <c r="B121" s="416">
        <f t="shared" si="148"/>
        <v>18</v>
      </c>
      <c r="C121" s="409" t="s">
        <v>1210</v>
      </c>
      <c r="D121" s="475" t="s">
        <v>1211</v>
      </c>
      <c r="E121" s="366" t="s">
        <v>998</v>
      </c>
      <c r="F121" s="366" t="s">
        <v>254</v>
      </c>
      <c r="G121" s="366"/>
      <c r="H121" s="371" t="s">
        <v>278</v>
      </c>
      <c r="I121" s="366">
        <v>17697</v>
      </c>
      <c r="J121" s="367">
        <v>10</v>
      </c>
      <c r="K121" s="367">
        <f t="shared" si="121"/>
        <v>176970</v>
      </c>
      <c r="L121" s="380"/>
      <c r="M121" s="380"/>
      <c r="N121" s="380"/>
      <c r="O121" s="380"/>
      <c r="P121" s="380">
        <v>21</v>
      </c>
      <c r="Q121" s="368">
        <f t="shared" si="122"/>
        <v>21</v>
      </c>
      <c r="R121" s="380"/>
      <c r="S121" s="380">
        <v>3</v>
      </c>
      <c r="T121" s="380"/>
      <c r="U121" s="380"/>
      <c r="V121" s="380">
        <v>14</v>
      </c>
      <c r="W121" s="381">
        <f t="shared" si="123"/>
        <v>17</v>
      </c>
      <c r="X121" s="370">
        <f t="shared" si="124"/>
        <v>38</v>
      </c>
      <c r="Y121" s="367">
        <f t="shared" si="125"/>
        <v>420303.75</v>
      </c>
      <c r="Z121" s="367">
        <f t="shared" si="126"/>
        <v>42030.375</v>
      </c>
      <c r="AA121" s="393">
        <v>12</v>
      </c>
      <c r="AB121" s="367">
        <f t="shared" si="140"/>
        <v>6636.375</v>
      </c>
      <c r="AC121" s="366">
        <v>16</v>
      </c>
      <c r="AD121" s="367">
        <f t="shared" si="141"/>
        <v>4424.25</v>
      </c>
      <c r="AE121" s="366"/>
      <c r="AF121" s="366"/>
      <c r="AG121" s="367"/>
      <c r="AH121" s="366"/>
      <c r="AI121" s="367"/>
      <c r="AJ121" s="366">
        <f t="shared" si="142"/>
        <v>38</v>
      </c>
      <c r="AK121" s="367">
        <f t="shared" si="127"/>
        <v>16812.150000000001</v>
      </c>
      <c r="AL121" s="366">
        <f t="shared" si="128"/>
        <v>38</v>
      </c>
      <c r="AM121" s="367">
        <f t="shared" si="129"/>
        <v>126091.125</v>
      </c>
      <c r="AN121" s="366" t="str">
        <f t="shared" si="143"/>
        <v>Педагог-модератор</v>
      </c>
      <c r="AO121" s="367" t="str">
        <f t="shared" si="130"/>
        <v>0</v>
      </c>
      <c r="AP121" s="367" t="str">
        <f t="shared" si="131"/>
        <v>0</v>
      </c>
      <c r="AQ121" s="367" t="str">
        <f t="shared" si="132"/>
        <v>0</v>
      </c>
      <c r="AR121" s="367">
        <f t="shared" si="133"/>
        <v>126091.125</v>
      </c>
      <c r="AS121" s="366"/>
      <c r="AT121" s="367"/>
      <c r="AU121" s="371"/>
      <c r="AV121" s="367"/>
      <c r="AW121" s="371"/>
      <c r="AX121" s="372"/>
      <c r="AY121" s="367"/>
      <c r="AZ121" s="367">
        <f t="shared" si="134"/>
        <v>322085.40000000002</v>
      </c>
      <c r="BA121" s="373">
        <f t="shared" si="135"/>
        <v>742389.15</v>
      </c>
      <c r="BB121" s="374">
        <f t="shared" si="65"/>
        <v>74238.915000000008</v>
      </c>
      <c r="BC121" s="374">
        <f t="shared" si="66"/>
        <v>14847.783000000001</v>
      </c>
      <c r="BD121" s="374">
        <f t="shared" si="136"/>
        <v>58957.445199999995</v>
      </c>
      <c r="BE121" s="374">
        <f t="shared" si="68"/>
        <v>594345.00679999997</v>
      </c>
      <c r="BF121" s="374">
        <f t="shared" si="69"/>
        <v>8908669.8000000007</v>
      </c>
      <c r="BG121" s="374">
        <f t="shared" si="137"/>
        <v>840607.5</v>
      </c>
      <c r="BH121" s="374">
        <f t="shared" si="71"/>
        <v>9749277.3000000007</v>
      </c>
      <c r="BI121" s="374">
        <f t="shared" si="72"/>
        <v>438717.47850000003</v>
      </c>
      <c r="BJ121" s="374">
        <f t="shared" si="73"/>
        <v>267260.09400000004</v>
      </c>
      <c r="BK121" s="374">
        <f t="shared" si="74"/>
        <v>506861.90064000007</v>
      </c>
      <c r="BL121" s="374">
        <f t="shared" si="138"/>
        <v>487463.86500000005</v>
      </c>
      <c r="BM121" s="373">
        <f t="shared" si="76"/>
        <v>11449580.63814</v>
      </c>
      <c r="BN121" s="483"/>
      <c r="BO121" s="481"/>
      <c r="BP121" s="481"/>
      <c r="BQ121" s="481"/>
      <c r="BR121" s="481"/>
      <c r="BS121" s="481"/>
      <c r="BT121" s="481"/>
      <c r="BU121" s="481"/>
      <c r="BV121" s="481"/>
      <c r="BW121" s="481"/>
      <c r="BX121" s="481"/>
      <c r="BY121" s="481"/>
      <c r="BZ121" s="481"/>
      <c r="CA121" s="481"/>
      <c r="CB121" s="481"/>
      <c r="CC121" s="481"/>
      <c r="CD121" s="481"/>
      <c r="CE121" s="481"/>
      <c r="CF121" s="481"/>
      <c r="CG121" s="481"/>
      <c r="CH121" s="481"/>
      <c r="CI121" s="484"/>
    </row>
    <row r="122" spans="1:87" ht="90.75" customHeight="1">
      <c r="A122" s="369">
        <f t="shared" si="148"/>
        <v>82</v>
      </c>
      <c r="B122" s="416">
        <f t="shared" si="148"/>
        <v>19</v>
      </c>
      <c r="C122" s="409" t="s">
        <v>1200</v>
      </c>
      <c r="D122" s="419" t="s">
        <v>1212</v>
      </c>
      <c r="E122" s="394" t="s">
        <v>998</v>
      </c>
      <c r="F122" s="691" t="s">
        <v>999</v>
      </c>
      <c r="G122" s="691" t="s">
        <v>1158</v>
      </c>
      <c r="H122" s="1001" t="s">
        <v>273</v>
      </c>
      <c r="I122" s="691">
        <v>17697</v>
      </c>
      <c r="J122" s="693">
        <v>11.4</v>
      </c>
      <c r="K122" s="367">
        <f t="shared" si="121"/>
        <v>201745.80000000002</v>
      </c>
      <c r="L122" s="380"/>
      <c r="M122" s="380"/>
      <c r="N122" s="380"/>
      <c r="O122" s="380">
        <v>3</v>
      </c>
      <c r="P122" s="380"/>
      <c r="Q122" s="368">
        <f t="shared" si="122"/>
        <v>3</v>
      </c>
      <c r="R122" s="380"/>
      <c r="S122" s="380"/>
      <c r="T122" s="380"/>
      <c r="U122" s="380">
        <v>2</v>
      </c>
      <c r="V122" s="380"/>
      <c r="W122" s="381">
        <f t="shared" ref="W122" si="149">SUM(R122:V122)</f>
        <v>2</v>
      </c>
      <c r="X122" s="370">
        <f t="shared" si="124"/>
        <v>5</v>
      </c>
      <c r="Y122" s="367">
        <f t="shared" si="125"/>
        <v>63045.562500000007</v>
      </c>
      <c r="Z122" s="367">
        <f t="shared" si="126"/>
        <v>6304.5562500000015</v>
      </c>
      <c r="AA122" s="366">
        <v>0</v>
      </c>
      <c r="AB122" s="367">
        <f t="shared" si="140"/>
        <v>0</v>
      </c>
      <c r="AC122" s="366">
        <v>4</v>
      </c>
      <c r="AD122" s="367">
        <f t="shared" si="141"/>
        <v>1106.0625</v>
      </c>
      <c r="AE122" s="366"/>
      <c r="AF122" s="366"/>
      <c r="AG122" s="367"/>
      <c r="AH122" s="366"/>
      <c r="AI122" s="367"/>
      <c r="AJ122" s="366">
        <f t="shared" si="142"/>
        <v>5</v>
      </c>
      <c r="AK122" s="367">
        <f t="shared" si="127"/>
        <v>2212.125</v>
      </c>
      <c r="AL122" s="366">
        <f t="shared" si="128"/>
        <v>5</v>
      </c>
      <c r="AM122" s="367">
        <f t="shared" si="129"/>
        <v>18913.668750000001</v>
      </c>
      <c r="AN122" s="366" t="str">
        <f t="shared" si="143"/>
        <v>Педагог-шебер</v>
      </c>
      <c r="AO122" s="367">
        <f t="shared" si="130"/>
        <v>31522.781250000004</v>
      </c>
      <c r="AP122" s="367" t="str">
        <f t="shared" si="131"/>
        <v>0</v>
      </c>
      <c r="AQ122" s="367" t="str">
        <f t="shared" si="132"/>
        <v>0</v>
      </c>
      <c r="AR122" s="367" t="str">
        <f t="shared" si="133"/>
        <v>0</v>
      </c>
      <c r="AS122" s="366"/>
      <c r="AT122" s="367"/>
      <c r="AU122" s="371"/>
      <c r="AV122" s="367"/>
      <c r="AW122" s="371" t="str">
        <f t="shared" ref="AW122" si="150">G122</f>
        <v>Магистр</v>
      </c>
      <c r="AX122" s="372">
        <f>10*4552</f>
        <v>45520</v>
      </c>
      <c r="AY122" s="367"/>
      <c r="AZ122" s="367">
        <f t="shared" si="134"/>
        <v>105579.19375000001</v>
      </c>
      <c r="BA122" s="373">
        <f t="shared" si="135"/>
        <v>168624.75625000001</v>
      </c>
      <c r="BB122" s="374">
        <f t="shared" si="65"/>
        <v>16862.475625000003</v>
      </c>
      <c r="BC122" s="374">
        <f t="shared" si="66"/>
        <v>3372.4951250000004</v>
      </c>
      <c r="BD122" s="374">
        <f t="shared" si="136"/>
        <v>8466.1785500000024</v>
      </c>
      <c r="BE122" s="374">
        <f t="shared" si="68"/>
        <v>139923.60695000002</v>
      </c>
      <c r="BF122" s="374">
        <f t="shared" si="69"/>
        <v>2023497.0750000002</v>
      </c>
      <c r="BG122" s="374">
        <f t="shared" si="137"/>
        <v>126091.12500000001</v>
      </c>
      <c r="BH122" s="374">
        <f t="shared" si="71"/>
        <v>2149588.2000000002</v>
      </c>
      <c r="BI122" s="374">
        <f t="shared" si="72"/>
        <v>96731.469000000012</v>
      </c>
      <c r="BJ122" s="374">
        <f t="shared" si="73"/>
        <v>60704.912250000001</v>
      </c>
      <c r="BK122" s="374">
        <f t="shared" si="74"/>
        <v>111626.069235</v>
      </c>
      <c r="BL122" s="374">
        <f t="shared" si="138"/>
        <v>107479.41000000002</v>
      </c>
      <c r="BM122" s="373">
        <f t="shared" si="76"/>
        <v>2526130.0604850003</v>
      </c>
      <c r="BN122" s="483"/>
      <c r="BO122" s="484"/>
      <c r="BP122" s="484"/>
      <c r="BQ122" s="484"/>
      <c r="BR122" s="484"/>
      <c r="BS122" s="484"/>
      <c r="BT122" s="484"/>
      <c r="BU122" s="484"/>
      <c r="BV122" s="484"/>
      <c r="BW122" s="484"/>
      <c r="BX122" s="484"/>
      <c r="BY122" s="484"/>
      <c r="BZ122" s="484"/>
      <c r="CA122" s="484"/>
      <c r="CB122" s="484"/>
      <c r="CC122" s="484"/>
      <c r="CD122" s="484"/>
      <c r="CE122" s="484"/>
      <c r="CF122" s="484"/>
      <c r="CG122" s="484"/>
      <c r="CH122" s="484"/>
      <c r="CI122" s="484"/>
    </row>
    <row r="123" spans="1:87" ht="20.100000000000001" customHeight="1">
      <c r="A123" s="489"/>
      <c r="B123" s="489"/>
      <c r="C123" s="490" t="s">
        <v>1162</v>
      </c>
      <c r="D123" s="490"/>
      <c r="E123" s="490"/>
      <c r="F123" s="490"/>
      <c r="G123" s="490"/>
      <c r="H123" s="491"/>
      <c r="I123" s="490"/>
      <c r="J123" s="490"/>
      <c r="K123" s="407">
        <f t="shared" ref="K123:AE123" si="151">SUM(K104:K122)</f>
        <v>3560282.46</v>
      </c>
      <c r="L123" s="407">
        <f t="shared" si="151"/>
        <v>45</v>
      </c>
      <c r="M123" s="407">
        <f t="shared" si="151"/>
        <v>54</v>
      </c>
      <c r="N123" s="407">
        <f t="shared" si="151"/>
        <v>54</v>
      </c>
      <c r="O123" s="407">
        <f t="shared" si="151"/>
        <v>54</v>
      </c>
      <c r="P123" s="407">
        <f t="shared" si="151"/>
        <v>54</v>
      </c>
      <c r="Q123" s="407">
        <f t="shared" si="151"/>
        <v>261</v>
      </c>
      <c r="R123" s="407">
        <f t="shared" si="151"/>
        <v>30</v>
      </c>
      <c r="S123" s="407">
        <f t="shared" si="151"/>
        <v>42</v>
      </c>
      <c r="T123" s="407">
        <f t="shared" si="151"/>
        <v>36</v>
      </c>
      <c r="U123" s="407">
        <f t="shared" si="151"/>
        <v>28</v>
      </c>
      <c r="V123" s="407">
        <f t="shared" si="151"/>
        <v>36</v>
      </c>
      <c r="W123" s="407">
        <f t="shared" si="151"/>
        <v>172</v>
      </c>
      <c r="X123" s="407">
        <f t="shared" si="151"/>
        <v>433</v>
      </c>
      <c r="Y123" s="407">
        <f t="shared" si="151"/>
        <v>4998561.8925000001</v>
      </c>
      <c r="Z123" s="407">
        <f t="shared" si="151"/>
        <v>487362.10725000012</v>
      </c>
      <c r="AA123" s="407">
        <f t="shared" si="151"/>
        <v>237</v>
      </c>
      <c r="AB123" s="407">
        <f t="shared" si="151"/>
        <v>131068.40625</v>
      </c>
      <c r="AC123" s="407">
        <f t="shared" si="151"/>
        <v>160</v>
      </c>
      <c r="AD123" s="407">
        <f t="shared" si="151"/>
        <v>44242.5</v>
      </c>
      <c r="AE123" s="407">
        <f t="shared" si="151"/>
        <v>196600</v>
      </c>
      <c r="AF123" s="407">
        <v>5</v>
      </c>
      <c r="AG123" s="407">
        <f>SUM(AG104:AG122)</f>
        <v>17697</v>
      </c>
      <c r="AH123" s="407">
        <v>2</v>
      </c>
      <c r="AI123" s="407">
        <f t="shared" ref="AI123:BN123" si="152">SUM(AI104:AI122)</f>
        <v>70788</v>
      </c>
      <c r="AJ123" s="407">
        <f t="shared" si="152"/>
        <v>433</v>
      </c>
      <c r="AK123" s="407">
        <f t="shared" si="152"/>
        <v>191570.02499999999</v>
      </c>
      <c r="AL123" s="407">
        <f t="shared" si="152"/>
        <v>433</v>
      </c>
      <c r="AM123" s="407">
        <f t="shared" si="152"/>
        <v>1499568.5677500002</v>
      </c>
      <c r="AN123" s="407">
        <f t="shared" si="152"/>
        <v>0</v>
      </c>
      <c r="AO123" s="407">
        <f t="shared" si="152"/>
        <v>31522.781250000004</v>
      </c>
      <c r="AP123" s="407">
        <f t="shared" si="152"/>
        <v>379689.13499999995</v>
      </c>
      <c r="AQ123" s="407">
        <f t="shared" si="152"/>
        <v>176527.57500000001</v>
      </c>
      <c r="AR123" s="407">
        <f t="shared" si="152"/>
        <v>467121.16349999997</v>
      </c>
      <c r="AS123" s="407">
        <f t="shared" si="152"/>
        <v>0</v>
      </c>
      <c r="AT123" s="407">
        <f t="shared" si="152"/>
        <v>0</v>
      </c>
      <c r="AU123" s="407">
        <f t="shared" si="152"/>
        <v>0</v>
      </c>
      <c r="AV123" s="407">
        <f t="shared" si="152"/>
        <v>0</v>
      </c>
      <c r="AW123" s="407">
        <f t="shared" si="152"/>
        <v>0</v>
      </c>
      <c r="AX123" s="407">
        <f t="shared" si="152"/>
        <v>546240</v>
      </c>
      <c r="AY123" s="407">
        <f t="shared" si="152"/>
        <v>0</v>
      </c>
      <c r="AZ123" s="407">
        <f t="shared" si="152"/>
        <v>4239997.2609999999</v>
      </c>
      <c r="BA123" s="407">
        <f t="shared" si="152"/>
        <v>9238559.1535</v>
      </c>
      <c r="BB123" s="407">
        <f t="shared" si="152"/>
        <v>923855.91534999991</v>
      </c>
      <c r="BC123" s="407">
        <f t="shared" si="152"/>
        <v>184771.18307</v>
      </c>
      <c r="BD123" s="407">
        <f t="shared" si="152"/>
        <v>691910.00550800003</v>
      </c>
      <c r="BE123" s="407">
        <f t="shared" si="152"/>
        <v>7438022.0495720003</v>
      </c>
      <c r="BF123" s="407">
        <f t="shared" si="152"/>
        <v>110862709.84199999</v>
      </c>
      <c r="BG123" s="407">
        <f t="shared" si="152"/>
        <v>9997123.7850000001</v>
      </c>
      <c r="BH123" s="407">
        <f t="shared" si="152"/>
        <v>120859833.62700003</v>
      </c>
      <c r="BI123" s="407">
        <f t="shared" si="152"/>
        <v>5438692.5132150007</v>
      </c>
      <c r="BJ123" s="407">
        <f t="shared" si="152"/>
        <v>3325881.2952599996</v>
      </c>
      <c r="BK123" s="407">
        <f t="shared" si="152"/>
        <v>6282533.0542055974</v>
      </c>
      <c r="BL123" s="407">
        <f t="shared" si="152"/>
        <v>6042991.6813500011</v>
      </c>
      <c r="BM123" s="407">
        <f t="shared" si="152"/>
        <v>141949932.17103061</v>
      </c>
      <c r="BN123" s="407">
        <f t="shared" si="152"/>
        <v>2.5</v>
      </c>
      <c r="BO123" s="355"/>
      <c r="BP123" s="355"/>
      <c r="BQ123" s="355"/>
      <c r="BR123" s="355"/>
      <c r="BS123" s="355"/>
      <c r="BT123" s="355"/>
      <c r="BU123" s="355"/>
      <c r="BV123" s="355"/>
      <c r="BW123" s="355"/>
      <c r="BX123" s="355"/>
      <c r="BY123" s="355"/>
      <c r="BZ123" s="355"/>
      <c r="CA123" s="355"/>
      <c r="CB123" s="355"/>
      <c r="CC123" s="355"/>
      <c r="CD123" s="355"/>
      <c r="CE123" s="355"/>
      <c r="CF123" s="355"/>
      <c r="CG123" s="355"/>
      <c r="CH123" s="355"/>
      <c r="CI123" s="356"/>
    </row>
    <row r="124" spans="1:87" ht="20.100000000000001" customHeight="1">
      <c r="A124" s="492"/>
      <c r="B124" s="492"/>
      <c r="C124" s="493" t="s">
        <v>1213</v>
      </c>
      <c r="D124" s="493"/>
      <c r="E124" s="493"/>
      <c r="F124" s="493"/>
      <c r="G124" s="493"/>
      <c r="H124" s="494"/>
      <c r="I124" s="493"/>
      <c r="J124" s="493"/>
      <c r="K124" s="495">
        <f>K66+K86+K103+K123</f>
        <v>19961862.059999995</v>
      </c>
      <c r="L124" s="495">
        <f t="shared" ref="L124:BN124" si="153">L123+L103+L86+L66</f>
        <v>425</v>
      </c>
      <c r="M124" s="495">
        <f t="shared" si="153"/>
        <v>438</v>
      </c>
      <c r="N124" s="495">
        <f t="shared" si="153"/>
        <v>381</v>
      </c>
      <c r="O124" s="495">
        <f t="shared" si="153"/>
        <v>473</v>
      </c>
      <c r="P124" s="495">
        <f t="shared" si="153"/>
        <v>437</v>
      </c>
      <c r="Q124" s="495">
        <f t="shared" si="153"/>
        <v>2154</v>
      </c>
      <c r="R124" s="495">
        <f t="shared" si="153"/>
        <v>151</v>
      </c>
      <c r="S124" s="495">
        <f t="shared" si="153"/>
        <v>131</v>
      </c>
      <c r="T124" s="495">
        <f t="shared" si="153"/>
        <v>126</v>
      </c>
      <c r="U124" s="495">
        <f t="shared" si="153"/>
        <v>162</v>
      </c>
      <c r="V124" s="495">
        <f t="shared" si="153"/>
        <v>73</v>
      </c>
      <c r="W124" s="495">
        <f t="shared" si="153"/>
        <v>643</v>
      </c>
      <c r="X124" s="495">
        <f t="shared" si="153"/>
        <v>2797</v>
      </c>
      <c r="Y124" s="495">
        <f t="shared" si="153"/>
        <v>32821055.291250002</v>
      </c>
      <c r="Z124" s="495">
        <f t="shared" si="153"/>
        <v>3246828.7717500003</v>
      </c>
      <c r="AA124" s="495">
        <f t="shared" si="153"/>
        <v>1293</v>
      </c>
      <c r="AB124" s="495">
        <f t="shared" si="153"/>
        <v>598269.20625000005</v>
      </c>
      <c r="AC124" s="495">
        <f t="shared" si="153"/>
        <v>945</v>
      </c>
      <c r="AD124" s="495">
        <f t="shared" si="153"/>
        <v>217894.3125</v>
      </c>
      <c r="AE124" s="495">
        <f t="shared" si="153"/>
        <v>836400</v>
      </c>
      <c r="AF124" s="495">
        <f t="shared" si="153"/>
        <v>2065</v>
      </c>
      <c r="AG124" s="495">
        <f t="shared" si="153"/>
        <v>145115.4</v>
      </c>
      <c r="AH124" s="495">
        <f t="shared" si="153"/>
        <v>4</v>
      </c>
      <c r="AI124" s="495">
        <f t="shared" si="153"/>
        <v>389334</v>
      </c>
      <c r="AJ124" s="495">
        <f t="shared" si="153"/>
        <v>2122</v>
      </c>
      <c r="AK124" s="495">
        <f t="shared" si="153"/>
        <v>938825.84999999986</v>
      </c>
      <c r="AL124" s="495">
        <f t="shared" si="153"/>
        <v>2797</v>
      </c>
      <c r="AM124" s="495">
        <f t="shared" si="153"/>
        <v>9846316.5873750001</v>
      </c>
      <c r="AN124" s="495">
        <f t="shared" si="153"/>
        <v>0</v>
      </c>
      <c r="AO124" s="495">
        <f t="shared" si="153"/>
        <v>4427944.2487500012</v>
      </c>
      <c r="AP124" s="495">
        <f t="shared" si="153"/>
        <v>2893530.2880000002</v>
      </c>
      <c r="AQ124" s="495">
        <f t="shared" si="153"/>
        <v>898316.31093749998</v>
      </c>
      <c r="AR124" s="495">
        <f t="shared" si="153"/>
        <v>1865358.9213750004</v>
      </c>
      <c r="AS124" s="495">
        <f t="shared" si="153"/>
        <v>0</v>
      </c>
      <c r="AT124" s="495">
        <f t="shared" si="153"/>
        <v>0</v>
      </c>
      <c r="AU124" s="495">
        <f t="shared" si="153"/>
        <v>0</v>
      </c>
      <c r="AV124" s="495">
        <f t="shared" si="153"/>
        <v>0</v>
      </c>
      <c r="AW124" s="495">
        <f t="shared" si="153"/>
        <v>0</v>
      </c>
      <c r="AX124" s="495">
        <f t="shared" si="153"/>
        <v>2489944</v>
      </c>
      <c r="AY124" s="495">
        <f t="shared" si="153"/>
        <v>70788</v>
      </c>
      <c r="AZ124" s="495">
        <f t="shared" si="153"/>
        <v>28864865.896937497</v>
      </c>
      <c r="BA124" s="495">
        <f t="shared" si="153"/>
        <v>61685921.18818751</v>
      </c>
      <c r="BB124" s="495">
        <f t="shared" si="153"/>
        <v>6168592.1188187497</v>
      </c>
      <c r="BC124" s="495">
        <f t="shared" si="153"/>
        <v>1233718.4237637501</v>
      </c>
      <c r="BD124" s="495">
        <f t="shared" si="153"/>
        <v>4752844.2645605011</v>
      </c>
      <c r="BE124" s="495">
        <f t="shared" si="153"/>
        <v>49530766.381044507</v>
      </c>
      <c r="BF124" s="495">
        <f t="shared" si="153"/>
        <v>740231054.25825</v>
      </c>
      <c r="BG124" s="495">
        <f t="shared" si="153"/>
        <v>57702860.321250007</v>
      </c>
      <c r="BH124" s="495">
        <f t="shared" si="153"/>
        <v>797933914.57950008</v>
      </c>
      <c r="BI124" s="495">
        <f t="shared" si="153"/>
        <v>35907026.156077504</v>
      </c>
      <c r="BJ124" s="495">
        <f t="shared" si="153"/>
        <v>22206931.627747502</v>
      </c>
      <c r="BK124" s="495">
        <f t="shared" si="153"/>
        <v>41459923.067924842</v>
      </c>
      <c r="BL124" s="495">
        <f t="shared" si="153"/>
        <v>39896695.728974998</v>
      </c>
      <c r="BM124" s="495">
        <f t="shared" si="153"/>
        <v>937404491.16022491</v>
      </c>
      <c r="BN124" s="495">
        <f t="shared" si="153"/>
        <v>6.75</v>
      </c>
      <c r="BO124" s="355"/>
      <c r="BP124" s="355"/>
      <c r="BQ124" s="355"/>
      <c r="BR124" s="355"/>
      <c r="BS124" s="355"/>
      <c r="BT124" s="355"/>
      <c r="BU124" s="355"/>
      <c r="BV124" s="355"/>
      <c r="BW124" s="355"/>
      <c r="BX124" s="355"/>
      <c r="BY124" s="355"/>
      <c r="BZ124" s="355"/>
      <c r="CA124" s="355"/>
      <c r="CB124" s="355"/>
      <c r="CC124" s="355"/>
      <c r="CD124" s="355"/>
      <c r="CE124" s="355"/>
      <c r="CF124" s="355"/>
      <c r="CG124" s="355"/>
      <c r="CH124" s="355"/>
      <c r="CI124" s="356"/>
    </row>
    <row r="125" spans="1:87" ht="31.5">
      <c r="A125" s="369">
        <f>A122+1</f>
        <v>83</v>
      </c>
      <c r="B125" s="416">
        <v>1</v>
      </c>
      <c r="C125" s="409" t="s">
        <v>1214</v>
      </c>
      <c r="D125" s="412" t="s">
        <v>1215</v>
      </c>
      <c r="E125" s="366" t="s">
        <v>998</v>
      </c>
      <c r="F125" s="366" t="s">
        <v>1005</v>
      </c>
      <c r="G125" s="366"/>
      <c r="H125" s="371" t="s">
        <v>1216</v>
      </c>
      <c r="I125" s="366">
        <v>17697</v>
      </c>
      <c r="J125" s="367">
        <v>11.4</v>
      </c>
      <c r="K125" s="367">
        <f t="shared" ref="K125:K134" si="154">I125*J125</f>
        <v>201745.80000000002</v>
      </c>
      <c r="L125" s="496"/>
      <c r="M125" s="496">
        <v>3</v>
      </c>
      <c r="N125" s="496"/>
      <c r="O125" s="496">
        <v>12</v>
      </c>
      <c r="P125" s="496">
        <v>12</v>
      </c>
      <c r="Q125" s="368">
        <f t="shared" ref="Q125:Q134" si="155">SUM(L125:P125)</f>
        <v>27</v>
      </c>
      <c r="R125" s="496"/>
      <c r="S125" s="496"/>
      <c r="T125" s="496"/>
      <c r="U125" s="496"/>
      <c r="V125" s="496"/>
      <c r="W125" s="381">
        <f t="shared" ref="W125:W134" si="156">SUM(R125:V125)</f>
        <v>0</v>
      </c>
      <c r="X125" s="370">
        <f t="shared" ref="X125:X134" si="157">Q125+W125</f>
        <v>27</v>
      </c>
      <c r="Y125" s="367">
        <f t="shared" ref="Y125:Y134" si="158">K125/16*X125</f>
        <v>340446.03750000003</v>
      </c>
      <c r="Z125" s="367">
        <f t="shared" ref="Z125:Z134" si="159">Y125*10%</f>
        <v>34044.603750000002</v>
      </c>
      <c r="AA125" s="497">
        <v>24</v>
      </c>
      <c r="AB125" s="367">
        <f t="shared" ref="AB125:AB134" si="160">I125/16*AA125*50%</f>
        <v>13272.75</v>
      </c>
      <c r="AC125" s="497">
        <v>3</v>
      </c>
      <c r="AD125" s="367">
        <f t="shared" ref="AD125:AD134" si="161">I125/16*AC125*50%*50%</f>
        <v>829.546875</v>
      </c>
      <c r="AE125" s="366">
        <v>196600</v>
      </c>
      <c r="AF125" s="497"/>
      <c r="AG125" s="367"/>
      <c r="AH125" s="497"/>
      <c r="AI125" s="367"/>
      <c r="AJ125" s="372"/>
      <c r="AK125" s="367"/>
      <c r="AL125" s="366">
        <f t="shared" ref="AL125:AL134" si="162">X125</f>
        <v>27</v>
      </c>
      <c r="AM125" s="367">
        <f t="shared" ref="AM125:AM134" si="163">K125/16*AL125*30%</f>
        <v>102133.81125000001</v>
      </c>
      <c r="AN125" s="366" t="str">
        <f t="shared" ref="AN125:AN134" si="164">F125</f>
        <v>Педагог-зерттеуші</v>
      </c>
      <c r="AO125" s="367" t="str">
        <f t="shared" ref="AO125:AO134" si="165">IF(AN125="Педагог-зерттеуші", "0", IF(AN125="Педагог-шебер",K125/16*X125*50%, IF(AN125="Педагог-сарапшы", "0", IF(AN125="Педагог-модератор", "0", "0"))))</f>
        <v>0</v>
      </c>
      <c r="AP125" s="367">
        <f t="shared" ref="AP125:AP134" si="166">IF(AN125="Педагог-шебер", "0", IF(AN125="Педагог-зерттеуші",K125/16*X125*40%, IF(AN125="Педагог-сарапшы", "0", IF(AN125="Педагог-модератор", "0", "0"))))</f>
        <v>136178.41500000001</v>
      </c>
      <c r="AQ125" s="367" t="str">
        <f t="shared" ref="AQ125:AQ134" si="167">IF(AN125="Педагог-шебер", "0", IF(AN125="Педагог-сарапшы",K125/16*X125*35%, IF(AN125="Педагог-зерттеуші", "0", IF(AN125="Педагог-модератор", "0", "0"))))</f>
        <v>0</v>
      </c>
      <c r="AR125" s="367" t="str">
        <f t="shared" ref="AR125:AR134" si="168">IF(AN125="Педагог-шебер", "0", IF(AN125="Педагог-модератор",K125/16*X125*30%, IF(AN125="Педагог-зерттеуші", "0", IF(AN125="Педагог-сарапшы", "0", "0"))))</f>
        <v>0</v>
      </c>
      <c r="AS125" s="497"/>
      <c r="AT125" s="374"/>
      <c r="AU125" s="499"/>
      <c r="AV125" s="374"/>
      <c r="AW125" s="371"/>
      <c r="AX125" s="367"/>
      <c r="AY125" s="374"/>
      <c r="AZ125" s="367">
        <f t="shared" ref="AZ125:AZ134" si="169">Z125+AB125+AD125+AE125+AG125+AI125+AK125+AM125+AO125+AP125+AQ125++AR125+AT125+AV125+AX125+AY125</f>
        <v>483059.12687500007</v>
      </c>
      <c r="BA125" s="373">
        <f t="shared" ref="BA125:BA134" si="170">Y125+AZ125</f>
        <v>823505.16437500017</v>
      </c>
      <c r="BB125" s="374">
        <f t="shared" ref="BB125:BB197" si="171">BA125*10%</f>
        <v>82350.516437500017</v>
      </c>
      <c r="BC125" s="374">
        <f t="shared" ref="BC125:BC197" si="172">BA125*2%</f>
        <v>16470.103287500002</v>
      </c>
      <c r="BD125" s="374">
        <f t="shared" ref="BD125:BD134" si="173">(BA125-BB125-BC125-(14*4552))*10%</f>
        <v>66095.654465000014</v>
      </c>
      <c r="BE125" s="374">
        <f t="shared" ref="BE125:BE197" si="174">BA125-BB125-BC125-BD125</f>
        <v>658588.89018500014</v>
      </c>
      <c r="BF125" s="374">
        <f t="shared" ref="BF125:BF197" si="175">BA125*12</f>
        <v>9882061.972500002</v>
      </c>
      <c r="BG125" s="374">
        <f t="shared" ref="BG125:BG134" si="176">Y125*2</f>
        <v>680892.07500000007</v>
      </c>
      <c r="BH125" s="374">
        <f t="shared" ref="BH125:BH197" si="177">BF125+BG125</f>
        <v>10562954.047500001</v>
      </c>
      <c r="BI125" s="374">
        <f t="shared" ref="BI125:BI194" si="178">BH125*0.9*5%</f>
        <v>475332.93213750003</v>
      </c>
      <c r="BJ125" s="374">
        <f t="shared" ref="BJ125:BJ197" si="179">BF125*3%</f>
        <v>296461.85917500005</v>
      </c>
      <c r="BK125" s="374">
        <f t="shared" ref="BK125:BK194" si="180">(BH125*0.9-(BC125*12))*11%-BI125</f>
        <v>548658.98222550005</v>
      </c>
      <c r="BL125" s="374">
        <f t="shared" ref="BL125:BL134" si="181">BH125*5%</f>
        <v>528147.70237500011</v>
      </c>
      <c r="BM125" s="373">
        <f t="shared" si="76"/>
        <v>12411555.523413002</v>
      </c>
      <c r="BN125" s="375"/>
      <c r="BO125" s="376"/>
      <c r="BP125" s="377"/>
      <c r="BQ125" s="377"/>
      <c r="BR125" s="377"/>
      <c r="BS125" s="377"/>
      <c r="BT125" s="377"/>
      <c r="BU125" s="377"/>
      <c r="BV125" s="377"/>
      <c r="BW125" s="377"/>
      <c r="BX125" s="377"/>
      <c r="BY125" s="377"/>
      <c r="BZ125" s="377"/>
      <c r="CA125" s="377"/>
      <c r="CB125" s="377"/>
      <c r="CC125" s="377"/>
      <c r="CD125" s="377"/>
      <c r="CE125" s="377"/>
      <c r="CF125" s="377"/>
      <c r="CG125" s="377"/>
      <c r="CH125" s="377"/>
      <c r="CI125" s="377"/>
    </row>
    <row r="126" spans="1:87" ht="63">
      <c r="A126" s="369">
        <f t="shared" ref="A126:B134" si="182">A125+1</f>
        <v>84</v>
      </c>
      <c r="B126" s="416">
        <f t="shared" si="182"/>
        <v>2</v>
      </c>
      <c r="C126" s="409" t="s">
        <v>1217</v>
      </c>
      <c r="D126" s="412" t="s">
        <v>1218</v>
      </c>
      <c r="E126" s="366" t="s">
        <v>998</v>
      </c>
      <c r="F126" s="366" t="s">
        <v>1005</v>
      </c>
      <c r="G126" s="366"/>
      <c r="H126" s="371" t="s">
        <v>1219</v>
      </c>
      <c r="I126" s="366">
        <v>17697</v>
      </c>
      <c r="J126" s="367">
        <v>11.4</v>
      </c>
      <c r="K126" s="367">
        <f t="shared" si="154"/>
        <v>201745.80000000002</v>
      </c>
      <c r="L126" s="496"/>
      <c r="M126" s="496">
        <v>3</v>
      </c>
      <c r="N126" s="496"/>
      <c r="O126" s="496">
        <v>12</v>
      </c>
      <c r="P126" s="496">
        <v>12</v>
      </c>
      <c r="Q126" s="368">
        <f t="shared" si="155"/>
        <v>27</v>
      </c>
      <c r="R126" s="496"/>
      <c r="S126" s="496"/>
      <c r="T126" s="496"/>
      <c r="U126" s="496"/>
      <c r="V126" s="496">
        <v>6</v>
      </c>
      <c r="W126" s="381">
        <f t="shared" si="156"/>
        <v>6</v>
      </c>
      <c r="X126" s="370">
        <f t="shared" si="157"/>
        <v>33</v>
      </c>
      <c r="Y126" s="367">
        <f t="shared" si="158"/>
        <v>416100.71250000002</v>
      </c>
      <c r="Z126" s="367">
        <f t="shared" si="159"/>
        <v>41610.071250000008</v>
      </c>
      <c r="AA126" s="497">
        <v>21</v>
      </c>
      <c r="AB126" s="367">
        <f t="shared" si="160"/>
        <v>11613.65625</v>
      </c>
      <c r="AC126" s="497">
        <v>6</v>
      </c>
      <c r="AD126" s="367">
        <f t="shared" si="161"/>
        <v>1659.09375</v>
      </c>
      <c r="AE126" s="497"/>
      <c r="AF126" s="497"/>
      <c r="AG126" s="367"/>
      <c r="AH126" s="497"/>
      <c r="AI126" s="374"/>
      <c r="AJ126" s="372"/>
      <c r="AK126" s="367"/>
      <c r="AL126" s="366">
        <f t="shared" si="162"/>
        <v>33</v>
      </c>
      <c r="AM126" s="367">
        <f t="shared" si="163"/>
        <v>124830.21375</v>
      </c>
      <c r="AN126" s="366" t="str">
        <f t="shared" si="164"/>
        <v>Педагог-зерттеуші</v>
      </c>
      <c r="AO126" s="367" t="str">
        <f t="shared" si="165"/>
        <v>0</v>
      </c>
      <c r="AP126" s="367">
        <f t="shared" si="166"/>
        <v>166440.28500000003</v>
      </c>
      <c r="AQ126" s="367" t="str">
        <f t="shared" si="167"/>
        <v>0</v>
      </c>
      <c r="AR126" s="367" t="str">
        <f t="shared" si="168"/>
        <v>0</v>
      </c>
      <c r="AS126" s="497"/>
      <c r="AT126" s="374"/>
      <c r="AU126" s="499"/>
      <c r="AV126" s="374"/>
      <c r="AW126" s="371"/>
      <c r="AX126" s="367"/>
      <c r="AY126" s="374"/>
      <c r="AZ126" s="367">
        <f t="shared" si="169"/>
        <v>346153.32000000007</v>
      </c>
      <c r="BA126" s="373">
        <f t="shared" si="170"/>
        <v>762254.03250000009</v>
      </c>
      <c r="BB126" s="374">
        <f t="shared" si="171"/>
        <v>76225.403250000018</v>
      </c>
      <c r="BC126" s="374">
        <f t="shared" si="172"/>
        <v>15245.080650000002</v>
      </c>
      <c r="BD126" s="374">
        <f t="shared" si="173"/>
        <v>60705.554860000011</v>
      </c>
      <c r="BE126" s="374">
        <f t="shared" si="174"/>
        <v>610077.99374000006</v>
      </c>
      <c r="BF126" s="374">
        <f t="shared" si="175"/>
        <v>9147048.3900000006</v>
      </c>
      <c r="BG126" s="374">
        <f t="shared" si="176"/>
        <v>832201.42500000005</v>
      </c>
      <c r="BH126" s="374">
        <f t="shared" si="177"/>
        <v>9979249.8150000013</v>
      </c>
      <c r="BI126" s="374">
        <f t="shared" si="178"/>
        <v>449066.24167500011</v>
      </c>
      <c r="BJ126" s="374">
        <f t="shared" si="179"/>
        <v>274411.45170000003</v>
      </c>
      <c r="BK126" s="374">
        <f t="shared" si="180"/>
        <v>518755.98355199996</v>
      </c>
      <c r="BL126" s="374">
        <f t="shared" si="181"/>
        <v>498962.49075000011</v>
      </c>
      <c r="BM126" s="373">
        <f t="shared" si="76"/>
        <v>11720445.982677002</v>
      </c>
      <c r="BN126" s="375"/>
      <c r="BO126" s="377"/>
      <c r="BP126" s="377"/>
      <c r="BQ126" s="377"/>
      <c r="BR126" s="377"/>
      <c r="BS126" s="377"/>
      <c r="BT126" s="377"/>
      <c r="BU126" s="377"/>
      <c r="BV126" s="377"/>
      <c r="BW126" s="377"/>
      <c r="BX126" s="377"/>
      <c r="BY126" s="377"/>
      <c r="BZ126" s="377"/>
      <c r="CA126" s="377"/>
      <c r="CB126" s="377"/>
      <c r="CC126" s="377"/>
      <c r="CD126" s="377"/>
      <c r="CE126" s="377"/>
      <c r="CF126" s="377"/>
      <c r="CG126" s="377"/>
      <c r="CH126" s="377"/>
      <c r="CI126" s="377"/>
    </row>
    <row r="127" spans="1:87" ht="31.5">
      <c r="A127" s="369">
        <f t="shared" si="182"/>
        <v>85</v>
      </c>
      <c r="B127" s="416">
        <f t="shared" si="182"/>
        <v>3</v>
      </c>
      <c r="C127" s="409" t="s">
        <v>1220</v>
      </c>
      <c r="D127" s="412" t="s">
        <v>1221</v>
      </c>
      <c r="E127" s="366" t="s">
        <v>998</v>
      </c>
      <c r="F127" s="366"/>
      <c r="G127" s="500"/>
      <c r="H127" s="371" t="s">
        <v>1222</v>
      </c>
      <c r="I127" s="366">
        <v>17697</v>
      </c>
      <c r="J127" s="367">
        <v>11.4</v>
      </c>
      <c r="K127" s="367">
        <f t="shared" si="154"/>
        <v>201745.80000000002</v>
      </c>
      <c r="L127" s="496">
        <v>15</v>
      </c>
      <c r="M127" s="496">
        <v>3</v>
      </c>
      <c r="N127" s="496"/>
      <c r="O127" s="496"/>
      <c r="P127" s="496"/>
      <c r="Q127" s="368">
        <f t="shared" si="155"/>
        <v>18</v>
      </c>
      <c r="R127" s="496"/>
      <c r="S127" s="496"/>
      <c r="T127" s="496"/>
      <c r="U127" s="496"/>
      <c r="V127" s="496"/>
      <c r="W127" s="381">
        <f t="shared" si="156"/>
        <v>0</v>
      </c>
      <c r="X127" s="370">
        <f t="shared" si="157"/>
        <v>18</v>
      </c>
      <c r="Y127" s="367">
        <f t="shared" si="158"/>
        <v>226964.02500000002</v>
      </c>
      <c r="Z127" s="367">
        <f t="shared" si="159"/>
        <v>22696.402500000004</v>
      </c>
      <c r="AA127" s="497">
        <v>3</v>
      </c>
      <c r="AB127" s="367">
        <f t="shared" si="160"/>
        <v>1659.09375</v>
      </c>
      <c r="AC127" s="497">
        <v>15</v>
      </c>
      <c r="AD127" s="367">
        <f t="shared" si="161"/>
        <v>4147.734375</v>
      </c>
      <c r="AE127" s="497"/>
      <c r="AF127" s="497" t="s">
        <v>1223</v>
      </c>
      <c r="AG127" s="367">
        <f t="shared" ref="AG127" si="183">17697*20%</f>
        <v>3539.4</v>
      </c>
      <c r="AH127" s="497"/>
      <c r="AI127" s="367"/>
      <c r="AJ127" s="372"/>
      <c r="AK127" s="367"/>
      <c r="AL127" s="366">
        <f t="shared" si="162"/>
        <v>18</v>
      </c>
      <c r="AM127" s="367">
        <f t="shared" si="163"/>
        <v>68089.207500000004</v>
      </c>
      <c r="AN127" s="366">
        <f t="shared" si="164"/>
        <v>0</v>
      </c>
      <c r="AO127" s="367" t="str">
        <f t="shared" si="165"/>
        <v>0</v>
      </c>
      <c r="AP127" s="367" t="str">
        <f t="shared" si="166"/>
        <v>0</v>
      </c>
      <c r="AQ127" s="367" t="str">
        <f t="shared" si="167"/>
        <v>0</v>
      </c>
      <c r="AR127" s="367" t="str">
        <f t="shared" si="168"/>
        <v>0</v>
      </c>
      <c r="AS127" s="497"/>
      <c r="AT127" s="374"/>
      <c r="AU127" s="499"/>
      <c r="AV127" s="374"/>
      <c r="AW127" s="371"/>
      <c r="AX127" s="367"/>
      <c r="AY127" s="374"/>
      <c r="AZ127" s="367">
        <f t="shared" si="169"/>
        <v>100131.83812500001</v>
      </c>
      <c r="BA127" s="373">
        <f t="shared" si="170"/>
        <v>327095.86312500003</v>
      </c>
      <c r="BB127" s="374">
        <f t="shared" si="171"/>
        <v>32709.586312500003</v>
      </c>
      <c r="BC127" s="374">
        <f t="shared" si="172"/>
        <v>6541.917262500001</v>
      </c>
      <c r="BD127" s="374">
        <f t="shared" si="173"/>
        <v>22411.635955000005</v>
      </c>
      <c r="BE127" s="374">
        <f t="shared" si="174"/>
        <v>265432.72359500005</v>
      </c>
      <c r="BF127" s="374">
        <f t="shared" si="175"/>
        <v>3925150.3575000004</v>
      </c>
      <c r="BG127" s="374">
        <f t="shared" si="176"/>
        <v>453928.05000000005</v>
      </c>
      <c r="BH127" s="374">
        <f t="shared" si="177"/>
        <v>4379078.4075000007</v>
      </c>
      <c r="BI127" s="374">
        <f t="shared" si="178"/>
        <v>197058.52833750006</v>
      </c>
      <c r="BJ127" s="374">
        <f t="shared" si="179"/>
        <v>117754.51072500001</v>
      </c>
      <c r="BK127" s="374">
        <f t="shared" si="180"/>
        <v>227834.90321850003</v>
      </c>
      <c r="BL127" s="374">
        <f t="shared" si="181"/>
        <v>218953.92037500005</v>
      </c>
      <c r="BM127" s="373">
        <f t="shared" si="76"/>
        <v>5140680.2701560007</v>
      </c>
      <c r="BN127" s="375"/>
      <c r="BO127" s="377"/>
      <c r="BP127" s="377"/>
      <c r="BQ127" s="377"/>
      <c r="BR127" s="377"/>
      <c r="BS127" s="377"/>
      <c r="BT127" s="377"/>
      <c r="BU127" s="377"/>
      <c r="BV127" s="377"/>
      <c r="BW127" s="377"/>
      <c r="BX127" s="377"/>
      <c r="BY127" s="377"/>
      <c r="BZ127" s="377"/>
      <c r="CA127" s="377"/>
      <c r="CB127" s="377"/>
      <c r="CC127" s="377"/>
      <c r="CD127" s="377"/>
      <c r="CE127" s="377"/>
      <c r="CF127" s="377"/>
      <c r="CG127" s="377"/>
      <c r="CH127" s="377"/>
      <c r="CI127" s="377"/>
    </row>
    <row r="128" spans="1:87" ht="110.25">
      <c r="A128" s="369">
        <f t="shared" si="182"/>
        <v>86</v>
      </c>
      <c r="B128" s="416">
        <f t="shared" si="182"/>
        <v>4</v>
      </c>
      <c r="C128" s="409" t="s">
        <v>1224</v>
      </c>
      <c r="D128" s="412" t="s">
        <v>1225</v>
      </c>
      <c r="E128" s="366" t="s">
        <v>998</v>
      </c>
      <c r="F128" s="366" t="s">
        <v>999</v>
      </c>
      <c r="G128" s="366" t="s">
        <v>1226</v>
      </c>
      <c r="H128" s="371" t="s">
        <v>1227</v>
      </c>
      <c r="I128" s="366">
        <v>17697</v>
      </c>
      <c r="J128" s="367">
        <v>11.4</v>
      </c>
      <c r="K128" s="367">
        <f t="shared" si="154"/>
        <v>201745.80000000002</v>
      </c>
      <c r="L128" s="496">
        <v>20</v>
      </c>
      <c r="M128" s="496"/>
      <c r="N128" s="496"/>
      <c r="O128" s="496">
        <v>9</v>
      </c>
      <c r="P128" s="496"/>
      <c r="Q128" s="368">
        <f t="shared" si="155"/>
        <v>29</v>
      </c>
      <c r="R128" s="496"/>
      <c r="S128" s="496">
        <v>1</v>
      </c>
      <c r="T128" s="496"/>
      <c r="U128" s="496"/>
      <c r="V128" s="496">
        <v>5</v>
      </c>
      <c r="W128" s="381">
        <f t="shared" si="156"/>
        <v>6</v>
      </c>
      <c r="X128" s="370">
        <f t="shared" si="157"/>
        <v>35</v>
      </c>
      <c r="Y128" s="367">
        <f t="shared" si="158"/>
        <v>441318.93750000006</v>
      </c>
      <c r="Z128" s="367">
        <f t="shared" si="159"/>
        <v>44131.89375000001</v>
      </c>
      <c r="AA128" s="501">
        <v>29</v>
      </c>
      <c r="AB128" s="367">
        <f t="shared" si="160"/>
        <v>16037.90625</v>
      </c>
      <c r="AC128" s="497"/>
      <c r="AD128" s="367">
        <f t="shared" si="161"/>
        <v>0</v>
      </c>
      <c r="AE128" s="497"/>
      <c r="AF128" s="497"/>
      <c r="AG128" s="367"/>
      <c r="AH128" s="497" t="s">
        <v>1228</v>
      </c>
      <c r="AI128" s="367">
        <f t="shared" ref="AI128:AI134" si="184">I128*200%</f>
        <v>35394</v>
      </c>
      <c r="AJ128" s="372"/>
      <c r="AK128" s="367"/>
      <c r="AL128" s="366">
        <f t="shared" si="162"/>
        <v>35</v>
      </c>
      <c r="AM128" s="367">
        <f t="shared" si="163"/>
        <v>132395.68125000002</v>
      </c>
      <c r="AN128" s="366" t="str">
        <f t="shared" si="164"/>
        <v>Педагог-шебер</v>
      </c>
      <c r="AO128" s="367">
        <f t="shared" si="165"/>
        <v>220659.46875000003</v>
      </c>
      <c r="AP128" s="367" t="str">
        <f t="shared" si="166"/>
        <v>0</v>
      </c>
      <c r="AQ128" s="367" t="str">
        <f t="shared" si="167"/>
        <v>0</v>
      </c>
      <c r="AR128" s="367" t="str">
        <f t="shared" si="168"/>
        <v>0</v>
      </c>
      <c r="AS128" s="497"/>
      <c r="AT128" s="374"/>
      <c r="AU128" s="499"/>
      <c r="AV128" s="374"/>
      <c r="AW128" s="371" t="str">
        <f>G128</f>
        <v>Магистр-педагогика</v>
      </c>
      <c r="AX128" s="372">
        <f>10*4552</f>
        <v>45520</v>
      </c>
      <c r="AY128" s="374"/>
      <c r="AZ128" s="367">
        <f t="shared" si="169"/>
        <v>494138.95000000007</v>
      </c>
      <c r="BA128" s="373">
        <f t="shared" si="170"/>
        <v>935457.88750000019</v>
      </c>
      <c r="BB128" s="374">
        <f t="shared" si="171"/>
        <v>93545.788750000022</v>
      </c>
      <c r="BC128" s="374">
        <f t="shared" si="172"/>
        <v>18709.157750000006</v>
      </c>
      <c r="BD128" s="374">
        <f t="shared" si="173"/>
        <v>75947.494100000011</v>
      </c>
      <c r="BE128" s="374">
        <f t="shared" si="174"/>
        <v>747255.4469000001</v>
      </c>
      <c r="BF128" s="374">
        <f t="shared" si="175"/>
        <v>11225494.650000002</v>
      </c>
      <c r="BG128" s="374">
        <f t="shared" si="176"/>
        <v>882637.87500000012</v>
      </c>
      <c r="BH128" s="374">
        <f t="shared" si="177"/>
        <v>12108132.525000002</v>
      </c>
      <c r="BI128" s="374">
        <f t="shared" si="178"/>
        <v>544865.96362500021</v>
      </c>
      <c r="BJ128" s="374">
        <f t="shared" si="179"/>
        <v>336764.83950000006</v>
      </c>
      <c r="BK128" s="374">
        <f t="shared" si="180"/>
        <v>629143.0681200003</v>
      </c>
      <c r="BL128" s="374">
        <f t="shared" si="181"/>
        <v>605406.62625000009</v>
      </c>
      <c r="BM128" s="373">
        <f t="shared" si="76"/>
        <v>14224313.022495005</v>
      </c>
      <c r="BN128" s="375"/>
      <c r="BO128" s="377"/>
      <c r="BP128" s="377"/>
      <c r="BQ128" s="377"/>
      <c r="BR128" s="377"/>
      <c r="BS128" s="377"/>
      <c r="BT128" s="377"/>
      <c r="BU128" s="377"/>
      <c r="BV128" s="377"/>
      <c r="BW128" s="377"/>
      <c r="BX128" s="377"/>
      <c r="BY128" s="377"/>
      <c r="BZ128" s="377"/>
      <c r="CA128" s="377"/>
      <c r="CB128" s="377"/>
      <c r="CC128" s="377"/>
      <c r="CD128" s="377"/>
      <c r="CE128" s="377"/>
      <c r="CF128" s="377"/>
      <c r="CG128" s="377"/>
      <c r="CH128" s="377"/>
      <c r="CI128" s="377"/>
    </row>
    <row r="129" spans="1:87" ht="30">
      <c r="A129" s="369">
        <f t="shared" si="182"/>
        <v>87</v>
      </c>
      <c r="B129" s="416">
        <f t="shared" si="182"/>
        <v>5</v>
      </c>
      <c r="C129" s="409" t="s">
        <v>511</v>
      </c>
      <c r="D129" s="412" t="s">
        <v>1229</v>
      </c>
      <c r="E129" s="366" t="s">
        <v>998</v>
      </c>
      <c r="F129" s="366" t="s">
        <v>1005</v>
      </c>
      <c r="G129" s="366"/>
      <c r="H129" s="371" t="s">
        <v>1436</v>
      </c>
      <c r="I129" s="366">
        <v>17697</v>
      </c>
      <c r="J129" s="367">
        <v>11.18</v>
      </c>
      <c r="K129" s="367">
        <f t="shared" si="154"/>
        <v>197852.46</v>
      </c>
      <c r="L129" s="496"/>
      <c r="M129" s="496">
        <v>6</v>
      </c>
      <c r="N129" s="496"/>
      <c r="O129" s="496"/>
      <c r="P129" s="496"/>
      <c r="Q129" s="368">
        <f t="shared" si="155"/>
        <v>6</v>
      </c>
      <c r="R129" s="496"/>
      <c r="S129" s="496"/>
      <c r="T129" s="496"/>
      <c r="U129" s="496"/>
      <c r="V129" s="496"/>
      <c r="W129" s="381">
        <f t="shared" si="156"/>
        <v>0</v>
      </c>
      <c r="X129" s="370">
        <f t="shared" si="157"/>
        <v>6</v>
      </c>
      <c r="Y129" s="367">
        <f t="shared" si="158"/>
        <v>74194.672500000001</v>
      </c>
      <c r="Z129" s="367"/>
      <c r="AA129" s="497">
        <v>3</v>
      </c>
      <c r="AB129" s="367">
        <f t="shared" si="160"/>
        <v>1659.09375</v>
      </c>
      <c r="AC129" s="497">
        <v>3</v>
      </c>
      <c r="AD129" s="367">
        <f t="shared" si="161"/>
        <v>829.546875</v>
      </c>
      <c r="AE129" s="497"/>
      <c r="AF129" s="497"/>
      <c r="AG129" s="367"/>
      <c r="AH129" s="501" t="s">
        <v>1230</v>
      </c>
      <c r="AI129" s="479">
        <f t="shared" si="184"/>
        <v>35394</v>
      </c>
      <c r="AJ129" s="372"/>
      <c r="AK129" s="367"/>
      <c r="AL129" s="366">
        <f t="shared" si="162"/>
        <v>6</v>
      </c>
      <c r="AM129" s="367">
        <f t="shared" si="163"/>
        <v>22258.401750000001</v>
      </c>
      <c r="AN129" s="366" t="str">
        <f t="shared" si="164"/>
        <v>Педагог-зерттеуші</v>
      </c>
      <c r="AO129" s="367" t="str">
        <f t="shared" si="165"/>
        <v>0</v>
      </c>
      <c r="AP129" s="367">
        <f t="shared" si="166"/>
        <v>29677.869000000002</v>
      </c>
      <c r="AQ129" s="367" t="str">
        <f t="shared" si="167"/>
        <v>0</v>
      </c>
      <c r="AR129" s="367" t="str">
        <f t="shared" si="168"/>
        <v>0</v>
      </c>
      <c r="AS129" s="497"/>
      <c r="AT129" s="374"/>
      <c r="AU129" s="499"/>
      <c r="AV129" s="374"/>
      <c r="AW129" s="371"/>
      <c r="AX129" s="367"/>
      <c r="AY129" s="374"/>
      <c r="AZ129" s="367">
        <f t="shared" si="169"/>
        <v>89818.911375000011</v>
      </c>
      <c r="BA129" s="373">
        <f t="shared" si="170"/>
        <v>164013.58387500001</v>
      </c>
      <c r="BB129" s="374">
        <f t="shared" si="171"/>
        <v>16401.3583875</v>
      </c>
      <c r="BC129" s="374">
        <f t="shared" si="172"/>
        <v>3280.2716775000004</v>
      </c>
      <c r="BD129" s="374">
        <f t="shared" si="173"/>
        <v>8060.3953810000039</v>
      </c>
      <c r="BE129" s="374">
        <f t="shared" si="174"/>
        <v>136271.55842900003</v>
      </c>
      <c r="BF129" s="374">
        <f t="shared" si="175"/>
        <v>1968163.0065000001</v>
      </c>
      <c r="BG129" s="374">
        <f t="shared" si="176"/>
        <v>148389.345</v>
      </c>
      <c r="BH129" s="374">
        <f t="shared" si="177"/>
        <v>2116552.3515000003</v>
      </c>
      <c r="BI129" s="374">
        <f t="shared" si="178"/>
        <v>95244.855817500022</v>
      </c>
      <c r="BJ129" s="374">
        <f t="shared" si="179"/>
        <v>59044.890195</v>
      </c>
      <c r="BK129" s="374">
        <f t="shared" si="180"/>
        <v>109963.8683667</v>
      </c>
      <c r="BL129" s="374">
        <f t="shared" si="181"/>
        <v>105827.61757500003</v>
      </c>
      <c r="BM129" s="373">
        <f t="shared" si="76"/>
        <v>2486633.5834542005</v>
      </c>
      <c r="BN129" s="375">
        <v>1</v>
      </c>
      <c r="BO129" s="377"/>
      <c r="BP129" s="377"/>
      <c r="BQ129" s="377"/>
      <c r="BR129" s="377"/>
      <c r="BS129" s="377"/>
      <c r="BT129" s="377"/>
      <c r="BU129" s="377"/>
      <c r="BV129" s="377"/>
      <c r="BW129" s="377"/>
      <c r="BX129" s="377"/>
      <c r="BY129" s="377"/>
      <c r="BZ129" s="377"/>
      <c r="CA129" s="377"/>
      <c r="CB129" s="377"/>
      <c r="CC129" s="377"/>
      <c r="CD129" s="377"/>
      <c r="CE129" s="377"/>
      <c r="CF129" s="377"/>
      <c r="CG129" s="377"/>
      <c r="CH129" s="377"/>
      <c r="CI129" s="377"/>
    </row>
    <row r="130" spans="1:87" ht="47.25">
      <c r="A130" s="369">
        <f t="shared" si="182"/>
        <v>88</v>
      </c>
      <c r="B130" s="416">
        <f t="shared" si="182"/>
        <v>6</v>
      </c>
      <c r="C130" s="409" t="s">
        <v>1231</v>
      </c>
      <c r="D130" s="412" t="s">
        <v>1232</v>
      </c>
      <c r="E130" s="366" t="s">
        <v>998</v>
      </c>
      <c r="F130" s="366"/>
      <c r="G130" s="366"/>
      <c r="H130" s="371" t="s">
        <v>1437</v>
      </c>
      <c r="I130" s="366">
        <v>17697</v>
      </c>
      <c r="J130" s="367">
        <v>9.66</v>
      </c>
      <c r="K130" s="367">
        <f t="shared" si="154"/>
        <v>170953.02</v>
      </c>
      <c r="L130" s="496"/>
      <c r="M130" s="496">
        <v>7</v>
      </c>
      <c r="N130" s="496">
        <v>3</v>
      </c>
      <c r="O130" s="496">
        <v>6</v>
      </c>
      <c r="P130" s="496"/>
      <c r="Q130" s="368">
        <f t="shared" si="155"/>
        <v>16</v>
      </c>
      <c r="R130" s="496"/>
      <c r="S130" s="496"/>
      <c r="T130" s="496"/>
      <c r="U130" s="496"/>
      <c r="V130" s="496"/>
      <c r="W130" s="381">
        <f t="shared" si="156"/>
        <v>0</v>
      </c>
      <c r="X130" s="370">
        <f t="shared" si="157"/>
        <v>16</v>
      </c>
      <c r="Y130" s="367">
        <f t="shared" si="158"/>
        <v>170953.02</v>
      </c>
      <c r="Z130" s="367">
        <f t="shared" si="159"/>
        <v>17095.302</v>
      </c>
      <c r="AA130" s="497">
        <v>16</v>
      </c>
      <c r="AB130" s="367">
        <f t="shared" si="160"/>
        <v>8848.5</v>
      </c>
      <c r="AC130" s="497"/>
      <c r="AD130" s="367">
        <f t="shared" si="161"/>
        <v>0</v>
      </c>
      <c r="AE130" s="497"/>
      <c r="AF130" s="497"/>
      <c r="AG130" s="367"/>
      <c r="AH130" s="501"/>
      <c r="AI130" s="479"/>
      <c r="AJ130" s="372"/>
      <c r="AK130" s="367"/>
      <c r="AL130" s="366">
        <f t="shared" si="162"/>
        <v>16</v>
      </c>
      <c r="AM130" s="367">
        <f t="shared" si="163"/>
        <v>51285.905999999995</v>
      </c>
      <c r="AN130" s="366">
        <f t="shared" si="164"/>
        <v>0</v>
      </c>
      <c r="AO130" s="367" t="str">
        <f t="shared" si="165"/>
        <v>0</v>
      </c>
      <c r="AP130" s="367" t="str">
        <f t="shared" si="166"/>
        <v>0</v>
      </c>
      <c r="AQ130" s="367" t="str">
        <f t="shared" si="167"/>
        <v>0</v>
      </c>
      <c r="AR130" s="367" t="str">
        <f t="shared" si="168"/>
        <v>0</v>
      </c>
      <c r="AS130" s="497"/>
      <c r="AT130" s="374"/>
      <c r="AU130" s="499"/>
      <c r="AV130" s="374"/>
      <c r="AW130" s="371"/>
      <c r="AX130" s="367"/>
      <c r="AY130" s="374"/>
      <c r="AZ130" s="367">
        <f t="shared" si="169"/>
        <v>77229.707999999999</v>
      </c>
      <c r="BA130" s="373">
        <f t="shared" si="170"/>
        <v>248182.728</v>
      </c>
      <c r="BB130" s="374">
        <f t="shared" si="171"/>
        <v>24818.272800000002</v>
      </c>
      <c r="BC130" s="374">
        <f t="shared" si="172"/>
        <v>4963.6545599999999</v>
      </c>
      <c r="BD130" s="374">
        <f t="shared" si="173"/>
        <v>15467.280064</v>
      </c>
      <c r="BE130" s="374">
        <f t="shared" si="174"/>
        <v>202933.52057600001</v>
      </c>
      <c r="BF130" s="374">
        <f t="shared" si="175"/>
        <v>2978192.736</v>
      </c>
      <c r="BG130" s="374">
        <f t="shared" si="176"/>
        <v>341906.04</v>
      </c>
      <c r="BH130" s="374">
        <f t="shared" si="177"/>
        <v>3320098.7760000001</v>
      </c>
      <c r="BI130" s="374">
        <f t="shared" si="178"/>
        <v>149404.44492000001</v>
      </c>
      <c r="BJ130" s="374">
        <f t="shared" si="179"/>
        <v>89345.782080000004</v>
      </c>
      <c r="BK130" s="374">
        <f t="shared" si="180"/>
        <v>172733.30988480002</v>
      </c>
      <c r="BL130" s="374">
        <f t="shared" si="181"/>
        <v>166004.9388</v>
      </c>
      <c r="BM130" s="373">
        <f t="shared" si="76"/>
        <v>3897587.2516848003</v>
      </c>
      <c r="BN130" s="375"/>
      <c r="BO130" s="377"/>
      <c r="BP130" s="377"/>
      <c r="BQ130" s="377"/>
      <c r="BR130" s="377"/>
      <c r="BS130" s="377"/>
      <c r="BT130" s="377"/>
      <c r="BU130" s="377"/>
      <c r="BV130" s="377"/>
      <c r="BW130" s="377"/>
      <c r="BX130" s="377"/>
      <c r="BY130" s="377"/>
      <c r="BZ130" s="377"/>
      <c r="CA130" s="377"/>
      <c r="CB130" s="377"/>
      <c r="CC130" s="377"/>
      <c r="CD130" s="377"/>
      <c r="CE130" s="377"/>
      <c r="CF130" s="377"/>
      <c r="CG130" s="377"/>
      <c r="CH130" s="377"/>
      <c r="CI130" s="377"/>
    </row>
    <row r="131" spans="1:87" ht="31.5">
      <c r="A131" s="369">
        <f t="shared" si="182"/>
        <v>89</v>
      </c>
      <c r="B131" s="416">
        <f t="shared" si="182"/>
        <v>7</v>
      </c>
      <c r="C131" s="409" t="s">
        <v>1233</v>
      </c>
      <c r="D131" s="502" t="s">
        <v>1234</v>
      </c>
      <c r="E131" s="366" t="s">
        <v>998</v>
      </c>
      <c r="F131" s="366" t="s">
        <v>1005</v>
      </c>
      <c r="G131" s="366"/>
      <c r="H131" s="371" t="s">
        <v>1438</v>
      </c>
      <c r="I131" s="366">
        <v>17697</v>
      </c>
      <c r="J131" s="367">
        <v>11.18</v>
      </c>
      <c r="K131" s="367">
        <f t="shared" si="154"/>
        <v>197852.46</v>
      </c>
      <c r="L131" s="496">
        <v>15</v>
      </c>
      <c r="M131" s="496"/>
      <c r="N131" s="496">
        <v>12</v>
      </c>
      <c r="O131" s="496"/>
      <c r="P131" s="496"/>
      <c r="Q131" s="368">
        <f t="shared" si="155"/>
        <v>27</v>
      </c>
      <c r="R131" s="496"/>
      <c r="S131" s="496"/>
      <c r="T131" s="496"/>
      <c r="U131" s="496"/>
      <c r="V131" s="496"/>
      <c r="W131" s="381">
        <f t="shared" si="156"/>
        <v>0</v>
      </c>
      <c r="X131" s="370">
        <f t="shared" si="157"/>
        <v>27</v>
      </c>
      <c r="Y131" s="367">
        <f t="shared" si="158"/>
        <v>333876.02625</v>
      </c>
      <c r="Z131" s="367">
        <f t="shared" si="159"/>
        <v>33387.602625</v>
      </c>
      <c r="AA131" s="497">
        <v>12</v>
      </c>
      <c r="AB131" s="367">
        <f t="shared" si="160"/>
        <v>6636.375</v>
      </c>
      <c r="AC131" s="497">
        <v>15</v>
      </c>
      <c r="AD131" s="367">
        <f t="shared" si="161"/>
        <v>4147.734375</v>
      </c>
      <c r="AE131" s="497"/>
      <c r="AF131" s="497" t="s">
        <v>1235</v>
      </c>
      <c r="AG131" s="367">
        <f t="shared" ref="AG131:AG134" si="185">17697*20%</f>
        <v>3539.4</v>
      </c>
      <c r="AH131" s="497" t="s">
        <v>545</v>
      </c>
      <c r="AI131" s="479">
        <f t="shared" si="184"/>
        <v>35394</v>
      </c>
      <c r="AJ131" s="372"/>
      <c r="AK131" s="367"/>
      <c r="AL131" s="366">
        <f t="shared" si="162"/>
        <v>27</v>
      </c>
      <c r="AM131" s="367">
        <f t="shared" si="163"/>
        <v>100162.807875</v>
      </c>
      <c r="AN131" s="366" t="str">
        <f t="shared" si="164"/>
        <v>Педагог-зерттеуші</v>
      </c>
      <c r="AO131" s="367" t="str">
        <f t="shared" si="165"/>
        <v>0</v>
      </c>
      <c r="AP131" s="367">
        <f t="shared" si="166"/>
        <v>133550.4105</v>
      </c>
      <c r="AQ131" s="367" t="str">
        <f t="shared" si="167"/>
        <v>0</v>
      </c>
      <c r="AR131" s="367" t="str">
        <f t="shared" si="168"/>
        <v>0</v>
      </c>
      <c r="AS131" s="497"/>
      <c r="AT131" s="374"/>
      <c r="AU131" s="499"/>
      <c r="AV131" s="374"/>
      <c r="AW131" s="371"/>
      <c r="AX131" s="367"/>
      <c r="AY131" s="374"/>
      <c r="AZ131" s="367">
        <f t="shared" si="169"/>
        <v>316818.33037500002</v>
      </c>
      <c r="BA131" s="373">
        <f t="shared" si="170"/>
        <v>650694.35662500001</v>
      </c>
      <c r="BB131" s="374">
        <f t="shared" si="171"/>
        <v>65069.435662500007</v>
      </c>
      <c r="BC131" s="374">
        <f t="shared" si="172"/>
        <v>13013.8871325</v>
      </c>
      <c r="BD131" s="374">
        <f t="shared" si="173"/>
        <v>50888.303383000013</v>
      </c>
      <c r="BE131" s="374">
        <f t="shared" si="174"/>
        <v>521722.73044700007</v>
      </c>
      <c r="BF131" s="374">
        <f t="shared" si="175"/>
        <v>7808332.2795000002</v>
      </c>
      <c r="BG131" s="374">
        <f t="shared" si="176"/>
        <v>667752.05249999999</v>
      </c>
      <c r="BH131" s="374">
        <f t="shared" si="177"/>
        <v>8476084.3320000004</v>
      </c>
      <c r="BI131" s="374">
        <f t="shared" si="178"/>
        <v>381423.79494000005</v>
      </c>
      <c r="BJ131" s="374">
        <f t="shared" si="179"/>
        <v>234249.96838499999</v>
      </c>
      <c r="BK131" s="374">
        <f t="shared" si="180"/>
        <v>440530.22291310003</v>
      </c>
      <c r="BL131" s="374">
        <f t="shared" si="181"/>
        <v>423804.21660000004</v>
      </c>
      <c r="BM131" s="373">
        <f t="shared" ref="BM131:BM165" si="186">BH131+BI131+BJ131+BK131+BL131</f>
        <v>9956092.5348381009</v>
      </c>
      <c r="BN131" s="375"/>
      <c r="BO131" s="377"/>
      <c r="BP131" s="377"/>
      <c r="BQ131" s="377"/>
      <c r="BR131" s="377"/>
      <c r="BS131" s="377"/>
      <c r="BT131" s="377"/>
      <c r="BU131" s="377"/>
      <c r="BV131" s="377"/>
      <c r="BW131" s="377"/>
      <c r="BX131" s="377"/>
      <c r="BY131" s="377"/>
      <c r="BZ131" s="377"/>
      <c r="CA131" s="377"/>
      <c r="CB131" s="377"/>
      <c r="CC131" s="377"/>
      <c r="CD131" s="377"/>
      <c r="CE131" s="377"/>
      <c r="CF131" s="377"/>
      <c r="CG131" s="377"/>
      <c r="CH131" s="377"/>
      <c r="CI131" s="377"/>
    </row>
    <row r="132" spans="1:87" ht="45">
      <c r="A132" s="369">
        <f t="shared" si="182"/>
        <v>90</v>
      </c>
      <c r="B132" s="416">
        <f t="shared" si="182"/>
        <v>8</v>
      </c>
      <c r="C132" s="503" t="s">
        <v>904</v>
      </c>
      <c r="D132" s="502" t="s">
        <v>1236</v>
      </c>
      <c r="E132" s="366" t="s">
        <v>998</v>
      </c>
      <c r="F132" s="366" t="s">
        <v>254</v>
      </c>
      <c r="G132" s="366" t="s">
        <v>1237</v>
      </c>
      <c r="H132" s="504" t="s">
        <v>1439</v>
      </c>
      <c r="I132" s="366">
        <v>17697</v>
      </c>
      <c r="J132" s="367">
        <v>10</v>
      </c>
      <c r="K132" s="367">
        <f t="shared" si="154"/>
        <v>176970</v>
      </c>
      <c r="L132" s="496"/>
      <c r="M132" s="496">
        <v>12</v>
      </c>
      <c r="N132" s="496">
        <v>12</v>
      </c>
      <c r="O132" s="496"/>
      <c r="P132" s="496"/>
      <c r="Q132" s="368">
        <f t="shared" si="155"/>
        <v>24</v>
      </c>
      <c r="R132" s="496"/>
      <c r="S132" s="496"/>
      <c r="T132" s="496"/>
      <c r="U132" s="496"/>
      <c r="V132" s="496"/>
      <c r="W132" s="381">
        <f t="shared" si="156"/>
        <v>0</v>
      </c>
      <c r="X132" s="370">
        <f t="shared" si="157"/>
        <v>24</v>
      </c>
      <c r="Y132" s="367">
        <f t="shared" si="158"/>
        <v>265455</v>
      </c>
      <c r="Z132" s="367">
        <f t="shared" si="159"/>
        <v>26545.5</v>
      </c>
      <c r="AA132" s="497">
        <v>21</v>
      </c>
      <c r="AB132" s="367">
        <f t="shared" si="160"/>
        <v>11613.65625</v>
      </c>
      <c r="AC132" s="497">
        <v>3</v>
      </c>
      <c r="AD132" s="367">
        <f t="shared" si="161"/>
        <v>829.546875</v>
      </c>
      <c r="AE132" s="497"/>
      <c r="AF132" s="497"/>
      <c r="AG132" s="367"/>
      <c r="AH132" s="497" t="s">
        <v>115</v>
      </c>
      <c r="AI132" s="479">
        <f t="shared" si="184"/>
        <v>35394</v>
      </c>
      <c r="AJ132" s="372"/>
      <c r="AK132" s="367"/>
      <c r="AL132" s="366">
        <f t="shared" si="162"/>
        <v>24</v>
      </c>
      <c r="AM132" s="367">
        <f t="shared" si="163"/>
        <v>79636.5</v>
      </c>
      <c r="AN132" s="366" t="str">
        <f t="shared" si="164"/>
        <v>Педагог-модератор</v>
      </c>
      <c r="AO132" s="367" t="str">
        <f t="shared" si="165"/>
        <v>0</v>
      </c>
      <c r="AP132" s="367" t="str">
        <f t="shared" si="166"/>
        <v>0</v>
      </c>
      <c r="AQ132" s="367" t="str">
        <f t="shared" si="167"/>
        <v>0</v>
      </c>
      <c r="AR132" s="367">
        <f t="shared" si="168"/>
        <v>79636.5</v>
      </c>
      <c r="AS132" s="497"/>
      <c r="AT132" s="374"/>
      <c r="AU132" s="499"/>
      <c r="AV132" s="374"/>
      <c r="AW132" s="371" t="str">
        <f>G132</f>
        <v>Магистр каз.филологии</v>
      </c>
      <c r="AX132" s="372">
        <f>10*4552</f>
        <v>45520</v>
      </c>
      <c r="AY132" s="374"/>
      <c r="AZ132" s="367">
        <f t="shared" si="169"/>
        <v>279175.703125</v>
      </c>
      <c r="BA132" s="373">
        <f t="shared" si="170"/>
        <v>544630.703125</v>
      </c>
      <c r="BB132" s="374">
        <f t="shared" si="171"/>
        <v>54463.0703125</v>
      </c>
      <c r="BC132" s="374">
        <f t="shared" si="172"/>
        <v>10892.614062500001</v>
      </c>
      <c r="BD132" s="374">
        <f t="shared" si="173"/>
        <v>41554.701874999999</v>
      </c>
      <c r="BE132" s="374">
        <f t="shared" si="174"/>
        <v>437720.31687500002</v>
      </c>
      <c r="BF132" s="374">
        <f t="shared" si="175"/>
        <v>6535568.4375</v>
      </c>
      <c r="BG132" s="374">
        <f t="shared" si="176"/>
        <v>530910</v>
      </c>
      <c r="BH132" s="374">
        <f t="shared" si="177"/>
        <v>7066478.4375</v>
      </c>
      <c r="BI132" s="374">
        <f t="shared" si="178"/>
        <v>317991.52968750003</v>
      </c>
      <c r="BJ132" s="374">
        <f t="shared" si="179"/>
        <v>196067.05312500001</v>
      </c>
      <c r="BK132" s="374">
        <f t="shared" si="180"/>
        <v>367211.58506249991</v>
      </c>
      <c r="BL132" s="374">
        <f t="shared" si="181"/>
        <v>353323.921875</v>
      </c>
      <c r="BM132" s="373">
        <f t="shared" si="186"/>
        <v>8301072.5272499993</v>
      </c>
      <c r="BN132" s="375"/>
      <c r="BO132" s="377"/>
      <c r="BP132" s="377"/>
      <c r="BQ132" s="377"/>
      <c r="BR132" s="377"/>
      <c r="BS132" s="377"/>
      <c r="BT132" s="377"/>
      <c r="BU132" s="377"/>
      <c r="BV132" s="377"/>
      <c r="BW132" s="377"/>
      <c r="BX132" s="377"/>
      <c r="BY132" s="377"/>
      <c r="BZ132" s="377"/>
      <c r="CA132" s="377"/>
      <c r="CB132" s="377"/>
      <c r="CC132" s="377"/>
      <c r="CD132" s="377"/>
      <c r="CE132" s="377"/>
      <c r="CF132" s="377"/>
      <c r="CG132" s="377"/>
      <c r="CH132" s="377"/>
      <c r="CI132" s="377"/>
    </row>
    <row r="133" spans="1:87" ht="31.5">
      <c r="A133" s="369">
        <f t="shared" si="182"/>
        <v>91</v>
      </c>
      <c r="B133" s="416">
        <f t="shared" si="182"/>
        <v>9</v>
      </c>
      <c r="C133" s="409" t="s">
        <v>1238</v>
      </c>
      <c r="D133" s="475" t="s">
        <v>1239</v>
      </c>
      <c r="E133" s="366" t="s">
        <v>998</v>
      </c>
      <c r="F133" s="366"/>
      <c r="G133" s="366"/>
      <c r="H133" s="371" t="s">
        <v>1240</v>
      </c>
      <c r="I133" s="366">
        <v>17697</v>
      </c>
      <c r="J133" s="367">
        <v>11.4</v>
      </c>
      <c r="K133" s="367">
        <f t="shared" si="154"/>
        <v>201745.80000000002</v>
      </c>
      <c r="L133" s="496"/>
      <c r="M133" s="496">
        <v>16</v>
      </c>
      <c r="N133" s="496"/>
      <c r="O133" s="496"/>
      <c r="P133" s="496"/>
      <c r="Q133" s="368">
        <f t="shared" si="155"/>
        <v>16</v>
      </c>
      <c r="R133" s="496"/>
      <c r="S133" s="496"/>
      <c r="T133" s="496"/>
      <c r="U133" s="496"/>
      <c r="V133" s="496"/>
      <c r="W133" s="381">
        <f t="shared" si="156"/>
        <v>0</v>
      </c>
      <c r="X133" s="370">
        <f t="shared" si="157"/>
        <v>16</v>
      </c>
      <c r="Y133" s="367">
        <f t="shared" si="158"/>
        <v>201745.80000000002</v>
      </c>
      <c r="Z133" s="367">
        <f t="shared" si="159"/>
        <v>20174.580000000002</v>
      </c>
      <c r="AA133" s="497">
        <v>16</v>
      </c>
      <c r="AB133" s="367">
        <f t="shared" si="160"/>
        <v>8848.5</v>
      </c>
      <c r="AC133" s="497"/>
      <c r="AD133" s="367">
        <f t="shared" si="161"/>
        <v>0</v>
      </c>
      <c r="AE133" s="497"/>
      <c r="AF133" s="497" t="s">
        <v>1241</v>
      </c>
      <c r="AG133" s="367">
        <f t="shared" si="185"/>
        <v>3539.4</v>
      </c>
      <c r="AH133" s="497" t="s">
        <v>117</v>
      </c>
      <c r="AI133" s="479">
        <f t="shared" si="184"/>
        <v>35394</v>
      </c>
      <c r="AJ133" s="372"/>
      <c r="AK133" s="367"/>
      <c r="AL133" s="366">
        <f t="shared" si="162"/>
        <v>16</v>
      </c>
      <c r="AM133" s="367">
        <f t="shared" si="163"/>
        <v>60523.740000000005</v>
      </c>
      <c r="AN133" s="366">
        <f t="shared" si="164"/>
        <v>0</v>
      </c>
      <c r="AO133" s="367" t="str">
        <f t="shared" si="165"/>
        <v>0</v>
      </c>
      <c r="AP133" s="367" t="str">
        <f t="shared" si="166"/>
        <v>0</v>
      </c>
      <c r="AQ133" s="367" t="str">
        <f t="shared" si="167"/>
        <v>0</v>
      </c>
      <c r="AR133" s="367" t="str">
        <f t="shared" si="168"/>
        <v>0</v>
      </c>
      <c r="AS133" s="497"/>
      <c r="AT133" s="374"/>
      <c r="AU133" s="499"/>
      <c r="AV133" s="374"/>
      <c r="AW133" s="371"/>
      <c r="AX133" s="372"/>
      <c r="AY133" s="374"/>
      <c r="AZ133" s="367">
        <f t="shared" si="169"/>
        <v>128480.22000000002</v>
      </c>
      <c r="BA133" s="373">
        <f t="shared" si="170"/>
        <v>330226.02</v>
      </c>
      <c r="BB133" s="374">
        <f t="shared" si="171"/>
        <v>33022.602000000006</v>
      </c>
      <c r="BC133" s="374">
        <f t="shared" si="172"/>
        <v>6604.5204000000003</v>
      </c>
      <c r="BD133" s="374">
        <f t="shared" si="173"/>
        <v>22687.089760000003</v>
      </c>
      <c r="BE133" s="374">
        <f t="shared" si="174"/>
        <v>267911.80784000002</v>
      </c>
      <c r="BF133" s="374">
        <f t="shared" si="175"/>
        <v>3962712.24</v>
      </c>
      <c r="BG133" s="374">
        <f t="shared" si="176"/>
        <v>403491.60000000003</v>
      </c>
      <c r="BH133" s="374">
        <f t="shared" si="177"/>
        <v>4366203.84</v>
      </c>
      <c r="BI133" s="374">
        <f t="shared" si="178"/>
        <v>196479.1728</v>
      </c>
      <c r="BJ133" s="374">
        <f t="shared" si="179"/>
        <v>118881.36720000001</v>
      </c>
      <c r="BK133" s="374">
        <f t="shared" si="180"/>
        <v>227057.04043199995</v>
      </c>
      <c r="BL133" s="374">
        <f t="shared" si="181"/>
        <v>218310.19200000001</v>
      </c>
      <c r="BM133" s="373">
        <f t="shared" si="186"/>
        <v>5126931.6124319993</v>
      </c>
      <c r="BN133" s="375"/>
      <c r="BO133" s="377"/>
      <c r="BP133" s="377"/>
      <c r="BQ133" s="377"/>
      <c r="BR133" s="377"/>
      <c r="BS133" s="377"/>
      <c r="BT133" s="377"/>
      <c r="BU133" s="377"/>
      <c r="BV133" s="377"/>
      <c r="BW133" s="377"/>
      <c r="BX133" s="377"/>
      <c r="BY133" s="377"/>
      <c r="BZ133" s="377"/>
      <c r="CA133" s="377"/>
      <c r="CB133" s="377"/>
      <c r="CC133" s="377"/>
      <c r="CD133" s="377"/>
      <c r="CE133" s="377"/>
      <c r="CF133" s="377"/>
      <c r="CG133" s="377"/>
      <c r="CH133" s="377"/>
      <c r="CI133" s="377"/>
    </row>
    <row r="134" spans="1:87" ht="63">
      <c r="A134" s="369">
        <f t="shared" si="182"/>
        <v>92</v>
      </c>
      <c r="B134" s="416">
        <f t="shared" si="182"/>
        <v>10</v>
      </c>
      <c r="C134" s="409" t="s">
        <v>1242</v>
      </c>
      <c r="D134" s="475" t="s">
        <v>1243</v>
      </c>
      <c r="E134" s="366" t="s">
        <v>998</v>
      </c>
      <c r="F134" s="366"/>
      <c r="G134" s="366" t="s">
        <v>1244</v>
      </c>
      <c r="H134" s="371" t="s">
        <v>1440</v>
      </c>
      <c r="I134" s="366">
        <v>17697</v>
      </c>
      <c r="J134" s="367">
        <v>11.18</v>
      </c>
      <c r="K134" s="367">
        <f t="shared" si="154"/>
        <v>197852.46</v>
      </c>
      <c r="L134" s="496"/>
      <c r="M134" s="496"/>
      <c r="N134" s="496">
        <v>12</v>
      </c>
      <c r="O134" s="496"/>
      <c r="P134" s="496">
        <v>15</v>
      </c>
      <c r="Q134" s="368">
        <f t="shared" si="155"/>
        <v>27</v>
      </c>
      <c r="R134" s="496"/>
      <c r="S134" s="496"/>
      <c r="T134" s="496"/>
      <c r="U134" s="496"/>
      <c r="V134" s="496">
        <v>6</v>
      </c>
      <c r="W134" s="381">
        <f t="shared" si="156"/>
        <v>6</v>
      </c>
      <c r="X134" s="370">
        <f t="shared" si="157"/>
        <v>33</v>
      </c>
      <c r="Y134" s="367">
        <f t="shared" si="158"/>
        <v>408070.69874999998</v>
      </c>
      <c r="Z134" s="367">
        <f t="shared" si="159"/>
        <v>40807.069875000001</v>
      </c>
      <c r="AA134" s="497">
        <v>27</v>
      </c>
      <c r="AB134" s="367">
        <f t="shared" si="160"/>
        <v>14931.84375</v>
      </c>
      <c r="AC134" s="497"/>
      <c r="AD134" s="367">
        <f t="shared" si="161"/>
        <v>0</v>
      </c>
      <c r="AE134" s="497"/>
      <c r="AF134" s="497" t="s">
        <v>1245</v>
      </c>
      <c r="AG134" s="367">
        <f t="shared" si="185"/>
        <v>3539.4</v>
      </c>
      <c r="AH134" s="501" t="s">
        <v>1246</v>
      </c>
      <c r="AI134" s="479">
        <f t="shared" si="184"/>
        <v>35394</v>
      </c>
      <c r="AJ134" s="372"/>
      <c r="AK134" s="367"/>
      <c r="AL134" s="366">
        <f t="shared" si="162"/>
        <v>33</v>
      </c>
      <c r="AM134" s="367">
        <f t="shared" si="163"/>
        <v>122421.20962499999</v>
      </c>
      <c r="AN134" s="366">
        <f t="shared" si="164"/>
        <v>0</v>
      </c>
      <c r="AO134" s="367" t="str">
        <f t="shared" si="165"/>
        <v>0</v>
      </c>
      <c r="AP134" s="367" t="str">
        <f t="shared" si="166"/>
        <v>0</v>
      </c>
      <c r="AQ134" s="367" t="str">
        <f t="shared" si="167"/>
        <v>0</v>
      </c>
      <c r="AR134" s="367" t="str">
        <f t="shared" si="168"/>
        <v>0</v>
      </c>
      <c r="AS134" s="497"/>
      <c r="AT134" s="374"/>
      <c r="AU134" s="499"/>
      <c r="AV134" s="374"/>
      <c r="AW134" s="371" t="str">
        <f>G134</f>
        <v>Магистр-филология</v>
      </c>
      <c r="AX134" s="372">
        <f>10*4552</f>
        <v>45520</v>
      </c>
      <c r="AY134" s="374"/>
      <c r="AZ134" s="367">
        <f t="shared" si="169"/>
        <v>262613.52324999997</v>
      </c>
      <c r="BA134" s="373">
        <f t="shared" si="170"/>
        <v>670684.22199999995</v>
      </c>
      <c r="BB134" s="374">
        <f t="shared" si="171"/>
        <v>67068.422200000001</v>
      </c>
      <c r="BC134" s="374">
        <f t="shared" si="172"/>
        <v>13413.684439999999</v>
      </c>
      <c r="BD134" s="374">
        <f t="shared" si="173"/>
        <v>52647.411536</v>
      </c>
      <c r="BE134" s="374">
        <f t="shared" si="174"/>
        <v>537554.70382399997</v>
      </c>
      <c r="BF134" s="374">
        <f t="shared" si="175"/>
        <v>8048210.6639999989</v>
      </c>
      <c r="BG134" s="374">
        <f t="shared" si="176"/>
        <v>816141.39749999996</v>
      </c>
      <c r="BH134" s="374">
        <f t="shared" si="177"/>
        <v>8864352.061499998</v>
      </c>
      <c r="BI134" s="374">
        <f t="shared" si="178"/>
        <v>398895.84276749991</v>
      </c>
      <c r="BJ134" s="374">
        <f t="shared" si="179"/>
        <v>241446.31991999995</v>
      </c>
      <c r="BK134" s="374">
        <f t="shared" si="180"/>
        <v>460968.9478601999</v>
      </c>
      <c r="BL134" s="374">
        <f t="shared" si="181"/>
        <v>443217.60307499993</v>
      </c>
      <c r="BM134" s="373">
        <f t="shared" si="186"/>
        <v>10408880.775122697</v>
      </c>
      <c r="BN134" s="375"/>
      <c r="BO134" s="377"/>
      <c r="BP134" s="377"/>
      <c r="BQ134" s="377"/>
      <c r="BR134" s="377"/>
      <c r="BS134" s="377"/>
      <c r="BT134" s="377"/>
      <c r="BU134" s="377"/>
      <c r="BV134" s="377"/>
      <c r="BW134" s="377"/>
      <c r="BX134" s="377"/>
      <c r="BY134" s="377"/>
      <c r="BZ134" s="377"/>
      <c r="CA134" s="377"/>
      <c r="CB134" s="377"/>
      <c r="CC134" s="377"/>
      <c r="CD134" s="377"/>
      <c r="CE134" s="377"/>
      <c r="CF134" s="377"/>
      <c r="CG134" s="377"/>
      <c r="CH134" s="377"/>
      <c r="CI134" s="377"/>
    </row>
    <row r="135" spans="1:87" ht="15">
      <c r="A135" s="1515"/>
      <c r="B135" s="1508"/>
      <c r="C135" s="490" t="s">
        <v>1162</v>
      </c>
      <c r="D135" s="490"/>
      <c r="E135" s="490"/>
      <c r="F135" s="490"/>
      <c r="G135" s="490"/>
      <c r="H135" s="491"/>
      <c r="I135" s="490"/>
      <c r="J135" s="490"/>
      <c r="K135" s="407">
        <f t="shared" ref="K135:AE135" si="187">SUM(K125:K134)</f>
        <v>1950209.4</v>
      </c>
      <c r="L135" s="407">
        <f t="shared" si="187"/>
        <v>50</v>
      </c>
      <c r="M135" s="407">
        <f t="shared" si="187"/>
        <v>50</v>
      </c>
      <c r="N135" s="407">
        <f t="shared" si="187"/>
        <v>39</v>
      </c>
      <c r="O135" s="407">
        <f t="shared" si="187"/>
        <v>39</v>
      </c>
      <c r="P135" s="407">
        <f t="shared" si="187"/>
        <v>39</v>
      </c>
      <c r="Q135" s="407">
        <f t="shared" si="187"/>
        <v>217</v>
      </c>
      <c r="R135" s="407">
        <f t="shared" si="187"/>
        <v>0</v>
      </c>
      <c r="S135" s="407">
        <f t="shared" si="187"/>
        <v>1</v>
      </c>
      <c r="T135" s="407">
        <f t="shared" si="187"/>
        <v>0</v>
      </c>
      <c r="U135" s="407">
        <f t="shared" si="187"/>
        <v>0</v>
      </c>
      <c r="V135" s="407">
        <f t="shared" si="187"/>
        <v>17</v>
      </c>
      <c r="W135" s="407">
        <f t="shared" si="187"/>
        <v>18</v>
      </c>
      <c r="X135" s="505">
        <f t="shared" si="187"/>
        <v>235</v>
      </c>
      <c r="Y135" s="422">
        <f t="shared" si="187"/>
        <v>2879124.93</v>
      </c>
      <c r="Z135" s="422">
        <f t="shared" si="187"/>
        <v>280493.02575000003</v>
      </c>
      <c r="AA135" s="422">
        <f t="shared" si="187"/>
        <v>172</v>
      </c>
      <c r="AB135" s="422">
        <f t="shared" si="187"/>
        <v>95121.375</v>
      </c>
      <c r="AC135" s="422">
        <f t="shared" si="187"/>
        <v>45</v>
      </c>
      <c r="AD135" s="422">
        <f t="shared" si="187"/>
        <v>12443.203125</v>
      </c>
      <c r="AE135" s="422">
        <f t="shared" si="187"/>
        <v>196600</v>
      </c>
      <c r="AF135" s="505">
        <v>4</v>
      </c>
      <c r="AG135" s="422">
        <f>SUM(AG125:AG134)</f>
        <v>14157.6</v>
      </c>
      <c r="AH135" s="505">
        <v>6</v>
      </c>
      <c r="AI135" s="422">
        <f>SUM(AI125:AI134)</f>
        <v>212364</v>
      </c>
      <c r="AJ135" s="422">
        <f>SUM(AJ125:AJ134)</f>
        <v>0</v>
      </c>
      <c r="AK135" s="422">
        <f>SUM(AK125:AK134)</f>
        <v>0</v>
      </c>
      <c r="AL135" s="505">
        <f>SUM(AL125:AL134)</f>
        <v>235</v>
      </c>
      <c r="AM135" s="422">
        <f>SUM(AM125:AM134)</f>
        <v>863737.47900000017</v>
      </c>
      <c r="AN135" s="422"/>
      <c r="AO135" s="422">
        <f t="shared" ref="AO135:AV135" si="188">SUM(AO125:AO134)</f>
        <v>220659.46875000003</v>
      </c>
      <c r="AP135" s="422">
        <f t="shared" si="188"/>
        <v>465846.97950000007</v>
      </c>
      <c r="AQ135" s="422">
        <f t="shared" si="188"/>
        <v>0</v>
      </c>
      <c r="AR135" s="422">
        <f t="shared" si="188"/>
        <v>79636.5</v>
      </c>
      <c r="AS135" s="422">
        <f t="shared" si="188"/>
        <v>0</v>
      </c>
      <c r="AT135" s="422">
        <f t="shared" si="188"/>
        <v>0</v>
      </c>
      <c r="AU135" s="422">
        <f t="shared" si="188"/>
        <v>0</v>
      </c>
      <c r="AV135" s="422">
        <f t="shared" si="188"/>
        <v>0</v>
      </c>
      <c r="AW135" s="506"/>
      <c r="AX135" s="422">
        <f t="shared" ref="AX135:BN135" si="189">SUM(AX125:AX134)</f>
        <v>136560</v>
      </c>
      <c r="AY135" s="422">
        <f t="shared" si="189"/>
        <v>0</v>
      </c>
      <c r="AZ135" s="422">
        <f t="shared" si="189"/>
        <v>2577619.6311250008</v>
      </c>
      <c r="BA135" s="422">
        <f t="shared" si="189"/>
        <v>5456744.561125</v>
      </c>
      <c r="BB135" s="422">
        <f t="shared" si="189"/>
        <v>545674.45611250005</v>
      </c>
      <c r="BC135" s="422">
        <f t="shared" si="189"/>
        <v>109134.89122249999</v>
      </c>
      <c r="BD135" s="422">
        <f t="shared" si="189"/>
        <v>416465.52137900004</v>
      </c>
      <c r="BE135" s="422">
        <f t="shared" si="189"/>
        <v>4385469.6924109999</v>
      </c>
      <c r="BF135" s="422">
        <f t="shared" si="189"/>
        <v>65480934.733500004</v>
      </c>
      <c r="BG135" s="422">
        <f t="shared" si="189"/>
        <v>5758249.8600000003</v>
      </c>
      <c r="BH135" s="422">
        <f t="shared" si="189"/>
        <v>71239184.593500003</v>
      </c>
      <c r="BI135" s="422">
        <f t="shared" si="189"/>
        <v>3205763.3067075005</v>
      </c>
      <c r="BJ135" s="422">
        <f t="shared" si="189"/>
        <v>1964428.0420050002</v>
      </c>
      <c r="BK135" s="422">
        <f t="shared" si="189"/>
        <v>3702857.9116353001</v>
      </c>
      <c r="BL135" s="422">
        <f t="shared" si="189"/>
        <v>3561959.2296750001</v>
      </c>
      <c r="BM135" s="422">
        <f t="shared" si="189"/>
        <v>83674193.083522826</v>
      </c>
      <c r="BN135" s="422">
        <f t="shared" si="189"/>
        <v>1</v>
      </c>
      <c r="BO135" s="355"/>
      <c r="BP135" s="355"/>
      <c r="BQ135" s="355"/>
      <c r="BR135" s="355"/>
      <c r="BS135" s="355"/>
      <c r="BT135" s="355"/>
      <c r="BU135" s="355"/>
      <c r="BV135" s="355"/>
      <c r="BW135" s="355"/>
      <c r="BX135" s="355"/>
      <c r="BY135" s="355"/>
      <c r="BZ135" s="355"/>
      <c r="CA135" s="355"/>
      <c r="CB135" s="355"/>
      <c r="CC135" s="355"/>
      <c r="CD135" s="355"/>
      <c r="CE135" s="355"/>
      <c r="CF135" s="355"/>
      <c r="CG135" s="355"/>
      <c r="CH135" s="355"/>
      <c r="CI135" s="356"/>
    </row>
    <row r="136" spans="1:87" ht="31.5">
      <c r="A136" s="369">
        <f>A134+1</f>
        <v>93</v>
      </c>
      <c r="B136" s="416">
        <f>1</f>
        <v>1</v>
      </c>
      <c r="C136" s="409" t="s">
        <v>1247</v>
      </c>
      <c r="D136" s="412" t="s">
        <v>1248</v>
      </c>
      <c r="E136" s="366" t="s">
        <v>998</v>
      </c>
      <c r="F136" s="366"/>
      <c r="G136" s="366"/>
      <c r="H136" s="371" t="s">
        <v>1249</v>
      </c>
      <c r="I136" s="366">
        <v>17697</v>
      </c>
      <c r="J136" s="367">
        <v>11.4</v>
      </c>
      <c r="K136" s="367">
        <f t="shared" ref="K136:K142" si="190">I136*J136</f>
        <v>201745.80000000002</v>
      </c>
      <c r="L136" s="496">
        <v>15</v>
      </c>
      <c r="M136" s="496">
        <v>15</v>
      </c>
      <c r="N136" s="496"/>
      <c r="O136" s="496"/>
      <c r="P136" s="496"/>
      <c r="Q136" s="368">
        <f t="shared" ref="Q136:Q141" si="191">SUM(L136:P136)</f>
        <v>30</v>
      </c>
      <c r="R136" s="496"/>
      <c r="S136" s="496"/>
      <c r="T136" s="496"/>
      <c r="U136" s="496"/>
      <c r="V136" s="496"/>
      <c r="W136" s="381">
        <f t="shared" ref="W136:W142" si="192">SUM(R136:V136)</f>
        <v>0</v>
      </c>
      <c r="X136" s="370">
        <f t="shared" ref="X136:X142" si="193">Q136+W136</f>
        <v>30</v>
      </c>
      <c r="Y136" s="367">
        <f t="shared" ref="Y136:Y142" si="194">K136/16*X136</f>
        <v>378273.37500000006</v>
      </c>
      <c r="Z136" s="367">
        <f t="shared" ref="Z136:Z142" si="195">Y136*10%</f>
        <v>37827.337500000009</v>
      </c>
      <c r="AA136" s="497">
        <v>30</v>
      </c>
      <c r="AB136" s="367">
        <f t="shared" ref="AB136:AB142" si="196">I136/16*AA136*50%</f>
        <v>16590.9375</v>
      </c>
      <c r="AC136" s="497"/>
      <c r="AD136" s="367">
        <f t="shared" ref="AD136:AD142" si="197">I136/16*AC136*50%*50%</f>
        <v>0</v>
      </c>
      <c r="AE136" s="374"/>
      <c r="AF136" s="497" t="s">
        <v>1250</v>
      </c>
      <c r="AG136" s="367">
        <f t="shared" ref="AG136:AG137" si="198">17697*20%</f>
        <v>3539.4</v>
      </c>
      <c r="AH136" s="497" t="s">
        <v>119</v>
      </c>
      <c r="AI136" s="367">
        <f>I136*200%</f>
        <v>35394</v>
      </c>
      <c r="AJ136" s="372"/>
      <c r="AK136" s="367"/>
      <c r="AL136" s="366">
        <f t="shared" ref="AL136:AL142" si="199">X136</f>
        <v>30</v>
      </c>
      <c r="AM136" s="367">
        <f t="shared" ref="AM136:AM142" si="200">K136/16*AL136*30%</f>
        <v>113482.01250000001</v>
      </c>
      <c r="AN136" s="366">
        <f t="shared" ref="AN136:AN142" si="201">F136</f>
        <v>0</v>
      </c>
      <c r="AO136" s="367" t="str">
        <f t="shared" ref="AO136:AO142" si="202">IF(AN136="Педагог-зерттеуші", "0", IF(AN136="Педагог-шебер",K136/16*X136*50%, IF(AN136="Педагог-сарапшы", "0", IF(AN136="Педагог-модератор", "0", "0"))))</f>
        <v>0</v>
      </c>
      <c r="AP136" s="367" t="str">
        <f t="shared" ref="AP136:AP142" si="203">IF(AN136="Педагог-шебер", "0", IF(AN136="Педагог-зерттеуші",K136/16*X136*40%, IF(AN136="Педагог-сарапшы", "0", IF(AN136="Педагог-модератор", "0", "0"))))</f>
        <v>0</v>
      </c>
      <c r="AQ136" s="367" t="str">
        <f t="shared" ref="AQ136:AQ142" si="204">IF(AN136="Педагог-шебер", "0", IF(AN136="Педагог-сарапшы",K136/16*X136*35%, IF(AN136="Педагог-зерттеуші", "0", IF(AN136="Педагог-модератор", "0", "0"))))</f>
        <v>0</v>
      </c>
      <c r="AR136" s="367" t="str">
        <f t="shared" ref="AR136:AR142" si="205">IF(AN136="Педагог-шебер", "0", IF(AN136="Педагог-модератор",K136/16*X136*30%, IF(AN136="Педагог-зерттеуші", "0", IF(AN136="Педагог-сарапшы", "0", "0"))))</f>
        <v>0</v>
      </c>
      <c r="AS136" s="497"/>
      <c r="AT136" s="374"/>
      <c r="AU136" s="499"/>
      <c r="AV136" s="374"/>
      <c r="AW136" s="371"/>
      <c r="AX136" s="367"/>
      <c r="AY136" s="374"/>
      <c r="AZ136" s="367">
        <f t="shared" ref="AZ136:AZ142" si="206">Z136+AB136+AD136+AE136+AG136+AI136+AK136+AM136+AO136+AP136+AQ136++AR136+AT136+AV136+AX136+AY136</f>
        <v>206833.68750000003</v>
      </c>
      <c r="BA136" s="373">
        <f t="shared" ref="BA136:BA142" si="207">Y136+AZ136</f>
        <v>585107.06250000012</v>
      </c>
      <c r="BB136" s="374">
        <f t="shared" si="171"/>
        <v>58510.706250000017</v>
      </c>
      <c r="BC136" s="374">
        <f t="shared" si="172"/>
        <v>11702.141250000002</v>
      </c>
      <c r="BD136" s="374">
        <f t="shared" ref="BD136:BD142" si="208">(BA136-BB136-BC136-(14*4552))*10%</f>
        <v>45116.621500000008</v>
      </c>
      <c r="BE136" s="374">
        <f t="shared" si="174"/>
        <v>469777.59350000008</v>
      </c>
      <c r="BF136" s="374">
        <f t="shared" si="175"/>
        <v>7021284.7500000019</v>
      </c>
      <c r="BG136" s="374">
        <f t="shared" ref="BG136:BG142" si="209">Y136*2</f>
        <v>756546.75000000012</v>
      </c>
      <c r="BH136" s="374">
        <f t="shared" si="177"/>
        <v>7777831.5000000019</v>
      </c>
      <c r="BI136" s="374">
        <f t="shared" si="178"/>
        <v>350002.4175000001</v>
      </c>
      <c r="BJ136" s="374">
        <f t="shared" si="179"/>
        <v>210638.54250000004</v>
      </c>
      <c r="BK136" s="374">
        <f t="shared" si="180"/>
        <v>404556.07455000002</v>
      </c>
      <c r="BL136" s="374">
        <f t="shared" ref="BL136:BL142" si="210">BH136*5%</f>
        <v>388891.57500000013</v>
      </c>
      <c r="BM136" s="373">
        <f t="shared" si="186"/>
        <v>9131920.109550003</v>
      </c>
      <c r="BN136" s="375"/>
      <c r="BO136" s="376"/>
      <c r="BP136" s="377"/>
      <c r="BQ136" s="377"/>
      <c r="BR136" s="377"/>
      <c r="BS136" s="377"/>
      <c r="BT136" s="377"/>
      <c r="BU136" s="377"/>
      <c r="BV136" s="377"/>
      <c r="BW136" s="377"/>
      <c r="BX136" s="377"/>
      <c r="BY136" s="377"/>
      <c r="BZ136" s="377"/>
      <c r="CA136" s="377"/>
      <c r="CB136" s="377"/>
      <c r="CC136" s="377"/>
      <c r="CD136" s="377"/>
      <c r="CE136" s="377"/>
      <c r="CF136" s="377"/>
      <c r="CG136" s="377"/>
      <c r="CH136" s="377"/>
      <c r="CI136" s="377"/>
    </row>
    <row r="137" spans="1:87" ht="47.25">
      <c r="A137" s="369">
        <f>A136+1</f>
        <v>94</v>
      </c>
      <c r="B137" s="416">
        <f>B136+1</f>
        <v>2</v>
      </c>
      <c r="C137" s="409" t="s">
        <v>1251</v>
      </c>
      <c r="D137" s="412" t="s">
        <v>1252</v>
      </c>
      <c r="E137" s="366" t="s">
        <v>998</v>
      </c>
      <c r="F137" s="366" t="s">
        <v>1005</v>
      </c>
      <c r="G137" s="366"/>
      <c r="H137" s="371" t="s">
        <v>1253</v>
      </c>
      <c r="I137" s="366">
        <v>17697</v>
      </c>
      <c r="J137" s="367">
        <v>11.4</v>
      </c>
      <c r="K137" s="367">
        <f t="shared" si="190"/>
        <v>201745.80000000002</v>
      </c>
      <c r="L137" s="496"/>
      <c r="M137" s="496"/>
      <c r="N137" s="496"/>
      <c r="O137" s="496">
        <v>15</v>
      </c>
      <c r="P137" s="496">
        <v>15</v>
      </c>
      <c r="Q137" s="368">
        <f t="shared" si="191"/>
        <v>30</v>
      </c>
      <c r="R137" s="496"/>
      <c r="S137" s="496"/>
      <c r="T137" s="496"/>
      <c r="U137" s="496"/>
      <c r="V137" s="496">
        <v>4</v>
      </c>
      <c r="W137" s="381">
        <f>SUM(R137:V137)</f>
        <v>4</v>
      </c>
      <c r="X137" s="370">
        <f t="shared" si="193"/>
        <v>34</v>
      </c>
      <c r="Y137" s="367">
        <f t="shared" si="194"/>
        <v>428709.82500000001</v>
      </c>
      <c r="Z137" s="367">
        <f t="shared" si="195"/>
        <v>42870.982500000006</v>
      </c>
      <c r="AA137" s="501">
        <v>30</v>
      </c>
      <c r="AB137" s="367">
        <f t="shared" si="196"/>
        <v>16590.9375</v>
      </c>
      <c r="AC137" s="497"/>
      <c r="AD137" s="367">
        <f t="shared" si="197"/>
        <v>0</v>
      </c>
      <c r="AE137" s="497"/>
      <c r="AF137" s="497" t="s">
        <v>1254</v>
      </c>
      <c r="AG137" s="367">
        <f t="shared" si="198"/>
        <v>3539.4</v>
      </c>
      <c r="AH137" s="497" t="s">
        <v>1255</v>
      </c>
      <c r="AI137" s="367">
        <f t="shared" ref="AI137" si="211">I137*200%</f>
        <v>35394</v>
      </c>
      <c r="AJ137" s="372"/>
      <c r="AK137" s="367"/>
      <c r="AL137" s="366">
        <f t="shared" si="199"/>
        <v>34</v>
      </c>
      <c r="AM137" s="367">
        <f t="shared" si="200"/>
        <v>128612.94749999999</v>
      </c>
      <c r="AN137" s="366" t="str">
        <f t="shared" si="201"/>
        <v>Педагог-зерттеуші</v>
      </c>
      <c r="AO137" s="367" t="str">
        <f t="shared" si="202"/>
        <v>0</v>
      </c>
      <c r="AP137" s="367">
        <f t="shared" si="203"/>
        <v>171483.93000000002</v>
      </c>
      <c r="AQ137" s="367" t="str">
        <f t="shared" si="204"/>
        <v>0</v>
      </c>
      <c r="AR137" s="367" t="str">
        <f t="shared" si="205"/>
        <v>0</v>
      </c>
      <c r="AS137" s="497"/>
      <c r="AT137" s="374"/>
      <c r="AU137" s="499"/>
      <c r="AV137" s="374"/>
      <c r="AW137" s="371"/>
      <c r="AX137" s="367"/>
      <c r="AY137" s="374"/>
      <c r="AZ137" s="367">
        <f t="shared" si="206"/>
        <v>398492.19750000001</v>
      </c>
      <c r="BA137" s="373">
        <f t="shared" si="207"/>
        <v>827202.02249999996</v>
      </c>
      <c r="BB137" s="374">
        <f t="shared" si="171"/>
        <v>82720.202250000002</v>
      </c>
      <c r="BC137" s="374">
        <f t="shared" si="172"/>
        <v>16544.04045</v>
      </c>
      <c r="BD137" s="374">
        <f t="shared" si="208"/>
        <v>66420.977980000011</v>
      </c>
      <c r="BE137" s="374">
        <f t="shared" si="174"/>
        <v>661516.80182000005</v>
      </c>
      <c r="BF137" s="374">
        <f t="shared" si="175"/>
        <v>9926424.2699999996</v>
      </c>
      <c r="BG137" s="374">
        <f t="shared" si="209"/>
        <v>857419.65</v>
      </c>
      <c r="BH137" s="374">
        <f t="shared" si="177"/>
        <v>10783843.92</v>
      </c>
      <c r="BI137" s="374">
        <f t="shared" si="178"/>
        <v>485272.97640000004</v>
      </c>
      <c r="BJ137" s="374">
        <f t="shared" si="179"/>
        <v>297792.72809999995</v>
      </c>
      <c r="BK137" s="374">
        <f t="shared" si="180"/>
        <v>560489.43828600005</v>
      </c>
      <c r="BL137" s="374">
        <f t="shared" si="210"/>
        <v>539192.196</v>
      </c>
      <c r="BM137" s="373">
        <f t="shared" si="186"/>
        <v>12666591.258786002</v>
      </c>
      <c r="BN137" s="375"/>
      <c r="BO137" s="377"/>
      <c r="BP137" s="377"/>
      <c r="BQ137" s="377"/>
      <c r="BR137" s="377"/>
      <c r="BS137" s="377"/>
      <c r="BT137" s="377"/>
      <c r="BU137" s="377"/>
      <c r="BV137" s="377"/>
      <c r="BW137" s="377"/>
      <c r="BX137" s="377"/>
      <c r="BY137" s="377"/>
      <c r="BZ137" s="377"/>
      <c r="CA137" s="377"/>
      <c r="CB137" s="377"/>
      <c r="CC137" s="377"/>
      <c r="CD137" s="377"/>
      <c r="CE137" s="377"/>
      <c r="CF137" s="377"/>
      <c r="CG137" s="377"/>
      <c r="CH137" s="377"/>
      <c r="CI137" s="377"/>
    </row>
    <row r="138" spans="1:87" ht="31.5">
      <c r="A138" s="369">
        <f>A137+1</f>
        <v>95</v>
      </c>
      <c r="B138" s="416">
        <f>B137+1</f>
        <v>3</v>
      </c>
      <c r="C138" s="409" t="s">
        <v>1256</v>
      </c>
      <c r="D138" s="410" t="s">
        <v>1257</v>
      </c>
      <c r="E138" s="366" t="s">
        <v>998</v>
      </c>
      <c r="F138" s="366"/>
      <c r="G138" s="366"/>
      <c r="H138" s="371" t="s">
        <v>1258</v>
      </c>
      <c r="I138" s="366">
        <v>17697</v>
      </c>
      <c r="J138" s="367">
        <v>11.4</v>
      </c>
      <c r="K138" s="367">
        <f t="shared" si="190"/>
        <v>201745.80000000002</v>
      </c>
      <c r="L138" s="496"/>
      <c r="M138" s="496"/>
      <c r="N138" s="496">
        <v>12</v>
      </c>
      <c r="O138" s="496"/>
      <c r="P138" s="496"/>
      <c r="Q138" s="368">
        <f t="shared" si="191"/>
        <v>12</v>
      </c>
      <c r="R138" s="496"/>
      <c r="S138" s="496"/>
      <c r="T138" s="496"/>
      <c r="U138" s="496"/>
      <c r="V138" s="496"/>
      <c r="W138" s="381">
        <f t="shared" si="192"/>
        <v>0</v>
      </c>
      <c r="X138" s="370">
        <f t="shared" si="193"/>
        <v>12</v>
      </c>
      <c r="Y138" s="367">
        <f t="shared" si="194"/>
        <v>151309.35</v>
      </c>
      <c r="Z138" s="367">
        <f t="shared" si="195"/>
        <v>15130.935000000001</v>
      </c>
      <c r="AA138" s="497">
        <v>12</v>
      </c>
      <c r="AB138" s="367">
        <f t="shared" si="196"/>
        <v>6636.375</v>
      </c>
      <c r="AC138" s="497"/>
      <c r="AD138" s="367">
        <f t="shared" si="197"/>
        <v>0</v>
      </c>
      <c r="AE138" s="497"/>
      <c r="AF138" s="497"/>
      <c r="AG138" s="367"/>
      <c r="AH138" s="497"/>
      <c r="AI138" s="367"/>
      <c r="AJ138" s="372"/>
      <c r="AK138" s="367"/>
      <c r="AL138" s="366">
        <f t="shared" si="199"/>
        <v>12</v>
      </c>
      <c r="AM138" s="367">
        <f t="shared" si="200"/>
        <v>45392.805</v>
      </c>
      <c r="AN138" s="366">
        <f t="shared" si="201"/>
        <v>0</v>
      </c>
      <c r="AO138" s="367" t="str">
        <f t="shared" si="202"/>
        <v>0</v>
      </c>
      <c r="AP138" s="367" t="str">
        <f t="shared" si="203"/>
        <v>0</v>
      </c>
      <c r="AQ138" s="367" t="str">
        <f t="shared" si="204"/>
        <v>0</v>
      </c>
      <c r="AR138" s="367" t="str">
        <f t="shared" si="205"/>
        <v>0</v>
      </c>
      <c r="AS138" s="497"/>
      <c r="AT138" s="374"/>
      <c r="AU138" s="499"/>
      <c r="AV138" s="374"/>
      <c r="AW138" s="371"/>
      <c r="AX138" s="367"/>
      <c r="AY138" s="374"/>
      <c r="AZ138" s="367">
        <f t="shared" si="206"/>
        <v>67160.115000000005</v>
      </c>
      <c r="BA138" s="373">
        <f t="shared" si="207"/>
        <v>218469.46500000003</v>
      </c>
      <c r="BB138" s="374">
        <f t="shared" si="171"/>
        <v>21846.946500000005</v>
      </c>
      <c r="BC138" s="374">
        <f t="shared" si="172"/>
        <v>4369.3893000000007</v>
      </c>
      <c r="BD138" s="374">
        <f t="shared" si="208"/>
        <v>12852.512920000001</v>
      </c>
      <c r="BE138" s="374">
        <f t="shared" si="174"/>
        <v>179400.61627999999</v>
      </c>
      <c r="BF138" s="374">
        <f t="shared" si="175"/>
        <v>2621633.58</v>
      </c>
      <c r="BG138" s="374">
        <f t="shared" si="209"/>
        <v>302618.7</v>
      </c>
      <c r="BH138" s="374">
        <f t="shared" si="177"/>
        <v>2924252.2800000003</v>
      </c>
      <c r="BI138" s="374">
        <f t="shared" si="178"/>
        <v>131591.35260000001</v>
      </c>
      <c r="BJ138" s="374">
        <f t="shared" si="179"/>
        <v>78649.007400000002</v>
      </c>
      <c r="BK138" s="374">
        <f t="shared" si="180"/>
        <v>152142.029244</v>
      </c>
      <c r="BL138" s="374">
        <f t="shared" si="210"/>
        <v>146212.61400000003</v>
      </c>
      <c r="BM138" s="373">
        <f t="shared" si="186"/>
        <v>3432847.2832440003</v>
      </c>
      <c r="BN138" s="375"/>
      <c r="BO138" s="377"/>
      <c r="BP138" s="377"/>
      <c r="BQ138" s="377"/>
      <c r="BR138" s="377"/>
      <c r="BS138" s="377"/>
      <c r="BT138" s="377"/>
      <c r="BU138" s="377"/>
      <c r="BV138" s="377"/>
      <c r="BW138" s="377"/>
      <c r="BX138" s="377"/>
      <c r="BY138" s="377"/>
      <c r="BZ138" s="377"/>
      <c r="CA138" s="377"/>
      <c r="CB138" s="377"/>
      <c r="CC138" s="377"/>
      <c r="CD138" s="377"/>
      <c r="CE138" s="377"/>
      <c r="CF138" s="377"/>
      <c r="CG138" s="377"/>
      <c r="CH138" s="377"/>
      <c r="CI138" s="377"/>
    </row>
    <row r="139" spans="1:87" ht="31.5">
      <c r="A139" s="369">
        <f t="shared" ref="A139:B142" si="212">A138+1</f>
        <v>96</v>
      </c>
      <c r="B139" s="416">
        <f t="shared" si="212"/>
        <v>4</v>
      </c>
      <c r="C139" s="409" t="s">
        <v>1259</v>
      </c>
      <c r="D139" s="410" t="s">
        <v>1260</v>
      </c>
      <c r="E139" s="366" t="s">
        <v>998</v>
      </c>
      <c r="F139" s="366"/>
      <c r="G139" s="366"/>
      <c r="H139" s="371" t="s">
        <v>1261</v>
      </c>
      <c r="I139" s="366">
        <v>17697</v>
      </c>
      <c r="J139" s="367">
        <v>11.4</v>
      </c>
      <c r="K139" s="367">
        <f t="shared" si="190"/>
        <v>201745.80000000002</v>
      </c>
      <c r="L139" s="496"/>
      <c r="M139" s="496">
        <v>12</v>
      </c>
      <c r="N139" s="496"/>
      <c r="O139" s="496"/>
      <c r="P139" s="496">
        <v>6</v>
      </c>
      <c r="Q139" s="368">
        <f t="shared" si="191"/>
        <v>18</v>
      </c>
      <c r="R139" s="496"/>
      <c r="S139" s="496"/>
      <c r="T139" s="496"/>
      <c r="U139" s="496"/>
      <c r="V139" s="496"/>
      <c r="W139" s="381">
        <f t="shared" si="192"/>
        <v>0</v>
      </c>
      <c r="X139" s="370">
        <f t="shared" si="193"/>
        <v>18</v>
      </c>
      <c r="Y139" s="367">
        <f t="shared" si="194"/>
        <v>226964.02500000002</v>
      </c>
      <c r="Z139" s="367">
        <f t="shared" si="195"/>
        <v>22696.402500000004</v>
      </c>
      <c r="AA139" s="497">
        <v>18</v>
      </c>
      <c r="AB139" s="367">
        <f t="shared" si="196"/>
        <v>9954.5625</v>
      </c>
      <c r="AC139" s="497"/>
      <c r="AD139" s="367">
        <f t="shared" si="197"/>
        <v>0</v>
      </c>
      <c r="AE139" s="497"/>
      <c r="AF139" s="497" t="s">
        <v>1262</v>
      </c>
      <c r="AG139" s="367">
        <f t="shared" ref="AG139:AG141" si="213">17697*20%</f>
        <v>3539.4</v>
      </c>
      <c r="AH139" s="497"/>
      <c r="AI139" s="367"/>
      <c r="AJ139" s="372"/>
      <c r="AK139" s="367"/>
      <c r="AL139" s="366">
        <f t="shared" si="199"/>
        <v>18</v>
      </c>
      <c r="AM139" s="367">
        <f t="shared" si="200"/>
        <v>68089.207500000004</v>
      </c>
      <c r="AN139" s="366">
        <f t="shared" si="201"/>
        <v>0</v>
      </c>
      <c r="AO139" s="367" t="str">
        <f t="shared" si="202"/>
        <v>0</v>
      </c>
      <c r="AP139" s="367" t="str">
        <f t="shared" si="203"/>
        <v>0</v>
      </c>
      <c r="AQ139" s="367" t="str">
        <f t="shared" si="204"/>
        <v>0</v>
      </c>
      <c r="AR139" s="367" t="str">
        <f t="shared" si="205"/>
        <v>0</v>
      </c>
      <c r="AS139" s="497"/>
      <c r="AT139" s="374"/>
      <c r="AU139" s="499"/>
      <c r="AV139" s="374"/>
      <c r="AW139" s="371"/>
      <c r="AX139" s="367"/>
      <c r="AY139" s="374"/>
      <c r="AZ139" s="367">
        <f t="shared" si="206"/>
        <v>104279.57250000001</v>
      </c>
      <c r="BA139" s="373">
        <f t="shared" si="207"/>
        <v>331243.59750000003</v>
      </c>
      <c r="BB139" s="374">
        <f t="shared" si="171"/>
        <v>33124.359750000003</v>
      </c>
      <c r="BC139" s="374">
        <f t="shared" si="172"/>
        <v>6624.8719500000007</v>
      </c>
      <c r="BD139" s="374">
        <f t="shared" si="208"/>
        <v>22776.636580000006</v>
      </c>
      <c r="BE139" s="374">
        <f t="shared" si="174"/>
        <v>268717.72922000004</v>
      </c>
      <c r="BF139" s="374">
        <f t="shared" si="175"/>
        <v>3974923.1700000004</v>
      </c>
      <c r="BG139" s="374">
        <f t="shared" si="209"/>
        <v>453928.05000000005</v>
      </c>
      <c r="BH139" s="374">
        <f t="shared" si="177"/>
        <v>4428851.2200000007</v>
      </c>
      <c r="BI139" s="374">
        <f t="shared" si="178"/>
        <v>199298.30490000005</v>
      </c>
      <c r="BJ139" s="374">
        <f t="shared" si="179"/>
        <v>119247.69510000001</v>
      </c>
      <c r="BK139" s="374">
        <f t="shared" si="180"/>
        <v>230413.13490599999</v>
      </c>
      <c r="BL139" s="374">
        <f t="shared" si="210"/>
        <v>221442.56100000005</v>
      </c>
      <c r="BM139" s="373">
        <f t="shared" si="186"/>
        <v>5199252.915906</v>
      </c>
      <c r="BN139" s="375"/>
      <c r="BO139" s="377"/>
      <c r="BP139" s="377"/>
      <c r="BQ139" s="377"/>
      <c r="BR139" s="377"/>
      <c r="BS139" s="377"/>
      <c r="BT139" s="377"/>
      <c r="BU139" s="377"/>
      <c r="BV139" s="377"/>
      <c r="BW139" s="377"/>
      <c r="BX139" s="377"/>
      <c r="BY139" s="377"/>
      <c r="BZ139" s="377"/>
      <c r="CA139" s="377"/>
      <c r="CB139" s="377"/>
      <c r="CC139" s="377"/>
      <c r="CD139" s="377"/>
      <c r="CE139" s="377"/>
      <c r="CF139" s="377"/>
      <c r="CG139" s="377"/>
      <c r="CH139" s="377"/>
      <c r="CI139" s="377"/>
    </row>
    <row r="140" spans="1:87" ht="45">
      <c r="A140" s="369">
        <f t="shared" si="212"/>
        <v>97</v>
      </c>
      <c r="B140" s="416">
        <f t="shared" si="212"/>
        <v>5</v>
      </c>
      <c r="C140" s="409" t="s">
        <v>1263</v>
      </c>
      <c r="D140" s="410" t="s">
        <v>1264</v>
      </c>
      <c r="E140" s="366" t="s">
        <v>998</v>
      </c>
      <c r="F140" s="366" t="s">
        <v>254</v>
      </c>
      <c r="G140" s="366" t="s">
        <v>1265</v>
      </c>
      <c r="H140" s="371" t="s">
        <v>1403</v>
      </c>
      <c r="I140" s="366">
        <v>17697</v>
      </c>
      <c r="J140" s="367">
        <v>9.5</v>
      </c>
      <c r="K140" s="367">
        <f t="shared" si="190"/>
        <v>168121.5</v>
      </c>
      <c r="L140" s="496">
        <v>20</v>
      </c>
      <c r="M140" s="496">
        <v>8</v>
      </c>
      <c r="N140" s="496"/>
      <c r="O140" s="496"/>
      <c r="P140" s="496"/>
      <c r="Q140" s="368">
        <f t="shared" si="191"/>
        <v>28</v>
      </c>
      <c r="R140" s="496"/>
      <c r="S140" s="496"/>
      <c r="T140" s="496"/>
      <c r="U140" s="496"/>
      <c r="V140" s="496"/>
      <c r="W140" s="381">
        <f t="shared" si="192"/>
        <v>0</v>
      </c>
      <c r="X140" s="370">
        <f t="shared" si="193"/>
        <v>28</v>
      </c>
      <c r="Y140" s="367">
        <f t="shared" si="194"/>
        <v>294212.625</v>
      </c>
      <c r="Z140" s="367">
        <f t="shared" si="195"/>
        <v>29421.262500000001</v>
      </c>
      <c r="AA140" s="497">
        <v>28</v>
      </c>
      <c r="AB140" s="367">
        <f t="shared" si="196"/>
        <v>15484.875</v>
      </c>
      <c r="AC140" s="497"/>
      <c r="AD140" s="367">
        <f t="shared" si="197"/>
        <v>0</v>
      </c>
      <c r="AE140" s="497"/>
      <c r="AF140" s="497"/>
      <c r="AG140" s="367"/>
      <c r="AH140" s="497" t="s">
        <v>1266</v>
      </c>
      <c r="AI140" s="367">
        <f>I140*200%</f>
        <v>35394</v>
      </c>
      <c r="AJ140" s="372"/>
      <c r="AK140" s="367"/>
      <c r="AL140" s="366">
        <f t="shared" si="199"/>
        <v>28</v>
      </c>
      <c r="AM140" s="367">
        <f t="shared" si="200"/>
        <v>88263.787499999991</v>
      </c>
      <c r="AN140" s="366" t="str">
        <f t="shared" si="201"/>
        <v>Педагог-модератор</v>
      </c>
      <c r="AO140" s="367" t="str">
        <f t="shared" si="202"/>
        <v>0</v>
      </c>
      <c r="AP140" s="367" t="str">
        <f t="shared" si="203"/>
        <v>0</v>
      </c>
      <c r="AQ140" s="367" t="str">
        <f t="shared" si="204"/>
        <v>0</v>
      </c>
      <c r="AR140" s="367">
        <f t="shared" si="205"/>
        <v>88263.787499999991</v>
      </c>
      <c r="AS140" s="497"/>
      <c r="AT140" s="374"/>
      <c r="AU140" s="499"/>
      <c r="AV140" s="374"/>
      <c r="AW140" s="371" t="str">
        <f t="shared" ref="AW140" si="214">G140</f>
        <v>Магистр филологических наук</v>
      </c>
      <c r="AX140" s="372">
        <f>10*4552</f>
        <v>45520</v>
      </c>
      <c r="AY140" s="374"/>
      <c r="AZ140" s="367">
        <f t="shared" si="206"/>
        <v>302347.71249999997</v>
      </c>
      <c r="BA140" s="373">
        <f t="shared" si="207"/>
        <v>596560.33749999991</v>
      </c>
      <c r="BB140" s="374">
        <f t="shared" si="171"/>
        <v>59656.033749999995</v>
      </c>
      <c r="BC140" s="374">
        <f t="shared" si="172"/>
        <v>11931.206749999998</v>
      </c>
      <c r="BD140" s="374">
        <f t="shared" si="208"/>
        <v>46124.509699999995</v>
      </c>
      <c r="BE140" s="374">
        <f t="shared" si="174"/>
        <v>478848.58729999996</v>
      </c>
      <c r="BF140" s="374">
        <f t="shared" si="175"/>
        <v>7158724.0499999989</v>
      </c>
      <c r="BG140" s="374">
        <f t="shared" si="209"/>
        <v>588425.25</v>
      </c>
      <c r="BH140" s="374">
        <f t="shared" si="177"/>
        <v>7747149.2999999989</v>
      </c>
      <c r="BI140" s="374">
        <f t="shared" si="178"/>
        <v>348621.71849999996</v>
      </c>
      <c r="BJ140" s="374">
        <f t="shared" si="179"/>
        <v>214761.72149999996</v>
      </c>
      <c r="BK140" s="374">
        <f t="shared" si="180"/>
        <v>402596.86928999994</v>
      </c>
      <c r="BL140" s="374">
        <f t="shared" si="210"/>
        <v>387357.46499999997</v>
      </c>
      <c r="BM140" s="373">
        <f t="shared" si="186"/>
        <v>9100487.074289998</v>
      </c>
      <c r="BN140" s="375"/>
      <c r="BO140" s="377"/>
      <c r="BP140" s="377"/>
      <c r="BQ140" s="377"/>
      <c r="BR140" s="377"/>
      <c r="BS140" s="377"/>
      <c r="BT140" s="377"/>
      <c r="BU140" s="377"/>
      <c r="BV140" s="377"/>
      <c r="BW140" s="377"/>
      <c r="BX140" s="377"/>
      <c r="BY140" s="377"/>
      <c r="BZ140" s="377"/>
      <c r="CA140" s="377"/>
      <c r="CB140" s="377"/>
      <c r="CC140" s="377"/>
      <c r="CD140" s="377"/>
      <c r="CE140" s="377"/>
      <c r="CF140" s="377"/>
      <c r="CG140" s="377"/>
      <c r="CH140" s="377"/>
      <c r="CI140" s="377"/>
    </row>
    <row r="141" spans="1:87" ht="63">
      <c r="A141" s="369">
        <f t="shared" si="212"/>
        <v>98</v>
      </c>
      <c r="B141" s="416">
        <f t="shared" si="212"/>
        <v>6</v>
      </c>
      <c r="C141" s="409" t="s">
        <v>1267</v>
      </c>
      <c r="D141" s="410" t="s">
        <v>1268</v>
      </c>
      <c r="E141" s="366" t="s">
        <v>998</v>
      </c>
      <c r="F141" s="366" t="s">
        <v>1005</v>
      </c>
      <c r="G141" s="366"/>
      <c r="H141" s="371" t="s">
        <v>1269</v>
      </c>
      <c r="I141" s="366">
        <v>17697</v>
      </c>
      <c r="J141" s="367">
        <v>11.4</v>
      </c>
      <c r="K141" s="367">
        <f t="shared" si="190"/>
        <v>201745.80000000002</v>
      </c>
      <c r="L141" s="496"/>
      <c r="M141" s="496"/>
      <c r="N141" s="496">
        <v>3</v>
      </c>
      <c r="O141" s="496"/>
      <c r="P141" s="496">
        <v>6</v>
      </c>
      <c r="Q141" s="368">
        <f t="shared" si="191"/>
        <v>9</v>
      </c>
      <c r="R141" s="496"/>
      <c r="S141" s="496"/>
      <c r="T141" s="496"/>
      <c r="U141" s="496"/>
      <c r="V141" s="496">
        <v>4</v>
      </c>
      <c r="W141" s="381">
        <f t="shared" si="192"/>
        <v>4</v>
      </c>
      <c r="X141" s="370">
        <f t="shared" si="193"/>
        <v>13</v>
      </c>
      <c r="Y141" s="367">
        <f t="shared" si="194"/>
        <v>163918.46250000002</v>
      </c>
      <c r="Z141" s="367">
        <f t="shared" si="195"/>
        <v>16391.846250000002</v>
      </c>
      <c r="AA141" s="497">
        <v>9</v>
      </c>
      <c r="AB141" s="367">
        <f t="shared" si="196"/>
        <v>4977.28125</v>
      </c>
      <c r="AC141" s="497"/>
      <c r="AD141" s="367">
        <f t="shared" si="197"/>
        <v>0</v>
      </c>
      <c r="AE141" s="497"/>
      <c r="AF141" s="497" t="s">
        <v>1270</v>
      </c>
      <c r="AG141" s="367">
        <f t="shared" si="213"/>
        <v>3539.4</v>
      </c>
      <c r="AH141" s="497"/>
      <c r="AI141" s="367"/>
      <c r="AJ141" s="372"/>
      <c r="AK141" s="367"/>
      <c r="AL141" s="366">
        <f t="shared" si="199"/>
        <v>13</v>
      </c>
      <c r="AM141" s="367">
        <f t="shared" si="200"/>
        <v>49175.538750000007</v>
      </c>
      <c r="AN141" s="366" t="str">
        <f t="shared" si="201"/>
        <v>Педагог-зерттеуші</v>
      </c>
      <c r="AO141" s="367" t="str">
        <f t="shared" si="202"/>
        <v>0</v>
      </c>
      <c r="AP141" s="367">
        <f t="shared" si="203"/>
        <v>65567.385000000009</v>
      </c>
      <c r="AQ141" s="367" t="str">
        <f t="shared" si="204"/>
        <v>0</v>
      </c>
      <c r="AR141" s="367" t="str">
        <f t="shared" si="205"/>
        <v>0</v>
      </c>
      <c r="AS141" s="497"/>
      <c r="AT141" s="374"/>
      <c r="AU141" s="499"/>
      <c r="AV141" s="374"/>
      <c r="AW141" s="371"/>
      <c r="AX141" s="367"/>
      <c r="AY141" s="374"/>
      <c r="AZ141" s="367">
        <f t="shared" si="206"/>
        <v>139651.45125000001</v>
      </c>
      <c r="BA141" s="373">
        <f t="shared" si="207"/>
        <v>303569.91375000007</v>
      </c>
      <c r="BB141" s="374">
        <f t="shared" si="171"/>
        <v>30356.991375000009</v>
      </c>
      <c r="BC141" s="374">
        <f t="shared" si="172"/>
        <v>6071.3982750000014</v>
      </c>
      <c r="BD141" s="374">
        <f t="shared" si="208"/>
        <v>20341.35241000001</v>
      </c>
      <c r="BE141" s="374">
        <f t="shared" si="174"/>
        <v>246800.17169000008</v>
      </c>
      <c r="BF141" s="374">
        <f t="shared" si="175"/>
        <v>3642838.9650000008</v>
      </c>
      <c r="BG141" s="374">
        <f t="shared" si="209"/>
        <v>327836.92500000005</v>
      </c>
      <c r="BH141" s="374">
        <f t="shared" si="177"/>
        <v>3970675.8900000006</v>
      </c>
      <c r="BI141" s="374">
        <f t="shared" si="178"/>
        <v>178680.41505000004</v>
      </c>
      <c r="BJ141" s="374">
        <f t="shared" si="179"/>
        <v>109285.16895000002</v>
      </c>
      <c r="BK141" s="374">
        <f t="shared" si="180"/>
        <v>206402.25233700001</v>
      </c>
      <c r="BL141" s="374">
        <f t="shared" si="210"/>
        <v>198533.79450000005</v>
      </c>
      <c r="BM141" s="373">
        <f t="shared" si="186"/>
        <v>4663577.5208370006</v>
      </c>
      <c r="BN141" s="375"/>
      <c r="BO141" s="377"/>
      <c r="BP141" s="377"/>
      <c r="BQ141" s="377"/>
      <c r="BR141" s="377"/>
      <c r="BS141" s="377"/>
      <c r="BT141" s="377"/>
      <c r="BU141" s="377"/>
      <c r="BV141" s="377"/>
      <c r="BW141" s="377"/>
      <c r="BX141" s="377"/>
      <c r="BY141" s="377"/>
      <c r="BZ141" s="377"/>
      <c r="CA141" s="377"/>
      <c r="CB141" s="377"/>
      <c r="CC141" s="377"/>
      <c r="CD141" s="377"/>
      <c r="CE141" s="377"/>
      <c r="CF141" s="377"/>
      <c r="CG141" s="377"/>
      <c r="CH141" s="377"/>
      <c r="CI141" s="377"/>
    </row>
    <row r="142" spans="1:87" ht="45">
      <c r="A142" s="369">
        <f t="shared" si="212"/>
        <v>99</v>
      </c>
      <c r="B142" s="416">
        <f t="shared" si="212"/>
        <v>7</v>
      </c>
      <c r="C142" s="409" t="s">
        <v>1271</v>
      </c>
      <c r="D142" s="410" t="s">
        <v>1272</v>
      </c>
      <c r="E142" s="366" t="s">
        <v>998</v>
      </c>
      <c r="F142" s="366" t="s">
        <v>1011</v>
      </c>
      <c r="G142" s="366" t="s">
        <v>1273</v>
      </c>
      <c r="H142" s="371" t="s">
        <v>1274</v>
      </c>
      <c r="I142" s="366">
        <v>17697</v>
      </c>
      <c r="J142" s="367">
        <v>11.4</v>
      </c>
      <c r="K142" s="367">
        <f t="shared" si="190"/>
        <v>201745.80000000002</v>
      </c>
      <c r="L142" s="496"/>
      <c r="M142" s="496"/>
      <c r="N142" s="496">
        <v>12</v>
      </c>
      <c r="O142" s="496">
        <v>12</v>
      </c>
      <c r="P142" s="496"/>
      <c r="Q142" s="368">
        <f>SUM(L142:P142)</f>
        <v>24</v>
      </c>
      <c r="R142" s="496"/>
      <c r="S142" s="496"/>
      <c r="T142" s="496"/>
      <c r="U142" s="496"/>
      <c r="V142" s="496"/>
      <c r="W142" s="381">
        <f t="shared" si="192"/>
        <v>0</v>
      </c>
      <c r="X142" s="370">
        <f t="shared" si="193"/>
        <v>24</v>
      </c>
      <c r="Y142" s="367">
        <f t="shared" si="194"/>
        <v>302618.7</v>
      </c>
      <c r="Z142" s="367">
        <f t="shared" si="195"/>
        <v>30261.870000000003</v>
      </c>
      <c r="AA142" s="497">
        <v>24</v>
      </c>
      <c r="AB142" s="367">
        <f t="shared" si="196"/>
        <v>13272.75</v>
      </c>
      <c r="AC142" s="497"/>
      <c r="AD142" s="367">
        <f t="shared" si="197"/>
        <v>0</v>
      </c>
      <c r="AE142" s="497"/>
      <c r="AF142" s="497"/>
      <c r="AG142" s="367"/>
      <c r="AH142" s="497"/>
      <c r="AI142" s="367"/>
      <c r="AJ142" s="372"/>
      <c r="AK142" s="367"/>
      <c r="AL142" s="366">
        <f t="shared" si="199"/>
        <v>24</v>
      </c>
      <c r="AM142" s="367">
        <f t="shared" si="200"/>
        <v>90785.61</v>
      </c>
      <c r="AN142" s="366" t="str">
        <f t="shared" si="201"/>
        <v>Педагог-сарапшы</v>
      </c>
      <c r="AO142" s="367" t="str">
        <f t="shared" si="202"/>
        <v>0</v>
      </c>
      <c r="AP142" s="367" t="str">
        <f t="shared" si="203"/>
        <v>0</v>
      </c>
      <c r="AQ142" s="367">
        <f t="shared" si="204"/>
        <v>105916.545</v>
      </c>
      <c r="AR142" s="367" t="str">
        <f t="shared" si="205"/>
        <v>0</v>
      </c>
      <c r="AS142" s="497"/>
      <c r="AT142" s="374"/>
      <c r="AU142" s="499"/>
      <c r="AV142" s="374"/>
      <c r="AW142" s="371" t="str">
        <f>G142</f>
        <v>Магистр педагогика и психология</v>
      </c>
      <c r="AX142" s="372">
        <f>10*4552</f>
        <v>45520</v>
      </c>
      <c r="AY142" s="367"/>
      <c r="AZ142" s="367">
        <f t="shared" si="206"/>
        <v>285756.77500000002</v>
      </c>
      <c r="BA142" s="373">
        <f t="shared" si="207"/>
        <v>588375.47500000009</v>
      </c>
      <c r="BB142" s="374">
        <f t="shared" si="171"/>
        <v>58837.547500000015</v>
      </c>
      <c r="BC142" s="374">
        <f t="shared" si="172"/>
        <v>11767.509500000002</v>
      </c>
      <c r="BD142" s="374">
        <f t="shared" si="208"/>
        <v>45404.241800000018</v>
      </c>
      <c r="BE142" s="374">
        <f t="shared" si="174"/>
        <v>472366.1762000001</v>
      </c>
      <c r="BF142" s="374">
        <f t="shared" si="175"/>
        <v>7060505.7000000011</v>
      </c>
      <c r="BG142" s="374">
        <f t="shared" si="209"/>
        <v>605237.4</v>
      </c>
      <c r="BH142" s="374">
        <f t="shared" si="177"/>
        <v>7665743.1000000015</v>
      </c>
      <c r="BI142" s="374">
        <f t="shared" si="178"/>
        <v>344958.43950000009</v>
      </c>
      <c r="BJ142" s="374">
        <f t="shared" si="179"/>
        <v>211815.17100000003</v>
      </c>
      <c r="BK142" s="374">
        <f t="shared" si="180"/>
        <v>398417.01486000011</v>
      </c>
      <c r="BL142" s="374">
        <f t="shared" si="210"/>
        <v>383287.15500000009</v>
      </c>
      <c r="BM142" s="373">
        <f t="shared" si="186"/>
        <v>9004220.8803600017</v>
      </c>
      <c r="BN142" s="375"/>
      <c r="BO142" s="377"/>
      <c r="BP142" s="377"/>
      <c r="BQ142" s="377"/>
      <c r="BR142" s="377"/>
      <c r="BS142" s="377"/>
      <c r="BT142" s="377"/>
      <c r="BU142" s="377"/>
      <c r="BV142" s="377"/>
      <c r="BW142" s="377"/>
      <c r="BX142" s="377"/>
      <c r="BY142" s="377"/>
      <c r="BZ142" s="377"/>
      <c r="CA142" s="377"/>
      <c r="CB142" s="377"/>
      <c r="CC142" s="377"/>
      <c r="CD142" s="377"/>
      <c r="CE142" s="377"/>
      <c r="CF142" s="377"/>
      <c r="CG142" s="377"/>
      <c r="CH142" s="377"/>
      <c r="CI142" s="377"/>
    </row>
    <row r="143" spans="1:87" ht="15">
      <c r="A143" s="1515"/>
      <c r="B143" s="1508"/>
      <c r="C143" s="490" t="s">
        <v>1162</v>
      </c>
      <c r="D143" s="490"/>
      <c r="E143" s="490"/>
      <c r="F143" s="490"/>
      <c r="G143" s="490"/>
      <c r="H143" s="491"/>
      <c r="I143" s="490"/>
      <c r="J143" s="490"/>
      <c r="K143" s="422">
        <f t="shared" ref="K143:AE143" si="215">SUM(K136:K142)</f>
        <v>1378596.3</v>
      </c>
      <c r="L143" s="407">
        <f t="shared" si="215"/>
        <v>35</v>
      </c>
      <c r="M143" s="407">
        <f t="shared" si="215"/>
        <v>35</v>
      </c>
      <c r="N143" s="407">
        <f t="shared" si="215"/>
        <v>27</v>
      </c>
      <c r="O143" s="407">
        <f t="shared" si="215"/>
        <v>27</v>
      </c>
      <c r="P143" s="407">
        <f t="shared" si="215"/>
        <v>27</v>
      </c>
      <c r="Q143" s="407">
        <f t="shared" si="215"/>
        <v>151</v>
      </c>
      <c r="R143" s="407">
        <f t="shared" si="215"/>
        <v>0</v>
      </c>
      <c r="S143" s="407">
        <f t="shared" si="215"/>
        <v>0</v>
      </c>
      <c r="T143" s="407">
        <f t="shared" si="215"/>
        <v>0</v>
      </c>
      <c r="U143" s="407">
        <f t="shared" si="215"/>
        <v>0</v>
      </c>
      <c r="V143" s="407">
        <f t="shared" si="215"/>
        <v>8</v>
      </c>
      <c r="W143" s="407">
        <f t="shared" si="215"/>
        <v>8</v>
      </c>
      <c r="X143" s="407">
        <f t="shared" si="215"/>
        <v>159</v>
      </c>
      <c r="Y143" s="407">
        <f t="shared" si="215"/>
        <v>1946006.3625</v>
      </c>
      <c r="Z143" s="407">
        <f t="shared" si="215"/>
        <v>194600.63625000001</v>
      </c>
      <c r="AA143" s="407">
        <f t="shared" si="215"/>
        <v>151</v>
      </c>
      <c r="AB143" s="407">
        <f t="shared" si="215"/>
        <v>83507.71875</v>
      </c>
      <c r="AC143" s="407">
        <f t="shared" si="215"/>
        <v>0</v>
      </c>
      <c r="AD143" s="407">
        <f t="shared" si="215"/>
        <v>0</v>
      </c>
      <c r="AE143" s="407">
        <f t="shared" si="215"/>
        <v>0</v>
      </c>
      <c r="AF143" s="407">
        <v>4</v>
      </c>
      <c r="AG143" s="407">
        <f>SUM(AG136:AG142)</f>
        <v>14157.6</v>
      </c>
      <c r="AH143" s="407">
        <v>3</v>
      </c>
      <c r="AI143" s="407">
        <f t="shared" ref="AI143:BN143" si="216">SUM(AI136:AI142)</f>
        <v>106182</v>
      </c>
      <c r="AJ143" s="407">
        <f t="shared" si="216"/>
        <v>0</v>
      </c>
      <c r="AK143" s="407">
        <f t="shared" si="216"/>
        <v>0</v>
      </c>
      <c r="AL143" s="407">
        <f t="shared" si="216"/>
        <v>159</v>
      </c>
      <c r="AM143" s="407">
        <f t="shared" si="216"/>
        <v>583801.90875000006</v>
      </c>
      <c r="AN143" s="407">
        <f t="shared" si="216"/>
        <v>0</v>
      </c>
      <c r="AO143" s="407">
        <f t="shared" si="216"/>
        <v>0</v>
      </c>
      <c r="AP143" s="407">
        <f t="shared" si="216"/>
        <v>237051.31500000003</v>
      </c>
      <c r="AQ143" s="407">
        <f t="shared" si="216"/>
        <v>105916.545</v>
      </c>
      <c r="AR143" s="407">
        <f t="shared" si="216"/>
        <v>88263.787499999991</v>
      </c>
      <c r="AS143" s="407">
        <f t="shared" si="216"/>
        <v>0</v>
      </c>
      <c r="AT143" s="407">
        <f t="shared" si="216"/>
        <v>0</v>
      </c>
      <c r="AU143" s="407">
        <f t="shared" si="216"/>
        <v>0</v>
      </c>
      <c r="AV143" s="407">
        <f t="shared" si="216"/>
        <v>0</v>
      </c>
      <c r="AW143" s="407">
        <f t="shared" si="216"/>
        <v>0</v>
      </c>
      <c r="AX143" s="407">
        <f t="shared" si="216"/>
        <v>91040</v>
      </c>
      <c r="AY143" s="407">
        <f t="shared" si="216"/>
        <v>0</v>
      </c>
      <c r="AZ143" s="407">
        <f t="shared" si="216"/>
        <v>1504521.51125</v>
      </c>
      <c r="BA143" s="407">
        <f t="shared" si="216"/>
        <v>3450527.8737499998</v>
      </c>
      <c r="BB143" s="407">
        <f t="shared" si="216"/>
        <v>345052.78737500007</v>
      </c>
      <c r="BC143" s="407">
        <f t="shared" si="216"/>
        <v>69010.557475000009</v>
      </c>
      <c r="BD143" s="407">
        <f t="shared" si="216"/>
        <v>259036.85289000007</v>
      </c>
      <c r="BE143" s="407">
        <f t="shared" si="216"/>
        <v>2777427.6760100005</v>
      </c>
      <c r="BF143" s="407">
        <f t="shared" si="216"/>
        <v>41406334.485000007</v>
      </c>
      <c r="BG143" s="407">
        <f t="shared" si="216"/>
        <v>3892012.7250000001</v>
      </c>
      <c r="BH143" s="407">
        <f t="shared" si="216"/>
        <v>45298347.210000001</v>
      </c>
      <c r="BI143" s="407">
        <f t="shared" si="216"/>
        <v>2038425.6244500002</v>
      </c>
      <c r="BJ143" s="407">
        <f t="shared" si="216"/>
        <v>1242190.03455</v>
      </c>
      <c r="BK143" s="407">
        <f t="shared" si="216"/>
        <v>2355016.8134730002</v>
      </c>
      <c r="BL143" s="407">
        <f t="shared" si="216"/>
        <v>2264917.3605000004</v>
      </c>
      <c r="BM143" s="407">
        <f t="shared" si="216"/>
        <v>53198897.042973004</v>
      </c>
      <c r="BN143" s="407">
        <f t="shared" si="216"/>
        <v>0</v>
      </c>
      <c r="BO143" s="355"/>
      <c r="BP143" s="355"/>
      <c r="BQ143" s="355"/>
      <c r="BR143" s="355"/>
      <c r="BS143" s="355"/>
      <c r="BT143" s="355"/>
      <c r="BU143" s="355"/>
      <c r="BV143" s="355"/>
      <c r="BW143" s="355"/>
      <c r="BX143" s="355"/>
      <c r="BY143" s="355"/>
      <c r="BZ143" s="355"/>
      <c r="CA143" s="355"/>
      <c r="CB143" s="355"/>
      <c r="CC143" s="355"/>
      <c r="CD143" s="355"/>
      <c r="CE143" s="355"/>
      <c r="CF143" s="355"/>
      <c r="CG143" s="355"/>
      <c r="CH143" s="355"/>
      <c r="CI143" s="356"/>
    </row>
    <row r="144" spans="1:87" ht="78.75">
      <c r="A144" s="369">
        <f>A142+1</f>
        <v>100</v>
      </c>
      <c r="B144" s="416">
        <v>1</v>
      </c>
      <c r="C144" s="409" t="s">
        <v>1275</v>
      </c>
      <c r="D144" s="412" t="s">
        <v>1276</v>
      </c>
      <c r="E144" s="366" t="s">
        <v>998</v>
      </c>
      <c r="F144" s="366" t="s">
        <v>254</v>
      </c>
      <c r="G144" s="366" t="s">
        <v>1277</v>
      </c>
      <c r="H144" s="371" t="s">
        <v>1441</v>
      </c>
      <c r="I144" s="366">
        <v>17697</v>
      </c>
      <c r="J144" s="367">
        <v>11.18</v>
      </c>
      <c r="K144" s="367">
        <f t="shared" ref="K144:K151" si="217">I144*J144</f>
        <v>197852.46</v>
      </c>
      <c r="L144" s="380">
        <v>3</v>
      </c>
      <c r="M144" s="380"/>
      <c r="N144" s="380">
        <v>20</v>
      </c>
      <c r="O144" s="380"/>
      <c r="P144" s="380">
        <v>8</v>
      </c>
      <c r="Q144" s="368">
        <f t="shared" ref="Q144:Q151" si="218">SUM(L144:P144)</f>
        <v>31</v>
      </c>
      <c r="R144" s="380"/>
      <c r="S144" s="380"/>
      <c r="T144" s="380"/>
      <c r="U144" s="380"/>
      <c r="V144" s="380"/>
      <c r="W144" s="381">
        <f t="shared" ref="W144:W151" si="219">SUM(R144:V144)</f>
        <v>0</v>
      </c>
      <c r="X144" s="370">
        <f t="shared" ref="X144:X151" si="220">Q144+W144</f>
        <v>31</v>
      </c>
      <c r="Y144" s="367">
        <f t="shared" ref="Y144:Y151" si="221">K144/16*X144</f>
        <v>383339.14124999999</v>
      </c>
      <c r="Z144" s="367">
        <f t="shared" ref="Z144:Z150" si="222">Y144*10%</f>
        <v>38333.914125000003</v>
      </c>
      <c r="AA144" s="497"/>
      <c r="AB144" s="367">
        <f t="shared" ref="AB144:AB151" si="223">I144/16*AA144*40%</f>
        <v>0</v>
      </c>
      <c r="AC144" s="497"/>
      <c r="AD144" s="367">
        <f t="shared" ref="AD144:AD151" si="224">I144/16*AC144*40%*50%</f>
        <v>0</v>
      </c>
      <c r="AE144" s="497"/>
      <c r="AF144" s="497" t="s">
        <v>1278</v>
      </c>
      <c r="AG144" s="367">
        <f t="shared" ref="AG144:AG150" si="225">17697*20%</f>
        <v>3539.4</v>
      </c>
      <c r="AH144" s="497" t="s">
        <v>1279</v>
      </c>
      <c r="AI144" s="367">
        <f>I144*200%</f>
        <v>35394</v>
      </c>
      <c r="AJ144" s="372"/>
      <c r="AK144" s="367"/>
      <c r="AL144" s="366">
        <f t="shared" ref="AL144:AL151" si="226">X144</f>
        <v>31</v>
      </c>
      <c r="AM144" s="367">
        <f t="shared" ref="AM144:AM151" si="227">K144/16*AL144*30%</f>
        <v>115001.74237499999</v>
      </c>
      <c r="AN144" s="366" t="str">
        <f t="shared" ref="AN144:AN151" si="228">F144</f>
        <v>Педагог-модератор</v>
      </c>
      <c r="AO144" s="367" t="str">
        <f t="shared" ref="AO144:AO151" si="229">IF(AN144="Педагог-зерттеуші", "0", IF(AN144="Педагог-шебер",K144/16*X144*50%, IF(AN144="Педагог-сарапшы", "0", IF(AN144="Педагог-модератор", "0", "0"))))</f>
        <v>0</v>
      </c>
      <c r="AP144" s="367" t="str">
        <f t="shared" ref="AP144:AP151" si="230">IF(AN144="Педагог-шебер", "0", IF(AN144="Педагог-зерттеуші",K144/16*X144*40%, IF(AN144="Педагог-сарапшы", "0", IF(AN144="Педагог-модератор", "0", "0"))))</f>
        <v>0</v>
      </c>
      <c r="AQ144" s="367" t="str">
        <f t="shared" ref="AQ144:AQ151" si="231">IF(AN144="Педагог-шебер", "0", IF(AN144="Педагог-сарапшы",K144/16*X144*35%, IF(AN144="Педагог-зерттеуші", "0", IF(AN144="Педагог-модератор", "0", "0"))))</f>
        <v>0</v>
      </c>
      <c r="AR144" s="367">
        <f t="shared" ref="AR144:AR151" si="232">IF(AN144="Педагог-шебер", "0", IF(AN144="Педагог-модератор",K144/16*X144*30%, IF(AN144="Педагог-зерттеуші", "0", IF(AN144="Педагог-сарапшы", "0", "0"))))</f>
        <v>115001.74237499999</v>
      </c>
      <c r="AS144" s="497"/>
      <c r="AT144" s="374"/>
      <c r="AU144" s="499"/>
      <c r="AV144" s="374"/>
      <c r="AW144" s="371" t="str">
        <f>G144</f>
        <v>Магистр-история</v>
      </c>
      <c r="AX144" s="372">
        <f>10*4552</f>
        <v>45520</v>
      </c>
      <c r="AY144" s="367"/>
      <c r="AZ144" s="367">
        <f t="shared" ref="AZ144:AZ151" si="233">Z144+AB144+AD144+AE144+AG144+AI144+AK144+AM144+AO144+AP144+AQ144++AR144+AT144+AV144+AX144+AY144</f>
        <v>352790.79887499998</v>
      </c>
      <c r="BA144" s="373">
        <f t="shared" ref="BA144:BA151" si="234">Y144+AZ144</f>
        <v>736129.94012499996</v>
      </c>
      <c r="BB144" s="374">
        <f t="shared" si="171"/>
        <v>73612.994012499999</v>
      </c>
      <c r="BC144" s="374">
        <f t="shared" si="172"/>
        <v>14722.598802499999</v>
      </c>
      <c r="BD144" s="374">
        <f t="shared" ref="BD144:BD151" si="235">(BA144-BB144-BC144-(14*4552))*10%</f>
        <v>58406.634730999991</v>
      </c>
      <c r="BE144" s="374">
        <f t="shared" si="174"/>
        <v>589387.71257899993</v>
      </c>
      <c r="BF144" s="374">
        <f t="shared" si="175"/>
        <v>8833559.2815000005</v>
      </c>
      <c r="BG144" s="374">
        <f t="shared" ref="BG144:BG151" si="236">Y144*2</f>
        <v>766678.28249999997</v>
      </c>
      <c r="BH144" s="374">
        <f t="shared" si="177"/>
        <v>9600237.5640000012</v>
      </c>
      <c r="BI144" s="374">
        <f t="shared" si="178"/>
        <v>432010.69038000004</v>
      </c>
      <c r="BJ144" s="374">
        <f t="shared" si="179"/>
        <v>265006.778445</v>
      </c>
      <c r="BK144" s="374">
        <f t="shared" si="180"/>
        <v>498978.99803670018</v>
      </c>
      <c r="BL144" s="374">
        <f t="shared" ref="BL144:BL151" si="237">BH144*5%</f>
        <v>480011.87820000009</v>
      </c>
      <c r="BM144" s="373">
        <f t="shared" si="186"/>
        <v>11276245.9090617</v>
      </c>
      <c r="BN144" s="375"/>
      <c r="BO144" s="377"/>
      <c r="BP144" s="377"/>
      <c r="BQ144" s="377"/>
      <c r="BR144" s="377"/>
      <c r="BS144" s="377"/>
      <c r="BT144" s="377"/>
      <c r="BU144" s="377"/>
      <c r="BV144" s="377"/>
      <c r="BW144" s="377"/>
      <c r="BX144" s="377"/>
      <c r="BY144" s="377"/>
      <c r="BZ144" s="377"/>
      <c r="CA144" s="377"/>
      <c r="CB144" s="377"/>
      <c r="CC144" s="377"/>
      <c r="CD144" s="377"/>
      <c r="CE144" s="377"/>
      <c r="CF144" s="377"/>
      <c r="CG144" s="377"/>
      <c r="CH144" s="377"/>
      <c r="CI144" s="377"/>
    </row>
    <row r="145" spans="1:87" ht="78.75">
      <c r="A145" s="369">
        <f>A144+1</f>
        <v>101</v>
      </c>
      <c r="B145" s="416">
        <f>B144+1</f>
        <v>2</v>
      </c>
      <c r="C145" s="409" t="s">
        <v>1280</v>
      </c>
      <c r="D145" s="412" t="s">
        <v>1281</v>
      </c>
      <c r="E145" s="366" t="s">
        <v>998</v>
      </c>
      <c r="F145" s="366" t="s">
        <v>999</v>
      </c>
      <c r="G145" s="366"/>
      <c r="H145" s="371" t="s">
        <v>1282</v>
      </c>
      <c r="I145" s="366">
        <v>17697</v>
      </c>
      <c r="J145" s="367">
        <v>11.4</v>
      </c>
      <c r="K145" s="367">
        <f t="shared" si="217"/>
        <v>201745.80000000002</v>
      </c>
      <c r="L145" s="380"/>
      <c r="M145" s="380"/>
      <c r="N145" s="380"/>
      <c r="O145" s="380">
        <v>20</v>
      </c>
      <c r="P145" s="380">
        <v>12</v>
      </c>
      <c r="Q145" s="368">
        <f t="shared" si="218"/>
        <v>32</v>
      </c>
      <c r="R145" s="380"/>
      <c r="S145" s="380"/>
      <c r="T145" s="380"/>
      <c r="U145" s="380"/>
      <c r="V145" s="380">
        <v>4</v>
      </c>
      <c r="W145" s="381">
        <f t="shared" si="219"/>
        <v>4</v>
      </c>
      <c r="X145" s="370">
        <f t="shared" si="220"/>
        <v>36</v>
      </c>
      <c r="Y145" s="367">
        <f t="shared" si="221"/>
        <v>453928.05000000005</v>
      </c>
      <c r="Z145" s="367">
        <f t="shared" si="222"/>
        <v>45392.805000000008</v>
      </c>
      <c r="AA145" s="497"/>
      <c r="AB145" s="367">
        <f t="shared" si="223"/>
        <v>0</v>
      </c>
      <c r="AC145" s="497"/>
      <c r="AD145" s="367">
        <f t="shared" si="224"/>
        <v>0</v>
      </c>
      <c r="AE145" s="498"/>
      <c r="AF145" s="497" t="s">
        <v>1283</v>
      </c>
      <c r="AG145" s="367">
        <f t="shared" si="225"/>
        <v>3539.4</v>
      </c>
      <c r="AH145" s="497" t="s">
        <v>1284</v>
      </c>
      <c r="AI145" s="367">
        <f>I145*200%</f>
        <v>35394</v>
      </c>
      <c r="AJ145" s="372"/>
      <c r="AK145" s="367"/>
      <c r="AL145" s="366">
        <f t="shared" si="226"/>
        <v>36</v>
      </c>
      <c r="AM145" s="367">
        <f t="shared" si="227"/>
        <v>136178.41500000001</v>
      </c>
      <c r="AN145" s="366" t="str">
        <f t="shared" si="228"/>
        <v>Педагог-шебер</v>
      </c>
      <c r="AO145" s="367">
        <f t="shared" si="229"/>
        <v>226964.02500000002</v>
      </c>
      <c r="AP145" s="367" t="str">
        <f t="shared" si="230"/>
        <v>0</v>
      </c>
      <c r="AQ145" s="367" t="str">
        <f t="shared" si="231"/>
        <v>0</v>
      </c>
      <c r="AR145" s="367" t="str">
        <f t="shared" si="232"/>
        <v>0</v>
      </c>
      <c r="AS145" s="497"/>
      <c r="AT145" s="374"/>
      <c r="AU145" s="499"/>
      <c r="AV145" s="374"/>
      <c r="AW145" s="371">
        <f t="shared" ref="AW145:AW151" si="238">G145</f>
        <v>0</v>
      </c>
      <c r="AX145" s="367"/>
      <c r="AY145" s="367"/>
      <c r="AZ145" s="367">
        <f t="shared" si="233"/>
        <v>447468.64500000002</v>
      </c>
      <c r="BA145" s="373">
        <f t="shared" si="234"/>
        <v>901396.69500000007</v>
      </c>
      <c r="BB145" s="374">
        <f t="shared" si="171"/>
        <v>90139.669500000018</v>
      </c>
      <c r="BC145" s="374">
        <f t="shared" si="172"/>
        <v>18027.9339</v>
      </c>
      <c r="BD145" s="374">
        <f t="shared" si="235"/>
        <v>72950.109160000007</v>
      </c>
      <c r="BE145" s="374">
        <f t="shared" si="174"/>
        <v>720278.98244000005</v>
      </c>
      <c r="BF145" s="374">
        <f t="shared" si="175"/>
        <v>10816760.34</v>
      </c>
      <c r="BG145" s="374">
        <f t="shared" si="236"/>
        <v>907856.10000000009</v>
      </c>
      <c r="BH145" s="374">
        <f t="shared" si="177"/>
        <v>11724616.439999999</v>
      </c>
      <c r="BI145" s="374">
        <f t="shared" si="178"/>
        <v>527607.73979999998</v>
      </c>
      <c r="BJ145" s="374">
        <f t="shared" si="179"/>
        <v>324502.81020000001</v>
      </c>
      <c r="BK145" s="374">
        <f t="shared" si="180"/>
        <v>609332.41501200001</v>
      </c>
      <c r="BL145" s="374">
        <f t="shared" si="237"/>
        <v>586230.82200000004</v>
      </c>
      <c r="BM145" s="373">
        <f t="shared" si="186"/>
        <v>13772290.227012001</v>
      </c>
      <c r="BN145" s="375"/>
      <c r="BO145" s="377"/>
      <c r="BP145" s="377"/>
      <c r="BQ145" s="377"/>
      <c r="BR145" s="377"/>
      <c r="BS145" s="377"/>
      <c r="BT145" s="377"/>
      <c r="BU145" s="377"/>
      <c r="BV145" s="377"/>
      <c r="BW145" s="377"/>
      <c r="BX145" s="377"/>
      <c r="BY145" s="377"/>
      <c r="BZ145" s="377"/>
      <c r="CA145" s="377"/>
      <c r="CB145" s="377"/>
      <c r="CC145" s="377"/>
      <c r="CD145" s="377"/>
      <c r="CE145" s="377"/>
      <c r="CF145" s="377"/>
      <c r="CG145" s="377"/>
      <c r="CH145" s="377"/>
      <c r="CI145" s="377"/>
    </row>
    <row r="146" spans="1:87" ht="78.75">
      <c r="A146" s="369">
        <f t="shared" ref="A146:B151" si="239">A145+1</f>
        <v>102</v>
      </c>
      <c r="B146" s="416">
        <f t="shared" si="239"/>
        <v>3</v>
      </c>
      <c r="C146" s="409" t="s">
        <v>1285</v>
      </c>
      <c r="D146" s="412" t="s">
        <v>1286</v>
      </c>
      <c r="E146" s="366" t="s">
        <v>998</v>
      </c>
      <c r="F146" s="366" t="s">
        <v>1005</v>
      </c>
      <c r="G146" s="366" t="s">
        <v>1226</v>
      </c>
      <c r="H146" s="371" t="s">
        <v>1442</v>
      </c>
      <c r="I146" s="366">
        <v>17697</v>
      </c>
      <c r="J146" s="367">
        <v>11.18</v>
      </c>
      <c r="K146" s="367">
        <f t="shared" si="217"/>
        <v>197852.46</v>
      </c>
      <c r="L146" s="380"/>
      <c r="M146" s="380"/>
      <c r="N146" s="380">
        <v>16</v>
      </c>
      <c r="O146" s="380">
        <v>16</v>
      </c>
      <c r="P146" s="380"/>
      <c r="Q146" s="368">
        <f t="shared" si="218"/>
        <v>32</v>
      </c>
      <c r="R146" s="380"/>
      <c r="S146" s="380"/>
      <c r="T146" s="380"/>
      <c r="U146" s="380"/>
      <c r="V146" s="380">
        <v>4</v>
      </c>
      <c r="W146" s="381">
        <f t="shared" si="219"/>
        <v>4</v>
      </c>
      <c r="X146" s="370">
        <f t="shared" si="220"/>
        <v>36</v>
      </c>
      <c r="Y146" s="367">
        <f t="shared" si="221"/>
        <v>445168.03499999997</v>
      </c>
      <c r="Z146" s="367">
        <f t="shared" si="222"/>
        <v>44516.803500000002</v>
      </c>
      <c r="AA146" s="497"/>
      <c r="AB146" s="367">
        <f t="shared" si="223"/>
        <v>0</v>
      </c>
      <c r="AC146" s="497"/>
      <c r="AD146" s="367">
        <f t="shared" si="224"/>
        <v>0</v>
      </c>
      <c r="AE146" s="497"/>
      <c r="AF146" s="497" t="s">
        <v>1287</v>
      </c>
      <c r="AG146" s="367">
        <f t="shared" si="225"/>
        <v>3539.4</v>
      </c>
      <c r="AH146" s="497"/>
      <c r="AI146" s="367"/>
      <c r="AJ146" s="372"/>
      <c r="AK146" s="367"/>
      <c r="AL146" s="366">
        <f t="shared" si="226"/>
        <v>36</v>
      </c>
      <c r="AM146" s="367">
        <f t="shared" si="227"/>
        <v>133550.4105</v>
      </c>
      <c r="AN146" s="366" t="str">
        <f t="shared" si="228"/>
        <v>Педагог-зерттеуші</v>
      </c>
      <c r="AO146" s="367" t="str">
        <f t="shared" si="229"/>
        <v>0</v>
      </c>
      <c r="AP146" s="367">
        <f t="shared" si="230"/>
        <v>178067.21400000001</v>
      </c>
      <c r="AQ146" s="367" t="str">
        <f t="shared" si="231"/>
        <v>0</v>
      </c>
      <c r="AR146" s="367" t="str">
        <f t="shared" si="232"/>
        <v>0</v>
      </c>
      <c r="AS146" s="497"/>
      <c r="AT146" s="374"/>
      <c r="AU146" s="499"/>
      <c r="AV146" s="374"/>
      <c r="AW146" s="371" t="str">
        <f t="shared" si="238"/>
        <v>Магистр-педагогика</v>
      </c>
      <c r="AX146" s="372">
        <f>10*4552</f>
        <v>45520</v>
      </c>
      <c r="AY146" s="367"/>
      <c r="AZ146" s="367">
        <f t="shared" si="233"/>
        <v>405193.82799999998</v>
      </c>
      <c r="BA146" s="373">
        <f t="shared" si="234"/>
        <v>850361.8629999999</v>
      </c>
      <c r="BB146" s="374">
        <f t="shared" si="171"/>
        <v>85036.186300000001</v>
      </c>
      <c r="BC146" s="374">
        <f t="shared" si="172"/>
        <v>17007.237259999998</v>
      </c>
      <c r="BD146" s="374">
        <f t="shared" si="235"/>
        <v>68459.043944000005</v>
      </c>
      <c r="BE146" s="374">
        <f t="shared" si="174"/>
        <v>679859.39549599995</v>
      </c>
      <c r="BF146" s="374">
        <f t="shared" si="175"/>
        <v>10204342.355999999</v>
      </c>
      <c r="BG146" s="374">
        <f t="shared" si="236"/>
        <v>890336.07</v>
      </c>
      <c r="BH146" s="374">
        <f t="shared" si="177"/>
        <v>11094678.425999999</v>
      </c>
      <c r="BI146" s="374">
        <f t="shared" si="178"/>
        <v>499260.52916999999</v>
      </c>
      <c r="BJ146" s="374">
        <f t="shared" si="179"/>
        <v>306130.27067999996</v>
      </c>
      <c r="BK146" s="374">
        <f t="shared" si="180"/>
        <v>576663.08182079997</v>
      </c>
      <c r="BL146" s="374">
        <f t="shared" si="237"/>
        <v>554733.92129999993</v>
      </c>
      <c r="BM146" s="373">
        <f t="shared" si="186"/>
        <v>13031466.228970798</v>
      </c>
      <c r="BN146" s="375"/>
      <c r="BO146" s="377"/>
      <c r="BP146" s="377"/>
      <c r="BQ146" s="377"/>
      <c r="BR146" s="377"/>
      <c r="BS146" s="377"/>
      <c r="BT146" s="377"/>
      <c r="BU146" s="377"/>
      <c r="BV146" s="377"/>
      <c r="BW146" s="377"/>
      <c r="BX146" s="377"/>
      <c r="BY146" s="377"/>
      <c r="BZ146" s="377"/>
      <c r="CA146" s="377"/>
      <c r="CB146" s="377"/>
      <c r="CC146" s="377"/>
      <c r="CD146" s="377"/>
      <c r="CE146" s="377"/>
      <c r="CF146" s="377"/>
      <c r="CG146" s="377"/>
      <c r="CH146" s="377"/>
      <c r="CI146" s="377"/>
    </row>
    <row r="147" spans="1:87" ht="47.25">
      <c r="A147" s="369">
        <f t="shared" si="239"/>
        <v>103</v>
      </c>
      <c r="B147" s="416">
        <f t="shared" si="239"/>
        <v>4</v>
      </c>
      <c r="C147" s="409" t="s">
        <v>1288</v>
      </c>
      <c r="D147" s="502" t="s">
        <v>1289</v>
      </c>
      <c r="E147" s="366" t="s">
        <v>998</v>
      </c>
      <c r="F147" s="366" t="s">
        <v>1005</v>
      </c>
      <c r="G147" s="366"/>
      <c r="H147" s="371" t="s">
        <v>1443</v>
      </c>
      <c r="I147" s="366">
        <v>17697</v>
      </c>
      <c r="J147" s="367">
        <v>10.6</v>
      </c>
      <c r="K147" s="367">
        <f t="shared" si="217"/>
        <v>187588.19999999998</v>
      </c>
      <c r="L147" s="380">
        <v>3</v>
      </c>
      <c r="M147" s="380">
        <v>15</v>
      </c>
      <c r="N147" s="380"/>
      <c r="O147" s="380"/>
      <c r="P147" s="380"/>
      <c r="Q147" s="368">
        <f t="shared" si="218"/>
        <v>18</v>
      </c>
      <c r="R147" s="380"/>
      <c r="S147" s="380"/>
      <c r="T147" s="380"/>
      <c r="U147" s="380"/>
      <c r="V147" s="380"/>
      <c r="W147" s="381">
        <f t="shared" si="219"/>
        <v>0</v>
      </c>
      <c r="X147" s="370">
        <f t="shared" si="220"/>
        <v>18</v>
      </c>
      <c r="Y147" s="367">
        <f t="shared" si="221"/>
        <v>211036.72499999998</v>
      </c>
      <c r="Z147" s="367">
        <f t="shared" si="222"/>
        <v>21103.672500000001</v>
      </c>
      <c r="AA147" s="497"/>
      <c r="AB147" s="367">
        <f t="shared" si="223"/>
        <v>0</v>
      </c>
      <c r="AC147" s="497"/>
      <c r="AD147" s="367">
        <f t="shared" si="224"/>
        <v>0</v>
      </c>
      <c r="AE147" s="497"/>
      <c r="AF147" s="497"/>
      <c r="AG147" s="367"/>
      <c r="AH147" s="497" t="s">
        <v>1290</v>
      </c>
      <c r="AI147" s="367">
        <f>I147*200%</f>
        <v>35394</v>
      </c>
      <c r="AJ147" s="372"/>
      <c r="AK147" s="367"/>
      <c r="AL147" s="366">
        <f t="shared" si="226"/>
        <v>18</v>
      </c>
      <c r="AM147" s="367">
        <f t="shared" si="227"/>
        <v>63311.017499999987</v>
      </c>
      <c r="AN147" s="366" t="str">
        <f t="shared" si="228"/>
        <v>Педагог-зерттеуші</v>
      </c>
      <c r="AO147" s="367" t="str">
        <f t="shared" si="229"/>
        <v>0</v>
      </c>
      <c r="AP147" s="367">
        <f t="shared" si="230"/>
        <v>84414.69</v>
      </c>
      <c r="AQ147" s="367" t="str">
        <f t="shared" si="231"/>
        <v>0</v>
      </c>
      <c r="AR147" s="367" t="str">
        <f t="shared" si="232"/>
        <v>0</v>
      </c>
      <c r="AS147" s="497"/>
      <c r="AT147" s="374"/>
      <c r="AU147" s="499"/>
      <c r="AV147" s="374"/>
      <c r="AW147" s="371">
        <f t="shared" si="238"/>
        <v>0</v>
      </c>
      <c r="AX147" s="372"/>
      <c r="AY147" s="367"/>
      <c r="AZ147" s="367">
        <f t="shared" si="233"/>
        <v>204223.38</v>
      </c>
      <c r="BA147" s="373">
        <f t="shared" si="234"/>
        <v>415260.10499999998</v>
      </c>
      <c r="BB147" s="374">
        <f t="shared" si="171"/>
        <v>41526.010500000004</v>
      </c>
      <c r="BC147" s="374">
        <f t="shared" si="172"/>
        <v>8305.2021000000004</v>
      </c>
      <c r="BD147" s="374">
        <f t="shared" si="235"/>
        <v>30170.089240000001</v>
      </c>
      <c r="BE147" s="374">
        <f t="shared" si="174"/>
        <v>335258.80316000001</v>
      </c>
      <c r="BF147" s="374">
        <f t="shared" si="175"/>
        <v>4983121.26</v>
      </c>
      <c r="BG147" s="374">
        <f t="shared" si="236"/>
        <v>422073.44999999995</v>
      </c>
      <c r="BH147" s="374">
        <f t="shared" si="177"/>
        <v>5405194.71</v>
      </c>
      <c r="BI147" s="374">
        <f t="shared" si="178"/>
        <v>243233.76195000001</v>
      </c>
      <c r="BJ147" s="374">
        <f t="shared" si="179"/>
        <v>149493.6378</v>
      </c>
      <c r="BK147" s="374">
        <f t="shared" si="180"/>
        <v>280917.64756799996</v>
      </c>
      <c r="BL147" s="374">
        <f t="shared" si="237"/>
        <v>270259.73550000001</v>
      </c>
      <c r="BM147" s="373">
        <f t="shared" si="186"/>
        <v>6349099.4928179998</v>
      </c>
      <c r="BN147" s="375"/>
      <c r="BO147" s="377"/>
      <c r="BP147" s="377"/>
      <c r="BQ147" s="377"/>
      <c r="BR147" s="377"/>
      <c r="BS147" s="377"/>
      <c r="BT147" s="377"/>
      <c r="BU147" s="377"/>
      <c r="BV147" s="377"/>
      <c r="BW147" s="377"/>
      <c r="BX147" s="377"/>
      <c r="BY147" s="377"/>
      <c r="BZ147" s="377"/>
      <c r="CA147" s="377"/>
      <c r="CB147" s="377"/>
      <c r="CC147" s="377"/>
      <c r="CD147" s="377"/>
      <c r="CE147" s="377"/>
      <c r="CF147" s="377"/>
      <c r="CG147" s="377"/>
      <c r="CH147" s="377"/>
      <c r="CI147" s="377"/>
    </row>
    <row r="148" spans="1:87" ht="47.25">
      <c r="A148" s="369">
        <f t="shared" si="239"/>
        <v>104</v>
      </c>
      <c r="B148" s="416">
        <f t="shared" si="239"/>
        <v>5</v>
      </c>
      <c r="C148" s="409" t="s">
        <v>1291</v>
      </c>
      <c r="D148" s="502" t="s">
        <v>1292</v>
      </c>
      <c r="E148" s="366" t="s">
        <v>998</v>
      </c>
      <c r="F148" s="366" t="s">
        <v>254</v>
      </c>
      <c r="G148" s="366"/>
      <c r="H148" s="371" t="s">
        <v>1444</v>
      </c>
      <c r="I148" s="366">
        <v>17697</v>
      </c>
      <c r="J148" s="367">
        <v>11.02</v>
      </c>
      <c r="K148" s="367">
        <f t="shared" si="217"/>
        <v>195020.94</v>
      </c>
      <c r="L148" s="380"/>
      <c r="M148" s="380">
        <v>9</v>
      </c>
      <c r="N148" s="380"/>
      <c r="O148" s="380"/>
      <c r="P148" s="380"/>
      <c r="Q148" s="368">
        <f t="shared" si="218"/>
        <v>9</v>
      </c>
      <c r="R148" s="380"/>
      <c r="S148" s="380"/>
      <c r="T148" s="380"/>
      <c r="U148" s="380"/>
      <c r="V148" s="380"/>
      <c r="W148" s="381">
        <f t="shared" si="219"/>
        <v>0</v>
      </c>
      <c r="X148" s="370">
        <f t="shared" si="220"/>
        <v>9</v>
      </c>
      <c r="Y148" s="367">
        <f t="shared" si="221"/>
        <v>109699.27875</v>
      </c>
      <c r="Z148" s="367">
        <f t="shared" si="222"/>
        <v>10969.927875000001</v>
      </c>
      <c r="AA148" s="497"/>
      <c r="AB148" s="367">
        <f t="shared" si="223"/>
        <v>0</v>
      </c>
      <c r="AC148" s="497"/>
      <c r="AD148" s="367">
        <f t="shared" si="224"/>
        <v>0</v>
      </c>
      <c r="AE148" s="497"/>
      <c r="AF148" s="497"/>
      <c r="AG148" s="367"/>
      <c r="AH148" s="497"/>
      <c r="AI148" s="367"/>
      <c r="AJ148" s="372"/>
      <c r="AK148" s="367"/>
      <c r="AL148" s="366">
        <f t="shared" si="226"/>
        <v>9</v>
      </c>
      <c r="AM148" s="367">
        <f t="shared" si="227"/>
        <v>32909.783624999996</v>
      </c>
      <c r="AN148" s="366" t="str">
        <f t="shared" si="228"/>
        <v>Педагог-модератор</v>
      </c>
      <c r="AO148" s="367" t="str">
        <f t="shared" si="229"/>
        <v>0</v>
      </c>
      <c r="AP148" s="367" t="str">
        <f t="shared" si="230"/>
        <v>0</v>
      </c>
      <c r="AQ148" s="367" t="str">
        <f t="shared" si="231"/>
        <v>0</v>
      </c>
      <c r="AR148" s="367">
        <f t="shared" si="232"/>
        <v>32909.783624999996</v>
      </c>
      <c r="AS148" s="497"/>
      <c r="AT148" s="374"/>
      <c r="AU148" s="499"/>
      <c r="AV148" s="374"/>
      <c r="AW148" s="371">
        <f t="shared" si="238"/>
        <v>0</v>
      </c>
      <c r="AX148" s="372"/>
      <c r="AY148" s="367"/>
      <c r="AZ148" s="367">
        <f t="shared" si="233"/>
        <v>76789.495124999987</v>
      </c>
      <c r="BA148" s="373">
        <f t="shared" si="234"/>
        <v>186488.77387499998</v>
      </c>
      <c r="BB148" s="374">
        <f t="shared" si="171"/>
        <v>18648.877387500001</v>
      </c>
      <c r="BC148" s="374">
        <f t="shared" si="172"/>
        <v>3729.7754774999999</v>
      </c>
      <c r="BD148" s="374">
        <f t="shared" si="235"/>
        <v>10038.212101000001</v>
      </c>
      <c r="BE148" s="374">
        <f t="shared" si="174"/>
        <v>154071.90890899999</v>
      </c>
      <c r="BF148" s="374">
        <f t="shared" si="175"/>
        <v>2237865.2864999999</v>
      </c>
      <c r="BG148" s="374">
        <f t="shared" si="236"/>
        <v>219398.5575</v>
      </c>
      <c r="BH148" s="374">
        <f t="shared" si="177"/>
        <v>2457263.844</v>
      </c>
      <c r="BI148" s="374">
        <f t="shared" si="178"/>
        <v>110576.87298000001</v>
      </c>
      <c r="BJ148" s="374">
        <f t="shared" si="179"/>
        <v>67135.958594999989</v>
      </c>
      <c r="BK148" s="374">
        <f t="shared" si="180"/>
        <v>127768.94394569998</v>
      </c>
      <c r="BL148" s="374">
        <f t="shared" si="237"/>
        <v>122863.1922</v>
      </c>
      <c r="BM148" s="373">
        <f t="shared" si="186"/>
        <v>2885608.8117207</v>
      </c>
      <c r="BN148" s="375"/>
      <c r="BO148" s="377"/>
      <c r="BP148" s="377"/>
      <c r="BQ148" s="377"/>
      <c r="BR148" s="377"/>
      <c r="BS148" s="377"/>
      <c r="BT148" s="377"/>
      <c r="BU148" s="377"/>
      <c r="BV148" s="377"/>
      <c r="BW148" s="377"/>
      <c r="BX148" s="377"/>
      <c r="BY148" s="377"/>
      <c r="BZ148" s="377"/>
      <c r="CA148" s="377"/>
      <c r="CB148" s="377"/>
      <c r="CC148" s="377"/>
      <c r="CD148" s="377"/>
      <c r="CE148" s="377"/>
      <c r="CF148" s="377"/>
      <c r="CG148" s="377"/>
      <c r="CH148" s="377"/>
      <c r="CI148" s="377"/>
    </row>
    <row r="149" spans="1:87" ht="31.5">
      <c r="A149" s="369">
        <f t="shared" si="239"/>
        <v>105</v>
      </c>
      <c r="B149" s="416">
        <f t="shared" si="239"/>
        <v>6</v>
      </c>
      <c r="C149" s="409" t="s">
        <v>1293</v>
      </c>
      <c r="D149" s="412" t="s">
        <v>1294</v>
      </c>
      <c r="E149" s="366" t="s">
        <v>998</v>
      </c>
      <c r="F149" s="366" t="s">
        <v>1011</v>
      </c>
      <c r="G149" s="366"/>
      <c r="H149" s="371" t="s">
        <v>121</v>
      </c>
      <c r="I149" s="366">
        <v>17697</v>
      </c>
      <c r="J149" s="367">
        <v>11.18</v>
      </c>
      <c r="K149" s="367">
        <v>195020.94</v>
      </c>
      <c r="L149" s="380">
        <v>9</v>
      </c>
      <c r="M149" s="380"/>
      <c r="N149" s="380"/>
      <c r="O149" s="380"/>
      <c r="P149" s="380"/>
      <c r="Q149" s="368">
        <v>9</v>
      </c>
      <c r="R149" s="380"/>
      <c r="S149" s="380"/>
      <c r="T149" s="380"/>
      <c r="U149" s="380"/>
      <c r="V149" s="380"/>
      <c r="W149" s="381">
        <v>0</v>
      </c>
      <c r="X149" s="370">
        <v>9</v>
      </c>
      <c r="Y149" s="367">
        <v>109699.27875</v>
      </c>
      <c r="Z149" s="367">
        <v>10969.927875000001</v>
      </c>
      <c r="AA149" s="497"/>
      <c r="AB149" s="367">
        <v>0</v>
      </c>
      <c r="AC149" s="497"/>
      <c r="AD149" s="367">
        <v>0</v>
      </c>
      <c r="AE149" s="497"/>
      <c r="AF149" s="497"/>
      <c r="AG149" s="367"/>
      <c r="AH149" s="497"/>
      <c r="AI149" s="367"/>
      <c r="AJ149" s="372"/>
      <c r="AK149" s="367"/>
      <c r="AL149" s="366">
        <v>9</v>
      </c>
      <c r="AM149" s="367">
        <v>32909.783624999996</v>
      </c>
      <c r="AN149" s="366" t="str">
        <f t="shared" si="228"/>
        <v>Педагог-сарапшы</v>
      </c>
      <c r="AO149" s="367" t="str">
        <f t="shared" si="229"/>
        <v>0</v>
      </c>
      <c r="AP149" s="367" t="str">
        <f t="shared" si="230"/>
        <v>0</v>
      </c>
      <c r="AQ149" s="367">
        <f t="shared" si="231"/>
        <v>38394.747562499993</v>
      </c>
      <c r="AR149" s="367" t="str">
        <f t="shared" si="232"/>
        <v>0</v>
      </c>
      <c r="AS149" s="497"/>
      <c r="AT149" s="374"/>
      <c r="AU149" s="499"/>
      <c r="AV149" s="374"/>
      <c r="AW149" s="371">
        <f t="shared" si="238"/>
        <v>0</v>
      </c>
      <c r="AX149" s="372"/>
      <c r="AY149" s="367"/>
      <c r="AZ149" s="367">
        <f t="shared" si="233"/>
        <v>82274.459062499984</v>
      </c>
      <c r="BA149" s="373">
        <f t="shared" si="234"/>
        <v>191973.73781249998</v>
      </c>
      <c r="BB149" s="374">
        <f t="shared" si="171"/>
        <v>19197.37378125</v>
      </c>
      <c r="BC149" s="374">
        <f t="shared" si="172"/>
        <v>3839.4747562499997</v>
      </c>
      <c r="BD149" s="374">
        <f t="shared" si="235"/>
        <v>10520.888927499996</v>
      </c>
      <c r="BE149" s="374">
        <f t="shared" si="174"/>
        <v>158416.00034749997</v>
      </c>
      <c r="BF149" s="374">
        <f t="shared" si="175"/>
        <v>2303684.8537499998</v>
      </c>
      <c r="BG149" s="374">
        <f t="shared" si="236"/>
        <v>219398.5575</v>
      </c>
      <c r="BH149" s="374">
        <f t="shared" si="177"/>
        <v>2523083.4112499999</v>
      </c>
      <c r="BI149" s="374">
        <f t="shared" si="178"/>
        <v>113538.75350625001</v>
      </c>
      <c r="BJ149" s="374">
        <f t="shared" si="179"/>
        <v>69110.545612499991</v>
      </c>
      <c r="BK149" s="374">
        <f t="shared" si="180"/>
        <v>131178.39752925001</v>
      </c>
      <c r="BL149" s="374">
        <f t="shared" si="237"/>
        <v>126154.1705625</v>
      </c>
      <c r="BM149" s="373">
        <f t="shared" si="186"/>
        <v>2963065.2784605003</v>
      </c>
      <c r="BN149" s="375"/>
      <c r="BO149" s="377"/>
      <c r="BP149" s="377"/>
      <c r="BQ149" s="377"/>
      <c r="BR149" s="377"/>
      <c r="BS149" s="377"/>
      <c r="BT149" s="377"/>
      <c r="BU149" s="377"/>
      <c r="BV149" s="377"/>
      <c r="BW149" s="377"/>
      <c r="BX149" s="377"/>
      <c r="BY149" s="377"/>
      <c r="BZ149" s="377"/>
      <c r="CA149" s="377"/>
      <c r="CB149" s="377"/>
      <c r="CC149" s="377"/>
      <c r="CD149" s="377"/>
      <c r="CE149" s="377"/>
      <c r="CF149" s="377"/>
      <c r="CG149" s="377"/>
      <c r="CH149" s="377"/>
      <c r="CI149" s="377"/>
    </row>
    <row r="150" spans="1:87" ht="78.75">
      <c r="A150" s="369">
        <f t="shared" si="239"/>
        <v>106</v>
      </c>
      <c r="B150" s="416">
        <f t="shared" si="239"/>
        <v>7</v>
      </c>
      <c r="C150" s="409" t="s">
        <v>1295</v>
      </c>
      <c r="D150" s="410" t="s">
        <v>1296</v>
      </c>
      <c r="E150" s="366" t="s">
        <v>998</v>
      </c>
      <c r="F150" s="366"/>
      <c r="G150" s="366"/>
      <c r="H150" s="507" t="s">
        <v>1297</v>
      </c>
      <c r="I150" s="508">
        <v>17697</v>
      </c>
      <c r="J150" s="509">
        <v>11.4</v>
      </c>
      <c r="K150" s="367">
        <f t="shared" si="217"/>
        <v>201745.80000000002</v>
      </c>
      <c r="L150" s="380">
        <v>15</v>
      </c>
      <c r="M150" s="380"/>
      <c r="N150" s="380"/>
      <c r="O150" s="380"/>
      <c r="P150" s="380">
        <v>16</v>
      </c>
      <c r="Q150" s="368">
        <f t="shared" si="218"/>
        <v>31</v>
      </c>
      <c r="R150" s="380"/>
      <c r="S150" s="380"/>
      <c r="T150" s="380"/>
      <c r="U150" s="380"/>
      <c r="V150" s="380"/>
      <c r="W150" s="381">
        <f t="shared" si="219"/>
        <v>0</v>
      </c>
      <c r="X150" s="370">
        <f t="shared" si="220"/>
        <v>31</v>
      </c>
      <c r="Y150" s="367">
        <f t="shared" si="221"/>
        <v>390882.48750000005</v>
      </c>
      <c r="Z150" s="367">
        <f t="shared" si="222"/>
        <v>39088.248750000006</v>
      </c>
      <c r="AA150" s="497"/>
      <c r="AB150" s="367">
        <f t="shared" si="223"/>
        <v>0</v>
      </c>
      <c r="AC150" s="497"/>
      <c r="AD150" s="367">
        <f t="shared" si="224"/>
        <v>0</v>
      </c>
      <c r="AE150" s="497"/>
      <c r="AF150" s="497" t="s">
        <v>1298</v>
      </c>
      <c r="AG150" s="367">
        <f t="shared" si="225"/>
        <v>3539.4</v>
      </c>
      <c r="AH150" s="497" t="s">
        <v>1299</v>
      </c>
      <c r="AI150" s="367">
        <f>I150*200%</f>
        <v>35394</v>
      </c>
      <c r="AJ150" s="372"/>
      <c r="AK150" s="367"/>
      <c r="AL150" s="366">
        <f t="shared" si="226"/>
        <v>31</v>
      </c>
      <c r="AM150" s="367">
        <f t="shared" si="227"/>
        <v>117264.74625000001</v>
      </c>
      <c r="AN150" s="366">
        <f t="shared" si="228"/>
        <v>0</v>
      </c>
      <c r="AO150" s="367" t="str">
        <f t="shared" si="229"/>
        <v>0</v>
      </c>
      <c r="AP150" s="367" t="str">
        <f t="shared" si="230"/>
        <v>0</v>
      </c>
      <c r="AQ150" s="367" t="str">
        <f t="shared" si="231"/>
        <v>0</v>
      </c>
      <c r="AR150" s="367" t="str">
        <f t="shared" si="232"/>
        <v>0</v>
      </c>
      <c r="AS150" s="497"/>
      <c r="AT150" s="374"/>
      <c r="AU150" s="499"/>
      <c r="AV150" s="374"/>
      <c r="AW150" s="371">
        <f t="shared" si="238"/>
        <v>0</v>
      </c>
      <c r="AX150" s="367"/>
      <c r="AY150" s="367"/>
      <c r="AZ150" s="367">
        <f t="shared" si="233"/>
        <v>195286.39500000002</v>
      </c>
      <c r="BA150" s="373">
        <f t="shared" si="234"/>
        <v>586168.88250000007</v>
      </c>
      <c r="BB150" s="374">
        <f t="shared" si="171"/>
        <v>58616.888250000011</v>
      </c>
      <c r="BC150" s="374">
        <f t="shared" si="172"/>
        <v>11723.377650000002</v>
      </c>
      <c r="BD150" s="374">
        <f t="shared" si="235"/>
        <v>45210.061660000014</v>
      </c>
      <c r="BE150" s="374">
        <f t="shared" si="174"/>
        <v>470618.55494000012</v>
      </c>
      <c r="BF150" s="374">
        <f t="shared" si="175"/>
        <v>7034026.5900000008</v>
      </c>
      <c r="BG150" s="374">
        <f t="shared" si="236"/>
        <v>781764.97500000009</v>
      </c>
      <c r="BH150" s="374">
        <f t="shared" si="177"/>
        <v>7815791.5650000013</v>
      </c>
      <c r="BI150" s="374">
        <f t="shared" si="178"/>
        <v>351710.62042500009</v>
      </c>
      <c r="BJ150" s="374">
        <f t="shared" si="179"/>
        <v>211020.79770000002</v>
      </c>
      <c r="BK150" s="374">
        <f t="shared" si="180"/>
        <v>406577.88601200015</v>
      </c>
      <c r="BL150" s="374">
        <f t="shared" si="237"/>
        <v>390789.57825000008</v>
      </c>
      <c r="BM150" s="373">
        <f t="shared" si="186"/>
        <v>9175890.4473870024</v>
      </c>
      <c r="BN150" s="375"/>
      <c r="BO150" s="377"/>
      <c r="BP150" s="377"/>
      <c r="BQ150" s="377"/>
      <c r="BR150" s="377"/>
      <c r="BS150" s="377"/>
      <c r="BT150" s="377"/>
      <c r="BU150" s="377"/>
      <c r="BV150" s="377"/>
      <c r="BW150" s="377"/>
      <c r="BX150" s="377"/>
      <c r="BY150" s="377"/>
      <c r="BZ150" s="377"/>
      <c r="CA150" s="377"/>
      <c r="CB150" s="377"/>
      <c r="CC150" s="377"/>
      <c r="CD150" s="377"/>
      <c r="CE150" s="377"/>
      <c r="CF150" s="377"/>
      <c r="CG150" s="377"/>
      <c r="CH150" s="377"/>
      <c r="CI150" s="377"/>
    </row>
    <row r="151" spans="1:87" ht="45">
      <c r="A151" s="369">
        <f t="shared" si="239"/>
        <v>107</v>
      </c>
      <c r="B151" s="416">
        <f t="shared" si="239"/>
        <v>8</v>
      </c>
      <c r="C151" s="409" t="s">
        <v>1300</v>
      </c>
      <c r="D151" s="412" t="s">
        <v>1301</v>
      </c>
      <c r="E151" s="366" t="s">
        <v>998</v>
      </c>
      <c r="F151" s="366" t="s">
        <v>254</v>
      </c>
      <c r="G151" s="366" t="s">
        <v>1302</v>
      </c>
      <c r="H151" s="371" t="s">
        <v>1445</v>
      </c>
      <c r="I151" s="366">
        <v>17697</v>
      </c>
      <c r="J151" s="367">
        <v>10.4</v>
      </c>
      <c r="K151" s="367">
        <f t="shared" si="217"/>
        <v>184048.80000000002</v>
      </c>
      <c r="L151" s="380"/>
      <c r="M151" s="380">
        <v>6</v>
      </c>
      <c r="N151" s="380"/>
      <c r="O151" s="380"/>
      <c r="P151" s="380"/>
      <c r="Q151" s="368">
        <f t="shared" si="218"/>
        <v>6</v>
      </c>
      <c r="R151" s="380"/>
      <c r="S151" s="380"/>
      <c r="T151" s="380"/>
      <c r="U151" s="380"/>
      <c r="V151" s="380"/>
      <c r="W151" s="381">
        <f t="shared" si="219"/>
        <v>0</v>
      </c>
      <c r="X151" s="370">
        <f t="shared" si="220"/>
        <v>6</v>
      </c>
      <c r="Y151" s="367">
        <f t="shared" si="221"/>
        <v>69018.3</v>
      </c>
      <c r="Z151" s="367"/>
      <c r="AA151" s="497"/>
      <c r="AB151" s="367">
        <f t="shared" si="223"/>
        <v>0</v>
      </c>
      <c r="AC151" s="497"/>
      <c r="AD151" s="367">
        <f t="shared" si="224"/>
        <v>0</v>
      </c>
      <c r="AE151" s="497"/>
      <c r="AF151" s="497"/>
      <c r="AG151" s="367"/>
      <c r="AH151" s="497"/>
      <c r="AI151" s="367"/>
      <c r="AJ151" s="372"/>
      <c r="AK151" s="367"/>
      <c r="AL151" s="366">
        <f t="shared" si="226"/>
        <v>6</v>
      </c>
      <c r="AM151" s="367">
        <f t="shared" si="227"/>
        <v>20705.490000000002</v>
      </c>
      <c r="AN151" s="366" t="str">
        <f t="shared" si="228"/>
        <v>Педагог-модератор</v>
      </c>
      <c r="AO151" s="367" t="str">
        <f t="shared" si="229"/>
        <v>0</v>
      </c>
      <c r="AP151" s="367" t="str">
        <f t="shared" si="230"/>
        <v>0</v>
      </c>
      <c r="AQ151" s="367" t="str">
        <f t="shared" si="231"/>
        <v>0</v>
      </c>
      <c r="AR151" s="367">
        <f t="shared" si="232"/>
        <v>20705.490000000002</v>
      </c>
      <c r="AS151" s="497"/>
      <c r="AT151" s="374"/>
      <c r="AU151" s="499"/>
      <c r="AV151" s="374"/>
      <c r="AW151" s="371" t="str">
        <f t="shared" si="238"/>
        <v>Магистр археология и этнология</v>
      </c>
      <c r="AX151" s="372">
        <f>10*4552</f>
        <v>45520</v>
      </c>
      <c r="AY151" s="367"/>
      <c r="AZ151" s="367">
        <f t="shared" si="233"/>
        <v>86930.98000000001</v>
      </c>
      <c r="BA151" s="373">
        <f t="shared" si="234"/>
        <v>155949.28000000003</v>
      </c>
      <c r="BB151" s="374">
        <f t="shared" si="171"/>
        <v>15594.928000000004</v>
      </c>
      <c r="BC151" s="374">
        <f t="shared" si="172"/>
        <v>3118.9856000000004</v>
      </c>
      <c r="BD151" s="374">
        <f t="shared" si="235"/>
        <v>7350.7366400000001</v>
      </c>
      <c r="BE151" s="374">
        <f t="shared" si="174"/>
        <v>129884.62976</v>
      </c>
      <c r="BF151" s="374">
        <f t="shared" si="175"/>
        <v>1871391.3600000003</v>
      </c>
      <c r="BG151" s="374">
        <f t="shared" si="236"/>
        <v>138036.6</v>
      </c>
      <c r="BH151" s="374">
        <f t="shared" si="177"/>
        <v>2009427.9600000004</v>
      </c>
      <c r="BI151" s="374">
        <f t="shared" si="178"/>
        <v>90424.258200000026</v>
      </c>
      <c r="BJ151" s="374">
        <f t="shared" si="179"/>
        <v>56141.740800000007</v>
      </c>
      <c r="BK151" s="374">
        <f t="shared" si="180"/>
        <v>104392.04884800002</v>
      </c>
      <c r="BL151" s="374">
        <f t="shared" si="237"/>
        <v>100471.39800000003</v>
      </c>
      <c r="BM151" s="373">
        <f t="shared" si="186"/>
        <v>2360857.4058480002</v>
      </c>
      <c r="BN151" s="375">
        <v>1</v>
      </c>
      <c r="BO151" s="377"/>
      <c r="BP151" s="377"/>
      <c r="BQ151" s="377"/>
      <c r="BR151" s="377"/>
      <c r="BS151" s="377"/>
      <c r="BT151" s="377"/>
      <c r="BU151" s="377"/>
      <c r="BV151" s="377"/>
      <c r="BW151" s="377"/>
      <c r="BX151" s="377"/>
      <c r="BY151" s="377"/>
      <c r="BZ151" s="377"/>
      <c r="CA151" s="377"/>
      <c r="CB151" s="377"/>
      <c r="CC151" s="377"/>
      <c r="CD151" s="377"/>
      <c r="CE151" s="377"/>
      <c r="CF151" s="377"/>
      <c r="CG151" s="377"/>
      <c r="CH151" s="377"/>
      <c r="CI151" s="377"/>
    </row>
    <row r="152" spans="1:87" ht="14.25">
      <c r="A152" s="489"/>
      <c r="B152" s="489"/>
      <c r="C152" s="490" t="s">
        <v>1162</v>
      </c>
      <c r="D152" s="490"/>
      <c r="E152" s="490"/>
      <c r="F152" s="490"/>
      <c r="G152" s="490"/>
      <c r="H152" s="491"/>
      <c r="I152" s="490"/>
      <c r="J152" s="490"/>
      <c r="K152" s="422">
        <f t="shared" ref="K152:AE152" si="240">SUM(K144:K151)</f>
        <v>1560875.4</v>
      </c>
      <c r="L152" s="407">
        <f t="shared" si="240"/>
        <v>30</v>
      </c>
      <c r="M152" s="407">
        <f t="shared" si="240"/>
        <v>30</v>
      </c>
      <c r="N152" s="407">
        <f t="shared" si="240"/>
        <v>36</v>
      </c>
      <c r="O152" s="407">
        <f t="shared" si="240"/>
        <v>36</v>
      </c>
      <c r="P152" s="407">
        <f t="shared" si="240"/>
        <v>36</v>
      </c>
      <c r="Q152" s="407">
        <f t="shared" si="240"/>
        <v>168</v>
      </c>
      <c r="R152" s="407">
        <f t="shared" si="240"/>
        <v>0</v>
      </c>
      <c r="S152" s="407">
        <f t="shared" si="240"/>
        <v>0</v>
      </c>
      <c r="T152" s="407">
        <f t="shared" si="240"/>
        <v>0</v>
      </c>
      <c r="U152" s="407">
        <f t="shared" si="240"/>
        <v>0</v>
      </c>
      <c r="V152" s="407">
        <f t="shared" si="240"/>
        <v>8</v>
      </c>
      <c r="W152" s="407">
        <f t="shared" si="240"/>
        <v>8</v>
      </c>
      <c r="X152" s="505">
        <f t="shared" si="240"/>
        <v>176</v>
      </c>
      <c r="Y152" s="422">
        <f t="shared" si="240"/>
        <v>2172771.2962499997</v>
      </c>
      <c r="Z152" s="422">
        <f t="shared" si="240"/>
        <v>210375.29962500001</v>
      </c>
      <c r="AA152" s="422">
        <f t="shared" si="240"/>
        <v>0</v>
      </c>
      <c r="AB152" s="422">
        <f t="shared" si="240"/>
        <v>0</v>
      </c>
      <c r="AC152" s="422">
        <f t="shared" si="240"/>
        <v>0</v>
      </c>
      <c r="AD152" s="422">
        <f t="shared" si="240"/>
        <v>0</v>
      </c>
      <c r="AE152" s="422">
        <f t="shared" si="240"/>
        <v>0</v>
      </c>
      <c r="AF152" s="505">
        <v>4</v>
      </c>
      <c r="AG152" s="422">
        <f>SUM(AG144:AG151)</f>
        <v>14157.6</v>
      </c>
      <c r="AH152" s="505">
        <v>4</v>
      </c>
      <c r="AI152" s="422">
        <f>SUM(AI144:AI151)</f>
        <v>141576</v>
      </c>
      <c r="AJ152" s="422">
        <f>SUM(AJ144:AJ151)</f>
        <v>0</v>
      </c>
      <c r="AK152" s="422">
        <f>SUM(AK144:AK151)</f>
        <v>0</v>
      </c>
      <c r="AL152" s="505">
        <f>SUM(AL144:AL151)</f>
        <v>176</v>
      </c>
      <c r="AM152" s="422">
        <f>SUM(AM144:AM151)</f>
        <v>651831.38887499995</v>
      </c>
      <c r="AN152" s="422"/>
      <c r="AO152" s="422">
        <f t="shared" ref="AO152:AV152" si="241">SUM(AO144:AO151)</f>
        <v>226964.02500000002</v>
      </c>
      <c r="AP152" s="422">
        <f t="shared" si="241"/>
        <v>262481.90399999998</v>
      </c>
      <c r="AQ152" s="422">
        <f t="shared" si="241"/>
        <v>38394.747562499993</v>
      </c>
      <c r="AR152" s="422">
        <f t="shared" si="241"/>
        <v>168617.01599999997</v>
      </c>
      <c r="AS152" s="422">
        <f t="shared" si="241"/>
        <v>0</v>
      </c>
      <c r="AT152" s="422">
        <f t="shared" si="241"/>
        <v>0</v>
      </c>
      <c r="AU152" s="422">
        <f t="shared" si="241"/>
        <v>0</v>
      </c>
      <c r="AV152" s="422">
        <f t="shared" si="241"/>
        <v>0</v>
      </c>
      <c r="AW152" s="506"/>
      <c r="AX152" s="422">
        <f t="shared" ref="AX152:BN152" si="242">SUM(AX144:AX151)</f>
        <v>136560</v>
      </c>
      <c r="AY152" s="422">
        <f t="shared" si="242"/>
        <v>0</v>
      </c>
      <c r="AZ152" s="422">
        <f t="shared" si="242"/>
        <v>1850957.9810624998</v>
      </c>
      <c r="BA152" s="422">
        <f t="shared" si="242"/>
        <v>4023729.2773125004</v>
      </c>
      <c r="BB152" s="422">
        <f t="shared" si="242"/>
        <v>402372.92773125006</v>
      </c>
      <c r="BC152" s="422">
        <f t="shared" si="242"/>
        <v>80474.585546250004</v>
      </c>
      <c r="BD152" s="422">
        <f t="shared" si="242"/>
        <v>303105.77640350006</v>
      </c>
      <c r="BE152" s="422">
        <f t="shared" si="242"/>
        <v>3237775.9876314998</v>
      </c>
      <c r="BF152" s="422">
        <f t="shared" si="242"/>
        <v>48284751.327749997</v>
      </c>
      <c r="BG152" s="422">
        <f t="shared" si="242"/>
        <v>4345542.5924999993</v>
      </c>
      <c r="BH152" s="422">
        <f t="shared" si="242"/>
        <v>52630293.920250006</v>
      </c>
      <c r="BI152" s="422">
        <f t="shared" si="242"/>
        <v>2368363.2264112504</v>
      </c>
      <c r="BJ152" s="422">
        <f t="shared" si="242"/>
        <v>1448542.5398325</v>
      </c>
      <c r="BK152" s="422">
        <f t="shared" si="242"/>
        <v>2735809.4187724502</v>
      </c>
      <c r="BL152" s="422">
        <f t="shared" si="242"/>
        <v>2631514.6960125002</v>
      </c>
      <c r="BM152" s="422">
        <f t="shared" si="242"/>
        <v>61814523.801278695</v>
      </c>
      <c r="BN152" s="422">
        <f t="shared" si="242"/>
        <v>1</v>
      </c>
      <c r="BO152" s="355"/>
      <c r="BP152" s="355"/>
      <c r="BQ152" s="355"/>
      <c r="BR152" s="355"/>
      <c r="BS152" s="355"/>
      <c r="BT152" s="355"/>
      <c r="BU152" s="355"/>
      <c r="BV152" s="355"/>
      <c r="BW152" s="355"/>
      <c r="BX152" s="355"/>
      <c r="BY152" s="355"/>
      <c r="BZ152" s="355"/>
      <c r="CA152" s="355"/>
      <c r="CB152" s="355"/>
      <c r="CC152" s="355"/>
      <c r="CD152" s="355"/>
      <c r="CE152" s="355"/>
      <c r="CF152" s="355"/>
      <c r="CG152" s="355"/>
      <c r="CH152" s="355"/>
      <c r="CI152" s="356"/>
    </row>
    <row r="153" spans="1:87" ht="94.5">
      <c r="A153" s="369">
        <f>A151+1</f>
        <v>108</v>
      </c>
      <c r="B153" s="416">
        <f>1</f>
        <v>1</v>
      </c>
      <c r="C153" s="409" t="s">
        <v>1293</v>
      </c>
      <c r="D153" s="502" t="s">
        <v>1303</v>
      </c>
      <c r="E153" s="366" t="s">
        <v>998</v>
      </c>
      <c r="F153" s="366" t="s">
        <v>1011</v>
      </c>
      <c r="G153" s="366" t="s">
        <v>270</v>
      </c>
      <c r="H153" s="371" t="s">
        <v>121</v>
      </c>
      <c r="I153" s="366">
        <v>17697</v>
      </c>
      <c r="J153" s="367">
        <v>11.18</v>
      </c>
      <c r="K153" s="367">
        <f t="shared" ref="K153:K155" si="243">I153*J153</f>
        <v>197852.46</v>
      </c>
      <c r="L153" s="380">
        <v>5</v>
      </c>
      <c r="M153" s="380">
        <v>5</v>
      </c>
      <c r="N153" s="380">
        <v>5</v>
      </c>
      <c r="O153" s="380">
        <v>5</v>
      </c>
      <c r="P153" s="380">
        <v>5</v>
      </c>
      <c r="Q153" s="368">
        <f t="shared" ref="Q153:Q155" si="244">SUM(L153:P153)</f>
        <v>25</v>
      </c>
      <c r="R153" s="380"/>
      <c r="S153" s="380"/>
      <c r="T153" s="380"/>
      <c r="U153" s="380"/>
      <c r="V153" s="380">
        <v>4</v>
      </c>
      <c r="W153" s="381">
        <f t="shared" ref="W153:W154" si="245">SUM(R153:V153)</f>
        <v>4</v>
      </c>
      <c r="X153" s="370">
        <f t="shared" ref="X153:X155" si="246">Q153+W153</f>
        <v>29</v>
      </c>
      <c r="Y153" s="367">
        <f t="shared" ref="Y153:Y155" si="247">K153/16*X153</f>
        <v>358607.58374999999</v>
      </c>
      <c r="Z153" s="367">
        <f t="shared" ref="Z153:Z155" si="248">Y153*10%</f>
        <v>35860.758374999998</v>
      </c>
      <c r="AA153" s="372"/>
      <c r="AB153" s="367">
        <f t="shared" ref="AB153:AB155" si="249">I153/16*AA153*40%</f>
        <v>0</v>
      </c>
      <c r="AC153" s="372"/>
      <c r="AD153" s="367">
        <f t="shared" ref="AD153:AD155" si="250">I153/16*AC153*40%*50%</f>
        <v>0</v>
      </c>
      <c r="AE153" s="366">
        <v>196600</v>
      </c>
      <c r="AF153" s="366" t="s">
        <v>1304</v>
      </c>
      <c r="AG153" s="367">
        <f t="shared" ref="AG153:AG154" si="251">17697*20%</f>
        <v>3539.4</v>
      </c>
      <c r="AH153" s="372" t="s">
        <v>1305</v>
      </c>
      <c r="AI153" s="367">
        <f>I153*200%</f>
        <v>35394</v>
      </c>
      <c r="AJ153" s="372"/>
      <c r="AK153" s="367"/>
      <c r="AL153" s="366">
        <f t="shared" ref="AL153:AL155" si="252">X153</f>
        <v>29</v>
      </c>
      <c r="AM153" s="367">
        <f t="shared" ref="AM153:AM155" si="253">K153/16*AL153*30%</f>
        <v>107582.275125</v>
      </c>
      <c r="AN153" s="366" t="str">
        <f>F153</f>
        <v>Педагог-сарапшы</v>
      </c>
      <c r="AO153" s="367" t="str">
        <f>IF(AN153="Педагог-зерттеуші", "0", IF(AN153="Педагог-шебер",K153/16*X153*50%, IF(AN153="Педагог-сарапшы", "0", IF(AN153="Педагог-модератор", "0", "0"))))</f>
        <v>0</v>
      </c>
      <c r="AP153" s="367" t="str">
        <f>IF(AN153="Педагог-шебер", "0", IF(AN153="Педагог-зерттеуші",K153/16*X153*40%, IF(AN153="Педагог-сарапшы", "0", IF(AN153="Педагог-модератор", "0", "0"))))</f>
        <v>0</v>
      </c>
      <c r="AQ153" s="367">
        <f>IF(AN153="Педагог-шебер", "0", IF(AN153="Педагог-сарапшы",K153/16*X153*35%, IF(AN153="Педагог-зерттеуші", "0", IF(AN153="Педагог-модератор", "0", "0"))))</f>
        <v>125512.65431249999</v>
      </c>
      <c r="AR153" s="367" t="str">
        <f>IF(AN153="Педагог-шебер", "0", IF(AN153="Педагог-модератор",K153/16*X153*30%, IF(AN153="Педагог-зерттеуші", "0", IF(AN153="Педагог-сарапшы", "0", "0"))))</f>
        <v>0</v>
      </c>
      <c r="AS153" s="366"/>
      <c r="AT153" s="367"/>
      <c r="AU153" s="372"/>
      <c r="AV153" s="367"/>
      <c r="AW153" s="371" t="str">
        <f>G153</f>
        <v>Магистр-естественных наук</v>
      </c>
      <c r="AX153" s="372">
        <f>10*4552</f>
        <v>45520</v>
      </c>
      <c r="AY153" s="367"/>
      <c r="AZ153" s="367">
        <f>Z153+AB153+AD153+AE153+AG153+AI153+AK153+AM153+AO153+AP153+AQ153++AR153+AT153+AV153+AX153+AY153</f>
        <v>550009.08781249996</v>
      </c>
      <c r="BA153" s="373">
        <f>Y153+AZ153</f>
        <v>908616.67156249995</v>
      </c>
      <c r="BB153" s="374">
        <f t="shared" si="171"/>
        <v>90861.667156249998</v>
      </c>
      <c r="BC153" s="374">
        <f t="shared" si="172"/>
        <v>18172.333431250001</v>
      </c>
      <c r="BD153" s="374">
        <f>(BA153-BB153-BC153-(14*4552))*10%</f>
        <v>73585.467097500004</v>
      </c>
      <c r="BE153" s="374">
        <f t="shared" si="174"/>
        <v>725997.20387750003</v>
      </c>
      <c r="BF153" s="374">
        <f t="shared" si="175"/>
        <v>10903400.05875</v>
      </c>
      <c r="BG153" s="374">
        <f>Y153*2</f>
        <v>717215.16749999998</v>
      </c>
      <c r="BH153" s="374">
        <f t="shared" si="177"/>
        <v>11620615.22625</v>
      </c>
      <c r="BI153" s="374">
        <f t="shared" si="178"/>
        <v>522927.6851812501</v>
      </c>
      <c r="BJ153" s="374">
        <f t="shared" si="179"/>
        <v>327102.00176249997</v>
      </c>
      <c r="BK153" s="374">
        <f t="shared" si="180"/>
        <v>603525.74208825012</v>
      </c>
      <c r="BL153" s="374">
        <f>BH153*5%</f>
        <v>581030.76131249999</v>
      </c>
      <c r="BM153" s="373">
        <f t="shared" si="186"/>
        <v>13655201.416594502</v>
      </c>
      <c r="BN153" s="375"/>
      <c r="BO153" s="377"/>
      <c r="BP153" s="377"/>
      <c r="BQ153" s="377"/>
      <c r="BR153" s="377"/>
      <c r="BS153" s="377"/>
      <c r="BT153" s="377"/>
      <c r="BU153" s="377"/>
      <c r="BV153" s="377"/>
      <c r="BW153" s="377"/>
      <c r="BX153" s="377"/>
      <c r="BY153" s="377"/>
      <c r="BZ153" s="377"/>
      <c r="CA153" s="377"/>
      <c r="CB153" s="377"/>
      <c r="CC153" s="377"/>
      <c r="CD153" s="377"/>
      <c r="CE153" s="377"/>
      <c r="CF153" s="377"/>
      <c r="CG153" s="377"/>
      <c r="CH153" s="377"/>
      <c r="CI153" s="377"/>
    </row>
    <row r="154" spans="1:87" ht="47.25">
      <c r="A154" s="369">
        <f t="shared" ref="A154:B155" si="254">A153+1</f>
        <v>109</v>
      </c>
      <c r="B154" s="416">
        <f t="shared" si="254"/>
        <v>2</v>
      </c>
      <c r="C154" s="409" t="s">
        <v>1306</v>
      </c>
      <c r="D154" s="502" t="s">
        <v>1307</v>
      </c>
      <c r="E154" s="366" t="s">
        <v>998</v>
      </c>
      <c r="F154" s="366" t="s">
        <v>1005</v>
      </c>
      <c r="G154" s="366"/>
      <c r="H154" s="371" t="s">
        <v>1308</v>
      </c>
      <c r="I154" s="366">
        <v>17697</v>
      </c>
      <c r="J154" s="367">
        <v>11.4</v>
      </c>
      <c r="K154" s="367">
        <f t="shared" si="243"/>
        <v>201745.80000000002</v>
      </c>
      <c r="L154" s="380">
        <v>5</v>
      </c>
      <c r="M154" s="380">
        <v>5</v>
      </c>
      <c r="N154" s="380">
        <v>4</v>
      </c>
      <c r="O154" s="380">
        <v>4</v>
      </c>
      <c r="P154" s="380">
        <v>4</v>
      </c>
      <c r="Q154" s="368">
        <f t="shared" si="244"/>
        <v>22</v>
      </c>
      <c r="R154" s="380"/>
      <c r="S154" s="380"/>
      <c r="T154" s="380"/>
      <c r="U154" s="380"/>
      <c r="V154" s="380"/>
      <c r="W154" s="381">
        <f t="shared" si="245"/>
        <v>0</v>
      </c>
      <c r="X154" s="370">
        <f t="shared" si="246"/>
        <v>22</v>
      </c>
      <c r="Y154" s="367">
        <f t="shared" si="247"/>
        <v>277400.47500000003</v>
      </c>
      <c r="Z154" s="367">
        <f t="shared" si="248"/>
        <v>27740.047500000004</v>
      </c>
      <c r="AA154" s="372"/>
      <c r="AB154" s="367">
        <f t="shared" si="249"/>
        <v>0</v>
      </c>
      <c r="AC154" s="372"/>
      <c r="AD154" s="367">
        <f t="shared" si="250"/>
        <v>0</v>
      </c>
      <c r="AE154" s="366"/>
      <c r="AF154" s="366" t="s">
        <v>1309</v>
      </c>
      <c r="AG154" s="367">
        <f t="shared" si="251"/>
        <v>3539.4</v>
      </c>
      <c r="AH154" s="372" t="s">
        <v>1310</v>
      </c>
      <c r="AI154" s="367">
        <f>I154*200%</f>
        <v>35394</v>
      </c>
      <c r="AJ154" s="372"/>
      <c r="AK154" s="367"/>
      <c r="AL154" s="366">
        <f t="shared" si="252"/>
        <v>22</v>
      </c>
      <c r="AM154" s="367">
        <f t="shared" si="253"/>
        <v>83220.142500000002</v>
      </c>
      <c r="AN154" s="366" t="str">
        <f>F154</f>
        <v>Педагог-зерттеуші</v>
      </c>
      <c r="AO154" s="367" t="str">
        <f>IF(AN154="Педагог-зерттеуші", "0", IF(AN154="Педагог-шебер",K154/16*X154*50%, IF(AN154="Педагог-сарапшы", "0", IF(AN154="Педагог-модератор", "0", "0"))))</f>
        <v>0</v>
      </c>
      <c r="AP154" s="367">
        <f>IF(AN154="Педагог-шебер", "0", IF(AN154="Педагог-зерттеуші",K154/16*X154*40%, IF(AN154="Педагог-сарапшы", "0", IF(AN154="Педагог-модератор", "0", "0"))))</f>
        <v>110960.19000000002</v>
      </c>
      <c r="AQ154" s="367" t="str">
        <f>IF(AN154="Педагог-шебер", "0", IF(AN154="Педагог-сарапшы",K154/16*X154*35%, IF(AN154="Педагог-зерттеуші", "0", IF(AN154="Педагог-модератор", "0", "0"))))</f>
        <v>0</v>
      </c>
      <c r="AR154" s="367" t="str">
        <f>IF(AN154="Педагог-шебер", "0", IF(AN154="Педагог-модератор",K154/16*X154*30%, IF(AN154="Педагог-зерттеуші", "0", IF(AN154="Педагог-сарапшы", "0", "0"))))</f>
        <v>0</v>
      </c>
      <c r="AS154" s="366"/>
      <c r="AT154" s="367"/>
      <c r="AU154" s="372"/>
      <c r="AV154" s="367"/>
      <c r="AW154" s="371"/>
      <c r="AX154" s="367"/>
      <c r="AY154" s="367"/>
      <c r="AZ154" s="367">
        <f>Z154+AB154+AD154+AE154+AG154+AI154+AK154+AM154+AO154+AP154+AQ154++AR154+AT154+AV154+AX154+AY154</f>
        <v>260853.78000000003</v>
      </c>
      <c r="BA154" s="373">
        <f>Y154+AZ154</f>
        <v>538254.25500000012</v>
      </c>
      <c r="BB154" s="374">
        <f t="shared" si="171"/>
        <v>53825.425500000012</v>
      </c>
      <c r="BC154" s="374">
        <f t="shared" si="172"/>
        <v>10765.085100000002</v>
      </c>
      <c r="BD154" s="374">
        <f>(BA154-BB154-BC154-(14*4552))*10%</f>
        <v>40993.574440000011</v>
      </c>
      <c r="BE154" s="374">
        <f t="shared" si="174"/>
        <v>432670.16996000009</v>
      </c>
      <c r="BF154" s="374">
        <f t="shared" si="175"/>
        <v>6459051.0600000015</v>
      </c>
      <c r="BG154" s="374">
        <f>Y154*2</f>
        <v>554800.95000000007</v>
      </c>
      <c r="BH154" s="374">
        <f t="shared" si="177"/>
        <v>7013852.0100000016</v>
      </c>
      <c r="BI154" s="374">
        <f t="shared" si="178"/>
        <v>315623.34045000008</v>
      </c>
      <c r="BJ154" s="374">
        <f t="shared" si="179"/>
        <v>193771.53180000003</v>
      </c>
      <c r="BK154" s="374">
        <f t="shared" si="180"/>
        <v>364538.09620800003</v>
      </c>
      <c r="BL154" s="374">
        <f>BH154*5%</f>
        <v>350692.60050000012</v>
      </c>
      <c r="BM154" s="373">
        <f t="shared" si="186"/>
        <v>8238477.578958001</v>
      </c>
      <c r="BN154" s="375"/>
      <c r="BO154" s="377"/>
      <c r="BP154" s="377"/>
      <c r="BQ154" s="377"/>
      <c r="BR154" s="377"/>
      <c r="BS154" s="377"/>
      <c r="BT154" s="377"/>
      <c r="BU154" s="377"/>
      <c r="BV154" s="377"/>
      <c r="BW154" s="377"/>
      <c r="BX154" s="377"/>
      <c r="BY154" s="377"/>
      <c r="BZ154" s="377"/>
      <c r="CA154" s="377"/>
      <c r="CB154" s="377"/>
      <c r="CC154" s="377"/>
      <c r="CD154" s="377"/>
      <c r="CE154" s="377"/>
      <c r="CF154" s="377"/>
      <c r="CG154" s="377"/>
      <c r="CH154" s="377"/>
      <c r="CI154" s="377"/>
    </row>
    <row r="155" spans="1:87" ht="47.25">
      <c r="A155" s="369">
        <f t="shared" si="254"/>
        <v>110</v>
      </c>
      <c r="B155" s="416">
        <f t="shared" si="254"/>
        <v>3</v>
      </c>
      <c r="C155" s="409" t="s">
        <v>1306</v>
      </c>
      <c r="D155" s="1012" t="s">
        <v>1311</v>
      </c>
      <c r="E155" s="366" t="s">
        <v>998</v>
      </c>
      <c r="F155" s="691" t="s">
        <v>999</v>
      </c>
      <c r="G155" s="691" t="s">
        <v>1158</v>
      </c>
      <c r="H155" s="1001" t="s">
        <v>273</v>
      </c>
      <c r="I155" s="691">
        <v>17697</v>
      </c>
      <c r="J155" s="693">
        <v>11.4</v>
      </c>
      <c r="K155" s="367">
        <f t="shared" si="243"/>
        <v>201745.80000000002</v>
      </c>
      <c r="L155" s="380"/>
      <c r="M155" s="380"/>
      <c r="N155" s="380"/>
      <c r="O155" s="380"/>
      <c r="P155" s="380"/>
      <c r="Q155" s="368">
        <f t="shared" si="244"/>
        <v>0</v>
      </c>
      <c r="R155" s="380"/>
      <c r="S155" s="380"/>
      <c r="T155" s="380"/>
      <c r="U155" s="380"/>
      <c r="V155" s="380">
        <v>4</v>
      </c>
      <c r="W155" s="381">
        <f t="shared" ref="W155" si="255">SUM(R155:V155)</f>
        <v>4</v>
      </c>
      <c r="X155" s="370">
        <f t="shared" si="246"/>
        <v>4</v>
      </c>
      <c r="Y155" s="367">
        <f t="shared" si="247"/>
        <v>50436.450000000004</v>
      </c>
      <c r="Z155" s="367">
        <f t="shared" si="248"/>
        <v>5043.6450000000004</v>
      </c>
      <c r="AA155" s="372"/>
      <c r="AB155" s="367">
        <f t="shared" si="249"/>
        <v>0</v>
      </c>
      <c r="AC155" s="372"/>
      <c r="AD155" s="367">
        <f t="shared" si="250"/>
        <v>0</v>
      </c>
      <c r="AE155" s="366"/>
      <c r="AF155" s="366"/>
      <c r="AG155" s="367"/>
      <c r="AH155" s="372"/>
      <c r="AI155" s="367"/>
      <c r="AJ155" s="372"/>
      <c r="AK155" s="367"/>
      <c r="AL155" s="366">
        <f t="shared" si="252"/>
        <v>4</v>
      </c>
      <c r="AM155" s="367">
        <f t="shared" si="253"/>
        <v>15130.935000000001</v>
      </c>
      <c r="AN155" s="366" t="str">
        <f>F155</f>
        <v>Педагог-шебер</v>
      </c>
      <c r="AO155" s="367">
        <f>IF(AN155="Педагог-зерттеуші", "0", IF(AN155="Педагог-шебер",K155/16*X155*50%, IF(AN155="Педагог-сарапшы", "0", IF(AN155="Педагог-модератор", "0", "0"))))</f>
        <v>25218.225000000002</v>
      </c>
      <c r="AP155" s="367" t="str">
        <f>IF(AN155="Педагог-шебер", "0", IF(AN155="Педагог-зерттеуші",K155/16*X155*40%, IF(AN155="Педагог-сарапшы", "0", IF(AN155="Педагог-модератор", "0", "0"))))</f>
        <v>0</v>
      </c>
      <c r="AQ155" s="367" t="str">
        <f>IF(AN155="Педагог-шебер", "0", IF(AN155="Педагог-сарапшы",K155/16*X155*35%, IF(AN155="Педагог-зерттеуші", "0", IF(AN155="Педагог-модератор", "0", "0"))))</f>
        <v>0</v>
      </c>
      <c r="AR155" s="367" t="str">
        <f>IF(AN155="Педагог-шебер", "0", IF(AN155="Педагог-модератор",K155/16*X155*30%, IF(AN155="Педагог-зерттеуші", "0", IF(AN155="Педагог-сарапшы", "0", "0"))))</f>
        <v>0</v>
      </c>
      <c r="AS155" s="366"/>
      <c r="AT155" s="367"/>
      <c r="AU155" s="372"/>
      <c r="AV155" s="367"/>
      <c r="AW155" s="371" t="str">
        <f t="shared" ref="AW155" si="256">G155</f>
        <v>Магистр</v>
      </c>
      <c r="AX155" s="372">
        <f>10*4552</f>
        <v>45520</v>
      </c>
      <c r="AY155" s="367"/>
      <c r="AZ155" s="367">
        <f>Z155+AB155+AD155+AE155+AG155+AI155+AK155+AM155+AO155+AP155+AQ155++AR155+AT155+AV155+AX155+AY155</f>
        <v>90912.805000000008</v>
      </c>
      <c r="BA155" s="373">
        <f>Y155+AZ155</f>
        <v>141349.255</v>
      </c>
      <c r="BB155" s="374">
        <f t="shared" si="171"/>
        <v>14134.925500000001</v>
      </c>
      <c r="BC155" s="374">
        <f t="shared" si="172"/>
        <v>2826.9851000000003</v>
      </c>
      <c r="BD155" s="374">
        <f>(BA155-BB155-BC155-(14*4552))*10%</f>
        <v>6065.9344400000009</v>
      </c>
      <c r="BE155" s="374">
        <f t="shared" si="174"/>
        <v>118321.40996</v>
      </c>
      <c r="BF155" s="374">
        <f t="shared" si="175"/>
        <v>1696191.06</v>
      </c>
      <c r="BG155" s="374">
        <f>Y155*2</f>
        <v>100872.90000000001</v>
      </c>
      <c r="BH155" s="374">
        <f t="shared" si="177"/>
        <v>1797063.96</v>
      </c>
      <c r="BI155" s="374">
        <f t="shared" si="178"/>
        <v>80867.878200000006</v>
      </c>
      <c r="BJ155" s="374">
        <f t="shared" si="179"/>
        <v>50885.731800000001</v>
      </c>
      <c r="BK155" s="374">
        <f t="shared" si="180"/>
        <v>93309.833508000011</v>
      </c>
      <c r="BL155" s="374">
        <f>BH155*5%</f>
        <v>89853.198000000004</v>
      </c>
      <c r="BM155" s="373">
        <f t="shared" si="186"/>
        <v>2111980.6015079999</v>
      </c>
      <c r="BN155" s="375"/>
      <c r="BO155" s="466"/>
      <c r="BP155" s="466"/>
      <c r="BQ155" s="466"/>
      <c r="BR155" s="466"/>
      <c r="BS155" s="466"/>
      <c r="BT155" s="466"/>
      <c r="BU155" s="466"/>
      <c r="BV155" s="466"/>
      <c r="BW155" s="466"/>
      <c r="BX155" s="466"/>
      <c r="BY155" s="466"/>
      <c r="BZ155" s="466"/>
      <c r="CA155" s="466"/>
      <c r="CB155" s="466"/>
      <c r="CC155" s="466"/>
      <c r="CD155" s="466"/>
      <c r="CE155" s="466"/>
      <c r="CF155" s="466"/>
      <c r="CG155" s="466"/>
      <c r="CH155" s="466"/>
      <c r="CI155" s="466"/>
    </row>
    <row r="156" spans="1:87" ht="14.25">
      <c r="A156" s="489"/>
      <c r="B156" s="489"/>
      <c r="C156" s="490" t="s">
        <v>1162</v>
      </c>
      <c r="D156" s="490"/>
      <c r="E156" s="490"/>
      <c r="F156" s="490"/>
      <c r="G156" s="490"/>
      <c r="H156" s="491"/>
      <c r="I156" s="490"/>
      <c r="J156" s="490"/>
      <c r="K156" s="422">
        <f>SUM(K153:K155)</f>
        <v>601344.06000000006</v>
      </c>
      <c r="L156" s="422">
        <f t="shared" ref="L156:BN156" si="257">SUM(L153:L155)</f>
        <v>10</v>
      </c>
      <c r="M156" s="422">
        <f t="shared" si="257"/>
        <v>10</v>
      </c>
      <c r="N156" s="422">
        <f t="shared" si="257"/>
        <v>9</v>
      </c>
      <c r="O156" s="422">
        <f t="shared" si="257"/>
        <v>9</v>
      </c>
      <c r="P156" s="422">
        <f t="shared" si="257"/>
        <v>9</v>
      </c>
      <c r="Q156" s="422">
        <f t="shared" si="257"/>
        <v>47</v>
      </c>
      <c r="R156" s="422">
        <f t="shared" si="257"/>
        <v>0</v>
      </c>
      <c r="S156" s="422">
        <f t="shared" si="257"/>
        <v>0</v>
      </c>
      <c r="T156" s="422">
        <f t="shared" si="257"/>
        <v>0</v>
      </c>
      <c r="U156" s="422">
        <f t="shared" si="257"/>
        <v>0</v>
      </c>
      <c r="V156" s="422">
        <f t="shared" si="257"/>
        <v>8</v>
      </c>
      <c r="W156" s="422">
        <f t="shared" si="257"/>
        <v>8</v>
      </c>
      <c r="X156" s="422">
        <f t="shared" si="257"/>
        <v>55</v>
      </c>
      <c r="Y156" s="422">
        <f t="shared" si="257"/>
        <v>686444.50875000004</v>
      </c>
      <c r="Z156" s="422">
        <f t="shared" si="257"/>
        <v>68644.45087500001</v>
      </c>
      <c r="AA156" s="422">
        <f t="shared" si="257"/>
        <v>0</v>
      </c>
      <c r="AB156" s="422">
        <f t="shared" si="257"/>
        <v>0</v>
      </c>
      <c r="AC156" s="422">
        <f t="shared" si="257"/>
        <v>0</v>
      </c>
      <c r="AD156" s="422">
        <f t="shared" si="257"/>
        <v>0</v>
      </c>
      <c r="AE156" s="422">
        <f t="shared" si="257"/>
        <v>196600</v>
      </c>
      <c r="AF156" s="422">
        <v>2</v>
      </c>
      <c r="AG156" s="422">
        <f t="shared" si="257"/>
        <v>7078.8</v>
      </c>
      <c r="AH156" s="422">
        <v>2</v>
      </c>
      <c r="AI156" s="422">
        <f t="shared" si="257"/>
        <v>70788</v>
      </c>
      <c r="AJ156" s="422">
        <f t="shared" si="257"/>
        <v>0</v>
      </c>
      <c r="AK156" s="422">
        <f t="shared" si="257"/>
        <v>0</v>
      </c>
      <c r="AL156" s="422">
        <f t="shared" si="257"/>
        <v>55</v>
      </c>
      <c r="AM156" s="422">
        <f t="shared" si="257"/>
        <v>205933.352625</v>
      </c>
      <c r="AN156" s="422">
        <f t="shared" si="257"/>
        <v>0</v>
      </c>
      <c r="AO156" s="422">
        <f t="shared" si="257"/>
        <v>25218.225000000002</v>
      </c>
      <c r="AP156" s="422">
        <f t="shared" si="257"/>
        <v>110960.19000000002</v>
      </c>
      <c r="AQ156" s="422">
        <f t="shared" si="257"/>
        <v>125512.65431249999</v>
      </c>
      <c r="AR156" s="422">
        <f t="shared" si="257"/>
        <v>0</v>
      </c>
      <c r="AS156" s="422">
        <f t="shared" si="257"/>
        <v>0</v>
      </c>
      <c r="AT156" s="422">
        <f t="shared" si="257"/>
        <v>0</v>
      </c>
      <c r="AU156" s="422">
        <f t="shared" si="257"/>
        <v>0</v>
      </c>
      <c r="AV156" s="422">
        <f t="shared" si="257"/>
        <v>0</v>
      </c>
      <c r="AW156" s="422">
        <f t="shared" si="257"/>
        <v>0</v>
      </c>
      <c r="AX156" s="422">
        <f t="shared" si="257"/>
        <v>91040</v>
      </c>
      <c r="AY156" s="422">
        <f t="shared" si="257"/>
        <v>0</v>
      </c>
      <c r="AZ156" s="422">
        <f t="shared" si="257"/>
        <v>901775.67281250004</v>
      </c>
      <c r="BA156" s="422">
        <f t="shared" si="257"/>
        <v>1588220.1815625001</v>
      </c>
      <c r="BB156" s="422">
        <f t="shared" si="257"/>
        <v>158822.01815625001</v>
      </c>
      <c r="BC156" s="422">
        <f t="shared" si="257"/>
        <v>31764.403631250007</v>
      </c>
      <c r="BD156" s="422">
        <f t="shared" si="257"/>
        <v>120644.97597750001</v>
      </c>
      <c r="BE156" s="422">
        <f t="shared" si="257"/>
        <v>1276988.7837975002</v>
      </c>
      <c r="BF156" s="422">
        <f t="shared" si="257"/>
        <v>19058642.178750001</v>
      </c>
      <c r="BG156" s="422">
        <f t="shared" si="257"/>
        <v>1372889.0175000001</v>
      </c>
      <c r="BH156" s="422">
        <f t="shared" si="257"/>
        <v>20431531.196250003</v>
      </c>
      <c r="BI156" s="422">
        <f t="shared" si="257"/>
        <v>919418.90383125015</v>
      </c>
      <c r="BJ156" s="422">
        <f t="shared" si="257"/>
        <v>571759.26536249998</v>
      </c>
      <c r="BK156" s="422">
        <f t="shared" si="257"/>
        <v>1061373.6718042502</v>
      </c>
      <c r="BL156" s="422">
        <f t="shared" si="257"/>
        <v>1021576.5598125</v>
      </c>
      <c r="BM156" s="422">
        <f t="shared" si="257"/>
        <v>24005659.597060502</v>
      </c>
      <c r="BN156" s="422">
        <f t="shared" si="257"/>
        <v>0</v>
      </c>
      <c r="BO156" s="511"/>
      <c r="BP156" s="355"/>
      <c r="BQ156" s="355"/>
      <c r="BR156" s="355"/>
      <c r="BS156" s="355"/>
      <c r="BT156" s="355"/>
      <c r="BU156" s="355"/>
      <c r="BV156" s="355"/>
      <c r="BW156" s="355"/>
      <c r="BX156" s="355"/>
      <c r="BY156" s="355"/>
      <c r="BZ156" s="355"/>
      <c r="CA156" s="355"/>
      <c r="CB156" s="355"/>
      <c r="CC156" s="355"/>
      <c r="CD156" s="355"/>
      <c r="CE156" s="355"/>
      <c r="CF156" s="355"/>
      <c r="CG156" s="355"/>
      <c r="CH156" s="355"/>
      <c r="CI156" s="356"/>
    </row>
    <row r="157" spans="1:87" ht="31.5">
      <c r="A157" s="369">
        <f>A155+1</f>
        <v>111</v>
      </c>
      <c r="B157" s="416">
        <v>1</v>
      </c>
      <c r="C157" s="512" t="s">
        <v>188</v>
      </c>
      <c r="D157" s="412" t="s">
        <v>1312</v>
      </c>
      <c r="E157" s="366" t="s">
        <v>998</v>
      </c>
      <c r="F157" s="366"/>
      <c r="G157" s="366"/>
      <c r="H157" s="371" t="s">
        <v>1313</v>
      </c>
      <c r="I157" s="366">
        <v>17697</v>
      </c>
      <c r="J157" s="367">
        <v>11.4</v>
      </c>
      <c r="K157" s="367">
        <f t="shared" ref="K157:K160" si="258">I157*J157</f>
        <v>201745.80000000002</v>
      </c>
      <c r="L157" s="380"/>
      <c r="M157" s="380"/>
      <c r="N157" s="380"/>
      <c r="O157" s="380">
        <v>5</v>
      </c>
      <c r="P157" s="380">
        <v>5</v>
      </c>
      <c r="Q157" s="368">
        <f t="shared" ref="Q157:Q160" si="259">SUM(L157:P157)</f>
        <v>10</v>
      </c>
      <c r="R157" s="380"/>
      <c r="S157" s="380"/>
      <c r="T157" s="380"/>
      <c r="U157" s="380"/>
      <c r="V157" s="380"/>
      <c r="W157" s="381">
        <f t="shared" ref="W157:W159" si="260">SUM(R157:V157)</f>
        <v>0</v>
      </c>
      <c r="X157" s="370">
        <f t="shared" ref="X157:X160" si="261">Q157+W157</f>
        <v>10</v>
      </c>
      <c r="Y157" s="367">
        <f t="shared" ref="Y157:Y160" si="262">K157/16*X157</f>
        <v>126091.12500000001</v>
      </c>
      <c r="Z157" s="367"/>
      <c r="AA157" s="366">
        <v>10</v>
      </c>
      <c r="AB157" s="367">
        <f t="shared" ref="AB157:AB160" si="263">I157/16*AA157*40%</f>
        <v>4424.25</v>
      </c>
      <c r="AC157" s="366"/>
      <c r="AD157" s="367">
        <f t="shared" ref="AD157:AD160" si="264">I157/16*AC157*40%*50%</f>
        <v>0</v>
      </c>
      <c r="AE157" s="366"/>
      <c r="AF157" s="366"/>
      <c r="AG157" s="367"/>
      <c r="AH157" s="372"/>
      <c r="AI157" s="367"/>
      <c r="AJ157" s="372"/>
      <c r="AK157" s="367"/>
      <c r="AL157" s="366">
        <f t="shared" ref="AL157:AL160" si="265">X157</f>
        <v>10</v>
      </c>
      <c r="AM157" s="367">
        <f t="shared" ref="AM157:AM160" si="266">K157/16*AL157*30%</f>
        <v>37827.337500000001</v>
      </c>
      <c r="AN157" s="366">
        <f>F157</f>
        <v>0</v>
      </c>
      <c r="AO157" s="367" t="str">
        <f>IF(AN157="Педагог-зерттеуші", "0", IF(AN157="Педагог-шебер",K157/16*X157*50%, IF(AN157="Педагог-сарапшы", "0", IF(AN157="Педагог-модератор", "0", "0"))))</f>
        <v>0</v>
      </c>
      <c r="AP157" s="367" t="str">
        <f>IF(AN157="Педагог-шебер", "0", IF(AN157="Педагог-зерттеуші",K157/16*X157*40%, IF(AN157="Педагог-сарапшы", "0", IF(AN157="Педагог-модератор", "0", "0"))))</f>
        <v>0</v>
      </c>
      <c r="AQ157" s="367" t="str">
        <f>IF(AN157="Педагог-шебер", "0", IF(AN157="Педагог-сарапшы",K157/16*X157*35%, IF(AN157="Педагог-зерттеуші", "0", IF(AN157="Педагог-модератор", "0", "0"))))</f>
        <v>0</v>
      </c>
      <c r="AR157" s="367" t="str">
        <f>IF(AN157="Педагог-шебер", "0", IF(AN157="Педагог-модератор",K157/16*X157*30%, IF(AN157="Педагог-зерттеуші", "0", IF(AN157="Педагог-сарапшы", "0", "0"))))</f>
        <v>0</v>
      </c>
      <c r="AS157" s="366"/>
      <c r="AT157" s="367"/>
      <c r="AU157" s="366"/>
      <c r="AV157" s="367"/>
      <c r="AW157" s="371"/>
      <c r="AX157" s="367"/>
      <c r="AY157" s="367"/>
      <c r="AZ157" s="367">
        <f>Z157+AB157+AD157+AE157+AG157+AI157+AK157+AM157+AO157+AP157+AQ157++AR157+AT157+AV157+AX157+AY157</f>
        <v>42251.587500000001</v>
      </c>
      <c r="BA157" s="373">
        <f>Y157+AZ157</f>
        <v>168342.71250000002</v>
      </c>
      <c r="BB157" s="374">
        <f t="shared" si="171"/>
        <v>16834.271250000002</v>
      </c>
      <c r="BC157" s="374">
        <f t="shared" si="172"/>
        <v>3366.8542500000003</v>
      </c>
      <c r="BD157" s="374">
        <f>(BA157-BB157-BC157-(14*4552))*10%</f>
        <v>8441.3587000000025</v>
      </c>
      <c r="BE157" s="374">
        <f t="shared" si="174"/>
        <v>139700.22830000002</v>
      </c>
      <c r="BF157" s="374">
        <f t="shared" si="175"/>
        <v>2020112.5500000003</v>
      </c>
      <c r="BG157" s="374">
        <f>Y157*2</f>
        <v>252182.25000000003</v>
      </c>
      <c r="BH157" s="374">
        <f t="shared" si="177"/>
        <v>2272294.8000000003</v>
      </c>
      <c r="BI157" s="374">
        <f t="shared" si="178"/>
        <v>102253.26600000002</v>
      </c>
      <c r="BJ157" s="374">
        <f t="shared" si="179"/>
        <v>60603.376500000006</v>
      </c>
      <c r="BK157" s="374">
        <f t="shared" si="180"/>
        <v>118259.67159000003</v>
      </c>
      <c r="BL157" s="374">
        <f>BH157*5%</f>
        <v>113614.74000000002</v>
      </c>
      <c r="BM157" s="373">
        <f t="shared" si="186"/>
        <v>2667025.85409</v>
      </c>
      <c r="BN157" s="375">
        <v>1</v>
      </c>
      <c r="BO157" s="377"/>
      <c r="BP157" s="377"/>
      <c r="BQ157" s="377"/>
      <c r="BR157" s="377"/>
      <c r="BS157" s="377"/>
      <c r="BT157" s="377"/>
      <c r="BU157" s="377"/>
      <c r="BV157" s="377"/>
      <c r="BW157" s="377"/>
      <c r="BX157" s="377"/>
      <c r="BY157" s="377"/>
      <c r="BZ157" s="377"/>
      <c r="CA157" s="377"/>
      <c r="CB157" s="377"/>
      <c r="CC157" s="377"/>
      <c r="CD157" s="377"/>
      <c r="CE157" s="377"/>
      <c r="CF157" s="377"/>
      <c r="CG157" s="377"/>
      <c r="CH157" s="377"/>
      <c r="CI157" s="377"/>
    </row>
    <row r="158" spans="1:87" ht="30">
      <c r="A158" s="369">
        <f t="shared" ref="A158:B160" si="267">A157+1</f>
        <v>112</v>
      </c>
      <c r="B158" s="416">
        <f t="shared" si="267"/>
        <v>2</v>
      </c>
      <c r="C158" s="409" t="s">
        <v>1306</v>
      </c>
      <c r="D158" s="414" t="s">
        <v>1314</v>
      </c>
      <c r="E158" s="366" t="s">
        <v>998</v>
      </c>
      <c r="F158" s="366" t="s">
        <v>1005</v>
      </c>
      <c r="G158" s="366"/>
      <c r="H158" s="371" t="s">
        <v>1308</v>
      </c>
      <c r="I158" s="366">
        <v>17697</v>
      </c>
      <c r="J158" s="367">
        <v>11.4</v>
      </c>
      <c r="K158" s="367">
        <f t="shared" si="258"/>
        <v>201745.80000000002</v>
      </c>
      <c r="L158" s="380">
        <v>5</v>
      </c>
      <c r="M158" s="380">
        <v>5</v>
      </c>
      <c r="N158" s="380"/>
      <c r="O158" s="380"/>
      <c r="P158" s="380"/>
      <c r="Q158" s="368">
        <f t="shared" si="259"/>
        <v>10</v>
      </c>
      <c r="R158" s="380"/>
      <c r="S158" s="380"/>
      <c r="T158" s="380"/>
      <c r="U158" s="380"/>
      <c r="V158" s="380"/>
      <c r="W158" s="381">
        <f t="shared" si="260"/>
        <v>0</v>
      </c>
      <c r="X158" s="370">
        <f t="shared" si="261"/>
        <v>10</v>
      </c>
      <c r="Y158" s="367">
        <f t="shared" si="262"/>
        <v>126091.12500000001</v>
      </c>
      <c r="Z158" s="367">
        <f t="shared" ref="Z158:Z160" si="268">Y158*10%</f>
        <v>12609.112500000003</v>
      </c>
      <c r="AA158" s="366">
        <v>10</v>
      </c>
      <c r="AB158" s="367">
        <f t="shared" si="263"/>
        <v>4424.25</v>
      </c>
      <c r="AC158" s="366"/>
      <c r="AD158" s="367">
        <f t="shared" si="264"/>
        <v>0</v>
      </c>
      <c r="AE158" s="366"/>
      <c r="AF158" s="366"/>
      <c r="AG158" s="367"/>
      <c r="AH158" s="372"/>
      <c r="AI158" s="367"/>
      <c r="AJ158" s="372"/>
      <c r="AK158" s="367"/>
      <c r="AL158" s="366">
        <f t="shared" si="265"/>
        <v>10</v>
      </c>
      <c r="AM158" s="367">
        <f t="shared" si="266"/>
        <v>37827.337500000001</v>
      </c>
      <c r="AN158" s="366" t="str">
        <f>F158</f>
        <v>Педагог-зерттеуші</v>
      </c>
      <c r="AO158" s="367" t="str">
        <f>IF(AN158="Педагог-зерттеуші", "0", IF(AN158="Педагог-шебер",K158/16*X158*50%, IF(AN158="Педагог-сарапшы", "0", IF(AN158="Педагог-модератор", "0", "0"))))</f>
        <v>0</v>
      </c>
      <c r="AP158" s="367">
        <f>IF(AN158="Педагог-шебер", "0", IF(AN158="Педагог-зерттеуші",K158/16*X158*40%, IF(AN158="Педагог-сарапшы", "0", IF(AN158="Педагог-модератор", "0", "0"))))</f>
        <v>50436.450000000012</v>
      </c>
      <c r="AQ158" s="367" t="str">
        <f>IF(AN158="Педагог-шебер", "0", IF(AN158="Педагог-сарапшы",K158/16*X158*35%, IF(AN158="Педагог-зерттеуші", "0", IF(AN158="Педагог-модератор", "0", "0"))))</f>
        <v>0</v>
      </c>
      <c r="AR158" s="367" t="str">
        <f>IF(AN158="Педагог-шебер", "0", IF(AN158="Педагог-модератор",K158/16*X158*30%, IF(AN158="Педагог-зерттеуші", "0", IF(AN158="Педагог-сарапшы", "0", "0"))))</f>
        <v>0</v>
      </c>
      <c r="AS158" s="366"/>
      <c r="AT158" s="367"/>
      <c r="AU158" s="366"/>
      <c r="AV158" s="367"/>
      <c r="AW158" s="371"/>
      <c r="AX158" s="367"/>
      <c r="AY158" s="367"/>
      <c r="AZ158" s="367">
        <f>Z158+AB158+AD158+AE158+AG158+AI158+AK158+AM158+AO158+AP158+AQ158++AR158+AT158+AV158+AX158+AY158</f>
        <v>105297.15000000002</v>
      </c>
      <c r="BA158" s="373">
        <f>Y158+AZ158</f>
        <v>231388.27500000002</v>
      </c>
      <c r="BB158" s="374">
        <f t="shared" si="171"/>
        <v>23138.827500000003</v>
      </c>
      <c r="BC158" s="374">
        <f t="shared" si="172"/>
        <v>4627.7655000000004</v>
      </c>
      <c r="BD158" s="374">
        <f>(BA158-BB158-BC158-(14*4552))*10%</f>
        <v>13989.368200000001</v>
      </c>
      <c r="BE158" s="374">
        <f t="shared" si="174"/>
        <v>189632.3138</v>
      </c>
      <c r="BF158" s="374">
        <f t="shared" si="175"/>
        <v>2776659.3000000003</v>
      </c>
      <c r="BG158" s="374">
        <f>Y158*2</f>
        <v>252182.25000000003</v>
      </c>
      <c r="BH158" s="374">
        <f t="shared" si="177"/>
        <v>3028841.5500000003</v>
      </c>
      <c r="BI158" s="374">
        <f t="shared" si="178"/>
        <v>136297.86975000004</v>
      </c>
      <c r="BJ158" s="374">
        <f t="shared" si="179"/>
        <v>83299.77900000001</v>
      </c>
      <c r="BK158" s="374">
        <f t="shared" si="180"/>
        <v>157448.79324</v>
      </c>
      <c r="BL158" s="374">
        <f>BH158*5%</f>
        <v>151442.07750000001</v>
      </c>
      <c r="BM158" s="373">
        <f t="shared" si="186"/>
        <v>3557330.0694900006</v>
      </c>
      <c r="BN158" s="375"/>
      <c r="BO158" s="377"/>
      <c r="BP158" s="377"/>
      <c r="BQ158" s="377"/>
      <c r="BR158" s="377"/>
      <c r="BS158" s="377"/>
      <c r="BT158" s="377"/>
      <c r="BU158" s="377"/>
      <c r="BV158" s="377"/>
      <c r="BW158" s="377"/>
      <c r="BX158" s="377"/>
      <c r="BY158" s="377"/>
      <c r="BZ158" s="377"/>
      <c r="CA158" s="377"/>
      <c r="CB158" s="377"/>
      <c r="CC158" s="377"/>
      <c r="CD158" s="377"/>
      <c r="CE158" s="377"/>
      <c r="CF158" s="377"/>
      <c r="CG158" s="377"/>
      <c r="CH158" s="377"/>
      <c r="CI158" s="377"/>
    </row>
    <row r="159" spans="1:87" ht="110.25">
      <c r="A159" s="369">
        <f t="shared" si="267"/>
        <v>113</v>
      </c>
      <c r="B159" s="416">
        <f t="shared" si="267"/>
        <v>3</v>
      </c>
      <c r="C159" s="513" t="s">
        <v>917</v>
      </c>
      <c r="D159" s="514" t="s">
        <v>1315</v>
      </c>
      <c r="E159" s="392" t="s">
        <v>998</v>
      </c>
      <c r="F159" s="366" t="s">
        <v>1005</v>
      </c>
      <c r="G159" s="366" t="s">
        <v>1316</v>
      </c>
      <c r="H159" s="371" t="s">
        <v>1446</v>
      </c>
      <c r="I159" s="366">
        <v>17697</v>
      </c>
      <c r="J159" s="367">
        <v>10.4</v>
      </c>
      <c r="K159" s="367">
        <f t="shared" si="258"/>
        <v>184048.80000000002</v>
      </c>
      <c r="L159" s="380"/>
      <c r="M159" s="380"/>
      <c r="N159" s="380">
        <v>4</v>
      </c>
      <c r="O159" s="380">
        <v>4</v>
      </c>
      <c r="P159" s="380">
        <v>4</v>
      </c>
      <c r="Q159" s="368">
        <f t="shared" si="259"/>
        <v>12</v>
      </c>
      <c r="R159" s="380"/>
      <c r="S159" s="380">
        <v>9</v>
      </c>
      <c r="T159" s="380"/>
      <c r="U159" s="380"/>
      <c r="V159" s="380">
        <v>15</v>
      </c>
      <c r="W159" s="381">
        <f t="shared" si="260"/>
        <v>24</v>
      </c>
      <c r="X159" s="370">
        <f t="shared" si="261"/>
        <v>36</v>
      </c>
      <c r="Y159" s="367">
        <f t="shared" si="262"/>
        <v>414109.80000000005</v>
      </c>
      <c r="Z159" s="367">
        <f t="shared" si="268"/>
        <v>41410.98000000001</v>
      </c>
      <c r="AA159" s="366">
        <v>12</v>
      </c>
      <c r="AB159" s="367">
        <f t="shared" si="263"/>
        <v>5309.1</v>
      </c>
      <c r="AC159" s="366"/>
      <c r="AD159" s="367">
        <f t="shared" si="264"/>
        <v>0</v>
      </c>
      <c r="AE159" s="366"/>
      <c r="AF159" s="366"/>
      <c r="AG159" s="367"/>
      <c r="AH159" s="366"/>
      <c r="AI159" s="367"/>
      <c r="AJ159" s="372"/>
      <c r="AK159" s="367"/>
      <c r="AL159" s="366">
        <f t="shared" si="265"/>
        <v>36</v>
      </c>
      <c r="AM159" s="367">
        <f t="shared" si="266"/>
        <v>124232.94</v>
      </c>
      <c r="AN159" s="366" t="str">
        <f>F159</f>
        <v>Педагог-зерттеуші</v>
      </c>
      <c r="AO159" s="367" t="str">
        <f>IF(AN159="Педагог-зерттеуші", "0", IF(AN159="Педагог-шебер",K159/16*X159*50%, IF(AN159="Педагог-сарапшы", "0", IF(AN159="Педагог-модератор", "0", "0"))))</f>
        <v>0</v>
      </c>
      <c r="AP159" s="367">
        <f>IF(AN159="Педагог-шебер", "0", IF(AN159="Педагог-зерттеуші",K159/16*X159*40%, IF(AN159="Педагог-сарапшы", "0", IF(AN159="Педагог-модератор", "0", "0"))))</f>
        <v>165643.92000000004</v>
      </c>
      <c r="AQ159" s="367" t="str">
        <f>IF(AN159="Педагог-шебер", "0", IF(AN159="Педагог-сарапшы",K159/16*X159*35%, IF(AN159="Педагог-зерттеуші", "0", IF(AN159="Педагог-модератор", "0", "0"))))</f>
        <v>0</v>
      </c>
      <c r="AR159" s="367" t="str">
        <f>IF(AN159="Педагог-шебер", "0", IF(AN159="Педагог-модератор",K159/16*X159*30%, IF(AN159="Педагог-зерттеуші", "0", IF(AN159="Педагог-сарапшы", "0", "0"))))</f>
        <v>0</v>
      </c>
      <c r="AS159" s="366"/>
      <c r="AT159" s="367"/>
      <c r="AU159" s="366"/>
      <c r="AV159" s="367"/>
      <c r="AW159" s="371" t="str">
        <f>G159</f>
        <v>Магистр-биотехнология</v>
      </c>
      <c r="AX159" s="372">
        <f>10*4552</f>
        <v>45520</v>
      </c>
      <c r="AY159" s="367"/>
      <c r="AZ159" s="367">
        <f>Z159+AB159+AD159+AE159+AG159+AI159+AK159+AM159+AO159+AP159+AQ159++AR159+AT159+AV159+AX159+AY159</f>
        <v>382116.94000000006</v>
      </c>
      <c r="BA159" s="373">
        <f>Y159+AZ159</f>
        <v>796226.74000000011</v>
      </c>
      <c r="BB159" s="374">
        <f t="shared" si="171"/>
        <v>79622.674000000014</v>
      </c>
      <c r="BC159" s="374">
        <f t="shared" si="172"/>
        <v>15924.534800000003</v>
      </c>
      <c r="BD159" s="374">
        <f>(BA159-BB159-BC159-(14*4552))*10%</f>
        <v>63695.15312000001</v>
      </c>
      <c r="BE159" s="374">
        <f t="shared" si="174"/>
        <v>636984.37808000005</v>
      </c>
      <c r="BF159" s="374">
        <f t="shared" si="175"/>
        <v>9554720.8800000008</v>
      </c>
      <c r="BG159" s="374">
        <f>Y159*2</f>
        <v>828219.60000000009</v>
      </c>
      <c r="BH159" s="374">
        <f t="shared" si="177"/>
        <v>10382940.48</v>
      </c>
      <c r="BI159" s="374">
        <f t="shared" si="178"/>
        <v>467232.32160000002</v>
      </c>
      <c r="BJ159" s="374">
        <f t="shared" si="179"/>
        <v>286641.62640000001</v>
      </c>
      <c r="BK159" s="374">
        <f t="shared" si="180"/>
        <v>539658.3999839999</v>
      </c>
      <c r="BL159" s="374">
        <f>BH159*5%</f>
        <v>519147.02400000003</v>
      </c>
      <c r="BM159" s="373">
        <f t="shared" si="186"/>
        <v>12195619.851984</v>
      </c>
      <c r="BN159" s="375"/>
      <c r="BO159" s="377"/>
      <c r="BP159" s="377"/>
      <c r="BQ159" s="377"/>
      <c r="BR159" s="377"/>
      <c r="BS159" s="377"/>
      <c r="BT159" s="377"/>
      <c r="BU159" s="377"/>
      <c r="BV159" s="377"/>
      <c r="BW159" s="377"/>
      <c r="BX159" s="377"/>
      <c r="BY159" s="377"/>
      <c r="BZ159" s="377"/>
      <c r="CA159" s="377"/>
      <c r="CB159" s="377"/>
      <c r="CC159" s="377"/>
      <c r="CD159" s="377"/>
      <c r="CE159" s="377"/>
      <c r="CF159" s="377"/>
      <c r="CG159" s="377"/>
      <c r="CH159" s="377"/>
      <c r="CI159" s="377"/>
    </row>
    <row r="160" spans="1:87" ht="31.5">
      <c r="A160" s="369">
        <f t="shared" si="267"/>
        <v>114</v>
      </c>
      <c r="B160" s="416">
        <f t="shared" si="267"/>
        <v>4</v>
      </c>
      <c r="C160" s="409" t="s">
        <v>1306</v>
      </c>
      <c r="D160" s="514" t="s">
        <v>1318</v>
      </c>
      <c r="E160" s="366" t="s">
        <v>998</v>
      </c>
      <c r="F160" s="691" t="s">
        <v>999</v>
      </c>
      <c r="G160" s="691" t="s">
        <v>1158</v>
      </c>
      <c r="H160" s="1001" t="s">
        <v>273</v>
      </c>
      <c r="I160" s="691">
        <v>17697</v>
      </c>
      <c r="J160" s="693">
        <v>11.4</v>
      </c>
      <c r="K160" s="367">
        <f t="shared" si="258"/>
        <v>201745.80000000002</v>
      </c>
      <c r="L160" s="380">
        <v>5</v>
      </c>
      <c r="M160" s="380">
        <v>5</v>
      </c>
      <c r="N160" s="380">
        <v>5</v>
      </c>
      <c r="O160" s="380"/>
      <c r="P160" s="380"/>
      <c r="Q160" s="368">
        <f t="shared" si="259"/>
        <v>15</v>
      </c>
      <c r="R160" s="380"/>
      <c r="S160" s="380"/>
      <c r="T160" s="380"/>
      <c r="U160" s="380"/>
      <c r="V160" s="380"/>
      <c r="W160" s="381">
        <f t="shared" ref="W160" si="269">SUM(R160:V160)</f>
        <v>0</v>
      </c>
      <c r="X160" s="370">
        <f t="shared" si="261"/>
        <v>15</v>
      </c>
      <c r="Y160" s="367">
        <f t="shared" si="262"/>
        <v>189136.68750000003</v>
      </c>
      <c r="Z160" s="367">
        <f t="shared" si="268"/>
        <v>18913.668750000004</v>
      </c>
      <c r="AA160" s="366">
        <v>15</v>
      </c>
      <c r="AB160" s="367">
        <f t="shared" si="263"/>
        <v>6636.375</v>
      </c>
      <c r="AC160" s="366"/>
      <c r="AD160" s="367">
        <f t="shared" si="264"/>
        <v>0</v>
      </c>
      <c r="AE160" s="366"/>
      <c r="AF160" s="366"/>
      <c r="AG160" s="367"/>
      <c r="AH160" s="366"/>
      <c r="AI160" s="367"/>
      <c r="AJ160" s="372"/>
      <c r="AK160" s="367"/>
      <c r="AL160" s="366">
        <f t="shared" si="265"/>
        <v>15</v>
      </c>
      <c r="AM160" s="367">
        <f t="shared" si="266"/>
        <v>56741.006250000006</v>
      </c>
      <c r="AN160" s="366" t="str">
        <f>F160</f>
        <v>Педагог-шебер</v>
      </c>
      <c r="AO160" s="367">
        <f>IF(AN160="Педагог-зерттеуші", "0", IF(AN160="Педагог-шебер",K160/16*X160*50%, IF(AN160="Педагог-сарапшы", "0", IF(AN160="Педагог-модератор", "0", "0"))))</f>
        <v>94568.343750000015</v>
      </c>
      <c r="AP160" s="367" t="str">
        <f>IF(AN160="Педагог-шебер", "0", IF(AN160="Педагог-зерттеуші",K160/16*X160*40%, IF(AN160="Педагог-сарапшы", "0", IF(AN160="Педагог-модератор", "0", "0"))))</f>
        <v>0</v>
      </c>
      <c r="AQ160" s="367" t="str">
        <f>IF(AN160="Педагог-шебер", "0", IF(AN160="Педагог-сарапшы",K160/16*X160*35%, IF(AN160="Педагог-зерттеуші", "0", IF(AN160="Педагог-модератор", "0", "0"))))</f>
        <v>0</v>
      </c>
      <c r="AR160" s="367" t="str">
        <f>IF(AN160="Педагог-шебер", "0", IF(AN160="Педагог-модератор",K160/16*X160*30%, IF(AN160="Педагог-зерттеуші", "0", IF(AN160="Педагог-сарапшы", "0", "0"))))</f>
        <v>0</v>
      </c>
      <c r="AS160" s="366"/>
      <c r="AT160" s="367"/>
      <c r="AU160" s="366"/>
      <c r="AV160" s="367"/>
      <c r="AW160" s="371" t="str">
        <f>G160</f>
        <v>Магистр</v>
      </c>
      <c r="AX160" s="372">
        <f>10*4552</f>
        <v>45520</v>
      </c>
      <c r="AY160" s="367"/>
      <c r="AZ160" s="367">
        <f>Z160+AB160+AD160+AE160+AG160+AI160+AK160+AM160+AO160+AP160+AQ160++AR160+AT160+AV160+AX160+AY160</f>
        <v>222379.39375000005</v>
      </c>
      <c r="BA160" s="373">
        <f>Y160+AZ160</f>
        <v>411516.08125000005</v>
      </c>
      <c r="BB160" s="374">
        <f t="shared" si="171"/>
        <v>41151.608125000006</v>
      </c>
      <c r="BC160" s="374">
        <f t="shared" si="172"/>
        <v>8230.3216250000005</v>
      </c>
      <c r="BD160" s="374">
        <f>(BA160-BB160-BC160-(14*4552))*10%</f>
        <v>29840.615150000005</v>
      </c>
      <c r="BE160" s="374">
        <f t="shared" si="174"/>
        <v>332293.53635000001</v>
      </c>
      <c r="BF160" s="374">
        <f t="shared" si="175"/>
        <v>4938192.9750000006</v>
      </c>
      <c r="BG160" s="374">
        <f>Y160*2</f>
        <v>378273.37500000006</v>
      </c>
      <c r="BH160" s="374">
        <f t="shared" si="177"/>
        <v>5316466.3500000006</v>
      </c>
      <c r="BI160" s="374">
        <f t="shared" si="178"/>
        <v>239240.98575000005</v>
      </c>
      <c r="BJ160" s="374">
        <f t="shared" si="179"/>
        <v>148145.78925</v>
      </c>
      <c r="BK160" s="374">
        <f t="shared" si="180"/>
        <v>276225.15835500002</v>
      </c>
      <c r="BL160" s="374">
        <f>BH160*5%</f>
        <v>265823.31750000006</v>
      </c>
      <c r="BM160" s="373">
        <f t="shared" si="186"/>
        <v>6245901.6008550012</v>
      </c>
      <c r="BN160" s="375"/>
      <c r="BO160" s="466"/>
      <c r="BP160" s="466"/>
      <c r="BQ160" s="466"/>
      <c r="BR160" s="466"/>
      <c r="BS160" s="466"/>
      <c r="BT160" s="466"/>
      <c r="BU160" s="466"/>
      <c r="BV160" s="466"/>
      <c r="BW160" s="466"/>
      <c r="BX160" s="466"/>
      <c r="BY160" s="466"/>
      <c r="BZ160" s="466"/>
      <c r="CA160" s="466"/>
      <c r="CB160" s="466"/>
      <c r="CC160" s="466"/>
      <c r="CD160" s="466"/>
      <c r="CE160" s="466"/>
      <c r="CF160" s="466"/>
      <c r="CG160" s="466"/>
      <c r="CH160" s="466"/>
      <c r="CI160" s="466"/>
    </row>
    <row r="161" spans="1:87" ht="14.25">
      <c r="A161" s="489"/>
      <c r="B161" s="489"/>
      <c r="C161" s="516" t="s">
        <v>1162</v>
      </c>
      <c r="D161" s="517" t="s">
        <v>549</v>
      </c>
      <c r="E161" s="490"/>
      <c r="F161" s="490"/>
      <c r="G161" s="490"/>
      <c r="H161" s="491"/>
      <c r="I161" s="490"/>
      <c r="J161" s="490"/>
      <c r="K161" s="422">
        <f>SUM(K157:K160)</f>
        <v>789286.20000000007</v>
      </c>
      <c r="L161" s="422">
        <f t="shared" ref="L161:BN161" si="270">SUM(L157:L160)</f>
        <v>10</v>
      </c>
      <c r="M161" s="422">
        <f t="shared" si="270"/>
        <v>10</v>
      </c>
      <c r="N161" s="422">
        <f t="shared" si="270"/>
        <v>9</v>
      </c>
      <c r="O161" s="422">
        <f t="shared" si="270"/>
        <v>9</v>
      </c>
      <c r="P161" s="422">
        <f t="shared" si="270"/>
        <v>9</v>
      </c>
      <c r="Q161" s="422">
        <f t="shared" si="270"/>
        <v>47</v>
      </c>
      <c r="R161" s="422">
        <f t="shared" si="270"/>
        <v>0</v>
      </c>
      <c r="S161" s="422">
        <f t="shared" si="270"/>
        <v>9</v>
      </c>
      <c r="T161" s="422">
        <f t="shared" si="270"/>
        <v>0</v>
      </c>
      <c r="U161" s="422">
        <f t="shared" si="270"/>
        <v>0</v>
      </c>
      <c r="V161" s="422">
        <f t="shared" si="270"/>
        <v>15</v>
      </c>
      <c r="W161" s="422">
        <f t="shared" si="270"/>
        <v>24</v>
      </c>
      <c r="X161" s="422">
        <f t="shared" si="270"/>
        <v>71</v>
      </c>
      <c r="Y161" s="422">
        <f t="shared" si="270"/>
        <v>855428.73750000005</v>
      </c>
      <c r="Z161" s="422">
        <f t="shared" si="270"/>
        <v>72933.76125000001</v>
      </c>
      <c r="AA161" s="422">
        <f t="shared" si="270"/>
        <v>47</v>
      </c>
      <c r="AB161" s="422">
        <f t="shared" si="270"/>
        <v>20793.974999999999</v>
      </c>
      <c r="AC161" s="422">
        <f t="shared" si="270"/>
        <v>0</v>
      </c>
      <c r="AD161" s="422">
        <f t="shared" si="270"/>
        <v>0</v>
      </c>
      <c r="AE161" s="422">
        <f t="shared" si="270"/>
        <v>0</v>
      </c>
      <c r="AF161" s="422">
        <v>1</v>
      </c>
      <c r="AG161" s="422">
        <f t="shared" si="270"/>
        <v>0</v>
      </c>
      <c r="AH161" s="422">
        <f t="shared" si="270"/>
        <v>0</v>
      </c>
      <c r="AI161" s="422">
        <f t="shared" si="270"/>
        <v>0</v>
      </c>
      <c r="AJ161" s="422">
        <f t="shared" si="270"/>
        <v>0</v>
      </c>
      <c r="AK161" s="422">
        <f t="shared" si="270"/>
        <v>0</v>
      </c>
      <c r="AL161" s="422">
        <f t="shared" si="270"/>
        <v>71</v>
      </c>
      <c r="AM161" s="422">
        <f t="shared" si="270"/>
        <v>256628.62125</v>
      </c>
      <c r="AN161" s="422">
        <f t="shared" si="270"/>
        <v>0</v>
      </c>
      <c r="AO161" s="422">
        <f t="shared" si="270"/>
        <v>94568.343750000015</v>
      </c>
      <c r="AP161" s="422">
        <f t="shared" si="270"/>
        <v>216080.37000000005</v>
      </c>
      <c r="AQ161" s="422">
        <f t="shared" si="270"/>
        <v>0</v>
      </c>
      <c r="AR161" s="422">
        <f t="shared" si="270"/>
        <v>0</v>
      </c>
      <c r="AS161" s="422">
        <f t="shared" si="270"/>
        <v>0</v>
      </c>
      <c r="AT161" s="422">
        <f t="shared" si="270"/>
        <v>0</v>
      </c>
      <c r="AU161" s="422">
        <f t="shared" si="270"/>
        <v>0</v>
      </c>
      <c r="AV161" s="422">
        <f t="shared" si="270"/>
        <v>0</v>
      </c>
      <c r="AW161" s="422">
        <f t="shared" si="270"/>
        <v>0</v>
      </c>
      <c r="AX161" s="422">
        <f t="shared" si="270"/>
        <v>91040</v>
      </c>
      <c r="AY161" s="422">
        <f t="shared" si="270"/>
        <v>0</v>
      </c>
      <c r="AZ161" s="422">
        <f t="shared" si="270"/>
        <v>752045.07125000015</v>
      </c>
      <c r="BA161" s="422">
        <f t="shared" si="270"/>
        <v>1607473.8087500001</v>
      </c>
      <c r="BB161" s="422">
        <f t="shared" si="270"/>
        <v>160747.38087500003</v>
      </c>
      <c r="BC161" s="422">
        <f t="shared" si="270"/>
        <v>32149.476175000003</v>
      </c>
      <c r="BD161" s="422">
        <f t="shared" si="270"/>
        <v>115966.49517000001</v>
      </c>
      <c r="BE161" s="422">
        <f t="shared" si="270"/>
        <v>1298610.4565300001</v>
      </c>
      <c r="BF161" s="422">
        <f t="shared" si="270"/>
        <v>19289685.705000002</v>
      </c>
      <c r="BG161" s="422">
        <f t="shared" si="270"/>
        <v>1710857.4750000001</v>
      </c>
      <c r="BH161" s="422">
        <f t="shared" si="270"/>
        <v>21000543.180000003</v>
      </c>
      <c r="BI161" s="422">
        <f t="shared" si="270"/>
        <v>945024.44310000003</v>
      </c>
      <c r="BJ161" s="422">
        <f t="shared" si="270"/>
        <v>578690.57115000009</v>
      </c>
      <c r="BK161" s="422">
        <f t="shared" si="270"/>
        <v>1091592.0231689999</v>
      </c>
      <c r="BL161" s="422">
        <f t="shared" si="270"/>
        <v>1050027.1590000002</v>
      </c>
      <c r="BM161" s="422">
        <f t="shared" si="270"/>
        <v>24665877.376419</v>
      </c>
      <c r="BN161" s="422">
        <f t="shared" si="270"/>
        <v>1</v>
      </c>
      <c r="BO161" s="355"/>
      <c r="BP161" s="355"/>
      <c r="BQ161" s="355"/>
      <c r="BR161" s="355"/>
      <c r="BS161" s="355"/>
      <c r="BT161" s="355"/>
      <c r="BU161" s="355"/>
      <c r="BV161" s="355"/>
      <c r="BW161" s="355"/>
      <c r="BX161" s="355"/>
      <c r="BY161" s="355"/>
      <c r="BZ161" s="355"/>
      <c r="CA161" s="355"/>
      <c r="CB161" s="355"/>
      <c r="CC161" s="355"/>
      <c r="CD161" s="355"/>
      <c r="CE161" s="355"/>
      <c r="CF161" s="355"/>
      <c r="CG161" s="355"/>
      <c r="CH161" s="355"/>
      <c r="CI161" s="356"/>
    </row>
    <row r="162" spans="1:87" ht="47.25">
      <c r="A162" s="369">
        <f>A160+1</f>
        <v>115</v>
      </c>
      <c r="B162" s="428">
        <v>1</v>
      </c>
      <c r="C162" s="415" t="s">
        <v>1319</v>
      </c>
      <c r="D162" s="382" t="s">
        <v>1320</v>
      </c>
      <c r="E162" s="392" t="s">
        <v>998</v>
      </c>
      <c r="F162" s="366" t="s">
        <v>1005</v>
      </c>
      <c r="G162" s="366" t="s">
        <v>1321</v>
      </c>
      <c r="H162" s="371" t="s">
        <v>1447</v>
      </c>
      <c r="I162" s="366">
        <v>17697</v>
      </c>
      <c r="J162" s="367">
        <v>10.4</v>
      </c>
      <c r="K162" s="367">
        <f t="shared" ref="K162:K165" si="271">I162*J162</f>
        <v>184048.80000000002</v>
      </c>
      <c r="L162" s="380"/>
      <c r="M162" s="380">
        <v>8</v>
      </c>
      <c r="N162" s="380">
        <v>8</v>
      </c>
      <c r="O162" s="380">
        <v>4</v>
      </c>
      <c r="P162" s="380">
        <v>4</v>
      </c>
      <c r="Q162" s="368">
        <f t="shared" ref="Q162:Q165" si="272">SUM(L162:P162)</f>
        <v>24</v>
      </c>
      <c r="R162" s="380"/>
      <c r="S162" s="380"/>
      <c r="T162" s="380"/>
      <c r="U162" s="380"/>
      <c r="V162" s="380"/>
      <c r="W162" s="381">
        <f t="shared" ref="W162:W164" si="273">SUM(R162:V162)</f>
        <v>0</v>
      </c>
      <c r="X162" s="370">
        <f t="shared" ref="X162:X165" si="274">Q162+W162</f>
        <v>24</v>
      </c>
      <c r="Y162" s="367">
        <f t="shared" ref="Y162:Y165" si="275">K162/16*X162</f>
        <v>276073.2</v>
      </c>
      <c r="Z162" s="367">
        <f t="shared" ref="Z162:Z165" si="276">Y162*10%</f>
        <v>27607.320000000003</v>
      </c>
      <c r="AA162" s="366">
        <v>24</v>
      </c>
      <c r="AB162" s="367">
        <f t="shared" ref="AB162:AB165" si="277">I162/16*AA162*40%</f>
        <v>10618.2</v>
      </c>
      <c r="AC162" s="372"/>
      <c r="AD162" s="367">
        <f t="shared" ref="AD162:AD165" si="278">I162/16*AC162*40%*50%</f>
        <v>0</v>
      </c>
      <c r="AE162" s="367"/>
      <c r="AF162" s="366" t="s">
        <v>1322</v>
      </c>
      <c r="AG162" s="367">
        <f t="shared" ref="AG162:AG163" si="279">17697*20%</f>
        <v>3539.4</v>
      </c>
      <c r="AH162" s="372"/>
      <c r="AI162" s="367"/>
      <c r="AJ162" s="372"/>
      <c r="AK162" s="367"/>
      <c r="AL162" s="366">
        <f t="shared" ref="AL162:AL165" si="280">X162</f>
        <v>24</v>
      </c>
      <c r="AM162" s="367">
        <f t="shared" ref="AM162:AM165" si="281">K162/16*AL162*30%</f>
        <v>82821.960000000006</v>
      </c>
      <c r="AN162" s="366" t="str">
        <f>F162</f>
        <v>Педагог-зерттеуші</v>
      </c>
      <c r="AO162" s="367" t="str">
        <f>IF(AN162="Педагог-зерттеуші", "0", IF(AN162="Педагог-шебер",K162/16*X162*50%, IF(AN162="Педагог-сарапшы", "0", IF(AN162="Педагог-модератор", "0", "0"))))</f>
        <v>0</v>
      </c>
      <c r="AP162" s="367">
        <f>IF(AN162="Педагог-шебер", "0", IF(AN162="Педагог-зерттеуші",K162/16*X162*40%, IF(AN162="Педагог-сарапшы", "0", IF(AN162="Педагог-модератор", "0", "0"))))</f>
        <v>110429.28000000001</v>
      </c>
      <c r="AQ162" s="367" t="str">
        <f>IF(AN162="Педагог-шебер", "0", IF(AN162="Педагог-сарапшы",K162/16*X162*35%, IF(AN162="Педагог-зерттеуші", "0", IF(AN162="Педагог-модератор", "0", "0"))))</f>
        <v>0</v>
      </c>
      <c r="AR162" s="367" t="str">
        <f>IF(AN162="Педагог-шебер", "0", IF(AN162="Педагог-модератор",K162/16*X162*30%, IF(AN162="Педагог-зерттеуші", "0", IF(AN162="Педагог-сарапшы", "0", "0"))))</f>
        <v>0</v>
      </c>
      <c r="AS162" s="366"/>
      <c r="AT162" s="367"/>
      <c r="AU162" s="372"/>
      <c r="AV162" s="367"/>
      <c r="AW162" s="366" t="str">
        <f>G162</f>
        <v>Магистр-химия, доктор PhD</v>
      </c>
      <c r="AX162" s="372">
        <f>(10*4552)+(17*4552)</f>
        <v>122904</v>
      </c>
      <c r="AY162" s="427"/>
      <c r="AZ162" s="367">
        <f>Z162+AB162+AD162+AE162+AG162+AI162+AK162+AM162+AO162+AP162+AQ162++AR162+AT162+AV162+AX162+AY162</f>
        <v>357920.16000000003</v>
      </c>
      <c r="BA162" s="373">
        <f>Y162+AZ162</f>
        <v>633993.3600000001</v>
      </c>
      <c r="BB162" s="374">
        <f t="shared" si="171"/>
        <v>63399.33600000001</v>
      </c>
      <c r="BC162" s="374">
        <f t="shared" si="172"/>
        <v>12679.867200000002</v>
      </c>
      <c r="BD162" s="374">
        <f>(BA162-BB162-BC162-(14*4552))*10%</f>
        <v>49418.615680000017</v>
      </c>
      <c r="BE162" s="374">
        <f t="shared" si="174"/>
        <v>508495.54112000007</v>
      </c>
      <c r="BF162" s="374">
        <f t="shared" si="175"/>
        <v>7607920.3200000012</v>
      </c>
      <c r="BG162" s="374">
        <f>Y162*2</f>
        <v>552146.4</v>
      </c>
      <c r="BH162" s="374">
        <f t="shared" si="177"/>
        <v>8160066.7200000016</v>
      </c>
      <c r="BI162" s="374">
        <f t="shared" si="178"/>
        <v>367203.00240000011</v>
      </c>
      <c r="BJ162" s="374">
        <f t="shared" si="179"/>
        <v>228237.60960000003</v>
      </c>
      <c r="BK162" s="374">
        <f t="shared" si="180"/>
        <v>423906.17817600002</v>
      </c>
      <c r="BL162" s="374">
        <f>BH162*5%</f>
        <v>408003.33600000013</v>
      </c>
      <c r="BM162" s="373">
        <f t="shared" si="186"/>
        <v>9587416.8461760022</v>
      </c>
      <c r="BN162" s="375"/>
      <c r="BO162" s="377"/>
      <c r="BP162" s="377"/>
      <c r="BQ162" s="377"/>
      <c r="BR162" s="377"/>
      <c r="BS162" s="377"/>
      <c r="BT162" s="377"/>
      <c r="BU162" s="377"/>
      <c r="BV162" s="377"/>
      <c r="BW162" s="377"/>
      <c r="BX162" s="377"/>
      <c r="BY162" s="377"/>
      <c r="BZ162" s="377"/>
      <c r="CA162" s="377"/>
      <c r="CB162" s="377"/>
      <c r="CC162" s="377"/>
      <c r="CD162" s="377"/>
      <c r="CE162" s="377"/>
      <c r="CF162" s="377"/>
      <c r="CG162" s="377"/>
      <c r="CH162" s="377"/>
      <c r="CI162" s="377"/>
    </row>
    <row r="163" spans="1:87" ht="47.25">
      <c r="A163" s="369">
        <f t="shared" ref="A163:B165" si="282">A162+1</f>
        <v>116</v>
      </c>
      <c r="B163" s="416">
        <f t="shared" si="282"/>
        <v>2</v>
      </c>
      <c r="C163" s="518" t="s">
        <v>1323</v>
      </c>
      <c r="D163" s="519" t="s">
        <v>1324</v>
      </c>
      <c r="E163" s="366" t="s">
        <v>998</v>
      </c>
      <c r="F163" s="366" t="s">
        <v>1005</v>
      </c>
      <c r="G163" s="366" t="s">
        <v>1325</v>
      </c>
      <c r="H163" s="371" t="s">
        <v>1448</v>
      </c>
      <c r="I163" s="366">
        <v>17697</v>
      </c>
      <c r="J163" s="367">
        <v>10.82</v>
      </c>
      <c r="K163" s="367">
        <f t="shared" si="271"/>
        <v>191481.54</v>
      </c>
      <c r="L163" s="380"/>
      <c r="M163" s="380"/>
      <c r="N163" s="380">
        <v>8</v>
      </c>
      <c r="O163" s="380">
        <v>5</v>
      </c>
      <c r="P163" s="380">
        <v>5</v>
      </c>
      <c r="Q163" s="368">
        <f t="shared" si="272"/>
        <v>18</v>
      </c>
      <c r="R163" s="380"/>
      <c r="S163" s="380"/>
      <c r="T163" s="380"/>
      <c r="U163" s="380"/>
      <c r="V163" s="380"/>
      <c r="W163" s="381">
        <f t="shared" si="273"/>
        <v>0</v>
      </c>
      <c r="X163" s="370">
        <f t="shared" si="274"/>
        <v>18</v>
      </c>
      <c r="Y163" s="367">
        <f t="shared" si="275"/>
        <v>215416.73250000001</v>
      </c>
      <c r="Z163" s="367">
        <f t="shared" si="276"/>
        <v>21541.673250000003</v>
      </c>
      <c r="AA163" s="366">
        <v>18</v>
      </c>
      <c r="AB163" s="367">
        <f t="shared" si="277"/>
        <v>7963.6500000000005</v>
      </c>
      <c r="AC163" s="366"/>
      <c r="AD163" s="367">
        <f t="shared" si="278"/>
        <v>0</v>
      </c>
      <c r="AE163" s="366"/>
      <c r="AF163" s="366" t="s">
        <v>1326</v>
      </c>
      <c r="AG163" s="367">
        <f t="shared" si="279"/>
        <v>3539.4</v>
      </c>
      <c r="AH163" s="366"/>
      <c r="AI163" s="367"/>
      <c r="AJ163" s="372"/>
      <c r="AK163" s="367"/>
      <c r="AL163" s="366">
        <f t="shared" si="280"/>
        <v>18</v>
      </c>
      <c r="AM163" s="367">
        <f t="shared" si="281"/>
        <v>64625.019749999999</v>
      </c>
      <c r="AN163" s="366" t="str">
        <f>F163</f>
        <v>Педагог-зерттеуші</v>
      </c>
      <c r="AO163" s="367" t="str">
        <f>IF(AN163="Педагог-зерттеуші", "0", IF(AN163="Педагог-шебер",K163/16*X163*50%, IF(AN163="Педагог-сарапшы", "0", IF(AN163="Педагог-модератор", "0", "0"))))</f>
        <v>0</v>
      </c>
      <c r="AP163" s="367">
        <f>IF(AN163="Педагог-шебер", "0", IF(AN163="Педагог-зерттеуші",K163/16*X163*40%, IF(AN163="Педагог-сарапшы", "0", IF(AN163="Педагог-модератор", "0", "0"))))</f>
        <v>86166.693000000014</v>
      </c>
      <c r="AQ163" s="367" t="str">
        <f>IF(AN163="Педагог-шебер", "0", IF(AN163="Педагог-сарапшы",K163/16*X163*35%, IF(AN163="Педагог-зерттеуші", "0", IF(AN163="Педагог-модератор", "0", "0"))))</f>
        <v>0</v>
      </c>
      <c r="AR163" s="367" t="str">
        <f>IF(AN163="Педагог-шебер", "0", IF(AN163="Педагог-модератор",K163/16*X163*30%, IF(AN163="Педагог-зерттеуші", "0", IF(AN163="Педагог-сарапшы", "0", "0"))))</f>
        <v>0</v>
      </c>
      <c r="AS163" s="366"/>
      <c r="AT163" s="367"/>
      <c r="AU163" s="371"/>
      <c r="AV163" s="367"/>
      <c r="AW163" s="366" t="str">
        <f>G163</f>
        <v>Магистр-химия</v>
      </c>
      <c r="AX163" s="520">
        <f>10*4552</f>
        <v>45520</v>
      </c>
      <c r="AY163" s="521"/>
      <c r="AZ163" s="367">
        <f>Z163+AB163+AD163+AE163+AG163+AI163+AK163+AM163+AO163+AP163+AQ163++AR163+AT163+AV163+AX163+AY163</f>
        <v>229356.43600000002</v>
      </c>
      <c r="BA163" s="373">
        <f>Y163+AZ163</f>
        <v>444773.16850000003</v>
      </c>
      <c r="BB163" s="374">
        <f t="shared" si="171"/>
        <v>44477.316850000003</v>
      </c>
      <c r="BC163" s="374">
        <f t="shared" si="172"/>
        <v>8895.4633700000013</v>
      </c>
      <c r="BD163" s="374">
        <f>(BA163-BB163-BC163-(14*4552))*10%</f>
        <v>32767.238828000001</v>
      </c>
      <c r="BE163" s="374">
        <f t="shared" si="174"/>
        <v>358633.14945200004</v>
      </c>
      <c r="BF163" s="374">
        <f t="shared" si="175"/>
        <v>5337278.0219999999</v>
      </c>
      <c r="BG163" s="374">
        <f>Y163*2</f>
        <v>430833.46500000003</v>
      </c>
      <c r="BH163" s="374">
        <f t="shared" si="177"/>
        <v>5768111.4869999997</v>
      </c>
      <c r="BI163" s="374">
        <f t="shared" si="178"/>
        <v>259565.01691500001</v>
      </c>
      <c r="BJ163" s="374">
        <f t="shared" si="179"/>
        <v>160118.34065999999</v>
      </c>
      <c r="BK163" s="374">
        <f t="shared" si="180"/>
        <v>299736.00864959997</v>
      </c>
      <c r="BL163" s="374">
        <f>BH163*5%</f>
        <v>288405.57435000001</v>
      </c>
      <c r="BM163" s="373">
        <f t="shared" si="186"/>
        <v>6775936.4275746001</v>
      </c>
      <c r="BN163" s="375"/>
      <c r="BO163" s="377"/>
      <c r="BP163" s="377"/>
      <c r="BQ163" s="377"/>
      <c r="BR163" s="377"/>
      <c r="BS163" s="377"/>
      <c r="BT163" s="377"/>
      <c r="BU163" s="377"/>
      <c r="BV163" s="377"/>
      <c r="BW163" s="377"/>
      <c r="BX163" s="377"/>
      <c r="BY163" s="377"/>
      <c r="BZ163" s="377"/>
      <c r="CA163" s="377"/>
      <c r="CB163" s="377"/>
      <c r="CC163" s="377"/>
      <c r="CD163" s="377"/>
      <c r="CE163" s="377"/>
      <c r="CF163" s="377"/>
      <c r="CG163" s="377"/>
      <c r="CH163" s="377"/>
      <c r="CI163" s="377"/>
    </row>
    <row r="164" spans="1:87" ht="94.5">
      <c r="A164" s="369">
        <f t="shared" si="282"/>
        <v>117</v>
      </c>
      <c r="B164" s="416">
        <f t="shared" si="282"/>
        <v>3</v>
      </c>
      <c r="C164" s="702" t="s">
        <v>1327</v>
      </c>
      <c r="D164" s="522" t="s">
        <v>1328</v>
      </c>
      <c r="E164" s="392" t="s">
        <v>998</v>
      </c>
      <c r="F164" s="366" t="s">
        <v>254</v>
      </c>
      <c r="G164" s="366" t="s">
        <v>1325</v>
      </c>
      <c r="H164" s="371" t="s">
        <v>1449</v>
      </c>
      <c r="I164" s="366">
        <v>17697</v>
      </c>
      <c r="J164" s="367">
        <v>9.66</v>
      </c>
      <c r="K164" s="367">
        <f t="shared" si="271"/>
        <v>170953.02</v>
      </c>
      <c r="L164" s="380"/>
      <c r="M164" s="380">
        <v>8</v>
      </c>
      <c r="N164" s="380"/>
      <c r="O164" s="380"/>
      <c r="P164" s="380"/>
      <c r="Q164" s="368">
        <f t="shared" si="272"/>
        <v>8</v>
      </c>
      <c r="R164" s="380"/>
      <c r="S164" s="380">
        <v>1</v>
      </c>
      <c r="T164" s="380"/>
      <c r="U164" s="380"/>
      <c r="V164" s="380">
        <v>15</v>
      </c>
      <c r="W164" s="381">
        <f t="shared" si="273"/>
        <v>16</v>
      </c>
      <c r="X164" s="370">
        <f t="shared" si="274"/>
        <v>24</v>
      </c>
      <c r="Y164" s="367">
        <f t="shared" si="275"/>
        <v>256429.52999999997</v>
      </c>
      <c r="Z164" s="367">
        <f t="shared" si="276"/>
        <v>25642.952999999998</v>
      </c>
      <c r="AA164" s="366">
        <v>24</v>
      </c>
      <c r="AB164" s="367">
        <f t="shared" si="277"/>
        <v>10618.2</v>
      </c>
      <c r="AC164" s="366"/>
      <c r="AD164" s="367">
        <f t="shared" si="278"/>
        <v>0</v>
      </c>
      <c r="AE164" s="366"/>
      <c r="AF164" s="366"/>
      <c r="AG164" s="367"/>
      <c r="AH164" s="366"/>
      <c r="AI164" s="367"/>
      <c r="AJ164" s="372"/>
      <c r="AK164" s="367"/>
      <c r="AL164" s="366">
        <f t="shared" si="280"/>
        <v>24</v>
      </c>
      <c r="AM164" s="367">
        <f t="shared" si="281"/>
        <v>76928.858999999982</v>
      </c>
      <c r="AN164" s="366" t="str">
        <f>F164</f>
        <v>Педагог-модератор</v>
      </c>
      <c r="AO164" s="367" t="str">
        <f>IF(AN164="Педагог-зерттеуші", "0", IF(AN164="Педагог-шебер",K164/16*X164*50%, IF(AN164="Педагог-сарапшы", "0", IF(AN164="Педагог-модератор", "0", "0"))))</f>
        <v>0</v>
      </c>
      <c r="AP164" s="367" t="str">
        <f>IF(AN164="Педагог-шебер", "0", IF(AN164="Педагог-зерттеуші",K164/16*X164*40%, IF(AN164="Педагог-сарапшы", "0", IF(AN164="Педагог-модератор", "0", "0"))))</f>
        <v>0</v>
      </c>
      <c r="AQ164" s="367" t="str">
        <f>IF(AN164="Педагог-шебер", "0", IF(AN164="Педагог-сарапшы",K164/16*X164*35%, IF(AN164="Педагог-зерттеуші", "0", IF(AN164="Педагог-модератор", "0", "0"))))</f>
        <v>0</v>
      </c>
      <c r="AR164" s="367">
        <f>IF(AN164="Педагог-шебер", "0", IF(AN164="Педагог-модератор",K164/16*X164*30%, IF(AN164="Педагог-зерттеуші", "0", IF(AN164="Педагог-сарапшы", "0", "0"))))</f>
        <v>76928.858999999982</v>
      </c>
      <c r="AS164" s="366"/>
      <c r="AT164" s="367"/>
      <c r="AU164" s="366"/>
      <c r="AV164" s="367"/>
      <c r="AW164" s="366" t="str">
        <f>G164</f>
        <v>Магистр-химия</v>
      </c>
      <c r="AX164" s="520">
        <f>10*4552</f>
        <v>45520</v>
      </c>
      <c r="AY164" s="521"/>
      <c r="AZ164" s="367">
        <f>Z164+AB164+AD164+AE164+AG164+AI164+AK164+AM164+AO164+AP164+AQ164++AR164+AT164+AV164+AX164+AY164</f>
        <v>235638.87099999998</v>
      </c>
      <c r="BA164" s="373">
        <f>Y164+AZ164</f>
        <v>492068.40099999995</v>
      </c>
      <c r="BB164" s="374">
        <f t="shared" si="171"/>
        <v>49206.840100000001</v>
      </c>
      <c r="BC164" s="374">
        <f t="shared" si="172"/>
        <v>9841.3680199999999</v>
      </c>
      <c r="BD164" s="374">
        <f>(BA164-BB164-BC164-(14*4552))*10%</f>
        <v>36929.219287999993</v>
      </c>
      <c r="BE164" s="374">
        <f t="shared" si="174"/>
        <v>396090.97359199997</v>
      </c>
      <c r="BF164" s="374">
        <f t="shared" si="175"/>
        <v>5904820.811999999</v>
      </c>
      <c r="BG164" s="374">
        <f>Y164*2</f>
        <v>512859.05999999994</v>
      </c>
      <c r="BH164" s="374">
        <f t="shared" si="177"/>
        <v>6417679.8719999986</v>
      </c>
      <c r="BI164" s="374">
        <f t="shared" si="178"/>
        <v>288795.59423999995</v>
      </c>
      <c r="BJ164" s="374">
        <f t="shared" si="179"/>
        <v>177144.62435999996</v>
      </c>
      <c r="BK164" s="374">
        <f t="shared" si="180"/>
        <v>333564.10730159999</v>
      </c>
      <c r="BL164" s="374">
        <f>BH164*5%</f>
        <v>320883.99359999993</v>
      </c>
      <c r="BM164" s="373">
        <f t="shared" si="186"/>
        <v>7538068.1915015979</v>
      </c>
      <c r="BN164" s="375"/>
      <c r="BO164" s="377"/>
      <c r="BP164" s="377"/>
      <c r="BQ164" s="377"/>
      <c r="BR164" s="377"/>
      <c r="BS164" s="377"/>
      <c r="BT164" s="377"/>
      <c r="BU164" s="377"/>
      <c r="BV164" s="377"/>
      <c r="BW164" s="377"/>
      <c r="BX164" s="377"/>
      <c r="BY164" s="377"/>
      <c r="BZ164" s="377"/>
      <c r="CA164" s="377"/>
      <c r="CB164" s="377"/>
      <c r="CC164" s="377"/>
      <c r="CD164" s="377"/>
      <c r="CE164" s="377"/>
      <c r="CF164" s="377"/>
      <c r="CG164" s="377"/>
      <c r="CH164" s="377"/>
      <c r="CI164" s="377"/>
    </row>
    <row r="165" spans="1:87" ht="47.25">
      <c r="A165" s="369">
        <f t="shared" si="282"/>
        <v>118</v>
      </c>
      <c r="B165" s="416">
        <f t="shared" si="282"/>
        <v>4</v>
      </c>
      <c r="C165" s="518" t="s">
        <v>1323</v>
      </c>
      <c r="D165" s="514" t="s">
        <v>1329</v>
      </c>
      <c r="E165" s="366" t="s">
        <v>998</v>
      </c>
      <c r="F165" s="691" t="s">
        <v>999</v>
      </c>
      <c r="G165" s="691" t="s">
        <v>1158</v>
      </c>
      <c r="H165" s="1001" t="s">
        <v>273</v>
      </c>
      <c r="I165" s="691">
        <v>17697</v>
      </c>
      <c r="J165" s="693">
        <v>11.4</v>
      </c>
      <c r="K165" s="367">
        <f t="shared" si="271"/>
        <v>201745.80000000002</v>
      </c>
      <c r="L165" s="380">
        <v>10</v>
      </c>
      <c r="M165" s="380">
        <v>4</v>
      </c>
      <c r="N165" s="380">
        <v>2</v>
      </c>
      <c r="O165" s="380"/>
      <c r="P165" s="380"/>
      <c r="Q165" s="368">
        <f t="shared" si="272"/>
        <v>16</v>
      </c>
      <c r="R165" s="380"/>
      <c r="S165" s="380"/>
      <c r="T165" s="380"/>
      <c r="U165" s="380"/>
      <c r="V165" s="380"/>
      <c r="W165" s="381">
        <f t="shared" ref="W165" si="283">SUM(R165:V165)</f>
        <v>0</v>
      </c>
      <c r="X165" s="370">
        <f t="shared" si="274"/>
        <v>16</v>
      </c>
      <c r="Y165" s="367">
        <f t="shared" si="275"/>
        <v>201745.80000000002</v>
      </c>
      <c r="Z165" s="367">
        <f t="shared" si="276"/>
        <v>20174.580000000002</v>
      </c>
      <c r="AA165" s="366">
        <v>16</v>
      </c>
      <c r="AB165" s="367">
        <f t="shared" si="277"/>
        <v>7078.8</v>
      </c>
      <c r="AC165" s="366"/>
      <c r="AD165" s="367">
        <f t="shared" si="278"/>
        <v>0</v>
      </c>
      <c r="AE165" s="366"/>
      <c r="AF165" s="366"/>
      <c r="AG165" s="367"/>
      <c r="AH165" s="366"/>
      <c r="AI165" s="367"/>
      <c r="AJ165" s="372"/>
      <c r="AK165" s="367"/>
      <c r="AL165" s="366">
        <f t="shared" si="280"/>
        <v>16</v>
      </c>
      <c r="AM165" s="367">
        <f t="shared" si="281"/>
        <v>60523.740000000005</v>
      </c>
      <c r="AN165" s="366" t="str">
        <f>F165</f>
        <v>Педагог-шебер</v>
      </c>
      <c r="AO165" s="367">
        <f>IF(AN165="Педагог-зерттеуші", "0", IF(AN165="Педагог-шебер",K165/16*X165*50%, IF(AN165="Педагог-сарапшы", "0", IF(AN165="Педагог-модератор", "0", "0"))))</f>
        <v>100872.90000000001</v>
      </c>
      <c r="AP165" s="367" t="str">
        <f>IF(AN165="Педагог-шебер", "0", IF(AN165="Педагог-зерттеуші",K165/16*X165*40%, IF(AN165="Педагог-сарапшы", "0", IF(AN165="Педагог-модератор", "0", "0"))))</f>
        <v>0</v>
      </c>
      <c r="AQ165" s="367" t="str">
        <f>IF(AN165="Педагог-шебер", "0", IF(AN165="Педагог-сарапшы",K165/16*X165*35%, IF(AN165="Педагог-зерттеуші", "0", IF(AN165="Педагог-модератор", "0", "0"))))</f>
        <v>0</v>
      </c>
      <c r="AR165" s="367" t="str">
        <f>IF(AN165="Педагог-шебер", "0", IF(AN165="Педагог-модератор",K165/16*X165*30%, IF(AN165="Педагог-зерттеуші", "0", IF(AN165="Педагог-сарапшы", "0", "0"))))</f>
        <v>0</v>
      </c>
      <c r="AS165" s="366"/>
      <c r="AT165" s="367"/>
      <c r="AU165" s="366"/>
      <c r="AV165" s="367"/>
      <c r="AW165" s="366" t="str">
        <f>G165</f>
        <v>Магистр</v>
      </c>
      <c r="AX165" s="520">
        <f>10*4552</f>
        <v>45520</v>
      </c>
      <c r="AY165" s="521"/>
      <c r="AZ165" s="367">
        <f>Z165+AB165+AD165+AE165+AG165+AI165+AK165+AM165+AO165+AP165+AQ165++AR165+AT165+AV165+AX165+AY165</f>
        <v>234170.02000000002</v>
      </c>
      <c r="BA165" s="373">
        <f>Y165+AZ165</f>
        <v>435915.82000000007</v>
      </c>
      <c r="BB165" s="374">
        <f t="shared" si="171"/>
        <v>43591.582000000009</v>
      </c>
      <c r="BC165" s="374">
        <f t="shared" si="172"/>
        <v>8718.3164000000015</v>
      </c>
      <c r="BD165" s="374">
        <f>(BA165-BB165-BC165-(14*4552))*10%</f>
        <v>31987.792160000008</v>
      </c>
      <c r="BE165" s="374">
        <f t="shared" si="174"/>
        <v>351618.12944000005</v>
      </c>
      <c r="BF165" s="374">
        <f t="shared" si="175"/>
        <v>5230989.8400000008</v>
      </c>
      <c r="BG165" s="374">
        <f>Y165*2</f>
        <v>403491.60000000003</v>
      </c>
      <c r="BH165" s="374">
        <f t="shared" si="177"/>
        <v>5634481.4400000004</v>
      </c>
      <c r="BI165" s="374">
        <f t="shared" si="178"/>
        <v>253551.66480000003</v>
      </c>
      <c r="BJ165" s="374">
        <f t="shared" si="179"/>
        <v>156929.69520000002</v>
      </c>
      <c r="BK165" s="374">
        <f t="shared" si="180"/>
        <v>292753.82011199999</v>
      </c>
      <c r="BL165" s="374">
        <f>BH165*5%</f>
        <v>281724.07200000004</v>
      </c>
      <c r="BM165" s="373">
        <f t="shared" si="186"/>
        <v>6619440.6921120007</v>
      </c>
      <c r="BN165" s="375"/>
      <c r="BO165" s="466"/>
      <c r="BP165" s="466"/>
      <c r="BQ165" s="466"/>
      <c r="BR165" s="466"/>
      <c r="BS165" s="466"/>
      <c r="BT165" s="466"/>
      <c r="BU165" s="466"/>
      <c r="BV165" s="466"/>
      <c r="BW165" s="466"/>
      <c r="BX165" s="466"/>
      <c r="BY165" s="466"/>
      <c r="BZ165" s="466"/>
      <c r="CA165" s="466"/>
      <c r="CB165" s="466"/>
      <c r="CC165" s="466"/>
      <c r="CD165" s="466"/>
      <c r="CE165" s="466"/>
      <c r="CF165" s="466"/>
      <c r="CG165" s="466"/>
      <c r="CH165" s="466"/>
      <c r="CI165" s="466"/>
    </row>
    <row r="166" spans="1:87" ht="14.25">
      <c r="A166" s="489"/>
      <c r="B166" s="489"/>
      <c r="C166" s="490" t="s">
        <v>1162</v>
      </c>
      <c r="D166" s="524"/>
      <c r="E166" s="490"/>
      <c r="F166" s="490"/>
      <c r="G166" s="490"/>
      <c r="H166" s="491"/>
      <c r="I166" s="490"/>
      <c r="J166" s="490"/>
      <c r="K166" s="422">
        <f>SUM(K162:K165)</f>
        <v>748229.16</v>
      </c>
      <c r="L166" s="422">
        <f t="shared" ref="L166:BN166" si="284">SUM(L162:L165)</f>
        <v>10</v>
      </c>
      <c r="M166" s="422">
        <f t="shared" si="284"/>
        <v>20</v>
      </c>
      <c r="N166" s="422">
        <f t="shared" si="284"/>
        <v>18</v>
      </c>
      <c r="O166" s="422">
        <f t="shared" si="284"/>
        <v>9</v>
      </c>
      <c r="P166" s="422">
        <f t="shared" si="284"/>
        <v>9</v>
      </c>
      <c r="Q166" s="422">
        <f t="shared" si="284"/>
        <v>66</v>
      </c>
      <c r="R166" s="422">
        <f t="shared" si="284"/>
        <v>0</v>
      </c>
      <c r="S166" s="422">
        <f t="shared" si="284"/>
        <v>1</v>
      </c>
      <c r="T166" s="422">
        <f t="shared" si="284"/>
        <v>0</v>
      </c>
      <c r="U166" s="422">
        <f t="shared" si="284"/>
        <v>0</v>
      </c>
      <c r="V166" s="422">
        <f t="shared" si="284"/>
        <v>15</v>
      </c>
      <c r="W166" s="422">
        <f t="shared" si="284"/>
        <v>16</v>
      </c>
      <c r="X166" s="422">
        <f t="shared" si="284"/>
        <v>82</v>
      </c>
      <c r="Y166" s="422">
        <f t="shared" si="284"/>
        <v>949665.26249999995</v>
      </c>
      <c r="Z166" s="422">
        <f t="shared" si="284"/>
        <v>94966.52625000001</v>
      </c>
      <c r="AA166" s="422">
        <f t="shared" si="284"/>
        <v>82</v>
      </c>
      <c r="AB166" s="422">
        <f t="shared" si="284"/>
        <v>36278.850000000006</v>
      </c>
      <c r="AC166" s="422">
        <f t="shared" si="284"/>
        <v>0</v>
      </c>
      <c r="AD166" s="422">
        <f t="shared" si="284"/>
        <v>0</v>
      </c>
      <c r="AE166" s="422">
        <f t="shared" si="284"/>
        <v>0</v>
      </c>
      <c r="AF166" s="422">
        <v>2</v>
      </c>
      <c r="AG166" s="422">
        <f t="shared" si="284"/>
        <v>7078.8</v>
      </c>
      <c r="AH166" s="422">
        <f t="shared" si="284"/>
        <v>0</v>
      </c>
      <c r="AI166" s="422">
        <f t="shared" si="284"/>
        <v>0</v>
      </c>
      <c r="AJ166" s="422">
        <f t="shared" si="284"/>
        <v>0</v>
      </c>
      <c r="AK166" s="422">
        <f t="shared" si="284"/>
        <v>0</v>
      </c>
      <c r="AL166" s="422">
        <f t="shared" si="284"/>
        <v>82</v>
      </c>
      <c r="AM166" s="422">
        <f t="shared" si="284"/>
        <v>284899.57874999999</v>
      </c>
      <c r="AN166" s="422">
        <f t="shared" si="284"/>
        <v>0</v>
      </c>
      <c r="AO166" s="422">
        <f t="shared" si="284"/>
        <v>100872.90000000001</v>
      </c>
      <c r="AP166" s="422">
        <f t="shared" si="284"/>
        <v>196595.97300000003</v>
      </c>
      <c r="AQ166" s="422">
        <f t="shared" si="284"/>
        <v>0</v>
      </c>
      <c r="AR166" s="422">
        <f t="shared" si="284"/>
        <v>76928.858999999982</v>
      </c>
      <c r="AS166" s="422">
        <f t="shared" si="284"/>
        <v>0</v>
      </c>
      <c r="AT166" s="422">
        <f t="shared" si="284"/>
        <v>0</v>
      </c>
      <c r="AU166" s="422">
        <f t="shared" si="284"/>
        <v>0</v>
      </c>
      <c r="AV166" s="422">
        <f t="shared" si="284"/>
        <v>0</v>
      </c>
      <c r="AW166" s="422">
        <f t="shared" si="284"/>
        <v>0</v>
      </c>
      <c r="AX166" s="422">
        <f t="shared" si="284"/>
        <v>259464</v>
      </c>
      <c r="AY166" s="422">
        <f t="shared" si="284"/>
        <v>0</v>
      </c>
      <c r="AZ166" s="422">
        <f t="shared" si="284"/>
        <v>1057085.487</v>
      </c>
      <c r="BA166" s="422">
        <f t="shared" si="284"/>
        <v>2006750.7495000002</v>
      </c>
      <c r="BB166" s="422">
        <f t="shared" si="284"/>
        <v>200675.07495000004</v>
      </c>
      <c r="BC166" s="422">
        <f t="shared" si="284"/>
        <v>40135.014990000011</v>
      </c>
      <c r="BD166" s="422">
        <f t="shared" si="284"/>
        <v>151102.86595600002</v>
      </c>
      <c r="BE166" s="422">
        <f t="shared" si="284"/>
        <v>1614837.7936040002</v>
      </c>
      <c r="BF166" s="422">
        <f t="shared" si="284"/>
        <v>24081008.993999999</v>
      </c>
      <c r="BG166" s="422">
        <f t="shared" si="284"/>
        <v>1899330.5249999999</v>
      </c>
      <c r="BH166" s="422">
        <f t="shared" si="284"/>
        <v>25980339.519000001</v>
      </c>
      <c r="BI166" s="422">
        <f t="shared" si="284"/>
        <v>1169115.2783550001</v>
      </c>
      <c r="BJ166" s="422">
        <f t="shared" si="284"/>
        <v>722430.26982000005</v>
      </c>
      <c r="BK166" s="422">
        <f t="shared" si="284"/>
        <v>1349960.1142392</v>
      </c>
      <c r="BL166" s="422">
        <f t="shared" si="284"/>
        <v>1299016.9759500001</v>
      </c>
      <c r="BM166" s="422">
        <f t="shared" si="284"/>
        <v>30520862.157364205</v>
      </c>
      <c r="BN166" s="422">
        <f t="shared" si="284"/>
        <v>0</v>
      </c>
      <c r="BO166" s="355"/>
      <c r="BP166" s="355"/>
      <c r="BQ166" s="355"/>
      <c r="BR166" s="355"/>
      <c r="BS166" s="355"/>
      <c r="BT166" s="355"/>
      <c r="BU166" s="355"/>
      <c r="BV166" s="355"/>
      <c r="BW166" s="355"/>
      <c r="BX166" s="355"/>
      <c r="BY166" s="355"/>
      <c r="BZ166" s="355"/>
      <c r="CA166" s="355"/>
      <c r="CB166" s="355"/>
      <c r="CC166" s="355"/>
      <c r="CD166" s="355"/>
      <c r="CE166" s="355"/>
      <c r="CF166" s="355"/>
      <c r="CG166" s="355"/>
      <c r="CH166" s="355"/>
      <c r="CI166" s="356"/>
    </row>
    <row r="167" spans="1:87" ht="60">
      <c r="A167" s="369">
        <f>A165+1</f>
        <v>119</v>
      </c>
      <c r="B167" s="416">
        <v>1</v>
      </c>
      <c r="C167" s="409" t="s">
        <v>1330</v>
      </c>
      <c r="D167" s="412" t="s">
        <v>1331</v>
      </c>
      <c r="E167" s="366" t="s">
        <v>998</v>
      </c>
      <c r="F167" s="366" t="s">
        <v>1005</v>
      </c>
      <c r="G167" s="366" t="s">
        <v>1332</v>
      </c>
      <c r="H167" s="371" t="s">
        <v>1450</v>
      </c>
      <c r="I167" s="366">
        <v>17697</v>
      </c>
      <c r="J167" s="367">
        <v>10.82</v>
      </c>
      <c r="K167" s="367">
        <f t="shared" ref="K167:K173" si="285">I167*J167</f>
        <v>191481.54</v>
      </c>
      <c r="L167" s="380"/>
      <c r="M167" s="380"/>
      <c r="N167" s="380">
        <v>4</v>
      </c>
      <c r="O167" s="380"/>
      <c r="P167" s="380">
        <v>18</v>
      </c>
      <c r="Q167" s="368">
        <f t="shared" ref="Q167:Q182" si="286">SUM(L167:P167)</f>
        <v>22</v>
      </c>
      <c r="R167" s="380">
        <v>10</v>
      </c>
      <c r="S167" s="380"/>
      <c r="T167" s="380"/>
      <c r="U167" s="380"/>
      <c r="V167" s="380"/>
      <c r="W167" s="381">
        <f t="shared" ref="W167:W182" si="287">SUM(R167:V167)</f>
        <v>10</v>
      </c>
      <c r="X167" s="370">
        <f t="shared" ref="X167:X173" si="288">Q167+W167</f>
        <v>32</v>
      </c>
      <c r="Y167" s="367">
        <f t="shared" ref="Y167:Y173" si="289">K167/16*X167</f>
        <v>382963.08</v>
      </c>
      <c r="Z167" s="367">
        <f t="shared" ref="Z167:Z173" si="290">Y167*10%</f>
        <v>38296.308000000005</v>
      </c>
      <c r="AA167" s="372"/>
      <c r="AB167" s="367">
        <f t="shared" ref="AB167:AB173" si="291">I167/16*AA167*40%</f>
        <v>0</v>
      </c>
      <c r="AC167" s="372"/>
      <c r="AD167" s="367">
        <f t="shared" ref="AD167:AD173" si="292">I167/16*AC167*40%*50%</f>
        <v>0</v>
      </c>
      <c r="AE167" s="366">
        <v>196600</v>
      </c>
      <c r="AF167" s="366"/>
      <c r="AG167" s="367"/>
      <c r="AH167" s="366"/>
      <c r="AI167" s="367"/>
      <c r="AJ167" s="372"/>
      <c r="AK167" s="367"/>
      <c r="AL167" s="366">
        <f t="shared" ref="AL167:AL173" si="293">X167</f>
        <v>32</v>
      </c>
      <c r="AM167" s="367">
        <f t="shared" ref="AM167:AM173" si="294">K167/16*AL167*30%</f>
        <v>114888.924</v>
      </c>
      <c r="AN167" s="366" t="str">
        <f t="shared" ref="AN167:AN173" si="295">F167</f>
        <v>Педагог-зерттеуші</v>
      </c>
      <c r="AO167" s="367" t="str">
        <f t="shared" ref="AO167:AO173" si="296">IF(AN167="Педагог-зерттеуші", "0", IF(AN167="Педагог-шебер",K167/16*X167*50%, IF(AN167="Педагог-сарапшы", "0", IF(AN167="Педагог-модератор", "0", "0"))))</f>
        <v>0</v>
      </c>
      <c r="AP167" s="367">
        <f t="shared" ref="AP167:AP173" si="297">IF(AN167="Педагог-шебер", "0", IF(AN167="Педагог-зерттеуші",K167/16*X167*40%, IF(AN167="Педагог-сарапшы", "0", IF(AN167="Педагог-модератор", "0", "0"))))</f>
        <v>153185.23200000002</v>
      </c>
      <c r="AQ167" s="367" t="str">
        <f t="shared" ref="AQ167:AQ173" si="298">IF(AN167="Педагог-шебер", "0", IF(AN167="Педагог-сарапшы",K167/16*X167*35%, IF(AN167="Педагог-зерттеуші", "0", IF(AN167="Педагог-модератор", "0", "0"))))</f>
        <v>0</v>
      </c>
      <c r="AR167" s="367" t="str">
        <f t="shared" ref="AR167:AR173" si="299">IF(AN167="Педагог-шебер", "0", IF(AN167="Педагог-модератор",K167/16*X167*30%, IF(AN167="Педагог-зерттеуші", "0", IF(AN167="Педагог-сарапшы", "0", "0"))))</f>
        <v>0</v>
      </c>
      <c r="AS167" s="366"/>
      <c r="AT167" s="367"/>
      <c r="AU167" s="371"/>
      <c r="AV167" s="367"/>
      <c r="AW167" s="371" t="str">
        <f>G167</f>
        <v>Магистр-физическая культура и спорт</v>
      </c>
      <c r="AX167" s="372">
        <f>10*4552</f>
        <v>45520</v>
      </c>
      <c r="AY167" s="367"/>
      <c r="AZ167" s="367">
        <f t="shared" ref="AZ167:AZ173" si="300">Z167+AB167+AD167+AE167+AG167+AI167+AK167+AM167+AO167+AP167+AQ167++AR167+AT167+AV167+AX167+AY167</f>
        <v>548490.46400000004</v>
      </c>
      <c r="BA167" s="373">
        <f t="shared" ref="BA167:BA173" si="301">Y167+AZ167</f>
        <v>931453.54399999999</v>
      </c>
      <c r="BB167" s="374">
        <f t="shared" si="171"/>
        <v>93145.354400000011</v>
      </c>
      <c r="BC167" s="374">
        <f t="shared" si="172"/>
        <v>18629.070879999999</v>
      </c>
      <c r="BD167" s="374">
        <f t="shared" ref="BD167:BD173" si="302">(BA167-BB167-BC167-(14*4552))*10%</f>
        <v>75595.111871999994</v>
      </c>
      <c r="BE167" s="374">
        <f t="shared" si="174"/>
        <v>744084.00684799987</v>
      </c>
      <c r="BF167" s="374">
        <f t="shared" si="175"/>
        <v>11177442.528000001</v>
      </c>
      <c r="BG167" s="374">
        <f t="shared" ref="BG167:BG173" si="303">Y167*2</f>
        <v>765926.16</v>
      </c>
      <c r="BH167" s="374">
        <f t="shared" si="177"/>
        <v>11943368.688000001</v>
      </c>
      <c r="BI167" s="374">
        <f t="shared" si="178"/>
        <v>537451.59096000006</v>
      </c>
      <c r="BJ167" s="374">
        <f t="shared" si="179"/>
        <v>335323.27584000002</v>
      </c>
      <c r="BK167" s="374">
        <f t="shared" si="180"/>
        <v>620351.5355904001</v>
      </c>
      <c r="BL167" s="374">
        <f t="shared" ref="BL167:BL173" si="304">BH167*5%</f>
        <v>597168.43440000003</v>
      </c>
      <c r="BM167" s="373">
        <f t="shared" ref="BM167:BM199" si="305">BH167+BI167+BJ167+BK167+BL167</f>
        <v>14033663.524790401</v>
      </c>
      <c r="BN167" s="375"/>
      <c r="BO167" s="376"/>
      <c r="BP167" s="377"/>
      <c r="BQ167" s="377"/>
      <c r="BR167" s="377"/>
      <c r="BS167" s="377"/>
      <c r="BT167" s="377"/>
      <c r="BU167" s="377"/>
      <c r="BV167" s="377"/>
      <c r="BW167" s="377"/>
      <c r="BX167" s="377"/>
      <c r="BY167" s="377"/>
      <c r="BZ167" s="377"/>
      <c r="CA167" s="377"/>
      <c r="CB167" s="377"/>
      <c r="CC167" s="377"/>
      <c r="CD167" s="377"/>
      <c r="CE167" s="377"/>
      <c r="CF167" s="377"/>
      <c r="CG167" s="377"/>
      <c r="CH167" s="377"/>
      <c r="CI167" s="377"/>
    </row>
    <row r="168" spans="1:87" ht="75">
      <c r="A168" s="369">
        <f>A167+1</f>
        <v>120</v>
      </c>
      <c r="B168" s="416">
        <f>B167+1</f>
        <v>2</v>
      </c>
      <c r="C168" s="409" t="s">
        <v>923</v>
      </c>
      <c r="D168" s="412" t="s">
        <v>1333</v>
      </c>
      <c r="E168" s="366" t="s">
        <v>998</v>
      </c>
      <c r="F168" s="366"/>
      <c r="G168" s="366" t="s">
        <v>1334</v>
      </c>
      <c r="H168" s="371" t="s">
        <v>1166</v>
      </c>
      <c r="I168" s="366">
        <v>17697</v>
      </c>
      <c r="J168" s="367">
        <v>11.18</v>
      </c>
      <c r="K168" s="367">
        <f t="shared" si="285"/>
        <v>197852.46</v>
      </c>
      <c r="L168" s="380"/>
      <c r="M168" s="380"/>
      <c r="N168" s="380"/>
      <c r="O168" s="380">
        <v>9</v>
      </c>
      <c r="P168" s="380">
        <v>9</v>
      </c>
      <c r="Q168" s="368">
        <f t="shared" si="286"/>
        <v>18</v>
      </c>
      <c r="R168" s="380"/>
      <c r="S168" s="380"/>
      <c r="T168" s="380"/>
      <c r="U168" s="380"/>
      <c r="V168" s="380"/>
      <c r="W168" s="381">
        <f t="shared" si="287"/>
        <v>0</v>
      </c>
      <c r="X168" s="370">
        <f t="shared" si="288"/>
        <v>18</v>
      </c>
      <c r="Y168" s="367">
        <f t="shared" si="289"/>
        <v>222584.01749999999</v>
      </c>
      <c r="Z168" s="367">
        <f t="shared" si="290"/>
        <v>22258.401750000001</v>
      </c>
      <c r="AA168" s="372"/>
      <c r="AB168" s="367">
        <f t="shared" si="291"/>
        <v>0</v>
      </c>
      <c r="AC168" s="372"/>
      <c r="AD168" s="367">
        <f t="shared" si="292"/>
        <v>0</v>
      </c>
      <c r="AE168" s="367"/>
      <c r="AF168" s="366"/>
      <c r="AG168" s="367"/>
      <c r="AH168" s="366"/>
      <c r="AI168" s="367"/>
      <c r="AJ168" s="372"/>
      <c r="AK168" s="367"/>
      <c r="AL168" s="366">
        <f t="shared" si="293"/>
        <v>18</v>
      </c>
      <c r="AM168" s="367">
        <f t="shared" si="294"/>
        <v>66775.205249999999</v>
      </c>
      <c r="AN168" s="366">
        <f t="shared" si="295"/>
        <v>0</v>
      </c>
      <c r="AO168" s="367" t="str">
        <f t="shared" si="296"/>
        <v>0</v>
      </c>
      <c r="AP168" s="367" t="str">
        <f t="shared" si="297"/>
        <v>0</v>
      </c>
      <c r="AQ168" s="367" t="str">
        <f t="shared" si="298"/>
        <v>0</v>
      </c>
      <c r="AR168" s="367" t="str">
        <f t="shared" si="299"/>
        <v>0</v>
      </c>
      <c r="AS168" s="366"/>
      <c r="AT168" s="367"/>
      <c r="AU168" s="371"/>
      <c r="AV168" s="367"/>
      <c r="AW168" s="371" t="str">
        <f>G168</f>
        <v>Магистр военного дела и безопасности</v>
      </c>
      <c r="AX168" s="372">
        <f>10*4552</f>
        <v>45520</v>
      </c>
      <c r="AY168" s="367"/>
      <c r="AZ168" s="367">
        <f t="shared" si="300"/>
        <v>134553.60700000002</v>
      </c>
      <c r="BA168" s="373">
        <f t="shared" si="301"/>
        <v>357137.62450000003</v>
      </c>
      <c r="BB168" s="374">
        <f t="shared" si="171"/>
        <v>35713.762450000002</v>
      </c>
      <c r="BC168" s="374">
        <f t="shared" si="172"/>
        <v>7142.7524900000008</v>
      </c>
      <c r="BD168" s="374">
        <f t="shared" si="302"/>
        <v>25055.310956000008</v>
      </c>
      <c r="BE168" s="374">
        <f t="shared" si="174"/>
        <v>289225.79860400007</v>
      </c>
      <c r="BF168" s="374">
        <f t="shared" si="175"/>
        <v>4285651.4940000009</v>
      </c>
      <c r="BG168" s="374">
        <f t="shared" si="303"/>
        <v>445168.03499999997</v>
      </c>
      <c r="BH168" s="374">
        <f t="shared" si="177"/>
        <v>4730819.529000001</v>
      </c>
      <c r="BI168" s="374">
        <f t="shared" si="178"/>
        <v>212886.87880500007</v>
      </c>
      <c r="BJ168" s="374">
        <f t="shared" si="179"/>
        <v>128569.54482000002</v>
      </c>
      <c r="BK168" s="374">
        <f t="shared" si="180"/>
        <v>246035.82127920006</v>
      </c>
      <c r="BL168" s="374">
        <f t="shared" si="304"/>
        <v>236540.97645000007</v>
      </c>
      <c r="BM168" s="373">
        <f t="shared" si="305"/>
        <v>5554852.7503542015</v>
      </c>
      <c r="BN168" s="375">
        <v>0.5</v>
      </c>
      <c r="BO168" s="376"/>
      <c r="BP168" s="377"/>
      <c r="BQ168" s="377"/>
      <c r="BR168" s="377"/>
      <c r="BS168" s="377"/>
      <c r="BT168" s="377"/>
      <c r="BU168" s="377"/>
      <c r="BV168" s="377"/>
      <c r="BW168" s="377"/>
      <c r="BX168" s="377"/>
      <c r="BY168" s="377"/>
      <c r="BZ168" s="377"/>
      <c r="CA168" s="377"/>
      <c r="CB168" s="377"/>
      <c r="CC168" s="377"/>
      <c r="CD168" s="377"/>
      <c r="CE168" s="377"/>
      <c r="CF168" s="377"/>
      <c r="CG168" s="377"/>
      <c r="CH168" s="377"/>
      <c r="CI168" s="377"/>
    </row>
    <row r="169" spans="1:87" ht="31.5">
      <c r="A169" s="369">
        <f t="shared" ref="A169:B173" si="306">A168+1</f>
        <v>121</v>
      </c>
      <c r="B169" s="416">
        <f t="shared" si="306"/>
        <v>3</v>
      </c>
      <c r="C169" s="525" t="s">
        <v>1336</v>
      </c>
      <c r="D169" s="412" t="s">
        <v>1337</v>
      </c>
      <c r="E169" s="366" t="s">
        <v>998</v>
      </c>
      <c r="F169" s="366"/>
      <c r="G169" s="366"/>
      <c r="H169" s="371" t="s">
        <v>1451</v>
      </c>
      <c r="I169" s="366">
        <v>17697</v>
      </c>
      <c r="J169" s="367">
        <v>10.6</v>
      </c>
      <c r="K169" s="367">
        <f t="shared" si="285"/>
        <v>187588.19999999998</v>
      </c>
      <c r="L169" s="380"/>
      <c r="M169" s="380"/>
      <c r="N169" s="380"/>
      <c r="O169" s="380"/>
      <c r="P169" s="380"/>
      <c r="Q169" s="368">
        <f t="shared" si="286"/>
        <v>0</v>
      </c>
      <c r="R169" s="380"/>
      <c r="S169" s="380"/>
      <c r="T169" s="380"/>
      <c r="U169" s="380"/>
      <c r="V169" s="380">
        <v>8</v>
      </c>
      <c r="W169" s="381">
        <f t="shared" si="287"/>
        <v>8</v>
      </c>
      <c r="X169" s="370">
        <f t="shared" si="288"/>
        <v>8</v>
      </c>
      <c r="Y169" s="367">
        <f t="shared" si="289"/>
        <v>93794.099999999991</v>
      </c>
      <c r="Z169" s="367">
        <f t="shared" si="290"/>
        <v>9379.41</v>
      </c>
      <c r="AA169" s="372"/>
      <c r="AB169" s="367">
        <f t="shared" si="291"/>
        <v>0</v>
      </c>
      <c r="AC169" s="372"/>
      <c r="AD169" s="367">
        <f t="shared" si="292"/>
        <v>0</v>
      </c>
      <c r="AE169" s="366"/>
      <c r="AF169" s="366"/>
      <c r="AG169" s="367"/>
      <c r="AH169" s="366"/>
      <c r="AI169" s="367"/>
      <c r="AJ169" s="372"/>
      <c r="AK169" s="367"/>
      <c r="AL169" s="366">
        <f t="shared" si="293"/>
        <v>8</v>
      </c>
      <c r="AM169" s="367">
        <f t="shared" si="294"/>
        <v>28138.229999999996</v>
      </c>
      <c r="AN169" s="366">
        <f t="shared" si="295"/>
        <v>0</v>
      </c>
      <c r="AO169" s="367" t="str">
        <f t="shared" si="296"/>
        <v>0</v>
      </c>
      <c r="AP169" s="367" t="str">
        <f t="shared" si="297"/>
        <v>0</v>
      </c>
      <c r="AQ169" s="367" t="str">
        <f t="shared" si="298"/>
        <v>0</v>
      </c>
      <c r="AR169" s="367" t="str">
        <f t="shared" si="299"/>
        <v>0</v>
      </c>
      <c r="AS169" s="366"/>
      <c r="AT169" s="367"/>
      <c r="AU169" s="371"/>
      <c r="AV169" s="367"/>
      <c r="AW169" s="371"/>
      <c r="AX169" s="372"/>
      <c r="AY169" s="367"/>
      <c r="AZ169" s="367">
        <f t="shared" si="300"/>
        <v>37517.64</v>
      </c>
      <c r="BA169" s="373">
        <f t="shared" si="301"/>
        <v>131311.74</v>
      </c>
      <c r="BB169" s="374">
        <f t="shared" si="171"/>
        <v>13131.173999999999</v>
      </c>
      <c r="BC169" s="374">
        <f t="shared" si="172"/>
        <v>2626.2347999999997</v>
      </c>
      <c r="BD169" s="374">
        <f t="shared" si="302"/>
        <v>5182.6331199999986</v>
      </c>
      <c r="BE169" s="374">
        <f t="shared" si="174"/>
        <v>110371.69807999999</v>
      </c>
      <c r="BF169" s="374">
        <f t="shared" si="175"/>
        <v>1575740.88</v>
      </c>
      <c r="BG169" s="374">
        <f t="shared" si="303"/>
        <v>187588.19999999998</v>
      </c>
      <c r="BH169" s="374">
        <f t="shared" si="177"/>
        <v>1763329.0799999998</v>
      </c>
      <c r="BI169" s="374">
        <f t="shared" si="178"/>
        <v>79349.808599999989</v>
      </c>
      <c r="BJ169" s="374">
        <f t="shared" si="179"/>
        <v>47272.226399999992</v>
      </c>
      <c r="BK169" s="374">
        <f t="shared" si="180"/>
        <v>91753.140383999998</v>
      </c>
      <c r="BL169" s="374">
        <f t="shared" si="304"/>
        <v>88166.453999999998</v>
      </c>
      <c r="BM169" s="373">
        <f t="shared" si="305"/>
        <v>2069870.7093839997</v>
      </c>
      <c r="BN169" s="375"/>
      <c r="BO169" s="377"/>
      <c r="BP169" s="377"/>
      <c r="BQ169" s="377"/>
      <c r="BR169" s="377"/>
      <c r="BS169" s="377"/>
      <c r="BT169" s="377"/>
      <c r="BU169" s="377"/>
      <c r="BV169" s="377"/>
      <c r="BW169" s="377"/>
      <c r="BX169" s="377"/>
      <c r="BY169" s="377"/>
      <c r="BZ169" s="377"/>
      <c r="CA169" s="377"/>
      <c r="CB169" s="377"/>
      <c r="CC169" s="377"/>
      <c r="CD169" s="377"/>
      <c r="CE169" s="377"/>
      <c r="CF169" s="377"/>
      <c r="CG169" s="377"/>
      <c r="CH169" s="377"/>
      <c r="CI169" s="377"/>
    </row>
    <row r="170" spans="1:87" ht="47.25">
      <c r="A170" s="369">
        <f t="shared" si="306"/>
        <v>122</v>
      </c>
      <c r="B170" s="416">
        <f t="shared" si="306"/>
        <v>4</v>
      </c>
      <c r="C170" s="409" t="s">
        <v>1339</v>
      </c>
      <c r="D170" s="412" t="s">
        <v>1340</v>
      </c>
      <c r="E170" s="366" t="s">
        <v>998</v>
      </c>
      <c r="F170" s="366" t="s">
        <v>1005</v>
      </c>
      <c r="G170" s="366"/>
      <c r="H170" s="371" t="s">
        <v>1341</v>
      </c>
      <c r="I170" s="366">
        <v>17697</v>
      </c>
      <c r="J170" s="367">
        <v>11.4</v>
      </c>
      <c r="K170" s="367">
        <f t="shared" si="285"/>
        <v>201745.80000000002</v>
      </c>
      <c r="L170" s="380"/>
      <c r="M170" s="380"/>
      <c r="N170" s="380">
        <v>8</v>
      </c>
      <c r="O170" s="380"/>
      <c r="P170" s="380"/>
      <c r="Q170" s="368">
        <f t="shared" si="286"/>
        <v>8</v>
      </c>
      <c r="R170" s="380"/>
      <c r="S170" s="380"/>
      <c r="T170" s="380">
        <v>8</v>
      </c>
      <c r="U170" s="380"/>
      <c r="V170" s="380"/>
      <c r="W170" s="381">
        <f t="shared" si="287"/>
        <v>8</v>
      </c>
      <c r="X170" s="370">
        <f t="shared" si="288"/>
        <v>16</v>
      </c>
      <c r="Y170" s="367">
        <f t="shared" si="289"/>
        <v>201745.80000000002</v>
      </c>
      <c r="Z170" s="367">
        <f t="shared" si="290"/>
        <v>20174.580000000002</v>
      </c>
      <c r="AA170" s="372"/>
      <c r="AB170" s="367">
        <f t="shared" si="291"/>
        <v>0</v>
      </c>
      <c r="AC170" s="372"/>
      <c r="AD170" s="367">
        <f t="shared" si="292"/>
        <v>0</v>
      </c>
      <c r="AE170" s="366"/>
      <c r="AF170" s="366"/>
      <c r="AG170" s="367"/>
      <c r="AH170" s="366"/>
      <c r="AI170" s="367"/>
      <c r="AJ170" s="372"/>
      <c r="AK170" s="367"/>
      <c r="AL170" s="366">
        <f t="shared" si="293"/>
        <v>16</v>
      </c>
      <c r="AM170" s="367">
        <f t="shared" si="294"/>
        <v>60523.740000000005</v>
      </c>
      <c r="AN170" s="366" t="str">
        <f t="shared" si="295"/>
        <v>Педагог-зерттеуші</v>
      </c>
      <c r="AO170" s="367" t="str">
        <f t="shared" si="296"/>
        <v>0</v>
      </c>
      <c r="AP170" s="367">
        <f t="shared" si="297"/>
        <v>80698.320000000007</v>
      </c>
      <c r="AQ170" s="367" t="str">
        <f t="shared" si="298"/>
        <v>0</v>
      </c>
      <c r="AR170" s="367" t="str">
        <f t="shared" si="299"/>
        <v>0</v>
      </c>
      <c r="AS170" s="366"/>
      <c r="AT170" s="367"/>
      <c r="AU170" s="371"/>
      <c r="AV170" s="367"/>
      <c r="AW170" s="371"/>
      <c r="AX170" s="372"/>
      <c r="AY170" s="367"/>
      <c r="AZ170" s="367">
        <f t="shared" si="300"/>
        <v>161396.64000000001</v>
      </c>
      <c r="BA170" s="373">
        <f t="shared" si="301"/>
        <v>363142.44000000006</v>
      </c>
      <c r="BB170" s="374">
        <f t="shared" si="171"/>
        <v>36314.244000000006</v>
      </c>
      <c r="BC170" s="374">
        <f t="shared" si="172"/>
        <v>7262.8488000000016</v>
      </c>
      <c r="BD170" s="374">
        <f t="shared" si="302"/>
        <v>25583.734720000008</v>
      </c>
      <c r="BE170" s="374">
        <f t="shared" si="174"/>
        <v>293981.61248000007</v>
      </c>
      <c r="BF170" s="374">
        <f t="shared" si="175"/>
        <v>4357709.2800000012</v>
      </c>
      <c r="BG170" s="374">
        <f t="shared" si="303"/>
        <v>403491.60000000003</v>
      </c>
      <c r="BH170" s="374">
        <f t="shared" si="177"/>
        <v>4761200.8800000008</v>
      </c>
      <c r="BI170" s="374">
        <f t="shared" si="178"/>
        <v>214254.03960000008</v>
      </c>
      <c r="BJ170" s="374">
        <f t="shared" si="179"/>
        <v>130731.27840000002</v>
      </c>
      <c r="BK170" s="374">
        <f t="shared" si="180"/>
        <v>247517.88710400002</v>
      </c>
      <c r="BL170" s="374">
        <f t="shared" si="304"/>
        <v>238060.04400000005</v>
      </c>
      <c r="BM170" s="373">
        <f t="shared" si="305"/>
        <v>5591764.1291040005</v>
      </c>
      <c r="BN170" s="375"/>
      <c r="BO170" s="377"/>
      <c r="BP170" s="377"/>
      <c r="BQ170" s="377"/>
      <c r="BR170" s="377"/>
      <c r="BS170" s="377"/>
      <c r="BT170" s="377"/>
      <c r="BU170" s="377"/>
      <c r="BV170" s="377"/>
      <c r="BW170" s="377"/>
      <c r="BX170" s="377"/>
      <c r="BY170" s="377"/>
      <c r="BZ170" s="377"/>
      <c r="CA170" s="377"/>
      <c r="CB170" s="377"/>
      <c r="CC170" s="377"/>
      <c r="CD170" s="377"/>
      <c r="CE170" s="377"/>
      <c r="CF170" s="377"/>
      <c r="CG170" s="377"/>
      <c r="CH170" s="377"/>
      <c r="CI170" s="377"/>
    </row>
    <row r="171" spans="1:87" ht="63">
      <c r="A171" s="369">
        <f t="shared" si="306"/>
        <v>123</v>
      </c>
      <c r="B171" s="416">
        <f t="shared" si="306"/>
        <v>5</v>
      </c>
      <c r="C171" s="409" t="s">
        <v>1342</v>
      </c>
      <c r="D171" s="412" t="s">
        <v>1343</v>
      </c>
      <c r="E171" s="366" t="s">
        <v>998</v>
      </c>
      <c r="F171" s="366" t="s">
        <v>254</v>
      </c>
      <c r="G171" s="366"/>
      <c r="H171" s="371" t="s">
        <v>1452</v>
      </c>
      <c r="I171" s="366">
        <v>17697</v>
      </c>
      <c r="J171" s="509">
        <v>10.6</v>
      </c>
      <c r="K171" s="367">
        <f t="shared" si="285"/>
        <v>187588.19999999998</v>
      </c>
      <c r="L171" s="380">
        <v>20</v>
      </c>
      <c r="M171" s="380">
        <v>4</v>
      </c>
      <c r="N171" s="380"/>
      <c r="O171" s="380"/>
      <c r="P171" s="380"/>
      <c r="Q171" s="368">
        <f t="shared" si="286"/>
        <v>24</v>
      </c>
      <c r="R171" s="380"/>
      <c r="S171" s="380"/>
      <c r="T171" s="380"/>
      <c r="U171" s="380">
        <v>8</v>
      </c>
      <c r="V171" s="380"/>
      <c r="W171" s="381">
        <f t="shared" si="287"/>
        <v>8</v>
      </c>
      <c r="X171" s="370">
        <f t="shared" si="288"/>
        <v>32</v>
      </c>
      <c r="Y171" s="367">
        <f t="shared" si="289"/>
        <v>375176.39999999997</v>
      </c>
      <c r="Z171" s="367">
        <f t="shared" si="290"/>
        <v>37517.64</v>
      </c>
      <c r="AA171" s="372"/>
      <c r="AB171" s="367">
        <f t="shared" si="291"/>
        <v>0</v>
      </c>
      <c r="AC171" s="372"/>
      <c r="AD171" s="367">
        <f t="shared" si="292"/>
        <v>0</v>
      </c>
      <c r="AE171" s="366"/>
      <c r="AF171" s="366"/>
      <c r="AG171" s="367"/>
      <c r="AH171" s="366"/>
      <c r="AI171" s="367"/>
      <c r="AJ171" s="372"/>
      <c r="AK171" s="367"/>
      <c r="AL171" s="366">
        <f t="shared" si="293"/>
        <v>32</v>
      </c>
      <c r="AM171" s="367">
        <f t="shared" si="294"/>
        <v>112552.91999999998</v>
      </c>
      <c r="AN171" s="366" t="str">
        <f t="shared" si="295"/>
        <v>Педагог-модератор</v>
      </c>
      <c r="AO171" s="367" t="str">
        <f t="shared" si="296"/>
        <v>0</v>
      </c>
      <c r="AP171" s="367" t="str">
        <f t="shared" si="297"/>
        <v>0</v>
      </c>
      <c r="AQ171" s="367" t="str">
        <f t="shared" si="298"/>
        <v>0</v>
      </c>
      <c r="AR171" s="367">
        <f t="shared" si="299"/>
        <v>112552.91999999998</v>
      </c>
      <c r="AS171" s="366"/>
      <c r="AT171" s="367"/>
      <c r="AU171" s="371"/>
      <c r="AV171" s="367"/>
      <c r="AW171" s="371"/>
      <c r="AX171" s="372"/>
      <c r="AY171" s="367"/>
      <c r="AZ171" s="367">
        <f t="shared" si="300"/>
        <v>262623.48</v>
      </c>
      <c r="BA171" s="373">
        <f t="shared" si="301"/>
        <v>637799.87999999989</v>
      </c>
      <c r="BB171" s="374">
        <f t="shared" si="171"/>
        <v>63779.98799999999</v>
      </c>
      <c r="BC171" s="374">
        <f t="shared" si="172"/>
        <v>12755.997599999999</v>
      </c>
      <c r="BD171" s="374">
        <f t="shared" si="302"/>
        <v>49753.589439999989</v>
      </c>
      <c r="BE171" s="374">
        <f t="shared" si="174"/>
        <v>511510.30495999986</v>
      </c>
      <c r="BF171" s="374">
        <f t="shared" si="175"/>
        <v>7653598.5599999987</v>
      </c>
      <c r="BG171" s="374">
        <f t="shared" si="303"/>
        <v>750352.79999999993</v>
      </c>
      <c r="BH171" s="374">
        <f t="shared" si="177"/>
        <v>8403951.3599999994</v>
      </c>
      <c r="BI171" s="374">
        <f t="shared" si="178"/>
        <v>378177.8112</v>
      </c>
      <c r="BJ171" s="374">
        <f t="shared" si="179"/>
        <v>229607.95679999996</v>
      </c>
      <c r="BK171" s="374">
        <f t="shared" si="180"/>
        <v>436975.45660799998</v>
      </c>
      <c r="BL171" s="374">
        <f t="shared" si="304"/>
        <v>420197.56799999997</v>
      </c>
      <c r="BM171" s="373">
        <f t="shared" si="305"/>
        <v>9868910.1526079997</v>
      </c>
      <c r="BN171" s="375"/>
      <c r="BO171" s="377"/>
      <c r="BP171" s="377"/>
      <c r="BQ171" s="377"/>
      <c r="BR171" s="377"/>
      <c r="BS171" s="377"/>
      <c r="BT171" s="377"/>
      <c r="BU171" s="377"/>
      <c r="BV171" s="377"/>
      <c r="BW171" s="377"/>
      <c r="BX171" s="377"/>
      <c r="BY171" s="377"/>
      <c r="BZ171" s="377"/>
      <c r="CA171" s="377"/>
      <c r="CB171" s="377"/>
      <c r="CC171" s="377"/>
      <c r="CD171" s="377"/>
      <c r="CE171" s="377"/>
      <c r="CF171" s="377"/>
      <c r="CG171" s="377"/>
      <c r="CH171" s="377"/>
      <c r="CI171" s="377"/>
    </row>
    <row r="172" spans="1:87" ht="63">
      <c r="A172" s="369">
        <f t="shared" si="306"/>
        <v>124</v>
      </c>
      <c r="B172" s="416">
        <f t="shared" si="306"/>
        <v>6</v>
      </c>
      <c r="C172" s="409" t="s">
        <v>1345</v>
      </c>
      <c r="D172" s="412" t="s">
        <v>1346</v>
      </c>
      <c r="E172" s="366" t="s">
        <v>998</v>
      </c>
      <c r="F172" s="366"/>
      <c r="G172" s="366"/>
      <c r="H172" s="371" t="s">
        <v>1403</v>
      </c>
      <c r="I172" s="366">
        <v>17697</v>
      </c>
      <c r="J172" s="435">
        <v>9.5</v>
      </c>
      <c r="K172" s="367">
        <f t="shared" si="285"/>
        <v>168121.5</v>
      </c>
      <c r="L172" s="380"/>
      <c r="M172" s="380">
        <v>16</v>
      </c>
      <c r="N172" s="380"/>
      <c r="O172" s="380"/>
      <c r="P172" s="380"/>
      <c r="Q172" s="368">
        <f t="shared" si="286"/>
        <v>16</v>
      </c>
      <c r="R172" s="380"/>
      <c r="S172" s="380">
        <v>2</v>
      </c>
      <c r="T172" s="380">
        <v>1</v>
      </c>
      <c r="U172" s="380">
        <v>1</v>
      </c>
      <c r="V172" s="380">
        <v>1</v>
      </c>
      <c r="W172" s="381">
        <f t="shared" si="287"/>
        <v>5</v>
      </c>
      <c r="X172" s="370">
        <f t="shared" si="288"/>
        <v>21</v>
      </c>
      <c r="Y172" s="367">
        <f t="shared" si="289"/>
        <v>220659.46875</v>
      </c>
      <c r="Z172" s="367">
        <f t="shared" si="290"/>
        <v>22065.946875000001</v>
      </c>
      <c r="AA172" s="372"/>
      <c r="AB172" s="367">
        <f t="shared" si="291"/>
        <v>0</v>
      </c>
      <c r="AC172" s="372"/>
      <c r="AD172" s="367">
        <f t="shared" si="292"/>
        <v>0</v>
      </c>
      <c r="AE172" s="366"/>
      <c r="AF172" s="366"/>
      <c r="AG172" s="367"/>
      <c r="AH172" s="366" t="s">
        <v>1347</v>
      </c>
      <c r="AI172" s="367">
        <f>I172*200%</f>
        <v>35394</v>
      </c>
      <c r="AJ172" s="372"/>
      <c r="AK172" s="367"/>
      <c r="AL172" s="366">
        <f t="shared" si="293"/>
        <v>21</v>
      </c>
      <c r="AM172" s="367">
        <f t="shared" si="294"/>
        <v>66197.840624999997</v>
      </c>
      <c r="AN172" s="366">
        <f t="shared" si="295"/>
        <v>0</v>
      </c>
      <c r="AO172" s="367" t="str">
        <f t="shared" si="296"/>
        <v>0</v>
      </c>
      <c r="AP172" s="367" t="str">
        <f t="shared" si="297"/>
        <v>0</v>
      </c>
      <c r="AQ172" s="367" t="str">
        <f t="shared" si="298"/>
        <v>0</v>
      </c>
      <c r="AR172" s="367" t="str">
        <f t="shared" si="299"/>
        <v>0</v>
      </c>
      <c r="AS172" s="366"/>
      <c r="AT172" s="367"/>
      <c r="AU172" s="366"/>
      <c r="AV172" s="367"/>
      <c r="AW172" s="371"/>
      <c r="AX172" s="372"/>
      <c r="AY172" s="367"/>
      <c r="AZ172" s="367">
        <f t="shared" si="300"/>
        <v>123657.78750000001</v>
      </c>
      <c r="BA172" s="373">
        <f t="shared" si="301"/>
        <v>344317.25624999998</v>
      </c>
      <c r="BB172" s="374">
        <f t="shared" si="171"/>
        <v>34431.725624999999</v>
      </c>
      <c r="BC172" s="374">
        <f t="shared" si="172"/>
        <v>6886.3451249999998</v>
      </c>
      <c r="BD172" s="374">
        <f t="shared" si="302"/>
        <v>23927.118549999999</v>
      </c>
      <c r="BE172" s="374">
        <f t="shared" si="174"/>
        <v>279072.06694999995</v>
      </c>
      <c r="BF172" s="374">
        <f t="shared" si="175"/>
        <v>4131807.0749999997</v>
      </c>
      <c r="BG172" s="374">
        <f t="shared" si="303"/>
        <v>441318.9375</v>
      </c>
      <c r="BH172" s="374">
        <f t="shared" si="177"/>
        <v>4573126.0124999993</v>
      </c>
      <c r="BI172" s="374">
        <f t="shared" si="178"/>
        <v>205790.67056249999</v>
      </c>
      <c r="BJ172" s="374">
        <f t="shared" si="179"/>
        <v>123954.21224999998</v>
      </c>
      <c r="BK172" s="374">
        <f t="shared" si="180"/>
        <v>237858.82910999996</v>
      </c>
      <c r="BL172" s="374">
        <f t="shared" si="304"/>
        <v>228656.30062499997</v>
      </c>
      <c r="BM172" s="373">
        <f t="shared" si="305"/>
        <v>5369386.0250474997</v>
      </c>
      <c r="BN172" s="375"/>
      <c r="BO172" s="377"/>
      <c r="BP172" s="377"/>
      <c r="BQ172" s="377"/>
      <c r="BR172" s="377"/>
      <c r="BS172" s="377"/>
      <c r="BT172" s="377"/>
      <c r="BU172" s="377"/>
      <c r="BV172" s="377"/>
      <c r="BW172" s="377"/>
      <c r="BX172" s="377"/>
      <c r="BY172" s="377"/>
      <c r="BZ172" s="377"/>
      <c r="CA172" s="377"/>
      <c r="CB172" s="377"/>
      <c r="CC172" s="377"/>
      <c r="CD172" s="377"/>
      <c r="CE172" s="377"/>
      <c r="CF172" s="377"/>
      <c r="CG172" s="377"/>
      <c r="CH172" s="377"/>
      <c r="CI172" s="377"/>
    </row>
    <row r="173" spans="1:87" ht="47.25">
      <c r="A173" s="369">
        <f t="shared" si="306"/>
        <v>125</v>
      </c>
      <c r="B173" s="416">
        <f t="shared" si="306"/>
        <v>7</v>
      </c>
      <c r="C173" s="409" t="s">
        <v>1348</v>
      </c>
      <c r="D173" s="412" t="s">
        <v>1349</v>
      </c>
      <c r="E173" s="366" t="s">
        <v>998</v>
      </c>
      <c r="F173" s="366" t="s">
        <v>254</v>
      </c>
      <c r="G173" s="366" t="s">
        <v>1350</v>
      </c>
      <c r="H173" s="371" t="s">
        <v>1453</v>
      </c>
      <c r="I173" s="366">
        <v>17697</v>
      </c>
      <c r="J173" s="509">
        <v>10.82</v>
      </c>
      <c r="K173" s="367">
        <f t="shared" si="285"/>
        <v>191481.54</v>
      </c>
      <c r="L173" s="380"/>
      <c r="M173" s="380"/>
      <c r="N173" s="380">
        <v>6</v>
      </c>
      <c r="O173" s="380">
        <v>18</v>
      </c>
      <c r="P173" s="380"/>
      <c r="Q173" s="368">
        <f t="shared" si="286"/>
        <v>24</v>
      </c>
      <c r="R173" s="380"/>
      <c r="S173" s="380">
        <v>8</v>
      </c>
      <c r="T173" s="380"/>
      <c r="U173" s="380"/>
      <c r="V173" s="380"/>
      <c r="W173" s="381">
        <f t="shared" si="287"/>
        <v>8</v>
      </c>
      <c r="X173" s="370">
        <f t="shared" si="288"/>
        <v>32</v>
      </c>
      <c r="Y173" s="367">
        <f t="shared" si="289"/>
        <v>382963.08</v>
      </c>
      <c r="Z173" s="367">
        <f t="shared" si="290"/>
        <v>38296.308000000005</v>
      </c>
      <c r="AA173" s="372"/>
      <c r="AB173" s="367">
        <f t="shared" si="291"/>
        <v>0</v>
      </c>
      <c r="AC173" s="372"/>
      <c r="AD173" s="367">
        <f t="shared" si="292"/>
        <v>0</v>
      </c>
      <c r="AE173" s="366"/>
      <c r="AF173" s="366"/>
      <c r="AG173" s="367"/>
      <c r="AH173" s="366"/>
      <c r="AI173" s="367"/>
      <c r="AJ173" s="372"/>
      <c r="AK173" s="367"/>
      <c r="AL173" s="366">
        <f t="shared" si="293"/>
        <v>32</v>
      </c>
      <c r="AM173" s="367">
        <f t="shared" si="294"/>
        <v>114888.924</v>
      </c>
      <c r="AN173" s="366" t="str">
        <f t="shared" si="295"/>
        <v>Педагог-модератор</v>
      </c>
      <c r="AO173" s="367" t="str">
        <f t="shared" si="296"/>
        <v>0</v>
      </c>
      <c r="AP173" s="367" t="str">
        <f t="shared" si="297"/>
        <v>0</v>
      </c>
      <c r="AQ173" s="367" t="str">
        <f t="shared" si="298"/>
        <v>0</v>
      </c>
      <c r="AR173" s="367">
        <f t="shared" si="299"/>
        <v>114888.924</v>
      </c>
      <c r="AS173" s="366"/>
      <c r="AT173" s="367"/>
      <c r="AU173" s="371"/>
      <c r="AV173" s="367"/>
      <c r="AW173" s="371" t="str">
        <f>G173</f>
        <v>Магистр физической культуры</v>
      </c>
      <c r="AX173" s="372">
        <f>10*4552</f>
        <v>45520</v>
      </c>
      <c r="AY173" s="367"/>
      <c r="AZ173" s="367">
        <f t="shared" si="300"/>
        <v>313594.15600000002</v>
      </c>
      <c r="BA173" s="373">
        <f t="shared" si="301"/>
        <v>696557.23600000003</v>
      </c>
      <c r="BB173" s="374">
        <f t="shared" si="171"/>
        <v>69655.723600000012</v>
      </c>
      <c r="BC173" s="374">
        <f t="shared" si="172"/>
        <v>13931.14472</v>
      </c>
      <c r="BD173" s="374">
        <f t="shared" si="302"/>
        <v>54924.236768000002</v>
      </c>
      <c r="BE173" s="374">
        <f t="shared" si="174"/>
        <v>558046.13091200008</v>
      </c>
      <c r="BF173" s="374">
        <f t="shared" si="175"/>
        <v>8358686.8320000004</v>
      </c>
      <c r="BG173" s="374">
        <f t="shared" si="303"/>
        <v>765926.16</v>
      </c>
      <c r="BH173" s="374">
        <f t="shared" si="177"/>
        <v>9124612.9920000006</v>
      </c>
      <c r="BI173" s="374">
        <f t="shared" si="178"/>
        <v>410607.58464000002</v>
      </c>
      <c r="BJ173" s="374">
        <f t="shared" si="179"/>
        <v>250760.60496</v>
      </c>
      <c r="BK173" s="374">
        <f t="shared" si="180"/>
        <v>474339.99053760001</v>
      </c>
      <c r="BL173" s="374">
        <f t="shared" si="304"/>
        <v>456230.64960000006</v>
      </c>
      <c r="BM173" s="373">
        <f t="shared" si="305"/>
        <v>10716551.8217376</v>
      </c>
      <c r="BN173" s="375"/>
      <c r="BO173" s="377"/>
      <c r="BP173" s="377"/>
      <c r="BQ173" s="377"/>
      <c r="BR173" s="377"/>
      <c r="BS173" s="377"/>
      <c r="BT173" s="377"/>
      <c r="BU173" s="377"/>
      <c r="BV173" s="377"/>
      <c r="BW173" s="377"/>
      <c r="BX173" s="377"/>
      <c r="BY173" s="377"/>
      <c r="BZ173" s="377"/>
      <c r="CA173" s="377"/>
      <c r="CB173" s="377"/>
      <c r="CC173" s="377"/>
      <c r="CD173" s="377"/>
      <c r="CE173" s="377"/>
      <c r="CF173" s="377"/>
      <c r="CG173" s="377"/>
      <c r="CH173" s="377"/>
      <c r="CI173" s="377"/>
    </row>
    <row r="174" spans="1:87" ht="14.25">
      <c r="A174" s="489"/>
      <c r="B174" s="489"/>
      <c r="C174" s="516" t="s">
        <v>1162</v>
      </c>
      <c r="D174" s="516"/>
      <c r="E174" s="516"/>
      <c r="F174" s="490"/>
      <c r="G174" s="490"/>
      <c r="H174" s="491"/>
      <c r="I174" s="490"/>
      <c r="J174" s="490"/>
      <c r="K174" s="422">
        <f t="shared" ref="K174:AE174" si="307">SUM(K167:K173)</f>
        <v>1325859.24</v>
      </c>
      <c r="L174" s="422">
        <f t="shared" si="307"/>
        <v>20</v>
      </c>
      <c r="M174" s="422">
        <f t="shared" si="307"/>
        <v>20</v>
      </c>
      <c r="N174" s="422">
        <f t="shared" si="307"/>
        <v>18</v>
      </c>
      <c r="O174" s="422">
        <f t="shared" si="307"/>
        <v>27</v>
      </c>
      <c r="P174" s="422">
        <f t="shared" si="307"/>
        <v>27</v>
      </c>
      <c r="Q174" s="422">
        <f t="shared" si="307"/>
        <v>112</v>
      </c>
      <c r="R174" s="422">
        <f t="shared" si="307"/>
        <v>10</v>
      </c>
      <c r="S174" s="422">
        <f t="shared" si="307"/>
        <v>10</v>
      </c>
      <c r="T174" s="422">
        <f t="shared" si="307"/>
        <v>9</v>
      </c>
      <c r="U174" s="422">
        <f t="shared" si="307"/>
        <v>9</v>
      </c>
      <c r="V174" s="422">
        <f t="shared" si="307"/>
        <v>9</v>
      </c>
      <c r="W174" s="422">
        <f t="shared" si="307"/>
        <v>47</v>
      </c>
      <c r="X174" s="422">
        <f t="shared" si="307"/>
        <v>159</v>
      </c>
      <c r="Y174" s="422">
        <f t="shared" si="307"/>
        <v>1879885.94625</v>
      </c>
      <c r="Z174" s="422">
        <f t="shared" si="307"/>
        <v>187988.59462500003</v>
      </c>
      <c r="AA174" s="422">
        <f t="shared" si="307"/>
        <v>0</v>
      </c>
      <c r="AB174" s="422">
        <f t="shared" si="307"/>
        <v>0</v>
      </c>
      <c r="AC174" s="422">
        <f t="shared" si="307"/>
        <v>0</v>
      </c>
      <c r="AD174" s="422">
        <f t="shared" si="307"/>
        <v>0</v>
      </c>
      <c r="AE174" s="422">
        <f t="shared" si="307"/>
        <v>196600</v>
      </c>
      <c r="AF174" s="422">
        <v>1</v>
      </c>
      <c r="AG174" s="422">
        <f t="shared" ref="AG174:BN174" si="308">SUM(AG167:AG173)</f>
        <v>0</v>
      </c>
      <c r="AH174" s="422">
        <v>1</v>
      </c>
      <c r="AI174" s="422">
        <f t="shared" si="308"/>
        <v>35394</v>
      </c>
      <c r="AJ174" s="422">
        <f t="shared" si="308"/>
        <v>0</v>
      </c>
      <c r="AK174" s="422">
        <f t="shared" si="308"/>
        <v>0</v>
      </c>
      <c r="AL174" s="422">
        <f t="shared" si="308"/>
        <v>159</v>
      </c>
      <c r="AM174" s="422">
        <f t="shared" si="308"/>
        <v>563965.78387499996</v>
      </c>
      <c r="AN174" s="422">
        <f t="shared" si="308"/>
        <v>0</v>
      </c>
      <c r="AO174" s="422">
        <f t="shared" si="308"/>
        <v>0</v>
      </c>
      <c r="AP174" s="422">
        <f t="shared" si="308"/>
        <v>233883.55200000003</v>
      </c>
      <c r="AQ174" s="422">
        <f t="shared" si="308"/>
        <v>0</v>
      </c>
      <c r="AR174" s="422">
        <f t="shared" si="308"/>
        <v>227441.84399999998</v>
      </c>
      <c r="AS174" s="422">
        <f t="shared" si="308"/>
        <v>0</v>
      </c>
      <c r="AT174" s="422">
        <f t="shared" si="308"/>
        <v>0</v>
      </c>
      <c r="AU174" s="422">
        <f t="shared" si="308"/>
        <v>0</v>
      </c>
      <c r="AV174" s="422">
        <f t="shared" si="308"/>
        <v>0</v>
      </c>
      <c r="AW174" s="422">
        <f t="shared" si="308"/>
        <v>0</v>
      </c>
      <c r="AX174" s="422">
        <f t="shared" si="308"/>
        <v>136560</v>
      </c>
      <c r="AY174" s="422">
        <f t="shared" si="308"/>
        <v>0</v>
      </c>
      <c r="AZ174" s="422">
        <f t="shared" si="308"/>
        <v>1581833.7745000001</v>
      </c>
      <c r="BA174" s="422">
        <f t="shared" si="308"/>
        <v>3461719.7207500003</v>
      </c>
      <c r="BB174" s="422">
        <f t="shared" si="308"/>
        <v>346171.97207500006</v>
      </c>
      <c r="BC174" s="422">
        <f t="shared" si="308"/>
        <v>69234.394415000002</v>
      </c>
      <c r="BD174" s="422">
        <f t="shared" si="308"/>
        <v>260021.73542599997</v>
      </c>
      <c r="BE174" s="422">
        <f t="shared" si="308"/>
        <v>2786291.6188340001</v>
      </c>
      <c r="BF174" s="422">
        <f t="shared" si="308"/>
        <v>41540636.649000004</v>
      </c>
      <c r="BG174" s="422">
        <f t="shared" si="308"/>
        <v>3759771.8925000001</v>
      </c>
      <c r="BH174" s="422">
        <f t="shared" si="308"/>
        <v>45300408.541500002</v>
      </c>
      <c r="BI174" s="422">
        <f t="shared" si="308"/>
        <v>2038518.3843675002</v>
      </c>
      <c r="BJ174" s="422">
        <f t="shared" si="308"/>
        <v>1246219.09947</v>
      </c>
      <c r="BK174" s="422">
        <f t="shared" si="308"/>
        <v>2354832.6606132002</v>
      </c>
      <c r="BL174" s="422">
        <f t="shared" si="308"/>
        <v>2265020.427075</v>
      </c>
      <c r="BM174" s="422">
        <f t="shared" si="308"/>
        <v>53204999.113025695</v>
      </c>
      <c r="BN174" s="422">
        <f t="shared" si="308"/>
        <v>0.5</v>
      </c>
      <c r="BO174" s="355"/>
      <c r="BP174" s="355"/>
      <c r="BQ174" s="355"/>
      <c r="BR174" s="355"/>
      <c r="BS174" s="355"/>
      <c r="BT174" s="355"/>
      <c r="BU174" s="355"/>
      <c r="BV174" s="355"/>
      <c r="BW174" s="355"/>
      <c r="BX174" s="355"/>
      <c r="BY174" s="355"/>
      <c r="BZ174" s="355"/>
      <c r="CA174" s="355"/>
      <c r="CB174" s="355"/>
      <c r="CC174" s="355"/>
      <c r="CD174" s="355"/>
      <c r="CE174" s="355"/>
      <c r="CF174" s="355"/>
      <c r="CG174" s="355"/>
      <c r="CH174" s="355"/>
      <c r="CI174" s="356"/>
    </row>
    <row r="175" spans="1:87" ht="32.25" customHeight="1">
      <c r="A175" s="526">
        <f>A173+1</f>
        <v>126</v>
      </c>
      <c r="B175" s="527">
        <v>1</v>
      </c>
      <c r="C175" s="387" t="s">
        <v>1118</v>
      </c>
      <c r="D175" s="514" t="s">
        <v>1351</v>
      </c>
      <c r="E175" s="703" t="s">
        <v>1022</v>
      </c>
      <c r="F175" s="528"/>
      <c r="G175" s="529"/>
      <c r="H175" s="530" t="s">
        <v>1120</v>
      </c>
      <c r="I175" s="366">
        <v>17697</v>
      </c>
      <c r="J175" s="531">
        <v>9.56</v>
      </c>
      <c r="K175" s="367">
        <f t="shared" ref="K175:K182" si="309">I175*J175</f>
        <v>169183.32</v>
      </c>
      <c r="L175" s="380"/>
      <c r="M175" s="380">
        <v>3</v>
      </c>
      <c r="N175" s="380"/>
      <c r="O175" s="380"/>
      <c r="P175" s="380"/>
      <c r="Q175" s="368">
        <f t="shared" si="286"/>
        <v>3</v>
      </c>
      <c r="R175" s="380"/>
      <c r="S175" s="380"/>
      <c r="T175" s="380"/>
      <c r="U175" s="380"/>
      <c r="V175" s="380"/>
      <c r="W175" s="381">
        <f t="shared" si="287"/>
        <v>0</v>
      </c>
      <c r="X175" s="458">
        <f t="shared" ref="X175:X182" si="310">Q175+W175</f>
        <v>3</v>
      </c>
      <c r="Y175" s="367">
        <f t="shared" ref="Y175:Y182" si="311">K175/16*X175</f>
        <v>31721.872500000001</v>
      </c>
      <c r="Z175" s="367">
        <f t="shared" ref="Z175:Z182" si="312">Y175*10%</f>
        <v>3172.1872500000004</v>
      </c>
      <c r="AA175" s="372"/>
      <c r="AB175" s="367">
        <f t="shared" ref="AB175:AB182" si="313">I175/16*AA175*40%</f>
        <v>0</v>
      </c>
      <c r="AC175" s="372"/>
      <c r="AD175" s="367">
        <f t="shared" ref="AD175:AD182" si="314">I175/16*AC175*40%*50%</f>
        <v>0</v>
      </c>
      <c r="AE175" s="366"/>
      <c r="AF175" s="366"/>
      <c r="AG175" s="367"/>
      <c r="AH175" s="366"/>
      <c r="AI175" s="367"/>
      <c r="AJ175" s="372"/>
      <c r="AK175" s="367"/>
      <c r="AL175" s="366">
        <f t="shared" ref="AL175:AL182" si="315">X175</f>
        <v>3</v>
      </c>
      <c r="AM175" s="367">
        <f t="shared" ref="AM175:AM182" si="316">K175/16*AL175*30%</f>
        <v>9516.5617500000008</v>
      </c>
      <c r="AN175" s="366">
        <f t="shared" ref="AN175:AN182" si="317">F175</f>
        <v>0</v>
      </c>
      <c r="AO175" s="367" t="str">
        <f>IF(AN175="Педагог-зерттеуші", "0", IF(AN175="Педагог-шебер",K175/16*X175*50%, IF(AN175="Педагог-сарапшы", "0", IF(AN175="Педагог-модератор", "0", "0"))))</f>
        <v>0</v>
      </c>
      <c r="AP175" s="367" t="str">
        <f>IF(AN175="Педагог-шебер", "0", IF(AN175="Педагог-зерттеуші",K175/16*X175*40%, IF(AN175="Педагог-сарапшы", "0", IF(AN175="Педагог-модератор", "0", "0"))))</f>
        <v>0</v>
      </c>
      <c r="AQ175" s="367" t="str">
        <f>IF(AN175="Педагог-шебер", "0", IF(AN175="Педагог-сарапшы",K175/16*X175*35%, IF(AN175="Педагог-зерттеуші", "0", IF(AN175="Педагог-модератор", "0", "0"))))</f>
        <v>0</v>
      </c>
      <c r="AR175" s="367" t="str">
        <f>IF(AN175="Педагог-шебер", "0", IF(AN175="Педагог-модератор",K175/16*X175*30%, IF(AN175="Педагог-зерттеуші", "0", IF(AN175="Педагог-сарапшы", "0", "0"))))</f>
        <v>0</v>
      </c>
      <c r="AS175" s="366"/>
      <c r="AT175" s="367"/>
      <c r="AU175" s="371"/>
      <c r="AV175" s="367"/>
      <c r="AW175" s="371"/>
      <c r="AX175" s="372"/>
      <c r="AY175" s="367"/>
      <c r="AZ175" s="367">
        <f>Z175+AB175+AD175+AE175+AG175+AI175+AK175+AM175+AO175+AP175+AQ175++AR175+AT175+AV175+AX175+AY175</f>
        <v>12688.749000000002</v>
      </c>
      <c r="BA175" s="373">
        <f>Y175+AZ175</f>
        <v>44410.621500000001</v>
      </c>
      <c r="BB175" s="374">
        <f t="shared" ref="BB175:BB182" si="318">BA175*10%</f>
        <v>4441.0621500000007</v>
      </c>
      <c r="BC175" s="374">
        <f t="shared" ref="BC175:BC182" si="319">BA175*2%</f>
        <v>888.21243000000004</v>
      </c>
      <c r="BD175" s="374">
        <f>(BA175-BB175-BC175)*10%</f>
        <v>3908.1346920000005</v>
      </c>
      <c r="BE175" s="374">
        <f t="shared" ref="BE175:BE182" si="320">BA175-BB175-BC175-BD175</f>
        <v>35173.212228000004</v>
      </c>
      <c r="BF175" s="374">
        <f t="shared" ref="BF175:BF182" si="321">BA175*12</f>
        <v>532927.45799999998</v>
      </c>
      <c r="BG175" s="374">
        <f>Y175*2</f>
        <v>63443.745000000003</v>
      </c>
      <c r="BH175" s="374">
        <f t="shared" ref="BH175:BH182" si="322">BF175+BG175</f>
        <v>596371.20299999998</v>
      </c>
      <c r="BI175" s="374">
        <f t="shared" ref="BI175" si="323">BH175*0.9*5%</f>
        <v>26836.704135000004</v>
      </c>
      <c r="BJ175" s="374">
        <f t="shared" ref="BJ175:BJ182" si="324">BF175*3%</f>
        <v>15987.82374</v>
      </c>
      <c r="BK175" s="374">
        <f t="shared" ref="BK175" si="325">(BH175*0.9-(BC175*12))*11%-BI175</f>
        <v>31031.604554399997</v>
      </c>
      <c r="BL175" s="374">
        <f t="shared" ref="BL175:BL181" si="326">BH175*5%</f>
        <v>29818.560150000001</v>
      </c>
      <c r="BM175" s="373">
        <f t="shared" ref="BM175:BM181" si="327">BH175+BI175+BJ175+BK175+BL175</f>
        <v>700045.89557940001</v>
      </c>
      <c r="BN175" s="532"/>
      <c r="BO175" s="356"/>
      <c r="BP175" s="356"/>
      <c r="BQ175" s="356"/>
      <c r="BR175" s="356"/>
      <c r="BS175" s="356"/>
      <c r="BT175" s="356"/>
      <c r="BU175" s="356"/>
      <c r="BV175" s="356"/>
      <c r="BW175" s="356"/>
      <c r="BX175" s="356"/>
      <c r="BY175" s="356"/>
      <c r="BZ175" s="356"/>
      <c r="CA175" s="356"/>
      <c r="CB175" s="356"/>
      <c r="CC175" s="356"/>
      <c r="CD175" s="356"/>
      <c r="CE175" s="356"/>
      <c r="CF175" s="356"/>
      <c r="CG175" s="356"/>
      <c r="CH175" s="356"/>
      <c r="CI175" s="356"/>
    </row>
    <row r="176" spans="1:87" ht="47.25">
      <c r="A176" s="526">
        <f>A175+1</f>
        <v>127</v>
      </c>
      <c r="B176" s="527">
        <f>B175+1</f>
        <v>2</v>
      </c>
      <c r="C176" s="533" t="s">
        <v>1128</v>
      </c>
      <c r="D176" s="704" t="s">
        <v>1352</v>
      </c>
      <c r="E176" s="703" t="s">
        <v>1022</v>
      </c>
      <c r="F176" s="531"/>
      <c r="G176" s="531"/>
      <c r="H176" s="530" t="s">
        <v>1130</v>
      </c>
      <c r="I176" s="366">
        <v>17697</v>
      </c>
      <c r="J176" s="367">
        <v>9.56</v>
      </c>
      <c r="K176" s="367">
        <f t="shared" si="309"/>
        <v>169183.32</v>
      </c>
      <c r="L176" s="380"/>
      <c r="M176" s="380">
        <v>3</v>
      </c>
      <c r="N176" s="380">
        <v>4</v>
      </c>
      <c r="O176" s="380"/>
      <c r="P176" s="380"/>
      <c r="Q176" s="368">
        <f t="shared" si="286"/>
        <v>7</v>
      </c>
      <c r="R176" s="380"/>
      <c r="S176" s="380"/>
      <c r="T176" s="380"/>
      <c r="U176" s="380"/>
      <c r="V176" s="380"/>
      <c r="W176" s="381">
        <f t="shared" si="287"/>
        <v>0</v>
      </c>
      <c r="X176" s="458">
        <f t="shared" si="310"/>
        <v>7</v>
      </c>
      <c r="Y176" s="367">
        <f t="shared" si="311"/>
        <v>74017.702499999999</v>
      </c>
      <c r="Z176" s="367">
        <f t="shared" si="312"/>
        <v>7401.7702500000005</v>
      </c>
      <c r="AA176" s="372"/>
      <c r="AB176" s="367">
        <f t="shared" si="313"/>
        <v>0</v>
      </c>
      <c r="AC176" s="372"/>
      <c r="AD176" s="367">
        <f t="shared" si="314"/>
        <v>0</v>
      </c>
      <c r="AE176" s="366"/>
      <c r="AF176" s="366"/>
      <c r="AG176" s="367"/>
      <c r="AH176" s="366"/>
      <c r="AI176" s="367"/>
      <c r="AJ176" s="372"/>
      <c r="AK176" s="367"/>
      <c r="AL176" s="366">
        <f t="shared" si="315"/>
        <v>7</v>
      </c>
      <c r="AM176" s="367">
        <f t="shared" si="316"/>
        <v>22205.310750000001</v>
      </c>
      <c r="AN176" s="366">
        <f t="shared" si="317"/>
        <v>0</v>
      </c>
      <c r="AO176" s="367" t="str">
        <f>IF(AN176="Педагог-зерттеуші", "0", IF(AN176="Педагог-шебер",K176/16*X176*50%, IF(AN176="Педагог-сарапшы", "0", IF(AN176="Педагог-модератор", "0", "0"))))</f>
        <v>0</v>
      </c>
      <c r="AP176" s="367" t="str">
        <f>IF(AN176="Педагог-шебер", "0", IF(AN176="Педагог-зерттеуші",K176/16*X176*40%, IF(AN176="Педагог-сарапшы", "0", IF(AN176="Педагог-модератор", "0", "0"))))</f>
        <v>0</v>
      </c>
      <c r="AQ176" s="367" t="str">
        <f>IF(AN176="Педагог-шебер", "0", IF(AN176="Педагог-сарапшы",K176/16*X176*35%, IF(AN176="Педагог-зерттеуші", "0", IF(AN176="Педагог-модератор", "0", "0"))))</f>
        <v>0</v>
      </c>
      <c r="AR176" s="367" t="str">
        <f>IF(AN176="Педагог-шебер", "0", IF(AN176="Педагог-модератор",K176/16*X176*30%, IF(AN176="Педагог-зерттеуші", "0", IF(AN176="Педагог-сарапшы", "0", "0"))))</f>
        <v>0</v>
      </c>
      <c r="AS176" s="366"/>
      <c r="AT176" s="367"/>
      <c r="AU176" s="371"/>
      <c r="AV176" s="367"/>
      <c r="AW176" s="371">
        <f>G176</f>
        <v>0</v>
      </c>
      <c r="AX176" s="372"/>
      <c r="AY176" s="367"/>
      <c r="AZ176" s="367">
        <f>Z176+AB176+AD176+AE176+AG176+AI176+AK176+AM176+AO176+AP176+AQ176++AR176+AT176+AV176+AX176+AY176</f>
        <v>29607.081000000002</v>
      </c>
      <c r="BA176" s="373">
        <f>Y176+AZ176</f>
        <v>103624.78350000001</v>
      </c>
      <c r="BB176" s="374">
        <f t="shared" si="318"/>
        <v>10362.478350000001</v>
      </c>
      <c r="BC176" s="374">
        <f t="shared" si="319"/>
        <v>2072.4956700000002</v>
      </c>
      <c r="BD176" s="374">
        <f>(BA176-BB176-BC176-(14*4552))*10%</f>
        <v>2746.1809479999997</v>
      </c>
      <c r="BE176" s="374">
        <f t="shared" si="320"/>
        <v>88443.628532000002</v>
      </c>
      <c r="BF176" s="374">
        <f t="shared" si="321"/>
        <v>1243497.402</v>
      </c>
      <c r="BG176" s="374">
        <f>Y176*2</f>
        <v>148035.405</v>
      </c>
      <c r="BH176" s="374">
        <f t="shared" si="322"/>
        <v>1391532.807</v>
      </c>
      <c r="BI176" s="374">
        <f t="shared" si="178"/>
        <v>62618.976315000007</v>
      </c>
      <c r="BJ176" s="374">
        <f t="shared" si="324"/>
        <v>37304.922059999997</v>
      </c>
      <c r="BK176" s="374">
        <f t="shared" si="180"/>
        <v>72407.077293600014</v>
      </c>
      <c r="BL176" s="374">
        <f t="shared" si="326"/>
        <v>69576.640350000001</v>
      </c>
      <c r="BM176" s="373">
        <f t="shared" si="327"/>
        <v>1633440.4230186001</v>
      </c>
      <c r="BN176" s="534"/>
      <c r="BO176" s="356"/>
      <c r="BP176" s="356"/>
      <c r="BQ176" s="356"/>
      <c r="BR176" s="356"/>
      <c r="BS176" s="356"/>
      <c r="BT176" s="356"/>
      <c r="BU176" s="356"/>
      <c r="BV176" s="356"/>
      <c r="BW176" s="356"/>
      <c r="BX176" s="356"/>
      <c r="BY176" s="356"/>
      <c r="BZ176" s="356"/>
      <c r="CA176" s="356"/>
      <c r="CB176" s="356"/>
      <c r="CC176" s="356"/>
      <c r="CD176" s="356"/>
      <c r="CE176" s="356"/>
      <c r="CF176" s="356"/>
      <c r="CG176" s="356"/>
      <c r="CH176" s="356"/>
      <c r="CI176" s="356"/>
    </row>
    <row r="177" spans="1:87" ht="45">
      <c r="A177" s="526">
        <f>A176+1</f>
        <v>128</v>
      </c>
      <c r="B177" s="527">
        <f>B176+1</f>
        <v>3</v>
      </c>
      <c r="C177" s="533" t="s">
        <v>1132</v>
      </c>
      <c r="D177" s="429" t="s">
        <v>1353</v>
      </c>
      <c r="E177" s="703" t="s">
        <v>1022</v>
      </c>
      <c r="F177" s="531"/>
      <c r="G177" s="531"/>
      <c r="H177" s="530" t="s">
        <v>1134</v>
      </c>
      <c r="I177" s="366">
        <v>17697</v>
      </c>
      <c r="J177" s="367">
        <v>8.14</v>
      </c>
      <c r="K177" s="367">
        <f t="shared" si="309"/>
        <v>144053.58000000002</v>
      </c>
      <c r="L177" s="380">
        <v>5</v>
      </c>
      <c r="M177" s="380">
        <v>2</v>
      </c>
      <c r="N177" s="380"/>
      <c r="O177" s="380"/>
      <c r="P177" s="380"/>
      <c r="Q177" s="368">
        <f t="shared" si="286"/>
        <v>7</v>
      </c>
      <c r="R177" s="380"/>
      <c r="S177" s="380"/>
      <c r="T177" s="380"/>
      <c r="U177" s="380"/>
      <c r="V177" s="380"/>
      <c r="W177" s="381">
        <f t="shared" si="287"/>
        <v>0</v>
      </c>
      <c r="X177" s="458">
        <f t="shared" si="310"/>
        <v>7</v>
      </c>
      <c r="Y177" s="367">
        <f t="shared" si="311"/>
        <v>63023.441250000003</v>
      </c>
      <c r="Z177" s="367">
        <f t="shared" si="312"/>
        <v>6302.3441250000005</v>
      </c>
      <c r="AA177" s="372"/>
      <c r="AB177" s="367">
        <f t="shared" si="313"/>
        <v>0</v>
      </c>
      <c r="AC177" s="372"/>
      <c r="AD177" s="367">
        <f t="shared" si="314"/>
        <v>0</v>
      </c>
      <c r="AE177" s="366"/>
      <c r="AF177" s="366"/>
      <c r="AG177" s="367"/>
      <c r="AH177" s="366"/>
      <c r="AI177" s="367"/>
      <c r="AJ177" s="372"/>
      <c r="AK177" s="367"/>
      <c r="AL177" s="366">
        <f t="shared" si="315"/>
        <v>7</v>
      </c>
      <c r="AM177" s="367">
        <f t="shared" si="316"/>
        <v>18907.032374999999</v>
      </c>
      <c r="AN177" s="366">
        <f t="shared" si="317"/>
        <v>0</v>
      </c>
      <c r="AO177" s="367" t="str">
        <f>IF(AN177="Педагог-зерттеуші", "0", IF(AN177="Педагог-шебер",K177/16*X177*50%, IF(AN177="Педагог-сарапшы", "0", IF(AN177="Педагог-модератор", "0", "0"))))</f>
        <v>0</v>
      </c>
      <c r="AP177" s="367" t="str">
        <f>IF(AN177="Педагог-шебер", "0", IF(AN177="Педагог-зерттеуші",K177/16*X177*40%, IF(AN177="Педагог-сарапшы", "0", IF(AN177="Педагог-модератор", "0", "0"))))</f>
        <v>0</v>
      </c>
      <c r="AQ177" s="367" t="str">
        <f>IF(AN177="Педагог-шебер", "0", IF(AN177="Педагог-сарапшы",K177/16*X177*35%, IF(AN177="Педагог-зерттеуші", "0", IF(AN177="Педагог-модератор", "0", "0"))))</f>
        <v>0</v>
      </c>
      <c r="AR177" s="367" t="str">
        <f>IF(AN177="Педагог-шебер", "0", IF(AN177="Педагог-модератор",K177/16*X177*30%, IF(AN177="Педагог-зерттеуші", "0", IF(AN177="Педагог-сарапшы", "0", "0"))))</f>
        <v>0</v>
      </c>
      <c r="AS177" s="366"/>
      <c r="AT177" s="367"/>
      <c r="AU177" s="371"/>
      <c r="AV177" s="367"/>
      <c r="AW177" s="371">
        <f>G177</f>
        <v>0</v>
      </c>
      <c r="AX177" s="372"/>
      <c r="AY177" s="367"/>
      <c r="AZ177" s="367">
        <f>Z177+AB177+AD177+AE177+AG177+AI177+AK177+AM177+AO177+AP177+AQ177++AR177+AT177+AV177+AX177+AY177</f>
        <v>25209.376499999998</v>
      </c>
      <c r="BA177" s="373">
        <f>Y177+AZ177</f>
        <v>88232.817750000002</v>
      </c>
      <c r="BB177" s="374">
        <f t="shared" si="318"/>
        <v>8823.2817750000013</v>
      </c>
      <c r="BC177" s="374">
        <f t="shared" si="319"/>
        <v>1764.6563550000001</v>
      </c>
      <c r="BD177" s="374">
        <f>(BA177-BB177-BC177-(14*4552))*10%</f>
        <v>1391.6879620000009</v>
      </c>
      <c r="BE177" s="374">
        <f t="shared" si="320"/>
        <v>76253.191658000011</v>
      </c>
      <c r="BF177" s="374">
        <f t="shared" si="321"/>
        <v>1058793.8130000001</v>
      </c>
      <c r="BG177" s="374">
        <f>Y177*2</f>
        <v>126046.88250000001</v>
      </c>
      <c r="BH177" s="374">
        <f t="shared" si="322"/>
        <v>1184840.6955000001</v>
      </c>
      <c r="BI177" s="374">
        <f t="shared" si="178"/>
        <v>53317.831297500015</v>
      </c>
      <c r="BJ177" s="374">
        <f t="shared" si="324"/>
        <v>31763.81439</v>
      </c>
      <c r="BK177" s="374">
        <f t="shared" si="180"/>
        <v>61652.051168400008</v>
      </c>
      <c r="BL177" s="374">
        <f t="shared" si="326"/>
        <v>59242.034775000007</v>
      </c>
      <c r="BM177" s="373">
        <f t="shared" si="327"/>
        <v>1390816.4271309003</v>
      </c>
      <c r="BN177" s="534"/>
      <c r="BO177" s="356"/>
      <c r="BP177" s="356"/>
      <c r="BQ177" s="356"/>
      <c r="BR177" s="356"/>
      <c r="BS177" s="356"/>
      <c r="BT177" s="356"/>
      <c r="BU177" s="356"/>
      <c r="BV177" s="356"/>
      <c r="BW177" s="356"/>
      <c r="BX177" s="356"/>
      <c r="BY177" s="356"/>
      <c r="BZ177" s="356"/>
      <c r="CA177" s="356"/>
      <c r="CB177" s="356"/>
      <c r="CC177" s="356"/>
      <c r="CD177" s="356"/>
      <c r="CE177" s="356"/>
      <c r="CF177" s="356"/>
      <c r="CG177" s="356"/>
      <c r="CH177" s="356"/>
      <c r="CI177" s="356"/>
    </row>
    <row r="178" spans="1:87" ht="45">
      <c r="A178" s="526">
        <f t="shared" ref="A178:B182" si="328">A177+1</f>
        <v>129</v>
      </c>
      <c r="B178" s="527">
        <f t="shared" si="328"/>
        <v>4</v>
      </c>
      <c r="C178" s="533" t="s">
        <v>1135</v>
      </c>
      <c r="D178" s="429" t="s">
        <v>1354</v>
      </c>
      <c r="E178" s="703" t="s">
        <v>1022</v>
      </c>
      <c r="F178" s="531"/>
      <c r="G178" s="531"/>
      <c r="H178" s="530" t="s">
        <v>1137</v>
      </c>
      <c r="I178" s="366">
        <v>17697</v>
      </c>
      <c r="J178" s="367">
        <v>9.0399999999999991</v>
      </c>
      <c r="K178" s="367">
        <f t="shared" si="309"/>
        <v>159980.87999999998</v>
      </c>
      <c r="L178" s="380"/>
      <c r="M178" s="380">
        <v>5</v>
      </c>
      <c r="N178" s="380">
        <v>5</v>
      </c>
      <c r="O178" s="380"/>
      <c r="P178" s="380"/>
      <c r="Q178" s="368">
        <f t="shared" si="286"/>
        <v>10</v>
      </c>
      <c r="R178" s="380"/>
      <c r="S178" s="380"/>
      <c r="T178" s="380"/>
      <c r="U178" s="380"/>
      <c r="V178" s="380"/>
      <c r="W178" s="381">
        <f t="shared" si="287"/>
        <v>0</v>
      </c>
      <c r="X178" s="458">
        <f t="shared" si="310"/>
        <v>10</v>
      </c>
      <c r="Y178" s="367">
        <f t="shared" si="311"/>
        <v>99988.049999999988</v>
      </c>
      <c r="Z178" s="367">
        <f t="shared" si="312"/>
        <v>9998.8050000000003</v>
      </c>
      <c r="AA178" s="372"/>
      <c r="AB178" s="367">
        <f t="shared" si="313"/>
        <v>0</v>
      </c>
      <c r="AC178" s="372"/>
      <c r="AD178" s="367">
        <f t="shared" si="314"/>
        <v>0</v>
      </c>
      <c r="AE178" s="366"/>
      <c r="AF178" s="366"/>
      <c r="AG178" s="367"/>
      <c r="AH178" s="366"/>
      <c r="AI178" s="367"/>
      <c r="AJ178" s="372"/>
      <c r="AK178" s="367"/>
      <c r="AL178" s="366">
        <f t="shared" si="315"/>
        <v>10</v>
      </c>
      <c r="AM178" s="367">
        <f t="shared" si="316"/>
        <v>29996.414999999994</v>
      </c>
      <c r="AN178" s="366">
        <f t="shared" si="317"/>
        <v>0</v>
      </c>
      <c r="AO178" s="367" t="str">
        <f t="shared" ref="AO178:AO182" si="329">IF(AN178="Педагог-зерттеуші", "0", IF(AN178="Педагог-шебер",K178/16*X178*50%, IF(AN178="Педагог-сарапшы", "0", IF(AN178="Педагог-модератор", "0", "0"))))</f>
        <v>0</v>
      </c>
      <c r="AP178" s="367" t="str">
        <f t="shared" ref="AP178:AP182" si="330">IF(AN178="Педагог-шебер", "0", IF(AN178="Педагог-зерттеуші",K178/16*X178*40%, IF(AN178="Педагог-сарапшы", "0", IF(AN178="Педагог-модератор", "0", "0"))))</f>
        <v>0</v>
      </c>
      <c r="AQ178" s="367" t="str">
        <f t="shared" ref="AQ178:AQ182" si="331">IF(AN178="Педагог-шебер", "0", IF(AN178="Педагог-сарапшы",K178/16*X178*35%, IF(AN178="Педагог-зерттеуші", "0", IF(AN178="Педагог-модератор", "0", "0"))))</f>
        <v>0</v>
      </c>
      <c r="AR178" s="367" t="str">
        <f t="shared" ref="AR178:AR182" si="332">IF(AN178="Педагог-шебер", "0", IF(AN178="Педагог-модератор",K178/16*X178*30%, IF(AN178="Педагог-зерттеуші", "0", IF(AN178="Педагог-сарапшы", "0", "0"))))</f>
        <v>0</v>
      </c>
      <c r="AS178" s="366"/>
      <c r="AT178" s="367"/>
      <c r="AU178" s="371"/>
      <c r="AV178" s="367"/>
      <c r="AW178" s="371">
        <f t="shared" ref="AW178:AW182" si="333">G178</f>
        <v>0</v>
      </c>
      <c r="AX178" s="372"/>
      <c r="AY178" s="367"/>
      <c r="AZ178" s="367">
        <f t="shared" ref="AZ178:AZ182" si="334">Z178+AB178+AD178+AE178+AG178+AI178+AK178+AM178+AO178+AP178+AQ178++AR178+AT178+AV178+AX178+AY178</f>
        <v>39995.219999999994</v>
      </c>
      <c r="BA178" s="373">
        <f t="shared" ref="BA178:BA182" si="335">Y178+AZ178</f>
        <v>139983.26999999999</v>
      </c>
      <c r="BB178" s="374">
        <f t="shared" si="318"/>
        <v>13998.326999999999</v>
      </c>
      <c r="BC178" s="374">
        <f t="shared" si="319"/>
        <v>2799.6653999999999</v>
      </c>
      <c r="BD178" s="374">
        <f>(BA178-BB178-BC178-(14*4552))*10%</f>
        <v>5945.7277599999989</v>
      </c>
      <c r="BE178" s="374">
        <f t="shared" si="320"/>
        <v>117239.54983999999</v>
      </c>
      <c r="BF178" s="374">
        <f t="shared" si="321"/>
        <v>1679799.2399999998</v>
      </c>
      <c r="BG178" s="374">
        <f t="shared" ref="BG178:BG182" si="336">Y178*2</f>
        <v>199976.09999999998</v>
      </c>
      <c r="BH178" s="374">
        <f t="shared" si="322"/>
        <v>1879775.3399999999</v>
      </c>
      <c r="BI178" s="374">
        <f t="shared" si="178"/>
        <v>84589.890299999999</v>
      </c>
      <c r="BJ178" s="374">
        <f t="shared" si="324"/>
        <v>50393.977199999994</v>
      </c>
      <c r="BK178" s="374">
        <f t="shared" si="180"/>
        <v>97812.310031999979</v>
      </c>
      <c r="BL178" s="374">
        <f t="shared" si="326"/>
        <v>93988.766999999993</v>
      </c>
      <c r="BM178" s="373">
        <f t="shared" si="327"/>
        <v>2206560.2845319998</v>
      </c>
      <c r="BN178" s="534"/>
      <c r="BO178" s="356"/>
      <c r="BP178" s="356"/>
      <c r="BQ178" s="356"/>
      <c r="BR178" s="356"/>
      <c r="BS178" s="356"/>
      <c r="BT178" s="356"/>
      <c r="BU178" s="356"/>
      <c r="BV178" s="356"/>
      <c r="BW178" s="356"/>
      <c r="BX178" s="356"/>
      <c r="BY178" s="356"/>
      <c r="BZ178" s="356"/>
      <c r="CA178" s="356"/>
      <c r="CB178" s="356"/>
      <c r="CC178" s="356"/>
      <c r="CD178" s="356"/>
      <c r="CE178" s="356"/>
      <c r="CF178" s="356"/>
      <c r="CG178" s="356"/>
      <c r="CH178" s="356"/>
      <c r="CI178" s="356"/>
    </row>
    <row r="179" spans="1:87" ht="45">
      <c r="A179" s="526">
        <f t="shared" si="328"/>
        <v>130</v>
      </c>
      <c r="B179" s="527">
        <f t="shared" si="328"/>
        <v>5</v>
      </c>
      <c r="C179" s="533" t="s">
        <v>1140</v>
      </c>
      <c r="D179" s="429" t="s">
        <v>1355</v>
      </c>
      <c r="E179" s="703" t="s">
        <v>1022</v>
      </c>
      <c r="F179" s="531"/>
      <c r="G179" s="531"/>
      <c r="H179" s="530" t="s">
        <v>397</v>
      </c>
      <c r="I179" s="366">
        <v>17697</v>
      </c>
      <c r="J179" s="367">
        <v>9.56</v>
      </c>
      <c r="K179" s="367">
        <f t="shared" si="309"/>
        <v>169183.32</v>
      </c>
      <c r="L179" s="380"/>
      <c r="M179" s="380"/>
      <c r="N179" s="380">
        <v>5</v>
      </c>
      <c r="O179" s="380"/>
      <c r="P179" s="380"/>
      <c r="Q179" s="368">
        <f t="shared" si="286"/>
        <v>5</v>
      </c>
      <c r="R179" s="380"/>
      <c r="S179" s="380"/>
      <c r="T179" s="380"/>
      <c r="U179" s="380"/>
      <c r="V179" s="380"/>
      <c r="W179" s="381">
        <f t="shared" si="287"/>
        <v>0</v>
      </c>
      <c r="X179" s="458">
        <f t="shared" si="310"/>
        <v>5</v>
      </c>
      <c r="Y179" s="367">
        <f t="shared" si="311"/>
        <v>52869.787500000006</v>
      </c>
      <c r="Z179" s="367">
        <f t="shared" si="312"/>
        <v>5286.9787500000011</v>
      </c>
      <c r="AA179" s="372"/>
      <c r="AB179" s="367">
        <f t="shared" si="313"/>
        <v>0</v>
      </c>
      <c r="AC179" s="372"/>
      <c r="AD179" s="367">
        <f t="shared" si="314"/>
        <v>0</v>
      </c>
      <c r="AE179" s="366"/>
      <c r="AF179" s="366"/>
      <c r="AG179" s="367"/>
      <c r="AH179" s="366"/>
      <c r="AI179" s="367"/>
      <c r="AJ179" s="372"/>
      <c r="AK179" s="367"/>
      <c r="AL179" s="366">
        <f t="shared" si="315"/>
        <v>5</v>
      </c>
      <c r="AM179" s="367">
        <f t="shared" si="316"/>
        <v>15860.936250000001</v>
      </c>
      <c r="AN179" s="366">
        <f t="shared" si="317"/>
        <v>0</v>
      </c>
      <c r="AO179" s="367" t="str">
        <f t="shared" si="329"/>
        <v>0</v>
      </c>
      <c r="AP179" s="367" t="str">
        <f t="shared" si="330"/>
        <v>0</v>
      </c>
      <c r="AQ179" s="367" t="str">
        <f t="shared" si="331"/>
        <v>0</v>
      </c>
      <c r="AR179" s="367" t="str">
        <f t="shared" si="332"/>
        <v>0</v>
      </c>
      <c r="AS179" s="366"/>
      <c r="AT179" s="367"/>
      <c r="AU179" s="371"/>
      <c r="AV179" s="367"/>
      <c r="AW179" s="371">
        <f t="shared" si="333"/>
        <v>0</v>
      </c>
      <c r="AX179" s="372"/>
      <c r="AY179" s="367"/>
      <c r="AZ179" s="367">
        <f t="shared" si="334"/>
        <v>21147.915000000001</v>
      </c>
      <c r="BA179" s="373">
        <f t="shared" si="335"/>
        <v>74017.702500000014</v>
      </c>
      <c r="BB179" s="374">
        <f t="shared" si="318"/>
        <v>7401.7702500000014</v>
      </c>
      <c r="BC179" s="374">
        <f t="shared" si="319"/>
        <v>1480.3540500000004</v>
      </c>
      <c r="BD179" s="374">
        <f>(BA179-BB179-BC179-(14*4552))*10%</f>
        <v>140.75782000000109</v>
      </c>
      <c r="BE179" s="374">
        <f t="shared" si="320"/>
        <v>64994.820380000012</v>
      </c>
      <c r="BF179" s="374">
        <f t="shared" si="321"/>
        <v>888212.43000000017</v>
      </c>
      <c r="BG179" s="374">
        <f t="shared" si="336"/>
        <v>105739.57500000001</v>
      </c>
      <c r="BH179" s="374">
        <f t="shared" si="322"/>
        <v>993952.00500000012</v>
      </c>
      <c r="BI179" s="374">
        <f t="shared" si="178"/>
        <v>44727.840225000007</v>
      </c>
      <c r="BJ179" s="374">
        <f t="shared" si="324"/>
        <v>26646.372900000006</v>
      </c>
      <c r="BK179" s="374">
        <f t="shared" si="180"/>
        <v>51719.340924000004</v>
      </c>
      <c r="BL179" s="374">
        <f t="shared" si="326"/>
        <v>49697.60025000001</v>
      </c>
      <c r="BM179" s="373">
        <f t="shared" si="327"/>
        <v>1166743.1592989999</v>
      </c>
      <c r="BN179" s="534"/>
      <c r="BO179" s="356"/>
      <c r="BP179" s="356"/>
      <c r="BQ179" s="356"/>
      <c r="BR179" s="356"/>
      <c r="BS179" s="356"/>
      <c r="BT179" s="356"/>
      <c r="BU179" s="356"/>
      <c r="BV179" s="356"/>
      <c r="BW179" s="356"/>
      <c r="BX179" s="356"/>
      <c r="BY179" s="356"/>
      <c r="BZ179" s="356"/>
      <c r="CA179" s="356"/>
      <c r="CB179" s="356"/>
      <c r="CC179" s="356"/>
      <c r="CD179" s="356"/>
      <c r="CE179" s="356"/>
      <c r="CF179" s="356"/>
      <c r="CG179" s="356"/>
      <c r="CH179" s="356"/>
      <c r="CI179" s="356"/>
    </row>
    <row r="180" spans="1:87" ht="45">
      <c r="A180" s="526">
        <f t="shared" si="328"/>
        <v>131</v>
      </c>
      <c r="B180" s="527">
        <f t="shared" si="328"/>
        <v>6</v>
      </c>
      <c r="C180" s="533" t="s">
        <v>1143</v>
      </c>
      <c r="D180" s="429" t="s">
        <v>1356</v>
      </c>
      <c r="E180" s="703" t="s">
        <v>1022</v>
      </c>
      <c r="F180" s="531"/>
      <c r="G180" s="531"/>
      <c r="H180" s="530" t="s">
        <v>1145</v>
      </c>
      <c r="I180" s="366">
        <v>17697</v>
      </c>
      <c r="J180" s="367">
        <v>8.9</v>
      </c>
      <c r="K180" s="367">
        <f t="shared" si="309"/>
        <v>157503.30000000002</v>
      </c>
      <c r="L180" s="380"/>
      <c r="M180" s="380"/>
      <c r="N180" s="380">
        <v>4</v>
      </c>
      <c r="O180" s="380"/>
      <c r="P180" s="380"/>
      <c r="Q180" s="368">
        <f t="shared" si="286"/>
        <v>4</v>
      </c>
      <c r="R180" s="380"/>
      <c r="S180" s="380"/>
      <c r="T180" s="380"/>
      <c r="U180" s="380"/>
      <c r="V180" s="380"/>
      <c r="W180" s="381">
        <f t="shared" si="287"/>
        <v>0</v>
      </c>
      <c r="X180" s="458">
        <f t="shared" si="310"/>
        <v>4</v>
      </c>
      <c r="Y180" s="367">
        <f t="shared" si="311"/>
        <v>39375.825000000004</v>
      </c>
      <c r="Z180" s="367">
        <f t="shared" si="312"/>
        <v>3937.5825000000004</v>
      </c>
      <c r="AA180" s="372"/>
      <c r="AB180" s="367">
        <f t="shared" si="313"/>
        <v>0</v>
      </c>
      <c r="AC180" s="372"/>
      <c r="AD180" s="367">
        <f t="shared" si="314"/>
        <v>0</v>
      </c>
      <c r="AE180" s="366"/>
      <c r="AF180" s="366"/>
      <c r="AG180" s="367"/>
      <c r="AH180" s="366"/>
      <c r="AI180" s="367"/>
      <c r="AJ180" s="372"/>
      <c r="AK180" s="367"/>
      <c r="AL180" s="366">
        <f t="shared" si="315"/>
        <v>4</v>
      </c>
      <c r="AM180" s="367">
        <f t="shared" si="316"/>
        <v>11812.747500000001</v>
      </c>
      <c r="AN180" s="366">
        <f t="shared" si="317"/>
        <v>0</v>
      </c>
      <c r="AO180" s="367" t="str">
        <f t="shared" si="329"/>
        <v>0</v>
      </c>
      <c r="AP180" s="367" t="str">
        <f t="shared" si="330"/>
        <v>0</v>
      </c>
      <c r="AQ180" s="367" t="str">
        <f t="shared" si="331"/>
        <v>0</v>
      </c>
      <c r="AR180" s="367" t="str">
        <f t="shared" si="332"/>
        <v>0</v>
      </c>
      <c r="AS180" s="366"/>
      <c r="AT180" s="367"/>
      <c r="AU180" s="371"/>
      <c r="AV180" s="367"/>
      <c r="AW180" s="371">
        <f t="shared" si="333"/>
        <v>0</v>
      </c>
      <c r="AX180" s="372"/>
      <c r="AY180" s="367"/>
      <c r="AZ180" s="367">
        <f t="shared" si="334"/>
        <v>15750.330000000002</v>
      </c>
      <c r="BA180" s="373">
        <f t="shared" si="335"/>
        <v>55126.155000000006</v>
      </c>
      <c r="BB180" s="374">
        <f t="shared" si="318"/>
        <v>5512.6155000000008</v>
      </c>
      <c r="BC180" s="374">
        <f t="shared" si="319"/>
        <v>1102.5231000000001</v>
      </c>
      <c r="BD180" s="374">
        <f>(BA180-BB180-BC180)*10%</f>
        <v>4851.1016400000008</v>
      </c>
      <c r="BE180" s="374">
        <f t="shared" si="320"/>
        <v>43659.914760000007</v>
      </c>
      <c r="BF180" s="374">
        <f t="shared" si="321"/>
        <v>661513.8600000001</v>
      </c>
      <c r="BG180" s="374">
        <f t="shared" si="336"/>
        <v>78751.650000000009</v>
      </c>
      <c r="BH180" s="374">
        <f t="shared" si="322"/>
        <v>740265.51000000013</v>
      </c>
      <c r="BI180" s="374">
        <f t="shared" si="178"/>
        <v>33311.947950000009</v>
      </c>
      <c r="BJ180" s="374">
        <f t="shared" si="324"/>
        <v>19845.415800000002</v>
      </c>
      <c r="BK180" s="374">
        <f t="shared" si="180"/>
        <v>38519.007048000007</v>
      </c>
      <c r="BL180" s="374">
        <f t="shared" si="326"/>
        <v>37013.275500000011</v>
      </c>
      <c r="BM180" s="373">
        <f t="shared" si="327"/>
        <v>868955.15629800013</v>
      </c>
      <c r="BN180" s="534"/>
      <c r="BO180" s="356"/>
      <c r="BP180" s="356"/>
      <c r="BQ180" s="356"/>
      <c r="BR180" s="356"/>
      <c r="BS180" s="356"/>
      <c r="BT180" s="356"/>
      <c r="BU180" s="356"/>
      <c r="BV180" s="356"/>
      <c r="BW180" s="356"/>
      <c r="BX180" s="356"/>
      <c r="BY180" s="356"/>
      <c r="BZ180" s="356"/>
      <c r="CA180" s="356"/>
      <c r="CB180" s="356"/>
      <c r="CC180" s="356"/>
      <c r="CD180" s="356"/>
      <c r="CE180" s="356"/>
      <c r="CF180" s="356"/>
      <c r="CG180" s="356"/>
      <c r="CH180" s="356"/>
      <c r="CI180" s="356"/>
    </row>
    <row r="181" spans="1:87" ht="45">
      <c r="A181" s="526">
        <f t="shared" si="328"/>
        <v>132</v>
      </c>
      <c r="B181" s="527">
        <f t="shared" si="328"/>
        <v>7</v>
      </c>
      <c r="C181" s="533" t="s">
        <v>1147</v>
      </c>
      <c r="D181" s="429" t="s">
        <v>1357</v>
      </c>
      <c r="E181" s="703" t="s">
        <v>1022</v>
      </c>
      <c r="F181" s="531"/>
      <c r="G181" s="531"/>
      <c r="H181" s="530" t="s">
        <v>114</v>
      </c>
      <c r="I181" s="366">
        <v>17697</v>
      </c>
      <c r="J181" s="367">
        <v>7.98</v>
      </c>
      <c r="K181" s="367">
        <f t="shared" si="309"/>
        <v>141222.06</v>
      </c>
      <c r="L181" s="380">
        <v>5</v>
      </c>
      <c r="M181" s="380"/>
      <c r="N181" s="380"/>
      <c r="O181" s="380"/>
      <c r="P181" s="380"/>
      <c r="Q181" s="368">
        <f t="shared" si="286"/>
        <v>5</v>
      </c>
      <c r="R181" s="380"/>
      <c r="S181" s="380"/>
      <c r="T181" s="380"/>
      <c r="U181" s="380"/>
      <c r="V181" s="380"/>
      <c r="W181" s="381">
        <f t="shared" si="287"/>
        <v>0</v>
      </c>
      <c r="X181" s="458">
        <f t="shared" si="310"/>
        <v>5</v>
      </c>
      <c r="Y181" s="367">
        <f t="shared" si="311"/>
        <v>44131.893750000003</v>
      </c>
      <c r="Z181" s="367">
        <f t="shared" si="312"/>
        <v>4413.1893750000008</v>
      </c>
      <c r="AA181" s="372"/>
      <c r="AB181" s="367">
        <f t="shared" si="313"/>
        <v>0</v>
      </c>
      <c r="AC181" s="372"/>
      <c r="AD181" s="367">
        <f t="shared" si="314"/>
        <v>0</v>
      </c>
      <c r="AE181" s="366"/>
      <c r="AF181" s="366"/>
      <c r="AG181" s="367"/>
      <c r="AH181" s="366"/>
      <c r="AI181" s="367"/>
      <c r="AJ181" s="372"/>
      <c r="AK181" s="367"/>
      <c r="AL181" s="366">
        <f t="shared" si="315"/>
        <v>5</v>
      </c>
      <c r="AM181" s="367">
        <f t="shared" si="316"/>
        <v>13239.568125</v>
      </c>
      <c r="AN181" s="366">
        <f t="shared" si="317"/>
        <v>0</v>
      </c>
      <c r="AO181" s="367" t="str">
        <f t="shared" si="329"/>
        <v>0</v>
      </c>
      <c r="AP181" s="367" t="str">
        <f t="shared" si="330"/>
        <v>0</v>
      </c>
      <c r="AQ181" s="367" t="str">
        <f t="shared" si="331"/>
        <v>0</v>
      </c>
      <c r="AR181" s="367" t="str">
        <f t="shared" si="332"/>
        <v>0</v>
      </c>
      <c r="AS181" s="366"/>
      <c r="AT181" s="367"/>
      <c r="AU181" s="371"/>
      <c r="AV181" s="367"/>
      <c r="AW181" s="371">
        <f t="shared" si="333"/>
        <v>0</v>
      </c>
      <c r="AX181" s="372"/>
      <c r="AY181" s="367"/>
      <c r="AZ181" s="367">
        <f t="shared" si="334"/>
        <v>17652.7575</v>
      </c>
      <c r="BA181" s="373">
        <f t="shared" si="335"/>
        <v>61784.651250000003</v>
      </c>
      <c r="BB181" s="374">
        <f t="shared" si="318"/>
        <v>6178.4651250000006</v>
      </c>
      <c r="BC181" s="374">
        <f t="shared" si="319"/>
        <v>1235.693025</v>
      </c>
      <c r="BD181" s="374">
        <f>(BA181-BB181-BC181)*10%</f>
        <v>5437.0493100000003</v>
      </c>
      <c r="BE181" s="374">
        <f t="shared" si="320"/>
        <v>48933.443789999998</v>
      </c>
      <c r="BF181" s="374">
        <f t="shared" si="321"/>
        <v>741415.81500000006</v>
      </c>
      <c r="BG181" s="374">
        <f t="shared" si="336"/>
        <v>88263.787500000006</v>
      </c>
      <c r="BH181" s="374">
        <f t="shared" si="322"/>
        <v>829679.60250000004</v>
      </c>
      <c r="BI181" s="374">
        <f t="shared" si="178"/>
        <v>37335.5821125</v>
      </c>
      <c r="BJ181" s="374">
        <f t="shared" si="324"/>
        <v>22242.474450000002</v>
      </c>
      <c r="BK181" s="374">
        <f t="shared" si="180"/>
        <v>43171.58374200001</v>
      </c>
      <c r="BL181" s="374">
        <f t="shared" si="326"/>
        <v>41483.980125000002</v>
      </c>
      <c r="BM181" s="373">
        <f t="shared" si="327"/>
        <v>973913.22292950004</v>
      </c>
      <c r="BN181" s="534"/>
      <c r="BO181" s="356"/>
      <c r="BP181" s="356"/>
      <c r="BQ181" s="356"/>
      <c r="BR181" s="356"/>
      <c r="BS181" s="356"/>
      <c r="BT181" s="356"/>
      <c r="BU181" s="356"/>
      <c r="BV181" s="356"/>
      <c r="BW181" s="356"/>
      <c r="BX181" s="356"/>
      <c r="BY181" s="356"/>
      <c r="BZ181" s="356"/>
      <c r="CA181" s="356"/>
      <c r="CB181" s="356"/>
      <c r="CC181" s="356"/>
      <c r="CD181" s="356"/>
      <c r="CE181" s="356"/>
      <c r="CF181" s="356"/>
      <c r="CG181" s="356"/>
      <c r="CH181" s="356"/>
      <c r="CI181" s="356"/>
    </row>
    <row r="182" spans="1:87" ht="45">
      <c r="A182" s="526">
        <f t="shared" si="328"/>
        <v>133</v>
      </c>
      <c r="B182" s="527">
        <f t="shared" si="328"/>
        <v>8</v>
      </c>
      <c r="C182" s="387" t="s">
        <v>1118</v>
      </c>
      <c r="D182" s="1003" t="s">
        <v>1358</v>
      </c>
      <c r="E182" s="366" t="s">
        <v>998</v>
      </c>
      <c r="F182" s="531" t="s">
        <v>999</v>
      </c>
      <c r="G182" s="531" t="s">
        <v>1158</v>
      </c>
      <c r="H182" s="530" t="s">
        <v>273</v>
      </c>
      <c r="I182" s="366">
        <v>17697</v>
      </c>
      <c r="J182" s="367">
        <v>11.4</v>
      </c>
      <c r="K182" s="367">
        <f t="shared" si="309"/>
        <v>201745.80000000002</v>
      </c>
      <c r="L182" s="380">
        <v>10</v>
      </c>
      <c r="M182" s="380">
        <v>7</v>
      </c>
      <c r="N182" s="380"/>
      <c r="O182" s="380"/>
      <c r="P182" s="380"/>
      <c r="Q182" s="368">
        <f t="shared" si="286"/>
        <v>17</v>
      </c>
      <c r="R182" s="380"/>
      <c r="S182" s="380"/>
      <c r="T182" s="380"/>
      <c r="U182" s="380"/>
      <c r="V182" s="380"/>
      <c r="W182" s="381">
        <f t="shared" si="287"/>
        <v>0</v>
      </c>
      <c r="X182" s="458">
        <f t="shared" si="310"/>
        <v>17</v>
      </c>
      <c r="Y182" s="367">
        <f t="shared" si="311"/>
        <v>214354.91250000001</v>
      </c>
      <c r="Z182" s="367">
        <f t="shared" si="312"/>
        <v>21435.491250000003</v>
      </c>
      <c r="AA182" s="372"/>
      <c r="AB182" s="367">
        <f t="shared" si="313"/>
        <v>0</v>
      </c>
      <c r="AC182" s="372"/>
      <c r="AD182" s="367">
        <f t="shared" si="314"/>
        <v>0</v>
      </c>
      <c r="AE182" s="366"/>
      <c r="AF182" s="366"/>
      <c r="AG182" s="367"/>
      <c r="AH182" s="366"/>
      <c r="AI182" s="367"/>
      <c r="AJ182" s="372"/>
      <c r="AK182" s="367"/>
      <c r="AL182" s="366">
        <f t="shared" si="315"/>
        <v>17</v>
      </c>
      <c r="AM182" s="367">
        <f t="shared" si="316"/>
        <v>64306.473749999997</v>
      </c>
      <c r="AN182" s="366" t="str">
        <f t="shared" si="317"/>
        <v>Педагог-шебер</v>
      </c>
      <c r="AO182" s="367">
        <f t="shared" si="329"/>
        <v>107177.45625</v>
      </c>
      <c r="AP182" s="367" t="str">
        <f t="shared" si="330"/>
        <v>0</v>
      </c>
      <c r="AQ182" s="367" t="str">
        <f t="shared" si="331"/>
        <v>0</v>
      </c>
      <c r="AR182" s="367" t="str">
        <f t="shared" si="332"/>
        <v>0</v>
      </c>
      <c r="AS182" s="366"/>
      <c r="AT182" s="367"/>
      <c r="AU182" s="371"/>
      <c r="AV182" s="367"/>
      <c r="AW182" s="371" t="str">
        <f t="shared" si="333"/>
        <v>Магистр</v>
      </c>
      <c r="AX182" s="372">
        <f>10*4552</f>
        <v>45520</v>
      </c>
      <c r="AY182" s="367"/>
      <c r="AZ182" s="367">
        <f t="shared" si="334"/>
        <v>238439.42125000001</v>
      </c>
      <c r="BA182" s="373">
        <f t="shared" si="335"/>
        <v>452794.33374999999</v>
      </c>
      <c r="BB182" s="374">
        <f t="shared" si="318"/>
        <v>45279.433375000001</v>
      </c>
      <c r="BC182" s="374">
        <f t="shared" si="319"/>
        <v>9055.8866749999997</v>
      </c>
      <c r="BD182" s="374">
        <f>(BA182-BB182-BC182-(14*4552))*10%</f>
        <v>33473.101369999997</v>
      </c>
      <c r="BE182" s="374">
        <f t="shared" si="320"/>
        <v>364985.91232999996</v>
      </c>
      <c r="BF182" s="374">
        <f t="shared" si="321"/>
        <v>5433532.0049999999</v>
      </c>
      <c r="BG182" s="374">
        <f t="shared" si="336"/>
        <v>428709.82500000001</v>
      </c>
      <c r="BH182" s="374">
        <f t="shared" si="322"/>
        <v>5862241.8300000001</v>
      </c>
      <c r="BI182" s="374">
        <f t="shared" si="178"/>
        <v>263800.88235000003</v>
      </c>
      <c r="BJ182" s="374">
        <f t="shared" si="324"/>
        <v>163005.96015</v>
      </c>
      <c r="BK182" s="374">
        <f t="shared" si="180"/>
        <v>304607.28840899997</v>
      </c>
      <c r="BL182" s="374">
        <f>BH182*5%-15702</f>
        <v>277410.09150000004</v>
      </c>
      <c r="BM182" s="373">
        <f>BH182+BI182+BJ182+BK182+BL182</f>
        <v>6871066.0524089998</v>
      </c>
      <c r="BN182" s="534"/>
      <c r="BO182" s="356"/>
      <c r="BP182" s="356"/>
      <c r="BQ182" s="356"/>
      <c r="BR182" s="356"/>
      <c r="BS182" s="356"/>
      <c r="BT182" s="356"/>
      <c r="BU182" s="356"/>
      <c r="BV182" s="356"/>
      <c r="BW182" s="356"/>
      <c r="BX182" s="356"/>
      <c r="BY182" s="356"/>
      <c r="BZ182" s="356"/>
      <c r="CA182" s="356"/>
      <c r="CB182" s="356"/>
      <c r="CC182" s="356"/>
      <c r="CD182" s="356"/>
      <c r="CE182" s="356"/>
      <c r="CF182" s="356"/>
      <c r="CG182" s="356"/>
      <c r="CH182" s="356"/>
      <c r="CI182" s="356"/>
    </row>
    <row r="183" spans="1:87" ht="15">
      <c r="A183" s="543"/>
      <c r="B183" s="544"/>
      <c r="C183" s="537"/>
      <c r="D183" s="538"/>
      <c r="E183" s="705"/>
      <c r="F183" s="490"/>
      <c r="G183" s="490"/>
      <c r="H183" s="491"/>
      <c r="I183" s="490"/>
      <c r="J183" s="490"/>
      <c r="K183" s="422">
        <f>SUM(K175:K182)</f>
        <v>1312055.58</v>
      </c>
      <c r="L183" s="422">
        <f t="shared" ref="L183:BN183" si="337">SUM(L175:L182)</f>
        <v>20</v>
      </c>
      <c r="M183" s="422">
        <f t="shared" si="337"/>
        <v>20</v>
      </c>
      <c r="N183" s="422">
        <f t="shared" si="337"/>
        <v>18</v>
      </c>
      <c r="O183" s="422">
        <f t="shared" si="337"/>
        <v>0</v>
      </c>
      <c r="P183" s="422">
        <f t="shared" si="337"/>
        <v>0</v>
      </c>
      <c r="Q183" s="422">
        <f t="shared" si="337"/>
        <v>58</v>
      </c>
      <c r="R183" s="422">
        <f t="shared" si="337"/>
        <v>0</v>
      </c>
      <c r="S183" s="422">
        <f t="shared" si="337"/>
        <v>0</v>
      </c>
      <c r="T183" s="422">
        <f t="shared" si="337"/>
        <v>0</v>
      </c>
      <c r="U183" s="422">
        <f t="shared" si="337"/>
        <v>0</v>
      </c>
      <c r="V183" s="422">
        <f t="shared" si="337"/>
        <v>0</v>
      </c>
      <c r="W183" s="422">
        <f t="shared" si="337"/>
        <v>0</v>
      </c>
      <c r="X183" s="422">
        <f t="shared" si="337"/>
        <v>58</v>
      </c>
      <c r="Y183" s="422">
        <f t="shared" si="337"/>
        <v>619483.48499999999</v>
      </c>
      <c r="Z183" s="422">
        <f t="shared" si="337"/>
        <v>61948.348500000007</v>
      </c>
      <c r="AA183" s="422">
        <f t="shared" si="337"/>
        <v>0</v>
      </c>
      <c r="AB183" s="422">
        <f t="shared" si="337"/>
        <v>0</v>
      </c>
      <c r="AC183" s="422">
        <f t="shared" si="337"/>
        <v>0</v>
      </c>
      <c r="AD183" s="422">
        <f t="shared" si="337"/>
        <v>0</v>
      </c>
      <c r="AE183" s="422">
        <f t="shared" si="337"/>
        <v>0</v>
      </c>
      <c r="AF183" s="422">
        <f t="shared" si="337"/>
        <v>0</v>
      </c>
      <c r="AG183" s="422">
        <f t="shared" si="337"/>
        <v>0</v>
      </c>
      <c r="AH183" s="422">
        <f t="shared" si="337"/>
        <v>0</v>
      </c>
      <c r="AI183" s="422">
        <f t="shared" si="337"/>
        <v>0</v>
      </c>
      <c r="AJ183" s="422">
        <f t="shared" si="337"/>
        <v>0</v>
      </c>
      <c r="AK183" s="422">
        <f t="shared" si="337"/>
        <v>0</v>
      </c>
      <c r="AL183" s="422">
        <f t="shared" si="337"/>
        <v>58</v>
      </c>
      <c r="AM183" s="422">
        <f t="shared" si="337"/>
        <v>185845.04549999998</v>
      </c>
      <c r="AN183" s="422">
        <f t="shared" si="337"/>
        <v>0</v>
      </c>
      <c r="AO183" s="422">
        <f t="shared" si="337"/>
        <v>107177.45625</v>
      </c>
      <c r="AP183" s="422">
        <f t="shared" si="337"/>
        <v>0</v>
      </c>
      <c r="AQ183" s="422">
        <f t="shared" si="337"/>
        <v>0</v>
      </c>
      <c r="AR183" s="422">
        <f t="shared" si="337"/>
        <v>0</v>
      </c>
      <c r="AS183" s="422">
        <f t="shared" si="337"/>
        <v>0</v>
      </c>
      <c r="AT183" s="422">
        <f t="shared" si="337"/>
        <v>0</v>
      </c>
      <c r="AU183" s="422">
        <f t="shared" si="337"/>
        <v>0</v>
      </c>
      <c r="AV183" s="422">
        <f t="shared" si="337"/>
        <v>0</v>
      </c>
      <c r="AW183" s="422">
        <f t="shared" si="337"/>
        <v>0</v>
      </c>
      <c r="AX183" s="422">
        <f t="shared" si="337"/>
        <v>45520</v>
      </c>
      <c r="AY183" s="422">
        <f t="shared" si="337"/>
        <v>0</v>
      </c>
      <c r="AZ183" s="422">
        <f t="shared" si="337"/>
        <v>400490.85025000002</v>
      </c>
      <c r="BA183" s="422">
        <f t="shared" si="337"/>
        <v>1019974.33525</v>
      </c>
      <c r="BB183" s="422">
        <f t="shared" si="337"/>
        <v>101997.433525</v>
      </c>
      <c r="BC183" s="422">
        <f t="shared" si="337"/>
        <v>20399.486705000003</v>
      </c>
      <c r="BD183" s="422">
        <f t="shared" si="337"/>
        <v>57893.741501999997</v>
      </c>
      <c r="BE183" s="422">
        <f t="shared" si="337"/>
        <v>839683.67351799994</v>
      </c>
      <c r="BF183" s="422">
        <f t="shared" si="337"/>
        <v>12239692.023000002</v>
      </c>
      <c r="BG183" s="422">
        <f t="shared" si="337"/>
        <v>1238966.97</v>
      </c>
      <c r="BH183" s="422">
        <f t="shared" si="337"/>
        <v>13478658.993000001</v>
      </c>
      <c r="BI183" s="422">
        <f t="shared" si="337"/>
        <v>606539.65468500007</v>
      </c>
      <c r="BJ183" s="422">
        <f t="shared" si="337"/>
        <v>367190.76069000002</v>
      </c>
      <c r="BK183" s="422">
        <f t="shared" si="337"/>
        <v>700920.26317139994</v>
      </c>
      <c r="BL183" s="422">
        <f t="shared" si="337"/>
        <v>658230.94965000008</v>
      </c>
      <c r="BM183" s="422">
        <f t="shared" si="337"/>
        <v>15811540.6211964</v>
      </c>
      <c r="BN183" s="422">
        <f t="shared" si="337"/>
        <v>0</v>
      </c>
      <c r="BO183" s="355"/>
      <c r="BP183" s="355"/>
      <c r="BQ183" s="355"/>
      <c r="BR183" s="355"/>
      <c r="BS183" s="355"/>
      <c r="BT183" s="355"/>
      <c r="BU183" s="355"/>
      <c r="BV183" s="355"/>
      <c r="BW183" s="355"/>
      <c r="BX183" s="355"/>
      <c r="BY183" s="355"/>
      <c r="BZ183" s="355"/>
      <c r="CA183" s="355"/>
      <c r="CB183" s="355"/>
      <c r="CC183" s="355"/>
      <c r="CD183" s="355"/>
      <c r="CE183" s="355"/>
      <c r="CF183" s="355"/>
      <c r="CG183" s="355"/>
      <c r="CH183" s="355"/>
      <c r="CI183" s="356"/>
    </row>
    <row r="184" spans="1:87" ht="33" customHeight="1">
      <c r="A184" s="545">
        <f>A182+1</f>
        <v>134</v>
      </c>
      <c r="B184" s="546">
        <f>1</f>
        <v>1</v>
      </c>
      <c r="C184" s="518" t="s">
        <v>1359</v>
      </c>
      <c r="D184" s="414" t="s">
        <v>1360</v>
      </c>
      <c r="E184" s="394" t="s">
        <v>57</v>
      </c>
      <c r="F184" s="394" t="s">
        <v>1005</v>
      </c>
      <c r="G184" s="394"/>
      <c r="H184" s="371" t="s">
        <v>1454</v>
      </c>
      <c r="I184" s="366">
        <v>17697</v>
      </c>
      <c r="J184" s="367">
        <v>11.18</v>
      </c>
      <c r="K184" s="367">
        <f t="shared" ref="K184:K199" si="338">I184*J184</f>
        <v>197852.46</v>
      </c>
      <c r="L184" s="380"/>
      <c r="M184" s="380"/>
      <c r="N184" s="380"/>
      <c r="O184" s="380"/>
      <c r="P184" s="380"/>
      <c r="Q184" s="368">
        <f t="shared" ref="Q184:Q199" si="339">SUM(L184:P184)</f>
        <v>0</v>
      </c>
      <c r="R184" s="380"/>
      <c r="S184" s="380"/>
      <c r="T184" s="380"/>
      <c r="U184" s="380">
        <v>4</v>
      </c>
      <c r="V184" s="380"/>
      <c r="W184" s="381">
        <f t="shared" ref="W184:W199" si="340">SUM(R184:V184)</f>
        <v>4</v>
      </c>
      <c r="X184" s="370">
        <f t="shared" ref="X184:X199" si="341">Q184+W184</f>
        <v>4</v>
      </c>
      <c r="Y184" s="367">
        <f t="shared" ref="Y184:Y199" si="342">K184/16*X184</f>
        <v>49463.114999999998</v>
      </c>
      <c r="Z184" s="367">
        <f t="shared" ref="Z184:Z198" si="343">Y184*10%</f>
        <v>4946.3114999999998</v>
      </c>
      <c r="AA184" s="497"/>
      <c r="AB184" s="367">
        <f t="shared" ref="AB184:AB198" si="344">I184/16*AA184*40%</f>
        <v>0</v>
      </c>
      <c r="AC184" s="497"/>
      <c r="AD184" s="367">
        <f t="shared" ref="AD184:AD198" si="345">I184/16*AC184*40%*50%</f>
        <v>0</v>
      </c>
      <c r="AE184" s="374"/>
      <c r="AF184" s="497"/>
      <c r="AG184" s="367"/>
      <c r="AH184" s="497"/>
      <c r="AI184" s="367"/>
      <c r="AJ184" s="372"/>
      <c r="AK184" s="367"/>
      <c r="AL184" s="366">
        <f t="shared" ref="AL184:AL199" si="346">X184</f>
        <v>4</v>
      </c>
      <c r="AM184" s="367">
        <f t="shared" ref="AM184:AM199" si="347">K184/16*AL184*30%</f>
        <v>14838.934499999999</v>
      </c>
      <c r="AN184" s="366" t="str">
        <f>F184</f>
        <v>Педагог-зерттеуші</v>
      </c>
      <c r="AO184" s="367" t="str">
        <f t="shared" ref="AO184:AO199" si="348">IF(AN184="Педагог-зерттеуші", "0", IF(AN184="Педагог-шебер",K184/16*X184*50%, IF(AN184="Педагог-сарапшы", "0", IF(AN184="Педагог-модератор", "0", "0"))))</f>
        <v>0</v>
      </c>
      <c r="AP184" s="367">
        <f t="shared" ref="AP184:AP199" si="349">IF(AN184="Педагог-шебер", "0", IF(AN184="Педагог-зерттеуші",K184/16*X184*40%, IF(AN184="Педагог-сарапшы", "0", IF(AN184="Педагог-модератор", "0", "0"))))</f>
        <v>19785.245999999999</v>
      </c>
      <c r="AQ184" s="367" t="str">
        <f t="shared" ref="AQ184:AQ199" si="350">IF(AN184="Педагог-шебер", "0", IF(AN184="Педагог-сарапшы",K184/16*X184*35%, IF(AN184="Педагог-зерттеуші", "0", IF(AN184="Педагог-модератор", "0", "0"))))</f>
        <v>0</v>
      </c>
      <c r="AR184" s="367" t="str">
        <f t="shared" ref="AR184:AR199" si="351">IF(AN184="Педагог-шебер", "0", IF(AN184="Педагог-модератор",K184/16*X184*30%, IF(AN184="Педагог-зерттеуші", "0", IF(AN184="Педагог-сарапшы", "0", "0"))))</f>
        <v>0</v>
      </c>
      <c r="AS184" s="497"/>
      <c r="AT184" s="374"/>
      <c r="AU184" s="499"/>
      <c r="AV184" s="374"/>
      <c r="AW184" s="371"/>
      <c r="AX184" s="367"/>
      <c r="AY184" s="367"/>
      <c r="AZ184" s="367">
        <f t="shared" ref="AZ184:AZ199" si="352">Z184+AB184+AD184+AE184+AG184+AI184+AK184+AM184+AO184+AP184+AQ184++AR184+AT184+AV184+AX184+AY184</f>
        <v>39570.491999999998</v>
      </c>
      <c r="BA184" s="373">
        <f t="shared" ref="BA184:BA199" si="353">Y184+AZ184</f>
        <v>89033.606999999989</v>
      </c>
      <c r="BB184" s="374">
        <f t="shared" si="171"/>
        <v>8903.3606999999993</v>
      </c>
      <c r="BC184" s="374">
        <f t="shared" si="172"/>
        <v>1780.6721399999999</v>
      </c>
      <c r="BD184" s="374">
        <f>(BA184-BB184-BC184-(14*4552))*10%</f>
        <v>1462.1574159999991</v>
      </c>
      <c r="BE184" s="374">
        <f t="shared" si="174"/>
        <v>76887.416743999987</v>
      </c>
      <c r="BF184" s="374">
        <f t="shared" si="175"/>
        <v>1068403.284</v>
      </c>
      <c r="BG184" s="374">
        <f t="shared" ref="BG184:BG199" si="354">Y184*2</f>
        <v>98926.23</v>
      </c>
      <c r="BH184" s="374">
        <f t="shared" si="177"/>
        <v>1167329.514</v>
      </c>
      <c r="BI184" s="374">
        <f t="shared" si="178"/>
        <v>52529.828130000009</v>
      </c>
      <c r="BJ184" s="374">
        <f t="shared" si="179"/>
        <v>32052.09852</v>
      </c>
      <c r="BK184" s="374">
        <f t="shared" si="180"/>
        <v>60685.306531199996</v>
      </c>
      <c r="BL184" s="374">
        <f t="shared" ref="BL184:BL198" si="355">BH184*5%</f>
        <v>58366.475700000003</v>
      </c>
      <c r="BM184" s="373">
        <f t="shared" si="305"/>
        <v>1370963.2228812</v>
      </c>
      <c r="BN184" s="375"/>
      <c r="BO184" s="377"/>
      <c r="BP184" s="377"/>
      <c r="BQ184" s="377"/>
      <c r="BR184" s="377"/>
      <c r="BS184" s="377"/>
      <c r="BT184" s="377"/>
      <c r="BU184" s="377"/>
      <c r="BV184" s="377"/>
      <c r="BW184" s="377"/>
      <c r="BX184" s="377"/>
      <c r="BY184" s="377"/>
      <c r="BZ184" s="377"/>
      <c r="CA184" s="377"/>
      <c r="CB184" s="377"/>
      <c r="CC184" s="377"/>
      <c r="CD184" s="377"/>
      <c r="CE184" s="377"/>
      <c r="CF184" s="377"/>
      <c r="CG184" s="377"/>
      <c r="CH184" s="377"/>
      <c r="CI184" s="377"/>
    </row>
    <row r="185" spans="1:87" ht="47.25">
      <c r="A185" s="547">
        <f>A184+1</f>
        <v>135</v>
      </c>
      <c r="B185" s="383">
        <f>B184+1</f>
        <v>2</v>
      </c>
      <c r="C185" s="548" t="s">
        <v>550</v>
      </c>
      <c r="D185" s="379" t="s">
        <v>1361</v>
      </c>
      <c r="E185" s="549" t="s">
        <v>57</v>
      </c>
      <c r="F185" s="549"/>
      <c r="G185" s="549"/>
      <c r="H185" s="550" t="s">
        <v>1362</v>
      </c>
      <c r="I185" s="393">
        <v>17697</v>
      </c>
      <c r="J185" s="479">
        <v>11.4</v>
      </c>
      <c r="K185" s="479">
        <f t="shared" si="338"/>
        <v>201745.80000000002</v>
      </c>
      <c r="L185" s="430"/>
      <c r="M185" s="430"/>
      <c r="N185" s="551"/>
      <c r="O185" s="430"/>
      <c r="P185" s="430"/>
      <c r="Q185" s="368">
        <f t="shared" si="339"/>
        <v>0</v>
      </c>
      <c r="R185" s="430"/>
      <c r="S185" s="430"/>
      <c r="T185" s="430">
        <v>10</v>
      </c>
      <c r="U185" s="430"/>
      <c r="V185" s="430"/>
      <c r="W185" s="381">
        <f t="shared" si="340"/>
        <v>10</v>
      </c>
      <c r="X185" s="370">
        <f t="shared" si="341"/>
        <v>10</v>
      </c>
      <c r="Y185" s="479">
        <f t="shared" si="342"/>
        <v>126091.12500000001</v>
      </c>
      <c r="Z185" s="367">
        <f t="shared" si="343"/>
        <v>12609.112500000003</v>
      </c>
      <c r="AA185" s="501"/>
      <c r="AB185" s="479">
        <f t="shared" si="344"/>
        <v>0</v>
      </c>
      <c r="AC185" s="501"/>
      <c r="AD185" s="479">
        <f t="shared" si="345"/>
        <v>0</v>
      </c>
      <c r="AE185" s="501"/>
      <c r="AF185" s="501"/>
      <c r="AG185" s="479"/>
      <c r="AH185" s="501"/>
      <c r="AI185" s="479"/>
      <c r="AJ185" s="552"/>
      <c r="AK185" s="479"/>
      <c r="AL185" s="393">
        <f t="shared" si="346"/>
        <v>10</v>
      </c>
      <c r="AM185" s="479">
        <f t="shared" si="347"/>
        <v>37827.337500000001</v>
      </c>
      <c r="AN185" s="393">
        <f>F185</f>
        <v>0</v>
      </c>
      <c r="AO185" s="479" t="str">
        <f t="shared" si="348"/>
        <v>0</v>
      </c>
      <c r="AP185" s="479" t="str">
        <f t="shared" si="349"/>
        <v>0</v>
      </c>
      <c r="AQ185" s="479" t="str">
        <f t="shared" si="350"/>
        <v>0</v>
      </c>
      <c r="AR185" s="479" t="str">
        <f t="shared" si="351"/>
        <v>0</v>
      </c>
      <c r="AS185" s="501"/>
      <c r="AT185" s="553"/>
      <c r="AU185" s="554"/>
      <c r="AV185" s="553"/>
      <c r="AW185" s="478"/>
      <c r="AX185" s="367"/>
      <c r="AY185" s="479"/>
      <c r="AZ185" s="367">
        <f t="shared" si="352"/>
        <v>50436.450000000004</v>
      </c>
      <c r="BA185" s="373">
        <f t="shared" si="353"/>
        <v>176527.57500000001</v>
      </c>
      <c r="BB185" s="374">
        <f t="shared" si="171"/>
        <v>17652.757500000003</v>
      </c>
      <c r="BC185" s="374">
        <f t="shared" si="172"/>
        <v>3530.5515000000005</v>
      </c>
      <c r="BD185" s="374">
        <f>(BA185-BB185-BC185-(14*4552))*10%</f>
        <v>9161.6266000000014</v>
      </c>
      <c r="BE185" s="374">
        <f t="shared" si="174"/>
        <v>146182.63940000001</v>
      </c>
      <c r="BF185" s="374">
        <f t="shared" si="175"/>
        <v>2118330.9000000004</v>
      </c>
      <c r="BG185" s="374">
        <f t="shared" si="354"/>
        <v>252182.25000000003</v>
      </c>
      <c r="BH185" s="374">
        <f t="shared" si="177"/>
        <v>2370513.1500000004</v>
      </c>
      <c r="BI185" s="374">
        <f t="shared" si="178"/>
        <v>106673.09175000002</v>
      </c>
      <c r="BJ185" s="374">
        <f t="shared" si="179"/>
        <v>63549.927000000011</v>
      </c>
      <c r="BK185" s="374">
        <f t="shared" si="180"/>
        <v>123347.38212000002</v>
      </c>
      <c r="BL185" s="374">
        <f t="shared" si="355"/>
        <v>118525.65750000003</v>
      </c>
      <c r="BM185" s="373">
        <f t="shared" si="305"/>
        <v>2782609.2083700011</v>
      </c>
      <c r="BN185" s="555"/>
      <c r="BO185" s="377"/>
      <c r="BP185" s="377"/>
      <c r="BQ185" s="377"/>
      <c r="BR185" s="377"/>
      <c r="BS185" s="377"/>
      <c r="BT185" s="377"/>
      <c r="BU185" s="377"/>
      <c r="BV185" s="377"/>
      <c r="BW185" s="377"/>
      <c r="BX185" s="377"/>
      <c r="BY185" s="377"/>
      <c r="BZ185" s="377"/>
      <c r="CA185" s="377"/>
      <c r="CB185" s="377"/>
      <c r="CC185" s="377"/>
      <c r="CD185" s="377"/>
      <c r="CE185" s="377"/>
      <c r="CF185" s="377"/>
      <c r="CG185" s="377"/>
      <c r="CH185" s="377"/>
      <c r="CI185" s="377"/>
    </row>
    <row r="186" spans="1:87" ht="47.25">
      <c r="A186" s="547">
        <f t="shared" ref="A186:B199" si="356">A185+1</f>
        <v>136</v>
      </c>
      <c r="B186" s="383">
        <f t="shared" si="356"/>
        <v>3</v>
      </c>
      <c r="C186" s="417" t="s">
        <v>429</v>
      </c>
      <c r="D186" s="379" t="s">
        <v>1363</v>
      </c>
      <c r="E186" s="549" t="s">
        <v>57</v>
      </c>
      <c r="F186" s="549"/>
      <c r="G186" s="549"/>
      <c r="H186" s="550" t="s">
        <v>1364</v>
      </c>
      <c r="I186" s="393">
        <v>17697</v>
      </c>
      <c r="J186" s="367">
        <v>11.4</v>
      </c>
      <c r="K186" s="479">
        <f t="shared" si="338"/>
        <v>201745.80000000002</v>
      </c>
      <c r="L186" s="430"/>
      <c r="M186" s="430"/>
      <c r="N186" s="551"/>
      <c r="O186" s="430"/>
      <c r="P186" s="430"/>
      <c r="Q186" s="368">
        <f t="shared" si="339"/>
        <v>0</v>
      </c>
      <c r="R186" s="430"/>
      <c r="S186" s="430"/>
      <c r="T186" s="430">
        <v>1</v>
      </c>
      <c r="U186" s="430">
        <v>4</v>
      </c>
      <c r="V186" s="430"/>
      <c r="W186" s="381">
        <f t="shared" ref="W186:W187" si="357">SUM(R186:V186)</f>
        <v>5</v>
      </c>
      <c r="X186" s="370">
        <f t="shared" si="341"/>
        <v>5</v>
      </c>
      <c r="Y186" s="479">
        <f t="shared" si="342"/>
        <v>63045.562500000007</v>
      </c>
      <c r="Z186" s="367"/>
      <c r="AA186" s="501"/>
      <c r="AB186" s="479">
        <f t="shared" si="344"/>
        <v>0</v>
      </c>
      <c r="AC186" s="501"/>
      <c r="AD186" s="479">
        <f t="shared" si="345"/>
        <v>0</v>
      </c>
      <c r="AE186" s="501"/>
      <c r="AF186" s="501"/>
      <c r="AG186" s="479"/>
      <c r="AH186" s="501"/>
      <c r="AI186" s="479"/>
      <c r="AJ186" s="552"/>
      <c r="AK186" s="479"/>
      <c r="AL186" s="393">
        <f t="shared" si="346"/>
        <v>5</v>
      </c>
      <c r="AM186" s="479">
        <f t="shared" si="347"/>
        <v>18913.668750000001</v>
      </c>
      <c r="AN186" s="393">
        <f t="shared" ref="AN186:AN187" si="358">F186</f>
        <v>0</v>
      </c>
      <c r="AO186" s="479" t="str">
        <f t="shared" si="348"/>
        <v>0</v>
      </c>
      <c r="AP186" s="479" t="str">
        <f t="shared" si="349"/>
        <v>0</v>
      </c>
      <c r="AQ186" s="479" t="str">
        <f t="shared" si="350"/>
        <v>0</v>
      </c>
      <c r="AR186" s="479" t="str">
        <f t="shared" si="351"/>
        <v>0</v>
      </c>
      <c r="AS186" s="501"/>
      <c r="AT186" s="553"/>
      <c r="AU186" s="554"/>
      <c r="AV186" s="553"/>
      <c r="AW186" s="478"/>
      <c r="AX186" s="367"/>
      <c r="AY186" s="479"/>
      <c r="AZ186" s="367">
        <f t="shared" si="352"/>
        <v>18913.668750000001</v>
      </c>
      <c r="BA186" s="373">
        <f t="shared" si="353"/>
        <v>81959.231250000012</v>
      </c>
      <c r="BB186" s="374">
        <f t="shared" si="171"/>
        <v>8195.9231250000012</v>
      </c>
      <c r="BC186" s="374">
        <f t="shared" si="172"/>
        <v>1639.1846250000003</v>
      </c>
      <c r="BD186" s="374">
        <f>(BA186-BB186-BC186-(14*4552))*10%</f>
        <v>839.6123500000017</v>
      </c>
      <c r="BE186" s="374">
        <f t="shared" si="174"/>
        <v>71284.51115000002</v>
      </c>
      <c r="BF186" s="374">
        <f t="shared" si="175"/>
        <v>983510.77500000014</v>
      </c>
      <c r="BG186" s="374">
        <f t="shared" si="354"/>
        <v>126091.12500000001</v>
      </c>
      <c r="BH186" s="374">
        <f t="shared" si="177"/>
        <v>1109601.9000000001</v>
      </c>
      <c r="BI186" s="374">
        <f t="shared" si="178"/>
        <v>49932.085500000016</v>
      </c>
      <c r="BJ186" s="374">
        <f t="shared" si="179"/>
        <v>29505.323250000001</v>
      </c>
      <c r="BK186" s="374">
        <f t="shared" si="180"/>
        <v>57754.778894999996</v>
      </c>
      <c r="BL186" s="374">
        <f t="shared" si="355"/>
        <v>55480.095000000008</v>
      </c>
      <c r="BM186" s="373">
        <f t="shared" si="305"/>
        <v>1302274.1826450001</v>
      </c>
      <c r="BN186" s="555">
        <v>1</v>
      </c>
      <c r="BO186" s="377"/>
      <c r="BP186" s="377"/>
      <c r="BQ186" s="377"/>
      <c r="BR186" s="377"/>
      <c r="BS186" s="377"/>
      <c r="BT186" s="377"/>
      <c r="BU186" s="377"/>
      <c r="BV186" s="377"/>
      <c r="BW186" s="377"/>
      <c r="BX186" s="377"/>
      <c r="BY186" s="377"/>
      <c r="BZ186" s="377"/>
      <c r="CA186" s="377"/>
      <c r="CB186" s="377"/>
      <c r="CC186" s="377"/>
      <c r="CD186" s="377"/>
      <c r="CE186" s="377"/>
      <c r="CF186" s="377"/>
      <c r="CG186" s="377"/>
      <c r="CH186" s="377"/>
      <c r="CI186" s="377"/>
    </row>
    <row r="187" spans="1:87" ht="45">
      <c r="A187" s="547">
        <f t="shared" si="356"/>
        <v>137</v>
      </c>
      <c r="B187" s="383">
        <f t="shared" si="356"/>
        <v>4</v>
      </c>
      <c r="C187" s="378" t="s">
        <v>1365</v>
      </c>
      <c r="D187" s="379" t="s">
        <v>1366</v>
      </c>
      <c r="E187" s="556" t="s">
        <v>57</v>
      </c>
      <c r="F187" s="549"/>
      <c r="G187" s="557" t="s">
        <v>1174</v>
      </c>
      <c r="H187" s="550" t="s">
        <v>1455</v>
      </c>
      <c r="I187" s="393">
        <v>17697</v>
      </c>
      <c r="J187" s="479">
        <v>11.02</v>
      </c>
      <c r="K187" s="479">
        <f t="shared" si="338"/>
        <v>195020.94</v>
      </c>
      <c r="L187" s="430"/>
      <c r="M187" s="430"/>
      <c r="N187" s="551"/>
      <c r="O187" s="430"/>
      <c r="P187" s="430"/>
      <c r="Q187" s="368">
        <f t="shared" si="339"/>
        <v>0</v>
      </c>
      <c r="R187" s="430"/>
      <c r="S187" s="430"/>
      <c r="T187" s="430"/>
      <c r="U187" s="430">
        <v>4</v>
      </c>
      <c r="V187" s="430"/>
      <c r="W187" s="381">
        <f t="shared" si="357"/>
        <v>4</v>
      </c>
      <c r="X187" s="370">
        <f t="shared" si="341"/>
        <v>4</v>
      </c>
      <c r="Y187" s="479">
        <f t="shared" si="342"/>
        <v>48755.235000000001</v>
      </c>
      <c r="Z187" s="367"/>
      <c r="AA187" s="501"/>
      <c r="AB187" s="479">
        <f t="shared" si="344"/>
        <v>0</v>
      </c>
      <c r="AC187" s="501"/>
      <c r="AD187" s="479">
        <f t="shared" si="345"/>
        <v>0</v>
      </c>
      <c r="AE187" s="501"/>
      <c r="AF187" s="501"/>
      <c r="AG187" s="479"/>
      <c r="AH187" s="501"/>
      <c r="AI187" s="479"/>
      <c r="AJ187" s="552"/>
      <c r="AK187" s="479"/>
      <c r="AL187" s="393">
        <f t="shared" si="346"/>
        <v>4</v>
      </c>
      <c r="AM187" s="479">
        <f t="shared" si="347"/>
        <v>14626.5705</v>
      </c>
      <c r="AN187" s="393">
        <f t="shared" si="358"/>
        <v>0</v>
      </c>
      <c r="AO187" s="479" t="str">
        <f t="shared" si="348"/>
        <v>0</v>
      </c>
      <c r="AP187" s="479" t="str">
        <f t="shared" si="349"/>
        <v>0</v>
      </c>
      <c r="AQ187" s="479" t="str">
        <f t="shared" si="350"/>
        <v>0</v>
      </c>
      <c r="AR187" s="479" t="str">
        <f t="shared" si="351"/>
        <v>0</v>
      </c>
      <c r="AS187" s="501"/>
      <c r="AT187" s="553"/>
      <c r="AU187" s="554"/>
      <c r="AV187" s="553"/>
      <c r="AW187" s="371" t="str">
        <f t="shared" ref="AW187" si="359">G187</f>
        <v>Магистр образования (ин.язык)</v>
      </c>
      <c r="AX187" s="372">
        <f>10*4552</f>
        <v>45520</v>
      </c>
      <c r="AY187" s="479"/>
      <c r="AZ187" s="367">
        <f t="shared" si="352"/>
        <v>60146.570500000002</v>
      </c>
      <c r="BA187" s="373">
        <f t="shared" si="353"/>
        <v>108901.8055</v>
      </c>
      <c r="BB187" s="374">
        <f t="shared" si="171"/>
        <v>10890.180550000001</v>
      </c>
      <c r="BC187" s="374">
        <f t="shared" si="172"/>
        <v>2178.03611</v>
      </c>
      <c r="BD187" s="374">
        <f>(BA187-BB187-BC187-(14*4552))*10%</f>
        <v>3210.558884</v>
      </c>
      <c r="BE187" s="374">
        <f t="shared" si="174"/>
        <v>92623.029955999998</v>
      </c>
      <c r="BF187" s="374">
        <f t="shared" si="175"/>
        <v>1306821.666</v>
      </c>
      <c r="BG187" s="374">
        <f t="shared" si="354"/>
        <v>97510.47</v>
      </c>
      <c r="BH187" s="374">
        <f t="shared" si="177"/>
        <v>1404332.1359999999</v>
      </c>
      <c r="BI187" s="374">
        <f t="shared" si="178"/>
        <v>63194.946120000008</v>
      </c>
      <c r="BJ187" s="374">
        <f t="shared" si="179"/>
        <v>39204.649979999995</v>
      </c>
      <c r="BK187" s="374">
        <f t="shared" si="180"/>
        <v>72958.927678799984</v>
      </c>
      <c r="BL187" s="374">
        <f t="shared" si="355"/>
        <v>70216.606799999994</v>
      </c>
      <c r="BM187" s="373">
        <f t="shared" si="305"/>
        <v>1649907.2665787998</v>
      </c>
      <c r="BN187" s="555">
        <v>1</v>
      </c>
      <c r="BO187" s="377"/>
      <c r="BP187" s="377"/>
      <c r="BQ187" s="377"/>
      <c r="BR187" s="377"/>
      <c r="BS187" s="377"/>
      <c r="BT187" s="377"/>
      <c r="BU187" s="377"/>
      <c r="BV187" s="377"/>
      <c r="BW187" s="377"/>
      <c r="BX187" s="377"/>
      <c r="BY187" s="377"/>
      <c r="BZ187" s="377"/>
      <c r="CA187" s="377"/>
      <c r="CB187" s="377"/>
      <c r="CC187" s="377"/>
      <c r="CD187" s="377"/>
      <c r="CE187" s="377"/>
      <c r="CF187" s="377"/>
      <c r="CG187" s="377"/>
      <c r="CH187" s="377"/>
      <c r="CI187" s="377"/>
    </row>
    <row r="188" spans="1:87" ht="33" customHeight="1">
      <c r="A188" s="547">
        <f t="shared" si="356"/>
        <v>138</v>
      </c>
      <c r="B188" s="383">
        <f t="shared" si="356"/>
        <v>5</v>
      </c>
      <c r="C188" s="548" t="s">
        <v>906</v>
      </c>
      <c r="D188" s="558" t="s">
        <v>1367</v>
      </c>
      <c r="E188" s="549" t="s">
        <v>57</v>
      </c>
      <c r="F188" s="549"/>
      <c r="G188" s="549"/>
      <c r="H188" s="550" t="s">
        <v>1016</v>
      </c>
      <c r="I188" s="366">
        <v>17697</v>
      </c>
      <c r="J188" s="367">
        <v>9.66</v>
      </c>
      <c r="K188" s="479">
        <f t="shared" si="338"/>
        <v>170953.02</v>
      </c>
      <c r="L188" s="430"/>
      <c r="M188" s="430"/>
      <c r="N188" s="551"/>
      <c r="O188" s="430"/>
      <c r="P188" s="430"/>
      <c r="Q188" s="368">
        <f t="shared" si="339"/>
        <v>0</v>
      </c>
      <c r="R188" s="430"/>
      <c r="S188" s="430"/>
      <c r="T188" s="430"/>
      <c r="U188" s="430"/>
      <c r="V188" s="430"/>
      <c r="W188" s="381">
        <f t="shared" si="340"/>
        <v>0</v>
      </c>
      <c r="X188" s="370">
        <f t="shared" si="341"/>
        <v>0</v>
      </c>
      <c r="Y188" s="479">
        <f t="shared" si="342"/>
        <v>0</v>
      </c>
      <c r="Z188" s="367">
        <f t="shared" si="343"/>
        <v>0</v>
      </c>
      <c r="AA188" s="501"/>
      <c r="AB188" s="479">
        <f t="shared" si="344"/>
        <v>0</v>
      </c>
      <c r="AC188" s="501"/>
      <c r="AD188" s="479">
        <f t="shared" si="345"/>
        <v>0</v>
      </c>
      <c r="AE188" s="501"/>
      <c r="AF188" s="501"/>
      <c r="AG188" s="479"/>
      <c r="AH188" s="501" t="s">
        <v>1368</v>
      </c>
      <c r="AI188" s="479">
        <f>I188*200%*2</f>
        <v>70788</v>
      </c>
      <c r="AJ188" s="552"/>
      <c r="AK188" s="479"/>
      <c r="AL188" s="393">
        <f t="shared" si="346"/>
        <v>0</v>
      </c>
      <c r="AM188" s="479">
        <f t="shared" si="347"/>
        <v>0</v>
      </c>
      <c r="AN188" s="393">
        <f>F188</f>
        <v>0</v>
      </c>
      <c r="AO188" s="479" t="str">
        <f t="shared" si="348"/>
        <v>0</v>
      </c>
      <c r="AP188" s="479" t="str">
        <f t="shared" si="349"/>
        <v>0</v>
      </c>
      <c r="AQ188" s="479" t="str">
        <f t="shared" si="350"/>
        <v>0</v>
      </c>
      <c r="AR188" s="479" t="str">
        <f t="shared" si="351"/>
        <v>0</v>
      </c>
      <c r="AS188" s="501"/>
      <c r="AT188" s="553"/>
      <c r="AU188" s="554"/>
      <c r="AV188" s="553"/>
      <c r="AW188" s="371"/>
      <c r="AX188" s="367"/>
      <c r="AY188" s="479"/>
      <c r="AZ188" s="367">
        <f t="shared" si="352"/>
        <v>70788</v>
      </c>
      <c r="BA188" s="373">
        <f t="shared" si="353"/>
        <v>70788</v>
      </c>
      <c r="BB188" s="374">
        <f t="shared" si="171"/>
        <v>7078.8</v>
      </c>
      <c r="BC188" s="374">
        <f t="shared" si="172"/>
        <v>1415.76</v>
      </c>
      <c r="BD188" s="374">
        <f>(BA188-BB188-BC188-(14*4552))*10%</f>
        <v>-143.4560000000005</v>
      </c>
      <c r="BE188" s="374">
        <f t="shared" si="174"/>
        <v>62436.895999999993</v>
      </c>
      <c r="BF188" s="374">
        <f t="shared" si="175"/>
        <v>849456</v>
      </c>
      <c r="BG188" s="374">
        <f t="shared" si="354"/>
        <v>0</v>
      </c>
      <c r="BH188" s="374">
        <f t="shared" si="177"/>
        <v>849456</v>
      </c>
      <c r="BI188" s="374">
        <f t="shared" si="178"/>
        <v>38225.520000000004</v>
      </c>
      <c r="BJ188" s="374">
        <f t="shared" si="179"/>
        <v>25483.68</v>
      </c>
      <c r="BK188" s="374">
        <f t="shared" si="180"/>
        <v>44001.820800000001</v>
      </c>
      <c r="BL188" s="374">
        <f t="shared" si="355"/>
        <v>42472.800000000003</v>
      </c>
      <c r="BM188" s="373">
        <f t="shared" si="305"/>
        <v>999639.8208000001</v>
      </c>
      <c r="BN188" s="555">
        <v>1</v>
      </c>
      <c r="BO188" s="377"/>
      <c r="BP188" s="377"/>
      <c r="BQ188" s="377"/>
      <c r="BR188" s="377"/>
      <c r="BS188" s="377"/>
      <c r="BT188" s="377"/>
      <c r="BU188" s="377"/>
      <c r="BV188" s="377"/>
      <c r="BW188" s="377"/>
      <c r="BX188" s="377"/>
      <c r="BY188" s="377"/>
      <c r="BZ188" s="377"/>
      <c r="CA188" s="377"/>
      <c r="CB188" s="377"/>
      <c r="CC188" s="377"/>
      <c r="CD188" s="377"/>
      <c r="CE188" s="377"/>
      <c r="CF188" s="377"/>
      <c r="CG188" s="377"/>
      <c r="CH188" s="377"/>
      <c r="CI188" s="377"/>
    </row>
    <row r="189" spans="1:87" ht="30">
      <c r="A189" s="547">
        <f t="shared" si="356"/>
        <v>139</v>
      </c>
      <c r="B189" s="383">
        <f t="shared" si="356"/>
        <v>6</v>
      </c>
      <c r="C189" s="378" t="s">
        <v>1369</v>
      </c>
      <c r="D189" s="556" t="s">
        <v>1370</v>
      </c>
      <c r="E189" s="549" t="s">
        <v>57</v>
      </c>
      <c r="F189" s="362"/>
      <c r="G189" s="549"/>
      <c r="H189" s="550" t="s">
        <v>1371</v>
      </c>
      <c r="I189" s="393">
        <v>17697</v>
      </c>
      <c r="J189" s="367">
        <v>11.4</v>
      </c>
      <c r="K189" s="479">
        <f t="shared" si="338"/>
        <v>201745.80000000002</v>
      </c>
      <c r="L189" s="430"/>
      <c r="M189" s="430"/>
      <c r="N189" s="551"/>
      <c r="O189" s="430"/>
      <c r="P189" s="430"/>
      <c r="Q189" s="368">
        <f t="shared" si="339"/>
        <v>0</v>
      </c>
      <c r="R189" s="430"/>
      <c r="S189" s="430"/>
      <c r="T189" s="430"/>
      <c r="U189" s="430"/>
      <c r="V189" s="430"/>
      <c r="W189" s="381">
        <f t="shared" si="340"/>
        <v>0</v>
      </c>
      <c r="X189" s="370">
        <f t="shared" si="341"/>
        <v>0</v>
      </c>
      <c r="Y189" s="479">
        <f t="shared" si="342"/>
        <v>0</v>
      </c>
      <c r="Z189" s="367">
        <f t="shared" si="343"/>
        <v>0</v>
      </c>
      <c r="AA189" s="501"/>
      <c r="AB189" s="479">
        <f t="shared" si="344"/>
        <v>0</v>
      </c>
      <c r="AC189" s="501"/>
      <c r="AD189" s="479">
        <f t="shared" si="345"/>
        <v>0</v>
      </c>
      <c r="AE189" s="501"/>
      <c r="AF189" s="501"/>
      <c r="AG189" s="479"/>
      <c r="AH189" s="501" t="s">
        <v>1372</v>
      </c>
      <c r="AI189" s="479">
        <f>I189*200%</f>
        <v>35394</v>
      </c>
      <c r="AJ189" s="552"/>
      <c r="AK189" s="479"/>
      <c r="AL189" s="393">
        <f t="shared" si="346"/>
        <v>0</v>
      </c>
      <c r="AM189" s="479">
        <f t="shared" si="347"/>
        <v>0</v>
      </c>
      <c r="AN189" s="393">
        <f t="shared" ref="AN189:AN199" si="360">F189</f>
        <v>0</v>
      </c>
      <c r="AO189" s="367" t="str">
        <f t="shared" si="348"/>
        <v>0</v>
      </c>
      <c r="AP189" s="367" t="str">
        <f t="shared" si="349"/>
        <v>0</v>
      </c>
      <c r="AQ189" s="367" t="str">
        <f t="shared" si="350"/>
        <v>0</v>
      </c>
      <c r="AR189" s="367" t="str">
        <f t="shared" si="351"/>
        <v>0</v>
      </c>
      <c r="AS189" s="501"/>
      <c r="AT189" s="553"/>
      <c r="AU189" s="554"/>
      <c r="AV189" s="553"/>
      <c r="AW189" s="371"/>
      <c r="AX189" s="367"/>
      <c r="AY189" s="479"/>
      <c r="AZ189" s="367">
        <f t="shared" si="352"/>
        <v>35394</v>
      </c>
      <c r="BA189" s="373">
        <f t="shared" si="353"/>
        <v>35394</v>
      </c>
      <c r="BB189" s="374">
        <f t="shared" si="171"/>
        <v>3539.4</v>
      </c>
      <c r="BC189" s="374">
        <f t="shared" si="172"/>
        <v>707.88</v>
      </c>
      <c r="BD189" s="374">
        <f>(BA189-BB189-BC189)*10%</f>
        <v>3114.672</v>
      </c>
      <c r="BE189" s="374">
        <f t="shared" si="174"/>
        <v>28032.047999999999</v>
      </c>
      <c r="BF189" s="374">
        <f t="shared" si="175"/>
        <v>424728</v>
      </c>
      <c r="BG189" s="374">
        <f t="shared" si="354"/>
        <v>0</v>
      </c>
      <c r="BH189" s="374">
        <f t="shared" si="177"/>
        <v>424728</v>
      </c>
      <c r="BI189" s="374">
        <f t="shared" si="178"/>
        <v>19112.760000000002</v>
      </c>
      <c r="BJ189" s="374">
        <f t="shared" si="179"/>
        <v>12741.84</v>
      </c>
      <c r="BK189" s="374">
        <f t="shared" si="180"/>
        <v>22000.910400000001</v>
      </c>
      <c r="BL189" s="374">
        <f t="shared" si="355"/>
        <v>21236.400000000001</v>
      </c>
      <c r="BM189" s="373">
        <f t="shared" si="305"/>
        <v>499819.91040000005</v>
      </c>
      <c r="BN189" s="555">
        <v>1</v>
      </c>
      <c r="BO189" s="377"/>
      <c r="BP189" s="377"/>
      <c r="BQ189" s="377"/>
      <c r="BR189" s="377"/>
      <c r="BS189" s="377"/>
      <c r="BT189" s="377"/>
      <c r="BU189" s="377"/>
      <c r="BV189" s="377"/>
      <c r="BW189" s="377"/>
      <c r="BX189" s="377"/>
      <c r="BY189" s="377"/>
      <c r="BZ189" s="377"/>
      <c r="CA189" s="377"/>
      <c r="CB189" s="377"/>
      <c r="CC189" s="377"/>
      <c r="CD189" s="377"/>
      <c r="CE189" s="377"/>
      <c r="CF189" s="377"/>
      <c r="CG189" s="377"/>
      <c r="CH189" s="377"/>
      <c r="CI189" s="377"/>
    </row>
    <row r="190" spans="1:87" ht="30.75" customHeight="1">
      <c r="A190" s="547">
        <f t="shared" si="356"/>
        <v>140</v>
      </c>
      <c r="B190" s="383">
        <f t="shared" si="356"/>
        <v>7</v>
      </c>
      <c r="C190" s="378" t="s">
        <v>1373</v>
      </c>
      <c r="D190" s="556" t="s">
        <v>1374</v>
      </c>
      <c r="E190" s="549" t="s">
        <v>57</v>
      </c>
      <c r="F190" s="549"/>
      <c r="G190" s="549"/>
      <c r="H190" s="550" t="s">
        <v>1375</v>
      </c>
      <c r="I190" s="393">
        <v>17697</v>
      </c>
      <c r="J190" s="367">
        <v>10.4</v>
      </c>
      <c r="K190" s="479">
        <f t="shared" si="338"/>
        <v>184048.80000000002</v>
      </c>
      <c r="L190" s="430"/>
      <c r="M190" s="430"/>
      <c r="N190" s="430"/>
      <c r="O190" s="430"/>
      <c r="P190" s="430"/>
      <c r="Q190" s="368">
        <f t="shared" si="339"/>
        <v>0</v>
      </c>
      <c r="R190" s="430"/>
      <c r="S190" s="430"/>
      <c r="T190" s="430"/>
      <c r="U190" s="430"/>
      <c r="V190" s="430"/>
      <c r="W190" s="381">
        <f t="shared" si="340"/>
        <v>0</v>
      </c>
      <c r="X190" s="370">
        <f t="shared" si="341"/>
        <v>0</v>
      </c>
      <c r="Y190" s="479">
        <f t="shared" si="342"/>
        <v>0</v>
      </c>
      <c r="Z190" s="367">
        <f t="shared" si="343"/>
        <v>0</v>
      </c>
      <c r="AA190" s="501"/>
      <c r="AB190" s="479">
        <f t="shared" si="344"/>
        <v>0</v>
      </c>
      <c r="AC190" s="501"/>
      <c r="AD190" s="479">
        <f t="shared" si="345"/>
        <v>0</v>
      </c>
      <c r="AE190" s="501"/>
      <c r="AF190" s="501"/>
      <c r="AG190" s="479"/>
      <c r="AH190" s="501" t="s">
        <v>1376</v>
      </c>
      <c r="AI190" s="479">
        <f>I190*200%*2</f>
        <v>70788</v>
      </c>
      <c r="AJ190" s="552"/>
      <c r="AK190" s="479"/>
      <c r="AL190" s="393">
        <f t="shared" si="346"/>
        <v>0</v>
      </c>
      <c r="AM190" s="479">
        <f t="shared" si="347"/>
        <v>0</v>
      </c>
      <c r="AN190" s="393">
        <f t="shared" si="360"/>
        <v>0</v>
      </c>
      <c r="AO190" s="479" t="str">
        <f t="shared" si="348"/>
        <v>0</v>
      </c>
      <c r="AP190" s="479" t="str">
        <f t="shared" si="349"/>
        <v>0</v>
      </c>
      <c r="AQ190" s="479" t="str">
        <f t="shared" si="350"/>
        <v>0</v>
      </c>
      <c r="AR190" s="479" t="str">
        <f t="shared" si="351"/>
        <v>0</v>
      </c>
      <c r="AS190" s="501"/>
      <c r="AT190" s="553"/>
      <c r="AU190" s="554"/>
      <c r="AV190" s="553"/>
      <c r="AW190" s="371"/>
      <c r="AX190" s="367"/>
      <c r="AY190" s="479"/>
      <c r="AZ190" s="367">
        <f t="shared" si="352"/>
        <v>70788</v>
      </c>
      <c r="BA190" s="373">
        <f t="shared" si="353"/>
        <v>70788</v>
      </c>
      <c r="BB190" s="374">
        <f t="shared" si="171"/>
        <v>7078.8</v>
      </c>
      <c r="BC190" s="374">
        <f t="shared" si="172"/>
        <v>1415.76</v>
      </c>
      <c r="BD190" s="374">
        <f>(BA190-BB190-BC190-(14*4552))*10%</f>
        <v>-143.4560000000005</v>
      </c>
      <c r="BE190" s="374">
        <f t="shared" si="174"/>
        <v>62436.895999999993</v>
      </c>
      <c r="BF190" s="374">
        <f t="shared" si="175"/>
        <v>849456</v>
      </c>
      <c r="BG190" s="374">
        <f t="shared" si="354"/>
        <v>0</v>
      </c>
      <c r="BH190" s="374">
        <f t="shared" si="177"/>
        <v>849456</v>
      </c>
      <c r="BI190" s="374">
        <f t="shared" si="178"/>
        <v>38225.520000000004</v>
      </c>
      <c r="BJ190" s="374">
        <f t="shared" si="179"/>
        <v>25483.68</v>
      </c>
      <c r="BK190" s="374">
        <f t="shared" si="180"/>
        <v>44001.820800000001</v>
      </c>
      <c r="BL190" s="374">
        <f t="shared" si="355"/>
        <v>42472.800000000003</v>
      </c>
      <c r="BM190" s="373">
        <f t="shared" si="305"/>
        <v>999639.8208000001</v>
      </c>
      <c r="BN190" s="555">
        <v>1</v>
      </c>
      <c r="BO190" s="377"/>
      <c r="BP190" s="377"/>
      <c r="BQ190" s="377"/>
      <c r="BR190" s="377"/>
      <c r="BS190" s="377"/>
      <c r="BT190" s="377"/>
      <c r="BU190" s="377"/>
      <c r="BV190" s="377"/>
      <c r="BW190" s="377"/>
      <c r="BX190" s="377"/>
      <c r="BY190" s="377"/>
      <c r="BZ190" s="377"/>
      <c r="CA190" s="377"/>
      <c r="CB190" s="377"/>
      <c r="CC190" s="377"/>
      <c r="CD190" s="377"/>
      <c r="CE190" s="377"/>
      <c r="CF190" s="377"/>
      <c r="CG190" s="377"/>
      <c r="CH190" s="377"/>
      <c r="CI190" s="377"/>
    </row>
    <row r="191" spans="1:87" ht="33.75" customHeight="1">
      <c r="A191" s="547">
        <f t="shared" si="356"/>
        <v>141</v>
      </c>
      <c r="B191" s="383">
        <f t="shared" si="356"/>
        <v>8</v>
      </c>
      <c r="C191" s="559" t="s">
        <v>450</v>
      </c>
      <c r="D191" s="558" t="s">
        <v>1367</v>
      </c>
      <c r="E191" s="549" t="s">
        <v>57</v>
      </c>
      <c r="F191" s="549"/>
      <c r="G191" s="549"/>
      <c r="H191" s="550" t="s">
        <v>1042</v>
      </c>
      <c r="I191" s="393">
        <v>17697</v>
      </c>
      <c r="J191" s="367">
        <v>9.84</v>
      </c>
      <c r="K191" s="479">
        <f t="shared" si="338"/>
        <v>174138.48</v>
      </c>
      <c r="L191" s="430"/>
      <c r="M191" s="430"/>
      <c r="N191" s="430"/>
      <c r="O191" s="430"/>
      <c r="P191" s="430"/>
      <c r="Q191" s="368">
        <f t="shared" si="339"/>
        <v>0</v>
      </c>
      <c r="R191" s="430"/>
      <c r="S191" s="430"/>
      <c r="T191" s="430"/>
      <c r="U191" s="430"/>
      <c r="V191" s="430"/>
      <c r="W191" s="381">
        <f t="shared" si="340"/>
        <v>0</v>
      </c>
      <c r="X191" s="370">
        <f t="shared" si="341"/>
        <v>0</v>
      </c>
      <c r="Y191" s="479">
        <f t="shared" si="342"/>
        <v>0</v>
      </c>
      <c r="Z191" s="367">
        <f t="shared" si="343"/>
        <v>0</v>
      </c>
      <c r="AA191" s="501"/>
      <c r="AB191" s="479">
        <f t="shared" si="344"/>
        <v>0</v>
      </c>
      <c r="AC191" s="501"/>
      <c r="AD191" s="479">
        <f t="shared" si="345"/>
        <v>0</v>
      </c>
      <c r="AE191" s="501"/>
      <c r="AF191" s="501"/>
      <c r="AG191" s="479"/>
      <c r="AH191" s="501" t="s">
        <v>1377</v>
      </c>
      <c r="AI191" s="479">
        <f>I191*200%*2</f>
        <v>70788</v>
      </c>
      <c r="AJ191" s="552"/>
      <c r="AK191" s="479"/>
      <c r="AL191" s="393">
        <f t="shared" si="346"/>
        <v>0</v>
      </c>
      <c r="AM191" s="479">
        <f t="shared" si="347"/>
        <v>0</v>
      </c>
      <c r="AN191" s="393">
        <f t="shared" si="360"/>
        <v>0</v>
      </c>
      <c r="AO191" s="479" t="str">
        <f t="shared" si="348"/>
        <v>0</v>
      </c>
      <c r="AP191" s="479" t="str">
        <f t="shared" si="349"/>
        <v>0</v>
      </c>
      <c r="AQ191" s="479" t="str">
        <f t="shared" si="350"/>
        <v>0</v>
      </c>
      <c r="AR191" s="479" t="str">
        <f t="shared" si="351"/>
        <v>0</v>
      </c>
      <c r="AS191" s="501"/>
      <c r="AT191" s="553"/>
      <c r="AU191" s="554"/>
      <c r="AV191" s="553"/>
      <c r="AW191" s="371"/>
      <c r="AX191" s="367"/>
      <c r="AY191" s="479"/>
      <c r="AZ191" s="367">
        <f t="shared" si="352"/>
        <v>70788</v>
      </c>
      <c r="BA191" s="373">
        <f t="shared" si="353"/>
        <v>70788</v>
      </c>
      <c r="BB191" s="374">
        <f t="shared" si="171"/>
        <v>7078.8</v>
      </c>
      <c r="BC191" s="374">
        <f t="shared" si="172"/>
        <v>1415.76</v>
      </c>
      <c r="BD191" s="374">
        <f>(BA191-BB191-BC191-(14*4552))*10%</f>
        <v>-143.4560000000005</v>
      </c>
      <c r="BE191" s="374">
        <f t="shared" si="174"/>
        <v>62436.895999999993</v>
      </c>
      <c r="BF191" s="374">
        <f t="shared" si="175"/>
        <v>849456</v>
      </c>
      <c r="BG191" s="374">
        <f t="shared" si="354"/>
        <v>0</v>
      </c>
      <c r="BH191" s="374">
        <f t="shared" si="177"/>
        <v>849456</v>
      </c>
      <c r="BI191" s="374">
        <f t="shared" si="178"/>
        <v>38225.520000000004</v>
      </c>
      <c r="BJ191" s="374">
        <f t="shared" si="179"/>
        <v>25483.68</v>
      </c>
      <c r="BK191" s="374">
        <f t="shared" si="180"/>
        <v>44001.820800000001</v>
      </c>
      <c r="BL191" s="374">
        <f t="shared" si="355"/>
        <v>42472.800000000003</v>
      </c>
      <c r="BM191" s="373">
        <f t="shared" si="305"/>
        <v>999639.8208000001</v>
      </c>
      <c r="BN191" s="555">
        <v>1</v>
      </c>
      <c r="BO191" s="377"/>
      <c r="BP191" s="377"/>
      <c r="BQ191" s="377"/>
      <c r="BR191" s="377"/>
      <c r="BS191" s="377"/>
      <c r="BT191" s="377"/>
      <c r="BU191" s="377"/>
      <c r="BV191" s="377"/>
      <c r="BW191" s="377"/>
      <c r="BX191" s="377"/>
      <c r="BY191" s="377"/>
      <c r="BZ191" s="377"/>
      <c r="CA191" s="377"/>
      <c r="CB191" s="377"/>
      <c r="CC191" s="377"/>
      <c r="CD191" s="377"/>
      <c r="CE191" s="377"/>
      <c r="CF191" s="377"/>
      <c r="CG191" s="377"/>
      <c r="CH191" s="377"/>
      <c r="CI191" s="377"/>
    </row>
    <row r="192" spans="1:87" ht="30">
      <c r="A192" s="547">
        <f t="shared" si="356"/>
        <v>142</v>
      </c>
      <c r="B192" s="383">
        <f t="shared" si="356"/>
        <v>9</v>
      </c>
      <c r="C192" s="378" t="s">
        <v>1378</v>
      </c>
      <c r="D192" s="556" t="s">
        <v>1379</v>
      </c>
      <c r="E192" s="549" t="s">
        <v>57</v>
      </c>
      <c r="F192" s="549"/>
      <c r="G192" s="549"/>
      <c r="H192" s="550" t="s">
        <v>1338</v>
      </c>
      <c r="I192" s="393">
        <v>17697</v>
      </c>
      <c r="J192" s="367">
        <v>10.6</v>
      </c>
      <c r="K192" s="479">
        <f t="shared" si="338"/>
        <v>187588.19999999998</v>
      </c>
      <c r="L192" s="430"/>
      <c r="M192" s="430"/>
      <c r="N192" s="551"/>
      <c r="O192" s="430"/>
      <c r="P192" s="430"/>
      <c r="Q192" s="368">
        <f t="shared" si="339"/>
        <v>0</v>
      </c>
      <c r="R192" s="430"/>
      <c r="S192" s="430"/>
      <c r="T192" s="430"/>
      <c r="U192" s="430"/>
      <c r="V192" s="430"/>
      <c r="W192" s="381">
        <f t="shared" si="340"/>
        <v>0</v>
      </c>
      <c r="X192" s="370">
        <f t="shared" si="341"/>
        <v>0</v>
      </c>
      <c r="Y192" s="479">
        <f t="shared" si="342"/>
        <v>0</v>
      </c>
      <c r="Z192" s="367">
        <f t="shared" si="343"/>
        <v>0</v>
      </c>
      <c r="AA192" s="501"/>
      <c r="AB192" s="479">
        <f t="shared" si="344"/>
        <v>0</v>
      </c>
      <c r="AC192" s="501"/>
      <c r="AD192" s="479">
        <f t="shared" si="345"/>
        <v>0</v>
      </c>
      <c r="AE192" s="501"/>
      <c r="AF192" s="501"/>
      <c r="AG192" s="479"/>
      <c r="AH192" s="501" t="s">
        <v>118</v>
      </c>
      <c r="AI192" s="479">
        <f t="shared" ref="AI192" si="361">I192*200%</f>
        <v>35394</v>
      </c>
      <c r="AJ192" s="552"/>
      <c r="AK192" s="479"/>
      <c r="AL192" s="393">
        <f t="shared" si="346"/>
        <v>0</v>
      </c>
      <c r="AM192" s="479">
        <f t="shared" si="347"/>
        <v>0</v>
      </c>
      <c r="AN192" s="393">
        <f t="shared" si="360"/>
        <v>0</v>
      </c>
      <c r="AO192" s="479" t="str">
        <f t="shared" si="348"/>
        <v>0</v>
      </c>
      <c r="AP192" s="393" t="str">
        <f t="shared" si="349"/>
        <v>0</v>
      </c>
      <c r="AQ192" s="479" t="str">
        <f t="shared" si="350"/>
        <v>0</v>
      </c>
      <c r="AR192" s="479" t="str">
        <f t="shared" si="351"/>
        <v>0</v>
      </c>
      <c r="AS192" s="501"/>
      <c r="AT192" s="553"/>
      <c r="AU192" s="554"/>
      <c r="AV192" s="553"/>
      <c r="AW192" s="371"/>
      <c r="AX192" s="367"/>
      <c r="AY192" s="479"/>
      <c r="AZ192" s="367">
        <f t="shared" si="352"/>
        <v>35394</v>
      </c>
      <c r="BA192" s="373">
        <f t="shared" si="353"/>
        <v>35394</v>
      </c>
      <c r="BB192" s="374">
        <f t="shared" si="171"/>
        <v>3539.4</v>
      </c>
      <c r="BC192" s="374">
        <f t="shared" si="172"/>
        <v>707.88</v>
      </c>
      <c r="BD192" s="374">
        <f>(BA192-BB192-BC192)*10%</f>
        <v>3114.672</v>
      </c>
      <c r="BE192" s="374">
        <f t="shared" si="174"/>
        <v>28032.047999999999</v>
      </c>
      <c r="BF192" s="374">
        <f t="shared" si="175"/>
        <v>424728</v>
      </c>
      <c r="BG192" s="374">
        <f t="shared" si="354"/>
        <v>0</v>
      </c>
      <c r="BH192" s="374">
        <f t="shared" si="177"/>
        <v>424728</v>
      </c>
      <c r="BI192" s="374">
        <f t="shared" si="178"/>
        <v>19112.760000000002</v>
      </c>
      <c r="BJ192" s="374">
        <f t="shared" si="179"/>
        <v>12741.84</v>
      </c>
      <c r="BK192" s="374">
        <f t="shared" si="180"/>
        <v>22000.910400000001</v>
      </c>
      <c r="BL192" s="374">
        <f t="shared" si="355"/>
        <v>21236.400000000001</v>
      </c>
      <c r="BM192" s="373">
        <f t="shared" si="305"/>
        <v>499819.91040000005</v>
      </c>
      <c r="BN192" s="555">
        <v>1</v>
      </c>
      <c r="BO192" s="377"/>
      <c r="BP192" s="377"/>
      <c r="BQ192" s="377"/>
      <c r="BR192" s="377"/>
      <c r="BS192" s="377"/>
      <c r="BT192" s="377"/>
      <c r="BU192" s="377"/>
      <c r="BV192" s="377"/>
      <c r="BW192" s="377"/>
      <c r="BX192" s="377"/>
      <c r="BY192" s="377"/>
      <c r="BZ192" s="377"/>
      <c r="CA192" s="377"/>
      <c r="CB192" s="377"/>
      <c r="CC192" s="377"/>
      <c r="CD192" s="377"/>
      <c r="CE192" s="377"/>
      <c r="CF192" s="377"/>
      <c r="CG192" s="377"/>
      <c r="CH192" s="377"/>
      <c r="CI192" s="377"/>
    </row>
    <row r="193" spans="1:90" ht="30">
      <c r="A193" s="547">
        <f t="shared" si="356"/>
        <v>143</v>
      </c>
      <c r="B193" s="383">
        <f t="shared" si="356"/>
        <v>10</v>
      </c>
      <c r="C193" s="560" t="s">
        <v>829</v>
      </c>
      <c r="D193" s="558" t="s">
        <v>1367</v>
      </c>
      <c r="E193" s="549" t="s">
        <v>57</v>
      </c>
      <c r="F193" s="549"/>
      <c r="G193" s="549" t="s">
        <v>1380</v>
      </c>
      <c r="H193" s="550" t="s">
        <v>1381</v>
      </c>
      <c r="I193" s="393">
        <v>17697</v>
      </c>
      <c r="J193" s="367">
        <v>9.66</v>
      </c>
      <c r="K193" s="479">
        <f t="shared" si="338"/>
        <v>170953.02</v>
      </c>
      <c r="L193" s="430"/>
      <c r="M193" s="430"/>
      <c r="N193" s="551"/>
      <c r="O193" s="430"/>
      <c r="P193" s="430"/>
      <c r="Q193" s="368">
        <f t="shared" si="339"/>
        <v>0</v>
      </c>
      <c r="R193" s="430"/>
      <c r="S193" s="430"/>
      <c r="T193" s="430"/>
      <c r="U193" s="430"/>
      <c r="V193" s="430"/>
      <c r="W193" s="381">
        <f t="shared" si="340"/>
        <v>0</v>
      </c>
      <c r="X193" s="370">
        <f t="shared" si="341"/>
        <v>0</v>
      </c>
      <c r="Y193" s="479">
        <f t="shared" si="342"/>
        <v>0</v>
      </c>
      <c r="Z193" s="367">
        <f t="shared" si="343"/>
        <v>0</v>
      </c>
      <c r="AA193" s="501"/>
      <c r="AB193" s="479">
        <f t="shared" si="344"/>
        <v>0</v>
      </c>
      <c r="AC193" s="501"/>
      <c r="AD193" s="479">
        <f t="shared" si="345"/>
        <v>0</v>
      </c>
      <c r="AE193" s="501"/>
      <c r="AF193" s="501"/>
      <c r="AG193" s="479"/>
      <c r="AH193" s="393" t="s">
        <v>1382</v>
      </c>
      <c r="AI193" s="479">
        <f>I193*200%*3</f>
        <v>106182</v>
      </c>
      <c r="AJ193" s="552"/>
      <c r="AK193" s="479"/>
      <c r="AL193" s="393">
        <f t="shared" si="346"/>
        <v>0</v>
      </c>
      <c r="AM193" s="479">
        <f t="shared" si="347"/>
        <v>0</v>
      </c>
      <c r="AN193" s="393">
        <f t="shared" si="360"/>
        <v>0</v>
      </c>
      <c r="AO193" s="479" t="str">
        <f t="shared" si="348"/>
        <v>0</v>
      </c>
      <c r="AP193" s="393" t="str">
        <f t="shared" si="349"/>
        <v>0</v>
      </c>
      <c r="AQ193" s="479" t="str">
        <f t="shared" si="350"/>
        <v>0</v>
      </c>
      <c r="AR193" s="479" t="str">
        <f t="shared" si="351"/>
        <v>0</v>
      </c>
      <c r="AS193" s="501"/>
      <c r="AT193" s="553"/>
      <c r="AU193" s="554"/>
      <c r="AV193" s="553"/>
      <c r="AW193" s="371" t="str">
        <f>G193</f>
        <v>Магистр филологии</v>
      </c>
      <c r="AX193" s="372">
        <f>10*4552</f>
        <v>45520</v>
      </c>
      <c r="AY193" s="479"/>
      <c r="AZ193" s="367">
        <f t="shared" si="352"/>
        <v>151702</v>
      </c>
      <c r="BA193" s="373">
        <f t="shared" si="353"/>
        <v>151702</v>
      </c>
      <c r="BB193" s="374">
        <f t="shared" si="171"/>
        <v>15170.2</v>
      </c>
      <c r="BC193" s="374">
        <f t="shared" si="172"/>
        <v>3034.04</v>
      </c>
      <c r="BD193" s="374">
        <f>(BA193-BB193-BC193-(14*4552))*10%</f>
        <v>6976.9759999999987</v>
      </c>
      <c r="BE193" s="374">
        <f t="shared" si="174"/>
        <v>126520.78399999999</v>
      </c>
      <c r="BF193" s="374">
        <f t="shared" si="175"/>
        <v>1820424</v>
      </c>
      <c r="BG193" s="374">
        <f t="shared" si="354"/>
        <v>0</v>
      </c>
      <c r="BH193" s="374">
        <f t="shared" si="177"/>
        <v>1820424</v>
      </c>
      <c r="BI193" s="374">
        <f t="shared" si="178"/>
        <v>81919.080000000016</v>
      </c>
      <c r="BJ193" s="374">
        <f t="shared" si="179"/>
        <v>54612.72</v>
      </c>
      <c r="BK193" s="374">
        <f t="shared" si="180"/>
        <v>94297.963199999998</v>
      </c>
      <c r="BL193" s="374">
        <f t="shared" si="355"/>
        <v>91021.200000000012</v>
      </c>
      <c r="BM193" s="373">
        <f t="shared" si="305"/>
        <v>2142274.9632000001</v>
      </c>
      <c r="BN193" s="555">
        <v>1</v>
      </c>
      <c r="BO193" s="377"/>
      <c r="BP193" s="377"/>
      <c r="BQ193" s="377"/>
      <c r="BR193" s="377"/>
      <c r="BS193" s="377"/>
      <c r="BT193" s="377"/>
      <c r="BU193" s="377"/>
      <c r="BV193" s="377"/>
      <c r="BW193" s="377"/>
      <c r="BX193" s="377"/>
      <c r="BY193" s="377"/>
      <c r="BZ193" s="377"/>
      <c r="CA193" s="377"/>
      <c r="CB193" s="377"/>
      <c r="CC193" s="377"/>
      <c r="CD193" s="377"/>
      <c r="CE193" s="377"/>
      <c r="CF193" s="377"/>
      <c r="CG193" s="377"/>
      <c r="CH193" s="377"/>
      <c r="CI193" s="377"/>
    </row>
    <row r="194" spans="1:90" ht="30">
      <c r="A194" s="547">
        <f t="shared" si="356"/>
        <v>144</v>
      </c>
      <c r="B194" s="383">
        <f t="shared" si="356"/>
        <v>11</v>
      </c>
      <c r="C194" s="559" t="s">
        <v>1383</v>
      </c>
      <c r="D194" s="558" t="s">
        <v>1367</v>
      </c>
      <c r="E194" s="549" t="s">
        <v>57</v>
      </c>
      <c r="F194" s="549"/>
      <c r="G194" s="549"/>
      <c r="H194" s="550" t="s">
        <v>1384</v>
      </c>
      <c r="I194" s="393">
        <v>17697</v>
      </c>
      <c r="J194" s="367">
        <v>11.4</v>
      </c>
      <c r="K194" s="479">
        <f t="shared" si="338"/>
        <v>201745.80000000002</v>
      </c>
      <c r="L194" s="430"/>
      <c r="M194" s="430"/>
      <c r="N194" s="430"/>
      <c r="O194" s="430"/>
      <c r="P194" s="430"/>
      <c r="Q194" s="368">
        <f t="shared" si="339"/>
        <v>0</v>
      </c>
      <c r="R194" s="430"/>
      <c r="S194" s="430"/>
      <c r="T194" s="430"/>
      <c r="U194" s="430"/>
      <c r="V194" s="430"/>
      <c r="W194" s="381">
        <f t="shared" si="340"/>
        <v>0</v>
      </c>
      <c r="X194" s="370">
        <f t="shared" si="341"/>
        <v>0</v>
      </c>
      <c r="Y194" s="479">
        <f t="shared" si="342"/>
        <v>0</v>
      </c>
      <c r="Z194" s="367">
        <f t="shared" si="343"/>
        <v>0</v>
      </c>
      <c r="AA194" s="501"/>
      <c r="AB194" s="479">
        <f t="shared" si="344"/>
        <v>0</v>
      </c>
      <c r="AC194" s="501"/>
      <c r="AD194" s="479">
        <f t="shared" si="345"/>
        <v>0</v>
      </c>
      <c r="AE194" s="501"/>
      <c r="AF194" s="501"/>
      <c r="AG194" s="479"/>
      <c r="AH194" s="393" t="s">
        <v>1385</v>
      </c>
      <c r="AI194" s="479">
        <f>I194*200%*3</f>
        <v>106182</v>
      </c>
      <c r="AJ194" s="552"/>
      <c r="AK194" s="479"/>
      <c r="AL194" s="393">
        <f t="shared" si="346"/>
        <v>0</v>
      </c>
      <c r="AM194" s="479">
        <f t="shared" si="347"/>
        <v>0</v>
      </c>
      <c r="AN194" s="393">
        <f t="shared" si="360"/>
        <v>0</v>
      </c>
      <c r="AO194" s="479" t="str">
        <f t="shared" si="348"/>
        <v>0</v>
      </c>
      <c r="AP194" s="393" t="str">
        <f t="shared" si="349"/>
        <v>0</v>
      </c>
      <c r="AQ194" s="479" t="str">
        <f t="shared" si="350"/>
        <v>0</v>
      </c>
      <c r="AR194" s="479" t="str">
        <f t="shared" si="351"/>
        <v>0</v>
      </c>
      <c r="AS194" s="501"/>
      <c r="AT194" s="553"/>
      <c r="AU194" s="554"/>
      <c r="AV194" s="553"/>
      <c r="AW194" s="371"/>
      <c r="AX194" s="372"/>
      <c r="AY194" s="479"/>
      <c r="AZ194" s="367">
        <f t="shared" si="352"/>
        <v>106182</v>
      </c>
      <c r="BA194" s="373">
        <f t="shared" si="353"/>
        <v>106182</v>
      </c>
      <c r="BB194" s="374">
        <f t="shared" si="171"/>
        <v>10618.2</v>
      </c>
      <c r="BC194" s="374">
        <f t="shared" si="172"/>
        <v>2123.64</v>
      </c>
      <c r="BD194" s="374">
        <f>(BA194-BB194-BC194-(14*4552))*10%</f>
        <v>2971.2160000000003</v>
      </c>
      <c r="BE194" s="374">
        <f t="shared" si="174"/>
        <v>90468.944000000003</v>
      </c>
      <c r="BF194" s="374">
        <f t="shared" si="175"/>
        <v>1274184</v>
      </c>
      <c r="BG194" s="374">
        <f t="shared" si="354"/>
        <v>0</v>
      </c>
      <c r="BH194" s="374">
        <f t="shared" si="177"/>
        <v>1274184</v>
      </c>
      <c r="BI194" s="374">
        <f t="shared" si="178"/>
        <v>57338.280000000006</v>
      </c>
      <c r="BJ194" s="374">
        <f t="shared" si="179"/>
        <v>38225.519999999997</v>
      </c>
      <c r="BK194" s="374">
        <f t="shared" si="180"/>
        <v>66002.731200000009</v>
      </c>
      <c r="BL194" s="374">
        <f t="shared" si="355"/>
        <v>63709.200000000004</v>
      </c>
      <c r="BM194" s="373">
        <f t="shared" si="305"/>
        <v>1499459.7312</v>
      </c>
      <c r="BN194" s="555">
        <v>1</v>
      </c>
      <c r="BO194" s="377"/>
      <c r="BP194" s="377"/>
      <c r="BQ194" s="377"/>
      <c r="BR194" s="377"/>
      <c r="BS194" s="377"/>
      <c r="BT194" s="377"/>
      <c r="BU194" s="377"/>
      <c r="BV194" s="377"/>
      <c r="BW194" s="377"/>
      <c r="BX194" s="377"/>
      <c r="BY194" s="377"/>
      <c r="BZ194" s="377"/>
      <c r="CA194" s="377"/>
      <c r="CB194" s="377"/>
      <c r="CC194" s="377"/>
      <c r="CD194" s="377"/>
      <c r="CE194" s="377"/>
      <c r="CF194" s="377"/>
      <c r="CG194" s="377"/>
      <c r="CH194" s="377"/>
      <c r="CI194" s="377"/>
    </row>
    <row r="195" spans="1:90" ht="30">
      <c r="A195" s="547">
        <f t="shared" si="356"/>
        <v>145</v>
      </c>
      <c r="B195" s="383">
        <f t="shared" si="356"/>
        <v>12</v>
      </c>
      <c r="C195" s="561" t="s">
        <v>907</v>
      </c>
      <c r="D195" s="558" t="s">
        <v>1367</v>
      </c>
      <c r="E195" s="549" t="s">
        <v>57</v>
      </c>
      <c r="F195" s="549"/>
      <c r="G195" s="549"/>
      <c r="H195" s="550" t="s">
        <v>1386</v>
      </c>
      <c r="I195" s="393">
        <v>17697</v>
      </c>
      <c r="J195" s="367">
        <v>9.66</v>
      </c>
      <c r="K195" s="479">
        <f t="shared" si="338"/>
        <v>170953.02</v>
      </c>
      <c r="L195" s="430"/>
      <c r="M195" s="430"/>
      <c r="N195" s="430"/>
      <c r="O195" s="430"/>
      <c r="P195" s="430"/>
      <c r="Q195" s="368">
        <f t="shared" si="339"/>
        <v>0</v>
      </c>
      <c r="R195" s="430"/>
      <c r="S195" s="430"/>
      <c r="T195" s="430"/>
      <c r="U195" s="430"/>
      <c r="V195" s="430"/>
      <c r="W195" s="381">
        <f t="shared" si="340"/>
        <v>0</v>
      </c>
      <c r="X195" s="370">
        <f t="shared" si="341"/>
        <v>0</v>
      </c>
      <c r="Y195" s="479">
        <f t="shared" si="342"/>
        <v>0</v>
      </c>
      <c r="Z195" s="367">
        <f t="shared" si="343"/>
        <v>0</v>
      </c>
      <c r="AA195" s="501"/>
      <c r="AB195" s="479">
        <f t="shared" si="344"/>
        <v>0</v>
      </c>
      <c r="AC195" s="501"/>
      <c r="AD195" s="479">
        <f t="shared" si="345"/>
        <v>0</v>
      </c>
      <c r="AE195" s="501"/>
      <c r="AF195" s="501"/>
      <c r="AG195" s="479"/>
      <c r="AH195" s="501" t="s">
        <v>1387</v>
      </c>
      <c r="AI195" s="479">
        <f>I195*200%*3</f>
        <v>106182</v>
      </c>
      <c r="AJ195" s="552"/>
      <c r="AK195" s="479"/>
      <c r="AL195" s="393">
        <f t="shared" si="346"/>
        <v>0</v>
      </c>
      <c r="AM195" s="479">
        <f t="shared" si="347"/>
        <v>0</v>
      </c>
      <c r="AN195" s="393">
        <f t="shared" si="360"/>
        <v>0</v>
      </c>
      <c r="AO195" s="479" t="str">
        <f t="shared" si="348"/>
        <v>0</v>
      </c>
      <c r="AP195" s="393" t="str">
        <f t="shared" si="349"/>
        <v>0</v>
      </c>
      <c r="AQ195" s="479" t="str">
        <f t="shared" si="350"/>
        <v>0</v>
      </c>
      <c r="AR195" s="479" t="str">
        <f t="shared" si="351"/>
        <v>0</v>
      </c>
      <c r="AS195" s="501"/>
      <c r="AT195" s="553"/>
      <c r="AU195" s="554"/>
      <c r="AV195" s="553"/>
      <c r="AW195" s="371"/>
      <c r="AX195" s="372"/>
      <c r="AY195" s="479"/>
      <c r="AZ195" s="367">
        <f t="shared" si="352"/>
        <v>106182</v>
      </c>
      <c r="BA195" s="373">
        <f t="shared" si="353"/>
        <v>106182</v>
      </c>
      <c r="BB195" s="374">
        <f t="shared" si="171"/>
        <v>10618.2</v>
      </c>
      <c r="BC195" s="374">
        <f t="shared" si="172"/>
        <v>2123.64</v>
      </c>
      <c r="BD195" s="374">
        <f>(BA195-BB195-BC195-(14*4552))*10%</f>
        <v>2971.2160000000003</v>
      </c>
      <c r="BE195" s="374">
        <f t="shared" si="174"/>
        <v>90468.944000000003</v>
      </c>
      <c r="BF195" s="374">
        <f t="shared" si="175"/>
        <v>1274184</v>
      </c>
      <c r="BG195" s="374">
        <f t="shared" si="354"/>
        <v>0</v>
      </c>
      <c r="BH195" s="374">
        <f t="shared" si="177"/>
        <v>1274184</v>
      </c>
      <c r="BI195" s="374">
        <f t="shared" ref="BI195:BI199" si="362">BH195*0.9*5%</f>
        <v>57338.280000000006</v>
      </c>
      <c r="BJ195" s="374">
        <f t="shared" si="179"/>
        <v>38225.519999999997</v>
      </c>
      <c r="BK195" s="374">
        <f t="shared" ref="BK195:BK199" si="363">(BH195*0.9-(BC195*12))*11%-BI195</f>
        <v>66002.731200000009</v>
      </c>
      <c r="BL195" s="374">
        <f t="shared" si="355"/>
        <v>63709.200000000004</v>
      </c>
      <c r="BM195" s="373">
        <f t="shared" si="305"/>
        <v>1499459.7312</v>
      </c>
      <c r="BN195" s="555">
        <v>1</v>
      </c>
      <c r="BO195" s="377"/>
      <c r="BP195" s="377"/>
      <c r="BQ195" s="377"/>
      <c r="BR195" s="377"/>
      <c r="BS195" s="377"/>
      <c r="BT195" s="377"/>
      <c r="BU195" s="377"/>
      <c r="BV195" s="377"/>
      <c r="BW195" s="377"/>
      <c r="BX195" s="377"/>
      <c r="BY195" s="377"/>
      <c r="BZ195" s="377"/>
      <c r="CA195" s="377"/>
      <c r="CB195" s="377"/>
      <c r="CC195" s="377"/>
      <c r="CD195" s="377"/>
      <c r="CE195" s="377"/>
      <c r="CF195" s="377"/>
      <c r="CG195" s="377"/>
      <c r="CH195" s="377"/>
      <c r="CI195" s="377"/>
    </row>
    <row r="196" spans="1:90" ht="30">
      <c r="A196" s="547">
        <f t="shared" si="356"/>
        <v>146</v>
      </c>
      <c r="B196" s="383">
        <f t="shared" si="356"/>
        <v>13</v>
      </c>
      <c r="C196" s="559" t="s">
        <v>908</v>
      </c>
      <c r="D196" s="558" t="s">
        <v>1367</v>
      </c>
      <c r="E196" s="549" t="s">
        <v>57</v>
      </c>
      <c r="F196" s="549"/>
      <c r="G196" s="549"/>
      <c r="H196" s="550" t="s">
        <v>1388</v>
      </c>
      <c r="I196" s="393">
        <v>17697</v>
      </c>
      <c r="J196" s="367">
        <v>10</v>
      </c>
      <c r="K196" s="479">
        <f t="shared" si="338"/>
        <v>176970</v>
      </c>
      <c r="L196" s="430"/>
      <c r="M196" s="430"/>
      <c r="N196" s="430"/>
      <c r="O196" s="430"/>
      <c r="P196" s="430"/>
      <c r="Q196" s="368">
        <f t="shared" si="339"/>
        <v>0</v>
      </c>
      <c r="R196" s="430"/>
      <c r="S196" s="430"/>
      <c r="T196" s="430"/>
      <c r="U196" s="430"/>
      <c r="V196" s="430"/>
      <c r="W196" s="381">
        <f t="shared" si="340"/>
        <v>0</v>
      </c>
      <c r="X196" s="370">
        <f t="shared" si="341"/>
        <v>0</v>
      </c>
      <c r="Y196" s="479">
        <f t="shared" si="342"/>
        <v>0</v>
      </c>
      <c r="Z196" s="367">
        <f t="shared" si="343"/>
        <v>0</v>
      </c>
      <c r="AA196" s="501"/>
      <c r="AB196" s="479">
        <f t="shared" si="344"/>
        <v>0</v>
      </c>
      <c r="AC196" s="501"/>
      <c r="AD196" s="479">
        <f t="shared" si="345"/>
        <v>0</v>
      </c>
      <c r="AE196" s="501"/>
      <c r="AF196" s="501"/>
      <c r="AG196" s="479"/>
      <c r="AH196" s="501" t="s">
        <v>1389</v>
      </c>
      <c r="AI196" s="479">
        <f>I196*200%*3</f>
        <v>106182</v>
      </c>
      <c r="AJ196" s="552"/>
      <c r="AK196" s="479"/>
      <c r="AL196" s="393">
        <f t="shared" si="346"/>
        <v>0</v>
      </c>
      <c r="AM196" s="479">
        <f t="shared" si="347"/>
        <v>0</v>
      </c>
      <c r="AN196" s="393">
        <f t="shared" si="360"/>
        <v>0</v>
      </c>
      <c r="AO196" s="479" t="str">
        <f t="shared" si="348"/>
        <v>0</v>
      </c>
      <c r="AP196" s="393" t="str">
        <f t="shared" si="349"/>
        <v>0</v>
      </c>
      <c r="AQ196" s="479" t="str">
        <f t="shared" si="350"/>
        <v>0</v>
      </c>
      <c r="AR196" s="479" t="str">
        <f t="shared" si="351"/>
        <v>0</v>
      </c>
      <c r="AS196" s="501"/>
      <c r="AT196" s="553"/>
      <c r="AU196" s="554"/>
      <c r="AV196" s="553"/>
      <c r="AW196" s="371"/>
      <c r="AX196" s="372"/>
      <c r="AY196" s="479"/>
      <c r="AZ196" s="367">
        <f t="shared" si="352"/>
        <v>106182</v>
      </c>
      <c r="BA196" s="373">
        <f t="shared" si="353"/>
        <v>106182</v>
      </c>
      <c r="BB196" s="374">
        <f t="shared" si="171"/>
        <v>10618.2</v>
      </c>
      <c r="BC196" s="374">
        <f t="shared" si="172"/>
        <v>2123.64</v>
      </c>
      <c r="BD196" s="374">
        <f>(BA196-BB196-BC196-(14*4552))*10%</f>
        <v>2971.2160000000003</v>
      </c>
      <c r="BE196" s="374">
        <f t="shared" si="174"/>
        <v>90468.944000000003</v>
      </c>
      <c r="BF196" s="374">
        <f t="shared" si="175"/>
        <v>1274184</v>
      </c>
      <c r="BG196" s="374">
        <f t="shared" si="354"/>
        <v>0</v>
      </c>
      <c r="BH196" s="374">
        <f t="shared" si="177"/>
        <v>1274184</v>
      </c>
      <c r="BI196" s="374">
        <f t="shared" si="362"/>
        <v>57338.280000000006</v>
      </c>
      <c r="BJ196" s="374">
        <f t="shared" si="179"/>
        <v>38225.519999999997</v>
      </c>
      <c r="BK196" s="374">
        <f t="shared" si="363"/>
        <v>66002.731200000009</v>
      </c>
      <c r="BL196" s="374">
        <f t="shared" si="355"/>
        <v>63709.200000000004</v>
      </c>
      <c r="BM196" s="373">
        <f t="shared" si="305"/>
        <v>1499459.7312</v>
      </c>
      <c r="BN196" s="555">
        <v>1</v>
      </c>
      <c r="BO196" s="377"/>
      <c r="BP196" s="377"/>
      <c r="BQ196" s="377"/>
      <c r="BR196" s="377"/>
      <c r="BS196" s="377"/>
      <c r="BT196" s="377"/>
      <c r="BU196" s="377"/>
      <c r="BV196" s="377"/>
      <c r="BW196" s="377"/>
      <c r="BX196" s="377"/>
      <c r="BY196" s="377"/>
      <c r="BZ196" s="377"/>
      <c r="CA196" s="377"/>
      <c r="CB196" s="377"/>
      <c r="CC196" s="377"/>
      <c r="CD196" s="377"/>
      <c r="CE196" s="377"/>
      <c r="CF196" s="377"/>
      <c r="CG196" s="377"/>
      <c r="CH196" s="377"/>
      <c r="CI196" s="377"/>
    </row>
    <row r="197" spans="1:90" ht="30">
      <c r="A197" s="547">
        <f t="shared" si="356"/>
        <v>147</v>
      </c>
      <c r="B197" s="383">
        <f t="shared" si="356"/>
        <v>14</v>
      </c>
      <c r="C197" s="562" t="s">
        <v>452</v>
      </c>
      <c r="D197" s="558" t="s">
        <v>1367</v>
      </c>
      <c r="E197" s="549" t="s">
        <v>57</v>
      </c>
      <c r="F197" s="549"/>
      <c r="G197" s="549"/>
      <c r="H197" s="550" t="s">
        <v>1390</v>
      </c>
      <c r="I197" s="393">
        <v>17697</v>
      </c>
      <c r="J197" s="367">
        <v>10.82</v>
      </c>
      <c r="K197" s="479">
        <f t="shared" si="338"/>
        <v>191481.54</v>
      </c>
      <c r="L197" s="430"/>
      <c r="M197" s="430"/>
      <c r="N197" s="430"/>
      <c r="O197" s="430"/>
      <c r="P197" s="430"/>
      <c r="Q197" s="368">
        <f t="shared" si="339"/>
        <v>0</v>
      </c>
      <c r="R197" s="430"/>
      <c r="S197" s="430"/>
      <c r="T197" s="430"/>
      <c r="U197" s="430"/>
      <c r="V197" s="430"/>
      <c r="W197" s="381">
        <f t="shared" si="340"/>
        <v>0</v>
      </c>
      <c r="X197" s="370">
        <f t="shared" si="341"/>
        <v>0</v>
      </c>
      <c r="Y197" s="479">
        <f t="shared" si="342"/>
        <v>0</v>
      </c>
      <c r="Z197" s="367">
        <f t="shared" si="343"/>
        <v>0</v>
      </c>
      <c r="AA197" s="501"/>
      <c r="AB197" s="479">
        <f t="shared" si="344"/>
        <v>0</v>
      </c>
      <c r="AC197" s="501"/>
      <c r="AD197" s="479">
        <f t="shared" si="345"/>
        <v>0</v>
      </c>
      <c r="AE197" s="501"/>
      <c r="AF197" s="501"/>
      <c r="AG197" s="479"/>
      <c r="AH197" s="393" t="s">
        <v>1391</v>
      </c>
      <c r="AI197" s="479">
        <f>I197*200%</f>
        <v>35394</v>
      </c>
      <c r="AJ197" s="552"/>
      <c r="AK197" s="479"/>
      <c r="AL197" s="393">
        <f t="shared" si="346"/>
        <v>0</v>
      </c>
      <c r="AM197" s="479">
        <f t="shared" si="347"/>
        <v>0</v>
      </c>
      <c r="AN197" s="393">
        <f t="shared" si="360"/>
        <v>0</v>
      </c>
      <c r="AO197" s="479" t="str">
        <f t="shared" si="348"/>
        <v>0</v>
      </c>
      <c r="AP197" s="393" t="str">
        <f t="shared" si="349"/>
        <v>0</v>
      </c>
      <c r="AQ197" s="479" t="str">
        <f t="shared" si="350"/>
        <v>0</v>
      </c>
      <c r="AR197" s="479" t="str">
        <f t="shared" si="351"/>
        <v>0</v>
      </c>
      <c r="AS197" s="501"/>
      <c r="AT197" s="553"/>
      <c r="AU197" s="554"/>
      <c r="AV197" s="553"/>
      <c r="AW197" s="371"/>
      <c r="AX197" s="372"/>
      <c r="AY197" s="479"/>
      <c r="AZ197" s="367">
        <f t="shared" si="352"/>
        <v>35394</v>
      </c>
      <c r="BA197" s="373">
        <f t="shared" si="353"/>
        <v>35394</v>
      </c>
      <c r="BB197" s="374">
        <f t="shared" si="171"/>
        <v>3539.4</v>
      </c>
      <c r="BC197" s="374">
        <f t="shared" si="172"/>
        <v>707.88</v>
      </c>
      <c r="BD197" s="374">
        <f>(BA197-BB197-BC197)*10%</f>
        <v>3114.672</v>
      </c>
      <c r="BE197" s="374">
        <f t="shared" si="174"/>
        <v>28032.047999999999</v>
      </c>
      <c r="BF197" s="374">
        <f t="shared" si="175"/>
        <v>424728</v>
      </c>
      <c r="BG197" s="374">
        <f t="shared" si="354"/>
        <v>0</v>
      </c>
      <c r="BH197" s="374">
        <f t="shared" si="177"/>
        <v>424728</v>
      </c>
      <c r="BI197" s="374">
        <f t="shared" si="362"/>
        <v>19112.760000000002</v>
      </c>
      <c r="BJ197" s="374">
        <f t="shared" si="179"/>
        <v>12741.84</v>
      </c>
      <c r="BK197" s="374">
        <f t="shared" si="363"/>
        <v>22000.910400000001</v>
      </c>
      <c r="BL197" s="374">
        <f t="shared" si="355"/>
        <v>21236.400000000001</v>
      </c>
      <c r="BM197" s="373">
        <f t="shared" si="305"/>
        <v>499819.91040000005</v>
      </c>
      <c r="BN197" s="555">
        <v>1</v>
      </c>
      <c r="BO197" s="377"/>
      <c r="BP197" s="377"/>
      <c r="BQ197" s="377"/>
      <c r="BR197" s="377"/>
      <c r="BS197" s="377"/>
      <c r="BT197" s="377"/>
      <c r="BU197" s="377"/>
      <c r="BV197" s="377"/>
      <c r="BW197" s="377"/>
      <c r="BX197" s="377"/>
      <c r="BY197" s="377"/>
      <c r="BZ197" s="377"/>
      <c r="CA197" s="377"/>
      <c r="CB197" s="377"/>
      <c r="CC197" s="377"/>
      <c r="CD197" s="377"/>
      <c r="CE197" s="377"/>
      <c r="CF197" s="377"/>
      <c r="CG197" s="377"/>
      <c r="CH197" s="377"/>
      <c r="CI197" s="377"/>
    </row>
    <row r="198" spans="1:90" ht="28.5" customHeight="1">
      <c r="A198" s="547">
        <f t="shared" si="356"/>
        <v>148</v>
      </c>
      <c r="B198" s="383">
        <f t="shared" si="356"/>
        <v>15</v>
      </c>
      <c r="C198" s="562" t="s">
        <v>458</v>
      </c>
      <c r="D198" s="556" t="s">
        <v>1370</v>
      </c>
      <c r="E198" s="549" t="s">
        <v>57</v>
      </c>
      <c r="F198" s="549"/>
      <c r="G198" s="549"/>
      <c r="H198" s="550" t="s">
        <v>1392</v>
      </c>
      <c r="I198" s="393">
        <v>17697</v>
      </c>
      <c r="J198" s="367">
        <v>9.84</v>
      </c>
      <c r="K198" s="479">
        <f t="shared" si="338"/>
        <v>174138.48</v>
      </c>
      <c r="L198" s="430"/>
      <c r="M198" s="430"/>
      <c r="N198" s="430"/>
      <c r="O198" s="430"/>
      <c r="P198" s="430"/>
      <c r="Q198" s="368">
        <f t="shared" si="339"/>
        <v>0</v>
      </c>
      <c r="R198" s="430"/>
      <c r="S198" s="430"/>
      <c r="T198" s="430"/>
      <c r="U198" s="430"/>
      <c r="V198" s="430"/>
      <c r="W198" s="381">
        <f t="shared" si="340"/>
        <v>0</v>
      </c>
      <c r="X198" s="370">
        <f t="shared" si="341"/>
        <v>0</v>
      </c>
      <c r="Y198" s="479">
        <f t="shared" si="342"/>
        <v>0</v>
      </c>
      <c r="Z198" s="367">
        <f t="shared" si="343"/>
        <v>0</v>
      </c>
      <c r="AA198" s="501"/>
      <c r="AB198" s="479">
        <f t="shared" si="344"/>
        <v>0</v>
      </c>
      <c r="AC198" s="501"/>
      <c r="AD198" s="479">
        <f t="shared" si="345"/>
        <v>0</v>
      </c>
      <c r="AE198" s="501"/>
      <c r="AF198" s="501"/>
      <c r="AG198" s="479"/>
      <c r="AH198" s="393" t="s">
        <v>1393</v>
      </c>
      <c r="AI198" s="479">
        <f>I198*200%</f>
        <v>35394</v>
      </c>
      <c r="AJ198" s="552"/>
      <c r="AK198" s="479"/>
      <c r="AL198" s="393">
        <f t="shared" si="346"/>
        <v>0</v>
      </c>
      <c r="AM198" s="479">
        <f t="shared" si="347"/>
        <v>0</v>
      </c>
      <c r="AN198" s="393">
        <f t="shared" si="360"/>
        <v>0</v>
      </c>
      <c r="AO198" s="479" t="str">
        <f t="shared" si="348"/>
        <v>0</v>
      </c>
      <c r="AP198" s="393" t="str">
        <f t="shared" si="349"/>
        <v>0</v>
      </c>
      <c r="AQ198" s="479" t="str">
        <f t="shared" si="350"/>
        <v>0</v>
      </c>
      <c r="AR198" s="479" t="str">
        <f t="shared" si="351"/>
        <v>0</v>
      </c>
      <c r="AS198" s="501"/>
      <c r="AT198" s="553"/>
      <c r="AU198" s="554"/>
      <c r="AV198" s="553"/>
      <c r="AW198" s="371"/>
      <c r="AX198" s="372"/>
      <c r="AY198" s="479"/>
      <c r="AZ198" s="367">
        <f t="shared" si="352"/>
        <v>35394</v>
      </c>
      <c r="BA198" s="373">
        <f t="shared" si="353"/>
        <v>35394</v>
      </c>
      <c r="BB198" s="374">
        <f t="shared" ref="BB198:BB199" si="364">BA198*10%</f>
        <v>3539.4</v>
      </c>
      <c r="BC198" s="374">
        <f t="shared" ref="BC198:BC199" si="365">BA198*2%</f>
        <v>707.88</v>
      </c>
      <c r="BD198" s="374">
        <f>(BA198-BB198-BC198)*10%</f>
        <v>3114.672</v>
      </c>
      <c r="BE198" s="374">
        <f t="shared" ref="BE198:BE199" si="366">BA198-BB198-BC198-BD198</f>
        <v>28032.047999999999</v>
      </c>
      <c r="BF198" s="374">
        <f t="shared" ref="BF198:BF199" si="367">BA198*12</f>
        <v>424728</v>
      </c>
      <c r="BG198" s="374">
        <f t="shared" si="354"/>
        <v>0</v>
      </c>
      <c r="BH198" s="374">
        <f t="shared" ref="BH198:BH199" si="368">BF198+BG198</f>
        <v>424728</v>
      </c>
      <c r="BI198" s="374">
        <f t="shared" si="362"/>
        <v>19112.760000000002</v>
      </c>
      <c r="BJ198" s="374">
        <f t="shared" ref="BJ198:BJ199" si="369">BF198*3%</f>
        <v>12741.84</v>
      </c>
      <c r="BK198" s="374">
        <f t="shared" si="363"/>
        <v>22000.910400000001</v>
      </c>
      <c r="BL198" s="374">
        <f t="shared" si="355"/>
        <v>21236.400000000001</v>
      </c>
      <c r="BM198" s="373">
        <f t="shared" si="305"/>
        <v>499819.91040000005</v>
      </c>
      <c r="BN198" s="555">
        <v>1</v>
      </c>
      <c r="BO198" s="377"/>
      <c r="BP198" s="377"/>
      <c r="BQ198" s="377"/>
      <c r="BR198" s="377"/>
      <c r="BS198" s="377"/>
      <c r="BT198" s="377"/>
      <c r="BU198" s="377"/>
      <c r="BV198" s="377"/>
      <c r="BW198" s="377"/>
      <c r="BX198" s="377"/>
      <c r="BY198" s="377"/>
      <c r="BZ198" s="377"/>
      <c r="CA198" s="377"/>
      <c r="CB198" s="377"/>
      <c r="CC198" s="377"/>
      <c r="CD198" s="377"/>
      <c r="CE198" s="377"/>
      <c r="CF198" s="377"/>
      <c r="CG198" s="377"/>
      <c r="CH198" s="377"/>
      <c r="CI198" s="377"/>
    </row>
    <row r="199" spans="1:90" ht="33" customHeight="1">
      <c r="A199" s="547">
        <f t="shared" si="356"/>
        <v>149</v>
      </c>
      <c r="B199" s="383">
        <f t="shared" si="356"/>
        <v>16</v>
      </c>
      <c r="C199" s="563" t="s">
        <v>522</v>
      </c>
      <c r="D199" s="379" t="s">
        <v>1394</v>
      </c>
      <c r="E199" s="556" t="s">
        <v>57</v>
      </c>
      <c r="F199" s="549"/>
      <c r="G199" s="557"/>
      <c r="H199" s="550"/>
      <c r="I199" s="393"/>
      <c r="J199" s="479"/>
      <c r="K199" s="479">
        <f t="shared" si="338"/>
        <v>0</v>
      </c>
      <c r="L199" s="430"/>
      <c r="M199" s="430"/>
      <c r="N199" s="430"/>
      <c r="O199" s="430"/>
      <c r="P199" s="430"/>
      <c r="Q199" s="564">
        <f t="shared" si="339"/>
        <v>0</v>
      </c>
      <c r="R199" s="430"/>
      <c r="S199" s="430"/>
      <c r="T199" s="430"/>
      <c r="U199" s="430"/>
      <c r="V199" s="430"/>
      <c r="W199" s="381">
        <f t="shared" si="340"/>
        <v>0</v>
      </c>
      <c r="X199" s="370">
        <f t="shared" si="341"/>
        <v>0</v>
      </c>
      <c r="Y199" s="479">
        <f t="shared" si="342"/>
        <v>0</v>
      </c>
      <c r="Z199" s="367">
        <v>0</v>
      </c>
      <c r="AA199" s="565"/>
      <c r="AB199" s="479"/>
      <c r="AC199" s="565"/>
      <c r="AD199" s="479"/>
      <c r="AE199" s="366">
        <v>196600</v>
      </c>
      <c r="AF199" s="565"/>
      <c r="AG199" s="479"/>
      <c r="AH199" s="565"/>
      <c r="AI199" s="479"/>
      <c r="AJ199" s="552"/>
      <c r="AK199" s="479"/>
      <c r="AL199" s="393">
        <f t="shared" si="346"/>
        <v>0</v>
      </c>
      <c r="AM199" s="479">
        <f t="shared" si="347"/>
        <v>0</v>
      </c>
      <c r="AN199" s="393">
        <f t="shared" si="360"/>
        <v>0</v>
      </c>
      <c r="AO199" s="479" t="str">
        <f t="shared" si="348"/>
        <v>0</v>
      </c>
      <c r="AP199" s="393" t="str">
        <f t="shared" si="349"/>
        <v>0</v>
      </c>
      <c r="AQ199" s="479" t="str">
        <f t="shared" si="350"/>
        <v>0</v>
      </c>
      <c r="AR199" s="479" t="str">
        <f t="shared" si="351"/>
        <v>0</v>
      </c>
      <c r="AS199" s="393"/>
      <c r="AT199" s="479"/>
      <c r="AU199" s="565"/>
      <c r="AV199" s="479"/>
      <c r="AW199" s="371"/>
      <c r="AX199" s="372"/>
      <c r="AY199" s="479"/>
      <c r="AZ199" s="367">
        <f t="shared" si="352"/>
        <v>196600</v>
      </c>
      <c r="BA199" s="373">
        <f t="shared" si="353"/>
        <v>196600</v>
      </c>
      <c r="BB199" s="374">
        <f t="shared" si="364"/>
        <v>19660</v>
      </c>
      <c r="BC199" s="374">
        <f t="shared" si="365"/>
        <v>3932</v>
      </c>
      <c r="BD199" s="374">
        <f>(BA199-BB199-BC199)*10%</f>
        <v>17300.8</v>
      </c>
      <c r="BE199" s="374">
        <f t="shared" si="366"/>
        <v>155707.20000000001</v>
      </c>
      <c r="BF199" s="374">
        <f t="shared" si="367"/>
        <v>2359200</v>
      </c>
      <c r="BG199" s="374">
        <f t="shared" si="354"/>
        <v>0</v>
      </c>
      <c r="BH199" s="374">
        <f t="shared" si="368"/>
        <v>2359200</v>
      </c>
      <c r="BI199" s="374">
        <f t="shared" si="362"/>
        <v>106164</v>
      </c>
      <c r="BJ199" s="374">
        <f t="shared" si="369"/>
        <v>70776</v>
      </c>
      <c r="BK199" s="374">
        <f t="shared" si="363"/>
        <v>122206.56</v>
      </c>
      <c r="BL199" s="374">
        <f>BH199*5%-6591.26</f>
        <v>111368.74</v>
      </c>
      <c r="BM199" s="373">
        <f t="shared" si="305"/>
        <v>2769715.3000000003</v>
      </c>
      <c r="BN199" s="555">
        <v>1</v>
      </c>
      <c r="BO199" s="377"/>
      <c r="BP199" s="377"/>
      <c r="BQ199" s="377"/>
      <c r="BR199" s="377"/>
      <c r="BS199" s="377"/>
      <c r="BT199" s="377"/>
      <c r="BU199" s="377"/>
      <c r="BV199" s="377"/>
      <c r="BW199" s="377"/>
      <c r="BX199" s="377"/>
      <c r="BY199" s="377"/>
      <c r="BZ199" s="377"/>
      <c r="CA199" s="377"/>
      <c r="CB199" s="377"/>
      <c r="CC199" s="377"/>
      <c r="CD199" s="377"/>
      <c r="CE199" s="377"/>
      <c r="CF199" s="377"/>
      <c r="CG199" s="377"/>
      <c r="CH199" s="377"/>
      <c r="CI199" s="377"/>
    </row>
    <row r="200" spans="1:90" ht="14.25">
      <c r="A200" s="566"/>
      <c r="B200" s="567"/>
      <c r="C200" s="568" t="s">
        <v>1162</v>
      </c>
      <c r="D200" s="569"/>
      <c r="E200" s="524"/>
      <c r="F200" s="524"/>
      <c r="G200" s="524"/>
      <c r="H200" s="491"/>
      <c r="I200" s="490"/>
      <c r="J200" s="490"/>
      <c r="K200" s="422">
        <f>SUM(K184:K199)</f>
        <v>2801081.16</v>
      </c>
      <c r="L200" s="422">
        <f t="shared" ref="L200:BN200" si="370">SUM(L184:L199)</f>
        <v>0</v>
      </c>
      <c r="M200" s="422">
        <f t="shared" si="370"/>
        <v>0</v>
      </c>
      <c r="N200" s="422">
        <f t="shared" si="370"/>
        <v>0</v>
      </c>
      <c r="O200" s="422">
        <f t="shared" si="370"/>
        <v>0</v>
      </c>
      <c r="P200" s="422">
        <f t="shared" si="370"/>
        <v>0</v>
      </c>
      <c r="Q200" s="422">
        <f t="shared" si="370"/>
        <v>0</v>
      </c>
      <c r="R200" s="422">
        <f t="shared" si="370"/>
        <v>0</v>
      </c>
      <c r="S200" s="422">
        <f t="shared" si="370"/>
        <v>0</v>
      </c>
      <c r="T200" s="422">
        <f t="shared" si="370"/>
        <v>11</v>
      </c>
      <c r="U200" s="422">
        <f t="shared" si="370"/>
        <v>12</v>
      </c>
      <c r="V200" s="422">
        <f t="shared" si="370"/>
        <v>0</v>
      </c>
      <c r="W200" s="422">
        <f t="shared" si="370"/>
        <v>23</v>
      </c>
      <c r="X200" s="422">
        <f t="shared" si="370"/>
        <v>23</v>
      </c>
      <c r="Y200" s="422">
        <f t="shared" si="370"/>
        <v>287355.03750000003</v>
      </c>
      <c r="Z200" s="422">
        <f t="shared" si="370"/>
        <v>17555.424000000003</v>
      </c>
      <c r="AA200" s="422">
        <f t="shared" si="370"/>
        <v>0</v>
      </c>
      <c r="AB200" s="422">
        <f t="shared" si="370"/>
        <v>0</v>
      </c>
      <c r="AC200" s="422">
        <f t="shared" si="370"/>
        <v>0</v>
      </c>
      <c r="AD200" s="422">
        <f t="shared" si="370"/>
        <v>0</v>
      </c>
      <c r="AE200" s="422">
        <f t="shared" si="370"/>
        <v>196600</v>
      </c>
      <c r="AF200" s="422">
        <f t="shared" si="370"/>
        <v>0</v>
      </c>
      <c r="AG200" s="422">
        <f t="shared" si="370"/>
        <v>0</v>
      </c>
      <c r="AH200" s="422">
        <v>22</v>
      </c>
      <c r="AI200" s="422">
        <f t="shared" si="370"/>
        <v>778668</v>
      </c>
      <c r="AJ200" s="422">
        <f t="shared" si="370"/>
        <v>0</v>
      </c>
      <c r="AK200" s="422">
        <f t="shared" si="370"/>
        <v>0</v>
      </c>
      <c r="AL200" s="422">
        <f t="shared" si="370"/>
        <v>23</v>
      </c>
      <c r="AM200" s="422">
        <f t="shared" si="370"/>
        <v>86206.511249999996</v>
      </c>
      <c r="AN200" s="422">
        <f t="shared" si="370"/>
        <v>0</v>
      </c>
      <c r="AO200" s="422">
        <f t="shared" si="370"/>
        <v>0</v>
      </c>
      <c r="AP200" s="422">
        <f t="shared" si="370"/>
        <v>19785.245999999999</v>
      </c>
      <c r="AQ200" s="422">
        <f t="shared" si="370"/>
        <v>0</v>
      </c>
      <c r="AR200" s="422">
        <f t="shared" si="370"/>
        <v>0</v>
      </c>
      <c r="AS200" s="422">
        <f t="shared" si="370"/>
        <v>0</v>
      </c>
      <c r="AT200" s="422">
        <f t="shared" si="370"/>
        <v>0</v>
      </c>
      <c r="AU200" s="422">
        <f t="shared" si="370"/>
        <v>0</v>
      </c>
      <c r="AV200" s="422">
        <f t="shared" si="370"/>
        <v>0</v>
      </c>
      <c r="AW200" s="422">
        <f t="shared" si="370"/>
        <v>0</v>
      </c>
      <c r="AX200" s="422">
        <f t="shared" si="370"/>
        <v>91040</v>
      </c>
      <c r="AY200" s="422">
        <f t="shared" si="370"/>
        <v>0</v>
      </c>
      <c r="AZ200" s="422">
        <f t="shared" si="370"/>
        <v>1189855.1812499999</v>
      </c>
      <c r="BA200" s="422">
        <f t="shared" si="370"/>
        <v>1477210.21875</v>
      </c>
      <c r="BB200" s="422">
        <f t="shared" si="370"/>
        <v>147721.02187499998</v>
      </c>
      <c r="BC200" s="422">
        <f t="shared" si="370"/>
        <v>29544.204374999998</v>
      </c>
      <c r="BD200" s="422">
        <f t="shared" si="370"/>
        <v>59893.699249999991</v>
      </c>
      <c r="BE200" s="422">
        <f t="shared" si="370"/>
        <v>1240051.2932499999</v>
      </c>
      <c r="BF200" s="422">
        <f t="shared" si="370"/>
        <v>17726522.625</v>
      </c>
      <c r="BG200" s="422">
        <f t="shared" si="370"/>
        <v>574710.07500000007</v>
      </c>
      <c r="BH200" s="422">
        <f t="shared" si="370"/>
        <v>18301232.699999999</v>
      </c>
      <c r="BI200" s="422">
        <f t="shared" si="370"/>
        <v>823555.47150000022</v>
      </c>
      <c r="BJ200" s="422">
        <f t="shared" si="370"/>
        <v>531795.67875000008</v>
      </c>
      <c r="BK200" s="422">
        <f t="shared" si="370"/>
        <v>949268.21602500021</v>
      </c>
      <c r="BL200" s="422">
        <f t="shared" si="370"/>
        <v>908470.375</v>
      </c>
      <c r="BM200" s="422">
        <f t="shared" si="370"/>
        <v>21514322.441275001</v>
      </c>
      <c r="BN200" s="422">
        <f t="shared" si="370"/>
        <v>14</v>
      </c>
      <c r="BO200" s="355"/>
      <c r="BP200" s="355"/>
      <c r="BQ200" s="355"/>
      <c r="BR200" s="355"/>
      <c r="BS200" s="355"/>
      <c r="BT200" s="355"/>
      <c r="BU200" s="355"/>
      <c r="BV200" s="355"/>
      <c r="BW200" s="355"/>
      <c r="BX200" s="355"/>
      <c r="BY200" s="355"/>
      <c r="BZ200" s="355"/>
      <c r="CA200" s="355"/>
      <c r="CB200" s="355"/>
      <c r="CC200" s="355"/>
      <c r="CD200" s="355"/>
      <c r="CE200" s="355"/>
      <c r="CF200" s="355"/>
      <c r="CG200" s="355"/>
      <c r="CH200" s="355"/>
      <c r="CI200" s="355"/>
    </row>
    <row r="201" spans="1:90" ht="28.5">
      <c r="A201" s="1536"/>
      <c r="B201" s="1537"/>
      <c r="C201" s="570" t="s">
        <v>230</v>
      </c>
      <c r="D201" s="570"/>
      <c r="E201" s="570"/>
      <c r="F201" s="570"/>
      <c r="G201" s="570"/>
      <c r="H201" s="494"/>
      <c r="I201" s="570"/>
      <c r="J201" s="570"/>
      <c r="K201" s="571">
        <f t="shared" ref="K201:BN201" si="371">K124+K135+K143+K152+K156+K161+K166+K174+K200+K183</f>
        <v>32429398.559999987</v>
      </c>
      <c r="L201" s="571">
        <f t="shared" si="371"/>
        <v>610</v>
      </c>
      <c r="M201" s="571">
        <f t="shared" si="371"/>
        <v>633</v>
      </c>
      <c r="N201" s="571">
        <f t="shared" si="371"/>
        <v>555</v>
      </c>
      <c r="O201" s="571">
        <f t="shared" si="371"/>
        <v>629</v>
      </c>
      <c r="P201" s="571">
        <f t="shared" si="371"/>
        <v>593</v>
      </c>
      <c r="Q201" s="571">
        <f t="shared" si="371"/>
        <v>3020</v>
      </c>
      <c r="R201" s="571">
        <f t="shared" si="371"/>
        <v>161</v>
      </c>
      <c r="S201" s="571">
        <f t="shared" si="371"/>
        <v>152</v>
      </c>
      <c r="T201" s="571">
        <f t="shared" si="371"/>
        <v>146</v>
      </c>
      <c r="U201" s="571">
        <f t="shared" si="371"/>
        <v>183</v>
      </c>
      <c r="V201" s="571">
        <f t="shared" si="371"/>
        <v>153</v>
      </c>
      <c r="W201" s="571">
        <f t="shared" si="371"/>
        <v>795</v>
      </c>
      <c r="X201" s="571">
        <f t="shared" si="371"/>
        <v>3815</v>
      </c>
      <c r="Y201" s="571">
        <f t="shared" si="371"/>
        <v>45097220.857500002</v>
      </c>
      <c r="Z201" s="571">
        <f t="shared" si="371"/>
        <v>4436334.8388750004</v>
      </c>
      <c r="AA201" s="571">
        <f t="shared" si="371"/>
        <v>1745</v>
      </c>
      <c r="AB201" s="571">
        <f t="shared" si="371"/>
        <v>833971.125</v>
      </c>
      <c r="AC201" s="571">
        <f t="shared" si="371"/>
        <v>990</v>
      </c>
      <c r="AD201" s="571">
        <f t="shared" si="371"/>
        <v>230337.515625</v>
      </c>
      <c r="AE201" s="571">
        <f t="shared" si="371"/>
        <v>1622800</v>
      </c>
      <c r="AF201" s="571">
        <f t="shared" si="371"/>
        <v>2083</v>
      </c>
      <c r="AG201" s="571">
        <f t="shared" si="371"/>
        <v>201745.8</v>
      </c>
      <c r="AH201" s="571">
        <f t="shared" si="371"/>
        <v>42</v>
      </c>
      <c r="AI201" s="571">
        <f t="shared" si="371"/>
        <v>1734306</v>
      </c>
      <c r="AJ201" s="571">
        <f t="shared" si="371"/>
        <v>2122</v>
      </c>
      <c r="AK201" s="571">
        <f t="shared" si="371"/>
        <v>938825.84999999986</v>
      </c>
      <c r="AL201" s="571">
        <f t="shared" si="371"/>
        <v>3815</v>
      </c>
      <c r="AM201" s="571">
        <f t="shared" si="371"/>
        <v>13529166.257249998</v>
      </c>
      <c r="AN201" s="571">
        <f t="shared" si="371"/>
        <v>0</v>
      </c>
      <c r="AO201" s="571">
        <f t="shared" si="371"/>
        <v>5203404.6675000014</v>
      </c>
      <c r="AP201" s="571">
        <f t="shared" si="371"/>
        <v>4636215.8175000008</v>
      </c>
      <c r="AQ201" s="571">
        <f t="shared" si="371"/>
        <v>1168140.2578125</v>
      </c>
      <c r="AR201" s="571">
        <f t="shared" si="371"/>
        <v>2506246.9278750005</v>
      </c>
      <c r="AS201" s="571">
        <f t="shared" si="371"/>
        <v>0</v>
      </c>
      <c r="AT201" s="571">
        <f t="shared" si="371"/>
        <v>0</v>
      </c>
      <c r="AU201" s="571">
        <f t="shared" si="371"/>
        <v>0</v>
      </c>
      <c r="AV201" s="571">
        <f t="shared" si="371"/>
        <v>0</v>
      </c>
      <c r="AW201" s="571">
        <f t="shared" si="371"/>
        <v>0</v>
      </c>
      <c r="AX201" s="571">
        <f t="shared" si="371"/>
        <v>3568768</v>
      </c>
      <c r="AY201" s="571">
        <f t="shared" si="371"/>
        <v>70788</v>
      </c>
      <c r="AZ201" s="571">
        <f t="shared" si="371"/>
        <v>40681051.057437494</v>
      </c>
      <c r="BA201" s="571">
        <f t="shared" si="371"/>
        <v>85778271.914937526</v>
      </c>
      <c r="BB201" s="571">
        <f t="shared" si="371"/>
        <v>8577827.1914937515</v>
      </c>
      <c r="BC201" s="571">
        <f t="shared" si="371"/>
        <v>1715565.43829875</v>
      </c>
      <c r="BD201" s="571">
        <f t="shared" si="371"/>
        <v>6496975.9285145011</v>
      </c>
      <c r="BE201" s="571">
        <f t="shared" si="371"/>
        <v>68987903.356630504</v>
      </c>
      <c r="BF201" s="571">
        <f t="shared" si="371"/>
        <v>1029339262.9792501</v>
      </c>
      <c r="BG201" s="571">
        <f t="shared" si="371"/>
        <v>82255191.453749999</v>
      </c>
      <c r="BH201" s="571">
        <f t="shared" si="371"/>
        <v>1111594454.4330003</v>
      </c>
      <c r="BI201" s="571">
        <f t="shared" si="371"/>
        <v>50021750.449485011</v>
      </c>
      <c r="BJ201" s="571">
        <f t="shared" si="371"/>
        <v>30880177.889377505</v>
      </c>
      <c r="BK201" s="571">
        <f t="shared" si="371"/>
        <v>57761554.160827652</v>
      </c>
      <c r="BL201" s="571">
        <f t="shared" si="371"/>
        <v>55557429.461649999</v>
      </c>
      <c r="BM201" s="571">
        <f t="shared" si="371"/>
        <v>1305815366.3943403</v>
      </c>
      <c r="BN201" s="571">
        <f t="shared" si="371"/>
        <v>24.25</v>
      </c>
      <c r="BO201" s="511"/>
      <c r="BP201" s="355"/>
      <c r="BQ201" s="355"/>
      <c r="BR201" s="355"/>
      <c r="BS201" s="355"/>
      <c r="BT201" s="355"/>
      <c r="BU201" s="355"/>
      <c r="BV201" s="355"/>
      <c r="BW201" s="355"/>
      <c r="BX201" s="355"/>
      <c r="BY201" s="355"/>
      <c r="BZ201" s="355"/>
      <c r="CA201" s="355"/>
      <c r="CB201" s="355"/>
      <c r="CC201" s="355"/>
      <c r="CD201" s="355"/>
      <c r="CE201" s="355"/>
      <c r="CF201" s="355"/>
      <c r="CG201" s="355"/>
      <c r="CH201" s="355"/>
      <c r="CI201" s="355"/>
    </row>
    <row r="202" spans="1:90" ht="15">
      <c r="A202" s="377"/>
      <c r="B202" s="377"/>
      <c r="C202" s="572"/>
      <c r="D202" s="377"/>
      <c r="E202" s="377"/>
      <c r="F202" s="377"/>
      <c r="G202" s="377"/>
      <c r="H202" s="573"/>
      <c r="I202" s="377"/>
      <c r="J202" s="377"/>
      <c r="K202" s="377"/>
      <c r="L202" s="377"/>
      <c r="M202" s="377"/>
      <c r="N202" s="377"/>
      <c r="O202" s="377"/>
      <c r="P202" s="377"/>
      <c r="Q202" s="377"/>
      <c r="R202" s="377"/>
      <c r="S202" s="377"/>
      <c r="T202" s="377"/>
      <c r="U202" s="377"/>
      <c r="V202" s="377"/>
      <c r="W202" s="377"/>
      <c r="X202" s="574"/>
      <c r="Y202" s="377"/>
      <c r="Z202" s="377"/>
      <c r="AA202" s="377"/>
      <c r="AB202" s="377"/>
      <c r="AC202" s="377"/>
      <c r="AD202" s="377"/>
      <c r="AE202" s="377"/>
      <c r="AF202" s="377"/>
      <c r="AG202" s="377"/>
      <c r="AH202" s="377"/>
      <c r="AI202" s="377"/>
      <c r="AJ202" s="377"/>
      <c r="AK202" s="377"/>
      <c r="AL202" s="574"/>
      <c r="AM202" s="377"/>
      <c r="AN202" s="377"/>
      <c r="AO202" s="377"/>
      <c r="AP202" s="377"/>
      <c r="AQ202" s="377"/>
      <c r="AR202" s="377"/>
      <c r="AS202" s="377"/>
      <c r="AT202" s="377"/>
      <c r="AU202" s="377"/>
      <c r="AV202" s="377"/>
      <c r="AW202" s="575"/>
      <c r="AX202" s="377"/>
      <c r="AY202" s="377"/>
      <c r="AZ202" s="377"/>
      <c r="BA202" s="377"/>
      <c r="BB202" s="377"/>
      <c r="BC202" s="377"/>
      <c r="BD202" s="377"/>
      <c r="BE202" s="377"/>
      <c r="BF202" s="377"/>
      <c r="BG202" s="377"/>
      <c r="BH202" s="377"/>
      <c r="BI202" s="377"/>
      <c r="BJ202" s="377"/>
      <c r="BK202" s="377"/>
      <c r="BL202" s="377"/>
      <c r="BM202" s="377"/>
      <c r="BN202" s="576"/>
      <c r="BO202" s="376"/>
      <c r="BP202" s="377"/>
      <c r="BQ202" s="377"/>
      <c r="BR202" s="377"/>
      <c r="BS202" s="376"/>
      <c r="BT202" s="377"/>
      <c r="BU202" s="376"/>
      <c r="BV202" s="377"/>
      <c r="BW202" s="377"/>
      <c r="BX202" s="377"/>
      <c r="BY202" s="377"/>
      <c r="BZ202" s="377"/>
      <c r="CA202" s="377"/>
      <c r="CB202" s="377"/>
      <c r="CC202" s="377"/>
      <c r="CD202" s="377"/>
      <c r="CE202" s="377"/>
      <c r="CF202" s="377"/>
      <c r="CG202" s="377"/>
      <c r="CH202" s="377"/>
      <c r="CI202" s="377"/>
      <c r="CJ202" s="377"/>
      <c r="CK202" s="377"/>
      <c r="CL202" s="377"/>
    </row>
    <row r="203" spans="1:90" ht="15">
      <c r="A203" s="377"/>
      <c r="B203" s="377"/>
      <c r="C203" s="572"/>
      <c r="D203" s="377"/>
      <c r="E203" s="377"/>
      <c r="F203" s="377"/>
      <c r="G203" s="377"/>
      <c r="H203" s="573"/>
      <c r="I203" s="377"/>
      <c r="J203" s="377"/>
      <c r="K203" s="377"/>
      <c r="L203" s="377"/>
      <c r="M203" s="377"/>
      <c r="N203" s="377"/>
      <c r="O203" s="377"/>
      <c r="P203" s="377"/>
      <c r="Q203" s="377"/>
      <c r="R203" s="377"/>
      <c r="S203" s="377"/>
      <c r="T203" s="377"/>
      <c r="U203" s="377"/>
      <c r="V203" s="377"/>
      <c r="W203" s="377"/>
      <c r="X203" s="574"/>
      <c r="Y203" s="377"/>
      <c r="Z203" s="377"/>
      <c r="AA203" s="377"/>
      <c r="AB203" s="377"/>
      <c r="AC203" s="377"/>
      <c r="AD203" s="377"/>
      <c r="AE203" s="377"/>
      <c r="AF203" s="377"/>
      <c r="AG203" s="377"/>
      <c r="AH203" s="377"/>
      <c r="AI203" s="377"/>
      <c r="AJ203" s="377"/>
      <c r="AK203" s="377"/>
      <c r="AL203" s="574"/>
      <c r="AM203" s="377"/>
      <c r="AN203" s="377"/>
      <c r="AO203" s="376"/>
      <c r="AP203" s="377"/>
      <c r="AQ203" s="377"/>
      <c r="AR203" s="377"/>
      <c r="AS203" s="377"/>
      <c r="AT203" s="377"/>
      <c r="AU203" s="377"/>
      <c r="AV203" s="377"/>
      <c r="AW203" s="575"/>
      <c r="AX203" s="377"/>
      <c r="AY203" s="377"/>
      <c r="AZ203" s="377"/>
      <c r="BA203" s="377"/>
      <c r="BB203" s="377"/>
      <c r="BC203" s="377"/>
      <c r="BD203" s="377"/>
      <c r="BE203" s="377"/>
      <c r="BF203" s="377"/>
      <c r="BG203" s="377"/>
      <c r="BH203" s="377"/>
      <c r="BI203" s="377"/>
      <c r="BJ203" s="377"/>
      <c r="BK203" s="377"/>
      <c r="BL203" s="377"/>
      <c r="BM203" s="577"/>
      <c r="BP203" s="377"/>
      <c r="BQ203" s="377"/>
      <c r="BR203" s="377"/>
      <c r="BS203" s="376"/>
      <c r="BT203" s="376"/>
      <c r="BU203" s="376"/>
      <c r="BV203" s="377"/>
      <c r="BW203" s="377"/>
      <c r="BX203" s="377"/>
      <c r="BY203" s="377"/>
      <c r="BZ203" s="377"/>
      <c r="CA203" s="377"/>
      <c r="CB203" s="377"/>
      <c r="CC203" s="377"/>
      <c r="CD203" s="377"/>
      <c r="CE203" s="377"/>
      <c r="CF203" s="377"/>
      <c r="CG203" s="377"/>
      <c r="CH203" s="377"/>
      <c r="CI203" s="377"/>
      <c r="CJ203" s="377"/>
      <c r="CK203" s="377"/>
      <c r="CL203" s="377"/>
    </row>
    <row r="204" spans="1:90" ht="15">
      <c r="A204" s="377"/>
      <c r="B204" s="377"/>
      <c r="C204" s="572"/>
      <c r="D204" s="377"/>
      <c r="E204" s="377"/>
      <c r="F204" s="377"/>
      <c r="G204" s="377"/>
      <c r="H204" s="573"/>
      <c r="I204" s="377"/>
      <c r="J204" s="377"/>
      <c r="K204" s="377"/>
      <c r="L204" s="377"/>
      <c r="M204" s="377"/>
      <c r="N204" s="377"/>
      <c r="O204" s="377"/>
      <c r="P204" s="377"/>
      <c r="Q204" s="377"/>
      <c r="R204" s="377"/>
      <c r="S204" s="377"/>
      <c r="T204" s="377"/>
      <c r="U204" s="377"/>
      <c r="V204" s="377"/>
      <c r="W204" s="377"/>
      <c r="X204" s="574"/>
      <c r="Y204" s="377"/>
      <c r="Z204" s="377"/>
      <c r="AA204" s="377"/>
      <c r="AB204" s="377"/>
      <c r="AC204" s="377"/>
      <c r="AD204" s="377"/>
      <c r="AE204" s="377"/>
      <c r="AF204" s="377"/>
      <c r="AG204" s="377"/>
      <c r="AH204" s="377"/>
      <c r="AI204" s="377"/>
      <c r="AJ204" s="377"/>
      <c r="AK204" s="377"/>
      <c r="AL204" s="574"/>
      <c r="AM204" s="377"/>
      <c r="AN204" s="377"/>
      <c r="AO204" s="377"/>
      <c r="AP204" s="377"/>
      <c r="AQ204" s="377"/>
      <c r="AR204" s="377"/>
      <c r="AS204" s="377"/>
      <c r="AT204" s="377"/>
      <c r="AU204" s="377"/>
      <c r="AV204" s="377"/>
      <c r="AW204" s="575"/>
      <c r="AX204" s="377"/>
      <c r="AY204" s="377"/>
      <c r="AZ204" s="377"/>
      <c r="BA204" s="377"/>
      <c r="BB204" s="377"/>
      <c r="BC204" s="377"/>
      <c r="BD204" s="377"/>
      <c r="BE204" s="377"/>
      <c r="BF204" s="377"/>
      <c r="BG204" s="377"/>
      <c r="BH204" s="377"/>
      <c r="BI204" s="377"/>
      <c r="BJ204" s="377"/>
      <c r="BK204" s="376"/>
      <c r="BL204" s="376"/>
      <c r="BM204" s="577"/>
      <c r="BO204" s="579"/>
      <c r="BP204" s="377"/>
      <c r="BQ204" s="377"/>
      <c r="BR204" s="377"/>
      <c r="BS204" s="580"/>
      <c r="BT204" s="581"/>
      <c r="BU204" s="376"/>
      <c r="BV204" s="377"/>
      <c r="BW204" s="377"/>
      <c r="BX204" s="377"/>
      <c r="BY204" s="377"/>
      <c r="BZ204" s="377"/>
      <c r="CA204" s="377"/>
      <c r="CB204" s="377"/>
      <c r="CC204" s="377"/>
      <c r="CD204" s="377"/>
      <c r="CE204" s="377"/>
      <c r="CF204" s="377"/>
      <c r="CG204" s="377"/>
      <c r="CH204" s="377"/>
      <c r="CI204" s="377"/>
      <c r="CJ204" s="377"/>
      <c r="CK204" s="377"/>
      <c r="CL204" s="377"/>
    </row>
    <row r="205" spans="1:90" ht="15">
      <c r="A205" s="377"/>
      <c r="B205" s="377"/>
      <c r="C205" s="1533" t="s">
        <v>276</v>
      </c>
      <c r="D205" s="1534"/>
      <c r="E205" s="1534"/>
      <c r="F205" s="582"/>
      <c r="G205" s="1533" t="s">
        <v>225</v>
      </c>
      <c r="H205" s="1534"/>
      <c r="I205" s="1534"/>
      <c r="J205" s="1534"/>
      <c r="K205" s="377"/>
      <c r="L205" s="377"/>
      <c r="M205" s="377"/>
      <c r="N205" s="377"/>
      <c r="O205" s="377"/>
      <c r="P205" s="377"/>
      <c r="Q205" s="377"/>
      <c r="R205" s="377"/>
      <c r="S205" s="377"/>
      <c r="T205" s="377"/>
      <c r="U205" s="377"/>
      <c r="V205" s="377"/>
      <c r="W205" s="377"/>
      <c r="X205" s="574"/>
      <c r="Y205" s="377"/>
      <c r="Z205" s="377"/>
      <c r="AA205" s="377"/>
      <c r="AB205" s="377"/>
      <c r="AC205" s="377"/>
      <c r="AD205" s="377"/>
      <c r="AE205" s="377"/>
      <c r="AF205" s="377"/>
      <c r="AG205" s="377"/>
      <c r="AH205" s="377"/>
      <c r="AI205" s="377"/>
      <c r="AJ205" s="377"/>
      <c r="AK205" s="377"/>
      <c r="AL205" s="574"/>
      <c r="AM205" s="377"/>
      <c r="AN205" s="377"/>
      <c r="AO205" s="377"/>
      <c r="AP205" s="377"/>
      <c r="AQ205" s="377"/>
      <c r="AR205" s="377"/>
      <c r="AS205" s="377"/>
      <c r="AT205" s="377"/>
      <c r="AU205" s="377"/>
      <c r="AV205" s="377"/>
      <c r="AW205" s="575"/>
      <c r="AX205" s="377"/>
      <c r="AY205" s="377"/>
      <c r="AZ205" s="377"/>
      <c r="BA205" s="377"/>
      <c r="BB205" s="377"/>
      <c r="BC205" s="377"/>
      <c r="BD205" s="377"/>
      <c r="BE205" s="377"/>
      <c r="BF205" s="377"/>
      <c r="BG205" s="377"/>
      <c r="BH205" s="377"/>
      <c r="BI205" s="377"/>
      <c r="BJ205" s="377"/>
      <c r="BK205" s="376"/>
      <c r="BL205" s="376"/>
      <c r="BM205" s="577"/>
      <c r="BO205" s="579"/>
      <c r="BP205" s="377"/>
      <c r="BQ205" s="376"/>
      <c r="BR205" s="377"/>
      <c r="BS205" s="583"/>
      <c r="BT205" s="377"/>
      <c r="BU205" s="376"/>
      <c r="BV205" s="377"/>
      <c r="BW205" s="377"/>
      <c r="BX205" s="377"/>
      <c r="BY205" s="377"/>
      <c r="BZ205" s="377"/>
      <c r="CA205" s="377"/>
      <c r="CB205" s="377"/>
      <c r="CC205" s="377"/>
      <c r="CD205" s="377"/>
      <c r="CE205" s="377"/>
      <c r="CF205" s="377"/>
      <c r="CG205" s="377"/>
      <c r="CH205" s="377"/>
      <c r="CI205" s="377"/>
      <c r="CJ205" s="377"/>
      <c r="CK205" s="377"/>
      <c r="CL205" s="377"/>
    </row>
    <row r="206" spans="1:90" ht="15">
      <c r="A206" s="377"/>
      <c r="B206" s="377"/>
      <c r="C206" s="716"/>
      <c r="D206" s="716"/>
      <c r="E206" s="584"/>
      <c r="F206" s="582"/>
      <c r="G206" s="716"/>
      <c r="H206" s="585"/>
      <c r="I206" s="716"/>
      <c r="J206" s="716"/>
      <c r="K206" s="377"/>
      <c r="L206" s="377"/>
      <c r="M206" s="377"/>
      <c r="N206" s="377"/>
      <c r="O206" s="377"/>
      <c r="P206" s="377"/>
      <c r="Q206" s="377"/>
      <c r="R206" s="377"/>
      <c r="S206" s="377"/>
      <c r="T206" s="377"/>
      <c r="U206" s="377"/>
      <c r="V206" s="377"/>
      <c r="W206" s="377"/>
      <c r="X206" s="574"/>
      <c r="Y206" s="377"/>
      <c r="Z206" s="377"/>
      <c r="AA206" s="377"/>
      <c r="AB206" s="377"/>
      <c r="AC206" s="377"/>
      <c r="AD206" s="377"/>
      <c r="AE206" s="377"/>
      <c r="AF206" s="377"/>
      <c r="AG206" s="377"/>
      <c r="AH206" s="377"/>
      <c r="AI206" s="377"/>
      <c r="AJ206" s="377"/>
      <c r="AK206" s="377"/>
      <c r="AL206" s="574"/>
      <c r="AM206" s="377"/>
      <c r="AN206" s="377"/>
      <c r="AO206" s="377"/>
      <c r="AP206" s="377"/>
      <c r="AQ206" s="377"/>
      <c r="AR206" s="377"/>
      <c r="AS206" s="377"/>
      <c r="AT206" s="377"/>
      <c r="AU206" s="377"/>
      <c r="AV206" s="377"/>
      <c r="AW206" s="575"/>
      <c r="AX206" s="377"/>
      <c r="AY206" s="377"/>
      <c r="AZ206" s="377"/>
      <c r="BA206" s="376"/>
      <c r="BB206" s="377"/>
      <c r="BC206" s="377"/>
      <c r="BD206" s="377"/>
      <c r="BE206" s="377"/>
      <c r="BF206" s="377"/>
      <c r="BG206" s="376"/>
      <c r="BH206" s="586"/>
      <c r="BI206" s="376"/>
      <c r="BJ206" s="377"/>
      <c r="BK206" s="587"/>
      <c r="BL206" s="587"/>
      <c r="BM206" s="577"/>
      <c r="BO206" s="577"/>
      <c r="BP206" s="377"/>
      <c r="BQ206" s="377"/>
      <c r="BR206" s="377"/>
      <c r="BS206" s="583"/>
      <c r="BT206" s="466"/>
      <c r="BU206" s="587"/>
      <c r="BV206" s="377"/>
      <c r="BW206" s="377"/>
      <c r="BX206" s="377"/>
      <c r="BY206" s="377"/>
      <c r="BZ206" s="377"/>
      <c r="CA206" s="377"/>
      <c r="CB206" s="377"/>
      <c r="CC206" s="377"/>
      <c r="CD206" s="377"/>
      <c r="CE206" s="377"/>
      <c r="CF206" s="377"/>
      <c r="CG206" s="377"/>
      <c r="CH206" s="377"/>
      <c r="CI206" s="377"/>
      <c r="CJ206" s="377"/>
      <c r="CK206" s="377"/>
      <c r="CL206" s="377"/>
    </row>
    <row r="207" spans="1:90" ht="15">
      <c r="A207" s="377"/>
      <c r="B207" s="377"/>
      <c r="C207" s="1533" t="s">
        <v>276</v>
      </c>
      <c r="D207" s="1534"/>
      <c r="E207" s="1534"/>
      <c r="F207" s="582"/>
      <c r="G207" s="1533" t="s">
        <v>188</v>
      </c>
      <c r="H207" s="1534"/>
      <c r="I207" s="1534"/>
      <c r="J207" s="1534"/>
      <c r="K207" s="377"/>
      <c r="L207" s="377"/>
      <c r="M207" s="377"/>
      <c r="N207" s="377"/>
      <c r="O207" s="377"/>
      <c r="P207" s="377"/>
      <c r="Q207" s="377"/>
      <c r="R207" s="377"/>
      <c r="S207" s="377"/>
      <c r="T207" s="377"/>
      <c r="U207" s="377"/>
      <c r="V207" s="377"/>
      <c r="W207" s="377"/>
      <c r="X207" s="574"/>
      <c r="Y207" s="377"/>
      <c r="Z207" s="377"/>
      <c r="AA207" s="377"/>
      <c r="AB207" s="377"/>
      <c r="AC207" s="377"/>
      <c r="AD207" s="377"/>
      <c r="AE207" s="377"/>
      <c r="AF207" s="377"/>
      <c r="AG207" s="377"/>
      <c r="AH207" s="377"/>
      <c r="AI207" s="377"/>
      <c r="AJ207" s="377"/>
      <c r="AK207" s="377"/>
      <c r="AL207" s="574"/>
      <c r="AM207" s="377"/>
      <c r="AN207" s="377"/>
      <c r="AO207" s="377"/>
      <c r="AP207" s="377"/>
      <c r="AQ207" s="377"/>
      <c r="AR207" s="377"/>
      <c r="AS207" s="377"/>
      <c r="AT207" s="377"/>
      <c r="AU207" s="377"/>
      <c r="AV207" s="377"/>
      <c r="AW207" s="575"/>
      <c r="AX207" s="377"/>
      <c r="AY207" s="377"/>
      <c r="AZ207" s="377"/>
      <c r="BA207" s="376"/>
      <c r="BB207" s="377"/>
      <c r="BC207" s="377"/>
      <c r="BD207" s="377"/>
      <c r="BE207" s="377"/>
      <c r="BF207" s="377"/>
      <c r="BG207" s="377"/>
      <c r="BH207" s="377"/>
      <c r="BI207" s="377"/>
      <c r="BJ207" s="377"/>
      <c r="BK207" s="587"/>
      <c r="BL207" s="587"/>
      <c r="BM207" s="577"/>
      <c r="BO207" s="588"/>
      <c r="BP207" s="587"/>
      <c r="BQ207" s="466"/>
      <c r="BR207" s="377"/>
      <c r="BS207" s="587"/>
      <c r="BT207" s="587"/>
      <c r="BU207" s="589"/>
      <c r="BV207" s="377"/>
      <c r="BW207" s="377"/>
      <c r="BX207" s="377"/>
      <c r="BY207" s="377"/>
      <c r="BZ207" s="377"/>
      <c r="CA207" s="377"/>
      <c r="CB207" s="377"/>
      <c r="CC207" s="377"/>
      <c r="CD207" s="377"/>
      <c r="CE207" s="377"/>
      <c r="CF207" s="377"/>
      <c r="CG207" s="377"/>
      <c r="CH207" s="377"/>
      <c r="CI207" s="377"/>
      <c r="CJ207" s="377"/>
      <c r="CK207" s="377"/>
      <c r="CL207" s="377"/>
    </row>
    <row r="208" spans="1:90" ht="15">
      <c r="A208" s="377"/>
      <c r="B208" s="377"/>
      <c r="C208" s="716"/>
      <c r="D208" s="716"/>
      <c r="E208" s="584"/>
      <c r="F208" s="582"/>
      <c r="G208" s="716"/>
      <c r="H208" s="585"/>
      <c r="I208" s="716"/>
      <c r="J208" s="716"/>
      <c r="K208" s="377"/>
      <c r="L208" s="377"/>
      <c r="M208" s="377"/>
      <c r="N208" s="377"/>
      <c r="O208" s="377"/>
      <c r="P208" s="377"/>
      <c r="Q208" s="377"/>
      <c r="R208" s="377"/>
      <c r="S208" s="377"/>
      <c r="T208" s="377"/>
      <c r="U208" s="377"/>
      <c r="V208" s="377"/>
      <c r="W208" s="377"/>
      <c r="X208" s="574"/>
      <c r="Y208" s="377"/>
      <c r="Z208" s="377"/>
      <c r="AA208" s="377"/>
      <c r="AB208" s="377"/>
      <c r="AC208" s="377"/>
      <c r="AD208" s="377"/>
      <c r="AE208" s="377"/>
      <c r="AF208" s="377"/>
      <c r="AG208" s="377"/>
      <c r="AH208" s="377"/>
      <c r="AI208" s="377"/>
      <c r="AJ208" s="377"/>
      <c r="AK208" s="377"/>
      <c r="AL208" s="574"/>
      <c r="AM208" s="377"/>
      <c r="AN208" s="377"/>
      <c r="AO208" s="377"/>
      <c r="AP208" s="377"/>
      <c r="AQ208" s="377"/>
      <c r="AR208" s="377"/>
      <c r="AS208" s="377"/>
      <c r="AT208" s="377"/>
      <c r="AU208" s="377"/>
      <c r="AV208" s="377"/>
      <c r="AW208" s="575"/>
      <c r="AX208" s="377"/>
      <c r="AY208" s="377"/>
      <c r="AZ208" s="377"/>
      <c r="BA208" s="377"/>
      <c r="BB208" s="377"/>
      <c r="BC208" s="377"/>
      <c r="BD208" s="377"/>
      <c r="BE208" s="377"/>
      <c r="BF208" s="377"/>
      <c r="BG208" s="376"/>
      <c r="BH208" s="377"/>
      <c r="BI208" s="376"/>
      <c r="BJ208" s="377"/>
      <c r="BK208" s="466"/>
      <c r="BL208" s="466"/>
      <c r="BM208" s="577"/>
      <c r="BO208" s="588"/>
      <c r="BP208" s="587"/>
      <c r="BQ208" s="466"/>
      <c r="BR208" s="377"/>
      <c r="BS208" s="587"/>
      <c r="BT208" s="466"/>
      <c r="BU208" s="587"/>
      <c r="BV208" s="377"/>
      <c r="BW208" s="377"/>
      <c r="BX208" s="377"/>
      <c r="BY208" s="377"/>
      <c r="BZ208" s="377"/>
      <c r="CA208" s="377"/>
      <c r="CB208" s="377"/>
      <c r="CC208" s="377"/>
      <c r="CD208" s="377"/>
      <c r="CE208" s="377"/>
      <c r="CF208" s="377"/>
      <c r="CG208" s="377"/>
      <c r="CH208" s="377"/>
      <c r="CI208" s="377"/>
      <c r="CJ208" s="377"/>
      <c r="CK208" s="377"/>
      <c r="CL208" s="377"/>
    </row>
    <row r="209" spans="1:90" ht="15">
      <c r="A209" s="377"/>
      <c r="B209" s="377"/>
      <c r="C209" s="1533" t="s">
        <v>843</v>
      </c>
      <c r="D209" s="1534"/>
      <c r="E209" s="1534"/>
      <c r="F209" s="582"/>
      <c r="G209" s="1533" t="s">
        <v>190</v>
      </c>
      <c r="H209" s="1534"/>
      <c r="I209" s="1534"/>
      <c r="J209" s="1534"/>
      <c r="K209" s="377"/>
      <c r="L209" s="377"/>
      <c r="M209" s="377"/>
      <c r="N209" s="377"/>
      <c r="O209" s="377"/>
      <c r="P209" s="377"/>
      <c r="Q209" s="377"/>
      <c r="R209" s="377"/>
      <c r="S209" s="377"/>
      <c r="T209" s="377"/>
      <c r="U209" s="377"/>
      <c r="V209" s="377"/>
      <c r="W209" s="377"/>
      <c r="X209" s="574"/>
      <c r="Y209" s="377"/>
      <c r="Z209" s="377"/>
      <c r="AA209" s="377"/>
      <c r="AB209" s="377"/>
      <c r="AC209" s="377"/>
      <c r="AD209" s="377"/>
      <c r="AE209" s="377"/>
      <c r="AF209" s="377"/>
      <c r="AG209" s="377"/>
      <c r="AH209" s="377"/>
      <c r="AI209" s="377"/>
      <c r="AJ209" s="377"/>
      <c r="AK209" s="377"/>
      <c r="AL209" s="574"/>
      <c r="AM209" s="377"/>
      <c r="AN209" s="377"/>
      <c r="AO209" s="377"/>
      <c r="AP209" s="377"/>
      <c r="AQ209" s="377"/>
      <c r="AR209" s="377"/>
      <c r="AS209" s="377"/>
      <c r="AT209" s="377"/>
      <c r="AU209" s="377"/>
      <c r="AV209" s="377"/>
      <c r="AW209" s="575"/>
      <c r="AX209" s="377"/>
      <c r="AY209" s="377"/>
      <c r="AZ209" s="377"/>
      <c r="BA209" s="376"/>
      <c r="BB209" s="377"/>
      <c r="BC209" s="377"/>
      <c r="BD209" s="377"/>
      <c r="BE209" s="377"/>
      <c r="BF209" s="377"/>
      <c r="BG209" s="377"/>
      <c r="BH209" s="376"/>
      <c r="BI209" s="377"/>
      <c r="BJ209" s="377"/>
      <c r="BK209" s="466"/>
      <c r="BL209" s="466"/>
      <c r="BP209" s="587"/>
      <c r="BQ209" s="466"/>
      <c r="BR209" s="377"/>
      <c r="BS209" s="590"/>
      <c r="BT209" s="466"/>
      <c r="BU209" s="466"/>
      <c r="BV209" s="377"/>
      <c r="BW209" s="377"/>
      <c r="BX209" s="377"/>
      <c r="BY209" s="377"/>
      <c r="BZ209" s="377"/>
      <c r="CA209" s="377"/>
      <c r="CB209" s="377"/>
      <c r="CC209" s="377"/>
      <c r="CD209" s="377"/>
      <c r="CE209" s="377"/>
      <c r="CF209" s="377"/>
      <c r="CG209" s="377"/>
      <c r="CH209" s="377"/>
      <c r="CI209" s="377"/>
      <c r="CJ209" s="377"/>
      <c r="CK209" s="377"/>
      <c r="CL209" s="377"/>
    </row>
    <row r="210" spans="1:90" ht="15">
      <c r="A210" s="377"/>
      <c r="B210" s="377"/>
      <c r="C210" s="716"/>
      <c r="D210" s="582"/>
      <c r="E210" s="355"/>
      <c r="F210" s="582"/>
      <c r="G210" s="716"/>
      <c r="H210" s="585"/>
      <c r="I210" s="716"/>
      <c r="J210" s="716"/>
      <c r="K210" s="377"/>
      <c r="L210" s="377"/>
      <c r="M210" s="377"/>
      <c r="N210" s="377"/>
      <c r="O210" s="377"/>
      <c r="P210" s="377"/>
      <c r="Q210" s="377"/>
      <c r="R210" s="377"/>
      <c r="S210" s="377"/>
      <c r="T210" s="377"/>
      <c r="U210" s="377"/>
      <c r="V210" s="377"/>
      <c r="W210" s="377"/>
      <c r="X210" s="574"/>
      <c r="Y210" s="377"/>
      <c r="Z210" s="377"/>
      <c r="AA210" s="377"/>
      <c r="AB210" s="377"/>
      <c r="AC210" s="377"/>
      <c r="AD210" s="377"/>
      <c r="AE210" s="377"/>
      <c r="AF210" s="377"/>
      <c r="AG210" s="377"/>
      <c r="AH210" s="377"/>
      <c r="AI210" s="377"/>
      <c r="AJ210" s="377"/>
      <c r="AK210" s="377"/>
      <c r="AL210" s="574"/>
      <c r="AM210" s="377"/>
      <c r="AN210" s="377"/>
      <c r="AO210" s="377"/>
      <c r="AP210" s="377"/>
      <c r="AQ210" s="377"/>
      <c r="AR210" s="377"/>
      <c r="AS210" s="377"/>
      <c r="AT210" s="377"/>
      <c r="AU210" s="377"/>
      <c r="AV210" s="377"/>
      <c r="AW210" s="575"/>
      <c r="AX210" s="377"/>
      <c r="AY210" s="377"/>
      <c r="AZ210" s="377"/>
      <c r="BA210" s="377"/>
      <c r="BB210" s="377"/>
      <c r="BC210" s="377"/>
      <c r="BD210" s="377"/>
      <c r="BE210" s="377"/>
      <c r="BF210" s="377"/>
      <c r="BG210" s="377"/>
      <c r="BH210" s="377"/>
      <c r="BI210" s="377"/>
      <c r="BJ210" s="377"/>
      <c r="BK210" s="466"/>
      <c r="BL210" s="466"/>
      <c r="BO210" s="577"/>
      <c r="BP210" s="587"/>
      <c r="BQ210" s="466"/>
      <c r="BR210" s="377"/>
      <c r="BS210" s="466"/>
      <c r="BT210" s="466"/>
      <c r="BU210" s="466"/>
      <c r="BV210" s="377"/>
      <c r="BW210" s="377"/>
      <c r="BX210" s="377"/>
      <c r="BY210" s="377"/>
      <c r="BZ210" s="377"/>
      <c r="CA210" s="377"/>
      <c r="CB210" s="377"/>
      <c r="CC210" s="377"/>
      <c r="CD210" s="377"/>
      <c r="CE210" s="377"/>
      <c r="CF210" s="377"/>
      <c r="CG210" s="377"/>
      <c r="CH210" s="377"/>
      <c r="CI210" s="377"/>
      <c r="CJ210" s="377"/>
      <c r="CK210" s="377"/>
      <c r="CL210" s="377"/>
    </row>
    <row r="211" spans="1:90" ht="15">
      <c r="A211" s="377"/>
      <c r="B211" s="377"/>
      <c r="C211" s="1533" t="s">
        <v>52</v>
      </c>
      <c r="D211" s="1534"/>
      <c r="E211" s="1534"/>
      <c r="F211" s="582"/>
      <c r="G211" s="1533" t="s">
        <v>281</v>
      </c>
      <c r="H211" s="1534"/>
      <c r="I211" s="1534"/>
      <c r="J211" s="1534"/>
      <c r="K211" s="377"/>
      <c r="L211" s="377"/>
      <c r="M211" s="377"/>
      <c r="N211" s="377"/>
      <c r="O211" s="377"/>
      <c r="P211" s="377"/>
      <c r="Q211" s="377"/>
      <c r="R211" s="377"/>
      <c r="S211" s="377"/>
      <c r="T211" s="377"/>
      <c r="U211" s="377"/>
      <c r="V211" s="377"/>
      <c r="W211" s="377"/>
      <c r="X211" s="574"/>
      <c r="Y211" s="377"/>
      <c r="Z211" s="377"/>
      <c r="AA211" s="377"/>
      <c r="AB211" s="377"/>
      <c r="AC211" s="377"/>
      <c r="AD211" s="377"/>
      <c r="AE211" s="377"/>
      <c r="AF211" s="377"/>
      <c r="AG211" s="377"/>
      <c r="AH211" s="377"/>
      <c r="AI211" s="377"/>
      <c r="AJ211" s="377"/>
      <c r="AK211" s="377"/>
      <c r="AL211" s="574"/>
      <c r="AM211" s="377"/>
      <c r="AN211" s="377"/>
      <c r="AO211" s="377"/>
      <c r="AP211" s="377"/>
      <c r="AQ211" s="377"/>
      <c r="AR211" s="377"/>
      <c r="AS211" s="377"/>
      <c r="AT211" s="377"/>
      <c r="AU211" s="377"/>
      <c r="AV211" s="377"/>
      <c r="AW211" s="575"/>
      <c r="AX211" s="377"/>
      <c r="AY211" s="377"/>
      <c r="AZ211" s="377"/>
      <c r="BA211" s="377"/>
      <c r="BB211" s="377"/>
      <c r="BC211" s="377"/>
      <c r="BD211" s="377"/>
      <c r="BE211" s="377"/>
      <c r="BF211" s="377"/>
      <c r="BG211" s="376"/>
      <c r="BH211" s="377"/>
      <c r="BI211" s="377"/>
      <c r="BJ211" s="377"/>
      <c r="BK211" s="466"/>
      <c r="BL211" s="466"/>
      <c r="BP211" s="466"/>
      <c r="BQ211" s="466"/>
      <c r="BR211" s="377"/>
      <c r="BS211" s="377"/>
      <c r="BT211" s="377"/>
      <c r="BU211" s="377"/>
      <c r="BV211" s="377"/>
      <c r="BW211" s="377"/>
      <c r="BX211" s="377"/>
      <c r="BY211" s="377"/>
      <c r="BZ211" s="377"/>
      <c r="CA211" s="377"/>
      <c r="CB211" s="377"/>
      <c r="CC211" s="377"/>
      <c r="CD211" s="377"/>
      <c r="CE211" s="377"/>
      <c r="CF211" s="377"/>
      <c r="CG211" s="377"/>
      <c r="CH211" s="377"/>
      <c r="CI211" s="377"/>
    </row>
    <row r="212" spans="1:90" ht="15">
      <c r="A212" s="377"/>
      <c r="B212" s="377"/>
      <c r="C212" s="584"/>
      <c r="D212" s="355"/>
      <c r="E212" s="355"/>
      <c r="F212" s="355"/>
      <c r="G212" s="355"/>
      <c r="H212" s="591"/>
      <c r="I212" s="355"/>
      <c r="J212" s="355"/>
      <c r="K212" s="377"/>
      <c r="L212" s="377"/>
      <c r="M212" s="377"/>
      <c r="N212" s="377"/>
      <c r="O212" s="377"/>
      <c r="P212" s="377"/>
      <c r="Q212" s="377"/>
      <c r="R212" s="377"/>
      <c r="S212" s="377"/>
      <c r="T212" s="377"/>
      <c r="U212" s="377"/>
      <c r="V212" s="377"/>
      <c r="W212" s="377"/>
      <c r="X212" s="574"/>
      <c r="Y212" s="377"/>
      <c r="Z212" s="377"/>
      <c r="AA212" s="377"/>
      <c r="AB212" s="377"/>
      <c r="AC212" s="377"/>
      <c r="AD212" s="377"/>
      <c r="AE212" s="377"/>
      <c r="AF212" s="377"/>
      <c r="AG212" s="377"/>
      <c r="AH212" s="377"/>
      <c r="AI212" s="377"/>
      <c r="AJ212" s="377"/>
      <c r="AK212" s="377"/>
      <c r="AL212" s="574"/>
      <c r="AM212" s="377"/>
      <c r="AN212" s="377"/>
      <c r="AO212" s="377"/>
      <c r="AP212" s="377"/>
      <c r="AQ212" s="377"/>
      <c r="AR212" s="377"/>
      <c r="AS212" s="377"/>
      <c r="AT212" s="377"/>
      <c r="AU212" s="377"/>
      <c r="AV212" s="377"/>
      <c r="AW212" s="575"/>
      <c r="AX212" s="377"/>
      <c r="AY212" s="377"/>
      <c r="AZ212" s="377"/>
      <c r="BA212" s="377"/>
      <c r="BB212" s="377"/>
      <c r="BC212" s="377"/>
      <c r="BD212" s="377"/>
      <c r="BE212" s="377"/>
      <c r="BF212" s="377"/>
      <c r="BG212" s="377"/>
      <c r="BH212" s="377"/>
      <c r="BI212" s="377"/>
      <c r="BJ212" s="377"/>
      <c r="BK212" s="466"/>
      <c r="BL212" s="466"/>
      <c r="BM212" s="590"/>
      <c r="BN212" s="592"/>
      <c r="BO212" s="587"/>
      <c r="BP212" s="466"/>
      <c r="BQ212" s="466"/>
      <c r="BR212" s="377"/>
      <c r="BS212" s="377"/>
      <c r="BT212" s="377"/>
      <c r="BU212" s="377"/>
      <c r="BV212" s="377"/>
      <c r="BW212" s="377"/>
      <c r="BX212" s="377"/>
      <c r="BY212" s="377"/>
      <c r="BZ212" s="377"/>
      <c r="CA212" s="377"/>
      <c r="CB212" s="377"/>
      <c r="CC212" s="377"/>
      <c r="CD212" s="377"/>
      <c r="CE212" s="377"/>
      <c r="CF212" s="377"/>
      <c r="CG212" s="377"/>
      <c r="CH212" s="377"/>
      <c r="CI212" s="377"/>
    </row>
    <row r="213" spans="1:90" ht="15">
      <c r="A213" s="377"/>
      <c r="B213" s="377"/>
      <c r="C213" s="572"/>
      <c r="D213" s="377"/>
      <c r="E213" s="377"/>
      <c r="F213" s="377"/>
      <c r="G213" s="377"/>
      <c r="H213" s="573"/>
      <c r="I213" s="377"/>
      <c r="J213" s="377"/>
      <c r="K213" s="377"/>
      <c r="L213" s="377"/>
      <c r="M213" s="377"/>
      <c r="N213" s="377"/>
      <c r="O213" s="377"/>
      <c r="P213" s="377"/>
      <c r="Q213" s="377"/>
      <c r="R213" s="377"/>
      <c r="S213" s="377"/>
      <c r="T213" s="377"/>
      <c r="U213" s="377"/>
      <c r="V213" s="377"/>
      <c r="W213" s="377"/>
      <c r="X213" s="574"/>
      <c r="Y213" s="377"/>
      <c r="Z213" s="377"/>
      <c r="AA213" s="377"/>
      <c r="AB213" s="377"/>
      <c r="AC213" s="377"/>
      <c r="AD213" s="377"/>
      <c r="AE213" s="377"/>
      <c r="AF213" s="377"/>
      <c r="AG213" s="377"/>
      <c r="AH213" s="377"/>
      <c r="AI213" s="377"/>
      <c r="AJ213" s="377"/>
      <c r="AK213" s="377"/>
      <c r="AL213" s="574"/>
      <c r="AM213" s="377"/>
      <c r="AN213" s="377"/>
      <c r="AO213" s="377"/>
      <c r="AP213" s="377"/>
      <c r="AQ213" s="377"/>
      <c r="AR213" s="377"/>
      <c r="AS213" s="377"/>
      <c r="AT213" s="377"/>
      <c r="AU213" s="377"/>
      <c r="AV213" s="377"/>
      <c r="AW213" s="575"/>
      <c r="AX213" s="377"/>
      <c r="AY213" s="377"/>
      <c r="AZ213" s="377"/>
      <c r="BA213" s="377"/>
      <c r="BB213" s="377"/>
      <c r="BC213" s="377"/>
      <c r="BD213" s="377"/>
      <c r="BE213" s="377"/>
      <c r="BF213" s="377"/>
      <c r="BG213" s="377"/>
      <c r="BH213" s="377"/>
      <c r="BI213" s="377"/>
      <c r="BJ213" s="377"/>
      <c r="BK213" s="466"/>
      <c r="BL213" s="466"/>
      <c r="BM213" s="466"/>
      <c r="BN213" s="592"/>
      <c r="BO213" s="466"/>
      <c r="BP213" s="466"/>
      <c r="BQ213" s="466"/>
      <c r="BR213" s="377"/>
      <c r="BS213" s="377"/>
      <c r="BT213" s="377"/>
      <c r="BU213" s="377"/>
      <c r="BV213" s="377"/>
      <c r="BW213" s="377"/>
      <c r="BX213" s="377"/>
      <c r="BY213" s="377"/>
      <c r="BZ213" s="377"/>
      <c r="CA213" s="377"/>
      <c r="CB213" s="377"/>
      <c r="CC213" s="377"/>
      <c r="CD213" s="377"/>
      <c r="CE213" s="377"/>
      <c r="CF213" s="377"/>
      <c r="CG213" s="377"/>
      <c r="CH213" s="377"/>
      <c r="CI213" s="377"/>
    </row>
    <row r="214" spans="1:90" ht="15">
      <c r="A214" s="377"/>
      <c r="B214" s="377"/>
      <c r="C214" s="572"/>
      <c r="D214" s="377"/>
      <c r="E214" s="377"/>
      <c r="F214" s="377"/>
      <c r="G214" s="377"/>
      <c r="H214" s="573"/>
      <c r="I214" s="377"/>
      <c r="J214" s="377"/>
      <c r="K214" s="377"/>
      <c r="L214" s="377"/>
      <c r="M214" s="377"/>
      <c r="N214" s="377"/>
      <c r="O214" s="377"/>
      <c r="P214" s="377"/>
      <c r="Q214" s="377"/>
      <c r="R214" s="377"/>
      <c r="S214" s="377"/>
      <c r="T214" s="377"/>
      <c r="U214" s="377"/>
      <c r="V214" s="377"/>
      <c r="W214" s="377"/>
      <c r="X214" s="574"/>
      <c r="Y214" s="377"/>
      <c r="Z214" s="377"/>
      <c r="AA214" s="377"/>
      <c r="AB214" s="377"/>
      <c r="AC214" s="377"/>
      <c r="AD214" s="377"/>
      <c r="AE214" s="377"/>
      <c r="AF214" s="377"/>
      <c r="AG214" s="377"/>
      <c r="AH214" s="377"/>
      <c r="AI214" s="377"/>
      <c r="AJ214" s="377"/>
      <c r="AK214" s="377"/>
      <c r="AL214" s="574"/>
      <c r="AM214" s="377"/>
      <c r="AN214" s="377"/>
      <c r="AO214" s="377"/>
      <c r="AP214" s="377"/>
      <c r="AQ214" s="377"/>
      <c r="AR214" s="377"/>
      <c r="AS214" s="377"/>
      <c r="AT214" s="377"/>
      <c r="AU214" s="377"/>
      <c r="AV214" s="377"/>
      <c r="AW214" s="575"/>
      <c r="AX214" s="377"/>
      <c r="AY214" s="377"/>
      <c r="AZ214" s="377"/>
      <c r="BA214" s="377"/>
      <c r="BB214" s="377"/>
      <c r="BC214" s="377"/>
      <c r="BD214" s="377"/>
      <c r="BE214" s="377"/>
      <c r="BF214" s="377"/>
      <c r="BG214" s="377"/>
      <c r="BH214" s="377"/>
      <c r="BI214" s="377"/>
      <c r="BJ214" s="377"/>
      <c r="BK214" s="466"/>
      <c r="BL214" s="466"/>
      <c r="BM214" s="466"/>
      <c r="BN214" s="592"/>
      <c r="BO214" s="466"/>
      <c r="BP214" s="466"/>
      <c r="BQ214" s="466"/>
      <c r="BR214" s="377"/>
      <c r="BS214" s="377"/>
      <c r="BT214" s="377"/>
      <c r="BU214" s="377"/>
      <c r="BV214" s="377"/>
      <c r="BW214" s="377"/>
      <c r="BX214" s="377"/>
      <c r="BY214" s="377"/>
      <c r="BZ214" s="377"/>
      <c r="CA214" s="377"/>
      <c r="CB214" s="377"/>
      <c r="CC214" s="377"/>
      <c r="CD214" s="377"/>
      <c r="CE214" s="377"/>
      <c r="CF214" s="377"/>
      <c r="CG214" s="377"/>
      <c r="CH214" s="377"/>
      <c r="CI214" s="377"/>
    </row>
    <row r="215" spans="1:90" ht="15">
      <c r="A215" s="377"/>
      <c r="B215" s="377"/>
      <c r="C215" s="572"/>
      <c r="D215" s="377"/>
      <c r="E215" s="377"/>
      <c r="F215" s="377"/>
      <c r="G215" s="377"/>
      <c r="H215" s="573"/>
      <c r="I215" s="377"/>
      <c r="J215" s="377"/>
      <c r="K215" s="377"/>
      <c r="L215" s="377"/>
      <c r="M215" s="377"/>
      <c r="N215" s="377"/>
      <c r="O215" s="377"/>
      <c r="P215" s="377"/>
      <c r="Q215" s="377"/>
      <c r="R215" s="377"/>
      <c r="S215" s="377"/>
      <c r="T215" s="377"/>
      <c r="U215" s="377"/>
      <c r="V215" s="377"/>
      <c r="W215" s="377"/>
      <c r="X215" s="574"/>
      <c r="Y215" s="377"/>
      <c r="Z215" s="377"/>
      <c r="AA215" s="377"/>
      <c r="AB215" s="377"/>
      <c r="AC215" s="377"/>
      <c r="AD215" s="377"/>
      <c r="AE215" s="377"/>
      <c r="AF215" s="377"/>
      <c r="AG215" s="377"/>
      <c r="AH215" s="377"/>
      <c r="AI215" s="377"/>
      <c r="AJ215" s="377"/>
      <c r="AK215" s="377"/>
      <c r="AL215" s="574"/>
      <c r="AM215" s="377"/>
      <c r="AN215" s="377"/>
      <c r="AO215" s="377"/>
      <c r="AP215" s="377"/>
      <c r="AQ215" s="377"/>
      <c r="AR215" s="377"/>
      <c r="AS215" s="377"/>
      <c r="AT215" s="377"/>
      <c r="AU215" s="377"/>
      <c r="AV215" s="377"/>
      <c r="AW215" s="575"/>
      <c r="AX215" s="377"/>
      <c r="AY215" s="377"/>
      <c r="AZ215" s="377"/>
      <c r="BA215" s="377"/>
      <c r="BB215" s="377"/>
      <c r="BC215" s="377"/>
      <c r="BD215" s="377"/>
      <c r="BE215" s="377"/>
      <c r="BF215" s="377"/>
      <c r="BG215" s="377"/>
      <c r="BH215" s="377"/>
      <c r="BI215" s="377"/>
      <c r="BJ215" s="377"/>
      <c r="BK215" s="466"/>
      <c r="BL215" s="466"/>
      <c r="BM215" s="466"/>
      <c r="BN215" s="592"/>
      <c r="BO215" s="466"/>
      <c r="BP215" s="466"/>
      <c r="BQ215" s="466"/>
      <c r="BR215" s="377"/>
      <c r="BS215" s="377"/>
      <c r="BT215" s="377"/>
      <c r="BU215" s="377"/>
      <c r="BV215" s="377"/>
      <c r="BW215" s="377"/>
      <c r="BX215" s="377"/>
      <c r="BY215" s="377"/>
      <c r="BZ215" s="377"/>
      <c r="CA215" s="377"/>
      <c r="CB215" s="377"/>
      <c r="CC215" s="377"/>
      <c r="CD215" s="377"/>
      <c r="CE215" s="377"/>
      <c r="CF215" s="377"/>
      <c r="CG215" s="377"/>
      <c r="CH215" s="377"/>
      <c r="CI215" s="377"/>
    </row>
    <row r="216" spans="1:90" ht="15">
      <c r="A216" s="377"/>
      <c r="B216" s="377"/>
      <c r="C216" s="572"/>
      <c r="D216" s="377"/>
      <c r="E216" s="377"/>
      <c r="F216" s="377"/>
      <c r="G216" s="377"/>
      <c r="H216" s="573"/>
      <c r="I216" s="377"/>
      <c r="J216" s="377"/>
      <c r="K216" s="377"/>
      <c r="L216" s="377"/>
      <c r="M216" s="377"/>
      <c r="N216" s="377"/>
      <c r="O216" s="377"/>
      <c r="P216" s="377"/>
      <c r="Q216" s="377"/>
      <c r="R216" s="377"/>
      <c r="S216" s="377"/>
      <c r="T216" s="377"/>
      <c r="U216" s="377"/>
      <c r="V216" s="377"/>
      <c r="W216" s="377"/>
      <c r="X216" s="574"/>
      <c r="Y216" s="377"/>
      <c r="Z216" s="377"/>
      <c r="AA216" s="377"/>
      <c r="AB216" s="377"/>
      <c r="AC216" s="377"/>
      <c r="AD216" s="377"/>
      <c r="AE216" s="377"/>
      <c r="AF216" s="377"/>
      <c r="AG216" s="377"/>
      <c r="AH216" s="377"/>
      <c r="AI216" s="377"/>
      <c r="AJ216" s="377"/>
      <c r="AK216" s="377"/>
      <c r="AL216" s="574"/>
      <c r="AM216" s="377"/>
      <c r="AN216" s="377"/>
      <c r="AO216" s="377"/>
      <c r="AP216" s="377"/>
      <c r="AQ216" s="377"/>
      <c r="AR216" s="377"/>
      <c r="AS216" s="377"/>
      <c r="AT216" s="377"/>
      <c r="AU216" s="377"/>
      <c r="AV216" s="377"/>
      <c r="AW216" s="575"/>
      <c r="AX216" s="377"/>
      <c r="AY216" s="377"/>
      <c r="AZ216" s="377"/>
      <c r="BA216" s="377"/>
      <c r="BB216" s="377"/>
      <c r="BC216" s="377"/>
      <c r="BD216" s="377"/>
      <c r="BE216" s="377"/>
      <c r="BF216" s="377"/>
      <c r="BG216" s="377"/>
      <c r="BH216" s="377"/>
      <c r="BI216" s="377"/>
      <c r="BJ216" s="377"/>
      <c r="BK216" s="466"/>
      <c r="BL216" s="466"/>
      <c r="BM216" s="587"/>
      <c r="BN216" s="592"/>
      <c r="BO216" s="466"/>
      <c r="BP216" s="466"/>
      <c r="BQ216" s="466"/>
      <c r="BR216" s="377"/>
      <c r="BS216" s="377"/>
      <c r="BT216" s="377"/>
      <c r="BU216" s="377"/>
      <c r="BV216" s="377"/>
      <c r="BW216" s="377"/>
      <c r="BX216" s="377"/>
      <c r="BY216" s="377"/>
      <c r="BZ216" s="377"/>
      <c r="CA216" s="377"/>
      <c r="CB216" s="377"/>
      <c r="CC216" s="377"/>
      <c r="CD216" s="377"/>
      <c r="CE216" s="377"/>
      <c r="CF216" s="377"/>
      <c r="CG216" s="377"/>
      <c r="CH216" s="377"/>
      <c r="CI216" s="377"/>
    </row>
    <row r="217" spans="1:90" ht="15">
      <c r="A217" s="377"/>
      <c r="B217" s="377"/>
      <c r="C217" s="572"/>
      <c r="D217" s="377"/>
      <c r="E217" s="377"/>
      <c r="F217" s="377"/>
      <c r="G217" s="377"/>
      <c r="H217" s="573"/>
      <c r="I217" s="377"/>
      <c r="J217" s="377"/>
      <c r="K217" s="377"/>
      <c r="L217" s="377"/>
      <c r="M217" s="377"/>
      <c r="N217" s="377"/>
      <c r="O217" s="377"/>
      <c r="P217" s="377"/>
      <c r="Q217" s="377"/>
      <c r="R217" s="377"/>
      <c r="S217" s="377"/>
      <c r="T217" s="377"/>
      <c r="U217" s="377"/>
      <c r="V217" s="377"/>
      <c r="W217" s="377"/>
      <c r="X217" s="574"/>
      <c r="Y217" s="377"/>
      <c r="Z217" s="377"/>
      <c r="AA217" s="377"/>
      <c r="AB217" s="377"/>
      <c r="AC217" s="377"/>
      <c r="AD217" s="377"/>
      <c r="AE217" s="377"/>
      <c r="AF217" s="377"/>
      <c r="AG217" s="377"/>
      <c r="AH217" s="377"/>
      <c r="AI217" s="377"/>
      <c r="AJ217" s="377"/>
      <c r="AK217" s="377"/>
      <c r="AL217" s="574"/>
      <c r="AM217" s="377"/>
      <c r="AN217" s="377"/>
      <c r="AO217" s="377"/>
      <c r="AP217" s="377"/>
      <c r="AQ217" s="377"/>
      <c r="AR217" s="377"/>
      <c r="AS217" s="377"/>
      <c r="AT217" s="377"/>
      <c r="AU217" s="377"/>
      <c r="AV217" s="377"/>
      <c r="AW217" s="575"/>
      <c r="AX217" s="377"/>
      <c r="AY217" s="377"/>
      <c r="AZ217" s="377"/>
      <c r="BA217" s="377"/>
      <c r="BB217" s="377"/>
      <c r="BC217" s="377"/>
      <c r="BD217" s="377"/>
      <c r="BE217" s="377"/>
      <c r="BF217" s="377"/>
      <c r="BG217" s="377"/>
      <c r="BH217" s="377"/>
      <c r="BI217" s="377"/>
      <c r="BJ217" s="377"/>
      <c r="BK217" s="466"/>
      <c r="BL217" s="466"/>
      <c r="BM217" s="466"/>
      <c r="BN217" s="592"/>
      <c r="BO217" s="587"/>
      <c r="BP217" s="466"/>
      <c r="BQ217" s="466"/>
      <c r="BR217" s="377"/>
      <c r="BS217" s="377"/>
      <c r="BT217" s="377"/>
      <c r="BU217" s="377"/>
      <c r="BV217" s="377"/>
      <c r="BW217" s="377"/>
      <c r="BX217" s="377"/>
      <c r="BY217" s="377"/>
      <c r="BZ217" s="377"/>
      <c r="CA217" s="377"/>
      <c r="CB217" s="377"/>
      <c r="CC217" s="377"/>
      <c r="CD217" s="377"/>
      <c r="CE217" s="377"/>
      <c r="CF217" s="377"/>
      <c r="CG217" s="377"/>
      <c r="CH217" s="377"/>
      <c r="CI217" s="377"/>
    </row>
    <row r="218" spans="1:90" ht="15">
      <c r="A218" s="377"/>
      <c r="B218" s="377"/>
      <c r="C218" s="572"/>
      <c r="D218" s="377"/>
      <c r="E218" s="377"/>
      <c r="F218" s="377"/>
      <c r="G218" s="377"/>
      <c r="H218" s="573"/>
      <c r="I218" s="377"/>
      <c r="J218" s="377"/>
      <c r="K218" s="377"/>
      <c r="L218" s="377"/>
      <c r="M218" s="377"/>
      <c r="N218" s="377"/>
      <c r="O218" s="377"/>
      <c r="P218" s="377"/>
      <c r="Q218" s="377"/>
      <c r="R218" s="377"/>
      <c r="S218" s="377"/>
      <c r="T218" s="377"/>
      <c r="U218" s="377"/>
      <c r="V218" s="377"/>
      <c r="W218" s="377"/>
      <c r="X218" s="574"/>
      <c r="Y218" s="377"/>
      <c r="Z218" s="377"/>
      <c r="AA218" s="377"/>
      <c r="AB218" s="377"/>
      <c r="AC218" s="377"/>
      <c r="AD218" s="377"/>
      <c r="AE218" s="377"/>
      <c r="AF218" s="377"/>
      <c r="AG218" s="377"/>
      <c r="AH218" s="377"/>
      <c r="AI218" s="377"/>
      <c r="AJ218" s="377"/>
      <c r="AK218" s="377"/>
      <c r="AL218" s="574"/>
      <c r="AM218" s="377"/>
      <c r="AN218" s="377"/>
      <c r="AO218" s="377"/>
      <c r="AP218" s="377"/>
      <c r="AQ218" s="377"/>
      <c r="AR218" s="377"/>
      <c r="AS218" s="377"/>
      <c r="AT218" s="377"/>
      <c r="AU218" s="377"/>
      <c r="AV218" s="377"/>
      <c r="AW218" s="575"/>
      <c r="AX218" s="377"/>
      <c r="AY218" s="377"/>
      <c r="AZ218" s="377"/>
      <c r="BA218" s="377"/>
      <c r="BB218" s="377"/>
      <c r="BC218" s="377"/>
      <c r="BD218" s="377"/>
      <c r="BE218" s="377"/>
      <c r="BF218" s="377"/>
      <c r="BG218" s="377"/>
      <c r="BH218" s="377"/>
      <c r="BI218" s="377"/>
      <c r="BJ218" s="377"/>
      <c r="BK218" s="466"/>
      <c r="BL218" s="466"/>
      <c r="BM218" s="587"/>
      <c r="BN218" s="592"/>
      <c r="BO218" s="587"/>
      <c r="BP218" s="466"/>
      <c r="BQ218" s="466"/>
      <c r="BR218" s="377"/>
      <c r="BS218" s="377"/>
      <c r="BT218" s="377"/>
      <c r="BU218" s="377"/>
      <c r="BV218" s="377"/>
      <c r="BW218" s="377"/>
      <c r="BX218" s="377"/>
      <c r="BY218" s="377"/>
      <c r="BZ218" s="377"/>
      <c r="CA218" s="377"/>
      <c r="CB218" s="377"/>
      <c r="CC218" s="377"/>
      <c r="CD218" s="377"/>
      <c r="CE218" s="377"/>
      <c r="CF218" s="377"/>
      <c r="CG218" s="377"/>
      <c r="CH218" s="377"/>
      <c r="CI218" s="377"/>
    </row>
    <row r="219" spans="1:90" ht="15">
      <c r="A219" s="377"/>
      <c r="B219" s="377"/>
      <c r="C219" s="572"/>
      <c r="D219" s="377"/>
      <c r="E219" s="377"/>
      <c r="F219" s="377"/>
      <c r="G219" s="377"/>
      <c r="H219" s="573"/>
      <c r="I219" s="377"/>
      <c r="J219" s="377"/>
      <c r="K219" s="377"/>
      <c r="L219" s="377"/>
      <c r="M219" s="377"/>
      <c r="N219" s="377"/>
      <c r="O219" s="377"/>
      <c r="P219" s="377"/>
      <c r="Q219" s="377"/>
      <c r="R219" s="377"/>
      <c r="S219" s="377"/>
      <c r="T219" s="377"/>
      <c r="U219" s="377"/>
      <c r="V219" s="377"/>
      <c r="W219" s="377"/>
      <c r="X219" s="574"/>
      <c r="Y219" s="377"/>
      <c r="Z219" s="377"/>
      <c r="AA219" s="377"/>
      <c r="AB219" s="377"/>
      <c r="AC219" s="377"/>
      <c r="AD219" s="377"/>
      <c r="AE219" s="377"/>
      <c r="AF219" s="377"/>
      <c r="AG219" s="377"/>
      <c r="AH219" s="377"/>
      <c r="AI219" s="377"/>
      <c r="AJ219" s="377"/>
      <c r="AK219" s="377"/>
      <c r="AL219" s="574"/>
      <c r="AM219" s="377"/>
      <c r="AN219" s="377"/>
      <c r="AO219" s="377"/>
      <c r="AP219" s="377"/>
      <c r="AQ219" s="377"/>
      <c r="AR219" s="377"/>
      <c r="AS219" s="377"/>
      <c r="AT219" s="377"/>
      <c r="AU219" s="377"/>
      <c r="AV219" s="377"/>
      <c r="AW219" s="575"/>
      <c r="AX219" s="377"/>
      <c r="AY219" s="377"/>
      <c r="AZ219" s="377"/>
      <c r="BA219" s="377"/>
      <c r="BB219" s="377"/>
      <c r="BC219" s="377"/>
      <c r="BD219" s="377"/>
      <c r="BE219" s="377"/>
      <c r="BF219" s="377"/>
      <c r="BG219" s="377"/>
      <c r="BH219" s="377"/>
      <c r="BI219" s="377"/>
      <c r="BJ219" s="377"/>
      <c r="BK219" s="466"/>
      <c r="BL219" s="466"/>
      <c r="BM219" s="587"/>
      <c r="BN219" s="592"/>
      <c r="BO219" s="587"/>
      <c r="BP219" s="466"/>
      <c r="BQ219" s="466"/>
      <c r="BR219" s="377"/>
      <c r="BS219" s="377"/>
      <c r="BT219" s="377"/>
      <c r="BU219" s="377"/>
      <c r="BV219" s="377"/>
      <c r="BW219" s="377"/>
      <c r="BX219" s="377"/>
      <c r="BY219" s="377"/>
      <c r="BZ219" s="377"/>
      <c r="CA219" s="377"/>
      <c r="CB219" s="377"/>
      <c r="CC219" s="377"/>
      <c r="CD219" s="377"/>
      <c r="CE219" s="377"/>
      <c r="CF219" s="377"/>
      <c r="CG219" s="377"/>
      <c r="CH219" s="377"/>
      <c r="CI219" s="377"/>
    </row>
    <row r="220" spans="1:90" ht="15">
      <c r="A220" s="377"/>
      <c r="B220" s="377"/>
      <c r="C220" s="572"/>
      <c r="D220" s="377"/>
      <c r="E220" s="377"/>
      <c r="F220" s="377"/>
      <c r="G220" s="377"/>
      <c r="H220" s="573"/>
      <c r="I220" s="377"/>
      <c r="J220" s="377"/>
      <c r="K220" s="377"/>
      <c r="L220" s="377"/>
      <c r="M220" s="377"/>
      <c r="N220" s="377"/>
      <c r="O220" s="377"/>
      <c r="P220" s="377"/>
      <c r="Q220" s="377"/>
      <c r="R220" s="377"/>
      <c r="S220" s="377"/>
      <c r="T220" s="377"/>
      <c r="U220" s="377"/>
      <c r="V220" s="377"/>
      <c r="W220" s="377"/>
      <c r="X220" s="574"/>
      <c r="Y220" s="377"/>
      <c r="Z220" s="377"/>
      <c r="AA220" s="377"/>
      <c r="AB220" s="377"/>
      <c r="AC220" s="377"/>
      <c r="AD220" s="377"/>
      <c r="AE220" s="377"/>
      <c r="AF220" s="377"/>
      <c r="AG220" s="377"/>
      <c r="AH220" s="377"/>
      <c r="AI220" s="377"/>
      <c r="AJ220" s="377"/>
      <c r="AK220" s="377"/>
      <c r="AL220" s="574"/>
      <c r="AM220" s="377"/>
      <c r="AN220" s="377"/>
      <c r="AO220" s="377"/>
      <c r="AP220" s="377"/>
      <c r="AQ220" s="377"/>
      <c r="AR220" s="377"/>
      <c r="AS220" s="377"/>
      <c r="AT220" s="377"/>
      <c r="AU220" s="377"/>
      <c r="AV220" s="377"/>
      <c r="AW220" s="575"/>
      <c r="AX220" s="377"/>
      <c r="AY220" s="377"/>
      <c r="AZ220" s="377"/>
      <c r="BA220" s="377"/>
      <c r="BB220" s="377"/>
      <c r="BC220" s="377"/>
      <c r="BD220" s="377"/>
      <c r="BE220" s="377"/>
      <c r="BF220" s="377"/>
      <c r="BG220" s="377"/>
      <c r="BH220" s="377"/>
      <c r="BI220" s="377"/>
      <c r="BJ220" s="377"/>
      <c r="BK220" s="466"/>
      <c r="BL220" s="466"/>
      <c r="BM220" s="593"/>
      <c r="BN220" s="592"/>
      <c r="BO220" s="587"/>
      <c r="BP220" s="466"/>
      <c r="BQ220" s="466"/>
      <c r="BR220" s="377"/>
      <c r="BS220" s="377"/>
      <c r="BT220" s="377"/>
      <c r="BU220" s="377"/>
      <c r="BV220" s="377"/>
      <c r="BW220" s="377"/>
      <c r="BX220" s="377"/>
      <c r="BY220" s="377"/>
      <c r="BZ220" s="377"/>
      <c r="CA220" s="377"/>
      <c r="CB220" s="377"/>
      <c r="CC220" s="377"/>
      <c r="CD220" s="377"/>
      <c r="CE220" s="377"/>
      <c r="CF220" s="377"/>
      <c r="CG220" s="377"/>
      <c r="CH220" s="377"/>
      <c r="CI220" s="377"/>
    </row>
    <row r="221" spans="1:90" ht="15">
      <c r="A221" s="377"/>
      <c r="B221" s="377"/>
      <c r="C221" s="572"/>
      <c r="D221" s="377"/>
      <c r="E221" s="377"/>
      <c r="F221" s="377"/>
      <c r="G221" s="377"/>
      <c r="H221" s="573"/>
      <c r="I221" s="377"/>
      <c r="J221" s="377"/>
      <c r="K221" s="377"/>
      <c r="L221" s="377"/>
      <c r="M221" s="377"/>
      <c r="N221" s="377"/>
      <c r="O221" s="377"/>
      <c r="P221" s="377"/>
      <c r="Q221" s="377"/>
      <c r="R221" s="377"/>
      <c r="S221" s="377"/>
      <c r="T221" s="377"/>
      <c r="U221" s="377"/>
      <c r="V221" s="377"/>
      <c r="W221" s="377"/>
      <c r="X221" s="574"/>
      <c r="Y221" s="377"/>
      <c r="Z221" s="377"/>
      <c r="AA221" s="377"/>
      <c r="AB221" s="377"/>
      <c r="AC221" s="377"/>
      <c r="AD221" s="377"/>
      <c r="AE221" s="377"/>
      <c r="AF221" s="377"/>
      <c r="AG221" s="377"/>
      <c r="AH221" s="377"/>
      <c r="AI221" s="377"/>
      <c r="AJ221" s="377"/>
      <c r="AK221" s="377"/>
      <c r="AL221" s="574"/>
      <c r="AM221" s="377"/>
      <c r="AN221" s="377"/>
      <c r="AO221" s="377"/>
      <c r="AP221" s="377"/>
      <c r="AQ221" s="377"/>
      <c r="AR221" s="377"/>
      <c r="AS221" s="377"/>
      <c r="AT221" s="377"/>
      <c r="AU221" s="377"/>
      <c r="AV221" s="377"/>
      <c r="AW221" s="575"/>
      <c r="AX221" s="377"/>
      <c r="AY221" s="377"/>
      <c r="AZ221" s="377"/>
      <c r="BA221" s="377"/>
      <c r="BB221" s="377"/>
      <c r="BC221" s="377"/>
      <c r="BD221" s="377"/>
      <c r="BE221" s="377"/>
      <c r="BF221" s="377"/>
      <c r="BG221" s="377"/>
      <c r="BH221" s="377"/>
      <c r="BI221" s="377"/>
      <c r="BJ221" s="377"/>
      <c r="BK221" s="466"/>
      <c r="BL221" s="466"/>
      <c r="BM221" s="583"/>
      <c r="BN221" s="592"/>
      <c r="BO221" s="587"/>
      <c r="BP221" s="466"/>
      <c r="BQ221" s="466"/>
      <c r="BR221" s="377"/>
      <c r="BS221" s="377"/>
      <c r="BT221" s="377"/>
      <c r="BU221" s="377"/>
      <c r="BV221" s="377"/>
      <c r="BW221" s="377"/>
      <c r="BX221" s="377"/>
      <c r="BY221" s="377"/>
      <c r="BZ221" s="377"/>
      <c r="CA221" s="377"/>
      <c r="CB221" s="377"/>
      <c r="CC221" s="377"/>
      <c r="CD221" s="377"/>
      <c r="CE221" s="377"/>
      <c r="CF221" s="377"/>
      <c r="CG221" s="377"/>
      <c r="CH221" s="377"/>
      <c r="CI221" s="377"/>
    </row>
    <row r="222" spans="1:90" ht="15">
      <c r="A222" s="377"/>
      <c r="B222" s="377"/>
      <c r="C222" s="572"/>
      <c r="D222" s="377"/>
      <c r="E222" s="377"/>
      <c r="F222" s="377"/>
      <c r="G222" s="377"/>
      <c r="H222" s="573"/>
      <c r="I222" s="377"/>
      <c r="J222" s="377"/>
      <c r="K222" s="377"/>
      <c r="L222" s="377"/>
      <c r="M222" s="377"/>
      <c r="N222" s="377"/>
      <c r="O222" s="377"/>
      <c r="P222" s="377"/>
      <c r="Q222" s="377"/>
      <c r="R222" s="377"/>
      <c r="S222" s="377"/>
      <c r="T222" s="377"/>
      <c r="U222" s="377"/>
      <c r="V222" s="377"/>
      <c r="W222" s="377"/>
      <c r="X222" s="574"/>
      <c r="Y222" s="377"/>
      <c r="Z222" s="377"/>
      <c r="AA222" s="377"/>
      <c r="AB222" s="377"/>
      <c r="AC222" s="377"/>
      <c r="AD222" s="377"/>
      <c r="AE222" s="377"/>
      <c r="AF222" s="377"/>
      <c r="AG222" s="377"/>
      <c r="AH222" s="377"/>
      <c r="AI222" s="377"/>
      <c r="AJ222" s="377"/>
      <c r="AK222" s="377"/>
      <c r="AL222" s="574"/>
      <c r="AM222" s="377"/>
      <c r="AN222" s="377"/>
      <c r="AO222" s="377"/>
      <c r="AP222" s="377"/>
      <c r="AQ222" s="377"/>
      <c r="AR222" s="377"/>
      <c r="AS222" s="377"/>
      <c r="AT222" s="377"/>
      <c r="AU222" s="377"/>
      <c r="AV222" s="377"/>
      <c r="AW222" s="575"/>
      <c r="AX222" s="377"/>
      <c r="AY222" s="377"/>
      <c r="AZ222" s="377"/>
      <c r="BA222" s="377"/>
      <c r="BB222" s="377"/>
      <c r="BC222" s="377"/>
      <c r="BD222" s="377"/>
      <c r="BE222" s="377"/>
      <c r="BF222" s="377"/>
      <c r="BG222" s="377"/>
      <c r="BH222" s="377"/>
      <c r="BI222" s="377"/>
      <c r="BJ222" s="377"/>
      <c r="BK222" s="466"/>
      <c r="BL222" s="466"/>
      <c r="BM222" s="583"/>
      <c r="BN222" s="592"/>
      <c r="BO222" s="587"/>
      <c r="BP222" s="466"/>
      <c r="BQ222" s="466"/>
      <c r="BR222" s="377"/>
      <c r="BS222" s="377"/>
      <c r="BT222" s="377"/>
      <c r="BU222" s="377"/>
      <c r="BV222" s="377"/>
      <c r="BW222" s="377"/>
      <c r="BX222" s="377"/>
      <c r="BY222" s="377"/>
      <c r="BZ222" s="377"/>
      <c r="CA222" s="377"/>
      <c r="CB222" s="377"/>
      <c r="CC222" s="377"/>
      <c r="CD222" s="377"/>
      <c r="CE222" s="377"/>
      <c r="CF222" s="377"/>
      <c r="CG222" s="377"/>
      <c r="CH222" s="377"/>
      <c r="CI222" s="377"/>
    </row>
    <row r="223" spans="1:90" ht="15">
      <c r="A223" s="377"/>
      <c r="B223" s="377"/>
      <c r="C223" s="572"/>
      <c r="D223" s="377"/>
      <c r="E223" s="377"/>
      <c r="F223" s="377"/>
      <c r="G223" s="377"/>
      <c r="H223" s="573"/>
      <c r="I223" s="377"/>
      <c r="J223" s="377"/>
      <c r="K223" s="377"/>
      <c r="L223" s="377"/>
      <c r="M223" s="377"/>
      <c r="N223" s="377"/>
      <c r="O223" s="377"/>
      <c r="P223" s="377"/>
      <c r="Q223" s="377"/>
      <c r="R223" s="377"/>
      <c r="S223" s="377"/>
      <c r="T223" s="377"/>
      <c r="U223" s="377"/>
      <c r="V223" s="377"/>
      <c r="W223" s="377"/>
      <c r="X223" s="574"/>
      <c r="Y223" s="377"/>
      <c r="Z223" s="377"/>
      <c r="AA223" s="377"/>
      <c r="AB223" s="377"/>
      <c r="AC223" s="377"/>
      <c r="AD223" s="377"/>
      <c r="AE223" s="377"/>
      <c r="AF223" s="377"/>
      <c r="AG223" s="377"/>
      <c r="AH223" s="377"/>
      <c r="AI223" s="377"/>
      <c r="AJ223" s="377"/>
      <c r="AK223" s="377"/>
      <c r="AL223" s="574"/>
      <c r="AM223" s="377"/>
      <c r="AN223" s="377"/>
      <c r="AO223" s="377"/>
      <c r="AP223" s="377"/>
      <c r="AQ223" s="377"/>
      <c r="AR223" s="377"/>
      <c r="AS223" s="377"/>
      <c r="AT223" s="377"/>
      <c r="AU223" s="377"/>
      <c r="AV223" s="377"/>
      <c r="AW223" s="575"/>
      <c r="AX223" s="377"/>
      <c r="AY223" s="377"/>
      <c r="AZ223" s="377"/>
      <c r="BA223" s="377"/>
      <c r="BB223" s="377"/>
      <c r="BC223" s="377"/>
      <c r="BD223" s="377"/>
      <c r="BE223" s="377"/>
      <c r="BF223" s="377"/>
      <c r="BG223" s="377"/>
      <c r="BH223" s="377"/>
      <c r="BI223" s="377"/>
      <c r="BJ223" s="377"/>
      <c r="BK223" s="377"/>
      <c r="BL223" s="377"/>
      <c r="BM223" s="376"/>
      <c r="BN223" s="576"/>
      <c r="BO223" s="376"/>
      <c r="BP223" s="377"/>
      <c r="BQ223" s="377"/>
      <c r="BR223" s="377"/>
      <c r="BS223" s="377"/>
      <c r="BT223" s="377"/>
      <c r="BU223" s="377"/>
      <c r="BV223" s="377"/>
      <c r="BW223" s="377"/>
      <c r="BX223" s="377"/>
      <c r="BY223" s="377"/>
      <c r="BZ223" s="377"/>
      <c r="CA223" s="377"/>
      <c r="CB223" s="377"/>
      <c r="CC223" s="377"/>
      <c r="CD223" s="377"/>
      <c r="CE223" s="377"/>
      <c r="CF223" s="377"/>
      <c r="CG223" s="377"/>
      <c r="CH223" s="377"/>
      <c r="CI223" s="377"/>
    </row>
    <row r="224" spans="1:90" ht="15">
      <c r="A224" s="377"/>
      <c r="B224" s="377"/>
      <c r="C224" s="572"/>
      <c r="D224" s="377"/>
      <c r="E224" s="377"/>
      <c r="F224" s="377"/>
      <c r="G224" s="377"/>
      <c r="H224" s="573"/>
      <c r="I224" s="377"/>
      <c r="J224" s="377"/>
      <c r="K224" s="377"/>
      <c r="L224" s="377"/>
      <c r="M224" s="377"/>
      <c r="N224" s="377"/>
      <c r="O224" s="377"/>
      <c r="P224" s="377"/>
      <c r="Q224" s="377"/>
      <c r="R224" s="377"/>
      <c r="S224" s="377"/>
      <c r="T224" s="377"/>
      <c r="U224" s="377"/>
      <c r="V224" s="377"/>
      <c r="W224" s="377"/>
      <c r="X224" s="574"/>
      <c r="Y224" s="377"/>
      <c r="Z224" s="377"/>
      <c r="AA224" s="377"/>
      <c r="AB224" s="377"/>
      <c r="AC224" s="377"/>
      <c r="AD224" s="377"/>
      <c r="AE224" s="377"/>
      <c r="AF224" s="377"/>
      <c r="AG224" s="377"/>
      <c r="AH224" s="377"/>
      <c r="AI224" s="377"/>
      <c r="AJ224" s="377"/>
      <c r="AK224" s="377"/>
      <c r="AL224" s="574"/>
      <c r="AM224" s="377"/>
      <c r="AN224" s="377"/>
      <c r="AO224" s="377"/>
      <c r="AP224" s="377"/>
      <c r="AQ224" s="377"/>
      <c r="AR224" s="377"/>
      <c r="AS224" s="377"/>
      <c r="AT224" s="377"/>
      <c r="AU224" s="377"/>
      <c r="AV224" s="377"/>
      <c r="AW224" s="575"/>
      <c r="AX224" s="377"/>
      <c r="AY224" s="377"/>
      <c r="AZ224" s="377"/>
      <c r="BA224" s="377"/>
      <c r="BB224" s="377"/>
      <c r="BC224" s="377"/>
      <c r="BD224" s="377"/>
      <c r="BE224" s="377"/>
      <c r="BF224" s="377"/>
      <c r="BG224" s="377"/>
      <c r="BH224" s="377"/>
      <c r="BI224" s="377"/>
      <c r="BJ224" s="377"/>
      <c r="BK224" s="377"/>
      <c r="BL224" s="377"/>
      <c r="BM224" s="377"/>
      <c r="BN224" s="576"/>
      <c r="BO224" s="377"/>
      <c r="BP224" s="377"/>
      <c r="BQ224" s="377"/>
      <c r="BR224" s="377"/>
      <c r="BS224" s="377"/>
      <c r="BT224" s="377"/>
      <c r="BU224" s="377"/>
      <c r="BV224" s="377"/>
      <c r="BW224" s="377"/>
      <c r="BX224" s="377"/>
      <c r="BY224" s="377"/>
      <c r="BZ224" s="377"/>
      <c r="CA224" s="377"/>
      <c r="CB224" s="377"/>
      <c r="CC224" s="377"/>
      <c r="CD224" s="377"/>
      <c r="CE224" s="377"/>
      <c r="CF224" s="377"/>
      <c r="CG224" s="377"/>
      <c r="CH224" s="377"/>
      <c r="CI224" s="377"/>
    </row>
    <row r="225" spans="1:87" ht="15">
      <c r="A225" s="377"/>
      <c r="B225" s="377"/>
      <c r="C225" s="572"/>
      <c r="D225" s="377"/>
      <c r="E225" s="377"/>
      <c r="F225" s="377"/>
      <c r="G225" s="377"/>
      <c r="H225" s="573"/>
      <c r="I225" s="377"/>
      <c r="J225" s="377"/>
      <c r="K225" s="377"/>
      <c r="L225" s="377"/>
      <c r="M225" s="377"/>
      <c r="N225" s="377"/>
      <c r="O225" s="377"/>
      <c r="P225" s="377"/>
      <c r="Q225" s="377"/>
      <c r="R225" s="377"/>
      <c r="S225" s="377"/>
      <c r="T225" s="377"/>
      <c r="U225" s="377"/>
      <c r="V225" s="377"/>
      <c r="W225" s="377"/>
      <c r="X225" s="574"/>
      <c r="Y225" s="377"/>
      <c r="Z225" s="377"/>
      <c r="AA225" s="377"/>
      <c r="AB225" s="377"/>
      <c r="AC225" s="377"/>
      <c r="AD225" s="377"/>
      <c r="AE225" s="377"/>
      <c r="AF225" s="377"/>
      <c r="AG225" s="377"/>
      <c r="AH225" s="377"/>
      <c r="AI225" s="377"/>
      <c r="AJ225" s="377"/>
      <c r="AK225" s="377"/>
      <c r="AL225" s="574"/>
      <c r="AM225" s="377"/>
      <c r="AN225" s="377"/>
      <c r="AO225" s="377"/>
      <c r="AP225" s="377"/>
      <c r="AQ225" s="377"/>
      <c r="AR225" s="377"/>
      <c r="AS225" s="377"/>
      <c r="AT225" s="377"/>
      <c r="AU225" s="377"/>
      <c r="AV225" s="377"/>
      <c r="AW225" s="575"/>
      <c r="AX225" s="377"/>
      <c r="AY225" s="377"/>
      <c r="AZ225" s="377"/>
      <c r="BA225" s="377"/>
      <c r="BB225" s="377"/>
      <c r="BC225" s="377"/>
      <c r="BD225" s="377"/>
      <c r="BE225" s="377"/>
      <c r="BF225" s="377"/>
      <c r="BG225" s="377"/>
      <c r="BH225" s="377"/>
      <c r="BI225" s="377"/>
      <c r="BJ225" s="377"/>
      <c r="BK225" s="377"/>
      <c r="BL225" s="377"/>
      <c r="BM225" s="377"/>
      <c r="BN225" s="576"/>
      <c r="BO225" s="377"/>
      <c r="BP225" s="377"/>
      <c r="BQ225" s="377"/>
      <c r="BR225" s="377"/>
      <c r="BS225" s="377"/>
      <c r="BT225" s="377"/>
      <c r="BU225" s="377"/>
      <c r="BV225" s="377"/>
      <c r="BW225" s="377"/>
      <c r="BX225" s="377"/>
      <c r="BY225" s="377"/>
      <c r="BZ225" s="377"/>
      <c r="CA225" s="377"/>
      <c r="CB225" s="377"/>
      <c r="CC225" s="377"/>
      <c r="CD225" s="377"/>
      <c r="CE225" s="377"/>
      <c r="CF225" s="377"/>
      <c r="CG225" s="377"/>
      <c r="CH225" s="377"/>
      <c r="CI225" s="377"/>
    </row>
    <row r="226" spans="1:87" ht="15">
      <c r="A226" s="377"/>
      <c r="B226" s="377"/>
      <c r="C226" s="572"/>
      <c r="D226" s="377"/>
      <c r="E226" s="377"/>
      <c r="F226" s="377"/>
      <c r="G226" s="377"/>
      <c r="H226" s="573"/>
      <c r="I226" s="377"/>
      <c r="J226" s="377"/>
      <c r="K226" s="377"/>
      <c r="L226" s="377"/>
      <c r="M226" s="377"/>
      <c r="N226" s="377"/>
      <c r="O226" s="377"/>
      <c r="P226" s="377"/>
      <c r="Q226" s="377"/>
      <c r="R226" s="377"/>
      <c r="S226" s="377"/>
      <c r="T226" s="377"/>
      <c r="U226" s="377"/>
      <c r="V226" s="377"/>
      <c r="W226" s="377"/>
      <c r="X226" s="574"/>
      <c r="Y226" s="377"/>
      <c r="Z226" s="377"/>
      <c r="AA226" s="377"/>
      <c r="AB226" s="377"/>
      <c r="AC226" s="377"/>
      <c r="AD226" s="377"/>
      <c r="AE226" s="377"/>
      <c r="AF226" s="377"/>
      <c r="AG226" s="377"/>
      <c r="AH226" s="377"/>
      <c r="AI226" s="377"/>
      <c r="AJ226" s="377"/>
      <c r="AK226" s="377"/>
      <c r="AL226" s="574"/>
      <c r="AM226" s="377"/>
      <c r="AN226" s="377"/>
      <c r="AO226" s="377"/>
      <c r="AP226" s="377"/>
      <c r="AQ226" s="377"/>
      <c r="AR226" s="377"/>
      <c r="AS226" s="377"/>
      <c r="AT226" s="377"/>
      <c r="AU226" s="377"/>
      <c r="AV226" s="377"/>
      <c r="AW226" s="575"/>
      <c r="AX226" s="377"/>
      <c r="AY226" s="377"/>
      <c r="AZ226" s="377"/>
      <c r="BA226" s="377"/>
      <c r="BB226" s="377"/>
      <c r="BC226" s="377"/>
      <c r="BD226" s="377"/>
      <c r="BE226" s="377"/>
      <c r="BF226" s="377"/>
      <c r="BG226" s="377"/>
      <c r="BH226" s="377"/>
      <c r="BI226" s="377"/>
      <c r="BJ226" s="377"/>
      <c r="BK226" s="377"/>
      <c r="BL226" s="377"/>
      <c r="BM226" s="377"/>
      <c r="BN226" s="576"/>
      <c r="BO226" s="377"/>
      <c r="BP226" s="377"/>
      <c r="BQ226" s="377"/>
      <c r="BR226" s="377"/>
      <c r="BS226" s="377"/>
      <c r="BT226" s="377"/>
      <c r="BU226" s="377"/>
      <c r="BV226" s="377"/>
      <c r="BW226" s="377"/>
      <c r="BX226" s="377"/>
      <c r="BY226" s="377"/>
      <c r="BZ226" s="377"/>
      <c r="CA226" s="377"/>
      <c r="CB226" s="377"/>
      <c r="CC226" s="377"/>
      <c r="CD226" s="377"/>
      <c r="CE226" s="377"/>
      <c r="CF226" s="377"/>
      <c r="CG226" s="377"/>
      <c r="CH226" s="377"/>
      <c r="CI226" s="377"/>
    </row>
    <row r="227" spans="1:87" ht="15">
      <c r="A227" s="377"/>
      <c r="B227" s="377"/>
      <c r="C227" s="572"/>
      <c r="D227" s="377"/>
      <c r="E227" s="377"/>
      <c r="F227" s="377"/>
      <c r="G227" s="377"/>
      <c r="H227" s="573"/>
      <c r="I227" s="377"/>
      <c r="J227" s="377"/>
      <c r="K227" s="377"/>
      <c r="L227" s="377"/>
      <c r="M227" s="377"/>
      <c r="N227" s="377"/>
      <c r="O227" s="377"/>
      <c r="P227" s="377"/>
      <c r="Q227" s="377"/>
      <c r="R227" s="377"/>
      <c r="S227" s="377"/>
      <c r="T227" s="377"/>
      <c r="U227" s="377"/>
      <c r="V227" s="377"/>
      <c r="W227" s="377"/>
      <c r="X227" s="574"/>
      <c r="Y227" s="377"/>
      <c r="Z227" s="377"/>
      <c r="AA227" s="377"/>
      <c r="AB227" s="377"/>
      <c r="AC227" s="377"/>
      <c r="AD227" s="377"/>
      <c r="AE227" s="377"/>
      <c r="AF227" s="377"/>
      <c r="AG227" s="377"/>
      <c r="AH227" s="377"/>
      <c r="AI227" s="377"/>
      <c r="AJ227" s="377"/>
      <c r="AK227" s="377"/>
      <c r="AL227" s="574"/>
      <c r="AM227" s="377"/>
      <c r="AN227" s="377"/>
      <c r="AO227" s="377"/>
      <c r="AP227" s="377"/>
      <c r="AQ227" s="377"/>
      <c r="AR227" s="377"/>
      <c r="AS227" s="377"/>
      <c r="AT227" s="377"/>
      <c r="AU227" s="377"/>
      <c r="AV227" s="377"/>
      <c r="AW227" s="575"/>
      <c r="AX227" s="377"/>
      <c r="AY227" s="377"/>
      <c r="AZ227" s="377"/>
      <c r="BA227" s="377"/>
      <c r="BB227" s="377"/>
      <c r="BC227" s="377"/>
      <c r="BD227" s="377"/>
      <c r="BE227" s="377"/>
      <c r="BF227" s="377"/>
      <c r="BG227" s="377"/>
      <c r="BH227" s="377"/>
      <c r="BI227" s="377"/>
      <c r="BJ227" s="377"/>
      <c r="BK227" s="377"/>
      <c r="BL227" s="377"/>
      <c r="BM227" s="377"/>
      <c r="BN227" s="576"/>
      <c r="BO227" s="377"/>
      <c r="BP227" s="377"/>
      <c r="BQ227" s="377"/>
      <c r="BR227" s="377"/>
      <c r="BS227" s="377"/>
      <c r="BT227" s="377"/>
      <c r="BU227" s="377"/>
      <c r="BV227" s="377"/>
      <c r="BW227" s="377"/>
      <c r="BX227" s="377"/>
      <c r="BY227" s="377"/>
      <c r="BZ227" s="377"/>
      <c r="CA227" s="377"/>
      <c r="CB227" s="377"/>
      <c r="CC227" s="377"/>
      <c r="CD227" s="377"/>
      <c r="CE227" s="377"/>
      <c r="CF227" s="377"/>
      <c r="CG227" s="377"/>
      <c r="CH227" s="377"/>
      <c r="CI227" s="377"/>
    </row>
    <row r="228" spans="1:87" ht="15">
      <c r="A228" s="377"/>
      <c r="B228" s="377"/>
      <c r="C228" s="572"/>
      <c r="D228" s="377"/>
      <c r="E228" s="377"/>
      <c r="F228" s="377"/>
      <c r="G228" s="377"/>
      <c r="H228" s="573"/>
      <c r="I228" s="377"/>
      <c r="J228" s="377"/>
      <c r="K228" s="377"/>
      <c r="L228" s="377"/>
      <c r="M228" s="377"/>
      <c r="N228" s="377"/>
      <c r="O228" s="377"/>
      <c r="P228" s="377"/>
      <c r="Q228" s="377"/>
      <c r="R228" s="377"/>
      <c r="S228" s="377"/>
      <c r="T228" s="377"/>
      <c r="U228" s="377"/>
      <c r="V228" s="377"/>
      <c r="W228" s="377"/>
      <c r="X228" s="574"/>
      <c r="Y228" s="377"/>
      <c r="Z228" s="377"/>
      <c r="AA228" s="377"/>
      <c r="AB228" s="377"/>
      <c r="AC228" s="377"/>
      <c r="AD228" s="377"/>
      <c r="AE228" s="377"/>
      <c r="AF228" s="377"/>
      <c r="AG228" s="377"/>
      <c r="AH228" s="377"/>
      <c r="AI228" s="377"/>
      <c r="AJ228" s="377"/>
      <c r="AK228" s="377"/>
      <c r="AL228" s="574"/>
      <c r="AM228" s="377"/>
      <c r="AN228" s="377"/>
      <c r="AO228" s="377"/>
      <c r="AP228" s="377"/>
      <c r="AQ228" s="377"/>
      <c r="AR228" s="377"/>
      <c r="AS228" s="377"/>
      <c r="AT228" s="377"/>
      <c r="AU228" s="377"/>
      <c r="AV228" s="377"/>
      <c r="AW228" s="575"/>
      <c r="AX228" s="377"/>
      <c r="AY228" s="377"/>
      <c r="AZ228" s="377"/>
      <c r="BA228" s="377"/>
      <c r="BB228" s="377"/>
      <c r="BC228" s="377"/>
      <c r="BD228" s="377"/>
      <c r="BE228" s="377"/>
      <c r="BF228" s="377"/>
      <c r="BG228" s="377"/>
      <c r="BH228" s="377"/>
      <c r="BI228" s="377"/>
      <c r="BJ228" s="377"/>
      <c r="BK228" s="377"/>
      <c r="BL228" s="377"/>
      <c r="BM228" s="377"/>
      <c r="BN228" s="576"/>
      <c r="BO228" s="377"/>
      <c r="BP228" s="377"/>
      <c r="BQ228" s="377"/>
      <c r="BR228" s="377"/>
      <c r="BS228" s="377"/>
      <c r="BT228" s="377"/>
      <c r="BU228" s="377"/>
      <c r="BV228" s="377"/>
      <c r="BW228" s="377"/>
      <c r="BX228" s="377"/>
      <c r="BY228" s="377"/>
      <c r="BZ228" s="377"/>
      <c r="CA228" s="377"/>
      <c r="CB228" s="377"/>
      <c r="CC228" s="377"/>
      <c r="CD228" s="377"/>
      <c r="CE228" s="377"/>
      <c r="CF228" s="377"/>
      <c r="CG228" s="377"/>
      <c r="CH228" s="377"/>
      <c r="CI228" s="377"/>
    </row>
    <row r="229" spans="1:87" ht="15">
      <c r="A229" s="377"/>
      <c r="B229" s="377"/>
      <c r="C229" s="572"/>
      <c r="D229" s="377"/>
      <c r="E229" s="377"/>
      <c r="F229" s="377"/>
      <c r="G229" s="377"/>
      <c r="H229" s="573"/>
      <c r="I229" s="377"/>
      <c r="J229" s="377"/>
      <c r="K229" s="377"/>
      <c r="L229" s="377"/>
      <c r="M229" s="377"/>
      <c r="N229" s="377"/>
      <c r="O229" s="377"/>
      <c r="P229" s="377"/>
      <c r="Q229" s="377"/>
      <c r="R229" s="377"/>
      <c r="S229" s="377"/>
      <c r="T229" s="377"/>
      <c r="U229" s="377"/>
      <c r="V229" s="377"/>
      <c r="W229" s="377"/>
      <c r="X229" s="574"/>
      <c r="Y229" s="377"/>
      <c r="Z229" s="377"/>
      <c r="AA229" s="377"/>
      <c r="AB229" s="377"/>
      <c r="AC229" s="377"/>
      <c r="AD229" s="377"/>
      <c r="AE229" s="377"/>
      <c r="AF229" s="377"/>
      <c r="AG229" s="377"/>
      <c r="AH229" s="377"/>
      <c r="AI229" s="377"/>
      <c r="AJ229" s="377"/>
      <c r="AK229" s="377"/>
      <c r="AL229" s="574"/>
      <c r="AM229" s="377"/>
      <c r="AN229" s="377"/>
      <c r="AO229" s="377"/>
      <c r="AP229" s="377"/>
      <c r="AQ229" s="377"/>
      <c r="AR229" s="377"/>
      <c r="AS229" s="377"/>
      <c r="AT229" s="377"/>
      <c r="AU229" s="377"/>
      <c r="AV229" s="377"/>
      <c r="AW229" s="575"/>
      <c r="AX229" s="377"/>
      <c r="AY229" s="377"/>
      <c r="AZ229" s="377"/>
      <c r="BA229" s="377"/>
      <c r="BB229" s="377"/>
      <c r="BC229" s="377"/>
      <c r="BD229" s="377"/>
      <c r="BE229" s="377"/>
      <c r="BF229" s="377"/>
      <c r="BG229" s="377"/>
      <c r="BH229" s="377"/>
      <c r="BI229" s="377"/>
      <c r="BJ229" s="377"/>
      <c r="BK229" s="377"/>
      <c r="BL229" s="377"/>
      <c r="BM229" s="377"/>
      <c r="BN229" s="576"/>
      <c r="BO229" s="377"/>
      <c r="BP229" s="377"/>
      <c r="BQ229" s="377"/>
      <c r="BR229" s="377"/>
      <c r="BS229" s="377"/>
      <c r="BT229" s="377"/>
      <c r="BU229" s="377"/>
      <c r="BV229" s="377"/>
      <c r="BW229" s="377"/>
      <c r="BX229" s="377"/>
      <c r="BY229" s="377"/>
      <c r="BZ229" s="377"/>
      <c r="CA229" s="377"/>
      <c r="CB229" s="377"/>
      <c r="CC229" s="377"/>
      <c r="CD229" s="377"/>
      <c r="CE229" s="377"/>
      <c r="CF229" s="377"/>
      <c r="CG229" s="377"/>
      <c r="CH229" s="377"/>
      <c r="CI229" s="377"/>
    </row>
    <row r="230" spans="1:87" ht="15">
      <c r="A230" s="377"/>
      <c r="B230" s="377"/>
      <c r="C230" s="572"/>
      <c r="D230" s="377"/>
      <c r="E230" s="377"/>
      <c r="F230" s="377"/>
      <c r="G230" s="377"/>
      <c r="H230" s="573"/>
      <c r="I230" s="377"/>
      <c r="J230" s="377"/>
      <c r="K230" s="377"/>
      <c r="L230" s="377"/>
      <c r="M230" s="377"/>
      <c r="N230" s="377"/>
      <c r="O230" s="377"/>
      <c r="P230" s="377"/>
      <c r="Q230" s="377"/>
      <c r="R230" s="377"/>
      <c r="S230" s="377"/>
      <c r="T230" s="377"/>
      <c r="U230" s="377"/>
      <c r="V230" s="377"/>
      <c r="W230" s="377"/>
      <c r="X230" s="574"/>
      <c r="Y230" s="377"/>
      <c r="Z230" s="377"/>
      <c r="AA230" s="377"/>
      <c r="AB230" s="377"/>
      <c r="AC230" s="377"/>
      <c r="AD230" s="377"/>
      <c r="AE230" s="377"/>
      <c r="AF230" s="377"/>
      <c r="AG230" s="377"/>
      <c r="AH230" s="377"/>
      <c r="AI230" s="377"/>
      <c r="AJ230" s="377"/>
      <c r="AK230" s="377"/>
      <c r="AL230" s="574"/>
      <c r="AM230" s="377"/>
      <c r="AN230" s="377"/>
      <c r="AO230" s="377"/>
      <c r="AP230" s="377"/>
      <c r="AQ230" s="377"/>
      <c r="AR230" s="377"/>
      <c r="AS230" s="377"/>
      <c r="AT230" s="377"/>
      <c r="AU230" s="377"/>
      <c r="AV230" s="377"/>
      <c r="AW230" s="575"/>
      <c r="AX230" s="377"/>
      <c r="AY230" s="377"/>
      <c r="AZ230" s="377"/>
      <c r="BA230" s="377"/>
      <c r="BB230" s="377"/>
      <c r="BC230" s="377"/>
      <c r="BD230" s="377"/>
      <c r="BE230" s="377"/>
      <c r="BF230" s="377"/>
      <c r="BG230" s="377"/>
      <c r="BH230" s="377"/>
      <c r="BI230" s="377"/>
      <c r="BJ230" s="377"/>
      <c r="BK230" s="377"/>
      <c r="BL230" s="377"/>
      <c r="BM230" s="377"/>
      <c r="BN230" s="576"/>
      <c r="BO230" s="377"/>
      <c r="BP230" s="377"/>
      <c r="BQ230" s="377"/>
      <c r="BR230" s="377"/>
      <c r="BS230" s="377"/>
      <c r="BT230" s="377"/>
      <c r="BU230" s="377"/>
      <c r="BV230" s="377"/>
      <c r="BW230" s="377"/>
      <c r="BX230" s="377"/>
      <c r="BY230" s="377"/>
      <c r="BZ230" s="377"/>
      <c r="CA230" s="377"/>
      <c r="CB230" s="377"/>
      <c r="CC230" s="377"/>
      <c r="CD230" s="377"/>
      <c r="CE230" s="377"/>
      <c r="CF230" s="377"/>
      <c r="CG230" s="377"/>
      <c r="CH230" s="377"/>
      <c r="CI230" s="377"/>
    </row>
    <row r="231" spans="1:87" ht="15">
      <c r="A231" s="377"/>
      <c r="B231" s="377"/>
      <c r="C231" s="572"/>
      <c r="D231" s="377"/>
      <c r="E231" s="377"/>
      <c r="F231" s="377"/>
      <c r="G231" s="377"/>
      <c r="H231" s="573"/>
      <c r="I231" s="377"/>
      <c r="J231" s="377"/>
      <c r="K231" s="377"/>
      <c r="L231" s="377"/>
      <c r="M231" s="377"/>
      <c r="N231" s="377"/>
      <c r="O231" s="377"/>
      <c r="P231" s="377"/>
      <c r="Q231" s="377"/>
      <c r="R231" s="377"/>
      <c r="S231" s="377"/>
      <c r="T231" s="377"/>
      <c r="U231" s="377"/>
      <c r="V231" s="377"/>
      <c r="W231" s="377"/>
      <c r="X231" s="574"/>
      <c r="Y231" s="377"/>
      <c r="Z231" s="377"/>
      <c r="AA231" s="377"/>
      <c r="AB231" s="377"/>
      <c r="AC231" s="377"/>
      <c r="AD231" s="377"/>
      <c r="AE231" s="377"/>
      <c r="AF231" s="377"/>
      <c r="AG231" s="377"/>
      <c r="AH231" s="377"/>
      <c r="AI231" s="377"/>
      <c r="AJ231" s="377"/>
      <c r="AK231" s="377"/>
      <c r="AL231" s="574"/>
      <c r="AM231" s="377"/>
      <c r="AN231" s="377"/>
      <c r="AO231" s="377"/>
      <c r="AP231" s="377"/>
      <c r="AQ231" s="377"/>
      <c r="AR231" s="377"/>
      <c r="AS231" s="377"/>
      <c r="AT231" s="377"/>
      <c r="AU231" s="377"/>
      <c r="AV231" s="377"/>
      <c r="AW231" s="575"/>
      <c r="AX231" s="377"/>
      <c r="AY231" s="377"/>
      <c r="AZ231" s="377"/>
      <c r="BA231" s="377"/>
      <c r="BB231" s="377"/>
      <c r="BC231" s="377"/>
      <c r="BD231" s="377"/>
      <c r="BE231" s="377"/>
      <c r="BF231" s="377"/>
      <c r="BG231" s="377"/>
      <c r="BH231" s="377"/>
      <c r="BI231" s="377"/>
      <c r="BJ231" s="377"/>
      <c r="BK231" s="377"/>
      <c r="BL231" s="377"/>
      <c r="BM231" s="377"/>
      <c r="BN231" s="576"/>
      <c r="BO231" s="377"/>
      <c r="BP231" s="377"/>
      <c r="BQ231" s="377"/>
      <c r="BR231" s="377"/>
      <c r="BS231" s="377"/>
      <c r="BT231" s="377"/>
      <c r="BU231" s="377"/>
      <c r="BV231" s="377"/>
      <c r="BW231" s="377"/>
      <c r="BX231" s="377"/>
      <c r="BY231" s="377"/>
      <c r="BZ231" s="377"/>
      <c r="CA231" s="377"/>
      <c r="CB231" s="377"/>
      <c r="CC231" s="377"/>
      <c r="CD231" s="377"/>
      <c r="CE231" s="377"/>
      <c r="CF231" s="377"/>
      <c r="CG231" s="377"/>
      <c r="CH231" s="377"/>
      <c r="CI231" s="377"/>
    </row>
    <row r="232" spans="1:87" ht="15">
      <c r="A232" s="377"/>
      <c r="B232" s="377"/>
      <c r="C232" s="572"/>
      <c r="D232" s="377"/>
      <c r="E232" s="377"/>
      <c r="F232" s="377"/>
      <c r="G232" s="377"/>
      <c r="H232" s="573"/>
      <c r="I232" s="377"/>
      <c r="J232" s="377"/>
      <c r="K232" s="377"/>
      <c r="L232" s="377"/>
      <c r="M232" s="377"/>
      <c r="N232" s="377"/>
      <c r="O232" s="377"/>
      <c r="P232" s="377"/>
      <c r="Q232" s="377"/>
      <c r="R232" s="377"/>
      <c r="S232" s="377"/>
      <c r="T232" s="377"/>
      <c r="U232" s="377"/>
      <c r="V232" s="377"/>
      <c r="W232" s="377"/>
      <c r="X232" s="574"/>
      <c r="Y232" s="377"/>
      <c r="Z232" s="377"/>
      <c r="AA232" s="377"/>
      <c r="AB232" s="377"/>
      <c r="AC232" s="377"/>
      <c r="AD232" s="377"/>
      <c r="AE232" s="377"/>
      <c r="AF232" s="377"/>
      <c r="AG232" s="377"/>
      <c r="AH232" s="377"/>
      <c r="AI232" s="377"/>
      <c r="AJ232" s="377"/>
      <c r="AK232" s="377"/>
      <c r="AL232" s="574"/>
      <c r="AM232" s="377"/>
      <c r="AN232" s="377"/>
      <c r="AO232" s="377"/>
      <c r="AP232" s="377"/>
      <c r="AQ232" s="377"/>
      <c r="AR232" s="377"/>
      <c r="AS232" s="377"/>
      <c r="AT232" s="377"/>
      <c r="AU232" s="377"/>
      <c r="AV232" s="377"/>
      <c r="AW232" s="575"/>
      <c r="AX232" s="377"/>
      <c r="AY232" s="377"/>
      <c r="AZ232" s="377"/>
      <c r="BA232" s="377"/>
      <c r="BB232" s="377"/>
      <c r="BC232" s="377"/>
      <c r="BD232" s="377"/>
      <c r="BE232" s="377"/>
      <c r="BF232" s="377"/>
      <c r="BG232" s="377"/>
      <c r="BH232" s="377"/>
      <c r="BI232" s="377"/>
      <c r="BJ232" s="377"/>
      <c r="BK232" s="377"/>
      <c r="BL232" s="377"/>
      <c r="BM232" s="377"/>
      <c r="BN232" s="576"/>
      <c r="BO232" s="377"/>
      <c r="BP232" s="377"/>
      <c r="BQ232" s="377"/>
      <c r="BR232" s="377"/>
      <c r="BS232" s="377"/>
      <c r="BT232" s="377"/>
      <c r="BU232" s="377"/>
      <c r="BV232" s="377"/>
      <c r="BW232" s="377"/>
      <c r="BX232" s="377"/>
      <c r="BY232" s="377"/>
      <c r="BZ232" s="377"/>
      <c r="CA232" s="377"/>
      <c r="CB232" s="377"/>
      <c r="CC232" s="377"/>
      <c r="CD232" s="377"/>
      <c r="CE232" s="377"/>
      <c r="CF232" s="377"/>
      <c r="CG232" s="377"/>
      <c r="CH232" s="377"/>
      <c r="CI232" s="377"/>
    </row>
    <row r="233" spans="1:87" ht="15">
      <c r="A233" s="377"/>
      <c r="B233" s="377"/>
      <c r="C233" s="572"/>
      <c r="D233" s="377"/>
      <c r="E233" s="377"/>
      <c r="F233" s="377"/>
      <c r="G233" s="377"/>
      <c r="H233" s="573"/>
      <c r="I233" s="377"/>
      <c r="J233" s="377"/>
      <c r="K233" s="377"/>
      <c r="L233" s="377"/>
      <c r="M233" s="377"/>
      <c r="N233" s="377"/>
      <c r="O233" s="377"/>
      <c r="P233" s="377"/>
      <c r="Q233" s="377"/>
      <c r="R233" s="377"/>
      <c r="S233" s="377"/>
      <c r="T233" s="377"/>
      <c r="U233" s="377"/>
      <c r="V233" s="377"/>
      <c r="W233" s="377"/>
      <c r="X233" s="574"/>
      <c r="Y233" s="377"/>
      <c r="Z233" s="377"/>
      <c r="AA233" s="377"/>
      <c r="AB233" s="377"/>
      <c r="AC233" s="377"/>
      <c r="AD233" s="377"/>
      <c r="AE233" s="377"/>
      <c r="AF233" s="377"/>
      <c r="AG233" s="377"/>
      <c r="AH233" s="377"/>
      <c r="AI233" s="377"/>
      <c r="AJ233" s="377"/>
      <c r="AK233" s="377"/>
      <c r="AL233" s="574"/>
      <c r="AM233" s="377"/>
      <c r="AN233" s="377"/>
      <c r="AO233" s="377"/>
      <c r="AP233" s="377"/>
      <c r="AQ233" s="377"/>
      <c r="AR233" s="377"/>
      <c r="AS233" s="377"/>
      <c r="AT233" s="377"/>
      <c r="AU233" s="377"/>
      <c r="AV233" s="377"/>
      <c r="AW233" s="575"/>
      <c r="AX233" s="377"/>
      <c r="AY233" s="377"/>
      <c r="AZ233" s="377"/>
      <c r="BA233" s="377"/>
      <c r="BB233" s="377"/>
      <c r="BC233" s="377"/>
      <c r="BD233" s="377"/>
      <c r="BE233" s="377"/>
      <c r="BF233" s="377"/>
      <c r="BG233" s="377"/>
      <c r="BH233" s="377"/>
      <c r="BI233" s="377"/>
      <c r="BJ233" s="377"/>
      <c r="BK233" s="377"/>
      <c r="BL233" s="377"/>
      <c r="BM233" s="377"/>
      <c r="BN233" s="576"/>
      <c r="BO233" s="377"/>
      <c r="BP233" s="377"/>
      <c r="BQ233" s="377"/>
      <c r="BR233" s="377"/>
      <c r="BS233" s="377"/>
      <c r="BT233" s="377"/>
      <c r="BU233" s="377"/>
      <c r="BV233" s="377"/>
      <c r="BW233" s="377"/>
      <c r="BX233" s="377"/>
      <c r="BY233" s="377"/>
      <c r="BZ233" s="377"/>
      <c r="CA233" s="377"/>
      <c r="CB233" s="377"/>
      <c r="CC233" s="377"/>
      <c r="CD233" s="377"/>
      <c r="CE233" s="377"/>
      <c r="CF233" s="377"/>
      <c r="CG233" s="377"/>
      <c r="CH233" s="377"/>
      <c r="CI233" s="377"/>
    </row>
    <row r="234" spans="1:87" ht="15">
      <c r="A234" s="377"/>
      <c r="B234" s="377"/>
      <c r="C234" s="572"/>
      <c r="D234" s="377"/>
      <c r="E234" s="377"/>
      <c r="F234" s="377"/>
      <c r="G234" s="377"/>
      <c r="H234" s="573"/>
      <c r="I234" s="377"/>
      <c r="J234" s="377"/>
      <c r="K234" s="377"/>
      <c r="L234" s="377"/>
      <c r="M234" s="377"/>
      <c r="N234" s="377"/>
      <c r="O234" s="377"/>
      <c r="P234" s="377"/>
      <c r="Q234" s="377"/>
      <c r="R234" s="377"/>
      <c r="S234" s="377"/>
      <c r="T234" s="377"/>
      <c r="U234" s="377"/>
      <c r="V234" s="377"/>
      <c r="W234" s="377"/>
      <c r="X234" s="574"/>
      <c r="Y234" s="377"/>
      <c r="Z234" s="377"/>
      <c r="AA234" s="377"/>
      <c r="AB234" s="377"/>
      <c r="AC234" s="377"/>
      <c r="AD234" s="377"/>
      <c r="AE234" s="377"/>
      <c r="AF234" s="377"/>
      <c r="AG234" s="377"/>
      <c r="AH234" s="377"/>
      <c r="AI234" s="377"/>
      <c r="AJ234" s="377"/>
      <c r="AK234" s="377"/>
      <c r="AL234" s="574"/>
      <c r="AM234" s="377"/>
      <c r="AN234" s="377"/>
      <c r="AO234" s="377"/>
      <c r="AP234" s="377"/>
      <c r="AQ234" s="377"/>
      <c r="AR234" s="377"/>
      <c r="AS234" s="377"/>
      <c r="AT234" s="377"/>
      <c r="AU234" s="377"/>
      <c r="AV234" s="377"/>
      <c r="AW234" s="575"/>
      <c r="AX234" s="377"/>
      <c r="AY234" s="377"/>
      <c r="AZ234" s="377"/>
      <c r="BA234" s="377"/>
      <c r="BB234" s="377"/>
      <c r="BC234" s="377"/>
      <c r="BD234" s="377"/>
      <c r="BE234" s="377"/>
      <c r="BF234" s="377"/>
      <c r="BG234" s="377"/>
      <c r="BH234" s="377"/>
      <c r="BI234" s="377"/>
      <c r="BJ234" s="377"/>
      <c r="BK234" s="377"/>
      <c r="BL234" s="377"/>
      <c r="BM234" s="377"/>
      <c r="BN234" s="576"/>
      <c r="BO234" s="377"/>
      <c r="BP234" s="377"/>
      <c r="BQ234" s="377"/>
      <c r="BR234" s="377"/>
      <c r="BS234" s="377"/>
      <c r="BT234" s="377"/>
      <c r="BU234" s="377"/>
      <c r="BV234" s="377"/>
      <c r="BW234" s="377"/>
      <c r="BX234" s="377"/>
      <c r="BY234" s="377"/>
      <c r="BZ234" s="377"/>
      <c r="CA234" s="377"/>
      <c r="CB234" s="377"/>
      <c r="CC234" s="377"/>
      <c r="CD234" s="377"/>
      <c r="CE234" s="377"/>
      <c r="CF234" s="377"/>
      <c r="CG234" s="377"/>
      <c r="CH234" s="377"/>
      <c r="CI234" s="377"/>
    </row>
    <row r="235" spans="1:87" ht="15">
      <c r="A235" s="377"/>
      <c r="B235" s="377"/>
      <c r="C235" s="572"/>
      <c r="D235" s="377"/>
      <c r="E235" s="377"/>
      <c r="F235" s="377"/>
      <c r="G235" s="377"/>
      <c r="H235" s="573"/>
      <c r="I235" s="377"/>
      <c r="J235" s="377"/>
      <c r="K235" s="377"/>
      <c r="L235" s="377"/>
      <c r="M235" s="377"/>
      <c r="N235" s="377"/>
      <c r="O235" s="377"/>
      <c r="P235" s="377"/>
      <c r="Q235" s="377"/>
      <c r="R235" s="377"/>
      <c r="S235" s="377"/>
      <c r="T235" s="377"/>
      <c r="U235" s="377"/>
      <c r="V235" s="377"/>
      <c r="W235" s="377"/>
      <c r="X235" s="574"/>
      <c r="Y235" s="377"/>
      <c r="Z235" s="377"/>
      <c r="AA235" s="377"/>
      <c r="AB235" s="377"/>
      <c r="AC235" s="377"/>
      <c r="AD235" s="377"/>
      <c r="AE235" s="377"/>
      <c r="AF235" s="377"/>
      <c r="AG235" s="377"/>
      <c r="AH235" s="377"/>
      <c r="AI235" s="377"/>
      <c r="AJ235" s="377"/>
      <c r="AK235" s="377"/>
      <c r="AL235" s="574"/>
      <c r="AM235" s="377"/>
      <c r="AN235" s="377"/>
      <c r="AO235" s="377"/>
      <c r="AP235" s="377"/>
      <c r="AQ235" s="377"/>
      <c r="AR235" s="377"/>
      <c r="AS235" s="377"/>
      <c r="AT235" s="377"/>
      <c r="AU235" s="377"/>
      <c r="AV235" s="377"/>
      <c r="AW235" s="575"/>
      <c r="AX235" s="377"/>
      <c r="AY235" s="377"/>
      <c r="AZ235" s="377"/>
      <c r="BA235" s="377"/>
      <c r="BB235" s="377"/>
      <c r="BC235" s="377"/>
      <c r="BD235" s="377"/>
      <c r="BE235" s="377"/>
      <c r="BF235" s="377"/>
      <c r="BG235" s="377"/>
      <c r="BH235" s="377"/>
      <c r="BI235" s="377"/>
      <c r="BJ235" s="377"/>
      <c r="BK235" s="377"/>
      <c r="BL235" s="377"/>
      <c r="BM235" s="377"/>
      <c r="BN235" s="576"/>
      <c r="BO235" s="377"/>
      <c r="BP235" s="377"/>
      <c r="BQ235" s="377"/>
      <c r="BR235" s="377"/>
      <c r="BS235" s="377"/>
      <c r="BT235" s="377"/>
      <c r="BU235" s="377"/>
      <c r="BV235" s="377"/>
      <c r="BW235" s="377"/>
      <c r="BX235" s="377"/>
      <c r="BY235" s="377"/>
      <c r="BZ235" s="377"/>
      <c r="CA235" s="377"/>
      <c r="CB235" s="377"/>
      <c r="CC235" s="377"/>
      <c r="CD235" s="377"/>
      <c r="CE235" s="377"/>
      <c r="CF235" s="377"/>
      <c r="CG235" s="377"/>
      <c r="CH235" s="377"/>
      <c r="CI235" s="377"/>
    </row>
    <row r="236" spans="1:87" ht="15">
      <c r="A236" s="377"/>
      <c r="B236" s="377"/>
      <c r="C236" s="572"/>
      <c r="D236" s="377"/>
      <c r="E236" s="377"/>
      <c r="F236" s="377"/>
      <c r="G236" s="377"/>
      <c r="H236" s="573"/>
      <c r="I236" s="377"/>
      <c r="J236" s="377"/>
      <c r="K236" s="377"/>
      <c r="L236" s="377"/>
      <c r="M236" s="377"/>
      <c r="N236" s="377"/>
      <c r="O236" s="377"/>
      <c r="P236" s="377"/>
      <c r="Q236" s="377"/>
      <c r="R236" s="377"/>
      <c r="S236" s="377"/>
      <c r="T236" s="377"/>
      <c r="U236" s="377"/>
      <c r="V236" s="377"/>
      <c r="W236" s="377"/>
      <c r="X236" s="574"/>
      <c r="Y236" s="377"/>
      <c r="Z236" s="377"/>
      <c r="AA236" s="377"/>
      <c r="AB236" s="377"/>
      <c r="AC236" s="377"/>
      <c r="AD236" s="377"/>
      <c r="AE236" s="377"/>
      <c r="AF236" s="377"/>
      <c r="AG236" s="377"/>
      <c r="AH236" s="377"/>
      <c r="AI236" s="377"/>
      <c r="AJ236" s="377"/>
      <c r="AK236" s="377"/>
      <c r="AL236" s="574"/>
      <c r="AM236" s="377"/>
      <c r="AN236" s="377"/>
      <c r="AO236" s="377"/>
      <c r="AP236" s="377"/>
      <c r="AQ236" s="377"/>
      <c r="AR236" s="377"/>
      <c r="AS236" s="377"/>
      <c r="AT236" s="377"/>
      <c r="AU236" s="377"/>
      <c r="AV236" s="377"/>
      <c r="AW236" s="575"/>
      <c r="AX236" s="377"/>
      <c r="AY236" s="377"/>
      <c r="AZ236" s="377"/>
      <c r="BA236" s="377"/>
      <c r="BB236" s="377"/>
      <c r="BC236" s="377"/>
      <c r="BD236" s="377"/>
      <c r="BE236" s="377"/>
      <c r="BF236" s="377"/>
      <c r="BG236" s="377"/>
      <c r="BH236" s="377"/>
      <c r="BI236" s="377"/>
      <c r="BJ236" s="377"/>
      <c r="BK236" s="377"/>
      <c r="BL236" s="377"/>
      <c r="BM236" s="377"/>
      <c r="BN236" s="576"/>
      <c r="BO236" s="377"/>
      <c r="BP236" s="377"/>
      <c r="BQ236" s="377"/>
      <c r="BR236" s="377"/>
      <c r="BS236" s="377"/>
      <c r="BT236" s="377"/>
      <c r="BU236" s="377"/>
      <c r="BV236" s="377"/>
      <c r="BW236" s="377"/>
      <c r="BX236" s="377"/>
      <c r="BY236" s="377"/>
      <c r="BZ236" s="377"/>
      <c r="CA236" s="377"/>
      <c r="CB236" s="377"/>
      <c r="CC236" s="377"/>
      <c r="CD236" s="377"/>
      <c r="CE236" s="377"/>
      <c r="CF236" s="377"/>
      <c r="CG236" s="377"/>
      <c r="CH236" s="377"/>
      <c r="CI236" s="377"/>
    </row>
    <row r="237" spans="1:87" ht="15">
      <c r="A237" s="377"/>
      <c r="B237" s="377"/>
      <c r="C237" s="572"/>
      <c r="D237" s="377"/>
      <c r="E237" s="377"/>
      <c r="F237" s="377"/>
      <c r="G237" s="377"/>
      <c r="H237" s="573"/>
      <c r="I237" s="377"/>
      <c r="J237" s="377"/>
      <c r="K237" s="377"/>
      <c r="L237" s="377"/>
      <c r="M237" s="377"/>
      <c r="N237" s="377"/>
      <c r="O237" s="377"/>
      <c r="P237" s="377"/>
      <c r="Q237" s="377"/>
      <c r="R237" s="377"/>
      <c r="S237" s="377"/>
      <c r="T237" s="377"/>
      <c r="U237" s="377"/>
      <c r="V237" s="377"/>
      <c r="W237" s="377"/>
      <c r="X237" s="574"/>
      <c r="Y237" s="377"/>
      <c r="Z237" s="377"/>
      <c r="AA237" s="377"/>
      <c r="AB237" s="377"/>
      <c r="AC237" s="377"/>
      <c r="AD237" s="377"/>
      <c r="AE237" s="377"/>
      <c r="AF237" s="377"/>
      <c r="AG237" s="377"/>
      <c r="AH237" s="377"/>
      <c r="AI237" s="377"/>
      <c r="AJ237" s="377"/>
      <c r="AK237" s="377"/>
      <c r="AL237" s="574"/>
      <c r="AM237" s="377"/>
      <c r="AN237" s="377"/>
      <c r="AO237" s="377"/>
      <c r="AP237" s="377"/>
      <c r="AQ237" s="377"/>
      <c r="AR237" s="377"/>
      <c r="AS237" s="377"/>
      <c r="AT237" s="377"/>
      <c r="AU237" s="377"/>
      <c r="AV237" s="377"/>
      <c r="AW237" s="575"/>
      <c r="AX237" s="377"/>
      <c r="AY237" s="377"/>
      <c r="AZ237" s="377"/>
      <c r="BA237" s="377"/>
      <c r="BB237" s="377"/>
      <c r="BC237" s="377"/>
      <c r="BD237" s="377"/>
      <c r="BE237" s="377"/>
      <c r="BF237" s="377"/>
      <c r="BG237" s="377"/>
      <c r="BH237" s="377"/>
      <c r="BI237" s="377"/>
      <c r="BJ237" s="377"/>
      <c r="BK237" s="377"/>
      <c r="BL237" s="377"/>
      <c r="BM237" s="377"/>
      <c r="BN237" s="576"/>
      <c r="BO237" s="377"/>
      <c r="BP237" s="377"/>
      <c r="BQ237" s="377"/>
      <c r="BR237" s="377"/>
      <c r="BS237" s="377"/>
      <c r="BT237" s="377"/>
      <c r="BU237" s="377"/>
      <c r="BV237" s="377"/>
      <c r="BW237" s="377"/>
      <c r="BX237" s="377"/>
      <c r="BY237" s="377"/>
      <c r="BZ237" s="377"/>
      <c r="CA237" s="377"/>
      <c r="CB237" s="377"/>
      <c r="CC237" s="377"/>
      <c r="CD237" s="377"/>
      <c r="CE237" s="377"/>
      <c r="CF237" s="377"/>
      <c r="CG237" s="377"/>
      <c r="CH237" s="377"/>
      <c r="CI237" s="377"/>
    </row>
    <row r="238" spans="1:87" ht="15">
      <c r="A238" s="377"/>
      <c r="B238" s="377"/>
      <c r="C238" s="572"/>
      <c r="D238" s="377"/>
      <c r="E238" s="377"/>
      <c r="F238" s="377"/>
      <c r="G238" s="377"/>
      <c r="H238" s="573"/>
      <c r="I238" s="377"/>
      <c r="J238" s="377"/>
      <c r="K238" s="377"/>
      <c r="L238" s="377"/>
      <c r="M238" s="377"/>
      <c r="N238" s="377"/>
      <c r="O238" s="377"/>
      <c r="P238" s="377"/>
      <c r="Q238" s="377"/>
      <c r="R238" s="377"/>
      <c r="S238" s="377"/>
      <c r="T238" s="377"/>
      <c r="U238" s="377"/>
      <c r="V238" s="377"/>
      <c r="W238" s="377"/>
      <c r="X238" s="574"/>
      <c r="Y238" s="377"/>
      <c r="Z238" s="377"/>
      <c r="AA238" s="377"/>
      <c r="AB238" s="377"/>
      <c r="AC238" s="377"/>
      <c r="AD238" s="377"/>
      <c r="AE238" s="377"/>
      <c r="AF238" s="377"/>
      <c r="AG238" s="377"/>
      <c r="AH238" s="377"/>
      <c r="AI238" s="377"/>
      <c r="AJ238" s="377"/>
      <c r="AK238" s="377"/>
      <c r="AL238" s="574"/>
      <c r="AM238" s="377"/>
      <c r="AN238" s="377"/>
      <c r="AO238" s="377"/>
      <c r="AP238" s="377"/>
      <c r="AQ238" s="377"/>
      <c r="AR238" s="377"/>
      <c r="AS238" s="377"/>
      <c r="AT238" s="377"/>
      <c r="AU238" s="377"/>
      <c r="AV238" s="377"/>
      <c r="AW238" s="575"/>
      <c r="AX238" s="377"/>
      <c r="AY238" s="377"/>
      <c r="AZ238" s="377"/>
      <c r="BA238" s="377"/>
      <c r="BB238" s="377"/>
      <c r="BC238" s="377"/>
      <c r="BD238" s="377"/>
      <c r="BE238" s="377"/>
      <c r="BF238" s="377"/>
      <c r="BG238" s="377"/>
      <c r="BH238" s="377"/>
      <c r="BI238" s="377"/>
      <c r="BJ238" s="377"/>
      <c r="BK238" s="377"/>
      <c r="BL238" s="377"/>
      <c r="BM238" s="377"/>
      <c r="BN238" s="576"/>
      <c r="BO238" s="377"/>
      <c r="BP238" s="377"/>
      <c r="BQ238" s="377"/>
      <c r="BR238" s="377"/>
      <c r="BS238" s="377"/>
      <c r="BT238" s="377"/>
      <c r="BU238" s="377"/>
      <c r="BV238" s="377"/>
      <c r="BW238" s="377"/>
      <c r="BX238" s="377"/>
      <c r="BY238" s="377"/>
      <c r="BZ238" s="377"/>
      <c r="CA238" s="377"/>
      <c r="CB238" s="377"/>
      <c r="CC238" s="377"/>
      <c r="CD238" s="377"/>
      <c r="CE238" s="377"/>
      <c r="CF238" s="377"/>
      <c r="CG238" s="377"/>
      <c r="CH238" s="377"/>
      <c r="CI238" s="377"/>
    </row>
    <row r="239" spans="1:87" ht="15">
      <c r="A239" s="377"/>
      <c r="B239" s="377"/>
      <c r="C239" s="572"/>
      <c r="D239" s="377"/>
      <c r="E239" s="377"/>
      <c r="F239" s="377"/>
      <c r="G239" s="377"/>
      <c r="H239" s="573"/>
      <c r="I239" s="377"/>
      <c r="J239" s="377"/>
      <c r="K239" s="377"/>
      <c r="L239" s="377"/>
      <c r="M239" s="377"/>
      <c r="N239" s="377"/>
      <c r="O239" s="377"/>
      <c r="P239" s="377"/>
      <c r="Q239" s="377"/>
      <c r="R239" s="377"/>
      <c r="S239" s="377"/>
      <c r="T239" s="377"/>
      <c r="U239" s="377"/>
      <c r="V239" s="377"/>
      <c r="W239" s="377"/>
      <c r="X239" s="574"/>
      <c r="Y239" s="377"/>
      <c r="Z239" s="377"/>
      <c r="AA239" s="377"/>
      <c r="AB239" s="377"/>
      <c r="AC239" s="377"/>
      <c r="AD239" s="377"/>
      <c r="AE239" s="377"/>
      <c r="AF239" s="377"/>
      <c r="AG239" s="377"/>
      <c r="AH239" s="377"/>
      <c r="AI239" s="377"/>
      <c r="AJ239" s="377"/>
      <c r="AK239" s="377"/>
      <c r="AL239" s="574"/>
      <c r="AM239" s="377"/>
      <c r="AN239" s="377"/>
      <c r="AO239" s="377"/>
      <c r="AP239" s="377"/>
      <c r="AQ239" s="377"/>
      <c r="AR239" s="377"/>
      <c r="AS239" s="377"/>
      <c r="AT239" s="377"/>
      <c r="AU239" s="377"/>
      <c r="AV239" s="377"/>
      <c r="AW239" s="575"/>
      <c r="AX239" s="377"/>
      <c r="AY239" s="377"/>
      <c r="AZ239" s="377"/>
      <c r="BA239" s="377"/>
      <c r="BB239" s="377"/>
      <c r="BC239" s="377"/>
      <c r="BD239" s="377"/>
      <c r="BE239" s="377"/>
      <c r="BF239" s="377"/>
      <c r="BG239" s="377"/>
      <c r="BH239" s="377"/>
      <c r="BI239" s="377"/>
      <c r="BJ239" s="377"/>
      <c r="BK239" s="377"/>
      <c r="BL239" s="377"/>
      <c r="BM239" s="377"/>
      <c r="BN239" s="576"/>
      <c r="BO239" s="377"/>
      <c r="BP239" s="377"/>
      <c r="BQ239" s="377"/>
      <c r="BR239" s="377"/>
      <c r="BS239" s="377"/>
      <c r="BT239" s="377"/>
      <c r="BU239" s="377"/>
      <c r="BV239" s="377"/>
      <c r="BW239" s="377"/>
      <c r="BX239" s="377"/>
      <c r="BY239" s="377"/>
      <c r="BZ239" s="377"/>
      <c r="CA239" s="377"/>
      <c r="CB239" s="377"/>
      <c r="CC239" s="377"/>
      <c r="CD239" s="377"/>
      <c r="CE239" s="377"/>
      <c r="CF239" s="377"/>
      <c r="CG239" s="377"/>
      <c r="CH239" s="377"/>
      <c r="CI239" s="377"/>
    </row>
    <row r="240" spans="1:87" ht="15">
      <c r="A240" s="377"/>
      <c r="B240" s="377"/>
      <c r="C240" s="572"/>
      <c r="D240" s="377"/>
      <c r="E240" s="377"/>
      <c r="F240" s="377"/>
      <c r="G240" s="377"/>
      <c r="H240" s="573"/>
      <c r="I240" s="377"/>
      <c r="J240" s="377"/>
      <c r="K240" s="377"/>
      <c r="L240" s="377"/>
      <c r="M240" s="377"/>
      <c r="N240" s="377"/>
      <c r="O240" s="377"/>
      <c r="P240" s="377"/>
      <c r="Q240" s="377"/>
      <c r="R240" s="377"/>
      <c r="S240" s="377"/>
      <c r="T240" s="377"/>
      <c r="U240" s="377"/>
      <c r="V240" s="377"/>
      <c r="W240" s="377"/>
      <c r="X240" s="574"/>
      <c r="Y240" s="377"/>
      <c r="Z240" s="377"/>
      <c r="AA240" s="377"/>
      <c r="AB240" s="377"/>
      <c r="AC240" s="377"/>
      <c r="AD240" s="377"/>
      <c r="AE240" s="377"/>
      <c r="AF240" s="377"/>
      <c r="AG240" s="377"/>
      <c r="AH240" s="377"/>
      <c r="AI240" s="377"/>
      <c r="AJ240" s="377"/>
      <c r="AK240" s="377"/>
      <c r="AL240" s="574"/>
      <c r="AM240" s="377"/>
      <c r="AN240" s="377"/>
      <c r="AO240" s="377"/>
      <c r="AP240" s="377"/>
      <c r="AQ240" s="377"/>
      <c r="AR240" s="377"/>
      <c r="AS240" s="377"/>
      <c r="AT240" s="377"/>
      <c r="AU240" s="377"/>
      <c r="AV240" s="377"/>
      <c r="AW240" s="575"/>
      <c r="AX240" s="377"/>
      <c r="AY240" s="377"/>
      <c r="AZ240" s="377"/>
      <c r="BA240" s="377"/>
      <c r="BB240" s="377"/>
      <c r="BC240" s="377"/>
      <c r="BD240" s="377"/>
      <c r="BE240" s="377"/>
      <c r="BF240" s="377"/>
      <c r="BG240" s="377"/>
      <c r="BH240" s="377"/>
      <c r="BI240" s="377"/>
      <c r="BJ240" s="377"/>
      <c r="BK240" s="377"/>
      <c r="BL240" s="377"/>
      <c r="BM240" s="377"/>
      <c r="BN240" s="576"/>
      <c r="BO240" s="377"/>
      <c r="BP240" s="377"/>
      <c r="BQ240" s="377"/>
      <c r="BR240" s="377"/>
      <c r="BS240" s="377"/>
      <c r="BT240" s="377"/>
      <c r="BU240" s="377"/>
      <c r="BV240" s="377"/>
      <c r="BW240" s="377"/>
      <c r="BX240" s="377"/>
      <c r="BY240" s="377"/>
      <c r="BZ240" s="377"/>
      <c r="CA240" s="377"/>
      <c r="CB240" s="377"/>
      <c r="CC240" s="377"/>
      <c r="CD240" s="377"/>
      <c r="CE240" s="377"/>
      <c r="CF240" s="377"/>
      <c r="CG240" s="377"/>
      <c r="CH240" s="377"/>
      <c r="CI240" s="377"/>
    </row>
    <row r="241" spans="1:87" ht="15">
      <c r="A241" s="377"/>
      <c r="B241" s="377"/>
      <c r="C241" s="572"/>
      <c r="D241" s="377"/>
      <c r="E241" s="377"/>
      <c r="F241" s="377"/>
      <c r="G241" s="377"/>
      <c r="H241" s="573"/>
      <c r="I241" s="377"/>
      <c r="J241" s="377"/>
      <c r="K241" s="377"/>
      <c r="L241" s="377"/>
      <c r="M241" s="377"/>
      <c r="N241" s="377"/>
      <c r="O241" s="377"/>
      <c r="P241" s="377"/>
      <c r="Q241" s="377"/>
      <c r="R241" s="377"/>
      <c r="S241" s="377"/>
      <c r="T241" s="377"/>
      <c r="U241" s="377"/>
      <c r="V241" s="377"/>
      <c r="W241" s="377"/>
      <c r="X241" s="574"/>
      <c r="Y241" s="377"/>
      <c r="Z241" s="377"/>
      <c r="AA241" s="377"/>
      <c r="AB241" s="377"/>
      <c r="AC241" s="377"/>
      <c r="AD241" s="377"/>
      <c r="AE241" s="377"/>
      <c r="AF241" s="377"/>
      <c r="AG241" s="377"/>
      <c r="AH241" s="377"/>
      <c r="AI241" s="377"/>
      <c r="AJ241" s="377"/>
      <c r="AK241" s="377"/>
      <c r="AL241" s="574"/>
      <c r="AM241" s="377"/>
      <c r="AN241" s="377"/>
      <c r="AO241" s="377"/>
      <c r="AP241" s="377"/>
      <c r="AQ241" s="377"/>
      <c r="AR241" s="377"/>
      <c r="AS241" s="377"/>
      <c r="AT241" s="377"/>
      <c r="AU241" s="377"/>
      <c r="AV241" s="377"/>
      <c r="AW241" s="575"/>
      <c r="AX241" s="377"/>
      <c r="AY241" s="377"/>
      <c r="AZ241" s="377"/>
      <c r="BA241" s="377"/>
      <c r="BB241" s="377"/>
      <c r="BC241" s="377"/>
      <c r="BD241" s="377"/>
      <c r="BE241" s="377"/>
      <c r="BF241" s="377"/>
      <c r="BG241" s="377"/>
      <c r="BH241" s="377"/>
      <c r="BI241" s="377"/>
      <c r="BJ241" s="377"/>
      <c r="BK241" s="377"/>
      <c r="BL241" s="377"/>
      <c r="BM241" s="377"/>
      <c r="BN241" s="576"/>
      <c r="BO241" s="377"/>
      <c r="BP241" s="377"/>
      <c r="BQ241" s="377"/>
      <c r="BR241" s="377"/>
      <c r="BS241" s="377"/>
      <c r="BT241" s="377"/>
      <c r="BU241" s="377"/>
      <c r="BV241" s="377"/>
      <c r="BW241" s="377"/>
      <c r="BX241" s="377"/>
      <c r="BY241" s="377"/>
      <c r="BZ241" s="377"/>
      <c r="CA241" s="377"/>
      <c r="CB241" s="377"/>
      <c r="CC241" s="377"/>
      <c r="CD241" s="377"/>
      <c r="CE241" s="377"/>
      <c r="CF241" s="377"/>
      <c r="CG241" s="377"/>
      <c r="CH241" s="377"/>
      <c r="CI241" s="377"/>
    </row>
    <row r="242" spans="1:87" ht="15">
      <c r="A242" s="377"/>
      <c r="B242" s="377"/>
      <c r="C242" s="572"/>
      <c r="D242" s="377"/>
      <c r="E242" s="377"/>
      <c r="F242" s="377"/>
      <c r="G242" s="377"/>
      <c r="H242" s="573"/>
      <c r="I242" s="377"/>
      <c r="J242" s="377"/>
      <c r="K242" s="377"/>
      <c r="L242" s="377"/>
      <c r="M242" s="377"/>
      <c r="N242" s="377"/>
      <c r="O242" s="377"/>
      <c r="P242" s="377"/>
      <c r="Q242" s="377"/>
      <c r="R242" s="377"/>
      <c r="S242" s="377"/>
      <c r="T242" s="377"/>
      <c r="U242" s="377"/>
      <c r="V242" s="377"/>
      <c r="W242" s="377"/>
      <c r="X242" s="574"/>
      <c r="Y242" s="377"/>
      <c r="Z242" s="377"/>
      <c r="AA242" s="377"/>
      <c r="AB242" s="377"/>
      <c r="AC242" s="377"/>
      <c r="AD242" s="377"/>
      <c r="AE242" s="377"/>
      <c r="AF242" s="377"/>
      <c r="AG242" s="377"/>
      <c r="AH242" s="377"/>
      <c r="AI242" s="377"/>
      <c r="AJ242" s="377"/>
      <c r="AK242" s="377"/>
      <c r="AL242" s="574"/>
      <c r="AM242" s="377"/>
      <c r="AN242" s="377"/>
      <c r="AO242" s="377"/>
      <c r="AP242" s="377"/>
      <c r="AQ242" s="377"/>
      <c r="AR242" s="377"/>
      <c r="AS242" s="377"/>
      <c r="AT242" s="377"/>
      <c r="AU242" s="377"/>
      <c r="AV242" s="377"/>
      <c r="AW242" s="575"/>
      <c r="AX242" s="377"/>
      <c r="AY242" s="377"/>
      <c r="AZ242" s="377"/>
      <c r="BA242" s="377"/>
      <c r="BB242" s="377"/>
      <c r="BC242" s="377"/>
      <c r="BD242" s="377"/>
      <c r="BE242" s="377"/>
      <c r="BF242" s="377"/>
      <c r="BG242" s="377"/>
      <c r="BH242" s="377"/>
      <c r="BI242" s="377"/>
      <c r="BJ242" s="377"/>
      <c r="BK242" s="377"/>
      <c r="BL242" s="377"/>
      <c r="BM242" s="377"/>
      <c r="BN242" s="576"/>
      <c r="BO242" s="377"/>
      <c r="BP242" s="377"/>
      <c r="BQ242" s="377"/>
      <c r="BR242" s="377"/>
      <c r="BS242" s="377"/>
      <c r="BT242" s="377"/>
      <c r="BU242" s="377"/>
      <c r="BV242" s="377"/>
      <c r="BW242" s="377"/>
      <c r="BX242" s="377"/>
      <c r="BY242" s="377"/>
      <c r="BZ242" s="377"/>
      <c r="CA242" s="377"/>
      <c r="CB242" s="377"/>
      <c r="CC242" s="377"/>
      <c r="CD242" s="377"/>
      <c r="CE242" s="377"/>
      <c r="CF242" s="377"/>
      <c r="CG242" s="377"/>
      <c r="CH242" s="377"/>
      <c r="CI242" s="377"/>
    </row>
    <row r="243" spans="1:87" ht="15">
      <c r="A243" s="377"/>
      <c r="B243" s="377"/>
      <c r="C243" s="572"/>
      <c r="D243" s="377"/>
      <c r="E243" s="377"/>
      <c r="F243" s="377"/>
      <c r="G243" s="377"/>
      <c r="H243" s="573"/>
      <c r="I243" s="377"/>
      <c r="J243" s="377"/>
      <c r="K243" s="377"/>
      <c r="L243" s="377"/>
      <c r="M243" s="377"/>
      <c r="N243" s="377"/>
      <c r="O243" s="377"/>
      <c r="P243" s="377"/>
      <c r="Q243" s="377"/>
      <c r="R243" s="377"/>
      <c r="S243" s="377"/>
      <c r="T243" s="377"/>
      <c r="U243" s="377"/>
      <c r="V243" s="377"/>
      <c r="W243" s="377"/>
      <c r="X243" s="574"/>
      <c r="Y243" s="377"/>
      <c r="Z243" s="377"/>
      <c r="AA243" s="377"/>
      <c r="AB243" s="377"/>
      <c r="AC243" s="377"/>
      <c r="AD243" s="377"/>
      <c r="AE243" s="377"/>
      <c r="AF243" s="377"/>
      <c r="AG243" s="377"/>
      <c r="AH243" s="377"/>
      <c r="AI243" s="377"/>
      <c r="AJ243" s="377"/>
      <c r="AK243" s="377"/>
      <c r="AL243" s="574"/>
      <c r="AM243" s="377"/>
      <c r="AN243" s="377"/>
      <c r="AO243" s="377"/>
      <c r="AP243" s="377"/>
      <c r="AQ243" s="377"/>
      <c r="AR243" s="377"/>
      <c r="AS243" s="377"/>
      <c r="AT243" s="377"/>
      <c r="AU243" s="377"/>
      <c r="AV243" s="377"/>
      <c r="AW243" s="575"/>
      <c r="AX243" s="377"/>
      <c r="AY243" s="377"/>
      <c r="AZ243" s="377"/>
      <c r="BA243" s="377"/>
      <c r="BB243" s="377"/>
      <c r="BC243" s="377"/>
      <c r="BD243" s="377"/>
      <c r="BE243" s="377"/>
      <c r="BF243" s="377"/>
      <c r="BG243" s="377"/>
      <c r="BH243" s="377"/>
      <c r="BI243" s="377"/>
      <c r="BJ243" s="377"/>
      <c r="BK243" s="377"/>
      <c r="BL243" s="377"/>
      <c r="BM243" s="377"/>
      <c r="BN243" s="576"/>
      <c r="BO243" s="377"/>
      <c r="BP243" s="377"/>
      <c r="BQ243" s="377"/>
      <c r="BR243" s="377"/>
      <c r="BS243" s="377"/>
      <c r="BT243" s="377"/>
      <c r="BU243" s="377"/>
      <c r="BV243" s="377"/>
      <c r="BW243" s="377"/>
      <c r="BX243" s="377"/>
      <c r="BY243" s="377"/>
      <c r="BZ243" s="377"/>
      <c r="CA243" s="377"/>
      <c r="CB243" s="377"/>
      <c r="CC243" s="377"/>
      <c r="CD243" s="377"/>
      <c r="CE243" s="377"/>
      <c r="CF243" s="377"/>
      <c r="CG243" s="377"/>
      <c r="CH243" s="377"/>
      <c r="CI243" s="377"/>
    </row>
    <row r="244" spans="1:87" ht="15">
      <c r="A244" s="377"/>
      <c r="B244" s="377"/>
      <c r="C244" s="572"/>
      <c r="D244" s="377"/>
      <c r="E244" s="377"/>
      <c r="F244" s="377"/>
      <c r="G244" s="377"/>
      <c r="H244" s="573"/>
      <c r="I244" s="377"/>
      <c r="J244" s="377"/>
      <c r="K244" s="377"/>
      <c r="L244" s="377"/>
      <c r="M244" s="377"/>
      <c r="N244" s="377"/>
      <c r="O244" s="377"/>
      <c r="P244" s="377"/>
      <c r="Q244" s="377"/>
      <c r="R244" s="377"/>
      <c r="S244" s="377"/>
      <c r="T244" s="377"/>
      <c r="U244" s="377"/>
      <c r="V244" s="377"/>
      <c r="W244" s="377"/>
      <c r="X244" s="574"/>
      <c r="Y244" s="377"/>
      <c r="Z244" s="377"/>
      <c r="AA244" s="377"/>
      <c r="AB244" s="377"/>
      <c r="AC244" s="377"/>
      <c r="AD244" s="377"/>
      <c r="AE244" s="377"/>
      <c r="AF244" s="377"/>
      <c r="AG244" s="377"/>
      <c r="AH244" s="377"/>
      <c r="AI244" s="377"/>
      <c r="AJ244" s="377"/>
      <c r="AK244" s="377"/>
      <c r="AL244" s="574"/>
      <c r="AM244" s="377"/>
      <c r="AN244" s="377"/>
      <c r="AO244" s="377"/>
      <c r="AP244" s="377"/>
      <c r="AQ244" s="377"/>
      <c r="AR244" s="377"/>
      <c r="AS244" s="377"/>
      <c r="AT244" s="377"/>
      <c r="AU244" s="377"/>
      <c r="AV244" s="377"/>
      <c r="AW244" s="575"/>
      <c r="AX244" s="377"/>
      <c r="AY244" s="377"/>
      <c r="AZ244" s="377"/>
      <c r="BA244" s="377"/>
      <c r="BB244" s="377"/>
      <c r="BC244" s="377"/>
      <c r="BD244" s="377"/>
      <c r="BE244" s="377"/>
      <c r="BF244" s="377"/>
      <c r="BG244" s="377"/>
      <c r="BH244" s="377"/>
      <c r="BI244" s="377"/>
      <c r="BJ244" s="377"/>
      <c r="BK244" s="377"/>
      <c r="BL244" s="377"/>
      <c r="BM244" s="377"/>
      <c r="BN244" s="576"/>
      <c r="BO244" s="377"/>
      <c r="BP244" s="377"/>
      <c r="BQ244" s="377"/>
      <c r="BR244" s="377"/>
      <c r="BS244" s="377"/>
      <c r="BT244" s="377"/>
      <c r="BU244" s="377"/>
      <c r="BV244" s="377"/>
      <c r="BW244" s="377"/>
      <c r="BX244" s="377"/>
      <c r="BY244" s="377"/>
      <c r="BZ244" s="377"/>
      <c r="CA244" s="377"/>
      <c r="CB244" s="377"/>
      <c r="CC244" s="377"/>
      <c r="CD244" s="377"/>
      <c r="CE244" s="377"/>
      <c r="CF244" s="377"/>
      <c r="CG244" s="377"/>
      <c r="CH244" s="377"/>
      <c r="CI244" s="377"/>
    </row>
    <row r="245" spans="1:87" ht="15">
      <c r="A245" s="377"/>
      <c r="B245" s="377"/>
      <c r="C245" s="572"/>
      <c r="D245" s="377"/>
      <c r="E245" s="377"/>
      <c r="F245" s="377"/>
      <c r="G245" s="377"/>
      <c r="H245" s="573"/>
      <c r="I245" s="377"/>
      <c r="J245" s="377"/>
      <c r="K245" s="377"/>
      <c r="L245" s="377"/>
      <c r="M245" s="377"/>
      <c r="N245" s="377"/>
      <c r="O245" s="377"/>
      <c r="P245" s="377"/>
      <c r="Q245" s="377"/>
      <c r="R245" s="377"/>
      <c r="S245" s="377"/>
      <c r="T245" s="377"/>
      <c r="U245" s="377"/>
      <c r="V245" s="377"/>
      <c r="W245" s="377"/>
      <c r="X245" s="574"/>
      <c r="Y245" s="377"/>
      <c r="Z245" s="377"/>
      <c r="AA245" s="377"/>
      <c r="AB245" s="377"/>
      <c r="AC245" s="377"/>
      <c r="AD245" s="377"/>
      <c r="AE245" s="377"/>
      <c r="AF245" s="377"/>
      <c r="AG245" s="377"/>
      <c r="AH245" s="377"/>
      <c r="AI245" s="377"/>
      <c r="AJ245" s="377"/>
      <c r="AK245" s="377"/>
      <c r="AL245" s="574"/>
      <c r="AM245" s="377"/>
      <c r="AN245" s="377"/>
      <c r="AO245" s="377"/>
      <c r="AP245" s="377"/>
      <c r="AQ245" s="377"/>
      <c r="AR245" s="377"/>
      <c r="AS245" s="377"/>
      <c r="AT245" s="377"/>
      <c r="AU245" s="377"/>
      <c r="AV245" s="377"/>
      <c r="AW245" s="575"/>
      <c r="AX245" s="377"/>
      <c r="AY245" s="377"/>
      <c r="AZ245" s="377"/>
      <c r="BA245" s="377"/>
      <c r="BB245" s="377"/>
      <c r="BC245" s="377"/>
      <c r="BD245" s="377"/>
      <c r="BE245" s="377"/>
      <c r="BF245" s="377"/>
      <c r="BG245" s="377"/>
      <c r="BH245" s="377"/>
      <c r="BI245" s="377"/>
      <c r="BJ245" s="377"/>
      <c r="BK245" s="377"/>
      <c r="BL245" s="377"/>
      <c r="BM245" s="377"/>
      <c r="BN245" s="576"/>
      <c r="BO245" s="377"/>
      <c r="BP245" s="377"/>
      <c r="BQ245" s="377"/>
      <c r="BR245" s="377"/>
      <c r="BS245" s="377"/>
      <c r="BT245" s="377"/>
      <c r="BU245" s="377"/>
      <c r="BV245" s="377"/>
      <c r="BW245" s="377"/>
      <c r="BX245" s="377"/>
      <c r="BY245" s="377"/>
      <c r="BZ245" s="377"/>
      <c r="CA245" s="377"/>
      <c r="CB245" s="377"/>
      <c r="CC245" s="377"/>
      <c r="CD245" s="377"/>
      <c r="CE245" s="377"/>
      <c r="CF245" s="377"/>
      <c r="CG245" s="377"/>
      <c r="CH245" s="377"/>
      <c r="CI245" s="377"/>
    </row>
    <row r="246" spans="1:87" ht="15">
      <c r="A246" s="377"/>
      <c r="B246" s="377"/>
      <c r="C246" s="572"/>
      <c r="D246" s="377"/>
      <c r="E246" s="377"/>
      <c r="F246" s="377"/>
      <c r="G246" s="377"/>
      <c r="H246" s="573"/>
      <c r="I246" s="377"/>
      <c r="J246" s="377"/>
      <c r="K246" s="377"/>
      <c r="L246" s="377"/>
      <c r="M246" s="377"/>
      <c r="N246" s="377"/>
      <c r="O246" s="377"/>
      <c r="P246" s="377"/>
      <c r="Q246" s="377"/>
      <c r="R246" s="377"/>
      <c r="S246" s="377"/>
      <c r="T246" s="377"/>
      <c r="U246" s="377"/>
      <c r="V246" s="377"/>
      <c r="W246" s="377"/>
      <c r="X246" s="574"/>
      <c r="Y246" s="377"/>
      <c r="Z246" s="377"/>
      <c r="AA246" s="377"/>
      <c r="AB246" s="377"/>
      <c r="AC246" s="377"/>
      <c r="AD246" s="377"/>
      <c r="AE246" s="377"/>
      <c r="AF246" s="377"/>
      <c r="AG246" s="377"/>
      <c r="AH246" s="377"/>
      <c r="AI246" s="377"/>
      <c r="AJ246" s="377"/>
      <c r="AK246" s="377"/>
      <c r="AL246" s="574"/>
      <c r="AM246" s="377"/>
      <c r="AN246" s="377"/>
      <c r="AO246" s="377"/>
      <c r="AP246" s="377"/>
      <c r="AQ246" s="377"/>
      <c r="AR246" s="377"/>
      <c r="AS246" s="377"/>
      <c r="AT246" s="377"/>
      <c r="AU246" s="377"/>
      <c r="AV246" s="377"/>
      <c r="AW246" s="575"/>
      <c r="AX246" s="377"/>
      <c r="AY246" s="377"/>
      <c r="AZ246" s="377"/>
      <c r="BA246" s="377"/>
      <c r="BB246" s="377"/>
      <c r="BC246" s="377"/>
      <c r="BD246" s="377"/>
      <c r="BE246" s="377"/>
      <c r="BF246" s="377"/>
      <c r="BG246" s="377"/>
      <c r="BH246" s="377"/>
      <c r="BI246" s="377"/>
      <c r="BJ246" s="377"/>
      <c r="BK246" s="377"/>
      <c r="BL246" s="377"/>
      <c r="BM246" s="377"/>
      <c r="BN246" s="576"/>
      <c r="BO246" s="377"/>
      <c r="BP246" s="377"/>
      <c r="BQ246" s="377"/>
      <c r="BR246" s="377"/>
      <c r="BS246" s="377"/>
      <c r="BT246" s="377"/>
      <c r="BU246" s="377"/>
      <c r="BV246" s="377"/>
      <c r="BW246" s="377"/>
      <c r="BX246" s="377"/>
      <c r="BY246" s="377"/>
      <c r="BZ246" s="377"/>
      <c r="CA246" s="377"/>
      <c r="CB246" s="377"/>
      <c r="CC246" s="377"/>
      <c r="CD246" s="377"/>
      <c r="CE246" s="377"/>
      <c r="CF246" s="377"/>
      <c r="CG246" s="377"/>
      <c r="CH246" s="377"/>
      <c r="CI246" s="377"/>
    </row>
    <row r="247" spans="1:87" ht="15">
      <c r="A247" s="377"/>
      <c r="B247" s="377"/>
      <c r="C247" s="572"/>
      <c r="D247" s="377"/>
      <c r="E247" s="377"/>
      <c r="F247" s="377"/>
      <c r="G247" s="377"/>
      <c r="H247" s="573"/>
      <c r="I247" s="377"/>
      <c r="J247" s="377"/>
      <c r="K247" s="377"/>
      <c r="L247" s="377"/>
      <c r="M247" s="377"/>
      <c r="N247" s="377"/>
      <c r="O247" s="377"/>
      <c r="P247" s="377"/>
      <c r="Q247" s="377"/>
      <c r="R247" s="377"/>
      <c r="S247" s="377"/>
      <c r="T247" s="377"/>
      <c r="U247" s="377"/>
      <c r="V247" s="377"/>
      <c r="W247" s="377"/>
      <c r="X247" s="574"/>
      <c r="Y247" s="377"/>
      <c r="Z247" s="377"/>
      <c r="AA247" s="377"/>
      <c r="AB247" s="377"/>
      <c r="AC247" s="377"/>
      <c r="AD247" s="377"/>
      <c r="AE247" s="377"/>
      <c r="AF247" s="377"/>
      <c r="AG247" s="377"/>
      <c r="AH247" s="377"/>
      <c r="AI247" s="377"/>
      <c r="AJ247" s="377"/>
      <c r="AK247" s="377"/>
      <c r="AL247" s="574"/>
      <c r="AM247" s="377"/>
      <c r="AN247" s="377"/>
      <c r="AO247" s="377"/>
      <c r="AP247" s="377"/>
      <c r="AQ247" s="377"/>
      <c r="AR247" s="377"/>
      <c r="AS247" s="377"/>
      <c r="AT247" s="377"/>
      <c r="AU247" s="377"/>
      <c r="AV247" s="377"/>
      <c r="AW247" s="575"/>
      <c r="AX247" s="377"/>
      <c r="AY247" s="377"/>
      <c r="AZ247" s="377"/>
      <c r="BA247" s="377"/>
      <c r="BB247" s="377"/>
      <c r="BC247" s="377"/>
      <c r="BD247" s="377"/>
      <c r="BE247" s="377"/>
      <c r="BF247" s="377"/>
      <c r="BG247" s="377"/>
      <c r="BH247" s="377"/>
      <c r="BI247" s="377"/>
      <c r="BJ247" s="377"/>
      <c r="BK247" s="377"/>
      <c r="BL247" s="377"/>
      <c r="BM247" s="377"/>
      <c r="BN247" s="576"/>
      <c r="BO247" s="377"/>
      <c r="BP247" s="377"/>
      <c r="BQ247" s="377"/>
      <c r="BR247" s="377"/>
      <c r="BS247" s="377"/>
      <c r="BT247" s="377"/>
      <c r="BU247" s="377"/>
      <c r="BV247" s="377"/>
      <c r="BW247" s="377"/>
      <c r="BX247" s="377"/>
      <c r="BY247" s="377"/>
      <c r="BZ247" s="377"/>
      <c r="CA247" s="377"/>
      <c r="CB247" s="377"/>
      <c r="CC247" s="377"/>
      <c r="CD247" s="377"/>
      <c r="CE247" s="377"/>
      <c r="CF247" s="377"/>
      <c r="CG247" s="377"/>
      <c r="CH247" s="377"/>
      <c r="CI247" s="377"/>
    </row>
    <row r="248" spans="1:87" ht="15">
      <c r="A248" s="377"/>
      <c r="B248" s="377"/>
      <c r="C248" s="572"/>
      <c r="D248" s="377"/>
      <c r="E248" s="377"/>
      <c r="F248" s="377"/>
      <c r="G248" s="377"/>
      <c r="H248" s="573"/>
      <c r="I248" s="377"/>
      <c r="J248" s="377"/>
      <c r="K248" s="377"/>
      <c r="L248" s="377"/>
      <c r="M248" s="377"/>
      <c r="N248" s="377"/>
      <c r="O248" s="377"/>
      <c r="P248" s="377"/>
      <c r="Q248" s="377"/>
      <c r="R248" s="377"/>
      <c r="S248" s="377"/>
      <c r="T248" s="377"/>
      <c r="U248" s="377"/>
      <c r="V248" s="377"/>
      <c r="W248" s="377"/>
      <c r="X248" s="574"/>
      <c r="Y248" s="377"/>
      <c r="Z248" s="377"/>
      <c r="AA248" s="377"/>
      <c r="AB248" s="377"/>
      <c r="AC248" s="377"/>
      <c r="AD248" s="377"/>
      <c r="AE248" s="377"/>
      <c r="AF248" s="377"/>
      <c r="AG248" s="377"/>
      <c r="AH248" s="377"/>
      <c r="AI248" s="377"/>
      <c r="AJ248" s="377"/>
      <c r="AK248" s="377"/>
      <c r="AL248" s="574"/>
      <c r="AM248" s="377"/>
      <c r="AN248" s="377"/>
      <c r="AO248" s="377"/>
      <c r="AP248" s="377"/>
      <c r="AQ248" s="377"/>
      <c r="AR248" s="377"/>
      <c r="AS248" s="377"/>
      <c r="AT248" s="377"/>
      <c r="AU248" s="377"/>
      <c r="AV248" s="377"/>
      <c r="AW248" s="575"/>
      <c r="AX248" s="377"/>
      <c r="AY248" s="377"/>
      <c r="AZ248" s="377"/>
      <c r="BA248" s="377"/>
      <c r="BB248" s="377"/>
      <c r="BC248" s="377"/>
      <c r="BD248" s="377"/>
      <c r="BE248" s="377"/>
      <c r="BF248" s="377"/>
      <c r="BG248" s="377"/>
      <c r="BH248" s="377"/>
      <c r="BI248" s="377"/>
      <c r="BJ248" s="377"/>
      <c r="BK248" s="377"/>
      <c r="BL248" s="377"/>
      <c r="BM248" s="377"/>
      <c r="BN248" s="576"/>
      <c r="BO248" s="377"/>
      <c r="BP248" s="377"/>
      <c r="BQ248" s="377"/>
      <c r="BR248" s="377"/>
      <c r="BS248" s="377"/>
      <c r="BT248" s="377"/>
      <c r="BU248" s="377"/>
      <c r="BV248" s="377"/>
      <c r="BW248" s="377"/>
      <c r="BX248" s="377"/>
      <c r="BY248" s="377"/>
      <c r="BZ248" s="377"/>
      <c r="CA248" s="377"/>
      <c r="CB248" s="377"/>
      <c r="CC248" s="377"/>
      <c r="CD248" s="377"/>
      <c r="CE248" s="377"/>
      <c r="CF248" s="377"/>
      <c r="CG248" s="377"/>
      <c r="CH248" s="377"/>
      <c r="CI248" s="377"/>
    </row>
    <row r="249" spans="1:87" ht="15">
      <c r="A249" s="377"/>
      <c r="B249" s="377"/>
      <c r="C249" s="572"/>
      <c r="D249" s="377"/>
      <c r="E249" s="377"/>
      <c r="F249" s="377"/>
      <c r="G249" s="377"/>
      <c r="H249" s="573"/>
      <c r="I249" s="377"/>
      <c r="J249" s="377"/>
      <c r="K249" s="377"/>
      <c r="L249" s="377"/>
      <c r="M249" s="377"/>
      <c r="N249" s="377"/>
      <c r="O249" s="377"/>
      <c r="P249" s="377"/>
      <c r="Q249" s="377"/>
      <c r="R249" s="377"/>
      <c r="S249" s="377"/>
      <c r="T249" s="377"/>
      <c r="U249" s="377"/>
      <c r="V249" s="377"/>
      <c r="W249" s="377"/>
      <c r="X249" s="574"/>
      <c r="Y249" s="377"/>
      <c r="Z249" s="377"/>
      <c r="AA249" s="377"/>
      <c r="AB249" s="377"/>
      <c r="AC249" s="377"/>
      <c r="AD249" s="377"/>
      <c r="AE249" s="377"/>
      <c r="AF249" s="377"/>
      <c r="AG249" s="377"/>
      <c r="AH249" s="377"/>
      <c r="AI249" s="377"/>
      <c r="AJ249" s="377"/>
      <c r="AK249" s="377"/>
      <c r="AL249" s="574"/>
      <c r="AM249" s="377"/>
      <c r="AN249" s="377"/>
      <c r="AO249" s="377"/>
      <c r="AP249" s="377"/>
      <c r="AQ249" s="377"/>
      <c r="AR249" s="377"/>
      <c r="AS249" s="377"/>
      <c r="AT249" s="377"/>
      <c r="AU249" s="377"/>
      <c r="AV249" s="377"/>
      <c r="AW249" s="575"/>
      <c r="AX249" s="377"/>
      <c r="AY249" s="377"/>
      <c r="AZ249" s="377"/>
      <c r="BA249" s="377"/>
      <c r="BB249" s="377"/>
      <c r="BC249" s="377"/>
      <c r="BD249" s="377"/>
      <c r="BE249" s="377"/>
      <c r="BF249" s="377"/>
      <c r="BG249" s="377"/>
      <c r="BH249" s="377"/>
      <c r="BI249" s="377"/>
      <c r="BJ249" s="377"/>
      <c r="BK249" s="377"/>
      <c r="BL249" s="377"/>
      <c r="BM249" s="377"/>
      <c r="BN249" s="576"/>
      <c r="BO249" s="377"/>
      <c r="BP249" s="377"/>
      <c r="BQ249" s="377"/>
      <c r="BR249" s="377"/>
      <c r="BS249" s="377"/>
      <c r="BT249" s="377"/>
      <c r="BU249" s="377"/>
      <c r="BV249" s="377"/>
      <c r="BW249" s="377"/>
      <c r="BX249" s="377"/>
      <c r="BY249" s="377"/>
      <c r="BZ249" s="377"/>
      <c r="CA249" s="377"/>
      <c r="CB249" s="377"/>
      <c r="CC249" s="377"/>
      <c r="CD249" s="377"/>
      <c r="CE249" s="377"/>
      <c r="CF249" s="377"/>
      <c r="CG249" s="377"/>
      <c r="CH249" s="377"/>
      <c r="CI249" s="377"/>
    </row>
    <row r="250" spans="1:87" ht="15">
      <c r="A250" s="377"/>
      <c r="B250" s="377"/>
      <c r="C250" s="572"/>
      <c r="D250" s="377"/>
      <c r="E250" s="377"/>
      <c r="F250" s="377"/>
      <c r="G250" s="377"/>
      <c r="H250" s="573"/>
      <c r="I250" s="377"/>
      <c r="J250" s="377"/>
      <c r="K250" s="377"/>
      <c r="L250" s="377"/>
      <c r="M250" s="377"/>
      <c r="N250" s="377"/>
      <c r="O250" s="377"/>
      <c r="P250" s="377"/>
      <c r="Q250" s="377"/>
      <c r="R250" s="377"/>
      <c r="S250" s="377"/>
      <c r="T250" s="377"/>
      <c r="U250" s="377"/>
      <c r="V250" s="377"/>
      <c r="W250" s="377"/>
      <c r="X250" s="574"/>
      <c r="Y250" s="377"/>
      <c r="Z250" s="377"/>
      <c r="AA250" s="377"/>
      <c r="AB250" s="377"/>
      <c r="AC250" s="377"/>
      <c r="AD250" s="377"/>
      <c r="AE250" s="377"/>
      <c r="AF250" s="377"/>
      <c r="AG250" s="377"/>
      <c r="AH250" s="377"/>
      <c r="AI250" s="377"/>
      <c r="AJ250" s="377"/>
      <c r="AK250" s="377"/>
      <c r="AL250" s="574"/>
      <c r="AM250" s="377"/>
      <c r="AN250" s="377"/>
      <c r="AO250" s="377"/>
      <c r="AP250" s="377"/>
      <c r="AQ250" s="377"/>
      <c r="AR250" s="377"/>
      <c r="AS250" s="377"/>
      <c r="AT250" s="377"/>
      <c r="AU250" s="377"/>
      <c r="AV250" s="377"/>
      <c r="AW250" s="575"/>
      <c r="AX250" s="377"/>
      <c r="AY250" s="377"/>
      <c r="AZ250" s="377"/>
      <c r="BA250" s="377"/>
      <c r="BB250" s="377"/>
      <c r="BC250" s="377"/>
      <c r="BD250" s="377"/>
      <c r="BE250" s="377"/>
      <c r="BF250" s="377"/>
      <c r="BG250" s="377"/>
      <c r="BH250" s="377"/>
      <c r="BI250" s="377"/>
      <c r="BJ250" s="377"/>
      <c r="BK250" s="377"/>
      <c r="BL250" s="377"/>
      <c r="BM250" s="377"/>
      <c r="BN250" s="576"/>
      <c r="BO250" s="377"/>
      <c r="BP250" s="377"/>
      <c r="BQ250" s="377"/>
      <c r="BR250" s="377"/>
      <c r="BS250" s="377"/>
      <c r="BT250" s="377"/>
      <c r="BU250" s="377"/>
      <c r="BV250" s="377"/>
      <c r="BW250" s="377"/>
      <c r="BX250" s="377"/>
      <c r="BY250" s="377"/>
      <c r="BZ250" s="377"/>
      <c r="CA250" s="377"/>
      <c r="CB250" s="377"/>
      <c r="CC250" s="377"/>
      <c r="CD250" s="377"/>
      <c r="CE250" s="377"/>
      <c r="CF250" s="377"/>
      <c r="CG250" s="377"/>
      <c r="CH250" s="377"/>
      <c r="CI250" s="377"/>
    </row>
    <row r="251" spans="1:87" ht="15">
      <c r="A251" s="377"/>
      <c r="B251" s="377"/>
      <c r="C251" s="572"/>
      <c r="D251" s="377"/>
      <c r="E251" s="377"/>
      <c r="F251" s="377"/>
      <c r="G251" s="377"/>
      <c r="H251" s="573"/>
      <c r="I251" s="377"/>
      <c r="J251" s="377"/>
      <c r="K251" s="377"/>
      <c r="L251" s="377"/>
      <c r="M251" s="377"/>
      <c r="N251" s="377"/>
      <c r="O251" s="377"/>
      <c r="P251" s="377"/>
      <c r="Q251" s="377"/>
      <c r="R251" s="377"/>
      <c r="S251" s="377"/>
      <c r="T251" s="377"/>
      <c r="U251" s="377"/>
      <c r="V251" s="377"/>
      <c r="W251" s="377"/>
      <c r="X251" s="574"/>
      <c r="Y251" s="377"/>
      <c r="Z251" s="377"/>
      <c r="AA251" s="377"/>
      <c r="AB251" s="377"/>
      <c r="AC251" s="377"/>
      <c r="AD251" s="377"/>
      <c r="AE251" s="377"/>
      <c r="AF251" s="377"/>
      <c r="AG251" s="377"/>
      <c r="AH251" s="377"/>
      <c r="AI251" s="377"/>
      <c r="AJ251" s="377"/>
      <c r="AK251" s="377"/>
      <c r="AL251" s="574"/>
      <c r="AM251" s="377"/>
      <c r="AN251" s="377"/>
      <c r="AO251" s="377"/>
      <c r="AP251" s="377"/>
      <c r="AQ251" s="377"/>
      <c r="AR251" s="377"/>
      <c r="AS251" s="377"/>
      <c r="AT251" s="377"/>
      <c r="AU251" s="377"/>
      <c r="AV251" s="377"/>
      <c r="AW251" s="575"/>
      <c r="AX251" s="377"/>
      <c r="AY251" s="377"/>
      <c r="AZ251" s="377"/>
      <c r="BA251" s="377"/>
      <c r="BB251" s="377"/>
      <c r="BC251" s="377"/>
      <c r="BD251" s="377"/>
      <c r="BE251" s="377"/>
      <c r="BF251" s="377"/>
      <c r="BG251" s="377"/>
      <c r="BH251" s="377"/>
      <c r="BI251" s="377"/>
      <c r="BJ251" s="377"/>
      <c r="BK251" s="377"/>
      <c r="BL251" s="377"/>
      <c r="BM251" s="377"/>
      <c r="BN251" s="576"/>
      <c r="BO251" s="377"/>
      <c r="BP251" s="377"/>
      <c r="BQ251" s="377"/>
      <c r="BR251" s="377"/>
      <c r="BS251" s="377"/>
      <c r="BT251" s="377"/>
      <c r="BU251" s="377"/>
      <c r="BV251" s="377"/>
      <c r="BW251" s="377"/>
      <c r="BX251" s="377"/>
      <c r="BY251" s="377"/>
      <c r="BZ251" s="377"/>
      <c r="CA251" s="377"/>
      <c r="CB251" s="377"/>
      <c r="CC251" s="377"/>
      <c r="CD251" s="377"/>
      <c r="CE251" s="377"/>
      <c r="CF251" s="377"/>
      <c r="CG251" s="377"/>
      <c r="CH251" s="377"/>
      <c r="CI251" s="377"/>
    </row>
    <row r="252" spans="1:87" ht="15">
      <c r="A252" s="377"/>
      <c r="B252" s="377"/>
      <c r="C252" s="572"/>
      <c r="D252" s="377"/>
      <c r="E252" s="377"/>
      <c r="F252" s="377"/>
      <c r="G252" s="377"/>
      <c r="H252" s="573"/>
      <c r="I252" s="377"/>
      <c r="J252" s="377"/>
      <c r="K252" s="377"/>
      <c r="L252" s="377"/>
      <c r="M252" s="377"/>
      <c r="N252" s="377"/>
      <c r="O252" s="377"/>
      <c r="P252" s="377"/>
      <c r="Q252" s="377"/>
      <c r="R252" s="377"/>
      <c r="S252" s="377"/>
      <c r="T252" s="377"/>
      <c r="U252" s="377"/>
      <c r="V252" s="377"/>
      <c r="W252" s="377"/>
      <c r="X252" s="574"/>
      <c r="Y252" s="377"/>
      <c r="Z252" s="377"/>
      <c r="AA252" s="377"/>
      <c r="AB252" s="377"/>
      <c r="AC252" s="377"/>
      <c r="AD252" s="377"/>
      <c r="AE252" s="377"/>
      <c r="AF252" s="377"/>
      <c r="AG252" s="377"/>
      <c r="AH252" s="377"/>
      <c r="AI252" s="377"/>
      <c r="AJ252" s="377"/>
      <c r="AK252" s="377"/>
      <c r="AL252" s="574"/>
      <c r="AM252" s="377"/>
      <c r="AN252" s="377"/>
      <c r="AO252" s="377"/>
      <c r="AP252" s="377"/>
      <c r="AQ252" s="377"/>
      <c r="AR252" s="377"/>
      <c r="AS252" s="377"/>
      <c r="AT252" s="377"/>
      <c r="AU252" s="377"/>
      <c r="AV252" s="377"/>
      <c r="AW252" s="575"/>
      <c r="AX252" s="377"/>
      <c r="AY252" s="377"/>
      <c r="AZ252" s="377"/>
      <c r="BA252" s="377"/>
      <c r="BB252" s="377"/>
      <c r="BC252" s="377"/>
      <c r="BD252" s="377"/>
      <c r="BE252" s="377"/>
      <c r="BF252" s="377"/>
      <c r="BG252" s="377"/>
      <c r="BH252" s="377"/>
      <c r="BI252" s="377"/>
      <c r="BJ252" s="377"/>
      <c r="BK252" s="377"/>
      <c r="BL252" s="377"/>
      <c r="BM252" s="377"/>
      <c r="BN252" s="576"/>
      <c r="BO252" s="377"/>
      <c r="BP252" s="377"/>
      <c r="BQ252" s="377"/>
      <c r="BR252" s="377"/>
      <c r="BS252" s="377"/>
      <c r="BT252" s="377"/>
      <c r="BU252" s="377"/>
      <c r="BV252" s="377"/>
      <c r="BW252" s="377"/>
      <c r="BX252" s="377"/>
      <c r="BY252" s="377"/>
      <c r="BZ252" s="377"/>
      <c r="CA252" s="377"/>
      <c r="CB252" s="377"/>
      <c r="CC252" s="377"/>
      <c r="CD252" s="377"/>
      <c r="CE252" s="377"/>
      <c r="CF252" s="377"/>
      <c r="CG252" s="377"/>
      <c r="CH252" s="377"/>
      <c r="CI252" s="377"/>
    </row>
    <row r="253" spans="1:87" ht="15">
      <c r="A253" s="377"/>
      <c r="B253" s="377"/>
      <c r="C253" s="572"/>
      <c r="D253" s="377"/>
      <c r="E253" s="377"/>
      <c r="F253" s="377"/>
      <c r="G253" s="377"/>
      <c r="H253" s="573"/>
      <c r="I253" s="377"/>
      <c r="J253" s="377"/>
      <c r="K253" s="377"/>
      <c r="L253" s="377"/>
      <c r="M253" s="377"/>
      <c r="N253" s="377"/>
      <c r="O253" s="377"/>
      <c r="P253" s="377"/>
      <c r="Q253" s="377"/>
      <c r="R253" s="377"/>
      <c r="S253" s="377"/>
      <c r="T253" s="377"/>
      <c r="U253" s="377"/>
      <c r="V253" s="377"/>
      <c r="W253" s="377"/>
      <c r="X253" s="574"/>
      <c r="Y253" s="377"/>
      <c r="Z253" s="377"/>
      <c r="AA253" s="377"/>
      <c r="AB253" s="377"/>
      <c r="AC253" s="377"/>
      <c r="AD253" s="377"/>
      <c r="AE253" s="377"/>
      <c r="AF253" s="377"/>
      <c r="AG253" s="377"/>
      <c r="AH253" s="377"/>
      <c r="AI253" s="377"/>
      <c r="AJ253" s="377"/>
      <c r="AK253" s="377"/>
      <c r="AL253" s="574"/>
      <c r="AM253" s="377"/>
      <c r="AN253" s="377"/>
      <c r="AO253" s="377"/>
      <c r="AP253" s="377"/>
      <c r="AQ253" s="377"/>
      <c r="AR253" s="377"/>
      <c r="AS253" s="377"/>
      <c r="AT253" s="377"/>
      <c r="AU253" s="377"/>
      <c r="AV253" s="377"/>
      <c r="AW253" s="575"/>
      <c r="AX253" s="377"/>
      <c r="AY253" s="377"/>
      <c r="AZ253" s="377"/>
      <c r="BA253" s="377"/>
      <c r="BB253" s="377"/>
      <c r="BC253" s="377"/>
      <c r="BD253" s="377"/>
      <c r="BE253" s="377"/>
      <c r="BF253" s="377"/>
      <c r="BG253" s="377"/>
      <c r="BH253" s="377"/>
      <c r="BI253" s="377"/>
      <c r="BJ253" s="377"/>
      <c r="BK253" s="377"/>
      <c r="BL253" s="377"/>
      <c r="BM253" s="377"/>
      <c r="BN253" s="576"/>
      <c r="BO253" s="377"/>
      <c r="BP253" s="377"/>
      <c r="BQ253" s="377"/>
      <c r="BR253" s="377"/>
      <c r="BS253" s="377"/>
      <c r="BT253" s="377"/>
      <c r="BU253" s="377"/>
      <c r="BV253" s="377"/>
      <c r="BW253" s="377"/>
      <c r="BX253" s="377"/>
      <c r="BY253" s="377"/>
      <c r="BZ253" s="377"/>
      <c r="CA253" s="377"/>
      <c r="CB253" s="377"/>
      <c r="CC253" s="377"/>
      <c r="CD253" s="377"/>
      <c r="CE253" s="377"/>
      <c r="CF253" s="377"/>
      <c r="CG253" s="377"/>
      <c r="CH253" s="377"/>
      <c r="CI253" s="377"/>
    </row>
    <row r="254" spans="1:87" ht="15">
      <c r="A254" s="377"/>
      <c r="B254" s="377"/>
      <c r="C254" s="572"/>
      <c r="D254" s="377"/>
      <c r="E254" s="377"/>
      <c r="F254" s="377"/>
      <c r="G254" s="377"/>
      <c r="H254" s="573"/>
      <c r="I254" s="377"/>
      <c r="J254" s="377"/>
      <c r="K254" s="377"/>
      <c r="L254" s="377"/>
      <c r="M254" s="377"/>
      <c r="N254" s="377"/>
      <c r="O254" s="377"/>
      <c r="P254" s="377"/>
      <c r="Q254" s="377"/>
      <c r="R254" s="377"/>
      <c r="S254" s="377"/>
      <c r="T254" s="377"/>
      <c r="U254" s="377"/>
      <c r="V254" s="377"/>
      <c r="W254" s="377"/>
      <c r="X254" s="574"/>
      <c r="Y254" s="377"/>
      <c r="Z254" s="377"/>
      <c r="AA254" s="377"/>
      <c r="AB254" s="377"/>
      <c r="AC254" s="377"/>
      <c r="AD254" s="377"/>
      <c r="AE254" s="377"/>
      <c r="AF254" s="377"/>
      <c r="AG254" s="377"/>
      <c r="AH254" s="377"/>
      <c r="AI254" s="377"/>
      <c r="AJ254" s="377"/>
      <c r="AK254" s="377"/>
      <c r="AL254" s="574"/>
      <c r="AM254" s="377"/>
      <c r="AN254" s="377"/>
      <c r="AO254" s="377"/>
      <c r="AP254" s="377"/>
      <c r="AQ254" s="377"/>
      <c r="AR254" s="377"/>
      <c r="AS254" s="377"/>
      <c r="AT254" s="377"/>
      <c r="AU254" s="377"/>
      <c r="AV254" s="377"/>
      <c r="AW254" s="575"/>
      <c r="AX254" s="377"/>
      <c r="AY254" s="377"/>
      <c r="AZ254" s="377"/>
      <c r="BA254" s="377"/>
      <c r="BB254" s="377"/>
      <c r="BC254" s="377"/>
      <c r="BD254" s="377"/>
      <c r="BE254" s="377"/>
      <c r="BF254" s="377"/>
      <c r="BG254" s="377"/>
      <c r="BH254" s="377"/>
      <c r="BI254" s="377"/>
      <c r="BJ254" s="377"/>
      <c r="BK254" s="377"/>
      <c r="BL254" s="377"/>
      <c r="BM254" s="377"/>
      <c r="BN254" s="576"/>
      <c r="BO254" s="377"/>
      <c r="BP254" s="377"/>
      <c r="BQ254" s="377"/>
      <c r="BR254" s="377"/>
      <c r="BS254" s="377"/>
      <c r="BT254" s="377"/>
      <c r="BU254" s="377"/>
      <c r="BV254" s="377"/>
      <c r="BW254" s="377"/>
      <c r="BX254" s="377"/>
      <c r="BY254" s="377"/>
      <c r="BZ254" s="377"/>
      <c r="CA254" s="377"/>
      <c r="CB254" s="377"/>
      <c r="CC254" s="377"/>
      <c r="CD254" s="377"/>
      <c r="CE254" s="377"/>
      <c r="CF254" s="377"/>
      <c r="CG254" s="377"/>
      <c r="CH254" s="377"/>
      <c r="CI254" s="377"/>
    </row>
    <row r="255" spans="1:87" ht="15">
      <c r="A255" s="377"/>
      <c r="B255" s="377"/>
      <c r="C255" s="572"/>
      <c r="D255" s="377"/>
      <c r="E255" s="377"/>
      <c r="F255" s="377"/>
      <c r="G255" s="377"/>
      <c r="H255" s="573"/>
      <c r="I255" s="377"/>
      <c r="J255" s="377"/>
      <c r="K255" s="377"/>
      <c r="L255" s="377"/>
      <c r="M255" s="377"/>
      <c r="N255" s="377"/>
      <c r="O255" s="377"/>
      <c r="P255" s="377"/>
      <c r="Q255" s="377"/>
      <c r="R255" s="377"/>
      <c r="S255" s="377"/>
      <c r="T255" s="377"/>
      <c r="U255" s="377"/>
      <c r="V255" s="377"/>
      <c r="W255" s="377"/>
      <c r="X255" s="574"/>
      <c r="Y255" s="377"/>
      <c r="Z255" s="377"/>
      <c r="AA255" s="377"/>
      <c r="AB255" s="377"/>
      <c r="AC255" s="377"/>
      <c r="AD255" s="377"/>
      <c r="AE255" s="377"/>
      <c r="AF255" s="377"/>
      <c r="AG255" s="377"/>
      <c r="AH255" s="377"/>
      <c r="AI255" s="377"/>
      <c r="AJ255" s="377"/>
      <c r="AK255" s="377"/>
      <c r="AL255" s="574"/>
      <c r="AM255" s="377"/>
      <c r="AN255" s="377"/>
      <c r="AO255" s="377"/>
      <c r="AP255" s="377"/>
      <c r="AQ255" s="377"/>
      <c r="AR255" s="377"/>
      <c r="AS255" s="377"/>
      <c r="AT255" s="377"/>
      <c r="AU255" s="377"/>
      <c r="AV255" s="377"/>
      <c r="AW255" s="575"/>
      <c r="AX255" s="377"/>
      <c r="AY255" s="377"/>
      <c r="AZ255" s="377"/>
      <c r="BA255" s="377"/>
      <c r="BB255" s="377"/>
      <c r="BC255" s="377"/>
      <c r="BD255" s="377"/>
      <c r="BE255" s="377"/>
      <c r="BF255" s="377"/>
      <c r="BG255" s="377"/>
      <c r="BH255" s="377"/>
      <c r="BI255" s="377"/>
      <c r="BJ255" s="377"/>
      <c r="BK255" s="377"/>
      <c r="BL255" s="377"/>
      <c r="BM255" s="377"/>
      <c r="BN255" s="576"/>
      <c r="BO255" s="377"/>
      <c r="BP255" s="377"/>
      <c r="BQ255" s="377"/>
      <c r="BR255" s="377"/>
      <c r="BS255" s="377"/>
      <c r="BT255" s="377"/>
      <c r="BU255" s="377"/>
      <c r="BV255" s="377"/>
      <c r="BW255" s="377"/>
      <c r="BX255" s="377"/>
      <c r="BY255" s="377"/>
      <c r="BZ255" s="377"/>
      <c r="CA255" s="377"/>
      <c r="CB255" s="377"/>
      <c r="CC255" s="377"/>
      <c r="CD255" s="377"/>
      <c r="CE255" s="377"/>
      <c r="CF255" s="377"/>
      <c r="CG255" s="377"/>
      <c r="CH255" s="377"/>
      <c r="CI255" s="377"/>
    </row>
    <row r="256" spans="1:87" ht="15">
      <c r="A256" s="377"/>
      <c r="B256" s="377"/>
      <c r="C256" s="572"/>
      <c r="D256" s="377"/>
      <c r="E256" s="377"/>
      <c r="F256" s="377"/>
      <c r="G256" s="377"/>
      <c r="H256" s="573"/>
      <c r="I256" s="377"/>
      <c r="J256" s="377"/>
      <c r="K256" s="377"/>
      <c r="L256" s="377"/>
      <c r="M256" s="377"/>
      <c r="N256" s="377"/>
      <c r="O256" s="377"/>
      <c r="P256" s="377"/>
      <c r="Q256" s="377"/>
      <c r="R256" s="377"/>
      <c r="S256" s="377"/>
      <c r="T256" s="377"/>
      <c r="U256" s="377"/>
      <c r="V256" s="377"/>
      <c r="W256" s="377"/>
      <c r="X256" s="574"/>
      <c r="Y256" s="377"/>
      <c r="Z256" s="377"/>
      <c r="AA256" s="377"/>
      <c r="AB256" s="377"/>
      <c r="AC256" s="377"/>
      <c r="AD256" s="377"/>
      <c r="AE256" s="377"/>
      <c r="AF256" s="377"/>
      <c r="AG256" s="377"/>
      <c r="AH256" s="377"/>
      <c r="AI256" s="377"/>
      <c r="AJ256" s="377"/>
      <c r="AK256" s="377"/>
      <c r="AL256" s="574"/>
      <c r="AM256" s="377"/>
      <c r="AN256" s="377"/>
      <c r="AO256" s="377"/>
      <c r="AP256" s="377"/>
      <c r="AQ256" s="377"/>
      <c r="AR256" s="377"/>
      <c r="AS256" s="377"/>
      <c r="AT256" s="377"/>
      <c r="AU256" s="377"/>
      <c r="AV256" s="377"/>
      <c r="AW256" s="575"/>
      <c r="AX256" s="377"/>
      <c r="AY256" s="377"/>
      <c r="AZ256" s="377"/>
      <c r="BA256" s="377"/>
      <c r="BB256" s="377"/>
      <c r="BC256" s="377"/>
      <c r="BD256" s="377"/>
      <c r="BE256" s="377"/>
      <c r="BF256" s="377"/>
      <c r="BG256" s="377"/>
      <c r="BH256" s="377"/>
      <c r="BI256" s="377"/>
      <c r="BJ256" s="377"/>
      <c r="BK256" s="377"/>
      <c r="BL256" s="377"/>
      <c r="BM256" s="377"/>
      <c r="BN256" s="576"/>
      <c r="BO256" s="377"/>
      <c r="BP256" s="377"/>
      <c r="BQ256" s="377"/>
      <c r="BR256" s="377"/>
      <c r="BS256" s="377"/>
      <c r="BT256" s="377"/>
      <c r="BU256" s="377"/>
      <c r="BV256" s="377"/>
      <c r="BW256" s="377"/>
      <c r="BX256" s="377"/>
      <c r="BY256" s="377"/>
      <c r="BZ256" s="377"/>
      <c r="CA256" s="377"/>
      <c r="CB256" s="377"/>
      <c r="CC256" s="377"/>
      <c r="CD256" s="377"/>
      <c r="CE256" s="377"/>
      <c r="CF256" s="377"/>
      <c r="CG256" s="377"/>
      <c r="CH256" s="377"/>
      <c r="CI256" s="377"/>
    </row>
    <row r="257" spans="1:87" ht="15">
      <c r="A257" s="377"/>
      <c r="B257" s="377"/>
      <c r="C257" s="572"/>
      <c r="D257" s="377"/>
      <c r="E257" s="377"/>
      <c r="F257" s="377"/>
      <c r="G257" s="377"/>
      <c r="H257" s="573"/>
      <c r="I257" s="377"/>
      <c r="J257" s="377"/>
      <c r="K257" s="377"/>
      <c r="L257" s="377"/>
      <c r="M257" s="377"/>
      <c r="N257" s="377"/>
      <c r="O257" s="377"/>
      <c r="P257" s="377"/>
      <c r="Q257" s="377"/>
      <c r="R257" s="377"/>
      <c r="S257" s="377"/>
      <c r="T257" s="377"/>
      <c r="U257" s="377"/>
      <c r="V257" s="377"/>
      <c r="W257" s="377"/>
      <c r="X257" s="574"/>
      <c r="Y257" s="377"/>
      <c r="Z257" s="377"/>
      <c r="AA257" s="377"/>
      <c r="AB257" s="377"/>
      <c r="AC257" s="377"/>
      <c r="AD257" s="377"/>
      <c r="AE257" s="377"/>
      <c r="AF257" s="377"/>
      <c r="AG257" s="377"/>
      <c r="AH257" s="377"/>
      <c r="AI257" s="377"/>
      <c r="AJ257" s="377"/>
      <c r="AK257" s="377"/>
      <c r="AL257" s="574"/>
      <c r="AM257" s="377"/>
      <c r="AN257" s="377"/>
      <c r="AO257" s="377"/>
      <c r="AP257" s="377"/>
      <c r="AQ257" s="377"/>
      <c r="AR257" s="377"/>
      <c r="AS257" s="377"/>
      <c r="AT257" s="377"/>
      <c r="AU257" s="377"/>
      <c r="AV257" s="377"/>
      <c r="AW257" s="575"/>
      <c r="AX257" s="377"/>
      <c r="AY257" s="377"/>
      <c r="AZ257" s="377"/>
      <c r="BA257" s="377"/>
      <c r="BB257" s="377"/>
      <c r="BC257" s="377"/>
      <c r="BD257" s="377"/>
      <c r="BE257" s="377"/>
      <c r="BF257" s="377"/>
      <c r="BG257" s="377"/>
      <c r="BH257" s="377"/>
      <c r="BI257" s="377"/>
      <c r="BJ257" s="377"/>
      <c r="BK257" s="377"/>
      <c r="BL257" s="377"/>
      <c r="BM257" s="377"/>
      <c r="BN257" s="576"/>
      <c r="BO257" s="377"/>
      <c r="BP257" s="377"/>
      <c r="BQ257" s="377"/>
      <c r="BR257" s="377"/>
      <c r="BS257" s="377"/>
      <c r="BT257" s="377"/>
      <c r="BU257" s="377"/>
      <c r="BV257" s="377"/>
      <c r="BW257" s="377"/>
      <c r="BX257" s="377"/>
      <c r="BY257" s="377"/>
      <c r="BZ257" s="377"/>
      <c r="CA257" s="377"/>
      <c r="CB257" s="377"/>
      <c r="CC257" s="377"/>
      <c r="CD257" s="377"/>
      <c r="CE257" s="377"/>
      <c r="CF257" s="377"/>
      <c r="CG257" s="377"/>
      <c r="CH257" s="377"/>
      <c r="CI257" s="377"/>
    </row>
    <row r="258" spans="1:87" ht="15">
      <c r="A258" s="377"/>
      <c r="B258" s="377"/>
      <c r="C258" s="572"/>
      <c r="D258" s="377"/>
      <c r="E258" s="377"/>
      <c r="F258" s="377"/>
      <c r="G258" s="377"/>
      <c r="H258" s="573"/>
      <c r="I258" s="377"/>
      <c r="J258" s="377"/>
      <c r="K258" s="377"/>
      <c r="L258" s="377"/>
      <c r="M258" s="377"/>
      <c r="N258" s="377"/>
      <c r="O258" s="377"/>
      <c r="P258" s="377"/>
      <c r="Q258" s="377"/>
      <c r="R258" s="377"/>
      <c r="S258" s="377"/>
      <c r="T258" s="377"/>
      <c r="U258" s="377"/>
      <c r="V258" s="377"/>
      <c r="W258" s="377"/>
      <c r="X258" s="574"/>
      <c r="Y258" s="377"/>
      <c r="Z258" s="377"/>
      <c r="AA258" s="377"/>
      <c r="AB258" s="377"/>
      <c r="AC258" s="377"/>
      <c r="AD258" s="377"/>
      <c r="AE258" s="377"/>
      <c r="AF258" s="377"/>
      <c r="AG258" s="377"/>
      <c r="AH258" s="377"/>
      <c r="AI258" s="377"/>
      <c r="AJ258" s="377"/>
      <c r="AK258" s="377"/>
      <c r="AL258" s="574"/>
      <c r="AM258" s="377"/>
      <c r="AN258" s="377"/>
      <c r="AO258" s="377"/>
      <c r="AP258" s="377"/>
      <c r="AQ258" s="377"/>
      <c r="AR258" s="377"/>
      <c r="AS258" s="377"/>
      <c r="AT258" s="377"/>
      <c r="AU258" s="377"/>
      <c r="AV258" s="377"/>
      <c r="AW258" s="575"/>
      <c r="AX258" s="377"/>
      <c r="AY258" s="377"/>
      <c r="AZ258" s="377"/>
      <c r="BA258" s="377"/>
      <c r="BB258" s="377"/>
      <c r="BC258" s="377"/>
      <c r="BD258" s="377"/>
      <c r="BE258" s="377"/>
      <c r="BF258" s="377"/>
      <c r="BG258" s="377"/>
      <c r="BH258" s="377"/>
      <c r="BI258" s="377"/>
      <c r="BJ258" s="377"/>
      <c r="BK258" s="377"/>
      <c r="BL258" s="377"/>
      <c r="BM258" s="377"/>
      <c r="BN258" s="576"/>
      <c r="BO258" s="377"/>
      <c r="BP258" s="377"/>
      <c r="BQ258" s="377"/>
      <c r="BR258" s="377"/>
      <c r="BS258" s="377"/>
      <c r="BT258" s="377"/>
      <c r="BU258" s="377"/>
      <c r="BV258" s="377"/>
      <c r="BW258" s="377"/>
      <c r="BX258" s="377"/>
      <c r="BY258" s="377"/>
      <c r="BZ258" s="377"/>
      <c r="CA258" s="377"/>
      <c r="CB258" s="377"/>
      <c r="CC258" s="377"/>
      <c r="CD258" s="377"/>
      <c r="CE258" s="377"/>
      <c r="CF258" s="377"/>
      <c r="CG258" s="377"/>
      <c r="CH258" s="377"/>
      <c r="CI258" s="377"/>
    </row>
    <row r="259" spans="1:87" ht="15">
      <c r="A259" s="377"/>
      <c r="B259" s="377"/>
      <c r="C259" s="572"/>
      <c r="D259" s="377"/>
      <c r="E259" s="377"/>
      <c r="F259" s="377"/>
      <c r="G259" s="377"/>
      <c r="H259" s="573"/>
      <c r="I259" s="377"/>
      <c r="J259" s="377"/>
      <c r="K259" s="377"/>
      <c r="L259" s="377"/>
      <c r="M259" s="377"/>
      <c r="N259" s="377"/>
      <c r="O259" s="377"/>
      <c r="P259" s="377"/>
      <c r="Q259" s="377"/>
      <c r="R259" s="377"/>
      <c r="S259" s="377"/>
      <c r="T259" s="377"/>
      <c r="U259" s="377"/>
      <c r="V259" s="377"/>
      <c r="W259" s="377"/>
      <c r="X259" s="574"/>
      <c r="Y259" s="377"/>
      <c r="Z259" s="377"/>
      <c r="AA259" s="377"/>
      <c r="AB259" s="377"/>
      <c r="AC259" s="377"/>
      <c r="AD259" s="377"/>
      <c r="AE259" s="377"/>
      <c r="AF259" s="377"/>
      <c r="AG259" s="377"/>
      <c r="AH259" s="377"/>
      <c r="AI259" s="377"/>
      <c r="AJ259" s="377"/>
      <c r="AK259" s="377"/>
      <c r="AL259" s="574"/>
      <c r="AM259" s="377"/>
      <c r="AN259" s="377"/>
      <c r="AO259" s="377"/>
      <c r="AP259" s="377"/>
      <c r="AQ259" s="377"/>
      <c r="AR259" s="377"/>
      <c r="AS259" s="377"/>
      <c r="AT259" s="377"/>
      <c r="AU259" s="377"/>
      <c r="AV259" s="377"/>
      <c r="AW259" s="575"/>
      <c r="AX259" s="377"/>
      <c r="AY259" s="377"/>
      <c r="AZ259" s="377"/>
      <c r="BA259" s="377"/>
      <c r="BB259" s="377"/>
      <c r="BC259" s="377"/>
      <c r="BD259" s="377"/>
      <c r="BE259" s="377"/>
      <c r="BF259" s="377"/>
      <c r="BG259" s="377"/>
      <c r="BH259" s="377"/>
      <c r="BI259" s="377"/>
      <c r="BJ259" s="377"/>
      <c r="BK259" s="377"/>
      <c r="BL259" s="377"/>
      <c r="BM259" s="377"/>
      <c r="BN259" s="576"/>
      <c r="BO259" s="377"/>
      <c r="BP259" s="377"/>
      <c r="BQ259" s="377"/>
      <c r="BR259" s="377"/>
      <c r="BS259" s="377"/>
      <c r="BT259" s="377"/>
      <c r="BU259" s="377"/>
      <c r="BV259" s="377"/>
      <c r="BW259" s="377"/>
      <c r="BX259" s="377"/>
      <c r="BY259" s="377"/>
      <c r="BZ259" s="377"/>
      <c r="CA259" s="377"/>
      <c r="CB259" s="377"/>
      <c r="CC259" s="377"/>
      <c r="CD259" s="377"/>
      <c r="CE259" s="377"/>
      <c r="CF259" s="377"/>
      <c r="CG259" s="377"/>
      <c r="CH259" s="377"/>
      <c r="CI259" s="377"/>
    </row>
    <row r="260" spans="1:87" ht="15">
      <c r="A260" s="377"/>
      <c r="B260" s="377"/>
      <c r="C260" s="572"/>
      <c r="D260" s="377"/>
      <c r="E260" s="377"/>
      <c r="F260" s="377"/>
      <c r="G260" s="377"/>
      <c r="H260" s="573"/>
      <c r="I260" s="377"/>
      <c r="J260" s="377"/>
      <c r="K260" s="377"/>
      <c r="L260" s="377"/>
      <c r="M260" s="377"/>
      <c r="N260" s="377"/>
      <c r="O260" s="377"/>
      <c r="P260" s="377"/>
      <c r="Q260" s="377"/>
      <c r="R260" s="377"/>
      <c r="S260" s="377"/>
      <c r="T260" s="377"/>
      <c r="U260" s="377"/>
      <c r="V260" s="377"/>
      <c r="W260" s="377"/>
      <c r="X260" s="574"/>
      <c r="Y260" s="377"/>
      <c r="Z260" s="377"/>
      <c r="AA260" s="377"/>
      <c r="AB260" s="377"/>
      <c r="AC260" s="377"/>
      <c r="AD260" s="377"/>
      <c r="AE260" s="377"/>
      <c r="AF260" s="377"/>
      <c r="AG260" s="377"/>
      <c r="AH260" s="377"/>
      <c r="AI260" s="377"/>
      <c r="AJ260" s="377"/>
      <c r="AK260" s="377"/>
      <c r="AL260" s="574"/>
      <c r="AM260" s="377"/>
      <c r="AN260" s="377"/>
      <c r="AO260" s="377"/>
      <c r="AP260" s="377"/>
      <c r="AQ260" s="377"/>
      <c r="AR260" s="377"/>
      <c r="AS260" s="377"/>
      <c r="AT260" s="377"/>
      <c r="AU260" s="377"/>
      <c r="AV260" s="377"/>
      <c r="AW260" s="575"/>
      <c r="AX260" s="377"/>
      <c r="AY260" s="377"/>
      <c r="AZ260" s="377"/>
      <c r="BA260" s="377"/>
      <c r="BB260" s="377"/>
      <c r="BC260" s="377"/>
      <c r="BD260" s="377"/>
      <c r="BE260" s="377"/>
      <c r="BF260" s="377"/>
      <c r="BG260" s="377"/>
      <c r="BH260" s="377"/>
      <c r="BI260" s="377"/>
      <c r="BJ260" s="377"/>
      <c r="BK260" s="377"/>
      <c r="BL260" s="377"/>
      <c r="BM260" s="377"/>
      <c r="BN260" s="576"/>
      <c r="BO260" s="377"/>
      <c r="BP260" s="377"/>
      <c r="BQ260" s="377"/>
      <c r="BR260" s="377"/>
      <c r="BS260" s="377"/>
      <c r="BT260" s="377"/>
      <c r="BU260" s="377"/>
      <c r="BV260" s="377"/>
      <c r="BW260" s="377"/>
      <c r="BX260" s="377"/>
      <c r="BY260" s="377"/>
      <c r="BZ260" s="377"/>
      <c r="CA260" s="377"/>
      <c r="CB260" s="377"/>
      <c r="CC260" s="377"/>
      <c r="CD260" s="377"/>
      <c r="CE260" s="377"/>
      <c r="CF260" s="377"/>
      <c r="CG260" s="377"/>
      <c r="CH260" s="377"/>
      <c r="CI260" s="377"/>
    </row>
    <row r="261" spans="1:87" ht="15">
      <c r="A261" s="377"/>
      <c r="B261" s="377"/>
      <c r="C261" s="572"/>
      <c r="D261" s="377"/>
      <c r="E261" s="377"/>
      <c r="F261" s="377"/>
      <c r="G261" s="377"/>
      <c r="H261" s="573"/>
      <c r="I261" s="377"/>
      <c r="J261" s="377"/>
      <c r="K261" s="377"/>
      <c r="L261" s="377"/>
      <c r="M261" s="377"/>
      <c r="N261" s="377"/>
      <c r="O261" s="377"/>
      <c r="P261" s="377"/>
      <c r="Q261" s="377"/>
      <c r="R261" s="377"/>
      <c r="S261" s="377"/>
      <c r="T261" s="377"/>
      <c r="U261" s="377"/>
      <c r="V261" s="377"/>
      <c r="W261" s="377"/>
      <c r="X261" s="574"/>
      <c r="Y261" s="377"/>
      <c r="Z261" s="377"/>
      <c r="AA261" s="377"/>
      <c r="AB261" s="377"/>
      <c r="AC261" s="377"/>
      <c r="AD261" s="377"/>
      <c r="AE261" s="377"/>
      <c r="AF261" s="377"/>
      <c r="AG261" s="377"/>
      <c r="AH261" s="377"/>
      <c r="AI261" s="377"/>
      <c r="AJ261" s="377"/>
      <c r="AK261" s="377"/>
      <c r="AL261" s="574"/>
      <c r="AM261" s="377"/>
      <c r="AN261" s="377"/>
      <c r="AO261" s="377"/>
      <c r="AP261" s="377"/>
      <c r="AQ261" s="377"/>
      <c r="AR261" s="377"/>
      <c r="AS261" s="377"/>
      <c r="AT261" s="377"/>
      <c r="AU261" s="377"/>
      <c r="AV261" s="377"/>
      <c r="AW261" s="575"/>
      <c r="AX261" s="377"/>
      <c r="AY261" s="377"/>
      <c r="AZ261" s="377"/>
      <c r="BA261" s="377"/>
      <c r="BB261" s="377"/>
      <c r="BC261" s="377"/>
      <c r="BD261" s="377"/>
      <c r="BE261" s="377"/>
      <c r="BF261" s="377"/>
      <c r="BG261" s="377"/>
      <c r="BH261" s="377"/>
      <c r="BI261" s="377"/>
      <c r="BJ261" s="377"/>
      <c r="BK261" s="377"/>
      <c r="BL261" s="377"/>
      <c r="BM261" s="377"/>
      <c r="BN261" s="576"/>
      <c r="BO261" s="377"/>
      <c r="BP261" s="377"/>
      <c r="BQ261" s="377"/>
      <c r="BR261" s="377"/>
      <c r="BS261" s="377"/>
      <c r="BT261" s="377"/>
      <c r="BU261" s="377"/>
      <c r="BV261" s="377"/>
      <c r="BW261" s="377"/>
      <c r="BX261" s="377"/>
      <c r="BY261" s="377"/>
      <c r="BZ261" s="377"/>
      <c r="CA261" s="377"/>
      <c r="CB261" s="377"/>
      <c r="CC261" s="377"/>
      <c r="CD261" s="377"/>
      <c r="CE261" s="377"/>
      <c r="CF261" s="377"/>
      <c r="CG261" s="377"/>
      <c r="CH261" s="377"/>
      <c r="CI261" s="377"/>
    </row>
    <row r="262" spans="1:87" ht="15">
      <c r="A262" s="377"/>
      <c r="B262" s="377"/>
      <c r="C262" s="572"/>
      <c r="D262" s="377"/>
      <c r="E262" s="377"/>
      <c r="F262" s="377"/>
      <c r="G262" s="377"/>
      <c r="H262" s="573"/>
      <c r="I262" s="377"/>
      <c r="J262" s="377"/>
      <c r="K262" s="377"/>
      <c r="L262" s="377"/>
      <c r="M262" s="377"/>
      <c r="N262" s="377"/>
      <c r="O262" s="377"/>
      <c r="P262" s="377"/>
      <c r="Q262" s="377"/>
      <c r="R262" s="377"/>
      <c r="S262" s="377"/>
      <c r="T262" s="377"/>
      <c r="U262" s="377"/>
      <c r="V262" s="377"/>
      <c r="W262" s="377"/>
      <c r="X262" s="574"/>
      <c r="Y262" s="377"/>
      <c r="Z262" s="377"/>
      <c r="AA262" s="377"/>
      <c r="AB262" s="377"/>
      <c r="AC262" s="377"/>
      <c r="AD262" s="377"/>
      <c r="AE262" s="377"/>
      <c r="AF262" s="377"/>
      <c r="AG262" s="377"/>
      <c r="AH262" s="377"/>
      <c r="AI262" s="377"/>
      <c r="AJ262" s="377"/>
      <c r="AK262" s="377"/>
      <c r="AL262" s="574"/>
      <c r="AM262" s="377"/>
      <c r="AN262" s="377"/>
      <c r="AO262" s="377"/>
      <c r="AP262" s="377"/>
      <c r="AQ262" s="377"/>
      <c r="AR262" s="377"/>
      <c r="AS262" s="377"/>
      <c r="AT262" s="377"/>
      <c r="AU262" s="377"/>
      <c r="AV262" s="377"/>
      <c r="AW262" s="575"/>
      <c r="AX262" s="377"/>
      <c r="AY262" s="377"/>
      <c r="AZ262" s="377"/>
      <c r="BA262" s="377"/>
      <c r="BB262" s="377"/>
      <c r="BC262" s="377"/>
      <c r="BD262" s="377"/>
      <c r="BE262" s="377"/>
      <c r="BF262" s="377"/>
      <c r="BG262" s="377"/>
      <c r="BH262" s="377"/>
      <c r="BI262" s="377"/>
      <c r="BJ262" s="377"/>
      <c r="BK262" s="377"/>
      <c r="BL262" s="377"/>
      <c r="BM262" s="377"/>
      <c r="BN262" s="576"/>
      <c r="BO262" s="377"/>
      <c r="BP262" s="377"/>
      <c r="BQ262" s="377"/>
      <c r="BR262" s="377"/>
      <c r="BS262" s="377"/>
      <c r="BT262" s="377"/>
      <c r="BU262" s="377"/>
      <c r="BV262" s="377"/>
      <c r="BW262" s="377"/>
      <c r="BX262" s="377"/>
      <c r="BY262" s="377"/>
      <c r="BZ262" s="377"/>
      <c r="CA262" s="377"/>
      <c r="CB262" s="377"/>
      <c r="CC262" s="377"/>
      <c r="CD262" s="377"/>
      <c r="CE262" s="377"/>
      <c r="CF262" s="377"/>
      <c r="CG262" s="377"/>
      <c r="CH262" s="377"/>
      <c r="CI262" s="377"/>
    </row>
    <row r="263" spans="1:87" ht="15">
      <c r="A263" s="377"/>
      <c r="B263" s="377"/>
      <c r="C263" s="572"/>
      <c r="D263" s="377"/>
      <c r="E263" s="377"/>
      <c r="F263" s="377"/>
      <c r="G263" s="377"/>
      <c r="H263" s="573"/>
      <c r="I263" s="377"/>
      <c r="J263" s="377"/>
      <c r="K263" s="377"/>
      <c r="L263" s="377"/>
      <c r="M263" s="377"/>
      <c r="N263" s="377"/>
      <c r="O263" s="377"/>
      <c r="P263" s="377"/>
      <c r="Q263" s="377"/>
      <c r="R263" s="377"/>
      <c r="S263" s="377"/>
      <c r="T263" s="377"/>
      <c r="U263" s="377"/>
      <c r="V263" s="377"/>
      <c r="W263" s="377"/>
      <c r="X263" s="574"/>
      <c r="Y263" s="377"/>
      <c r="Z263" s="377"/>
      <c r="AA263" s="377"/>
      <c r="AB263" s="377"/>
      <c r="AC263" s="377"/>
      <c r="AD263" s="377"/>
      <c r="AE263" s="377"/>
      <c r="AF263" s="377"/>
      <c r="AG263" s="377"/>
      <c r="AH263" s="377"/>
      <c r="AI263" s="377"/>
      <c r="AJ263" s="377"/>
      <c r="AK263" s="377"/>
      <c r="AL263" s="574"/>
      <c r="AM263" s="377"/>
      <c r="AN263" s="377"/>
      <c r="AO263" s="377"/>
      <c r="AP263" s="377"/>
      <c r="AQ263" s="377"/>
      <c r="AR263" s="377"/>
      <c r="AS263" s="377"/>
      <c r="AT263" s="377"/>
      <c r="AU263" s="377"/>
      <c r="AV263" s="377"/>
      <c r="AW263" s="575"/>
      <c r="AX263" s="377"/>
      <c r="AY263" s="377"/>
      <c r="AZ263" s="377"/>
      <c r="BA263" s="377"/>
      <c r="BB263" s="377"/>
      <c r="BC263" s="377"/>
      <c r="BD263" s="377"/>
      <c r="BE263" s="377"/>
      <c r="BF263" s="377"/>
      <c r="BG263" s="377"/>
      <c r="BH263" s="377"/>
      <c r="BI263" s="377"/>
      <c r="BJ263" s="377"/>
      <c r="BK263" s="377"/>
      <c r="BL263" s="377"/>
      <c r="BM263" s="377"/>
      <c r="BN263" s="576"/>
      <c r="BO263" s="377"/>
      <c r="BP263" s="377"/>
      <c r="BQ263" s="377"/>
      <c r="BR263" s="377"/>
      <c r="BS263" s="377"/>
      <c r="BT263" s="377"/>
      <c r="BU263" s="377"/>
      <c r="BV263" s="377"/>
      <c r="BW263" s="377"/>
      <c r="BX263" s="377"/>
      <c r="BY263" s="377"/>
      <c r="BZ263" s="377"/>
      <c r="CA263" s="377"/>
      <c r="CB263" s="377"/>
      <c r="CC263" s="377"/>
      <c r="CD263" s="377"/>
      <c r="CE263" s="377"/>
      <c r="CF263" s="377"/>
      <c r="CG263" s="377"/>
      <c r="CH263" s="377"/>
      <c r="CI263" s="377"/>
    </row>
    <row r="264" spans="1:87" ht="15">
      <c r="A264" s="377"/>
      <c r="B264" s="377"/>
      <c r="C264" s="572"/>
      <c r="D264" s="377"/>
      <c r="E264" s="377"/>
      <c r="F264" s="377"/>
      <c r="G264" s="377"/>
      <c r="H264" s="573"/>
      <c r="I264" s="377"/>
      <c r="J264" s="377"/>
      <c r="K264" s="377"/>
      <c r="L264" s="377"/>
      <c r="M264" s="377"/>
      <c r="N264" s="377"/>
      <c r="O264" s="377"/>
      <c r="P264" s="377"/>
      <c r="Q264" s="377"/>
      <c r="R264" s="377"/>
      <c r="S264" s="377"/>
      <c r="T264" s="377"/>
      <c r="U264" s="377"/>
      <c r="V264" s="377"/>
      <c r="W264" s="377"/>
      <c r="X264" s="574"/>
      <c r="Y264" s="377"/>
      <c r="Z264" s="377"/>
      <c r="AA264" s="377"/>
      <c r="AB264" s="377"/>
      <c r="AC264" s="377"/>
      <c r="AD264" s="377"/>
      <c r="AE264" s="377"/>
      <c r="AF264" s="377"/>
      <c r="AG264" s="377"/>
      <c r="AH264" s="377"/>
      <c r="AI264" s="377"/>
      <c r="AJ264" s="377"/>
      <c r="AK264" s="377"/>
      <c r="AL264" s="574"/>
      <c r="AM264" s="377"/>
      <c r="AN264" s="377"/>
      <c r="AO264" s="377"/>
      <c r="AP264" s="377"/>
      <c r="AQ264" s="377"/>
      <c r="AR264" s="377"/>
      <c r="AS264" s="377"/>
      <c r="AT264" s="377"/>
      <c r="AU264" s="377"/>
      <c r="AV264" s="377"/>
      <c r="AW264" s="575"/>
      <c r="AX264" s="377"/>
      <c r="AY264" s="377"/>
      <c r="AZ264" s="377"/>
      <c r="BA264" s="377"/>
      <c r="BB264" s="377"/>
      <c r="BC264" s="377"/>
      <c r="BD264" s="377"/>
      <c r="BE264" s="377"/>
      <c r="BF264" s="377"/>
      <c r="BG264" s="377"/>
      <c r="BH264" s="377"/>
      <c r="BI264" s="377"/>
      <c r="BJ264" s="377"/>
      <c r="BK264" s="377"/>
      <c r="BL264" s="377"/>
      <c r="BM264" s="377"/>
      <c r="BN264" s="576"/>
      <c r="BO264" s="377"/>
      <c r="BP264" s="377"/>
      <c r="BQ264" s="377"/>
      <c r="BR264" s="377"/>
      <c r="BS264" s="377"/>
      <c r="BT264" s="377"/>
      <c r="BU264" s="377"/>
      <c r="BV264" s="377"/>
      <c r="BW264" s="377"/>
      <c r="BX264" s="377"/>
      <c r="BY264" s="377"/>
      <c r="BZ264" s="377"/>
      <c r="CA264" s="377"/>
      <c r="CB264" s="377"/>
      <c r="CC264" s="377"/>
      <c r="CD264" s="377"/>
      <c r="CE264" s="377"/>
      <c r="CF264" s="377"/>
      <c r="CG264" s="377"/>
      <c r="CH264" s="377"/>
      <c r="CI264" s="377"/>
    </row>
    <row r="265" spans="1:87" ht="15">
      <c r="A265" s="377"/>
      <c r="B265" s="377"/>
      <c r="C265" s="572"/>
      <c r="D265" s="377"/>
      <c r="E265" s="377"/>
      <c r="F265" s="377"/>
      <c r="G265" s="377"/>
      <c r="H265" s="573"/>
      <c r="I265" s="377"/>
      <c r="J265" s="377"/>
      <c r="K265" s="377"/>
      <c r="L265" s="377"/>
      <c r="M265" s="377"/>
      <c r="N265" s="377"/>
      <c r="O265" s="377"/>
      <c r="P265" s="377"/>
      <c r="Q265" s="377"/>
      <c r="R265" s="377"/>
      <c r="S265" s="377"/>
      <c r="T265" s="377"/>
      <c r="U265" s="377"/>
      <c r="V265" s="377"/>
      <c r="W265" s="377"/>
      <c r="X265" s="574"/>
      <c r="Y265" s="377"/>
      <c r="Z265" s="377"/>
      <c r="AA265" s="377"/>
      <c r="AB265" s="377"/>
      <c r="AC265" s="377"/>
      <c r="AD265" s="377"/>
      <c r="AE265" s="377"/>
      <c r="AF265" s="377"/>
      <c r="AG265" s="377"/>
      <c r="AH265" s="377"/>
      <c r="AI265" s="377"/>
      <c r="AJ265" s="377"/>
      <c r="AK265" s="377"/>
      <c r="AL265" s="574"/>
      <c r="AM265" s="377"/>
      <c r="AN265" s="377"/>
      <c r="AO265" s="377"/>
      <c r="AP265" s="377"/>
      <c r="AQ265" s="377"/>
      <c r="AR265" s="377"/>
      <c r="AS265" s="377"/>
      <c r="AT265" s="377"/>
      <c r="AU265" s="377"/>
      <c r="AV265" s="377"/>
      <c r="AW265" s="575"/>
      <c r="AX265" s="377"/>
      <c r="AY265" s="377"/>
      <c r="AZ265" s="377"/>
      <c r="BA265" s="377"/>
      <c r="BB265" s="377"/>
      <c r="BC265" s="377"/>
      <c r="BD265" s="377"/>
      <c r="BE265" s="377"/>
      <c r="BF265" s="377"/>
      <c r="BG265" s="377"/>
      <c r="BH265" s="377"/>
      <c r="BI265" s="377"/>
      <c r="BJ265" s="377"/>
      <c r="BK265" s="377"/>
      <c r="BL265" s="377"/>
      <c r="BM265" s="377"/>
      <c r="BN265" s="576"/>
      <c r="BO265" s="377"/>
      <c r="BP265" s="377"/>
      <c r="BQ265" s="377"/>
      <c r="BR265" s="377"/>
      <c r="BS265" s="377"/>
      <c r="BT265" s="377"/>
      <c r="BU265" s="377"/>
      <c r="BV265" s="377"/>
      <c r="BW265" s="377"/>
      <c r="BX265" s="377"/>
      <c r="BY265" s="377"/>
      <c r="BZ265" s="377"/>
      <c r="CA265" s="377"/>
      <c r="CB265" s="377"/>
      <c r="CC265" s="377"/>
      <c r="CD265" s="377"/>
      <c r="CE265" s="377"/>
      <c r="CF265" s="377"/>
      <c r="CG265" s="377"/>
      <c r="CH265" s="377"/>
      <c r="CI265" s="377"/>
    </row>
    <row r="266" spans="1:87" ht="15">
      <c r="A266" s="377"/>
      <c r="B266" s="377"/>
      <c r="C266" s="572"/>
      <c r="D266" s="377"/>
      <c r="E266" s="377"/>
      <c r="F266" s="377"/>
      <c r="G266" s="377"/>
      <c r="H266" s="573"/>
      <c r="I266" s="377"/>
      <c r="J266" s="377"/>
      <c r="K266" s="377"/>
      <c r="L266" s="377"/>
      <c r="M266" s="377"/>
      <c r="N266" s="377"/>
      <c r="O266" s="377"/>
      <c r="P266" s="377"/>
      <c r="Q266" s="377"/>
      <c r="R266" s="377"/>
      <c r="S266" s="377"/>
      <c r="T266" s="377"/>
      <c r="U266" s="377"/>
      <c r="V266" s="377"/>
      <c r="W266" s="377"/>
      <c r="X266" s="574"/>
      <c r="Y266" s="377"/>
      <c r="Z266" s="377"/>
      <c r="AA266" s="377"/>
      <c r="AB266" s="377"/>
      <c r="AC266" s="377"/>
      <c r="AD266" s="377"/>
      <c r="AE266" s="377"/>
      <c r="AF266" s="377"/>
      <c r="AG266" s="377"/>
      <c r="AH266" s="377"/>
      <c r="AI266" s="377"/>
      <c r="AJ266" s="377"/>
      <c r="AK266" s="377"/>
      <c r="AL266" s="574"/>
      <c r="AM266" s="377"/>
      <c r="AN266" s="377"/>
      <c r="AO266" s="377"/>
      <c r="AP266" s="377"/>
      <c r="AQ266" s="377"/>
      <c r="AR266" s="377"/>
      <c r="AS266" s="377"/>
      <c r="AT266" s="377"/>
      <c r="AU266" s="377"/>
      <c r="AV266" s="377"/>
      <c r="AW266" s="575"/>
      <c r="AX266" s="377"/>
      <c r="AY266" s="377"/>
      <c r="AZ266" s="377"/>
      <c r="BA266" s="377"/>
      <c r="BB266" s="377"/>
      <c r="BC266" s="377"/>
      <c r="BD266" s="377"/>
      <c r="BE266" s="377"/>
      <c r="BF266" s="377"/>
      <c r="BG266" s="377"/>
      <c r="BH266" s="377"/>
      <c r="BI266" s="377"/>
      <c r="BJ266" s="377"/>
      <c r="BK266" s="377"/>
      <c r="BL266" s="377"/>
      <c r="BM266" s="377"/>
      <c r="BN266" s="576"/>
      <c r="BO266" s="377"/>
      <c r="BP266" s="377"/>
      <c r="BQ266" s="377"/>
      <c r="BR266" s="377"/>
      <c r="BS266" s="377"/>
      <c r="BT266" s="377"/>
      <c r="BU266" s="377"/>
      <c r="BV266" s="377"/>
      <c r="BW266" s="377"/>
      <c r="BX266" s="377"/>
      <c r="BY266" s="377"/>
      <c r="BZ266" s="377"/>
      <c r="CA266" s="377"/>
      <c r="CB266" s="377"/>
      <c r="CC266" s="377"/>
      <c r="CD266" s="377"/>
      <c r="CE266" s="377"/>
      <c r="CF266" s="377"/>
      <c r="CG266" s="377"/>
      <c r="CH266" s="377"/>
      <c r="CI266" s="377"/>
    </row>
    <row r="267" spans="1:87" ht="15">
      <c r="A267" s="377"/>
      <c r="B267" s="377"/>
      <c r="C267" s="572"/>
      <c r="D267" s="377"/>
      <c r="E267" s="377"/>
      <c r="F267" s="377"/>
      <c r="G267" s="377"/>
      <c r="H267" s="573"/>
      <c r="I267" s="377"/>
      <c r="J267" s="377"/>
      <c r="K267" s="377"/>
      <c r="L267" s="377"/>
      <c r="M267" s="377"/>
      <c r="N267" s="377"/>
      <c r="O267" s="377"/>
      <c r="P267" s="377"/>
      <c r="Q267" s="377"/>
      <c r="R267" s="377"/>
      <c r="S267" s="377"/>
      <c r="T267" s="377"/>
      <c r="U267" s="377"/>
      <c r="V267" s="377"/>
      <c r="W267" s="377"/>
      <c r="X267" s="574"/>
      <c r="Y267" s="377"/>
      <c r="Z267" s="377"/>
      <c r="AA267" s="377"/>
      <c r="AB267" s="377"/>
      <c r="AC267" s="377"/>
      <c r="AD267" s="377"/>
      <c r="AE267" s="377"/>
      <c r="AF267" s="377"/>
      <c r="AG267" s="377"/>
      <c r="AH267" s="377"/>
      <c r="AI267" s="377"/>
      <c r="AJ267" s="377"/>
      <c r="AK267" s="377"/>
      <c r="AL267" s="574"/>
      <c r="AM267" s="377"/>
      <c r="AN267" s="377"/>
      <c r="AO267" s="377"/>
      <c r="AP267" s="377"/>
      <c r="AQ267" s="377"/>
      <c r="AR267" s="377"/>
      <c r="AS267" s="377"/>
      <c r="AT267" s="377"/>
      <c r="AU267" s="377"/>
      <c r="AV267" s="377"/>
      <c r="AW267" s="575"/>
      <c r="AX267" s="377"/>
      <c r="AY267" s="377"/>
      <c r="AZ267" s="377"/>
      <c r="BA267" s="377"/>
      <c r="BB267" s="377"/>
      <c r="BC267" s="377"/>
      <c r="BD267" s="377"/>
      <c r="BE267" s="377"/>
      <c r="BF267" s="377"/>
      <c r="BG267" s="377"/>
      <c r="BH267" s="377"/>
      <c r="BI267" s="377"/>
      <c r="BJ267" s="377"/>
      <c r="BK267" s="377"/>
      <c r="BL267" s="377"/>
      <c r="BM267" s="377"/>
      <c r="BN267" s="576"/>
      <c r="BO267" s="377"/>
      <c r="BP267" s="377"/>
      <c r="BQ267" s="377"/>
      <c r="BR267" s="377"/>
      <c r="BS267" s="377"/>
      <c r="BT267" s="377"/>
      <c r="BU267" s="377"/>
      <c r="BV267" s="377"/>
      <c r="BW267" s="377"/>
      <c r="BX267" s="377"/>
      <c r="BY267" s="377"/>
      <c r="BZ267" s="377"/>
      <c r="CA267" s="377"/>
      <c r="CB267" s="377"/>
      <c r="CC267" s="377"/>
      <c r="CD267" s="377"/>
      <c r="CE267" s="377"/>
      <c r="CF267" s="377"/>
      <c r="CG267" s="377"/>
      <c r="CH267" s="377"/>
      <c r="CI267" s="377"/>
    </row>
    <row r="268" spans="1:87" ht="15">
      <c r="A268" s="377"/>
      <c r="B268" s="377"/>
      <c r="C268" s="572"/>
      <c r="D268" s="377"/>
      <c r="E268" s="377"/>
      <c r="F268" s="377"/>
      <c r="G268" s="377"/>
      <c r="H268" s="573"/>
      <c r="I268" s="377"/>
      <c r="J268" s="377"/>
      <c r="K268" s="377"/>
      <c r="L268" s="377"/>
      <c r="M268" s="377"/>
      <c r="N268" s="377"/>
      <c r="O268" s="377"/>
      <c r="P268" s="377"/>
      <c r="Q268" s="377"/>
      <c r="R268" s="377"/>
      <c r="S268" s="377"/>
      <c r="T268" s="377"/>
      <c r="U268" s="377"/>
      <c r="V268" s="377"/>
      <c r="W268" s="377"/>
      <c r="X268" s="574"/>
      <c r="Y268" s="377"/>
      <c r="Z268" s="377"/>
      <c r="AA268" s="377"/>
      <c r="AB268" s="377"/>
      <c r="AC268" s="377"/>
      <c r="AD268" s="377"/>
      <c r="AE268" s="377"/>
      <c r="AF268" s="377"/>
      <c r="AG268" s="377"/>
      <c r="AH268" s="377"/>
      <c r="AI268" s="377"/>
      <c r="AJ268" s="377"/>
      <c r="AK268" s="377"/>
      <c r="AL268" s="574"/>
      <c r="AM268" s="377"/>
      <c r="AN268" s="377"/>
      <c r="AO268" s="377"/>
      <c r="AP268" s="377"/>
      <c r="AQ268" s="377"/>
      <c r="AR268" s="377"/>
      <c r="AS268" s="377"/>
      <c r="AT268" s="377"/>
      <c r="AU268" s="377"/>
      <c r="AV268" s="377"/>
      <c r="AW268" s="575"/>
      <c r="AX268" s="377"/>
      <c r="AY268" s="377"/>
      <c r="AZ268" s="377"/>
      <c r="BA268" s="377"/>
      <c r="BB268" s="377"/>
      <c r="BC268" s="377"/>
      <c r="BD268" s="377"/>
      <c r="BE268" s="377"/>
      <c r="BF268" s="377"/>
      <c r="BG268" s="377"/>
      <c r="BH268" s="377"/>
      <c r="BI268" s="377"/>
      <c r="BJ268" s="377"/>
      <c r="BK268" s="377"/>
      <c r="BL268" s="377"/>
      <c r="BM268" s="377"/>
      <c r="BN268" s="576"/>
      <c r="BO268" s="377"/>
      <c r="BP268" s="377"/>
      <c r="BQ268" s="377"/>
      <c r="BR268" s="377"/>
      <c r="BS268" s="377"/>
      <c r="BT268" s="377"/>
      <c r="BU268" s="377"/>
      <c r="BV268" s="377"/>
      <c r="BW268" s="377"/>
      <c r="BX268" s="377"/>
      <c r="BY268" s="377"/>
      <c r="BZ268" s="377"/>
      <c r="CA268" s="377"/>
      <c r="CB268" s="377"/>
      <c r="CC268" s="377"/>
      <c r="CD268" s="377"/>
      <c r="CE268" s="377"/>
      <c r="CF268" s="377"/>
      <c r="CG268" s="377"/>
      <c r="CH268" s="377"/>
      <c r="CI268" s="377"/>
    </row>
    <row r="269" spans="1:87" ht="15">
      <c r="A269" s="377"/>
      <c r="B269" s="377"/>
      <c r="C269" s="572"/>
      <c r="D269" s="377"/>
      <c r="E269" s="377"/>
      <c r="F269" s="377"/>
      <c r="G269" s="377"/>
      <c r="H269" s="573"/>
      <c r="I269" s="377"/>
      <c r="J269" s="377"/>
      <c r="K269" s="377"/>
      <c r="L269" s="377"/>
      <c r="M269" s="377"/>
      <c r="N269" s="377"/>
      <c r="O269" s="377"/>
      <c r="P269" s="377"/>
      <c r="Q269" s="377"/>
      <c r="R269" s="377"/>
      <c r="S269" s="377"/>
      <c r="T269" s="377"/>
      <c r="U269" s="377"/>
      <c r="V269" s="377"/>
      <c r="W269" s="377"/>
      <c r="X269" s="574"/>
      <c r="Y269" s="377"/>
      <c r="Z269" s="377"/>
      <c r="AA269" s="377"/>
      <c r="AB269" s="377"/>
      <c r="AC269" s="377"/>
      <c r="AD269" s="377"/>
      <c r="AE269" s="377"/>
      <c r="AF269" s="377"/>
      <c r="AG269" s="377"/>
      <c r="AH269" s="377"/>
      <c r="AI269" s="377"/>
      <c r="AJ269" s="377"/>
      <c r="AK269" s="377"/>
      <c r="AL269" s="574"/>
      <c r="AM269" s="377"/>
      <c r="AN269" s="377"/>
      <c r="AO269" s="377"/>
      <c r="AP269" s="377"/>
      <c r="AQ269" s="377"/>
      <c r="AR269" s="377"/>
      <c r="AS269" s="377"/>
      <c r="AT269" s="377"/>
      <c r="AU269" s="377"/>
      <c r="AV269" s="377"/>
      <c r="AW269" s="575"/>
      <c r="AX269" s="377"/>
      <c r="AY269" s="377"/>
      <c r="AZ269" s="377"/>
      <c r="BA269" s="377"/>
      <c r="BB269" s="377"/>
      <c r="BC269" s="377"/>
      <c r="BD269" s="377"/>
      <c r="BE269" s="377"/>
      <c r="BF269" s="377"/>
      <c r="BG269" s="377"/>
      <c r="BH269" s="377"/>
      <c r="BI269" s="377"/>
      <c r="BJ269" s="377"/>
      <c r="BK269" s="377"/>
      <c r="BL269" s="377"/>
      <c r="BM269" s="377"/>
      <c r="BN269" s="576"/>
      <c r="BO269" s="377"/>
      <c r="BP269" s="377"/>
      <c r="BQ269" s="377"/>
      <c r="BR269" s="377"/>
      <c r="BS269" s="377"/>
      <c r="BT269" s="377"/>
      <c r="BU269" s="377"/>
      <c r="BV269" s="377"/>
      <c r="BW269" s="377"/>
      <c r="BX269" s="377"/>
      <c r="BY269" s="377"/>
      <c r="BZ269" s="377"/>
      <c r="CA269" s="377"/>
      <c r="CB269" s="377"/>
      <c r="CC269" s="377"/>
      <c r="CD269" s="377"/>
      <c r="CE269" s="377"/>
      <c r="CF269" s="377"/>
      <c r="CG269" s="377"/>
      <c r="CH269" s="377"/>
      <c r="CI269" s="377"/>
    </row>
    <row r="270" spans="1:87" ht="15">
      <c r="A270" s="377"/>
      <c r="B270" s="377"/>
      <c r="C270" s="572"/>
      <c r="D270" s="377"/>
      <c r="E270" s="377"/>
      <c r="F270" s="377"/>
      <c r="G270" s="377"/>
      <c r="H270" s="573"/>
      <c r="I270" s="377"/>
      <c r="J270" s="377"/>
      <c r="K270" s="377"/>
      <c r="L270" s="377"/>
      <c r="M270" s="377"/>
      <c r="N270" s="377"/>
      <c r="O270" s="377"/>
      <c r="P270" s="377"/>
      <c r="Q270" s="377"/>
      <c r="R270" s="377"/>
      <c r="S270" s="377"/>
      <c r="T270" s="377"/>
      <c r="U270" s="377"/>
      <c r="V270" s="377"/>
      <c r="W270" s="377"/>
      <c r="X270" s="574"/>
      <c r="Y270" s="377"/>
      <c r="Z270" s="377"/>
      <c r="AA270" s="377"/>
      <c r="AB270" s="377"/>
      <c r="AC270" s="377"/>
      <c r="AD270" s="377"/>
      <c r="AE270" s="377"/>
      <c r="AF270" s="377"/>
      <c r="AG270" s="377"/>
      <c r="AH270" s="377"/>
      <c r="AI270" s="377"/>
      <c r="AJ270" s="377"/>
      <c r="AK270" s="377"/>
      <c r="AL270" s="574"/>
      <c r="AM270" s="377"/>
      <c r="AN270" s="377"/>
      <c r="AO270" s="377"/>
      <c r="AP270" s="377"/>
      <c r="AQ270" s="377"/>
      <c r="AR270" s="377"/>
      <c r="AS270" s="377"/>
      <c r="AT270" s="377"/>
      <c r="AU270" s="377"/>
      <c r="AV270" s="377"/>
      <c r="AW270" s="575"/>
      <c r="AX270" s="377"/>
      <c r="AY270" s="377"/>
      <c r="AZ270" s="377"/>
      <c r="BA270" s="377"/>
      <c r="BB270" s="377"/>
      <c r="BC270" s="377"/>
      <c r="BD270" s="377"/>
      <c r="BE270" s="377"/>
      <c r="BF270" s="377"/>
      <c r="BG270" s="377"/>
      <c r="BH270" s="377"/>
      <c r="BI270" s="377"/>
      <c r="BJ270" s="377"/>
      <c r="BK270" s="377"/>
      <c r="BL270" s="377"/>
      <c r="BM270" s="377"/>
      <c r="BN270" s="576"/>
      <c r="BO270" s="377"/>
      <c r="BP270" s="377"/>
      <c r="BQ270" s="377"/>
      <c r="BR270" s="377"/>
      <c r="BS270" s="377"/>
      <c r="BT270" s="377"/>
      <c r="BU270" s="377"/>
      <c r="BV270" s="377"/>
      <c r="BW270" s="377"/>
      <c r="BX270" s="377"/>
      <c r="BY270" s="377"/>
      <c r="BZ270" s="377"/>
      <c r="CA270" s="377"/>
      <c r="CB270" s="377"/>
      <c r="CC270" s="377"/>
      <c r="CD270" s="377"/>
      <c r="CE270" s="377"/>
      <c r="CF270" s="377"/>
      <c r="CG270" s="377"/>
      <c r="CH270" s="377"/>
      <c r="CI270" s="377"/>
    </row>
    <row r="271" spans="1:87" ht="15">
      <c r="A271" s="377"/>
      <c r="B271" s="377"/>
      <c r="C271" s="572"/>
      <c r="D271" s="377"/>
      <c r="E271" s="377"/>
      <c r="F271" s="377"/>
      <c r="G271" s="377"/>
      <c r="H271" s="573"/>
      <c r="I271" s="377"/>
      <c r="J271" s="377"/>
      <c r="K271" s="377"/>
      <c r="L271" s="377"/>
      <c r="M271" s="377"/>
      <c r="N271" s="377"/>
      <c r="O271" s="377"/>
      <c r="P271" s="377"/>
      <c r="Q271" s="377"/>
      <c r="R271" s="377"/>
      <c r="S271" s="377"/>
      <c r="T271" s="377"/>
      <c r="U271" s="377"/>
      <c r="V271" s="377"/>
      <c r="W271" s="377"/>
      <c r="X271" s="574"/>
      <c r="Y271" s="377"/>
      <c r="Z271" s="377"/>
      <c r="AA271" s="377"/>
      <c r="AB271" s="377"/>
      <c r="AC271" s="377"/>
      <c r="AD271" s="377"/>
      <c r="AE271" s="377"/>
      <c r="AF271" s="377"/>
      <c r="AG271" s="377"/>
      <c r="AH271" s="377"/>
      <c r="AI271" s="377"/>
      <c r="AJ271" s="377"/>
      <c r="AK271" s="377"/>
      <c r="AL271" s="574"/>
      <c r="AM271" s="377"/>
      <c r="AN271" s="377"/>
      <c r="AO271" s="377"/>
      <c r="AP271" s="377"/>
      <c r="AQ271" s="377"/>
      <c r="AR271" s="377"/>
      <c r="AS271" s="377"/>
      <c r="AT271" s="377"/>
      <c r="AU271" s="377"/>
      <c r="AV271" s="377"/>
      <c r="AW271" s="575"/>
      <c r="AX271" s="377"/>
      <c r="AY271" s="377"/>
      <c r="AZ271" s="377"/>
      <c r="BA271" s="377"/>
      <c r="BB271" s="377"/>
      <c r="BC271" s="377"/>
      <c r="BD271" s="377"/>
      <c r="BE271" s="377"/>
      <c r="BF271" s="377"/>
      <c r="BG271" s="377"/>
      <c r="BH271" s="377"/>
      <c r="BI271" s="377"/>
      <c r="BJ271" s="377"/>
      <c r="BK271" s="377"/>
      <c r="BL271" s="377"/>
      <c r="BM271" s="377"/>
      <c r="BN271" s="576"/>
      <c r="BO271" s="377"/>
      <c r="BP271" s="377"/>
      <c r="BQ271" s="377"/>
      <c r="BR271" s="377"/>
      <c r="BS271" s="377"/>
      <c r="BT271" s="377"/>
      <c r="BU271" s="377"/>
      <c r="BV271" s="377"/>
      <c r="BW271" s="377"/>
      <c r="BX271" s="377"/>
      <c r="BY271" s="377"/>
      <c r="BZ271" s="377"/>
      <c r="CA271" s="377"/>
      <c r="CB271" s="377"/>
      <c r="CC271" s="377"/>
      <c r="CD271" s="377"/>
      <c r="CE271" s="377"/>
      <c r="CF271" s="377"/>
      <c r="CG271" s="377"/>
      <c r="CH271" s="377"/>
      <c r="CI271" s="377"/>
    </row>
    <row r="272" spans="1:87" ht="15">
      <c r="A272" s="377"/>
      <c r="B272" s="377"/>
      <c r="C272" s="572"/>
      <c r="D272" s="377"/>
      <c r="E272" s="377"/>
      <c r="F272" s="377"/>
      <c r="G272" s="377"/>
      <c r="H272" s="573"/>
      <c r="I272" s="377"/>
      <c r="J272" s="377"/>
      <c r="K272" s="377"/>
      <c r="L272" s="377"/>
      <c r="M272" s="377"/>
      <c r="N272" s="377"/>
      <c r="O272" s="377"/>
      <c r="P272" s="377"/>
      <c r="Q272" s="377"/>
      <c r="R272" s="377"/>
      <c r="S272" s="377"/>
      <c r="T272" s="377"/>
      <c r="U272" s="377"/>
      <c r="V272" s="377"/>
      <c r="W272" s="377"/>
      <c r="X272" s="574"/>
      <c r="Y272" s="377"/>
      <c r="Z272" s="377"/>
      <c r="AA272" s="377"/>
      <c r="AB272" s="377"/>
      <c r="AC272" s="377"/>
      <c r="AD272" s="377"/>
      <c r="AE272" s="377"/>
      <c r="AF272" s="377"/>
      <c r="AG272" s="377"/>
      <c r="AH272" s="377"/>
      <c r="AI272" s="377"/>
      <c r="AJ272" s="377"/>
      <c r="AK272" s="377"/>
      <c r="AL272" s="574"/>
      <c r="AM272" s="377"/>
      <c r="AN272" s="377"/>
      <c r="AO272" s="377"/>
      <c r="AP272" s="377"/>
      <c r="AQ272" s="377"/>
      <c r="AR272" s="377"/>
      <c r="AS272" s="377"/>
      <c r="AT272" s="377"/>
      <c r="AU272" s="377"/>
      <c r="AV272" s="377"/>
      <c r="AW272" s="575"/>
      <c r="AX272" s="377"/>
      <c r="AY272" s="377"/>
      <c r="AZ272" s="377"/>
      <c r="BA272" s="377"/>
      <c r="BB272" s="377"/>
      <c r="BC272" s="377"/>
      <c r="BD272" s="377"/>
      <c r="BE272" s="377"/>
      <c r="BF272" s="377"/>
      <c r="BG272" s="377"/>
      <c r="BH272" s="377"/>
      <c r="BI272" s="377"/>
      <c r="BJ272" s="377"/>
      <c r="BK272" s="377"/>
      <c r="BL272" s="377"/>
      <c r="BM272" s="377"/>
      <c r="BN272" s="576"/>
      <c r="BO272" s="377"/>
      <c r="BP272" s="377"/>
      <c r="BQ272" s="377"/>
      <c r="BR272" s="377"/>
      <c r="BS272" s="377"/>
      <c r="BT272" s="377"/>
      <c r="BU272" s="377"/>
      <c r="BV272" s="377"/>
      <c r="BW272" s="377"/>
      <c r="BX272" s="377"/>
      <c r="BY272" s="377"/>
      <c r="BZ272" s="377"/>
      <c r="CA272" s="377"/>
      <c r="CB272" s="377"/>
      <c r="CC272" s="377"/>
      <c r="CD272" s="377"/>
      <c r="CE272" s="377"/>
      <c r="CF272" s="377"/>
      <c r="CG272" s="377"/>
      <c r="CH272" s="377"/>
      <c r="CI272" s="377"/>
    </row>
    <row r="273" spans="1:87" ht="15">
      <c r="A273" s="377"/>
      <c r="B273" s="377"/>
      <c r="C273" s="572"/>
      <c r="D273" s="377"/>
      <c r="E273" s="377"/>
      <c r="F273" s="377"/>
      <c r="G273" s="377"/>
      <c r="H273" s="573"/>
      <c r="I273" s="377"/>
      <c r="J273" s="377"/>
      <c r="K273" s="377"/>
      <c r="L273" s="377"/>
      <c r="M273" s="377"/>
      <c r="N273" s="377"/>
      <c r="O273" s="377"/>
      <c r="P273" s="377"/>
      <c r="Q273" s="377"/>
      <c r="R273" s="377"/>
      <c r="S273" s="377"/>
      <c r="T273" s="377"/>
      <c r="U273" s="377"/>
      <c r="V273" s="377"/>
      <c r="W273" s="377"/>
      <c r="X273" s="574"/>
      <c r="Y273" s="377"/>
      <c r="Z273" s="377"/>
      <c r="AA273" s="377"/>
      <c r="AB273" s="377"/>
      <c r="AC273" s="377"/>
      <c r="AD273" s="377"/>
      <c r="AE273" s="377"/>
      <c r="AF273" s="377"/>
      <c r="AG273" s="377"/>
      <c r="AH273" s="377"/>
      <c r="AI273" s="377"/>
      <c r="AJ273" s="377"/>
      <c r="AK273" s="377"/>
      <c r="AL273" s="574"/>
      <c r="AM273" s="377"/>
      <c r="AN273" s="377"/>
      <c r="AO273" s="377"/>
      <c r="AP273" s="377"/>
      <c r="AQ273" s="377"/>
      <c r="AR273" s="377"/>
      <c r="AS273" s="377"/>
      <c r="AT273" s="377"/>
      <c r="AU273" s="377"/>
      <c r="AV273" s="377"/>
      <c r="AW273" s="575"/>
      <c r="AX273" s="377"/>
      <c r="AY273" s="377"/>
      <c r="AZ273" s="377"/>
      <c r="BA273" s="377"/>
      <c r="BB273" s="377"/>
      <c r="BC273" s="377"/>
      <c r="BD273" s="377"/>
      <c r="BE273" s="377"/>
      <c r="BF273" s="377"/>
      <c r="BG273" s="377"/>
      <c r="BH273" s="377"/>
      <c r="BI273" s="377"/>
      <c r="BJ273" s="377"/>
      <c r="BK273" s="377"/>
      <c r="BL273" s="377"/>
      <c r="BM273" s="377"/>
      <c r="BN273" s="576"/>
      <c r="BO273" s="377"/>
      <c r="BP273" s="377"/>
      <c r="BQ273" s="377"/>
      <c r="BR273" s="377"/>
      <c r="BS273" s="377"/>
      <c r="BT273" s="377"/>
      <c r="BU273" s="377"/>
      <c r="BV273" s="377"/>
      <c r="BW273" s="377"/>
      <c r="BX273" s="377"/>
      <c r="BY273" s="377"/>
      <c r="BZ273" s="377"/>
      <c r="CA273" s="377"/>
      <c r="CB273" s="377"/>
      <c r="CC273" s="377"/>
      <c r="CD273" s="377"/>
      <c r="CE273" s="377"/>
      <c r="CF273" s="377"/>
      <c r="CG273" s="377"/>
      <c r="CH273" s="377"/>
      <c r="CI273" s="377"/>
    </row>
    <row r="274" spans="1:87" ht="15">
      <c r="A274" s="377"/>
      <c r="B274" s="377"/>
      <c r="C274" s="572"/>
      <c r="D274" s="377"/>
      <c r="E274" s="377"/>
      <c r="F274" s="377"/>
      <c r="G274" s="377"/>
      <c r="H274" s="573"/>
      <c r="I274" s="377"/>
      <c r="J274" s="377"/>
      <c r="K274" s="377"/>
      <c r="L274" s="377"/>
      <c r="M274" s="377"/>
      <c r="N274" s="377"/>
      <c r="O274" s="377"/>
      <c r="P274" s="377"/>
      <c r="Q274" s="377"/>
      <c r="R274" s="377"/>
      <c r="S274" s="377"/>
      <c r="T274" s="377"/>
      <c r="U274" s="377"/>
      <c r="V274" s="377"/>
      <c r="W274" s="377"/>
      <c r="X274" s="574"/>
      <c r="Y274" s="377"/>
      <c r="Z274" s="377"/>
      <c r="AA274" s="377"/>
      <c r="AB274" s="377"/>
      <c r="AC274" s="377"/>
      <c r="AD274" s="377"/>
      <c r="AE274" s="377"/>
      <c r="AF274" s="377"/>
      <c r="AG274" s="377"/>
      <c r="AH274" s="377"/>
      <c r="AI274" s="377"/>
      <c r="AJ274" s="377"/>
      <c r="AK274" s="377"/>
      <c r="AL274" s="574"/>
      <c r="AM274" s="377"/>
      <c r="AN274" s="377"/>
      <c r="AO274" s="377"/>
      <c r="AP274" s="377"/>
      <c r="AQ274" s="377"/>
      <c r="AR274" s="377"/>
      <c r="AS274" s="377"/>
      <c r="AT274" s="377"/>
      <c r="AU274" s="377"/>
      <c r="AV274" s="377"/>
      <c r="AW274" s="575"/>
      <c r="AX274" s="377"/>
      <c r="AY274" s="377"/>
      <c r="AZ274" s="377"/>
      <c r="BA274" s="377"/>
      <c r="BB274" s="377"/>
      <c r="BC274" s="377"/>
      <c r="BD274" s="377"/>
      <c r="BE274" s="377"/>
      <c r="BF274" s="377"/>
      <c r="BG274" s="377"/>
      <c r="BH274" s="377"/>
      <c r="BI274" s="377"/>
      <c r="BJ274" s="377"/>
      <c r="BK274" s="377"/>
      <c r="BL274" s="377"/>
      <c r="BM274" s="377"/>
      <c r="BN274" s="576"/>
      <c r="BO274" s="377"/>
      <c r="BP274" s="377"/>
      <c r="BQ274" s="377"/>
      <c r="BR274" s="377"/>
      <c r="BS274" s="377"/>
      <c r="BT274" s="377"/>
      <c r="BU274" s="377"/>
      <c r="BV274" s="377"/>
      <c r="BW274" s="377"/>
      <c r="BX274" s="377"/>
      <c r="BY274" s="377"/>
      <c r="BZ274" s="377"/>
      <c r="CA274" s="377"/>
      <c r="CB274" s="377"/>
      <c r="CC274" s="377"/>
      <c r="CD274" s="377"/>
      <c r="CE274" s="377"/>
      <c r="CF274" s="377"/>
      <c r="CG274" s="377"/>
      <c r="CH274" s="377"/>
      <c r="CI274" s="377"/>
    </row>
    <row r="275" spans="1:87" ht="15">
      <c r="A275" s="377"/>
      <c r="B275" s="377"/>
      <c r="C275" s="572"/>
      <c r="D275" s="377"/>
      <c r="E275" s="377"/>
      <c r="F275" s="377"/>
      <c r="G275" s="377"/>
      <c r="H275" s="573"/>
      <c r="I275" s="377"/>
      <c r="J275" s="377"/>
      <c r="K275" s="377"/>
      <c r="L275" s="377"/>
      <c r="M275" s="377"/>
      <c r="N275" s="377"/>
      <c r="O275" s="377"/>
      <c r="P275" s="377"/>
      <c r="Q275" s="377"/>
      <c r="R275" s="377"/>
      <c r="S275" s="377"/>
      <c r="T275" s="377"/>
      <c r="U275" s="377"/>
      <c r="V275" s="377"/>
      <c r="W275" s="377"/>
      <c r="X275" s="574"/>
      <c r="Y275" s="377"/>
      <c r="Z275" s="377"/>
      <c r="AA275" s="377"/>
      <c r="AB275" s="377"/>
      <c r="AC275" s="377"/>
      <c r="AD275" s="377"/>
      <c r="AE275" s="377"/>
      <c r="AF275" s="377"/>
      <c r="AG275" s="377"/>
      <c r="AH275" s="377"/>
      <c r="AI275" s="377"/>
      <c r="AJ275" s="377"/>
      <c r="AK275" s="377"/>
      <c r="AL275" s="574"/>
      <c r="AM275" s="377"/>
      <c r="AN275" s="377"/>
      <c r="AO275" s="377"/>
      <c r="AP275" s="377"/>
      <c r="AQ275" s="377"/>
      <c r="AR275" s="377"/>
      <c r="AS275" s="377"/>
      <c r="AT275" s="377"/>
      <c r="AU275" s="377"/>
      <c r="AV275" s="377"/>
      <c r="AW275" s="575"/>
      <c r="AX275" s="377"/>
      <c r="AY275" s="377"/>
      <c r="AZ275" s="377"/>
      <c r="BA275" s="377"/>
      <c r="BB275" s="377"/>
      <c r="BC275" s="377"/>
      <c r="BD275" s="377"/>
      <c r="BE275" s="377"/>
      <c r="BF275" s="377"/>
      <c r="BG275" s="377"/>
      <c r="BH275" s="377"/>
      <c r="BI275" s="377"/>
      <c r="BJ275" s="377"/>
      <c r="BK275" s="377"/>
      <c r="BL275" s="377"/>
      <c r="BM275" s="377"/>
      <c r="BN275" s="576"/>
      <c r="BO275" s="377"/>
      <c r="BP275" s="377"/>
      <c r="BQ275" s="377"/>
      <c r="BR275" s="377"/>
      <c r="BS275" s="377"/>
      <c r="BT275" s="377"/>
      <c r="BU275" s="377"/>
      <c r="BV275" s="377"/>
      <c r="BW275" s="377"/>
      <c r="BX275" s="377"/>
      <c r="BY275" s="377"/>
      <c r="BZ275" s="377"/>
      <c r="CA275" s="377"/>
      <c r="CB275" s="377"/>
      <c r="CC275" s="377"/>
      <c r="CD275" s="377"/>
      <c r="CE275" s="377"/>
      <c r="CF275" s="377"/>
      <c r="CG275" s="377"/>
      <c r="CH275" s="377"/>
      <c r="CI275" s="377"/>
    </row>
    <row r="276" spans="1:87" ht="15">
      <c r="A276" s="377"/>
      <c r="B276" s="377"/>
      <c r="C276" s="572"/>
      <c r="D276" s="377"/>
      <c r="E276" s="377"/>
      <c r="F276" s="377"/>
      <c r="G276" s="377"/>
      <c r="H276" s="573"/>
      <c r="I276" s="377"/>
      <c r="J276" s="377"/>
      <c r="K276" s="377"/>
      <c r="L276" s="377"/>
      <c r="M276" s="377"/>
      <c r="N276" s="377"/>
      <c r="O276" s="377"/>
      <c r="P276" s="377"/>
      <c r="Q276" s="377"/>
      <c r="R276" s="377"/>
      <c r="S276" s="377"/>
      <c r="T276" s="377"/>
      <c r="U276" s="377"/>
      <c r="V276" s="377"/>
      <c r="W276" s="377"/>
      <c r="X276" s="574"/>
      <c r="Y276" s="377"/>
      <c r="Z276" s="377"/>
      <c r="AA276" s="377"/>
      <c r="AB276" s="377"/>
      <c r="AC276" s="377"/>
      <c r="AD276" s="377"/>
      <c r="AE276" s="377"/>
      <c r="AF276" s="377"/>
      <c r="AG276" s="377"/>
      <c r="AH276" s="377"/>
      <c r="AI276" s="377"/>
      <c r="AJ276" s="377"/>
      <c r="AK276" s="377"/>
      <c r="AL276" s="574"/>
      <c r="AM276" s="377"/>
      <c r="AN276" s="377"/>
      <c r="AO276" s="377"/>
      <c r="AP276" s="377"/>
      <c r="AQ276" s="377"/>
      <c r="AR276" s="377"/>
      <c r="AS276" s="377"/>
      <c r="AT276" s="377"/>
      <c r="AU276" s="377"/>
      <c r="AV276" s="377"/>
      <c r="AW276" s="575"/>
      <c r="AX276" s="377"/>
      <c r="AY276" s="377"/>
      <c r="AZ276" s="377"/>
      <c r="BA276" s="377"/>
      <c r="BB276" s="377"/>
      <c r="BC276" s="377"/>
      <c r="BD276" s="377"/>
      <c r="BE276" s="377"/>
      <c r="BF276" s="377"/>
      <c r="BG276" s="377"/>
      <c r="BH276" s="377"/>
      <c r="BI276" s="377"/>
      <c r="BJ276" s="377"/>
      <c r="BK276" s="377"/>
      <c r="BL276" s="377"/>
      <c r="BM276" s="377"/>
      <c r="BN276" s="576"/>
      <c r="BO276" s="377"/>
      <c r="BP276" s="377"/>
      <c r="BQ276" s="377"/>
      <c r="BR276" s="377"/>
      <c r="BS276" s="377"/>
      <c r="BT276" s="377"/>
      <c r="BU276" s="377"/>
      <c r="BV276" s="377"/>
      <c r="BW276" s="377"/>
      <c r="BX276" s="377"/>
      <c r="BY276" s="377"/>
      <c r="BZ276" s="377"/>
      <c r="CA276" s="377"/>
      <c r="CB276" s="377"/>
      <c r="CC276" s="377"/>
      <c r="CD276" s="377"/>
      <c r="CE276" s="377"/>
      <c r="CF276" s="377"/>
      <c r="CG276" s="377"/>
      <c r="CH276" s="377"/>
      <c r="CI276" s="377"/>
    </row>
    <row r="277" spans="1:87" ht="15">
      <c r="A277" s="377"/>
      <c r="B277" s="377"/>
      <c r="C277" s="572"/>
      <c r="D277" s="377"/>
      <c r="E277" s="377"/>
      <c r="F277" s="377"/>
      <c r="G277" s="377"/>
      <c r="H277" s="573"/>
      <c r="I277" s="377"/>
      <c r="J277" s="377"/>
      <c r="K277" s="377"/>
      <c r="L277" s="377"/>
      <c r="M277" s="377"/>
      <c r="N277" s="377"/>
      <c r="O277" s="377"/>
      <c r="P277" s="377"/>
      <c r="Q277" s="377"/>
      <c r="R277" s="377"/>
      <c r="S277" s="377"/>
      <c r="T277" s="377"/>
      <c r="U277" s="377"/>
      <c r="V277" s="377"/>
      <c r="W277" s="377"/>
      <c r="X277" s="574"/>
      <c r="Y277" s="377"/>
      <c r="Z277" s="377"/>
      <c r="AA277" s="377"/>
      <c r="AB277" s="377"/>
      <c r="AC277" s="377"/>
      <c r="AD277" s="377"/>
      <c r="AE277" s="377"/>
      <c r="AF277" s="377"/>
      <c r="AG277" s="377"/>
      <c r="AH277" s="377"/>
      <c r="AI277" s="377"/>
      <c r="AJ277" s="377"/>
      <c r="AK277" s="377"/>
      <c r="AL277" s="574"/>
      <c r="AM277" s="377"/>
      <c r="AN277" s="377"/>
      <c r="AO277" s="377"/>
      <c r="AP277" s="377"/>
      <c r="AQ277" s="377"/>
      <c r="AR277" s="377"/>
      <c r="AS277" s="377"/>
      <c r="AT277" s="377"/>
      <c r="AU277" s="377"/>
      <c r="AV277" s="377"/>
      <c r="AW277" s="575"/>
      <c r="AX277" s="377"/>
      <c r="AY277" s="377"/>
      <c r="AZ277" s="377"/>
      <c r="BA277" s="377"/>
      <c r="BB277" s="377"/>
      <c r="BC277" s="377"/>
      <c r="BD277" s="377"/>
      <c r="BE277" s="377"/>
      <c r="BF277" s="377"/>
      <c r="BG277" s="377"/>
      <c r="BH277" s="377"/>
      <c r="BI277" s="377"/>
      <c r="BJ277" s="377"/>
      <c r="BK277" s="377"/>
      <c r="BL277" s="377"/>
      <c r="BM277" s="377"/>
      <c r="BN277" s="576"/>
      <c r="BO277" s="377"/>
      <c r="BP277" s="377"/>
      <c r="BQ277" s="377"/>
      <c r="BR277" s="377"/>
      <c r="BS277" s="377"/>
      <c r="BT277" s="377"/>
      <c r="BU277" s="377"/>
      <c r="BV277" s="377"/>
      <c r="BW277" s="377"/>
      <c r="BX277" s="377"/>
      <c r="BY277" s="377"/>
      <c r="BZ277" s="377"/>
      <c r="CA277" s="377"/>
      <c r="CB277" s="377"/>
      <c r="CC277" s="377"/>
      <c r="CD277" s="377"/>
      <c r="CE277" s="377"/>
      <c r="CF277" s="377"/>
      <c r="CG277" s="377"/>
      <c r="CH277" s="377"/>
      <c r="CI277" s="377"/>
    </row>
    <row r="278" spans="1:87" ht="15">
      <c r="A278" s="377"/>
      <c r="B278" s="377"/>
      <c r="C278" s="572"/>
      <c r="D278" s="377"/>
      <c r="E278" s="377"/>
      <c r="F278" s="377"/>
      <c r="G278" s="377"/>
      <c r="H278" s="573"/>
      <c r="I278" s="377"/>
      <c r="J278" s="377"/>
      <c r="K278" s="377"/>
      <c r="L278" s="377"/>
      <c r="M278" s="377"/>
      <c r="N278" s="377"/>
      <c r="O278" s="377"/>
      <c r="P278" s="377"/>
      <c r="Q278" s="377"/>
      <c r="R278" s="377"/>
      <c r="S278" s="377"/>
      <c r="T278" s="377"/>
      <c r="U278" s="377"/>
      <c r="V278" s="377"/>
      <c r="W278" s="377"/>
      <c r="X278" s="574"/>
      <c r="Y278" s="377"/>
      <c r="Z278" s="377"/>
      <c r="AA278" s="377"/>
      <c r="AB278" s="377"/>
      <c r="AC278" s="377"/>
      <c r="AD278" s="377"/>
      <c r="AE278" s="377"/>
      <c r="AF278" s="377"/>
      <c r="AG278" s="377"/>
      <c r="AH278" s="377"/>
      <c r="AI278" s="377"/>
      <c r="AJ278" s="377"/>
      <c r="AK278" s="377"/>
      <c r="AL278" s="574"/>
      <c r="AM278" s="377"/>
      <c r="AN278" s="377"/>
      <c r="AO278" s="377"/>
      <c r="AP278" s="377"/>
      <c r="AQ278" s="377"/>
      <c r="AR278" s="377"/>
      <c r="AS278" s="377"/>
      <c r="AT278" s="377"/>
      <c r="AU278" s="377"/>
      <c r="AV278" s="377"/>
      <c r="AW278" s="575"/>
      <c r="AX278" s="377"/>
      <c r="AY278" s="377"/>
      <c r="AZ278" s="377"/>
      <c r="BA278" s="377"/>
      <c r="BB278" s="377"/>
      <c r="BC278" s="377"/>
      <c r="BD278" s="377"/>
      <c r="BE278" s="377"/>
      <c r="BF278" s="377"/>
      <c r="BG278" s="377"/>
      <c r="BH278" s="377"/>
      <c r="BI278" s="377"/>
      <c r="BJ278" s="377"/>
      <c r="BK278" s="377"/>
      <c r="BL278" s="377"/>
      <c r="BM278" s="377"/>
      <c r="BN278" s="576"/>
      <c r="BO278" s="377"/>
      <c r="BP278" s="377"/>
      <c r="BQ278" s="377"/>
      <c r="BR278" s="377"/>
      <c r="BS278" s="377"/>
      <c r="BT278" s="377"/>
      <c r="BU278" s="377"/>
      <c r="BV278" s="377"/>
      <c r="BW278" s="377"/>
      <c r="BX278" s="377"/>
      <c r="BY278" s="377"/>
      <c r="BZ278" s="377"/>
      <c r="CA278" s="377"/>
      <c r="CB278" s="377"/>
      <c r="CC278" s="377"/>
      <c r="CD278" s="377"/>
      <c r="CE278" s="377"/>
      <c r="CF278" s="377"/>
      <c r="CG278" s="377"/>
      <c r="CH278" s="377"/>
      <c r="CI278" s="377"/>
    </row>
    <row r="279" spans="1:87" ht="15">
      <c r="A279" s="377"/>
      <c r="B279" s="377"/>
      <c r="C279" s="572"/>
      <c r="D279" s="377"/>
      <c r="E279" s="377"/>
      <c r="F279" s="377"/>
      <c r="G279" s="377"/>
      <c r="H279" s="573"/>
      <c r="I279" s="377"/>
      <c r="J279" s="377"/>
      <c r="K279" s="377"/>
      <c r="L279" s="377"/>
      <c r="M279" s="377"/>
      <c r="N279" s="377"/>
      <c r="O279" s="377"/>
      <c r="P279" s="377"/>
      <c r="Q279" s="377"/>
      <c r="R279" s="377"/>
      <c r="S279" s="377"/>
      <c r="T279" s="377"/>
      <c r="U279" s="377"/>
      <c r="V279" s="377"/>
      <c r="W279" s="377"/>
      <c r="X279" s="574"/>
      <c r="Y279" s="377"/>
      <c r="Z279" s="377"/>
      <c r="AA279" s="377"/>
      <c r="AB279" s="377"/>
      <c r="AC279" s="377"/>
      <c r="AD279" s="377"/>
      <c r="AE279" s="377"/>
      <c r="AF279" s="377"/>
      <c r="AG279" s="377"/>
      <c r="AH279" s="377"/>
      <c r="AI279" s="377"/>
      <c r="AJ279" s="377"/>
      <c r="AK279" s="377"/>
      <c r="AL279" s="574"/>
      <c r="AM279" s="377"/>
      <c r="AN279" s="377"/>
      <c r="AO279" s="377"/>
      <c r="AP279" s="377"/>
      <c r="AQ279" s="377"/>
      <c r="AR279" s="377"/>
      <c r="AS279" s="377"/>
      <c r="AT279" s="377"/>
      <c r="AU279" s="377"/>
      <c r="AV279" s="377"/>
      <c r="AW279" s="575"/>
      <c r="AX279" s="377"/>
      <c r="AY279" s="377"/>
      <c r="AZ279" s="377"/>
      <c r="BA279" s="377"/>
      <c r="BB279" s="377"/>
      <c r="BC279" s="377"/>
      <c r="BD279" s="377"/>
      <c r="BE279" s="377"/>
      <c r="BF279" s="377"/>
      <c r="BG279" s="377"/>
      <c r="BH279" s="377"/>
      <c r="BI279" s="377"/>
      <c r="BJ279" s="377"/>
      <c r="BK279" s="377"/>
      <c r="BL279" s="377"/>
      <c r="BM279" s="377"/>
      <c r="BN279" s="576"/>
      <c r="BO279" s="377"/>
      <c r="BP279" s="377"/>
      <c r="BQ279" s="377"/>
      <c r="BR279" s="377"/>
      <c r="BS279" s="377"/>
      <c r="BT279" s="377"/>
      <c r="BU279" s="377"/>
      <c r="BV279" s="377"/>
      <c r="BW279" s="377"/>
      <c r="BX279" s="377"/>
      <c r="BY279" s="377"/>
      <c r="BZ279" s="377"/>
      <c r="CA279" s="377"/>
      <c r="CB279" s="377"/>
      <c r="CC279" s="377"/>
      <c r="CD279" s="377"/>
      <c r="CE279" s="377"/>
      <c r="CF279" s="377"/>
      <c r="CG279" s="377"/>
      <c r="CH279" s="377"/>
      <c r="CI279" s="377"/>
    </row>
    <row r="280" spans="1:87" ht="15">
      <c r="A280" s="377"/>
      <c r="B280" s="377"/>
      <c r="C280" s="572"/>
      <c r="D280" s="377"/>
      <c r="E280" s="377"/>
      <c r="F280" s="377"/>
      <c r="G280" s="377"/>
      <c r="H280" s="573"/>
      <c r="I280" s="377"/>
      <c r="J280" s="377"/>
      <c r="K280" s="377"/>
      <c r="L280" s="377"/>
      <c r="M280" s="377"/>
      <c r="N280" s="377"/>
      <c r="O280" s="377"/>
      <c r="P280" s="377"/>
      <c r="Q280" s="377"/>
      <c r="R280" s="377"/>
      <c r="S280" s="377"/>
      <c r="T280" s="377"/>
      <c r="U280" s="377"/>
      <c r="V280" s="377"/>
      <c r="W280" s="377"/>
      <c r="X280" s="574"/>
      <c r="Y280" s="377"/>
      <c r="Z280" s="377"/>
      <c r="AA280" s="377"/>
      <c r="AB280" s="377"/>
      <c r="AC280" s="377"/>
      <c r="AD280" s="377"/>
      <c r="AE280" s="377"/>
      <c r="AF280" s="377"/>
      <c r="AG280" s="377"/>
      <c r="AH280" s="377"/>
      <c r="AI280" s="377"/>
      <c r="AJ280" s="377"/>
      <c r="AK280" s="377"/>
      <c r="AL280" s="574"/>
      <c r="AM280" s="377"/>
      <c r="AN280" s="377"/>
      <c r="AO280" s="377"/>
      <c r="AP280" s="377"/>
      <c r="AQ280" s="377"/>
      <c r="AR280" s="377"/>
      <c r="AS280" s="377"/>
      <c r="AT280" s="377"/>
      <c r="AU280" s="377"/>
      <c r="AV280" s="377"/>
      <c r="AW280" s="575"/>
      <c r="AX280" s="377"/>
      <c r="AY280" s="377"/>
      <c r="AZ280" s="377"/>
      <c r="BA280" s="377"/>
      <c r="BB280" s="377"/>
      <c r="BC280" s="377"/>
      <c r="BD280" s="377"/>
      <c r="BE280" s="377"/>
      <c r="BF280" s="377"/>
      <c r="BG280" s="377"/>
      <c r="BH280" s="377"/>
      <c r="BI280" s="377"/>
      <c r="BJ280" s="377"/>
      <c r="BK280" s="377"/>
      <c r="BL280" s="377"/>
      <c r="BM280" s="377"/>
      <c r="BN280" s="576"/>
      <c r="BO280" s="377"/>
      <c r="BP280" s="377"/>
      <c r="BQ280" s="377"/>
      <c r="BR280" s="377"/>
      <c r="BS280" s="377"/>
      <c r="BT280" s="377"/>
      <c r="BU280" s="377"/>
      <c r="BV280" s="377"/>
      <c r="BW280" s="377"/>
      <c r="BX280" s="377"/>
      <c r="BY280" s="377"/>
      <c r="BZ280" s="377"/>
      <c r="CA280" s="377"/>
      <c r="CB280" s="377"/>
      <c r="CC280" s="377"/>
      <c r="CD280" s="377"/>
      <c r="CE280" s="377"/>
      <c r="CF280" s="377"/>
      <c r="CG280" s="377"/>
      <c r="CH280" s="377"/>
      <c r="CI280" s="377"/>
    </row>
    <row r="281" spans="1:87" ht="15">
      <c r="A281" s="377"/>
      <c r="B281" s="377"/>
      <c r="C281" s="572"/>
      <c r="D281" s="377"/>
      <c r="E281" s="377"/>
      <c r="F281" s="377"/>
      <c r="G281" s="377"/>
      <c r="H281" s="573"/>
      <c r="I281" s="377"/>
      <c r="J281" s="377"/>
      <c r="K281" s="377"/>
      <c r="L281" s="377"/>
      <c r="M281" s="377"/>
      <c r="N281" s="377"/>
      <c r="O281" s="377"/>
      <c r="P281" s="377"/>
      <c r="Q281" s="377"/>
      <c r="R281" s="377"/>
      <c r="S281" s="377"/>
      <c r="T281" s="377"/>
      <c r="U281" s="377"/>
      <c r="V281" s="377"/>
      <c r="W281" s="377"/>
      <c r="X281" s="574"/>
      <c r="Y281" s="377"/>
      <c r="Z281" s="377"/>
      <c r="AA281" s="377"/>
      <c r="AB281" s="377"/>
      <c r="AC281" s="377"/>
      <c r="AD281" s="377"/>
      <c r="AE281" s="377"/>
      <c r="AF281" s="377"/>
      <c r="AG281" s="377"/>
      <c r="AH281" s="377"/>
      <c r="AI281" s="377"/>
      <c r="AJ281" s="377"/>
      <c r="AK281" s="377"/>
      <c r="AL281" s="574"/>
      <c r="AM281" s="377"/>
      <c r="AN281" s="377"/>
      <c r="AO281" s="377"/>
      <c r="AP281" s="377"/>
      <c r="AQ281" s="377"/>
      <c r="AR281" s="377"/>
      <c r="AS281" s="377"/>
      <c r="AT281" s="377"/>
      <c r="AU281" s="377"/>
      <c r="AV281" s="377"/>
      <c r="AW281" s="575"/>
      <c r="AX281" s="377"/>
      <c r="AY281" s="377"/>
      <c r="AZ281" s="377"/>
      <c r="BA281" s="377"/>
      <c r="BB281" s="377"/>
      <c r="BC281" s="377"/>
      <c r="BD281" s="377"/>
      <c r="BE281" s="377"/>
      <c r="BF281" s="377"/>
      <c r="BG281" s="377"/>
      <c r="BH281" s="377"/>
      <c r="BI281" s="377"/>
      <c r="BJ281" s="377"/>
      <c r="BK281" s="377"/>
      <c r="BL281" s="377"/>
      <c r="BM281" s="377"/>
      <c r="BN281" s="576"/>
      <c r="BO281" s="377"/>
      <c r="BP281" s="377"/>
      <c r="BQ281" s="377"/>
      <c r="BR281" s="377"/>
      <c r="BS281" s="377"/>
      <c r="BT281" s="377"/>
      <c r="BU281" s="377"/>
      <c r="BV281" s="377"/>
      <c r="BW281" s="377"/>
      <c r="BX281" s="377"/>
      <c r="BY281" s="377"/>
      <c r="BZ281" s="377"/>
      <c r="CA281" s="377"/>
      <c r="CB281" s="377"/>
      <c r="CC281" s="377"/>
      <c r="CD281" s="377"/>
      <c r="CE281" s="377"/>
      <c r="CF281" s="377"/>
      <c r="CG281" s="377"/>
      <c r="CH281" s="377"/>
      <c r="CI281" s="377"/>
    </row>
    <row r="282" spans="1:87" ht="15">
      <c r="A282" s="377"/>
      <c r="B282" s="377"/>
      <c r="C282" s="572"/>
      <c r="D282" s="377"/>
      <c r="E282" s="377"/>
      <c r="F282" s="377"/>
      <c r="G282" s="377"/>
      <c r="H282" s="573"/>
      <c r="I282" s="377"/>
      <c r="J282" s="377"/>
      <c r="K282" s="377"/>
      <c r="L282" s="377"/>
      <c r="M282" s="377"/>
      <c r="N282" s="377"/>
      <c r="O282" s="377"/>
      <c r="P282" s="377"/>
      <c r="Q282" s="377"/>
      <c r="R282" s="377"/>
      <c r="S282" s="377"/>
      <c r="T282" s="377"/>
      <c r="U282" s="377"/>
      <c r="V282" s="377"/>
      <c r="W282" s="377"/>
      <c r="X282" s="574"/>
      <c r="Y282" s="377"/>
      <c r="Z282" s="377"/>
      <c r="AA282" s="377"/>
      <c r="AB282" s="377"/>
      <c r="AC282" s="377"/>
      <c r="AD282" s="377"/>
      <c r="AE282" s="377"/>
      <c r="AF282" s="377"/>
      <c r="AG282" s="377"/>
      <c r="AH282" s="377"/>
      <c r="AI282" s="377"/>
      <c r="AJ282" s="377"/>
      <c r="AK282" s="377"/>
      <c r="AL282" s="574"/>
      <c r="AM282" s="377"/>
      <c r="AN282" s="377"/>
      <c r="AO282" s="377"/>
      <c r="AP282" s="377"/>
      <c r="AQ282" s="377"/>
      <c r="AR282" s="377"/>
      <c r="AS282" s="377"/>
      <c r="AT282" s="377"/>
      <c r="AU282" s="377"/>
      <c r="AV282" s="377"/>
      <c r="AW282" s="575"/>
      <c r="AX282" s="377"/>
      <c r="AY282" s="377"/>
      <c r="AZ282" s="377"/>
      <c r="BA282" s="377"/>
      <c r="BB282" s="377"/>
      <c r="BC282" s="377"/>
      <c r="BD282" s="377"/>
      <c r="BE282" s="377"/>
      <c r="BF282" s="377"/>
      <c r="BG282" s="377"/>
      <c r="BH282" s="377"/>
      <c r="BI282" s="377"/>
      <c r="BJ282" s="377"/>
      <c r="BK282" s="377"/>
      <c r="BL282" s="377"/>
      <c r="BM282" s="377"/>
      <c r="BN282" s="576"/>
      <c r="BO282" s="377"/>
      <c r="BP282" s="377"/>
      <c r="BQ282" s="377"/>
      <c r="BR282" s="377"/>
      <c r="BS282" s="377"/>
      <c r="BT282" s="377"/>
      <c r="BU282" s="377"/>
      <c r="BV282" s="377"/>
      <c r="BW282" s="377"/>
      <c r="BX282" s="377"/>
      <c r="BY282" s="377"/>
      <c r="BZ282" s="377"/>
      <c r="CA282" s="377"/>
      <c r="CB282" s="377"/>
      <c r="CC282" s="377"/>
      <c r="CD282" s="377"/>
      <c r="CE282" s="377"/>
      <c r="CF282" s="377"/>
      <c r="CG282" s="377"/>
      <c r="CH282" s="377"/>
      <c r="CI282" s="377"/>
    </row>
    <row r="283" spans="1:87" ht="15">
      <c r="A283" s="377"/>
      <c r="B283" s="377"/>
      <c r="C283" s="572"/>
      <c r="D283" s="377"/>
      <c r="E283" s="377"/>
      <c r="F283" s="377"/>
      <c r="G283" s="377"/>
      <c r="H283" s="573"/>
      <c r="I283" s="377"/>
      <c r="J283" s="377"/>
      <c r="K283" s="377"/>
      <c r="L283" s="377"/>
      <c r="M283" s="377"/>
      <c r="N283" s="377"/>
      <c r="O283" s="377"/>
      <c r="P283" s="377"/>
      <c r="Q283" s="377"/>
      <c r="R283" s="377"/>
      <c r="S283" s="377"/>
      <c r="T283" s="377"/>
      <c r="U283" s="377"/>
      <c r="V283" s="377"/>
      <c r="W283" s="377"/>
      <c r="X283" s="574"/>
      <c r="Y283" s="377"/>
      <c r="Z283" s="377"/>
      <c r="AA283" s="377"/>
      <c r="AB283" s="377"/>
      <c r="AC283" s="377"/>
      <c r="AD283" s="377"/>
      <c r="AE283" s="377"/>
      <c r="AF283" s="377"/>
      <c r="AG283" s="377"/>
      <c r="AH283" s="377"/>
      <c r="AI283" s="377"/>
      <c r="AJ283" s="377"/>
      <c r="AK283" s="377"/>
      <c r="AL283" s="574"/>
      <c r="AM283" s="377"/>
      <c r="AN283" s="377"/>
      <c r="AO283" s="377"/>
      <c r="AP283" s="377"/>
      <c r="AQ283" s="377"/>
      <c r="AR283" s="377"/>
      <c r="AS283" s="377"/>
      <c r="AT283" s="377"/>
      <c r="AU283" s="377"/>
      <c r="AV283" s="377"/>
      <c r="AW283" s="575"/>
      <c r="AX283" s="377"/>
      <c r="AY283" s="377"/>
      <c r="AZ283" s="377"/>
      <c r="BA283" s="377"/>
      <c r="BB283" s="377"/>
      <c r="BC283" s="377"/>
      <c r="BD283" s="377"/>
      <c r="BE283" s="377"/>
      <c r="BF283" s="377"/>
      <c r="BG283" s="377"/>
      <c r="BH283" s="377"/>
      <c r="BI283" s="377"/>
      <c r="BJ283" s="377"/>
      <c r="BK283" s="377"/>
      <c r="BL283" s="377"/>
      <c r="BM283" s="377"/>
      <c r="BN283" s="576"/>
      <c r="BO283" s="377"/>
      <c r="BP283" s="377"/>
      <c r="BQ283" s="377"/>
      <c r="BR283" s="377"/>
      <c r="BS283" s="377"/>
      <c r="BT283" s="377"/>
      <c r="BU283" s="377"/>
      <c r="BV283" s="377"/>
      <c r="BW283" s="377"/>
      <c r="BX283" s="377"/>
      <c r="BY283" s="377"/>
      <c r="BZ283" s="377"/>
      <c r="CA283" s="377"/>
      <c r="CB283" s="377"/>
      <c r="CC283" s="377"/>
      <c r="CD283" s="377"/>
      <c r="CE283" s="377"/>
      <c r="CF283" s="377"/>
      <c r="CG283" s="377"/>
      <c r="CH283" s="377"/>
      <c r="CI283" s="377"/>
    </row>
    <row r="284" spans="1:87" ht="15">
      <c r="A284" s="377"/>
      <c r="B284" s="377"/>
      <c r="C284" s="572"/>
      <c r="D284" s="377"/>
      <c r="E284" s="377"/>
      <c r="F284" s="377"/>
      <c r="G284" s="377"/>
      <c r="H284" s="573"/>
      <c r="I284" s="377"/>
      <c r="J284" s="377"/>
      <c r="K284" s="377"/>
      <c r="L284" s="377"/>
      <c r="M284" s="377"/>
      <c r="N284" s="377"/>
      <c r="O284" s="377"/>
      <c r="P284" s="377"/>
      <c r="Q284" s="377"/>
      <c r="R284" s="377"/>
      <c r="S284" s="377"/>
      <c r="T284" s="377"/>
      <c r="U284" s="377"/>
      <c r="V284" s="377"/>
      <c r="W284" s="377"/>
      <c r="X284" s="574"/>
      <c r="Y284" s="377"/>
      <c r="Z284" s="377"/>
      <c r="AA284" s="377"/>
      <c r="AB284" s="377"/>
      <c r="AC284" s="377"/>
      <c r="AD284" s="377"/>
      <c r="AE284" s="377"/>
      <c r="AF284" s="377"/>
      <c r="AG284" s="377"/>
      <c r="AH284" s="377"/>
      <c r="AI284" s="377"/>
      <c r="AJ284" s="377"/>
      <c r="AK284" s="377"/>
      <c r="AL284" s="574"/>
      <c r="AM284" s="377"/>
      <c r="AN284" s="377"/>
      <c r="AO284" s="377"/>
      <c r="AP284" s="377"/>
      <c r="AQ284" s="377"/>
      <c r="AR284" s="377"/>
      <c r="AS284" s="377"/>
      <c r="AT284" s="377"/>
      <c r="AU284" s="377"/>
      <c r="AV284" s="377"/>
      <c r="AW284" s="575"/>
      <c r="AX284" s="377"/>
      <c r="AY284" s="377"/>
      <c r="AZ284" s="377"/>
      <c r="BA284" s="377"/>
      <c r="BB284" s="377"/>
      <c r="BC284" s="377"/>
      <c r="BD284" s="377"/>
      <c r="BE284" s="377"/>
      <c r="BF284" s="377"/>
      <c r="BG284" s="377"/>
      <c r="BH284" s="377"/>
      <c r="BI284" s="377"/>
      <c r="BJ284" s="377"/>
      <c r="BK284" s="377"/>
      <c r="BL284" s="377"/>
      <c r="BM284" s="377"/>
      <c r="BN284" s="576"/>
      <c r="BO284" s="377"/>
      <c r="BP284" s="377"/>
      <c r="BQ284" s="377"/>
      <c r="BR284" s="377"/>
      <c r="BS284" s="377"/>
      <c r="BT284" s="377"/>
      <c r="BU284" s="377"/>
      <c r="BV284" s="377"/>
      <c r="BW284" s="377"/>
      <c r="BX284" s="377"/>
      <c r="BY284" s="377"/>
      <c r="BZ284" s="377"/>
      <c r="CA284" s="377"/>
      <c r="CB284" s="377"/>
      <c r="CC284" s="377"/>
      <c r="CD284" s="377"/>
      <c r="CE284" s="377"/>
      <c r="CF284" s="377"/>
      <c r="CG284" s="377"/>
      <c r="CH284" s="377"/>
      <c r="CI284" s="377"/>
    </row>
    <row r="285" spans="1:87" ht="15">
      <c r="A285" s="377"/>
      <c r="B285" s="377"/>
      <c r="C285" s="572"/>
      <c r="D285" s="377"/>
      <c r="E285" s="377"/>
      <c r="F285" s="377"/>
      <c r="G285" s="377"/>
      <c r="H285" s="573"/>
      <c r="I285" s="377"/>
      <c r="J285" s="377"/>
      <c r="K285" s="377"/>
      <c r="L285" s="377"/>
      <c r="M285" s="377"/>
      <c r="N285" s="377"/>
      <c r="O285" s="377"/>
      <c r="P285" s="377"/>
      <c r="Q285" s="377"/>
      <c r="R285" s="377"/>
      <c r="S285" s="377"/>
      <c r="T285" s="377"/>
      <c r="U285" s="377"/>
      <c r="V285" s="377"/>
      <c r="W285" s="377"/>
      <c r="X285" s="574"/>
      <c r="Y285" s="377"/>
      <c r="Z285" s="377"/>
      <c r="AA285" s="377"/>
      <c r="AB285" s="377"/>
      <c r="AC285" s="377"/>
      <c r="AD285" s="377"/>
      <c r="AE285" s="377"/>
      <c r="AF285" s="377"/>
      <c r="AG285" s="377"/>
      <c r="AH285" s="377"/>
      <c r="AI285" s="377"/>
      <c r="AJ285" s="377"/>
      <c r="AK285" s="377"/>
      <c r="AL285" s="574"/>
      <c r="AM285" s="377"/>
      <c r="AN285" s="377"/>
      <c r="AO285" s="377"/>
      <c r="AP285" s="377"/>
      <c r="AQ285" s="377"/>
      <c r="AR285" s="377"/>
      <c r="AS285" s="377"/>
      <c r="AT285" s="377"/>
      <c r="AU285" s="377"/>
      <c r="AV285" s="377"/>
      <c r="AW285" s="575"/>
      <c r="AX285" s="377"/>
      <c r="AY285" s="377"/>
      <c r="AZ285" s="377"/>
      <c r="BA285" s="377"/>
      <c r="BB285" s="377"/>
      <c r="BC285" s="377"/>
      <c r="BD285" s="377"/>
      <c r="BE285" s="377"/>
      <c r="BF285" s="377"/>
      <c r="BG285" s="377"/>
      <c r="BH285" s="377"/>
      <c r="BI285" s="377"/>
      <c r="BJ285" s="377"/>
      <c r="BK285" s="377"/>
      <c r="BL285" s="377"/>
      <c r="BM285" s="377"/>
      <c r="BN285" s="576"/>
      <c r="BO285" s="377"/>
      <c r="BP285" s="377"/>
      <c r="BQ285" s="377"/>
      <c r="BR285" s="377"/>
      <c r="BS285" s="377"/>
      <c r="BT285" s="377"/>
      <c r="BU285" s="377"/>
      <c r="BV285" s="377"/>
      <c r="BW285" s="377"/>
      <c r="BX285" s="377"/>
      <c r="BY285" s="377"/>
      <c r="BZ285" s="377"/>
      <c r="CA285" s="377"/>
      <c r="CB285" s="377"/>
      <c r="CC285" s="377"/>
      <c r="CD285" s="377"/>
      <c r="CE285" s="377"/>
      <c r="CF285" s="377"/>
      <c r="CG285" s="377"/>
      <c r="CH285" s="377"/>
      <c r="CI285" s="377"/>
    </row>
    <row r="286" spans="1:87" ht="15">
      <c r="A286" s="377"/>
      <c r="B286" s="377"/>
      <c r="C286" s="572"/>
      <c r="D286" s="377"/>
      <c r="E286" s="377"/>
      <c r="F286" s="377"/>
      <c r="G286" s="377"/>
      <c r="H286" s="573"/>
      <c r="I286" s="377"/>
      <c r="J286" s="377"/>
      <c r="K286" s="377"/>
      <c r="L286" s="377"/>
      <c r="M286" s="377"/>
      <c r="N286" s="377"/>
      <c r="O286" s="377"/>
      <c r="P286" s="377"/>
      <c r="Q286" s="377"/>
      <c r="R286" s="377"/>
      <c r="S286" s="377"/>
      <c r="T286" s="377"/>
      <c r="U286" s="377"/>
      <c r="V286" s="377"/>
      <c r="W286" s="377"/>
      <c r="X286" s="574"/>
      <c r="Y286" s="377"/>
      <c r="Z286" s="377"/>
      <c r="AA286" s="377"/>
      <c r="AB286" s="377"/>
      <c r="AC286" s="377"/>
      <c r="AD286" s="377"/>
      <c r="AE286" s="377"/>
      <c r="AF286" s="377"/>
      <c r="AG286" s="377"/>
      <c r="AH286" s="377"/>
      <c r="AI286" s="377"/>
      <c r="AJ286" s="377"/>
      <c r="AK286" s="377"/>
      <c r="AL286" s="574"/>
      <c r="AM286" s="377"/>
      <c r="AN286" s="377"/>
      <c r="AO286" s="377"/>
      <c r="AP286" s="377"/>
      <c r="AQ286" s="377"/>
      <c r="AR286" s="377"/>
      <c r="AS286" s="377"/>
      <c r="AT286" s="377"/>
      <c r="AU286" s="377"/>
      <c r="AV286" s="377"/>
      <c r="AW286" s="575"/>
      <c r="AX286" s="377"/>
      <c r="AY286" s="377"/>
      <c r="AZ286" s="377"/>
      <c r="BA286" s="377"/>
      <c r="BB286" s="377"/>
      <c r="BC286" s="377"/>
      <c r="BD286" s="377"/>
      <c r="BE286" s="377"/>
      <c r="BF286" s="377"/>
      <c r="BG286" s="377"/>
      <c r="BH286" s="377"/>
      <c r="BI286" s="377"/>
      <c r="BJ286" s="377"/>
      <c r="BK286" s="377"/>
      <c r="BL286" s="377"/>
      <c r="BM286" s="377"/>
      <c r="BN286" s="576"/>
      <c r="BO286" s="377"/>
      <c r="BP286" s="377"/>
      <c r="BQ286" s="377"/>
      <c r="BR286" s="377"/>
      <c r="BS286" s="377"/>
      <c r="BT286" s="377"/>
      <c r="BU286" s="377"/>
      <c r="BV286" s="377"/>
      <c r="BW286" s="377"/>
      <c r="BX286" s="377"/>
      <c r="BY286" s="377"/>
      <c r="BZ286" s="377"/>
      <c r="CA286" s="377"/>
      <c r="CB286" s="377"/>
      <c r="CC286" s="377"/>
      <c r="CD286" s="377"/>
      <c r="CE286" s="377"/>
      <c r="CF286" s="377"/>
      <c r="CG286" s="377"/>
      <c r="CH286" s="377"/>
      <c r="CI286" s="377"/>
    </row>
    <row r="287" spans="1:87" ht="15">
      <c r="A287" s="377"/>
      <c r="B287" s="377"/>
      <c r="C287" s="572"/>
      <c r="D287" s="377"/>
      <c r="E287" s="377"/>
      <c r="F287" s="377"/>
      <c r="G287" s="377"/>
      <c r="H287" s="573"/>
      <c r="I287" s="377"/>
      <c r="J287" s="377"/>
      <c r="K287" s="377"/>
      <c r="L287" s="377"/>
      <c r="M287" s="377"/>
      <c r="N287" s="377"/>
      <c r="O287" s="377"/>
      <c r="P287" s="377"/>
      <c r="Q287" s="377"/>
      <c r="R287" s="377"/>
      <c r="S287" s="377"/>
      <c r="T287" s="377"/>
      <c r="U287" s="377"/>
      <c r="V287" s="377"/>
      <c r="W287" s="377"/>
      <c r="X287" s="574"/>
      <c r="Y287" s="377"/>
      <c r="Z287" s="377"/>
      <c r="AA287" s="377"/>
      <c r="AB287" s="377"/>
      <c r="AC287" s="377"/>
      <c r="AD287" s="377"/>
      <c r="AE287" s="377"/>
      <c r="AF287" s="377"/>
      <c r="AG287" s="377"/>
      <c r="AH287" s="377"/>
      <c r="AI287" s="377"/>
      <c r="AJ287" s="377"/>
      <c r="AK287" s="377"/>
      <c r="AL287" s="574"/>
      <c r="AM287" s="377"/>
      <c r="AN287" s="377"/>
      <c r="AO287" s="377"/>
      <c r="AP287" s="377"/>
      <c r="AQ287" s="377"/>
      <c r="AR287" s="377"/>
      <c r="AS287" s="377"/>
      <c r="AT287" s="377"/>
      <c r="AU287" s="377"/>
      <c r="AV287" s="377"/>
      <c r="AW287" s="575"/>
      <c r="AX287" s="377"/>
      <c r="AY287" s="377"/>
      <c r="AZ287" s="377"/>
      <c r="BA287" s="377"/>
      <c r="BB287" s="377"/>
      <c r="BC287" s="377"/>
      <c r="BD287" s="377"/>
      <c r="BE287" s="377"/>
      <c r="BF287" s="377"/>
      <c r="BG287" s="377"/>
      <c r="BH287" s="377"/>
      <c r="BI287" s="377"/>
      <c r="BJ287" s="377"/>
      <c r="BK287" s="377"/>
      <c r="BL287" s="377"/>
      <c r="BM287" s="377"/>
      <c r="BN287" s="576"/>
      <c r="BO287" s="377"/>
      <c r="BP287" s="377"/>
      <c r="BQ287" s="377"/>
      <c r="BR287" s="377"/>
      <c r="BS287" s="377"/>
      <c r="BT287" s="377"/>
      <c r="BU287" s="377"/>
      <c r="BV287" s="377"/>
      <c r="BW287" s="377"/>
      <c r="BX287" s="377"/>
      <c r="BY287" s="377"/>
      <c r="BZ287" s="377"/>
      <c r="CA287" s="377"/>
      <c r="CB287" s="377"/>
      <c r="CC287" s="377"/>
      <c r="CD287" s="377"/>
      <c r="CE287" s="377"/>
      <c r="CF287" s="377"/>
      <c r="CG287" s="377"/>
      <c r="CH287" s="377"/>
      <c r="CI287" s="377"/>
    </row>
    <row r="288" spans="1:87" ht="15">
      <c r="A288" s="377"/>
      <c r="B288" s="377"/>
      <c r="C288" s="572"/>
      <c r="D288" s="377"/>
      <c r="E288" s="377"/>
      <c r="F288" s="377"/>
      <c r="G288" s="377"/>
      <c r="H288" s="573"/>
      <c r="I288" s="377"/>
      <c r="J288" s="377"/>
      <c r="K288" s="377"/>
      <c r="L288" s="377"/>
      <c r="M288" s="377"/>
      <c r="N288" s="377"/>
      <c r="O288" s="377"/>
      <c r="P288" s="377"/>
      <c r="Q288" s="377"/>
      <c r="R288" s="377"/>
      <c r="S288" s="377"/>
      <c r="T288" s="377"/>
      <c r="U288" s="377"/>
      <c r="V288" s="377"/>
      <c r="W288" s="377"/>
      <c r="X288" s="574"/>
      <c r="Y288" s="377"/>
      <c r="Z288" s="377"/>
      <c r="AA288" s="377"/>
      <c r="AB288" s="377"/>
      <c r="AC288" s="377"/>
      <c r="AD288" s="377"/>
      <c r="AE288" s="377"/>
      <c r="AF288" s="377"/>
      <c r="AG288" s="377"/>
      <c r="AH288" s="377"/>
      <c r="AI288" s="377"/>
      <c r="AJ288" s="377"/>
      <c r="AK288" s="377"/>
      <c r="AL288" s="574"/>
      <c r="AM288" s="377"/>
      <c r="AN288" s="377"/>
      <c r="AO288" s="377"/>
      <c r="AP288" s="377"/>
      <c r="AQ288" s="377"/>
      <c r="AR288" s="377"/>
      <c r="AS288" s="377"/>
      <c r="AT288" s="377"/>
      <c r="AU288" s="377"/>
      <c r="AV288" s="377"/>
      <c r="AW288" s="575"/>
      <c r="AX288" s="377"/>
      <c r="AY288" s="377"/>
      <c r="AZ288" s="377"/>
      <c r="BA288" s="377"/>
      <c r="BB288" s="377"/>
      <c r="BC288" s="377"/>
      <c r="BD288" s="377"/>
      <c r="BE288" s="377"/>
      <c r="BF288" s="377"/>
      <c r="BG288" s="377"/>
      <c r="BH288" s="377"/>
      <c r="BI288" s="377"/>
      <c r="BJ288" s="377"/>
      <c r="BK288" s="377"/>
      <c r="BL288" s="377"/>
      <c r="BM288" s="377"/>
      <c r="BN288" s="576"/>
      <c r="BO288" s="377"/>
      <c r="BP288" s="377"/>
      <c r="BQ288" s="377"/>
      <c r="BR288" s="377"/>
      <c r="BS288" s="377"/>
      <c r="BT288" s="377"/>
      <c r="BU288" s="377"/>
      <c r="BV288" s="377"/>
      <c r="BW288" s="377"/>
      <c r="BX288" s="377"/>
      <c r="BY288" s="377"/>
      <c r="BZ288" s="377"/>
      <c r="CA288" s="377"/>
      <c r="CB288" s="377"/>
      <c r="CC288" s="377"/>
      <c r="CD288" s="377"/>
      <c r="CE288" s="377"/>
      <c r="CF288" s="377"/>
      <c r="CG288" s="377"/>
      <c r="CH288" s="377"/>
      <c r="CI288" s="377"/>
    </row>
    <row r="289" spans="1:87" ht="15">
      <c r="A289" s="377"/>
      <c r="B289" s="377"/>
      <c r="C289" s="572"/>
      <c r="D289" s="377"/>
      <c r="E289" s="377"/>
      <c r="F289" s="377"/>
      <c r="G289" s="377"/>
      <c r="H289" s="573"/>
      <c r="I289" s="377"/>
      <c r="J289" s="377"/>
      <c r="K289" s="377"/>
      <c r="L289" s="377"/>
      <c r="M289" s="377"/>
      <c r="N289" s="377"/>
      <c r="O289" s="377"/>
      <c r="P289" s="377"/>
      <c r="Q289" s="377"/>
      <c r="R289" s="377"/>
      <c r="S289" s="377"/>
      <c r="T289" s="377"/>
      <c r="U289" s="377"/>
      <c r="V289" s="377"/>
      <c r="W289" s="377"/>
      <c r="X289" s="574"/>
      <c r="Y289" s="377"/>
      <c r="Z289" s="377"/>
      <c r="AA289" s="377"/>
      <c r="AB289" s="377"/>
      <c r="AC289" s="377"/>
      <c r="AD289" s="377"/>
      <c r="AE289" s="377"/>
      <c r="AF289" s="377"/>
      <c r="AG289" s="377"/>
      <c r="AH289" s="377"/>
      <c r="AI289" s="377"/>
      <c r="AJ289" s="377"/>
      <c r="AK289" s="377"/>
      <c r="AL289" s="574"/>
      <c r="AM289" s="377"/>
      <c r="AN289" s="377"/>
      <c r="AO289" s="377"/>
      <c r="AP289" s="377"/>
      <c r="AQ289" s="377"/>
      <c r="AR289" s="377"/>
      <c r="AS289" s="377"/>
      <c r="AT289" s="377"/>
      <c r="AU289" s="377"/>
      <c r="AV289" s="377"/>
      <c r="AW289" s="575"/>
      <c r="AX289" s="377"/>
      <c r="AY289" s="377"/>
      <c r="AZ289" s="377"/>
      <c r="BA289" s="377"/>
      <c r="BB289" s="377"/>
      <c r="BC289" s="377"/>
      <c r="BD289" s="377"/>
      <c r="BE289" s="377"/>
      <c r="BF289" s="377"/>
      <c r="BG289" s="377"/>
      <c r="BH289" s="377"/>
      <c r="BI289" s="377"/>
      <c r="BJ289" s="377"/>
      <c r="BK289" s="377"/>
      <c r="BL289" s="377"/>
      <c r="BM289" s="377"/>
      <c r="BN289" s="576"/>
      <c r="BO289" s="377"/>
      <c r="BP289" s="377"/>
      <c r="BQ289" s="377"/>
      <c r="BR289" s="377"/>
      <c r="BS289" s="377"/>
      <c r="BT289" s="377"/>
      <c r="BU289" s="377"/>
      <c r="BV289" s="377"/>
      <c r="BW289" s="377"/>
      <c r="BX289" s="377"/>
      <c r="BY289" s="377"/>
      <c r="BZ289" s="377"/>
      <c r="CA289" s="377"/>
      <c r="CB289" s="377"/>
      <c r="CC289" s="377"/>
      <c r="CD289" s="377"/>
      <c r="CE289" s="377"/>
      <c r="CF289" s="377"/>
      <c r="CG289" s="377"/>
      <c r="CH289" s="377"/>
      <c r="CI289" s="377"/>
    </row>
    <row r="290" spans="1:87" ht="15">
      <c r="A290" s="377"/>
      <c r="B290" s="377"/>
      <c r="C290" s="572"/>
      <c r="D290" s="377"/>
      <c r="E290" s="377"/>
      <c r="F290" s="377"/>
      <c r="G290" s="377"/>
      <c r="H290" s="573"/>
      <c r="I290" s="377"/>
      <c r="J290" s="377"/>
      <c r="K290" s="377"/>
      <c r="L290" s="377"/>
      <c r="M290" s="377"/>
      <c r="N290" s="377"/>
      <c r="O290" s="377"/>
      <c r="P290" s="377"/>
      <c r="Q290" s="377"/>
      <c r="R290" s="377"/>
      <c r="S290" s="377"/>
      <c r="T290" s="377"/>
      <c r="U290" s="377"/>
      <c r="V290" s="377"/>
      <c r="W290" s="377"/>
      <c r="X290" s="574"/>
      <c r="Y290" s="377"/>
      <c r="Z290" s="377"/>
      <c r="AA290" s="377"/>
      <c r="AB290" s="377"/>
      <c r="AC290" s="377"/>
      <c r="AD290" s="377"/>
      <c r="AE290" s="377"/>
      <c r="AF290" s="377"/>
      <c r="AG290" s="377"/>
      <c r="AH290" s="377"/>
      <c r="AI290" s="377"/>
      <c r="AJ290" s="377"/>
      <c r="AK290" s="377"/>
      <c r="AL290" s="574"/>
      <c r="AM290" s="377"/>
      <c r="AN290" s="377"/>
      <c r="AO290" s="377"/>
      <c r="AP290" s="377"/>
      <c r="AQ290" s="377"/>
      <c r="AR290" s="377"/>
      <c r="AS290" s="377"/>
      <c r="AT290" s="377"/>
      <c r="AU290" s="377"/>
      <c r="AV290" s="377"/>
      <c r="AW290" s="575"/>
      <c r="AX290" s="377"/>
      <c r="AY290" s="377"/>
      <c r="AZ290" s="377"/>
      <c r="BA290" s="377"/>
      <c r="BB290" s="377"/>
      <c r="BC290" s="377"/>
      <c r="BD290" s="377"/>
      <c r="BE290" s="377"/>
      <c r="BF290" s="377"/>
      <c r="BG290" s="377"/>
      <c r="BH290" s="377"/>
      <c r="BI290" s="377"/>
      <c r="BJ290" s="377"/>
      <c r="BK290" s="377"/>
      <c r="BL290" s="377"/>
      <c r="BM290" s="377"/>
      <c r="BN290" s="576"/>
      <c r="BO290" s="377"/>
      <c r="BP290" s="377"/>
      <c r="BQ290" s="377"/>
      <c r="BR290" s="377"/>
      <c r="BS290" s="377"/>
      <c r="BT290" s="377"/>
      <c r="BU290" s="377"/>
      <c r="BV290" s="377"/>
      <c r="BW290" s="377"/>
      <c r="BX290" s="377"/>
      <c r="BY290" s="377"/>
      <c r="BZ290" s="377"/>
      <c r="CA290" s="377"/>
      <c r="CB290" s="377"/>
      <c r="CC290" s="377"/>
      <c r="CD290" s="377"/>
      <c r="CE290" s="377"/>
      <c r="CF290" s="377"/>
      <c r="CG290" s="377"/>
      <c r="CH290" s="377"/>
      <c r="CI290" s="377"/>
    </row>
    <row r="291" spans="1:87" ht="15">
      <c r="A291" s="377"/>
      <c r="B291" s="377"/>
      <c r="C291" s="572"/>
      <c r="D291" s="377"/>
      <c r="E291" s="377"/>
      <c r="F291" s="377"/>
      <c r="G291" s="377"/>
      <c r="H291" s="573"/>
      <c r="I291" s="377"/>
      <c r="J291" s="377"/>
      <c r="K291" s="377"/>
      <c r="L291" s="377"/>
      <c r="M291" s="377"/>
      <c r="N291" s="377"/>
      <c r="O291" s="377"/>
      <c r="P291" s="377"/>
      <c r="Q291" s="377"/>
      <c r="R291" s="377"/>
      <c r="S291" s="377"/>
      <c r="T291" s="377"/>
      <c r="U291" s="377"/>
      <c r="V291" s="377"/>
      <c r="W291" s="377"/>
      <c r="X291" s="574"/>
      <c r="Y291" s="377"/>
      <c r="Z291" s="377"/>
      <c r="AA291" s="377"/>
      <c r="AB291" s="377"/>
      <c r="AC291" s="377"/>
      <c r="AD291" s="377"/>
      <c r="AE291" s="377"/>
      <c r="AF291" s="377"/>
      <c r="AG291" s="377"/>
      <c r="AH291" s="377"/>
      <c r="AI291" s="377"/>
      <c r="AJ291" s="377"/>
      <c r="AK291" s="377"/>
      <c r="AL291" s="574"/>
      <c r="AM291" s="377"/>
      <c r="AN291" s="377"/>
      <c r="AO291" s="377"/>
      <c r="AP291" s="377"/>
      <c r="AQ291" s="377"/>
      <c r="AR291" s="377"/>
      <c r="AS291" s="377"/>
      <c r="AT291" s="377"/>
      <c r="AU291" s="377"/>
      <c r="AV291" s="377"/>
      <c r="AW291" s="575"/>
      <c r="AX291" s="377"/>
      <c r="AY291" s="377"/>
      <c r="AZ291" s="377"/>
      <c r="BA291" s="377"/>
      <c r="BB291" s="377"/>
      <c r="BC291" s="377"/>
      <c r="BD291" s="377"/>
      <c r="BE291" s="377"/>
      <c r="BF291" s="377"/>
      <c r="BG291" s="377"/>
      <c r="BH291" s="377"/>
      <c r="BI291" s="377"/>
      <c r="BJ291" s="377"/>
      <c r="BK291" s="377"/>
      <c r="BL291" s="377"/>
      <c r="BM291" s="377"/>
      <c r="BN291" s="576"/>
      <c r="BO291" s="377"/>
      <c r="BP291" s="377"/>
      <c r="BQ291" s="377"/>
      <c r="BR291" s="377"/>
      <c r="BS291" s="377"/>
      <c r="BT291" s="377"/>
      <c r="BU291" s="377"/>
      <c r="BV291" s="377"/>
      <c r="BW291" s="377"/>
      <c r="BX291" s="377"/>
      <c r="BY291" s="377"/>
      <c r="BZ291" s="377"/>
      <c r="CA291" s="377"/>
      <c r="CB291" s="377"/>
      <c r="CC291" s="377"/>
      <c r="CD291" s="377"/>
      <c r="CE291" s="377"/>
      <c r="CF291" s="377"/>
      <c r="CG291" s="377"/>
      <c r="CH291" s="377"/>
      <c r="CI291" s="377"/>
    </row>
    <row r="292" spans="1:87" ht="15">
      <c r="A292" s="377"/>
      <c r="B292" s="377"/>
      <c r="C292" s="572"/>
      <c r="D292" s="377"/>
      <c r="E292" s="377"/>
      <c r="F292" s="377"/>
      <c r="G292" s="377"/>
      <c r="H292" s="573"/>
      <c r="I292" s="377"/>
      <c r="J292" s="377"/>
      <c r="K292" s="377"/>
      <c r="L292" s="377"/>
      <c r="M292" s="377"/>
      <c r="N292" s="377"/>
      <c r="O292" s="377"/>
      <c r="P292" s="377"/>
      <c r="Q292" s="377"/>
      <c r="R292" s="377"/>
      <c r="S292" s="377"/>
      <c r="T292" s="377"/>
      <c r="U292" s="377"/>
      <c r="V292" s="377"/>
      <c r="W292" s="377"/>
      <c r="X292" s="574"/>
      <c r="Y292" s="377"/>
      <c r="Z292" s="377"/>
      <c r="AA292" s="377"/>
      <c r="AB292" s="377"/>
      <c r="AC292" s="377"/>
      <c r="AD292" s="377"/>
      <c r="AE292" s="377"/>
      <c r="AF292" s="377"/>
      <c r="AG292" s="377"/>
      <c r="AH292" s="377"/>
      <c r="AI292" s="377"/>
      <c r="AJ292" s="377"/>
      <c r="AK292" s="377"/>
      <c r="AL292" s="574"/>
      <c r="AM292" s="377"/>
      <c r="AN292" s="377"/>
      <c r="AO292" s="377"/>
      <c r="AP292" s="377"/>
      <c r="AQ292" s="377"/>
      <c r="AR292" s="377"/>
      <c r="AS292" s="377"/>
      <c r="AT292" s="377"/>
      <c r="AU292" s="377"/>
      <c r="AV292" s="377"/>
      <c r="AW292" s="575"/>
      <c r="AX292" s="377"/>
      <c r="AY292" s="377"/>
      <c r="AZ292" s="377"/>
      <c r="BA292" s="377"/>
      <c r="BB292" s="377"/>
      <c r="BC292" s="377"/>
      <c r="BD292" s="377"/>
      <c r="BE292" s="377"/>
      <c r="BF292" s="377"/>
      <c r="BG292" s="377"/>
      <c r="BH292" s="377"/>
      <c r="BI292" s="377"/>
      <c r="BJ292" s="377"/>
      <c r="BK292" s="377"/>
      <c r="BL292" s="377"/>
      <c r="BM292" s="377"/>
      <c r="BN292" s="576"/>
      <c r="BO292" s="377"/>
      <c r="BP292" s="377"/>
      <c r="BQ292" s="377"/>
      <c r="BR292" s="377"/>
      <c r="BS292" s="377"/>
      <c r="BT292" s="377"/>
      <c r="BU292" s="377"/>
      <c r="BV292" s="377"/>
      <c r="BW292" s="377"/>
      <c r="BX292" s="377"/>
      <c r="BY292" s="377"/>
      <c r="BZ292" s="377"/>
      <c r="CA292" s="377"/>
      <c r="CB292" s="377"/>
      <c r="CC292" s="377"/>
      <c r="CD292" s="377"/>
      <c r="CE292" s="377"/>
      <c r="CF292" s="377"/>
      <c r="CG292" s="377"/>
      <c r="CH292" s="377"/>
      <c r="CI292" s="377"/>
    </row>
    <row r="293" spans="1:87" ht="15">
      <c r="A293" s="377"/>
      <c r="B293" s="377"/>
      <c r="C293" s="572"/>
      <c r="D293" s="377"/>
      <c r="E293" s="377"/>
      <c r="F293" s="377"/>
      <c r="G293" s="377"/>
      <c r="H293" s="573"/>
      <c r="I293" s="377"/>
      <c r="J293" s="377"/>
      <c r="K293" s="377"/>
      <c r="L293" s="377"/>
      <c r="M293" s="377"/>
      <c r="N293" s="377"/>
      <c r="O293" s="377"/>
      <c r="P293" s="377"/>
      <c r="Q293" s="377"/>
      <c r="R293" s="377"/>
      <c r="S293" s="377"/>
      <c r="T293" s="377"/>
      <c r="U293" s="377"/>
      <c r="V293" s="377"/>
      <c r="W293" s="377"/>
      <c r="X293" s="574"/>
      <c r="Y293" s="377"/>
      <c r="Z293" s="377"/>
      <c r="AA293" s="377"/>
      <c r="AB293" s="377"/>
      <c r="AC293" s="377"/>
      <c r="AD293" s="377"/>
      <c r="AE293" s="377"/>
      <c r="AF293" s="377"/>
      <c r="AG293" s="377"/>
      <c r="AH293" s="377"/>
      <c r="AI293" s="377"/>
      <c r="AJ293" s="377"/>
      <c r="AK293" s="377"/>
      <c r="AL293" s="574"/>
      <c r="AM293" s="377"/>
      <c r="AN293" s="377"/>
      <c r="AO293" s="377"/>
      <c r="AP293" s="377"/>
      <c r="AQ293" s="377"/>
      <c r="AR293" s="377"/>
      <c r="AS293" s="377"/>
      <c r="AT293" s="377"/>
      <c r="AU293" s="377"/>
      <c r="AV293" s="377"/>
      <c r="AW293" s="575"/>
      <c r="AX293" s="377"/>
      <c r="AY293" s="377"/>
      <c r="AZ293" s="377"/>
      <c r="BA293" s="377"/>
      <c r="BB293" s="377"/>
      <c r="BC293" s="377"/>
      <c r="BD293" s="377"/>
      <c r="BE293" s="377"/>
      <c r="BF293" s="377"/>
      <c r="BG293" s="377"/>
      <c r="BH293" s="377"/>
      <c r="BI293" s="377"/>
      <c r="BJ293" s="377"/>
      <c r="BK293" s="377"/>
      <c r="BL293" s="377"/>
      <c r="BM293" s="377"/>
      <c r="BN293" s="576"/>
      <c r="BO293" s="377"/>
      <c r="BP293" s="377"/>
      <c r="BQ293" s="377"/>
      <c r="BR293" s="377"/>
      <c r="BS293" s="377"/>
      <c r="BT293" s="377"/>
      <c r="BU293" s="377"/>
      <c r="BV293" s="377"/>
      <c r="BW293" s="377"/>
      <c r="BX293" s="377"/>
      <c r="BY293" s="377"/>
      <c r="BZ293" s="377"/>
      <c r="CA293" s="377"/>
      <c r="CB293" s="377"/>
      <c r="CC293" s="377"/>
      <c r="CD293" s="377"/>
      <c r="CE293" s="377"/>
      <c r="CF293" s="377"/>
      <c r="CG293" s="377"/>
      <c r="CH293" s="377"/>
      <c r="CI293" s="377"/>
    </row>
    <row r="294" spans="1:87" ht="15">
      <c r="A294" s="377"/>
      <c r="B294" s="377"/>
      <c r="C294" s="572"/>
      <c r="D294" s="377"/>
      <c r="E294" s="377"/>
      <c r="F294" s="377"/>
      <c r="G294" s="377"/>
      <c r="H294" s="573"/>
      <c r="I294" s="377"/>
      <c r="J294" s="377"/>
      <c r="K294" s="377"/>
      <c r="L294" s="377"/>
      <c r="M294" s="377"/>
      <c r="N294" s="377"/>
      <c r="O294" s="377"/>
      <c r="P294" s="377"/>
      <c r="Q294" s="377"/>
      <c r="R294" s="377"/>
      <c r="S294" s="377"/>
      <c r="T294" s="377"/>
      <c r="U294" s="377"/>
      <c r="V294" s="377"/>
      <c r="W294" s="377"/>
      <c r="X294" s="574"/>
      <c r="Y294" s="377"/>
      <c r="Z294" s="377"/>
      <c r="AA294" s="377"/>
      <c r="AB294" s="377"/>
      <c r="AC294" s="377"/>
      <c r="AD294" s="377"/>
      <c r="AE294" s="377"/>
      <c r="AF294" s="377"/>
      <c r="AG294" s="377"/>
      <c r="AH294" s="377"/>
      <c r="AI294" s="377"/>
      <c r="AJ294" s="377"/>
      <c r="AK294" s="377"/>
      <c r="AL294" s="574"/>
      <c r="AM294" s="377"/>
      <c r="AN294" s="377"/>
      <c r="AO294" s="377"/>
      <c r="AP294" s="377"/>
      <c r="AQ294" s="377"/>
      <c r="AR294" s="377"/>
      <c r="AS294" s="377"/>
      <c r="AT294" s="377"/>
      <c r="AU294" s="377"/>
      <c r="AV294" s="377"/>
      <c r="AW294" s="575"/>
      <c r="AX294" s="377"/>
      <c r="AY294" s="377"/>
      <c r="AZ294" s="377"/>
      <c r="BA294" s="377"/>
      <c r="BB294" s="377"/>
      <c r="BC294" s="377"/>
      <c r="BD294" s="377"/>
      <c r="BE294" s="377"/>
      <c r="BF294" s="377"/>
      <c r="BG294" s="377"/>
      <c r="BH294" s="377"/>
      <c r="BI294" s="377"/>
      <c r="BJ294" s="377"/>
      <c r="BK294" s="377"/>
      <c r="BL294" s="377"/>
      <c r="BM294" s="377"/>
      <c r="BN294" s="576"/>
      <c r="BO294" s="377"/>
      <c r="BP294" s="377"/>
      <c r="BQ294" s="377"/>
      <c r="BR294" s="377"/>
      <c r="BS294" s="377"/>
      <c r="BT294" s="377"/>
      <c r="BU294" s="377"/>
      <c r="BV294" s="377"/>
      <c r="BW294" s="377"/>
      <c r="BX294" s="377"/>
      <c r="BY294" s="377"/>
      <c r="BZ294" s="377"/>
      <c r="CA294" s="377"/>
      <c r="CB294" s="377"/>
      <c r="CC294" s="377"/>
      <c r="CD294" s="377"/>
      <c r="CE294" s="377"/>
      <c r="CF294" s="377"/>
      <c r="CG294" s="377"/>
      <c r="CH294" s="377"/>
      <c r="CI294" s="377"/>
    </row>
    <row r="295" spans="1:87" ht="15">
      <c r="A295" s="377"/>
      <c r="B295" s="377"/>
      <c r="C295" s="572"/>
      <c r="D295" s="377"/>
      <c r="E295" s="377"/>
      <c r="F295" s="377"/>
      <c r="G295" s="377"/>
      <c r="H295" s="573"/>
      <c r="I295" s="377"/>
      <c r="J295" s="377"/>
      <c r="K295" s="377"/>
      <c r="L295" s="377"/>
      <c r="M295" s="377"/>
      <c r="N295" s="377"/>
      <c r="O295" s="377"/>
      <c r="P295" s="377"/>
      <c r="Q295" s="377"/>
      <c r="R295" s="377"/>
      <c r="S295" s="377"/>
      <c r="T295" s="377"/>
      <c r="U295" s="377"/>
      <c r="V295" s="377"/>
      <c r="W295" s="377"/>
      <c r="X295" s="574"/>
      <c r="Y295" s="377"/>
      <c r="Z295" s="377"/>
      <c r="AA295" s="377"/>
      <c r="AB295" s="377"/>
      <c r="AC295" s="377"/>
      <c r="AD295" s="377"/>
      <c r="AE295" s="377"/>
      <c r="AF295" s="377"/>
      <c r="AG295" s="377"/>
      <c r="AH295" s="377"/>
      <c r="AI295" s="377"/>
      <c r="AJ295" s="377"/>
      <c r="AK295" s="377"/>
      <c r="AL295" s="574"/>
      <c r="AM295" s="377"/>
      <c r="AN295" s="377"/>
      <c r="AO295" s="377"/>
      <c r="AP295" s="377"/>
      <c r="AQ295" s="377"/>
      <c r="AR295" s="377"/>
      <c r="AS295" s="377"/>
      <c r="AT295" s="377"/>
      <c r="AU295" s="377"/>
      <c r="AV295" s="377"/>
      <c r="AW295" s="575"/>
      <c r="AX295" s="377"/>
      <c r="AY295" s="377"/>
      <c r="AZ295" s="377"/>
      <c r="BA295" s="377"/>
      <c r="BB295" s="377"/>
      <c r="BC295" s="377"/>
      <c r="BD295" s="377"/>
      <c r="BE295" s="377"/>
      <c r="BF295" s="377"/>
      <c r="BG295" s="377"/>
      <c r="BH295" s="377"/>
      <c r="BI295" s="377"/>
      <c r="BJ295" s="377"/>
      <c r="BK295" s="377"/>
      <c r="BL295" s="377"/>
      <c r="BM295" s="377"/>
      <c r="BN295" s="576"/>
      <c r="BO295" s="377"/>
      <c r="BP295" s="377"/>
      <c r="BQ295" s="377"/>
      <c r="BR295" s="377"/>
      <c r="BS295" s="377"/>
      <c r="BT295" s="377"/>
      <c r="BU295" s="377"/>
      <c r="BV295" s="377"/>
      <c r="BW295" s="377"/>
      <c r="BX295" s="377"/>
      <c r="BY295" s="377"/>
      <c r="BZ295" s="377"/>
      <c r="CA295" s="377"/>
      <c r="CB295" s="377"/>
      <c r="CC295" s="377"/>
      <c r="CD295" s="377"/>
      <c r="CE295" s="377"/>
      <c r="CF295" s="377"/>
      <c r="CG295" s="377"/>
      <c r="CH295" s="377"/>
      <c r="CI295" s="377"/>
    </row>
    <row r="296" spans="1:87" ht="15">
      <c r="A296" s="377"/>
      <c r="B296" s="377"/>
      <c r="C296" s="572"/>
      <c r="D296" s="377"/>
      <c r="E296" s="377"/>
      <c r="F296" s="377"/>
      <c r="G296" s="377"/>
      <c r="H296" s="573"/>
      <c r="I296" s="377"/>
      <c r="J296" s="377"/>
      <c r="K296" s="377"/>
      <c r="L296" s="377"/>
      <c r="M296" s="377"/>
      <c r="N296" s="377"/>
      <c r="O296" s="377"/>
      <c r="P296" s="377"/>
      <c r="Q296" s="377"/>
      <c r="R296" s="377"/>
      <c r="S296" s="377"/>
      <c r="T296" s="377"/>
      <c r="U296" s="377"/>
      <c r="V296" s="377"/>
      <c r="W296" s="377"/>
      <c r="X296" s="574"/>
      <c r="Y296" s="377"/>
      <c r="Z296" s="377"/>
      <c r="AA296" s="377"/>
      <c r="AB296" s="377"/>
      <c r="AC296" s="377"/>
      <c r="AD296" s="377"/>
      <c r="AE296" s="377"/>
      <c r="AF296" s="377"/>
      <c r="AG296" s="377"/>
      <c r="AH296" s="377"/>
      <c r="AI296" s="377"/>
      <c r="AJ296" s="377"/>
      <c r="AK296" s="377"/>
      <c r="AL296" s="574"/>
      <c r="AM296" s="377"/>
      <c r="AN296" s="377"/>
      <c r="AO296" s="377"/>
      <c r="AP296" s="377"/>
      <c r="AQ296" s="377"/>
      <c r="AR296" s="377"/>
      <c r="AS296" s="377"/>
      <c r="AT296" s="377"/>
      <c r="AU296" s="377"/>
      <c r="AV296" s="377"/>
      <c r="AW296" s="575"/>
      <c r="AX296" s="377"/>
      <c r="AY296" s="377"/>
      <c r="AZ296" s="377"/>
      <c r="BA296" s="377"/>
      <c r="BB296" s="377"/>
      <c r="BC296" s="377"/>
      <c r="BD296" s="377"/>
      <c r="BE296" s="377"/>
      <c r="BF296" s="377"/>
      <c r="BG296" s="377"/>
      <c r="BH296" s="377"/>
      <c r="BI296" s="377"/>
      <c r="BJ296" s="377"/>
      <c r="BK296" s="377"/>
      <c r="BL296" s="377"/>
      <c r="BM296" s="377"/>
      <c r="BN296" s="576"/>
      <c r="BO296" s="377"/>
      <c r="BP296" s="377"/>
      <c r="BQ296" s="377"/>
      <c r="BR296" s="377"/>
      <c r="BS296" s="377"/>
      <c r="BT296" s="377"/>
      <c r="BU296" s="377"/>
      <c r="BV296" s="377"/>
      <c r="BW296" s="377"/>
      <c r="BX296" s="377"/>
      <c r="BY296" s="377"/>
      <c r="BZ296" s="377"/>
      <c r="CA296" s="377"/>
      <c r="CB296" s="377"/>
      <c r="CC296" s="377"/>
      <c r="CD296" s="377"/>
      <c r="CE296" s="377"/>
      <c r="CF296" s="377"/>
      <c r="CG296" s="377"/>
      <c r="CH296" s="377"/>
      <c r="CI296" s="377"/>
    </row>
    <row r="297" spans="1:87" ht="15">
      <c r="A297" s="377"/>
      <c r="B297" s="377"/>
      <c r="C297" s="572"/>
      <c r="D297" s="377"/>
      <c r="E297" s="377"/>
      <c r="F297" s="377"/>
      <c r="G297" s="377"/>
      <c r="H297" s="573"/>
      <c r="I297" s="377"/>
      <c r="J297" s="377"/>
      <c r="K297" s="377"/>
      <c r="L297" s="377"/>
      <c r="M297" s="377"/>
      <c r="N297" s="377"/>
      <c r="O297" s="377"/>
      <c r="P297" s="377"/>
      <c r="Q297" s="377"/>
      <c r="R297" s="377"/>
      <c r="S297" s="377"/>
      <c r="T297" s="377"/>
      <c r="U297" s="377"/>
      <c r="V297" s="377"/>
      <c r="W297" s="377"/>
      <c r="X297" s="574"/>
      <c r="Y297" s="377"/>
      <c r="Z297" s="377"/>
      <c r="AA297" s="377"/>
      <c r="AB297" s="377"/>
      <c r="AC297" s="377"/>
      <c r="AD297" s="377"/>
      <c r="AE297" s="377"/>
      <c r="AF297" s="377"/>
      <c r="AG297" s="377"/>
      <c r="AH297" s="377"/>
      <c r="AI297" s="377"/>
      <c r="AJ297" s="377"/>
      <c r="AK297" s="377"/>
      <c r="AL297" s="574"/>
      <c r="AM297" s="377"/>
      <c r="AN297" s="377"/>
      <c r="AO297" s="377"/>
      <c r="AP297" s="377"/>
      <c r="AQ297" s="377"/>
      <c r="AR297" s="377"/>
      <c r="AS297" s="377"/>
      <c r="AT297" s="377"/>
      <c r="AU297" s="377"/>
      <c r="AV297" s="377"/>
      <c r="AW297" s="575"/>
      <c r="AX297" s="377"/>
      <c r="AY297" s="377"/>
      <c r="AZ297" s="377"/>
      <c r="BA297" s="377"/>
      <c r="BB297" s="377"/>
      <c r="BC297" s="377"/>
      <c r="BD297" s="377"/>
      <c r="BE297" s="377"/>
      <c r="BF297" s="377"/>
      <c r="BG297" s="377"/>
      <c r="BH297" s="377"/>
      <c r="BI297" s="377"/>
      <c r="BJ297" s="377"/>
      <c r="BK297" s="377"/>
      <c r="BL297" s="377"/>
      <c r="BM297" s="377"/>
      <c r="BN297" s="576"/>
      <c r="BO297" s="377"/>
      <c r="BP297" s="377"/>
      <c r="BQ297" s="377"/>
      <c r="BR297" s="377"/>
      <c r="BS297" s="377"/>
      <c r="BT297" s="377"/>
      <c r="BU297" s="377"/>
      <c r="BV297" s="377"/>
      <c r="BW297" s="377"/>
      <c r="BX297" s="377"/>
      <c r="BY297" s="377"/>
      <c r="BZ297" s="377"/>
      <c r="CA297" s="377"/>
      <c r="CB297" s="377"/>
      <c r="CC297" s="377"/>
      <c r="CD297" s="377"/>
      <c r="CE297" s="377"/>
      <c r="CF297" s="377"/>
      <c r="CG297" s="377"/>
      <c r="CH297" s="377"/>
      <c r="CI297" s="377"/>
    </row>
    <row r="298" spans="1:87" ht="15">
      <c r="A298" s="377"/>
      <c r="B298" s="377"/>
      <c r="C298" s="572"/>
      <c r="D298" s="377"/>
      <c r="E298" s="377"/>
      <c r="F298" s="377"/>
      <c r="G298" s="377"/>
      <c r="H298" s="573"/>
      <c r="I298" s="377"/>
      <c r="J298" s="377"/>
      <c r="K298" s="377"/>
      <c r="L298" s="377"/>
      <c r="M298" s="377"/>
      <c r="N298" s="377"/>
      <c r="O298" s="377"/>
      <c r="P298" s="377"/>
      <c r="Q298" s="377"/>
      <c r="R298" s="377"/>
      <c r="S298" s="377"/>
      <c r="T298" s="377"/>
      <c r="U298" s="377"/>
      <c r="V298" s="377"/>
      <c r="W298" s="377"/>
      <c r="X298" s="574"/>
      <c r="Y298" s="377"/>
      <c r="Z298" s="377"/>
      <c r="AA298" s="377"/>
      <c r="AB298" s="377"/>
      <c r="AC298" s="377"/>
      <c r="AD298" s="377"/>
      <c r="AE298" s="377"/>
      <c r="AF298" s="377"/>
      <c r="AG298" s="377"/>
      <c r="AH298" s="377"/>
      <c r="AI298" s="377"/>
      <c r="AJ298" s="377"/>
      <c r="AK298" s="377"/>
      <c r="AL298" s="574"/>
      <c r="AM298" s="377"/>
      <c r="AN298" s="377"/>
      <c r="AO298" s="377"/>
      <c r="AP298" s="377"/>
      <c r="AQ298" s="377"/>
      <c r="AR298" s="377"/>
      <c r="AS298" s="377"/>
      <c r="AT298" s="377"/>
      <c r="AU298" s="377"/>
      <c r="AV298" s="377"/>
      <c r="AW298" s="575"/>
      <c r="AX298" s="377"/>
      <c r="AY298" s="377"/>
      <c r="AZ298" s="377"/>
      <c r="BA298" s="377"/>
      <c r="BB298" s="377"/>
      <c r="BC298" s="377"/>
      <c r="BD298" s="377"/>
      <c r="BE298" s="377"/>
      <c r="BF298" s="377"/>
      <c r="BG298" s="377"/>
      <c r="BH298" s="377"/>
      <c r="BI298" s="377"/>
      <c r="BJ298" s="377"/>
      <c r="BK298" s="377"/>
      <c r="BL298" s="377"/>
      <c r="BM298" s="377"/>
      <c r="BN298" s="576"/>
      <c r="BO298" s="377"/>
      <c r="BP298" s="377"/>
      <c r="BQ298" s="377"/>
      <c r="BR298" s="377"/>
      <c r="BS298" s="377"/>
      <c r="BT298" s="377"/>
      <c r="BU298" s="377"/>
      <c r="BV298" s="377"/>
      <c r="BW298" s="377"/>
      <c r="BX298" s="377"/>
      <c r="BY298" s="377"/>
      <c r="BZ298" s="377"/>
      <c r="CA298" s="377"/>
      <c r="CB298" s="377"/>
      <c r="CC298" s="377"/>
      <c r="CD298" s="377"/>
      <c r="CE298" s="377"/>
      <c r="CF298" s="377"/>
      <c r="CG298" s="377"/>
      <c r="CH298" s="377"/>
      <c r="CI298" s="377"/>
    </row>
    <row r="299" spans="1:87" ht="15">
      <c r="A299" s="377"/>
      <c r="B299" s="377"/>
      <c r="C299" s="572"/>
      <c r="D299" s="377"/>
      <c r="E299" s="377"/>
      <c r="F299" s="377"/>
      <c r="G299" s="377"/>
      <c r="H299" s="573"/>
      <c r="I299" s="377"/>
      <c r="J299" s="377"/>
      <c r="K299" s="377"/>
      <c r="L299" s="377"/>
      <c r="M299" s="377"/>
      <c r="N299" s="377"/>
      <c r="O299" s="377"/>
      <c r="P299" s="377"/>
      <c r="Q299" s="377"/>
      <c r="R299" s="377"/>
      <c r="S299" s="377"/>
      <c r="T299" s="377"/>
      <c r="U299" s="377"/>
      <c r="V299" s="377"/>
      <c r="W299" s="377"/>
      <c r="X299" s="574"/>
      <c r="Y299" s="377"/>
      <c r="Z299" s="377"/>
      <c r="AA299" s="377"/>
      <c r="AB299" s="377"/>
      <c r="AC299" s="377"/>
      <c r="AD299" s="377"/>
      <c r="AE299" s="377"/>
      <c r="AF299" s="377"/>
      <c r="AG299" s="377"/>
      <c r="AH299" s="377"/>
      <c r="AI299" s="377"/>
      <c r="AJ299" s="377"/>
      <c r="AK299" s="377"/>
      <c r="AL299" s="574"/>
      <c r="AM299" s="377"/>
      <c r="AN299" s="377"/>
      <c r="AO299" s="377"/>
      <c r="AP299" s="377"/>
      <c r="AQ299" s="377"/>
      <c r="AR299" s="377"/>
      <c r="AS299" s="377"/>
      <c r="AT299" s="377"/>
      <c r="AU299" s="377"/>
      <c r="AV299" s="377"/>
      <c r="AW299" s="575"/>
      <c r="AX299" s="377"/>
      <c r="AY299" s="377"/>
      <c r="AZ299" s="377"/>
      <c r="BA299" s="377"/>
      <c r="BB299" s="377"/>
      <c r="BC299" s="377"/>
      <c r="BD299" s="377"/>
      <c r="BE299" s="377"/>
      <c r="BF299" s="377"/>
      <c r="BG299" s="377"/>
      <c r="BH299" s="377"/>
      <c r="BI299" s="377"/>
      <c r="BJ299" s="377"/>
      <c r="BK299" s="377"/>
      <c r="BL299" s="377"/>
      <c r="BM299" s="377"/>
      <c r="BN299" s="576"/>
      <c r="BO299" s="377"/>
      <c r="BP299" s="377"/>
      <c r="BQ299" s="377"/>
      <c r="BR299" s="377"/>
      <c r="BS299" s="377"/>
      <c r="BT299" s="377"/>
      <c r="BU299" s="377"/>
      <c r="BV299" s="377"/>
      <c r="BW299" s="377"/>
      <c r="BX299" s="377"/>
      <c r="BY299" s="377"/>
      <c r="BZ299" s="377"/>
      <c r="CA299" s="377"/>
      <c r="CB299" s="377"/>
      <c r="CC299" s="377"/>
      <c r="CD299" s="377"/>
      <c r="CE299" s="377"/>
      <c r="CF299" s="377"/>
      <c r="CG299" s="377"/>
      <c r="CH299" s="377"/>
      <c r="CI299" s="377"/>
    </row>
    <row r="300" spans="1:87" ht="15">
      <c r="A300" s="377"/>
      <c r="B300" s="377"/>
      <c r="C300" s="572"/>
      <c r="D300" s="377"/>
      <c r="E300" s="377"/>
      <c r="F300" s="377"/>
      <c r="G300" s="377"/>
      <c r="H300" s="573"/>
      <c r="I300" s="377"/>
      <c r="J300" s="377"/>
      <c r="K300" s="377"/>
      <c r="L300" s="377"/>
      <c r="M300" s="377"/>
      <c r="N300" s="377"/>
      <c r="O300" s="377"/>
      <c r="P300" s="377"/>
      <c r="Q300" s="377"/>
      <c r="R300" s="377"/>
      <c r="S300" s="377"/>
      <c r="T300" s="377"/>
      <c r="U300" s="377"/>
      <c r="V300" s="377"/>
      <c r="W300" s="377"/>
      <c r="X300" s="574"/>
      <c r="Y300" s="377"/>
      <c r="Z300" s="377"/>
      <c r="AA300" s="377"/>
      <c r="AB300" s="377"/>
      <c r="AC300" s="377"/>
      <c r="AD300" s="377"/>
      <c r="AE300" s="377"/>
      <c r="AF300" s="377"/>
      <c r="AG300" s="377"/>
      <c r="AH300" s="377"/>
      <c r="AI300" s="377"/>
      <c r="AJ300" s="377"/>
      <c r="AK300" s="377"/>
      <c r="AL300" s="574"/>
      <c r="AM300" s="377"/>
      <c r="AN300" s="377"/>
      <c r="AO300" s="377"/>
      <c r="AP300" s="377"/>
      <c r="AQ300" s="377"/>
      <c r="AR300" s="377"/>
      <c r="AS300" s="377"/>
      <c r="AT300" s="377"/>
      <c r="AU300" s="377"/>
      <c r="AV300" s="377"/>
      <c r="AW300" s="575"/>
      <c r="AX300" s="377"/>
      <c r="AY300" s="377"/>
      <c r="AZ300" s="377"/>
      <c r="BA300" s="377"/>
      <c r="BB300" s="377"/>
      <c r="BC300" s="377"/>
      <c r="BD300" s="377"/>
      <c r="BE300" s="377"/>
      <c r="BF300" s="377"/>
      <c r="BG300" s="377"/>
      <c r="BH300" s="377"/>
      <c r="BI300" s="377"/>
      <c r="BJ300" s="377"/>
      <c r="BK300" s="377"/>
      <c r="BL300" s="377"/>
      <c r="BM300" s="377"/>
      <c r="BN300" s="576"/>
      <c r="BO300" s="377"/>
      <c r="BP300" s="377"/>
      <c r="BQ300" s="377"/>
      <c r="BR300" s="377"/>
      <c r="BS300" s="377"/>
      <c r="BT300" s="377"/>
      <c r="BU300" s="377"/>
      <c r="BV300" s="377"/>
      <c r="BW300" s="377"/>
      <c r="BX300" s="377"/>
      <c r="BY300" s="377"/>
      <c r="BZ300" s="377"/>
      <c r="CA300" s="377"/>
      <c r="CB300" s="377"/>
      <c r="CC300" s="377"/>
      <c r="CD300" s="377"/>
      <c r="CE300" s="377"/>
      <c r="CF300" s="377"/>
      <c r="CG300" s="377"/>
      <c r="CH300" s="377"/>
      <c r="CI300" s="377"/>
    </row>
    <row r="301" spans="1:87" ht="15">
      <c r="A301" s="377"/>
      <c r="B301" s="377"/>
      <c r="C301" s="572"/>
      <c r="D301" s="377"/>
      <c r="E301" s="377"/>
      <c r="F301" s="377"/>
      <c r="G301" s="377"/>
      <c r="H301" s="573"/>
      <c r="I301" s="377"/>
      <c r="J301" s="377"/>
      <c r="K301" s="377"/>
      <c r="L301" s="377"/>
      <c r="M301" s="377"/>
      <c r="N301" s="377"/>
      <c r="O301" s="377"/>
      <c r="P301" s="377"/>
      <c r="Q301" s="377"/>
      <c r="R301" s="377"/>
      <c r="S301" s="377"/>
      <c r="T301" s="377"/>
      <c r="U301" s="377"/>
      <c r="V301" s="377"/>
      <c r="W301" s="377"/>
      <c r="X301" s="574"/>
      <c r="Y301" s="377"/>
      <c r="Z301" s="377"/>
      <c r="AA301" s="377"/>
      <c r="AB301" s="377"/>
      <c r="AC301" s="377"/>
      <c r="AD301" s="377"/>
      <c r="AE301" s="377"/>
      <c r="AF301" s="377"/>
      <c r="AG301" s="377"/>
      <c r="AH301" s="377"/>
      <c r="AI301" s="377"/>
      <c r="AJ301" s="377"/>
      <c r="AK301" s="377"/>
      <c r="AL301" s="574"/>
      <c r="AM301" s="377"/>
      <c r="AN301" s="377"/>
      <c r="AO301" s="377"/>
      <c r="AP301" s="377"/>
      <c r="AQ301" s="377"/>
      <c r="AR301" s="377"/>
      <c r="AS301" s="377"/>
      <c r="AT301" s="377"/>
      <c r="AU301" s="377"/>
      <c r="AV301" s="377"/>
      <c r="AW301" s="575"/>
      <c r="AX301" s="377"/>
      <c r="AY301" s="377"/>
      <c r="AZ301" s="377"/>
      <c r="BA301" s="377"/>
      <c r="BB301" s="377"/>
      <c r="BC301" s="377"/>
      <c r="BD301" s="377"/>
      <c r="BE301" s="377"/>
      <c r="BF301" s="377"/>
      <c r="BG301" s="377"/>
      <c r="BH301" s="377"/>
      <c r="BI301" s="377"/>
      <c r="BJ301" s="377"/>
      <c r="BK301" s="377"/>
      <c r="BL301" s="377"/>
      <c r="BM301" s="377"/>
      <c r="BN301" s="576"/>
      <c r="BO301" s="377"/>
      <c r="BP301" s="377"/>
      <c r="BQ301" s="377"/>
      <c r="BR301" s="377"/>
      <c r="BS301" s="377"/>
      <c r="BT301" s="377"/>
      <c r="BU301" s="377"/>
      <c r="BV301" s="377"/>
      <c r="BW301" s="377"/>
      <c r="BX301" s="377"/>
      <c r="BY301" s="377"/>
      <c r="BZ301" s="377"/>
      <c r="CA301" s="377"/>
      <c r="CB301" s="377"/>
      <c r="CC301" s="377"/>
      <c r="CD301" s="377"/>
      <c r="CE301" s="377"/>
      <c r="CF301" s="377"/>
      <c r="CG301" s="377"/>
      <c r="CH301" s="377"/>
      <c r="CI301" s="377"/>
    </row>
    <row r="302" spans="1:87" ht="15">
      <c r="A302" s="377"/>
      <c r="B302" s="377"/>
      <c r="C302" s="572"/>
      <c r="D302" s="377"/>
      <c r="E302" s="377"/>
      <c r="F302" s="377"/>
      <c r="G302" s="377"/>
      <c r="H302" s="573"/>
      <c r="I302" s="377"/>
      <c r="J302" s="377"/>
      <c r="K302" s="377"/>
      <c r="L302" s="377"/>
      <c r="M302" s="377"/>
      <c r="N302" s="377"/>
      <c r="O302" s="377"/>
      <c r="P302" s="377"/>
      <c r="Q302" s="377"/>
      <c r="R302" s="377"/>
      <c r="S302" s="377"/>
      <c r="T302" s="377"/>
      <c r="U302" s="377"/>
      <c r="V302" s="377"/>
      <c r="W302" s="377"/>
      <c r="X302" s="574"/>
      <c r="Y302" s="377"/>
      <c r="Z302" s="377"/>
      <c r="AA302" s="377"/>
      <c r="AB302" s="377"/>
      <c r="AC302" s="377"/>
      <c r="AD302" s="377"/>
      <c r="AE302" s="377"/>
      <c r="AF302" s="377"/>
      <c r="AG302" s="377"/>
      <c r="AH302" s="377"/>
      <c r="AI302" s="377"/>
      <c r="AJ302" s="377"/>
      <c r="AK302" s="377"/>
      <c r="AL302" s="574"/>
      <c r="AM302" s="377"/>
      <c r="AN302" s="377"/>
      <c r="AO302" s="377"/>
      <c r="AP302" s="377"/>
      <c r="AQ302" s="377"/>
      <c r="AR302" s="377"/>
      <c r="AS302" s="377"/>
      <c r="AT302" s="377"/>
      <c r="AU302" s="377"/>
      <c r="AV302" s="377"/>
      <c r="AW302" s="575"/>
      <c r="AX302" s="377"/>
      <c r="AY302" s="377"/>
      <c r="AZ302" s="377"/>
      <c r="BA302" s="377"/>
      <c r="BB302" s="377"/>
      <c r="BC302" s="377"/>
      <c r="BD302" s="377"/>
      <c r="BE302" s="377"/>
      <c r="BF302" s="377"/>
      <c r="BG302" s="377"/>
      <c r="BH302" s="377"/>
      <c r="BI302" s="377"/>
      <c r="BJ302" s="377"/>
      <c r="BK302" s="377"/>
      <c r="BL302" s="377"/>
      <c r="BM302" s="377"/>
      <c r="BN302" s="576"/>
      <c r="BO302" s="377"/>
      <c r="BP302" s="377"/>
      <c r="BQ302" s="377"/>
      <c r="BR302" s="377"/>
      <c r="BS302" s="377"/>
      <c r="BT302" s="377"/>
      <c r="BU302" s="377"/>
      <c r="BV302" s="377"/>
      <c r="BW302" s="377"/>
      <c r="BX302" s="377"/>
      <c r="BY302" s="377"/>
      <c r="BZ302" s="377"/>
      <c r="CA302" s="377"/>
      <c r="CB302" s="377"/>
      <c r="CC302" s="377"/>
      <c r="CD302" s="377"/>
      <c r="CE302" s="377"/>
      <c r="CF302" s="377"/>
      <c r="CG302" s="377"/>
      <c r="CH302" s="377"/>
      <c r="CI302" s="377"/>
    </row>
    <row r="303" spans="1:87" ht="15">
      <c r="A303" s="377"/>
      <c r="B303" s="377"/>
      <c r="C303" s="572"/>
      <c r="D303" s="377"/>
      <c r="E303" s="377"/>
      <c r="F303" s="377"/>
      <c r="G303" s="377"/>
      <c r="H303" s="573"/>
      <c r="I303" s="377"/>
      <c r="J303" s="377"/>
      <c r="K303" s="377"/>
      <c r="L303" s="377"/>
      <c r="M303" s="377"/>
      <c r="N303" s="377"/>
      <c r="O303" s="377"/>
      <c r="P303" s="377"/>
      <c r="Q303" s="377"/>
      <c r="R303" s="377"/>
      <c r="S303" s="377"/>
      <c r="T303" s="377"/>
      <c r="U303" s="377"/>
      <c r="V303" s="377"/>
      <c r="W303" s="377"/>
      <c r="X303" s="574"/>
      <c r="Y303" s="377"/>
      <c r="Z303" s="377"/>
      <c r="AA303" s="377"/>
      <c r="AB303" s="377"/>
      <c r="AC303" s="377"/>
      <c r="AD303" s="377"/>
      <c r="AE303" s="377"/>
      <c r="AF303" s="377"/>
      <c r="AG303" s="377"/>
      <c r="AH303" s="377"/>
      <c r="AI303" s="377"/>
      <c r="AJ303" s="377"/>
      <c r="AK303" s="377"/>
      <c r="AL303" s="574"/>
      <c r="AM303" s="377"/>
      <c r="AN303" s="377"/>
      <c r="AO303" s="377"/>
      <c r="AP303" s="377"/>
      <c r="AQ303" s="377"/>
      <c r="AR303" s="377"/>
      <c r="AS303" s="377"/>
      <c r="AT303" s="377"/>
      <c r="AU303" s="377"/>
      <c r="AV303" s="377"/>
      <c r="AW303" s="575"/>
      <c r="AX303" s="377"/>
      <c r="AY303" s="377"/>
      <c r="AZ303" s="377"/>
      <c r="BA303" s="377"/>
      <c r="BB303" s="377"/>
      <c r="BC303" s="377"/>
      <c r="BD303" s="377"/>
      <c r="BE303" s="377"/>
      <c r="BF303" s="377"/>
      <c r="BG303" s="377"/>
      <c r="BH303" s="377"/>
      <c r="BI303" s="377"/>
      <c r="BJ303" s="377"/>
      <c r="BK303" s="377"/>
      <c r="BL303" s="377"/>
      <c r="BM303" s="377"/>
      <c r="BN303" s="576"/>
      <c r="BO303" s="377"/>
      <c r="BP303" s="377"/>
      <c r="BQ303" s="377"/>
      <c r="BR303" s="377"/>
      <c r="BS303" s="377"/>
      <c r="BT303" s="377"/>
      <c r="BU303" s="377"/>
      <c r="BV303" s="377"/>
      <c r="BW303" s="377"/>
      <c r="BX303" s="377"/>
      <c r="BY303" s="377"/>
      <c r="BZ303" s="377"/>
      <c r="CA303" s="377"/>
      <c r="CB303" s="377"/>
      <c r="CC303" s="377"/>
      <c r="CD303" s="377"/>
      <c r="CE303" s="377"/>
      <c r="CF303" s="377"/>
      <c r="CG303" s="377"/>
      <c r="CH303" s="377"/>
      <c r="CI303" s="377"/>
    </row>
    <row r="304" spans="1:87" ht="15">
      <c r="A304" s="377"/>
      <c r="B304" s="377"/>
      <c r="C304" s="572"/>
      <c r="D304" s="377"/>
      <c r="E304" s="377"/>
      <c r="F304" s="377"/>
      <c r="G304" s="377"/>
      <c r="H304" s="573"/>
      <c r="I304" s="377"/>
      <c r="J304" s="377"/>
      <c r="K304" s="377"/>
      <c r="L304" s="377"/>
      <c r="M304" s="377"/>
      <c r="N304" s="377"/>
      <c r="O304" s="377"/>
      <c r="P304" s="377"/>
      <c r="Q304" s="377"/>
      <c r="R304" s="377"/>
      <c r="S304" s="377"/>
      <c r="T304" s="377"/>
      <c r="U304" s="377"/>
      <c r="V304" s="377"/>
      <c r="W304" s="377"/>
      <c r="X304" s="574"/>
      <c r="Y304" s="377"/>
      <c r="Z304" s="377"/>
      <c r="AA304" s="377"/>
      <c r="AB304" s="377"/>
      <c r="AC304" s="377"/>
      <c r="AD304" s="377"/>
      <c r="AE304" s="377"/>
      <c r="AF304" s="377"/>
      <c r="AG304" s="377"/>
      <c r="AH304" s="377"/>
      <c r="AI304" s="377"/>
      <c r="AJ304" s="377"/>
      <c r="AK304" s="377"/>
      <c r="AL304" s="574"/>
      <c r="AM304" s="377"/>
      <c r="AN304" s="377"/>
      <c r="AO304" s="377"/>
      <c r="AP304" s="377"/>
      <c r="AQ304" s="377"/>
      <c r="AR304" s="377"/>
      <c r="AS304" s="377"/>
      <c r="AT304" s="377"/>
      <c r="AU304" s="377"/>
      <c r="AV304" s="377"/>
      <c r="AW304" s="575"/>
      <c r="AX304" s="377"/>
      <c r="AY304" s="377"/>
      <c r="AZ304" s="377"/>
      <c r="BA304" s="377"/>
      <c r="BB304" s="377"/>
      <c r="BC304" s="377"/>
      <c r="BD304" s="377"/>
      <c r="BE304" s="377"/>
      <c r="BF304" s="377"/>
      <c r="BG304" s="377"/>
      <c r="BH304" s="377"/>
      <c r="BI304" s="377"/>
      <c r="BJ304" s="377"/>
      <c r="BK304" s="377"/>
      <c r="BL304" s="377"/>
      <c r="BM304" s="377"/>
      <c r="BN304" s="576"/>
      <c r="BO304" s="377"/>
      <c r="BP304" s="377"/>
      <c r="BQ304" s="377"/>
      <c r="BR304" s="377"/>
      <c r="BS304" s="377"/>
      <c r="BT304" s="377"/>
      <c r="BU304" s="377"/>
      <c r="BV304" s="377"/>
      <c r="BW304" s="377"/>
      <c r="BX304" s="377"/>
      <c r="BY304" s="377"/>
      <c r="BZ304" s="377"/>
      <c r="CA304" s="377"/>
      <c r="CB304" s="377"/>
      <c r="CC304" s="377"/>
      <c r="CD304" s="377"/>
      <c r="CE304" s="377"/>
      <c r="CF304" s="377"/>
      <c r="CG304" s="377"/>
      <c r="CH304" s="377"/>
      <c r="CI304" s="377"/>
    </row>
    <row r="305" spans="1:87" ht="15">
      <c r="A305" s="377"/>
      <c r="B305" s="377"/>
      <c r="C305" s="572"/>
      <c r="D305" s="377"/>
      <c r="E305" s="377"/>
      <c r="F305" s="377"/>
      <c r="G305" s="377"/>
      <c r="H305" s="573"/>
      <c r="I305" s="377"/>
      <c r="J305" s="377"/>
      <c r="K305" s="377"/>
      <c r="L305" s="377"/>
      <c r="M305" s="377"/>
      <c r="N305" s="377"/>
      <c r="O305" s="377"/>
      <c r="P305" s="377"/>
      <c r="Q305" s="377"/>
      <c r="R305" s="377"/>
      <c r="S305" s="377"/>
      <c r="T305" s="377"/>
      <c r="U305" s="377"/>
      <c r="V305" s="377"/>
      <c r="W305" s="377"/>
      <c r="X305" s="574"/>
      <c r="Y305" s="377"/>
      <c r="Z305" s="377"/>
      <c r="AA305" s="377"/>
      <c r="AB305" s="377"/>
      <c r="AC305" s="377"/>
      <c r="AD305" s="377"/>
      <c r="AE305" s="377"/>
      <c r="AF305" s="377"/>
      <c r="AG305" s="377"/>
      <c r="AH305" s="377"/>
      <c r="AI305" s="377"/>
      <c r="AJ305" s="377"/>
      <c r="AK305" s="377"/>
      <c r="AL305" s="574"/>
      <c r="AM305" s="377"/>
      <c r="AN305" s="377"/>
      <c r="AO305" s="377"/>
      <c r="AP305" s="377"/>
      <c r="AQ305" s="377"/>
      <c r="AR305" s="377"/>
      <c r="AS305" s="377"/>
      <c r="AT305" s="377"/>
      <c r="AU305" s="377"/>
      <c r="AV305" s="377"/>
      <c r="AW305" s="575"/>
      <c r="AX305" s="377"/>
      <c r="AY305" s="377"/>
      <c r="AZ305" s="377"/>
      <c r="BA305" s="377"/>
      <c r="BB305" s="377"/>
      <c r="BC305" s="377"/>
      <c r="BD305" s="377"/>
      <c r="BE305" s="377"/>
      <c r="BF305" s="377"/>
      <c r="BG305" s="377"/>
      <c r="BH305" s="377"/>
      <c r="BI305" s="377"/>
      <c r="BJ305" s="377"/>
      <c r="BK305" s="377"/>
      <c r="BL305" s="377"/>
      <c r="BM305" s="377"/>
      <c r="BN305" s="576"/>
      <c r="BO305" s="377"/>
      <c r="BP305" s="377"/>
      <c r="BQ305" s="377"/>
      <c r="BR305" s="377"/>
      <c r="BS305" s="377"/>
      <c r="BT305" s="377"/>
      <c r="BU305" s="377"/>
      <c r="BV305" s="377"/>
      <c r="BW305" s="377"/>
      <c r="BX305" s="377"/>
      <c r="BY305" s="377"/>
      <c r="BZ305" s="377"/>
      <c r="CA305" s="377"/>
      <c r="CB305" s="377"/>
      <c r="CC305" s="377"/>
      <c r="CD305" s="377"/>
      <c r="CE305" s="377"/>
      <c r="CF305" s="377"/>
      <c r="CG305" s="377"/>
      <c r="CH305" s="377"/>
      <c r="CI305" s="377"/>
    </row>
    <row r="306" spans="1:87" ht="15">
      <c r="A306" s="377"/>
      <c r="B306" s="377"/>
      <c r="C306" s="572"/>
      <c r="D306" s="377"/>
      <c r="E306" s="377"/>
      <c r="F306" s="377"/>
      <c r="G306" s="377"/>
      <c r="H306" s="573"/>
      <c r="I306" s="377"/>
      <c r="J306" s="377"/>
      <c r="K306" s="377"/>
      <c r="L306" s="377"/>
      <c r="M306" s="377"/>
      <c r="N306" s="377"/>
      <c r="O306" s="377"/>
      <c r="P306" s="377"/>
      <c r="Q306" s="377"/>
      <c r="R306" s="377"/>
      <c r="S306" s="377"/>
      <c r="T306" s="377"/>
      <c r="U306" s="377"/>
      <c r="V306" s="377"/>
      <c r="W306" s="377"/>
      <c r="X306" s="574"/>
      <c r="Y306" s="377"/>
      <c r="Z306" s="377"/>
      <c r="AA306" s="377"/>
      <c r="AB306" s="377"/>
      <c r="AC306" s="377"/>
      <c r="AD306" s="377"/>
      <c r="AE306" s="377"/>
      <c r="AF306" s="377"/>
      <c r="AG306" s="377"/>
      <c r="AH306" s="377"/>
      <c r="AI306" s="377"/>
      <c r="AJ306" s="377"/>
      <c r="AK306" s="377"/>
      <c r="AL306" s="574"/>
      <c r="AM306" s="377"/>
      <c r="AN306" s="377"/>
      <c r="AO306" s="377"/>
      <c r="AP306" s="377"/>
      <c r="AQ306" s="377"/>
      <c r="AR306" s="377"/>
      <c r="AS306" s="377"/>
      <c r="AT306" s="377"/>
      <c r="AU306" s="377"/>
      <c r="AV306" s="377"/>
      <c r="AW306" s="575"/>
      <c r="AX306" s="377"/>
      <c r="AY306" s="377"/>
      <c r="AZ306" s="377"/>
      <c r="BA306" s="377"/>
      <c r="BB306" s="377"/>
      <c r="BC306" s="377"/>
      <c r="BD306" s="377"/>
      <c r="BE306" s="377"/>
      <c r="BF306" s="377"/>
      <c r="BG306" s="377"/>
      <c r="BH306" s="377"/>
      <c r="BI306" s="377"/>
      <c r="BJ306" s="377"/>
      <c r="BK306" s="377"/>
      <c r="BL306" s="377"/>
      <c r="BM306" s="377"/>
      <c r="BN306" s="576"/>
      <c r="BO306" s="377"/>
      <c r="BP306" s="377"/>
      <c r="BQ306" s="377"/>
      <c r="BR306" s="377"/>
      <c r="BS306" s="377"/>
      <c r="BT306" s="377"/>
      <c r="BU306" s="377"/>
      <c r="BV306" s="377"/>
      <c r="BW306" s="377"/>
      <c r="BX306" s="377"/>
      <c r="BY306" s="377"/>
      <c r="BZ306" s="377"/>
      <c r="CA306" s="377"/>
      <c r="CB306" s="377"/>
      <c r="CC306" s="377"/>
      <c r="CD306" s="377"/>
      <c r="CE306" s="377"/>
      <c r="CF306" s="377"/>
      <c r="CG306" s="377"/>
      <c r="CH306" s="377"/>
      <c r="CI306" s="377"/>
    </row>
    <row r="307" spans="1:87" ht="15">
      <c r="A307" s="377"/>
      <c r="B307" s="377"/>
      <c r="C307" s="572"/>
      <c r="D307" s="377"/>
      <c r="E307" s="377"/>
      <c r="F307" s="377"/>
      <c r="G307" s="377"/>
      <c r="H307" s="573"/>
      <c r="I307" s="377"/>
      <c r="J307" s="377"/>
      <c r="K307" s="377"/>
      <c r="L307" s="377"/>
      <c r="M307" s="377"/>
      <c r="N307" s="377"/>
      <c r="O307" s="377"/>
      <c r="P307" s="377"/>
      <c r="Q307" s="377"/>
      <c r="R307" s="377"/>
      <c r="S307" s="377"/>
      <c r="T307" s="377"/>
      <c r="U307" s="377"/>
      <c r="V307" s="377"/>
      <c r="W307" s="377"/>
      <c r="X307" s="574"/>
      <c r="Y307" s="377"/>
      <c r="Z307" s="377"/>
      <c r="AA307" s="377"/>
      <c r="AB307" s="377"/>
      <c r="AC307" s="377"/>
      <c r="AD307" s="377"/>
      <c r="AE307" s="377"/>
      <c r="AF307" s="377"/>
      <c r="AG307" s="377"/>
      <c r="AH307" s="377"/>
      <c r="AI307" s="377"/>
      <c r="AJ307" s="377"/>
      <c r="AK307" s="377"/>
      <c r="AL307" s="574"/>
      <c r="AM307" s="377"/>
      <c r="AN307" s="377"/>
      <c r="AO307" s="377"/>
      <c r="AP307" s="377"/>
      <c r="AQ307" s="377"/>
      <c r="AR307" s="377"/>
      <c r="AS307" s="377"/>
      <c r="AT307" s="377"/>
      <c r="AU307" s="377"/>
      <c r="AV307" s="377"/>
      <c r="AW307" s="575"/>
      <c r="AX307" s="377"/>
      <c r="AY307" s="377"/>
      <c r="AZ307" s="377"/>
      <c r="BA307" s="377"/>
      <c r="BB307" s="377"/>
      <c r="BC307" s="377"/>
      <c r="BD307" s="377"/>
      <c r="BE307" s="377"/>
      <c r="BF307" s="377"/>
      <c r="BG307" s="377"/>
      <c r="BH307" s="377"/>
      <c r="BI307" s="377"/>
      <c r="BJ307" s="377"/>
      <c r="BK307" s="377"/>
      <c r="BL307" s="377"/>
      <c r="BM307" s="377"/>
      <c r="BN307" s="576"/>
      <c r="BO307" s="377"/>
      <c r="BP307" s="377"/>
      <c r="BQ307" s="377"/>
      <c r="BR307" s="377"/>
      <c r="BS307" s="377"/>
      <c r="BT307" s="377"/>
      <c r="BU307" s="377"/>
      <c r="BV307" s="377"/>
      <c r="BW307" s="377"/>
      <c r="BX307" s="377"/>
      <c r="BY307" s="377"/>
      <c r="BZ307" s="377"/>
      <c r="CA307" s="377"/>
      <c r="CB307" s="377"/>
      <c r="CC307" s="377"/>
      <c r="CD307" s="377"/>
      <c r="CE307" s="377"/>
      <c r="CF307" s="377"/>
      <c r="CG307" s="377"/>
      <c r="CH307" s="377"/>
      <c r="CI307" s="377"/>
    </row>
    <row r="308" spans="1:87" ht="15">
      <c r="A308" s="377"/>
      <c r="B308" s="377"/>
      <c r="C308" s="572"/>
      <c r="D308" s="377"/>
      <c r="E308" s="377"/>
      <c r="F308" s="377"/>
      <c r="G308" s="377"/>
      <c r="H308" s="573"/>
      <c r="I308" s="377"/>
      <c r="J308" s="377"/>
      <c r="K308" s="377"/>
      <c r="L308" s="377"/>
      <c r="M308" s="377"/>
      <c r="N308" s="377"/>
      <c r="O308" s="377"/>
      <c r="P308" s="377"/>
      <c r="Q308" s="377"/>
      <c r="R308" s="377"/>
      <c r="S308" s="377"/>
      <c r="T308" s="377"/>
      <c r="U308" s="377"/>
      <c r="V308" s="377"/>
      <c r="W308" s="377"/>
      <c r="X308" s="574"/>
      <c r="Y308" s="377"/>
      <c r="Z308" s="377"/>
      <c r="AA308" s="377"/>
      <c r="AB308" s="377"/>
      <c r="AC308" s="377"/>
      <c r="AD308" s="377"/>
      <c r="AE308" s="377"/>
      <c r="AF308" s="377"/>
      <c r="AG308" s="377"/>
      <c r="AH308" s="377"/>
      <c r="AI308" s="377"/>
      <c r="AJ308" s="377"/>
      <c r="AK308" s="377"/>
      <c r="AL308" s="574"/>
      <c r="AM308" s="377"/>
      <c r="AN308" s="377"/>
      <c r="AO308" s="377"/>
      <c r="AP308" s="377"/>
      <c r="AQ308" s="377"/>
      <c r="AR308" s="377"/>
      <c r="AS308" s="377"/>
      <c r="AT308" s="377"/>
      <c r="AU308" s="377"/>
      <c r="AV308" s="377"/>
      <c r="AW308" s="575"/>
      <c r="AX308" s="377"/>
      <c r="AY308" s="377"/>
      <c r="AZ308" s="377"/>
      <c r="BA308" s="377"/>
      <c r="BB308" s="377"/>
      <c r="BC308" s="377"/>
      <c r="BD308" s="377"/>
      <c r="BE308" s="377"/>
      <c r="BF308" s="377"/>
      <c r="BG308" s="377"/>
      <c r="BH308" s="377"/>
      <c r="BI308" s="377"/>
      <c r="BJ308" s="377"/>
      <c r="BK308" s="377"/>
      <c r="BL308" s="377"/>
      <c r="BM308" s="377"/>
      <c r="BN308" s="576"/>
      <c r="BO308" s="377"/>
      <c r="BP308" s="377"/>
      <c r="BQ308" s="377"/>
      <c r="BR308" s="377"/>
      <c r="BS308" s="377"/>
      <c r="BT308" s="377"/>
      <c r="BU308" s="377"/>
      <c r="BV308" s="377"/>
      <c r="BW308" s="377"/>
      <c r="BX308" s="377"/>
      <c r="BY308" s="377"/>
      <c r="BZ308" s="377"/>
      <c r="CA308" s="377"/>
      <c r="CB308" s="377"/>
      <c r="CC308" s="377"/>
      <c r="CD308" s="377"/>
      <c r="CE308" s="377"/>
      <c r="CF308" s="377"/>
      <c r="CG308" s="377"/>
      <c r="CH308" s="377"/>
      <c r="CI308" s="377"/>
    </row>
    <row r="309" spans="1:87" ht="15">
      <c r="A309" s="377"/>
      <c r="B309" s="377"/>
      <c r="C309" s="572"/>
      <c r="D309" s="377"/>
      <c r="E309" s="377"/>
      <c r="F309" s="377"/>
      <c r="G309" s="377"/>
      <c r="H309" s="573"/>
      <c r="I309" s="377"/>
      <c r="J309" s="377"/>
      <c r="K309" s="377"/>
      <c r="L309" s="377"/>
      <c r="M309" s="377"/>
      <c r="N309" s="377"/>
      <c r="O309" s="377"/>
      <c r="P309" s="377"/>
      <c r="Q309" s="377"/>
      <c r="R309" s="377"/>
      <c r="S309" s="377"/>
      <c r="T309" s="377"/>
      <c r="U309" s="377"/>
      <c r="V309" s="377"/>
      <c r="W309" s="377"/>
      <c r="X309" s="574"/>
      <c r="Y309" s="377"/>
      <c r="Z309" s="377"/>
      <c r="AA309" s="377"/>
      <c r="AB309" s="377"/>
      <c r="AC309" s="377"/>
      <c r="AD309" s="377"/>
      <c r="AE309" s="377"/>
      <c r="AF309" s="377"/>
      <c r="AG309" s="377"/>
      <c r="AH309" s="377"/>
      <c r="AI309" s="377"/>
      <c r="AJ309" s="377"/>
      <c r="AK309" s="377"/>
      <c r="AL309" s="574"/>
      <c r="AM309" s="377"/>
      <c r="AN309" s="377"/>
      <c r="AO309" s="377"/>
      <c r="AP309" s="377"/>
      <c r="AQ309" s="377"/>
      <c r="AR309" s="377"/>
      <c r="AS309" s="377"/>
      <c r="AT309" s="377"/>
      <c r="AU309" s="377"/>
      <c r="AV309" s="377"/>
      <c r="AW309" s="575"/>
      <c r="AX309" s="377"/>
      <c r="AY309" s="377"/>
      <c r="AZ309" s="377"/>
      <c r="BA309" s="377"/>
      <c r="BB309" s="377"/>
      <c r="BC309" s="377"/>
      <c r="BD309" s="377"/>
      <c r="BE309" s="377"/>
      <c r="BF309" s="377"/>
      <c r="BG309" s="377"/>
      <c r="BH309" s="377"/>
      <c r="BI309" s="377"/>
      <c r="BJ309" s="377"/>
      <c r="BK309" s="377"/>
      <c r="BL309" s="377"/>
      <c r="BM309" s="377"/>
      <c r="BN309" s="576"/>
      <c r="BO309" s="377"/>
      <c r="BP309" s="377"/>
      <c r="BQ309" s="377"/>
      <c r="BR309" s="377"/>
      <c r="BS309" s="377"/>
      <c r="BT309" s="377"/>
      <c r="BU309" s="377"/>
      <c r="BV309" s="377"/>
      <c r="BW309" s="377"/>
      <c r="BX309" s="377"/>
      <c r="BY309" s="377"/>
      <c r="BZ309" s="377"/>
      <c r="CA309" s="377"/>
      <c r="CB309" s="377"/>
      <c r="CC309" s="377"/>
      <c r="CD309" s="377"/>
      <c r="CE309" s="377"/>
      <c r="CF309" s="377"/>
      <c r="CG309" s="377"/>
      <c r="CH309" s="377"/>
      <c r="CI309" s="377"/>
    </row>
    <row r="310" spans="1:87" ht="15">
      <c r="A310" s="377"/>
      <c r="B310" s="377"/>
      <c r="C310" s="572"/>
      <c r="D310" s="377"/>
      <c r="E310" s="377"/>
      <c r="F310" s="377"/>
      <c r="G310" s="377"/>
      <c r="H310" s="573"/>
      <c r="I310" s="377"/>
      <c r="J310" s="377"/>
      <c r="K310" s="377"/>
      <c r="L310" s="377"/>
      <c r="M310" s="377"/>
      <c r="N310" s="377"/>
      <c r="O310" s="377"/>
      <c r="P310" s="377"/>
      <c r="Q310" s="377"/>
      <c r="R310" s="377"/>
      <c r="S310" s="377"/>
      <c r="T310" s="377"/>
      <c r="U310" s="377"/>
      <c r="V310" s="377"/>
      <c r="W310" s="377"/>
      <c r="X310" s="574"/>
      <c r="Y310" s="377"/>
      <c r="Z310" s="377"/>
      <c r="AA310" s="377"/>
      <c r="AB310" s="377"/>
      <c r="AC310" s="377"/>
      <c r="AD310" s="377"/>
      <c r="AE310" s="377"/>
      <c r="AF310" s="377"/>
      <c r="AG310" s="377"/>
      <c r="AH310" s="377"/>
      <c r="AI310" s="377"/>
      <c r="AJ310" s="377"/>
      <c r="AK310" s="377"/>
      <c r="AL310" s="574"/>
      <c r="AM310" s="377"/>
      <c r="AN310" s="377"/>
      <c r="AO310" s="377"/>
      <c r="AP310" s="377"/>
      <c r="AQ310" s="377"/>
      <c r="AR310" s="377"/>
      <c r="AS310" s="377"/>
      <c r="AT310" s="377"/>
      <c r="AU310" s="377"/>
      <c r="AV310" s="377"/>
      <c r="AW310" s="575"/>
      <c r="AX310" s="377"/>
      <c r="AY310" s="377"/>
      <c r="AZ310" s="377"/>
      <c r="BA310" s="377"/>
      <c r="BB310" s="377"/>
      <c r="BC310" s="377"/>
      <c r="BD310" s="377"/>
      <c r="BE310" s="377"/>
      <c r="BF310" s="377"/>
      <c r="BG310" s="377"/>
      <c r="BH310" s="377"/>
      <c r="BI310" s="377"/>
      <c r="BJ310" s="377"/>
      <c r="BK310" s="377"/>
      <c r="BL310" s="377"/>
      <c r="BM310" s="377"/>
      <c r="BN310" s="576"/>
      <c r="BO310" s="377"/>
      <c r="BP310" s="377"/>
      <c r="BQ310" s="377"/>
      <c r="BR310" s="377"/>
      <c r="BS310" s="377"/>
      <c r="BT310" s="377"/>
      <c r="BU310" s="377"/>
      <c r="BV310" s="377"/>
      <c r="BW310" s="377"/>
      <c r="BX310" s="377"/>
      <c r="BY310" s="377"/>
      <c r="BZ310" s="377"/>
      <c r="CA310" s="377"/>
      <c r="CB310" s="377"/>
      <c r="CC310" s="377"/>
      <c r="CD310" s="377"/>
      <c r="CE310" s="377"/>
      <c r="CF310" s="377"/>
      <c r="CG310" s="377"/>
      <c r="CH310" s="377"/>
      <c r="CI310" s="377"/>
    </row>
    <row r="311" spans="1:87" ht="15">
      <c r="A311" s="377"/>
      <c r="B311" s="377"/>
      <c r="C311" s="572"/>
      <c r="D311" s="377"/>
      <c r="E311" s="377"/>
      <c r="F311" s="377"/>
      <c r="G311" s="377"/>
      <c r="H311" s="573"/>
      <c r="I311" s="377"/>
      <c r="J311" s="377"/>
      <c r="K311" s="377"/>
      <c r="L311" s="377"/>
      <c r="M311" s="377"/>
      <c r="N311" s="377"/>
      <c r="O311" s="377"/>
      <c r="P311" s="377"/>
      <c r="Q311" s="377"/>
      <c r="R311" s="377"/>
      <c r="S311" s="377"/>
      <c r="T311" s="377"/>
      <c r="U311" s="377"/>
      <c r="V311" s="377"/>
      <c r="W311" s="377"/>
      <c r="X311" s="574"/>
      <c r="Y311" s="377"/>
      <c r="Z311" s="377"/>
      <c r="AA311" s="377"/>
      <c r="AB311" s="377"/>
      <c r="AC311" s="377"/>
      <c r="AD311" s="377"/>
      <c r="AE311" s="377"/>
      <c r="AF311" s="377"/>
      <c r="AG311" s="377"/>
      <c r="AH311" s="377"/>
      <c r="AI311" s="377"/>
      <c r="AJ311" s="377"/>
      <c r="AK311" s="377"/>
      <c r="AL311" s="574"/>
      <c r="AM311" s="377"/>
      <c r="AN311" s="377"/>
      <c r="AO311" s="377"/>
      <c r="AP311" s="377"/>
      <c r="AQ311" s="377"/>
      <c r="AR311" s="377"/>
      <c r="AS311" s="377"/>
      <c r="AT311" s="377"/>
      <c r="AU311" s="377"/>
      <c r="AV311" s="377"/>
      <c r="AW311" s="575"/>
      <c r="AX311" s="377"/>
      <c r="AY311" s="377"/>
      <c r="AZ311" s="377"/>
      <c r="BA311" s="377"/>
      <c r="BB311" s="377"/>
      <c r="BC311" s="377"/>
      <c r="BD311" s="377"/>
      <c r="BE311" s="377"/>
      <c r="BF311" s="377"/>
      <c r="BG311" s="377"/>
      <c r="BH311" s="377"/>
      <c r="BI311" s="377"/>
      <c r="BJ311" s="377"/>
      <c r="BK311" s="377"/>
      <c r="BL311" s="377"/>
      <c r="BM311" s="377"/>
      <c r="BN311" s="576"/>
      <c r="BO311" s="377"/>
      <c r="BP311" s="377"/>
      <c r="BQ311" s="377"/>
      <c r="BR311" s="377"/>
      <c r="BS311" s="377"/>
      <c r="BT311" s="377"/>
      <c r="BU311" s="377"/>
      <c r="BV311" s="377"/>
      <c r="BW311" s="377"/>
      <c r="BX311" s="377"/>
      <c r="BY311" s="377"/>
      <c r="BZ311" s="377"/>
      <c r="CA311" s="377"/>
      <c r="CB311" s="377"/>
      <c r="CC311" s="377"/>
      <c r="CD311" s="377"/>
      <c r="CE311" s="377"/>
      <c r="CF311" s="377"/>
      <c r="CG311" s="377"/>
      <c r="CH311" s="377"/>
      <c r="CI311" s="377"/>
    </row>
    <row r="312" spans="1:87" ht="15">
      <c r="A312" s="377"/>
      <c r="B312" s="377"/>
      <c r="C312" s="572"/>
      <c r="D312" s="377"/>
      <c r="E312" s="377"/>
      <c r="F312" s="377"/>
      <c r="G312" s="377"/>
      <c r="H312" s="573"/>
      <c r="I312" s="377"/>
      <c r="J312" s="377"/>
      <c r="K312" s="377"/>
      <c r="L312" s="377"/>
      <c r="M312" s="377"/>
      <c r="N312" s="377"/>
      <c r="O312" s="377"/>
      <c r="P312" s="377"/>
      <c r="Q312" s="377"/>
      <c r="R312" s="377"/>
      <c r="S312" s="377"/>
      <c r="T312" s="377"/>
      <c r="U312" s="377"/>
      <c r="V312" s="377"/>
      <c r="W312" s="377"/>
      <c r="X312" s="574"/>
      <c r="Y312" s="377"/>
      <c r="Z312" s="377"/>
      <c r="AA312" s="377"/>
      <c r="AB312" s="377"/>
      <c r="AC312" s="377"/>
      <c r="AD312" s="377"/>
      <c r="AE312" s="377"/>
      <c r="AF312" s="377"/>
      <c r="AG312" s="377"/>
      <c r="AH312" s="377"/>
      <c r="AI312" s="377"/>
      <c r="AJ312" s="377"/>
      <c r="AK312" s="377"/>
      <c r="AL312" s="574"/>
      <c r="AM312" s="377"/>
      <c r="AN312" s="377"/>
      <c r="AO312" s="377"/>
      <c r="AP312" s="377"/>
      <c r="AQ312" s="377"/>
      <c r="AR312" s="377"/>
      <c r="AS312" s="377"/>
      <c r="AT312" s="377"/>
      <c r="AU312" s="377"/>
      <c r="AV312" s="377"/>
      <c r="AW312" s="575"/>
      <c r="AX312" s="377"/>
      <c r="AY312" s="377"/>
      <c r="AZ312" s="377"/>
      <c r="BA312" s="377"/>
      <c r="BB312" s="377"/>
      <c r="BC312" s="377"/>
      <c r="BD312" s="377"/>
      <c r="BE312" s="377"/>
      <c r="BF312" s="377"/>
      <c r="BG312" s="377"/>
      <c r="BH312" s="377"/>
      <c r="BI312" s="377"/>
      <c r="BJ312" s="377"/>
      <c r="BK312" s="377"/>
      <c r="BL312" s="377"/>
      <c r="BM312" s="377"/>
      <c r="BN312" s="576"/>
      <c r="BO312" s="377"/>
      <c r="BP312" s="377"/>
      <c r="BQ312" s="377"/>
      <c r="BR312" s="377"/>
      <c r="BS312" s="377"/>
      <c r="BT312" s="377"/>
      <c r="BU312" s="377"/>
      <c r="BV312" s="377"/>
      <c r="BW312" s="377"/>
      <c r="BX312" s="377"/>
      <c r="BY312" s="377"/>
      <c r="BZ312" s="377"/>
      <c r="CA312" s="377"/>
      <c r="CB312" s="377"/>
      <c r="CC312" s="377"/>
      <c r="CD312" s="377"/>
      <c r="CE312" s="377"/>
      <c r="CF312" s="377"/>
      <c r="CG312" s="377"/>
      <c r="CH312" s="377"/>
      <c r="CI312" s="377"/>
    </row>
    <row r="313" spans="1:87" ht="15">
      <c r="A313" s="377"/>
      <c r="B313" s="377"/>
      <c r="C313" s="572"/>
      <c r="D313" s="377"/>
      <c r="E313" s="377"/>
      <c r="F313" s="377"/>
      <c r="G313" s="377"/>
      <c r="H313" s="573"/>
      <c r="I313" s="377"/>
      <c r="J313" s="377"/>
      <c r="K313" s="377"/>
      <c r="L313" s="377"/>
      <c r="M313" s="377"/>
      <c r="N313" s="377"/>
      <c r="O313" s="377"/>
      <c r="P313" s="377"/>
      <c r="Q313" s="377"/>
      <c r="R313" s="377"/>
      <c r="S313" s="377"/>
      <c r="T313" s="377"/>
      <c r="U313" s="377"/>
      <c r="V313" s="377"/>
      <c r="W313" s="377"/>
      <c r="X313" s="574"/>
      <c r="Y313" s="377"/>
      <c r="Z313" s="377"/>
      <c r="AA313" s="377"/>
      <c r="AB313" s="377"/>
      <c r="AC313" s="377"/>
      <c r="AD313" s="377"/>
      <c r="AE313" s="377"/>
      <c r="AF313" s="377"/>
      <c r="AG313" s="377"/>
      <c r="AH313" s="377"/>
      <c r="AI313" s="377"/>
      <c r="AJ313" s="377"/>
      <c r="AK313" s="377"/>
      <c r="AL313" s="574"/>
      <c r="AM313" s="377"/>
      <c r="AN313" s="377"/>
      <c r="AO313" s="377"/>
      <c r="AP313" s="377"/>
      <c r="AQ313" s="377"/>
      <c r="AR313" s="377"/>
      <c r="AS313" s="377"/>
      <c r="AT313" s="377"/>
      <c r="AU313" s="377"/>
      <c r="AV313" s="377"/>
      <c r="AW313" s="575"/>
      <c r="AX313" s="377"/>
      <c r="AY313" s="377"/>
      <c r="AZ313" s="377"/>
      <c r="BA313" s="377"/>
      <c r="BB313" s="377"/>
      <c r="BC313" s="377"/>
      <c r="BD313" s="377"/>
      <c r="BE313" s="377"/>
      <c r="BF313" s="377"/>
      <c r="BG313" s="377"/>
      <c r="BH313" s="377"/>
      <c r="BI313" s="377"/>
      <c r="BJ313" s="377"/>
      <c r="BK313" s="377"/>
      <c r="BL313" s="377"/>
      <c r="BM313" s="377"/>
      <c r="BN313" s="576"/>
      <c r="BO313" s="377"/>
      <c r="BP313" s="377"/>
      <c r="BQ313" s="377"/>
      <c r="BR313" s="377"/>
      <c r="BS313" s="377"/>
      <c r="BT313" s="377"/>
      <c r="BU313" s="377"/>
      <c r="BV313" s="377"/>
      <c r="BW313" s="377"/>
      <c r="BX313" s="377"/>
      <c r="BY313" s="377"/>
      <c r="BZ313" s="377"/>
      <c r="CA313" s="377"/>
      <c r="CB313" s="377"/>
      <c r="CC313" s="377"/>
      <c r="CD313" s="377"/>
      <c r="CE313" s="377"/>
      <c r="CF313" s="377"/>
      <c r="CG313" s="377"/>
      <c r="CH313" s="377"/>
      <c r="CI313" s="377"/>
    </row>
    <row r="314" spans="1:87" ht="15">
      <c r="A314" s="377"/>
      <c r="B314" s="377"/>
      <c r="C314" s="572"/>
      <c r="D314" s="377"/>
      <c r="E314" s="377"/>
      <c r="F314" s="377"/>
      <c r="G314" s="377"/>
      <c r="H314" s="573"/>
      <c r="I314" s="377"/>
      <c r="J314" s="377"/>
      <c r="K314" s="377"/>
      <c r="L314" s="377"/>
      <c r="M314" s="377"/>
      <c r="N314" s="377"/>
      <c r="O314" s="377"/>
      <c r="P314" s="377"/>
      <c r="Q314" s="377"/>
      <c r="R314" s="377"/>
      <c r="S314" s="377"/>
      <c r="T314" s="377"/>
      <c r="U314" s="377"/>
      <c r="V314" s="377"/>
      <c r="W314" s="377"/>
      <c r="X314" s="574"/>
      <c r="Y314" s="377"/>
      <c r="Z314" s="377"/>
      <c r="AA314" s="377"/>
      <c r="AB314" s="377"/>
      <c r="AC314" s="377"/>
      <c r="AD314" s="377"/>
      <c r="AE314" s="377"/>
      <c r="AF314" s="377"/>
      <c r="AG314" s="377"/>
      <c r="AH314" s="377"/>
      <c r="AI314" s="377"/>
      <c r="AJ314" s="377"/>
      <c r="AK314" s="377"/>
      <c r="AL314" s="574"/>
      <c r="AM314" s="377"/>
      <c r="AN314" s="377"/>
      <c r="AO314" s="377"/>
      <c r="AP314" s="377"/>
      <c r="AQ314" s="377"/>
      <c r="AR314" s="377"/>
      <c r="AS314" s="377"/>
      <c r="AT314" s="377"/>
      <c r="AU314" s="377"/>
      <c r="AV314" s="377"/>
      <c r="AW314" s="575"/>
      <c r="AX314" s="377"/>
      <c r="AY314" s="377"/>
      <c r="AZ314" s="377"/>
      <c r="BA314" s="377"/>
      <c r="BB314" s="377"/>
      <c r="BC314" s="377"/>
      <c r="BD314" s="377"/>
      <c r="BE314" s="377"/>
      <c r="BF314" s="377"/>
      <c r="BG314" s="377"/>
      <c r="BH314" s="377"/>
      <c r="BI314" s="377"/>
      <c r="BJ314" s="377"/>
      <c r="BK314" s="377"/>
      <c r="BL314" s="377"/>
      <c r="BM314" s="377"/>
      <c r="BN314" s="576"/>
      <c r="BO314" s="377"/>
      <c r="BP314" s="377"/>
      <c r="BQ314" s="377"/>
      <c r="BR314" s="377"/>
      <c r="BS314" s="377"/>
      <c r="BT314" s="377"/>
      <c r="BU314" s="377"/>
      <c r="BV314" s="377"/>
      <c r="BW314" s="377"/>
      <c r="BX314" s="377"/>
      <c r="BY314" s="377"/>
      <c r="BZ314" s="377"/>
      <c r="CA314" s="377"/>
      <c r="CB314" s="377"/>
      <c r="CC314" s="377"/>
      <c r="CD314" s="377"/>
      <c r="CE314" s="377"/>
      <c r="CF314" s="377"/>
      <c r="CG314" s="377"/>
      <c r="CH314" s="377"/>
      <c r="CI314" s="377"/>
    </row>
    <row r="315" spans="1:87" ht="15">
      <c r="A315" s="377"/>
      <c r="B315" s="377"/>
      <c r="C315" s="572"/>
      <c r="D315" s="377"/>
      <c r="E315" s="377"/>
      <c r="F315" s="377"/>
      <c r="G315" s="377"/>
      <c r="H315" s="573"/>
      <c r="I315" s="377"/>
      <c r="J315" s="377"/>
      <c r="K315" s="377"/>
      <c r="L315" s="377"/>
      <c r="M315" s="377"/>
      <c r="N315" s="377"/>
      <c r="O315" s="377"/>
      <c r="P315" s="377"/>
      <c r="Q315" s="377"/>
      <c r="R315" s="377"/>
      <c r="S315" s="377"/>
      <c r="T315" s="377"/>
      <c r="U315" s="377"/>
      <c r="V315" s="377"/>
      <c r="W315" s="377"/>
      <c r="X315" s="574"/>
      <c r="Y315" s="377"/>
      <c r="Z315" s="377"/>
      <c r="AA315" s="377"/>
      <c r="AB315" s="377"/>
      <c r="AC315" s="377"/>
      <c r="AD315" s="377"/>
      <c r="AE315" s="377"/>
      <c r="AF315" s="377"/>
      <c r="AG315" s="377"/>
      <c r="AH315" s="377"/>
      <c r="AI315" s="377"/>
      <c r="AJ315" s="377"/>
      <c r="AK315" s="377"/>
      <c r="AL315" s="574"/>
      <c r="AM315" s="377"/>
      <c r="AN315" s="377"/>
      <c r="AO315" s="377"/>
      <c r="AP315" s="377"/>
      <c r="AQ315" s="377"/>
      <c r="AR315" s="377"/>
      <c r="AS315" s="377"/>
      <c r="AT315" s="377"/>
      <c r="AU315" s="377"/>
      <c r="AV315" s="377"/>
      <c r="AW315" s="575"/>
      <c r="AX315" s="377"/>
      <c r="AY315" s="377"/>
      <c r="AZ315" s="377"/>
      <c r="BA315" s="377"/>
      <c r="BB315" s="377"/>
      <c r="BC315" s="377"/>
      <c r="BD315" s="377"/>
      <c r="BE315" s="377"/>
      <c r="BF315" s="377"/>
      <c r="BG315" s="377"/>
      <c r="BH315" s="377"/>
      <c r="BI315" s="377"/>
      <c r="BJ315" s="377"/>
      <c r="BK315" s="377"/>
      <c r="BL315" s="377"/>
      <c r="BM315" s="377"/>
      <c r="BN315" s="576"/>
      <c r="BO315" s="377"/>
      <c r="BP315" s="377"/>
      <c r="BQ315" s="377"/>
      <c r="BR315" s="377"/>
      <c r="BS315" s="377"/>
      <c r="BT315" s="377"/>
      <c r="BU315" s="377"/>
      <c r="BV315" s="377"/>
      <c r="BW315" s="377"/>
      <c r="BX315" s="377"/>
      <c r="BY315" s="377"/>
      <c r="BZ315" s="377"/>
      <c r="CA315" s="377"/>
      <c r="CB315" s="377"/>
      <c r="CC315" s="377"/>
      <c r="CD315" s="377"/>
      <c r="CE315" s="377"/>
      <c r="CF315" s="377"/>
      <c r="CG315" s="377"/>
      <c r="CH315" s="377"/>
      <c r="CI315" s="377"/>
    </row>
    <row r="316" spans="1:87" ht="15">
      <c r="A316" s="377"/>
      <c r="B316" s="377"/>
      <c r="C316" s="572"/>
      <c r="D316" s="377"/>
      <c r="E316" s="377"/>
      <c r="F316" s="377"/>
      <c r="G316" s="377"/>
      <c r="H316" s="573"/>
      <c r="I316" s="377"/>
      <c r="J316" s="377"/>
      <c r="K316" s="377"/>
      <c r="L316" s="377"/>
      <c r="M316" s="377"/>
      <c r="N316" s="377"/>
      <c r="O316" s="377"/>
      <c r="P316" s="377"/>
      <c r="Q316" s="377"/>
      <c r="R316" s="377"/>
      <c r="S316" s="377"/>
      <c r="T316" s="377"/>
      <c r="U316" s="377"/>
      <c r="V316" s="377"/>
      <c r="W316" s="377"/>
      <c r="X316" s="574"/>
      <c r="Y316" s="377"/>
      <c r="Z316" s="377"/>
      <c r="AA316" s="377"/>
      <c r="AB316" s="377"/>
      <c r="AC316" s="377"/>
      <c r="AD316" s="377"/>
      <c r="AE316" s="377"/>
      <c r="AF316" s="377"/>
      <c r="AG316" s="377"/>
      <c r="AH316" s="377"/>
      <c r="AI316" s="377"/>
      <c r="AJ316" s="377"/>
      <c r="AK316" s="377"/>
      <c r="AL316" s="574"/>
      <c r="AM316" s="377"/>
      <c r="AN316" s="377"/>
      <c r="AO316" s="377"/>
      <c r="AP316" s="377"/>
      <c r="AQ316" s="377"/>
      <c r="AR316" s="377"/>
      <c r="AS316" s="377"/>
      <c r="AT316" s="377"/>
      <c r="AU316" s="377"/>
      <c r="AV316" s="377"/>
      <c r="AW316" s="575"/>
      <c r="AX316" s="377"/>
      <c r="AY316" s="377"/>
      <c r="AZ316" s="377"/>
      <c r="BA316" s="377"/>
      <c r="BB316" s="377"/>
      <c r="BC316" s="377"/>
      <c r="BD316" s="377"/>
      <c r="BE316" s="377"/>
      <c r="BF316" s="377"/>
      <c r="BG316" s="377"/>
      <c r="BH316" s="377"/>
      <c r="BI316" s="377"/>
      <c r="BJ316" s="377"/>
      <c r="BK316" s="377"/>
      <c r="BL316" s="377"/>
      <c r="BM316" s="377"/>
      <c r="BN316" s="576"/>
      <c r="BO316" s="377"/>
      <c r="BP316" s="377"/>
      <c r="BQ316" s="377"/>
      <c r="BR316" s="377"/>
      <c r="BS316" s="377"/>
      <c r="BT316" s="377"/>
      <c r="BU316" s="377"/>
      <c r="BV316" s="377"/>
      <c r="BW316" s="377"/>
      <c r="BX316" s="377"/>
      <c r="BY316" s="377"/>
      <c r="BZ316" s="377"/>
      <c r="CA316" s="377"/>
      <c r="CB316" s="377"/>
      <c r="CC316" s="377"/>
      <c r="CD316" s="377"/>
      <c r="CE316" s="377"/>
      <c r="CF316" s="377"/>
      <c r="CG316" s="377"/>
      <c r="CH316" s="377"/>
      <c r="CI316" s="377"/>
    </row>
    <row r="317" spans="1:87" ht="15">
      <c r="A317" s="377"/>
      <c r="B317" s="377"/>
      <c r="C317" s="572"/>
      <c r="D317" s="377"/>
      <c r="E317" s="377"/>
      <c r="F317" s="377"/>
      <c r="G317" s="377"/>
      <c r="H317" s="573"/>
      <c r="I317" s="377"/>
      <c r="J317" s="377"/>
      <c r="K317" s="377"/>
      <c r="L317" s="377"/>
      <c r="M317" s="377"/>
      <c r="N317" s="377"/>
      <c r="O317" s="377"/>
      <c r="P317" s="377"/>
      <c r="Q317" s="377"/>
      <c r="R317" s="377"/>
      <c r="S317" s="377"/>
      <c r="T317" s="377"/>
      <c r="U317" s="377"/>
      <c r="V317" s="377"/>
      <c r="W317" s="377"/>
      <c r="X317" s="574"/>
      <c r="Y317" s="377"/>
      <c r="Z317" s="377"/>
      <c r="AA317" s="377"/>
      <c r="AB317" s="377"/>
      <c r="AC317" s="377"/>
      <c r="AD317" s="377"/>
      <c r="AE317" s="377"/>
      <c r="AF317" s="377"/>
      <c r="AG317" s="377"/>
      <c r="AH317" s="377"/>
      <c r="AI317" s="377"/>
      <c r="AJ317" s="377"/>
      <c r="AK317" s="377"/>
      <c r="AL317" s="574"/>
      <c r="AM317" s="377"/>
      <c r="AN317" s="377"/>
      <c r="AO317" s="377"/>
      <c r="AP317" s="377"/>
      <c r="AQ317" s="377"/>
      <c r="AR317" s="377"/>
      <c r="AS317" s="377"/>
      <c r="AT317" s="377"/>
      <c r="AU317" s="377"/>
      <c r="AV317" s="377"/>
      <c r="AW317" s="575"/>
      <c r="AX317" s="377"/>
      <c r="AY317" s="377"/>
      <c r="AZ317" s="377"/>
      <c r="BA317" s="377"/>
      <c r="BB317" s="377"/>
      <c r="BC317" s="377"/>
      <c r="BD317" s="377"/>
      <c r="BE317" s="377"/>
      <c r="BF317" s="377"/>
      <c r="BG317" s="377"/>
      <c r="BH317" s="377"/>
      <c r="BI317" s="377"/>
      <c r="BJ317" s="377"/>
      <c r="BK317" s="377"/>
      <c r="BL317" s="377"/>
      <c r="BM317" s="377"/>
      <c r="BN317" s="576"/>
      <c r="BO317" s="377"/>
      <c r="BP317" s="377"/>
      <c r="BQ317" s="377"/>
      <c r="BR317" s="377"/>
      <c r="BS317" s="377"/>
      <c r="BT317" s="377"/>
      <c r="BU317" s="377"/>
      <c r="BV317" s="377"/>
      <c r="BW317" s="377"/>
      <c r="BX317" s="377"/>
      <c r="BY317" s="377"/>
      <c r="BZ317" s="377"/>
      <c r="CA317" s="377"/>
      <c r="CB317" s="377"/>
      <c r="CC317" s="377"/>
      <c r="CD317" s="377"/>
      <c r="CE317" s="377"/>
      <c r="CF317" s="377"/>
      <c r="CG317" s="377"/>
      <c r="CH317" s="377"/>
      <c r="CI317" s="377"/>
    </row>
    <row r="318" spans="1:87" ht="15">
      <c r="A318" s="377"/>
      <c r="B318" s="377"/>
      <c r="C318" s="572"/>
      <c r="D318" s="377"/>
      <c r="E318" s="377"/>
      <c r="F318" s="377"/>
      <c r="G318" s="377"/>
      <c r="H318" s="573"/>
      <c r="I318" s="377"/>
      <c r="J318" s="377"/>
      <c r="K318" s="377"/>
      <c r="L318" s="377"/>
      <c r="M318" s="377"/>
      <c r="N318" s="377"/>
      <c r="O318" s="377"/>
      <c r="P318" s="377"/>
      <c r="Q318" s="377"/>
      <c r="R318" s="377"/>
      <c r="S318" s="377"/>
      <c r="T318" s="377"/>
      <c r="U318" s="377"/>
      <c r="V318" s="377"/>
      <c r="W318" s="377"/>
      <c r="X318" s="574"/>
      <c r="Y318" s="377"/>
      <c r="Z318" s="377"/>
      <c r="AA318" s="377"/>
      <c r="AB318" s="377"/>
      <c r="AC318" s="377"/>
      <c r="AD318" s="377"/>
      <c r="AE318" s="377"/>
      <c r="AF318" s="377"/>
      <c r="AG318" s="377"/>
      <c r="AH318" s="377"/>
      <c r="AI318" s="377"/>
      <c r="AJ318" s="377"/>
      <c r="AK318" s="377"/>
      <c r="AL318" s="574"/>
      <c r="AM318" s="377"/>
      <c r="AN318" s="377"/>
      <c r="AO318" s="377"/>
      <c r="AP318" s="377"/>
      <c r="AQ318" s="377"/>
      <c r="AR318" s="377"/>
      <c r="AS318" s="377"/>
      <c r="AT318" s="377"/>
      <c r="AU318" s="377"/>
      <c r="AV318" s="377"/>
      <c r="AW318" s="575"/>
      <c r="AX318" s="377"/>
      <c r="AY318" s="377"/>
      <c r="AZ318" s="377"/>
      <c r="BA318" s="377"/>
      <c r="BB318" s="377"/>
      <c r="BC318" s="377"/>
      <c r="BD318" s="377"/>
      <c r="BE318" s="377"/>
      <c r="BF318" s="377"/>
      <c r="BG318" s="377"/>
      <c r="BH318" s="377"/>
      <c r="BI318" s="377"/>
      <c r="BJ318" s="377"/>
      <c r="BK318" s="377"/>
      <c r="BL318" s="377"/>
      <c r="BM318" s="377"/>
      <c r="BN318" s="576"/>
      <c r="BO318" s="377"/>
      <c r="BP318" s="377"/>
      <c r="BQ318" s="377"/>
      <c r="BR318" s="377"/>
      <c r="BS318" s="377"/>
      <c r="BT318" s="377"/>
      <c r="BU318" s="377"/>
      <c r="BV318" s="377"/>
      <c r="BW318" s="377"/>
      <c r="BX318" s="377"/>
      <c r="BY318" s="377"/>
      <c r="BZ318" s="377"/>
      <c r="CA318" s="377"/>
      <c r="CB318" s="377"/>
      <c r="CC318" s="377"/>
      <c r="CD318" s="377"/>
      <c r="CE318" s="377"/>
      <c r="CF318" s="377"/>
      <c r="CG318" s="377"/>
      <c r="CH318" s="377"/>
      <c r="CI318" s="377"/>
    </row>
    <row r="319" spans="1:87" ht="15">
      <c r="A319" s="377"/>
      <c r="B319" s="377"/>
      <c r="C319" s="572"/>
      <c r="D319" s="377"/>
      <c r="E319" s="377"/>
      <c r="F319" s="377"/>
      <c r="G319" s="377"/>
      <c r="H319" s="573"/>
      <c r="I319" s="377"/>
      <c r="J319" s="377"/>
      <c r="K319" s="377"/>
      <c r="L319" s="377"/>
      <c r="M319" s="377"/>
      <c r="N319" s="377"/>
      <c r="O319" s="377"/>
      <c r="P319" s="377"/>
      <c r="Q319" s="377"/>
      <c r="R319" s="377"/>
      <c r="S319" s="377"/>
      <c r="T319" s="377"/>
      <c r="U319" s="377"/>
      <c r="V319" s="377"/>
      <c r="W319" s="377"/>
      <c r="X319" s="574"/>
      <c r="Y319" s="377"/>
      <c r="Z319" s="377"/>
      <c r="AA319" s="377"/>
      <c r="AB319" s="377"/>
      <c r="AC319" s="377"/>
      <c r="AD319" s="377"/>
      <c r="AE319" s="377"/>
      <c r="AF319" s="377"/>
      <c r="AG319" s="377"/>
      <c r="AH319" s="377"/>
      <c r="AI319" s="377"/>
      <c r="AJ319" s="377"/>
      <c r="AK319" s="377"/>
      <c r="AL319" s="574"/>
      <c r="AM319" s="377"/>
      <c r="AN319" s="377"/>
      <c r="AO319" s="377"/>
      <c r="AP319" s="377"/>
      <c r="AQ319" s="377"/>
      <c r="AR319" s="377"/>
      <c r="AS319" s="377"/>
      <c r="AT319" s="377"/>
      <c r="AU319" s="377"/>
      <c r="AV319" s="377"/>
      <c r="AW319" s="575"/>
      <c r="AX319" s="377"/>
      <c r="AY319" s="377"/>
      <c r="AZ319" s="377"/>
      <c r="BA319" s="377"/>
      <c r="BB319" s="377"/>
      <c r="BC319" s="377"/>
      <c r="BD319" s="377"/>
      <c r="BE319" s="377"/>
      <c r="BF319" s="377"/>
      <c r="BG319" s="377"/>
      <c r="BH319" s="377"/>
      <c r="BI319" s="377"/>
      <c r="BJ319" s="377"/>
      <c r="BK319" s="377"/>
      <c r="BL319" s="377"/>
      <c r="BM319" s="377"/>
      <c r="BN319" s="576"/>
      <c r="BO319" s="377"/>
      <c r="BP319" s="377"/>
      <c r="BQ319" s="377"/>
      <c r="BR319" s="377"/>
      <c r="BS319" s="377"/>
      <c r="BT319" s="377"/>
      <c r="BU319" s="377"/>
      <c r="BV319" s="377"/>
      <c r="BW319" s="377"/>
      <c r="BX319" s="377"/>
      <c r="BY319" s="377"/>
      <c r="BZ319" s="377"/>
      <c r="CA319" s="377"/>
      <c r="CB319" s="377"/>
      <c r="CC319" s="377"/>
      <c r="CD319" s="377"/>
      <c r="CE319" s="377"/>
      <c r="CF319" s="377"/>
      <c r="CG319" s="377"/>
      <c r="CH319" s="377"/>
      <c r="CI319" s="377"/>
    </row>
    <row r="320" spans="1:87" ht="15">
      <c r="A320" s="377"/>
      <c r="B320" s="377"/>
      <c r="C320" s="572"/>
      <c r="D320" s="377"/>
      <c r="E320" s="377"/>
      <c r="F320" s="377"/>
      <c r="G320" s="377"/>
      <c r="H320" s="573"/>
      <c r="I320" s="377"/>
      <c r="J320" s="377"/>
      <c r="K320" s="377"/>
      <c r="L320" s="377"/>
      <c r="M320" s="377"/>
      <c r="N320" s="377"/>
      <c r="O320" s="377"/>
      <c r="P320" s="377"/>
      <c r="Q320" s="377"/>
      <c r="R320" s="377"/>
      <c r="S320" s="377"/>
      <c r="T320" s="377"/>
      <c r="U320" s="377"/>
      <c r="V320" s="377"/>
      <c r="W320" s="377"/>
      <c r="X320" s="574"/>
      <c r="Y320" s="377"/>
      <c r="Z320" s="377"/>
      <c r="AA320" s="377"/>
      <c r="AB320" s="377"/>
      <c r="AC320" s="377"/>
      <c r="AD320" s="377"/>
      <c r="AE320" s="377"/>
      <c r="AF320" s="377"/>
      <c r="AG320" s="377"/>
      <c r="AH320" s="377"/>
      <c r="AI320" s="377"/>
      <c r="AJ320" s="377"/>
      <c r="AK320" s="377"/>
      <c r="AL320" s="574"/>
      <c r="AM320" s="377"/>
      <c r="AN320" s="377"/>
      <c r="AO320" s="377"/>
      <c r="AP320" s="377"/>
      <c r="AQ320" s="377"/>
      <c r="AR320" s="377"/>
      <c r="AS320" s="377"/>
      <c r="AT320" s="377"/>
      <c r="AU320" s="377"/>
      <c r="AV320" s="377"/>
      <c r="AW320" s="575"/>
      <c r="AX320" s="377"/>
      <c r="AY320" s="377"/>
      <c r="AZ320" s="377"/>
      <c r="BA320" s="377"/>
      <c r="BB320" s="377"/>
      <c r="BC320" s="377"/>
      <c r="BD320" s="377"/>
      <c r="BE320" s="377"/>
      <c r="BF320" s="377"/>
      <c r="BG320" s="377"/>
      <c r="BH320" s="377"/>
      <c r="BI320" s="377"/>
      <c r="BJ320" s="377"/>
      <c r="BK320" s="377"/>
      <c r="BL320" s="377"/>
      <c r="BM320" s="377"/>
      <c r="BN320" s="576"/>
      <c r="BO320" s="377"/>
      <c r="BP320" s="377"/>
      <c r="BQ320" s="377"/>
      <c r="BR320" s="377"/>
      <c r="BS320" s="377"/>
      <c r="BT320" s="377"/>
      <c r="BU320" s="377"/>
      <c r="BV320" s="377"/>
      <c r="BW320" s="377"/>
      <c r="BX320" s="377"/>
      <c r="BY320" s="377"/>
      <c r="BZ320" s="377"/>
      <c r="CA320" s="377"/>
      <c r="CB320" s="377"/>
      <c r="CC320" s="377"/>
      <c r="CD320" s="377"/>
      <c r="CE320" s="377"/>
      <c r="CF320" s="377"/>
      <c r="CG320" s="377"/>
      <c r="CH320" s="377"/>
      <c r="CI320" s="377"/>
    </row>
    <row r="321" spans="1:87" ht="15">
      <c r="A321" s="377"/>
      <c r="B321" s="377"/>
      <c r="C321" s="572"/>
      <c r="D321" s="377"/>
      <c r="E321" s="377"/>
      <c r="F321" s="377"/>
      <c r="G321" s="377"/>
      <c r="H321" s="573"/>
      <c r="I321" s="377"/>
      <c r="J321" s="377"/>
      <c r="K321" s="377"/>
      <c r="L321" s="377"/>
      <c r="M321" s="377"/>
      <c r="N321" s="377"/>
      <c r="O321" s="377"/>
      <c r="P321" s="377"/>
      <c r="Q321" s="377"/>
      <c r="R321" s="377"/>
      <c r="S321" s="377"/>
      <c r="T321" s="377"/>
      <c r="U321" s="377"/>
      <c r="V321" s="377"/>
      <c r="W321" s="377"/>
      <c r="X321" s="574"/>
      <c r="Y321" s="377"/>
      <c r="Z321" s="377"/>
      <c r="AA321" s="377"/>
      <c r="AB321" s="377"/>
      <c r="AC321" s="377"/>
      <c r="AD321" s="377"/>
      <c r="AE321" s="377"/>
      <c r="AF321" s="377"/>
      <c r="AG321" s="377"/>
      <c r="AH321" s="377"/>
      <c r="AI321" s="377"/>
      <c r="AJ321" s="377"/>
      <c r="AK321" s="377"/>
      <c r="AL321" s="574"/>
      <c r="AM321" s="377"/>
      <c r="AN321" s="377"/>
      <c r="AO321" s="377"/>
      <c r="AP321" s="377"/>
      <c r="AQ321" s="377"/>
      <c r="AR321" s="377"/>
      <c r="AS321" s="377"/>
      <c r="AT321" s="377"/>
      <c r="AU321" s="377"/>
      <c r="AV321" s="377"/>
      <c r="AW321" s="575"/>
      <c r="AX321" s="377"/>
      <c r="AY321" s="377"/>
      <c r="AZ321" s="377"/>
      <c r="BA321" s="377"/>
      <c r="BB321" s="377"/>
      <c r="BC321" s="377"/>
      <c r="BD321" s="377"/>
      <c r="BE321" s="377"/>
      <c r="BF321" s="377"/>
      <c r="BG321" s="377"/>
      <c r="BH321" s="377"/>
      <c r="BI321" s="377"/>
      <c r="BJ321" s="377"/>
      <c r="BK321" s="377"/>
      <c r="BL321" s="377"/>
      <c r="BM321" s="377"/>
      <c r="BN321" s="576"/>
      <c r="BO321" s="377"/>
      <c r="BP321" s="377"/>
      <c r="BQ321" s="377"/>
      <c r="BR321" s="377"/>
      <c r="BS321" s="377"/>
      <c r="BT321" s="377"/>
      <c r="BU321" s="377"/>
      <c r="BV321" s="377"/>
      <c r="BW321" s="377"/>
      <c r="BX321" s="377"/>
      <c r="BY321" s="377"/>
      <c r="BZ321" s="377"/>
      <c r="CA321" s="377"/>
      <c r="CB321" s="377"/>
      <c r="CC321" s="377"/>
      <c r="CD321" s="377"/>
      <c r="CE321" s="377"/>
      <c r="CF321" s="377"/>
      <c r="CG321" s="377"/>
      <c r="CH321" s="377"/>
      <c r="CI321" s="377"/>
    </row>
    <row r="322" spans="1:87" ht="15">
      <c r="A322" s="377"/>
      <c r="B322" s="377"/>
      <c r="C322" s="572"/>
      <c r="D322" s="377"/>
      <c r="E322" s="377"/>
      <c r="F322" s="377"/>
      <c r="G322" s="377"/>
      <c r="H322" s="573"/>
      <c r="I322" s="377"/>
      <c r="J322" s="377"/>
      <c r="K322" s="377"/>
      <c r="L322" s="377"/>
      <c r="M322" s="377"/>
      <c r="N322" s="377"/>
      <c r="O322" s="377"/>
      <c r="P322" s="377"/>
      <c r="Q322" s="377"/>
      <c r="R322" s="377"/>
      <c r="S322" s="377"/>
      <c r="T322" s="377"/>
      <c r="U322" s="377"/>
      <c r="V322" s="377"/>
      <c r="W322" s="377"/>
      <c r="X322" s="574"/>
      <c r="Y322" s="377"/>
      <c r="Z322" s="377"/>
      <c r="AA322" s="377"/>
      <c r="AB322" s="377"/>
      <c r="AC322" s="377"/>
      <c r="AD322" s="377"/>
      <c r="AE322" s="377"/>
      <c r="AF322" s="377"/>
      <c r="AG322" s="377"/>
      <c r="AH322" s="377"/>
      <c r="AI322" s="377"/>
      <c r="AJ322" s="377"/>
      <c r="AK322" s="377"/>
      <c r="AL322" s="574"/>
      <c r="AM322" s="377"/>
      <c r="AN322" s="377"/>
      <c r="AO322" s="377"/>
      <c r="AP322" s="377"/>
      <c r="AQ322" s="377"/>
      <c r="AR322" s="377"/>
      <c r="AS322" s="377"/>
      <c r="AT322" s="377"/>
      <c r="AU322" s="377"/>
      <c r="AV322" s="377"/>
      <c r="AW322" s="575"/>
      <c r="AX322" s="377"/>
      <c r="AY322" s="377"/>
      <c r="AZ322" s="377"/>
      <c r="BA322" s="377"/>
      <c r="BB322" s="377"/>
      <c r="BC322" s="377"/>
      <c r="BD322" s="377"/>
      <c r="BE322" s="377"/>
      <c r="BF322" s="377"/>
      <c r="BG322" s="377"/>
      <c r="BH322" s="377"/>
      <c r="BI322" s="377"/>
      <c r="BJ322" s="377"/>
      <c r="BK322" s="377"/>
      <c r="BL322" s="377"/>
      <c r="BM322" s="377"/>
      <c r="BN322" s="576"/>
      <c r="BO322" s="377"/>
      <c r="BP322" s="377"/>
      <c r="BQ322" s="377"/>
      <c r="BR322" s="377"/>
      <c r="BS322" s="377"/>
      <c r="BT322" s="377"/>
      <c r="BU322" s="377"/>
      <c r="BV322" s="377"/>
      <c r="BW322" s="377"/>
      <c r="BX322" s="377"/>
      <c r="BY322" s="377"/>
      <c r="BZ322" s="377"/>
      <c r="CA322" s="377"/>
      <c r="CB322" s="377"/>
      <c r="CC322" s="377"/>
      <c r="CD322" s="377"/>
      <c r="CE322" s="377"/>
      <c r="CF322" s="377"/>
      <c r="CG322" s="377"/>
      <c r="CH322" s="377"/>
      <c r="CI322" s="377"/>
    </row>
    <row r="323" spans="1:87" ht="15">
      <c r="A323" s="377"/>
      <c r="B323" s="377"/>
      <c r="C323" s="572"/>
      <c r="D323" s="377"/>
      <c r="E323" s="377"/>
      <c r="F323" s="377"/>
      <c r="G323" s="377"/>
      <c r="H323" s="573"/>
      <c r="I323" s="377"/>
      <c r="J323" s="377"/>
      <c r="K323" s="377"/>
      <c r="L323" s="377"/>
      <c r="M323" s="377"/>
      <c r="N323" s="377"/>
      <c r="O323" s="377"/>
      <c r="P323" s="377"/>
      <c r="Q323" s="377"/>
      <c r="R323" s="377"/>
      <c r="S323" s="377"/>
      <c r="T323" s="377"/>
      <c r="U323" s="377"/>
      <c r="V323" s="377"/>
      <c r="W323" s="377"/>
      <c r="X323" s="574"/>
      <c r="Y323" s="377"/>
      <c r="Z323" s="377"/>
      <c r="AA323" s="377"/>
      <c r="AB323" s="377"/>
      <c r="AC323" s="377"/>
      <c r="AD323" s="377"/>
      <c r="AE323" s="377"/>
      <c r="AF323" s="377"/>
      <c r="AG323" s="377"/>
      <c r="AH323" s="377"/>
      <c r="AI323" s="377"/>
      <c r="AJ323" s="377"/>
      <c r="AK323" s="377"/>
      <c r="AL323" s="574"/>
      <c r="AM323" s="377"/>
      <c r="AN323" s="377"/>
      <c r="AO323" s="377"/>
      <c r="AP323" s="377"/>
      <c r="AQ323" s="377"/>
      <c r="AR323" s="377"/>
      <c r="AS323" s="377"/>
      <c r="AT323" s="377"/>
      <c r="AU323" s="377"/>
      <c r="AV323" s="377"/>
      <c r="AW323" s="575"/>
      <c r="AX323" s="377"/>
      <c r="AY323" s="377"/>
      <c r="AZ323" s="377"/>
      <c r="BA323" s="377"/>
      <c r="BB323" s="377"/>
      <c r="BC323" s="377"/>
      <c r="BD323" s="377"/>
      <c r="BE323" s="377"/>
      <c r="BF323" s="377"/>
      <c r="BG323" s="377"/>
      <c r="BH323" s="377"/>
      <c r="BI323" s="377"/>
      <c r="BJ323" s="377"/>
      <c r="BK323" s="377"/>
      <c r="BL323" s="377"/>
      <c r="BM323" s="377"/>
      <c r="BN323" s="576"/>
      <c r="BO323" s="377"/>
      <c r="BP323" s="377"/>
      <c r="BQ323" s="377"/>
      <c r="BR323" s="377"/>
      <c r="BS323" s="377"/>
      <c r="BT323" s="377"/>
      <c r="BU323" s="377"/>
      <c r="BV323" s="377"/>
      <c r="BW323" s="377"/>
      <c r="BX323" s="377"/>
      <c r="BY323" s="377"/>
      <c r="BZ323" s="377"/>
      <c r="CA323" s="377"/>
      <c r="CB323" s="377"/>
      <c r="CC323" s="377"/>
      <c r="CD323" s="377"/>
      <c r="CE323" s="377"/>
      <c r="CF323" s="377"/>
      <c r="CG323" s="377"/>
      <c r="CH323" s="377"/>
      <c r="CI323" s="377"/>
    </row>
    <row r="324" spans="1:87" ht="15">
      <c r="A324" s="377"/>
      <c r="B324" s="377"/>
      <c r="C324" s="572"/>
      <c r="D324" s="377"/>
      <c r="E324" s="377"/>
      <c r="F324" s="377"/>
      <c r="G324" s="377"/>
      <c r="H324" s="573"/>
      <c r="I324" s="377"/>
      <c r="J324" s="377"/>
      <c r="K324" s="377"/>
      <c r="L324" s="377"/>
      <c r="M324" s="377"/>
      <c r="N324" s="377"/>
      <c r="O324" s="377"/>
      <c r="P324" s="377"/>
      <c r="Q324" s="377"/>
      <c r="R324" s="377"/>
      <c r="S324" s="377"/>
      <c r="T324" s="377"/>
      <c r="U324" s="377"/>
      <c r="V324" s="377"/>
      <c r="W324" s="377"/>
      <c r="X324" s="574"/>
      <c r="Y324" s="377"/>
      <c r="Z324" s="377"/>
      <c r="AA324" s="377"/>
      <c r="AB324" s="377"/>
      <c r="AC324" s="377"/>
      <c r="AD324" s="377"/>
      <c r="AE324" s="377"/>
      <c r="AF324" s="377"/>
      <c r="AG324" s="377"/>
      <c r="AH324" s="377"/>
      <c r="AI324" s="377"/>
      <c r="AJ324" s="377"/>
      <c r="AK324" s="377"/>
      <c r="AL324" s="574"/>
      <c r="AM324" s="377"/>
      <c r="AN324" s="377"/>
      <c r="AO324" s="377"/>
      <c r="AP324" s="377"/>
      <c r="AQ324" s="377"/>
      <c r="AR324" s="377"/>
      <c r="AS324" s="377"/>
      <c r="AT324" s="377"/>
      <c r="AU324" s="377"/>
      <c r="AV324" s="377"/>
      <c r="AW324" s="575"/>
      <c r="AX324" s="377"/>
      <c r="AY324" s="377"/>
      <c r="AZ324" s="377"/>
      <c r="BA324" s="377"/>
      <c r="BB324" s="377"/>
      <c r="BC324" s="377"/>
      <c r="BD324" s="377"/>
      <c r="BE324" s="377"/>
      <c r="BF324" s="377"/>
      <c r="BG324" s="377"/>
      <c r="BH324" s="377"/>
      <c r="BI324" s="377"/>
      <c r="BJ324" s="377"/>
      <c r="BK324" s="377"/>
      <c r="BL324" s="377"/>
      <c r="BM324" s="377"/>
      <c r="BN324" s="576"/>
      <c r="BO324" s="377"/>
      <c r="BP324" s="377"/>
      <c r="BQ324" s="377"/>
      <c r="BR324" s="377"/>
      <c r="BS324" s="377"/>
      <c r="BT324" s="377"/>
      <c r="BU324" s="377"/>
      <c r="BV324" s="377"/>
      <c r="BW324" s="377"/>
      <c r="BX324" s="377"/>
      <c r="BY324" s="377"/>
      <c r="BZ324" s="377"/>
      <c r="CA324" s="377"/>
      <c r="CB324" s="377"/>
      <c r="CC324" s="377"/>
      <c r="CD324" s="377"/>
      <c r="CE324" s="377"/>
      <c r="CF324" s="377"/>
      <c r="CG324" s="377"/>
      <c r="CH324" s="377"/>
      <c r="CI324" s="377"/>
    </row>
    <row r="325" spans="1:87" ht="15">
      <c r="A325" s="377"/>
      <c r="B325" s="377"/>
      <c r="C325" s="572"/>
      <c r="D325" s="377"/>
      <c r="E325" s="377"/>
      <c r="F325" s="377"/>
      <c r="G325" s="377"/>
      <c r="H325" s="573"/>
      <c r="I325" s="377"/>
      <c r="J325" s="377"/>
      <c r="K325" s="377"/>
      <c r="L325" s="377"/>
      <c r="M325" s="377"/>
      <c r="N325" s="377"/>
      <c r="O325" s="377"/>
      <c r="P325" s="377"/>
      <c r="Q325" s="377"/>
      <c r="R325" s="377"/>
      <c r="S325" s="377"/>
      <c r="T325" s="377"/>
      <c r="U325" s="377"/>
      <c r="V325" s="377"/>
      <c r="W325" s="377"/>
      <c r="X325" s="574"/>
      <c r="Y325" s="377"/>
      <c r="Z325" s="377"/>
      <c r="AA325" s="377"/>
      <c r="AB325" s="377"/>
      <c r="AC325" s="377"/>
      <c r="AD325" s="377"/>
      <c r="AE325" s="377"/>
      <c r="AF325" s="377"/>
      <c r="AG325" s="377"/>
      <c r="AH325" s="377"/>
      <c r="AI325" s="377"/>
      <c r="AJ325" s="377"/>
      <c r="AK325" s="377"/>
      <c r="AL325" s="574"/>
      <c r="AM325" s="377"/>
      <c r="AN325" s="377"/>
      <c r="AO325" s="377"/>
      <c r="AP325" s="377"/>
      <c r="AQ325" s="377"/>
      <c r="AR325" s="377"/>
      <c r="AS325" s="377"/>
      <c r="AT325" s="377"/>
      <c r="AU325" s="377"/>
      <c r="AV325" s="377"/>
      <c r="AW325" s="575"/>
      <c r="AX325" s="377"/>
      <c r="AY325" s="377"/>
      <c r="AZ325" s="377"/>
      <c r="BA325" s="377"/>
      <c r="BB325" s="377"/>
      <c r="BC325" s="377"/>
      <c r="BD325" s="377"/>
      <c r="BE325" s="377"/>
      <c r="BF325" s="377"/>
      <c r="BG325" s="377"/>
      <c r="BH325" s="377"/>
      <c r="BI325" s="377"/>
      <c r="BJ325" s="377"/>
      <c r="BK325" s="377"/>
      <c r="BL325" s="377"/>
      <c r="BM325" s="377"/>
      <c r="BN325" s="576"/>
      <c r="BO325" s="377"/>
      <c r="BP325" s="377"/>
      <c r="BQ325" s="377"/>
      <c r="BR325" s="377"/>
      <c r="BS325" s="377"/>
      <c r="BT325" s="377"/>
      <c r="BU325" s="377"/>
      <c r="BV325" s="377"/>
      <c r="BW325" s="377"/>
      <c r="BX325" s="377"/>
      <c r="BY325" s="377"/>
      <c r="BZ325" s="377"/>
      <c r="CA325" s="377"/>
      <c r="CB325" s="377"/>
      <c r="CC325" s="377"/>
      <c r="CD325" s="377"/>
      <c r="CE325" s="377"/>
      <c r="CF325" s="377"/>
      <c r="CG325" s="377"/>
      <c r="CH325" s="377"/>
      <c r="CI325" s="377"/>
    </row>
    <row r="326" spans="1:87" ht="15">
      <c r="A326" s="377"/>
      <c r="B326" s="377"/>
      <c r="C326" s="572"/>
      <c r="D326" s="377"/>
      <c r="E326" s="377"/>
      <c r="F326" s="377"/>
      <c r="G326" s="377"/>
      <c r="H326" s="573"/>
      <c r="I326" s="377"/>
      <c r="J326" s="377"/>
      <c r="K326" s="377"/>
      <c r="L326" s="377"/>
      <c r="M326" s="377"/>
      <c r="N326" s="377"/>
      <c r="O326" s="377"/>
      <c r="P326" s="377"/>
      <c r="Q326" s="377"/>
      <c r="R326" s="377"/>
      <c r="S326" s="377"/>
      <c r="T326" s="377"/>
      <c r="U326" s="377"/>
      <c r="V326" s="377"/>
      <c r="W326" s="377"/>
      <c r="X326" s="574"/>
      <c r="Y326" s="377"/>
      <c r="Z326" s="377"/>
      <c r="AA326" s="377"/>
      <c r="AB326" s="377"/>
      <c r="AC326" s="377"/>
      <c r="AD326" s="377"/>
      <c r="AE326" s="377"/>
      <c r="AF326" s="377"/>
      <c r="AG326" s="377"/>
      <c r="AH326" s="377"/>
      <c r="AI326" s="377"/>
      <c r="AJ326" s="377"/>
      <c r="AK326" s="377"/>
      <c r="AL326" s="574"/>
      <c r="AM326" s="377"/>
      <c r="AN326" s="377"/>
      <c r="AO326" s="377"/>
      <c r="AP326" s="377"/>
      <c r="AQ326" s="377"/>
      <c r="AR326" s="377"/>
      <c r="AS326" s="377"/>
      <c r="AT326" s="377"/>
      <c r="AU326" s="377"/>
      <c r="AV326" s="377"/>
      <c r="AW326" s="575"/>
      <c r="AX326" s="377"/>
      <c r="AY326" s="377"/>
      <c r="AZ326" s="377"/>
      <c r="BA326" s="377"/>
      <c r="BB326" s="377"/>
      <c r="BC326" s="377"/>
      <c r="BD326" s="377"/>
      <c r="BE326" s="377"/>
      <c r="BF326" s="377"/>
      <c r="BG326" s="377"/>
      <c r="BH326" s="377"/>
      <c r="BI326" s="377"/>
      <c r="BJ326" s="377"/>
      <c r="BK326" s="377"/>
      <c r="BL326" s="377"/>
      <c r="BM326" s="377"/>
      <c r="BN326" s="576"/>
      <c r="BO326" s="377"/>
      <c r="BP326" s="377"/>
      <c r="BQ326" s="377"/>
      <c r="BR326" s="377"/>
      <c r="BS326" s="377"/>
      <c r="BT326" s="377"/>
      <c r="BU326" s="377"/>
      <c r="BV326" s="377"/>
      <c r="BW326" s="377"/>
      <c r="BX326" s="377"/>
      <c r="BY326" s="377"/>
      <c r="BZ326" s="377"/>
      <c r="CA326" s="377"/>
      <c r="CB326" s="377"/>
      <c r="CC326" s="377"/>
      <c r="CD326" s="377"/>
      <c r="CE326" s="377"/>
      <c r="CF326" s="377"/>
      <c r="CG326" s="377"/>
      <c r="CH326" s="377"/>
      <c r="CI326" s="377"/>
    </row>
    <row r="327" spans="1:87" ht="15">
      <c r="A327" s="377"/>
      <c r="B327" s="377"/>
      <c r="C327" s="572"/>
      <c r="D327" s="377"/>
      <c r="E327" s="377"/>
      <c r="F327" s="377"/>
      <c r="G327" s="377"/>
      <c r="H327" s="573"/>
      <c r="I327" s="377"/>
      <c r="J327" s="377"/>
      <c r="K327" s="377"/>
      <c r="L327" s="377"/>
      <c r="M327" s="377"/>
      <c r="N327" s="377"/>
      <c r="O327" s="377"/>
      <c r="P327" s="377"/>
      <c r="Q327" s="377"/>
      <c r="R327" s="377"/>
      <c r="S327" s="377"/>
      <c r="T327" s="377"/>
      <c r="U327" s="377"/>
      <c r="V327" s="377"/>
      <c r="W327" s="377"/>
      <c r="X327" s="574"/>
      <c r="Y327" s="377"/>
      <c r="Z327" s="377"/>
      <c r="AA327" s="377"/>
      <c r="AB327" s="377"/>
      <c r="AC327" s="377"/>
      <c r="AD327" s="377"/>
      <c r="AE327" s="377"/>
      <c r="AF327" s="377"/>
      <c r="AG327" s="377"/>
      <c r="AH327" s="377"/>
      <c r="AI327" s="377"/>
      <c r="AJ327" s="377"/>
      <c r="AK327" s="377"/>
      <c r="AL327" s="574"/>
      <c r="AM327" s="377"/>
      <c r="AN327" s="377"/>
      <c r="AO327" s="377"/>
      <c r="AP327" s="377"/>
      <c r="AQ327" s="377"/>
      <c r="AR327" s="377"/>
      <c r="AS327" s="377"/>
      <c r="AT327" s="377"/>
      <c r="AU327" s="377"/>
      <c r="AV327" s="377"/>
      <c r="AW327" s="575"/>
      <c r="AX327" s="377"/>
      <c r="AY327" s="377"/>
      <c r="AZ327" s="377"/>
      <c r="BA327" s="377"/>
      <c r="BB327" s="377"/>
      <c r="BC327" s="377"/>
      <c r="BD327" s="377"/>
      <c r="BE327" s="377"/>
      <c r="BF327" s="377"/>
      <c r="BG327" s="377"/>
      <c r="BH327" s="377"/>
      <c r="BI327" s="377"/>
      <c r="BJ327" s="377"/>
      <c r="BK327" s="377"/>
      <c r="BL327" s="377"/>
      <c r="BM327" s="377"/>
      <c r="BN327" s="576"/>
      <c r="BO327" s="377"/>
      <c r="BP327" s="377"/>
      <c r="BQ327" s="377"/>
      <c r="BR327" s="377"/>
      <c r="BS327" s="377"/>
      <c r="BT327" s="377"/>
      <c r="BU327" s="377"/>
      <c r="BV327" s="377"/>
      <c r="BW327" s="377"/>
      <c r="BX327" s="377"/>
      <c r="BY327" s="377"/>
      <c r="BZ327" s="377"/>
      <c r="CA327" s="377"/>
      <c r="CB327" s="377"/>
      <c r="CC327" s="377"/>
      <c r="CD327" s="377"/>
      <c r="CE327" s="377"/>
      <c r="CF327" s="377"/>
      <c r="CG327" s="377"/>
      <c r="CH327" s="377"/>
      <c r="CI327" s="377"/>
    </row>
    <row r="328" spans="1:87" ht="15">
      <c r="A328" s="377"/>
      <c r="B328" s="377"/>
      <c r="C328" s="572"/>
      <c r="D328" s="377"/>
      <c r="E328" s="377"/>
      <c r="F328" s="377"/>
      <c r="G328" s="377"/>
      <c r="H328" s="573"/>
      <c r="I328" s="377"/>
      <c r="J328" s="377"/>
      <c r="K328" s="377"/>
      <c r="L328" s="377"/>
      <c r="M328" s="377"/>
      <c r="N328" s="377"/>
      <c r="O328" s="377"/>
      <c r="P328" s="377"/>
      <c r="Q328" s="377"/>
      <c r="R328" s="377"/>
      <c r="S328" s="377"/>
      <c r="T328" s="377"/>
      <c r="U328" s="377"/>
      <c r="V328" s="377"/>
      <c r="W328" s="377"/>
      <c r="X328" s="574"/>
      <c r="Y328" s="377"/>
      <c r="Z328" s="377"/>
      <c r="AA328" s="377"/>
      <c r="AB328" s="377"/>
      <c r="AC328" s="377"/>
      <c r="AD328" s="377"/>
      <c r="AE328" s="377"/>
      <c r="AF328" s="377"/>
      <c r="AG328" s="377"/>
      <c r="AH328" s="377"/>
      <c r="AI328" s="377"/>
      <c r="AJ328" s="377"/>
      <c r="AK328" s="377"/>
      <c r="AL328" s="574"/>
      <c r="AM328" s="377"/>
      <c r="AN328" s="377"/>
      <c r="AO328" s="377"/>
      <c r="AP328" s="377"/>
      <c r="AQ328" s="377"/>
      <c r="AR328" s="377"/>
      <c r="AS328" s="377"/>
      <c r="AT328" s="377"/>
      <c r="AU328" s="377"/>
      <c r="AV328" s="377"/>
      <c r="AW328" s="575"/>
      <c r="AX328" s="377"/>
      <c r="AY328" s="377"/>
      <c r="AZ328" s="377"/>
      <c r="BA328" s="377"/>
      <c r="BB328" s="377"/>
      <c r="BC328" s="377"/>
      <c r="BD328" s="377"/>
      <c r="BE328" s="377"/>
      <c r="BF328" s="377"/>
      <c r="BG328" s="377"/>
      <c r="BH328" s="377"/>
      <c r="BI328" s="377"/>
      <c r="BJ328" s="377"/>
      <c r="BK328" s="377"/>
      <c r="BL328" s="377"/>
      <c r="BM328" s="377"/>
      <c r="BN328" s="576"/>
      <c r="BO328" s="377"/>
      <c r="BP328" s="377"/>
      <c r="BQ328" s="377"/>
      <c r="BR328" s="377"/>
      <c r="BS328" s="377"/>
      <c r="BT328" s="377"/>
      <c r="BU328" s="377"/>
      <c r="BV328" s="377"/>
      <c r="BW328" s="377"/>
      <c r="BX328" s="377"/>
      <c r="BY328" s="377"/>
      <c r="BZ328" s="377"/>
      <c r="CA328" s="377"/>
      <c r="CB328" s="377"/>
      <c r="CC328" s="377"/>
      <c r="CD328" s="377"/>
      <c r="CE328" s="377"/>
      <c r="CF328" s="377"/>
      <c r="CG328" s="377"/>
      <c r="CH328" s="377"/>
      <c r="CI328" s="377"/>
    </row>
    <row r="329" spans="1:87" ht="15">
      <c r="A329" s="377"/>
      <c r="B329" s="377"/>
      <c r="C329" s="572"/>
      <c r="D329" s="377"/>
      <c r="E329" s="377"/>
      <c r="F329" s="377"/>
      <c r="G329" s="377"/>
      <c r="H329" s="573"/>
      <c r="I329" s="377"/>
      <c r="J329" s="377"/>
      <c r="K329" s="377"/>
      <c r="L329" s="377"/>
      <c r="M329" s="377"/>
      <c r="N329" s="377"/>
      <c r="O329" s="377"/>
      <c r="P329" s="377"/>
      <c r="Q329" s="377"/>
      <c r="R329" s="377"/>
      <c r="S329" s="377"/>
      <c r="T329" s="377"/>
      <c r="U329" s="377"/>
      <c r="V329" s="377"/>
      <c r="W329" s="377"/>
      <c r="X329" s="574"/>
      <c r="Y329" s="377"/>
      <c r="Z329" s="377"/>
      <c r="AA329" s="377"/>
      <c r="AB329" s="377"/>
      <c r="AC329" s="377"/>
      <c r="AD329" s="377"/>
      <c r="AE329" s="377"/>
      <c r="AF329" s="377"/>
      <c r="AG329" s="377"/>
      <c r="AH329" s="377"/>
      <c r="AI329" s="377"/>
      <c r="AJ329" s="377"/>
      <c r="AK329" s="377"/>
      <c r="AL329" s="574"/>
      <c r="AM329" s="377"/>
      <c r="AN329" s="377"/>
      <c r="AO329" s="377"/>
      <c r="AP329" s="377"/>
      <c r="AQ329" s="377"/>
      <c r="AR329" s="377"/>
      <c r="AS329" s="377"/>
      <c r="AT329" s="377"/>
      <c r="AU329" s="377"/>
      <c r="AV329" s="377"/>
      <c r="AW329" s="575"/>
      <c r="AX329" s="377"/>
      <c r="AY329" s="377"/>
      <c r="AZ329" s="377"/>
      <c r="BA329" s="377"/>
      <c r="BB329" s="377"/>
      <c r="BC329" s="377"/>
      <c r="BD329" s="377"/>
      <c r="BE329" s="377"/>
      <c r="BF329" s="377"/>
      <c r="BG329" s="377"/>
      <c r="BH329" s="377"/>
      <c r="BI329" s="377"/>
      <c r="BJ329" s="377"/>
      <c r="BK329" s="377"/>
      <c r="BL329" s="377"/>
      <c r="BM329" s="377"/>
      <c r="BN329" s="576"/>
      <c r="BO329" s="377"/>
      <c r="BP329" s="377"/>
      <c r="BQ329" s="377"/>
      <c r="BR329" s="377"/>
      <c r="BS329" s="377"/>
      <c r="BT329" s="377"/>
      <c r="BU329" s="377"/>
      <c r="BV329" s="377"/>
      <c r="BW329" s="377"/>
      <c r="BX329" s="377"/>
      <c r="BY329" s="377"/>
      <c r="BZ329" s="377"/>
      <c r="CA329" s="377"/>
      <c r="CB329" s="377"/>
      <c r="CC329" s="377"/>
      <c r="CD329" s="377"/>
      <c r="CE329" s="377"/>
      <c r="CF329" s="377"/>
      <c r="CG329" s="377"/>
      <c r="CH329" s="377"/>
      <c r="CI329" s="377"/>
    </row>
    <row r="330" spans="1:87" ht="15">
      <c r="A330" s="377"/>
      <c r="B330" s="377"/>
      <c r="C330" s="572"/>
      <c r="D330" s="377"/>
      <c r="E330" s="377"/>
      <c r="F330" s="377"/>
      <c r="G330" s="377"/>
      <c r="H330" s="573"/>
      <c r="I330" s="377"/>
      <c r="J330" s="377"/>
      <c r="K330" s="377"/>
      <c r="L330" s="377"/>
      <c r="M330" s="377"/>
      <c r="N330" s="377"/>
      <c r="O330" s="377"/>
      <c r="P330" s="377"/>
      <c r="Q330" s="377"/>
      <c r="R330" s="377"/>
      <c r="S330" s="377"/>
      <c r="T330" s="377"/>
      <c r="U330" s="377"/>
      <c r="V330" s="377"/>
      <c r="W330" s="377"/>
      <c r="X330" s="574"/>
      <c r="Y330" s="377"/>
      <c r="Z330" s="377"/>
      <c r="AA330" s="377"/>
      <c r="AB330" s="377"/>
      <c r="AC330" s="377"/>
      <c r="AD330" s="377"/>
      <c r="AE330" s="377"/>
      <c r="AF330" s="377"/>
      <c r="AG330" s="377"/>
      <c r="AH330" s="377"/>
      <c r="AI330" s="377"/>
      <c r="AJ330" s="377"/>
      <c r="AK330" s="377"/>
      <c r="AL330" s="574"/>
      <c r="AM330" s="377"/>
      <c r="AN330" s="377"/>
      <c r="AO330" s="377"/>
      <c r="AP330" s="377"/>
      <c r="AQ330" s="377"/>
      <c r="AR330" s="377"/>
      <c r="AS330" s="377"/>
      <c r="AT330" s="377"/>
      <c r="AU330" s="377"/>
      <c r="AV330" s="377"/>
      <c r="AW330" s="575"/>
      <c r="AX330" s="377"/>
      <c r="AY330" s="377"/>
      <c r="AZ330" s="377"/>
      <c r="BA330" s="377"/>
      <c r="BB330" s="377"/>
      <c r="BC330" s="377"/>
      <c r="BD330" s="377"/>
      <c r="BE330" s="377"/>
      <c r="BF330" s="377"/>
      <c r="BG330" s="377"/>
      <c r="BH330" s="377"/>
      <c r="BI330" s="377"/>
      <c r="BJ330" s="377"/>
      <c r="BK330" s="377"/>
      <c r="BL330" s="377"/>
      <c r="BM330" s="377"/>
      <c r="BN330" s="576"/>
      <c r="BO330" s="377"/>
      <c r="BP330" s="377"/>
      <c r="BQ330" s="377"/>
      <c r="BR330" s="377"/>
      <c r="BS330" s="377"/>
      <c r="BT330" s="377"/>
      <c r="BU330" s="377"/>
      <c r="BV330" s="377"/>
      <c r="BW330" s="377"/>
      <c r="BX330" s="377"/>
      <c r="BY330" s="377"/>
      <c r="BZ330" s="377"/>
      <c r="CA330" s="377"/>
      <c r="CB330" s="377"/>
      <c r="CC330" s="377"/>
      <c r="CD330" s="377"/>
      <c r="CE330" s="377"/>
      <c r="CF330" s="377"/>
      <c r="CG330" s="377"/>
      <c r="CH330" s="377"/>
      <c r="CI330" s="377"/>
    </row>
    <row r="331" spans="1:87" ht="15">
      <c r="A331" s="377"/>
      <c r="B331" s="377"/>
      <c r="C331" s="572"/>
      <c r="D331" s="377"/>
      <c r="E331" s="377"/>
      <c r="F331" s="377"/>
      <c r="G331" s="377"/>
      <c r="H331" s="573"/>
      <c r="I331" s="377"/>
      <c r="J331" s="377"/>
      <c r="K331" s="377"/>
      <c r="L331" s="377"/>
      <c r="M331" s="377"/>
      <c r="N331" s="377"/>
      <c r="O331" s="377"/>
      <c r="P331" s="377"/>
      <c r="Q331" s="377"/>
      <c r="R331" s="377"/>
      <c r="S331" s="377"/>
      <c r="T331" s="377"/>
      <c r="U331" s="377"/>
      <c r="V331" s="377"/>
      <c r="W331" s="377"/>
      <c r="X331" s="574"/>
      <c r="Y331" s="377"/>
      <c r="Z331" s="377"/>
      <c r="AA331" s="377"/>
      <c r="AB331" s="377"/>
      <c r="AC331" s="377"/>
      <c r="AD331" s="377"/>
      <c r="AE331" s="377"/>
      <c r="AF331" s="377"/>
      <c r="AG331" s="377"/>
      <c r="AH331" s="377"/>
      <c r="AI331" s="377"/>
      <c r="AJ331" s="377"/>
      <c r="AK331" s="377"/>
      <c r="AL331" s="574"/>
      <c r="AM331" s="377"/>
      <c r="AN331" s="377"/>
      <c r="AO331" s="377"/>
      <c r="AP331" s="377"/>
      <c r="AQ331" s="377"/>
      <c r="AR331" s="377"/>
      <c r="AS331" s="377"/>
      <c r="AT331" s="377"/>
      <c r="AU331" s="377"/>
      <c r="AV331" s="377"/>
      <c r="AW331" s="575"/>
      <c r="AX331" s="377"/>
      <c r="AY331" s="377"/>
      <c r="AZ331" s="377"/>
      <c r="BA331" s="377"/>
      <c r="BB331" s="377"/>
      <c r="BC331" s="377"/>
      <c r="BD331" s="377"/>
      <c r="BE331" s="377"/>
      <c r="BF331" s="377"/>
      <c r="BG331" s="377"/>
      <c r="BH331" s="377"/>
      <c r="BI331" s="377"/>
      <c r="BJ331" s="377"/>
      <c r="BK331" s="377"/>
      <c r="BL331" s="377"/>
      <c r="BM331" s="377"/>
      <c r="BN331" s="576"/>
      <c r="BO331" s="377"/>
      <c r="BP331" s="377"/>
      <c r="BQ331" s="377"/>
      <c r="BR331" s="377"/>
      <c r="BS331" s="377"/>
      <c r="BT331" s="377"/>
      <c r="BU331" s="377"/>
      <c r="BV331" s="377"/>
      <c r="BW331" s="377"/>
      <c r="BX331" s="377"/>
      <c r="BY331" s="377"/>
      <c r="BZ331" s="377"/>
      <c r="CA331" s="377"/>
      <c r="CB331" s="377"/>
      <c r="CC331" s="377"/>
      <c r="CD331" s="377"/>
      <c r="CE331" s="377"/>
      <c r="CF331" s="377"/>
      <c r="CG331" s="377"/>
      <c r="CH331" s="377"/>
      <c r="CI331" s="377"/>
    </row>
    <row r="332" spans="1:87" ht="15">
      <c r="A332" s="377"/>
      <c r="B332" s="377"/>
      <c r="C332" s="572"/>
      <c r="D332" s="377"/>
      <c r="E332" s="377"/>
      <c r="F332" s="377"/>
      <c r="G332" s="377"/>
      <c r="H332" s="573"/>
      <c r="I332" s="377"/>
      <c r="J332" s="377"/>
      <c r="K332" s="377"/>
      <c r="L332" s="377"/>
      <c r="M332" s="377"/>
      <c r="N332" s="377"/>
      <c r="O332" s="377"/>
      <c r="P332" s="377"/>
      <c r="Q332" s="377"/>
      <c r="R332" s="377"/>
      <c r="S332" s="377"/>
      <c r="T332" s="377"/>
      <c r="U332" s="377"/>
      <c r="V332" s="377"/>
      <c r="W332" s="377"/>
      <c r="X332" s="574"/>
      <c r="Y332" s="377"/>
      <c r="Z332" s="377"/>
      <c r="AA332" s="377"/>
      <c r="AB332" s="377"/>
      <c r="AC332" s="377"/>
      <c r="AD332" s="377"/>
      <c r="AE332" s="377"/>
      <c r="AF332" s="377"/>
      <c r="AG332" s="377"/>
      <c r="AH332" s="377"/>
      <c r="AI332" s="377"/>
      <c r="AJ332" s="377"/>
      <c r="AK332" s="377"/>
      <c r="AL332" s="574"/>
      <c r="AM332" s="377"/>
      <c r="AN332" s="377"/>
      <c r="AO332" s="377"/>
      <c r="AP332" s="377"/>
      <c r="AQ332" s="377"/>
      <c r="AR332" s="377"/>
      <c r="AS332" s="377"/>
      <c r="AT332" s="377"/>
      <c r="AU332" s="377"/>
      <c r="AV332" s="377"/>
      <c r="AW332" s="575"/>
      <c r="AX332" s="377"/>
      <c r="AY332" s="377"/>
      <c r="AZ332" s="377"/>
      <c r="BA332" s="377"/>
      <c r="BB332" s="377"/>
      <c r="BC332" s="377"/>
      <c r="BD332" s="377"/>
      <c r="BE332" s="377"/>
      <c r="BF332" s="377"/>
      <c r="BG332" s="377"/>
      <c r="BH332" s="377"/>
      <c r="BI332" s="377"/>
      <c r="BJ332" s="377"/>
      <c r="BK332" s="377"/>
      <c r="BL332" s="377"/>
      <c r="BM332" s="377"/>
      <c r="BN332" s="576"/>
      <c r="BO332" s="377"/>
      <c r="BP332" s="377"/>
      <c r="BQ332" s="377"/>
      <c r="BR332" s="377"/>
      <c r="BS332" s="377"/>
      <c r="BT332" s="377"/>
      <c r="BU332" s="377"/>
      <c r="BV332" s="377"/>
      <c r="BW332" s="377"/>
      <c r="BX332" s="377"/>
      <c r="BY332" s="377"/>
      <c r="BZ332" s="377"/>
      <c r="CA332" s="377"/>
      <c r="CB332" s="377"/>
      <c r="CC332" s="377"/>
      <c r="CD332" s="377"/>
      <c r="CE332" s="377"/>
      <c r="CF332" s="377"/>
      <c r="CG332" s="377"/>
      <c r="CH332" s="377"/>
      <c r="CI332" s="377"/>
    </row>
    <row r="333" spans="1:87" ht="15">
      <c r="A333" s="377"/>
      <c r="B333" s="377"/>
      <c r="C333" s="572"/>
      <c r="D333" s="377"/>
      <c r="E333" s="377"/>
      <c r="F333" s="377"/>
      <c r="G333" s="377"/>
      <c r="H333" s="573"/>
      <c r="I333" s="377"/>
      <c r="J333" s="377"/>
      <c r="K333" s="377"/>
      <c r="L333" s="377"/>
      <c r="M333" s="377"/>
      <c r="N333" s="377"/>
      <c r="O333" s="377"/>
      <c r="P333" s="377"/>
      <c r="Q333" s="377"/>
      <c r="R333" s="377"/>
      <c r="S333" s="377"/>
      <c r="T333" s="377"/>
      <c r="U333" s="377"/>
      <c r="V333" s="377"/>
      <c r="W333" s="377"/>
      <c r="X333" s="574"/>
      <c r="Y333" s="377"/>
      <c r="Z333" s="377"/>
      <c r="AA333" s="377"/>
      <c r="AB333" s="377"/>
      <c r="AC333" s="377"/>
      <c r="AD333" s="377"/>
      <c r="AE333" s="377"/>
      <c r="AF333" s="377"/>
      <c r="AG333" s="377"/>
      <c r="AH333" s="377"/>
      <c r="AI333" s="377"/>
      <c r="AJ333" s="377"/>
      <c r="AK333" s="377"/>
      <c r="AL333" s="574"/>
      <c r="AM333" s="377"/>
      <c r="AN333" s="377"/>
      <c r="AO333" s="377"/>
      <c r="AP333" s="377"/>
      <c r="AQ333" s="377"/>
      <c r="AR333" s="377"/>
      <c r="AS333" s="377"/>
      <c r="AT333" s="377"/>
      <c r="AU333" s="377"/>
      <c r="AV333" s="377"/>
      <c r="AW333" s="575"/>
      <c r="AX333" s="377"/>
      <c r="AY333" s="377"/>
      <c r="AZ333" s="377"/>
      <c r="BA333" s="377"/>
      <c r="BB333" s="377"/>
      <c r="BC333" s="377"/>
      <c r="BD333" s="377"/>
      <c r="BE333" s="377"/>
      <c r="BF333" s="377"/>
      <c r="BG333" s="377"/>
      <c r="BH333" s="377"/>
      <c r="BI333" s="377"/>
      <c r="BJ333" s="377"/>
      <c r="BK333" s="377"/>
      <c r="BL333" s="377"/>
      <c r="BM333" s="377"/>
      <c r="BN333" s="576"/>
      <c r="BO333" s="377"/>
      <c r="BP333" s="377"/>
      <c r="BQ333" s="377"/>
      <c r="BR333" s="377"/>
      <c r="BS333" s="377"/>
      <c r="BT333" s="377"/>
      <c r="BU333" s="377"/>
      <c r="BV333" s="377"/>
      <c r="BW333" s="377"/>
      <c r="BX333" s="377"/>
      <c r="BY333" s="377"/>
      <c r="BZ333" s="377"/>
      <c r="CA333" s="377"/>
      <c r="CB333" s="377"/>
      <c r="CC333" s="377"/>
      <c r="CD333" s="377"/>
      <c r="CE333" s="377"/>
      <c r="CF333" s="377"/>
      <c r="CG333" s="377"/>
      <c r="CH333" s="377"/>
      <c r="CI333" s="377"/>
    </row>
    <row r="334" spans="1:87" ht="15">
      <c r="A334" s="377"/>
      <c r="B334" s="377"/>
      <c r="C334" s="572"/>
      <c r="D334" s="377"/>
      <c r="E334" s="377"/>
      <c r="F334" s="377"/>
      <c r="G334" s="377"/>
      <c r="H334" s="573"/>
      <c r="I334" s="377"/>
      <c r="J334" s="377"/>
      <c r="K334" s="377"/>
      <c r="L334" s="377"/>
      <c r="M334" s="377"/>
      <c r="N334" s="377"/>
      <c r="O334" s="377"/>
      <c r="P334" s="377"/>
      <c r="Q334" s="377"/>
      <c r="R334" s="377"/>
      <c r="S334" s="377"/>
      <c r="T334" s="377"/>
      <c r="U334" s="377"/>
      <c r="V334" s="377"/>
      <c r="W334" s="377"/>
      <c r="X334" s="574"/>
      <c r="Y334" s="377"/>
      <c r="Z334" s="377"/>
      <c r="AA334" s="377"/>
      <c r="AB334" s="377"/>
      <c r="AC334" s="377"/>
      <c r="AD334" s="377"/>
      <c r="AE334" s="377"/>
      <c r="AF334" s="377"/>
      <c r="AG334" s="377"/>
      <c r="AH334" s="377"/>
      <c r="AI334" s="377"/>
      <c r="AJ334" s="377"/>
      <c r="AK334" s="377"/>
      <c r="AL334" s="574"/>
      <c r="AM334" s="377"/>
      <c r="AN334" s="377"/>
      <c r="AO334" s="377"/>
      <c r="AP334" s="377"/>
      <c r="AQ334" s="377"/>
      <c r="AR334" s="377"/>
      <c r="AS334" s="377"/>
      <c r="AT334" s="377"/>
      <c r="AU334" s="377"/>
      <c r="AV334" s="377"/>
      <c r="AW334" s="575"/>
      <c r="AX334" s="377"/>
      <c r="AY334" s="377"/>
      <c r="AZ334" s="377"/>
      <c r="BA334" s="377"/>
      <c r="BB334" s="377"/>
      <c r="BC334" s="377"/>
      <c r="BD334" s="377"/>
      <c r="BE334" s="377"/>
      <c r="BF334" s="377"/>
      <c r="BG334" s="377"/>
      <c r="BH334" s="377"/>
      <c r="BI334" s="377"/>
      <c r="BJ334" s="377"/>
      <c r="BK334" s="377"/>
      <c r="BL334" s="377"/>
      <c r="BM334" s="377"/>
      <c r="BN334" s="576"/>
      <c r="BO334" s="377"/>
      <c r="BP334" s="377"/>
      <c r="BQ334" s="377"/>
      <c r="BR334" s="377"/>
      <c r="BS334" s="377"/>
      <c r="BT334" s="377"/>
      <c r="BU334" s="377"/>
      <c r="BV334" s="377"/>
      <c r="BW334" s="377"/>
      <c r="BX334" s="377"/>
      <c r="BY334" s="377"/>
      <c r="BZ334" s="377"/>
      <c r="CA334" s="377"/>
      <c r="CB334" s="377"/>
      <c r="CC334" s="377"/>
      <c r="CD334" s="377"/>
      <c r="CE334" s="377"/>
      <c r="CF334" s="377"/>
      <c r="CG334" s="377"/>
      <c r="CH334" s="377"/>
      <c r="CI334" s="377"/>
    </row>
    <row r="335" spans="1:87" ht="15">
      <c r="A335" s="377"/>
      <c r="B335" s="377"/>
      <c r="C335" s="572"/>
      <c r="D335" s="377"/>
      <c r="E335" s="377"/>
      <c r="F335" s="377"/>
      <c r="G335" s="377"/>
      <c r="H335" s="573"/>
      <c r="I335" s="377"/>
      <c r="J335" s="377"/>
      <c r="K335" s="377"/>
      <c r="L335" s="377"/>
      <c r="M335" s="377"/>
      <c r="N335" s="377"/>
      <c r="O335" s="377"/>
      <c r="P335" s="377"/>
      <c r="Q335" s="377"/>
      <c r="R335" s="377"/>
      <c r="S335" s="377"/>
      <c r="T335" s="377"/>
      <c r="U335" s="377"/>
      <c r="V335" s="377"/>
      <c r="W335" s="377"/>
      <c r="X335" s="574"/>
      <c r="Y335" s="377"/>
      <c r="Z335" s="377"/>
      <c r="AA335" s="377"/>
      <c r="AB335" s="377"/>
      <c r="AC335" s="377"/>
      <c r="AD335" s="377"/>
      <c r="AE335" s="377"/>
      <c r="AF335" s="377"/>
      <c r="AG335" s="377"/>
      <c r="AH335" s="377"/>
      <c r="AI335" s="377"/>
      <c r="AJ335" s="377"/>
      <c r="AK335" s="377"/>
      <c r="AL335" s="574"/>
      <c r="AM335" s="377"/>
      <c r="AN335" s="377"/>
      <c r="AO335" s="377"/>
      <c r="AP335" s="377"/>
      <c r="AQ335" s="377"/>
      <c r="AR335" s="377"/>
      <c r="AS335" s="377"/>
      <c r="AT335" s="377"/>
      <c r="AU335" s="377"/>
      <c r="AV335" s="377"/>
      <c r="AW335" s="575"/>
      <c r="AX335" s="377"/>
      <c r="AY335" s="377"/>
      <c r="AZ335" s="377"/>
      <c r="BA335" s="377"/>
      <c r="BB335" s="377"/>
      <c r="BC335" s="377"/>
      <c r="BD335" s="377"/>
      <c r="BE335" s="377"/>
      <c r="BF335" s="377"/>
      <c r="BG335" s="377"/>
      <c r="BH335" s="377"/>
      <c r="BI335" s="377"/>
      <c r="BJ335" s="377"/>
      <c r="BK335" s="377"/>
      <c r="BL335" s="377"/>
      <c r="BM335" s="377"/>
      <c r="BN335" s="576"/>
      <c r="BO335" s="377"/>
      <c r="BP335" s="377"/>
      <c r="BQ335" s="377"/>
      <c r="BR335" s="377"/>
      <c r="BS335" s="377"/>
      <c r="BT335" s="377"/>
      <c r="BU335" s="377"/>
      <c r="BV335" s="377"/>
      <c r="BW335" s="377"/>
      <c r="BX335" s="377"/>
      <c r="BY335" s="377"/>
      <c r="BZ335" s="377"/>
      <c r="CA335" s="377"/>
      <c r="CB335" s="377"/>
      <c r="CC335" s="377"/>
      <c r="CD335" s="377"/>
      <c r="CE335" s="377"/>
      <c r="CF335" s="377"/>
      <c r="CG335" s="377"/>
      <c r="CH335" s="377"/>
      <c r="CI335" s="377"/>
    </row>
    <row r="336" spans="1:87" ht="15">
      <c r="A336" s="377"/>
      <c r="B336" s="377"/>
      <c r="C336" s="572"/>
      <c r="D336" s="377"/>
      <c r="E336" s="377"/>
      <c r="F336" s="377"/>
      <c r="G336" s="377"/>
      <c r="H336" s="573"/>
      <c r="I336" s="377"/>
      <c r="J336" s="377"/>
      <c r="K336" s="377"/>
      <c r="L336" s="377"/>
      <c r="M336" s="377"/>
      <c r="N336" s="377"/>
      <c r="O336" s="377"/>
      <c r="P336" s="377"/>
      <c r="Q336" s="377"/>
      <c r="R336" s="377"/>
      <c r="S336" s="377"/>
      <c r="T336" s="377"/>
      <c r="U336" s="377"/>
      <c r="V336" s="377"/>
      <c r="W336" s="377"/>
      <c r="X336" s="574"/>
      <c r="Y336" s="377"/>
      <c r="Z336" s="377"/>
      <c r="AA336" s="377"/>
      <c r="AB336" s="377"/>
      <c r="AC336" s="377"/>
      <c r="AD336" s="377"/>
      <c r="AE336" s="377"/>
      <c r="AF336" s="377"/>
      <c r="AG336" s="377"/>
      <c r="AH336" s="377"/>
      <c r="AI336" s="377"/>
      <c r="AJ336" s="377"/>
      <c r="AK336" s="377"/>
      <c r="AL336" s="574"/>
      <c r="AM336" s="377"/>
      <c r="AN336" s="377"/>
      <c r="AO336" s="377"/>
      <c r="AP336" s="377"/>
      <c r="AQ336" s="377"/>
      <c r="AR336" s="377"/>
      <c r="AS336" s="377"/>
      <c r="AT336" s="377"/>
      <c r="AU336" s="377"/>
      <c r="AV336" s="377"/>
      <c r="AW336" s="575"/>
      <c r="AX336" s="377"/>
      <c r="AY336" s="377"/>
      <c r="AZ336" s="377"/>
      <c r="BA336" s="377"/>
      <c r="BB336" s="377"/>
      <c r="BC336" s="377"/>
      <c r="BD336" s="377"/>
      <c r="BE336" s="377"/>
      <c r="BF336" s="377"/>
      <c r="BG336" s="377"/>
      <c r="BH336" s="377"/>
      <c r="BI336" s="377"/>
      <c r="BJ336" s="377"/>
      <c r="BK336" s="377"/>
      <c r="BL336" s="377"/>
      <c r="BM336" s="377"/>
      <c r="BN336" s="576"/>
      <c r="BO336" s="377"/>
      <c r="BP336" s="377"/>
      <c r="BQ336" s="377"/>
      <c r="BR336" s="377"/>
      <c r="BS336" s="377"/>
      <c r="BT336" s="377"/>
      <c r="BU336" s="377"/>
      <c r="BV336" s="377"/>
      <c r="BW336" s="377"/>
      <c r="BX336" s="377"/>
      <c r="BY336" s="377"/>
      <c r="BZ336" s="377"/>
      <c r="CA336" s="377"/>
      <c r="CB336" s="377"/>
      <c r="CC336" s="377"/>
      <c r="CD336" s="377"/>
      <c r="CE336" s="377"/>
      <c r="CF336" s="377"/>
      <c r="CG336" s="377"/>
      <c r="CH336" s="377"/>
      <c r="CI336" s="377"/>
    </row>
    <row r="337" spans="1:87" ht="15">
      <c r="A337" s="377"/>
      <c r="B337" s="377"/>
      <c r="C337" s="572"/>
      <c r="D337" s="377"/>
      <c r="E337" s="377"/>
      <c r="F337" s="377"/>
      <c r="G337" s="377"/>
      <c r="H337" s="573"/>
      <c r="I337" s="377"/>
      <c r="J337" s="377"/>
      <c r="K337" s="377"/>
      <c r="L337" s="377"/>
      <c r="M337" s="377"/>
      <c r="N337" s="377"/>
      <c r="O337" s="377"/>
      <c r="P337" s="377"/>
      <c r="Q337" s="377"/>
      <c r="R337" s="377"/>
      <c r="S337" s="377"/>
      <c r="T337" s="377"/>
      <c r="U337" s="377"/>
      <c r="V337" s="377"/>
      <c r="W337" s="377"/>
      <c r="X337" s="574"/>
      <c r="Y337" s="377"/>
      <c r="Z337" s="377"/>
      <c r="AA337" s="377"/>
      <c r="AB337" s="377"/>
      <c r="AC337" s="377"/>
      <c r="AD337" s="377"/>
      <c r="AE337" s="377"/>
      <c r="AF337" s="377"/>
      <c r="AG337" s="377"/>
      <c r="AH337" s="377"/>
      <c r="AI337" s="377"/>
      <c r="AJ337" s="377"/>
      <c r="AK337" s="377"/>
      <c r="AL337" s="574"/>
      <c r="AM337" s="377"/>
      <c r="AN337" s="377"/>
      <c r="AO337" s="377"/>
      <c r="AP337" s="377"/>
      <c r="AQ337" s="377"/>
      <c r="AR337" s="377"/>
      <c r="AS337" s="377"/>
      <c r="AT337" s="377"/>
      <c r="AU337" s="377"/>
      <c r="AV337" s="377"/>
      <c r="AW337" s="575"/>
      <c r="AX337" s="377"/>
      <c r="AY337" s="377"/>
      <c r="AZ337" s="377"/>
      <c r="BA337" s="377"/>
      <c r="BB337" s="377"/>
      <c r="BC337" s="377"/>
      <c r="BD337" s="377"/>
      <c r="BE337" s="377"/>
      <c r="BF337" s="377"/>
      <c r="BG337" s="377"/>
      <c r="BH337" s="377"/>
      <c r="BI337" s="377"/>
      <c r="BJ337" s="377"/>
      <c r="BK337" s="377"/>
      <c r="BL337" s="377"/>
      <c r="BM337" s="377"/>
      <c r="BN337" s="576"/>
      <c r="BO337" s="377"/>
      <c r="BP337" s="377"/>
      <c r="BQ337" s="377"/>
      <c r="BR337" s="377"/>
      <c r="BS337" s="377"/>
      <c r="BT337" s="377"/>
      <c r="BU337" s="377"/>
      <c r="BV337" s="377"/>
      <c r="BW337" s="377"/>
      <c r="BX337" s="377"/>
      <c r="BY337" s="377"/>
      <c r="BZ337" s="377"/>
      <c r="CA337" s="377"/>
      <c r="CB337" s="377"/>
      <c r="CC337" s="377"/>
      <c r="CD337" s="377"/>
      <c r="CE337" s="377"/>
      <c r="CF337" s="377"/>
      <c r="CG337" s="377"/>
      <c r="CH337" s="377"/>
      <c r="CI337" s="377"/>
    </row>
    <row r="338" spans="1:87" ht="15">
      <c r="A338" s="377"/>
      <c r="B338" s="377"/>
      <c r="C338" s="572"/>
      <c r="D338" s="377"/>
      <c r="E338" s="377"/>
      <c r="F338" s="377"/>
      <c r="G338" s="377"/>
      <c r="H338" s="573"/>
      <c r="I338" s="377"/>
      <c r="J338" s="377"/>
      <c r="K338" s="377"/>
      <c r="L338" s="377"/>
      <c r="M338" s="377"/>
      <c r="N338" s="377"/>
      <c r="O338" s="377"/>
      <c r="P338" s="377"/>
      <c r="Q338" s="377"/>
      <c r="R338" s="377"/>
      <c r="S338" s="377"/>
      <c r="T338" s="377"/>
      <c r="U338" s="377"/>
      <c r="V338" s="377"/>
      <c r="W338" s="377"/>
      <c r="X338" s="574"/>
      <c r="Y338" s="377"/>
      <c r="Z338" s="377"/>
      <c r="AA338" s="377"/>
      <c r="AB338" s="377"/>
      <c r="AC338" s="377"/>
      <c r="AD338" s="377"/>
      <c r="AE338" s="377"/>
      <c r="AF338" s="377"/>
      <c r="AG338" s="377"/>
      <c r="AH338" s="377"/>
      <c r="AI338" s="377"/>
      <c r="AJ338" s="377"/>
      <c r="AK338" s="377"/>
      <c r="AL338" s="574"/>
      <c r="AM338" s="377"/>
      <c r="AN338" s="377"/>
      <c r="AO338" s="377"/>
      <c r="AP338" s="377"/>
      <c r="AQ338" s="377"/>
      <c r="AR338" s="377"/>
      <c r="AS338" s="377"/>
      <c r="AT338" s="377"/>
      <c r="AU338" s="377"/>
      <c r="AV338" s="377"/>
      <c r="AW338" s="575"/>
      <c r="AX338" s="377"/>
      <c r="AY338" s="377"/>
      <c r="AZ338" s="377"/>
      <c r="BA338" s="377"/>
      <c r="BB338" s="377"/>
      <c r="BC338" s="377"/>
      <c r="BD338" s="377"/>
      <c r="BE338" s="377"/>
      <c r="BF338" s="377"/>
      <c r="BG338" s="377"/>
      <c r="BH338" s="377"/>
      <c r="BI338" s="377"/>
      <c r="BJ338" s="377"/>
      <c r="BK338" s="377"/>
      <c r="BL338" s="377"/>
      <c r="BM338" s="377"/>
      <c r="BN338" s="576"/>
      <c r="BO338" s="377"/>
      <c r="BP338" s="377"/>
      <c r="BQ338" s="377"/>
      <c r="BR338" s="377"/>
      <c r="BS338" s="377"/>
      <c r="BT338" s="377"/>
      <c r="BU338" s="377"/>
      <c r="BV338" s="377"/>
      <c r="BW338" s="377"/>
      <c r="BX338" s="377"/>
      <c r="BY338" s="377"/>
      <c r="BZ338" s="377"/>
      <c r="CA338" s="377"/>
      <c r="CB338" s="377"/>
      <c r="CC338" s="377"/>
      <c r="CD338" s="377"/>
      <c r="CE338" s="377"/>
      <c r="CF338" s="377"/>
      <c r="CG338" s="377"/>
      <c r="CH338" s="377"/>
      <c r="CI338" s="377"/>
    </row>
    <row r="339" spans="1:87" ht="15">
      <c r="A339" s="377"/>
      <c r="B339" s="377"/>
      <c r="C339" s="572"/>
      <c r="D339" s="377"/>
      <c r="E339" s="377"/>
      <c r="F339" s="377"/>
      <c r="G339" s="377"/>
      <c r="H339" s="573"/>
      <c r="I339" s="377"/>
      <c r="J339" s="377"/>
      <c r="K339" s="377"/>
      <c r="L339" s="377"/>
      <c r="M339" s="377"/>
      <c r="N339" s="377"/>
      <c r="O339" s="377"/>
      <c r="P339" s="377"/>
      <c r="Q339" s="377"/>
      <c r="R339" s="377"/>
      <c r="S339" s="377"/>
      <c r="T339" s="377"/>
      <c r="U339" s="377"/>
      <c r="V339" s="377"/>
      <c r="W339" s="377"/>
      <c r="X339" s="574"/>
      <c r="Y339" s="377"/>
      <c r="Z339" s="377"/>
      <c r="AA339" s="377"/>
      <c r="AB339" s="377"/>
      <c r="AC339" s="377"/>
      <c r="AD339" s="377"/>
      <c r="AE339" s="377"/>
      <c r="AF339" s="377"/>
      <c r="AG339" s="377"/>
      <c r="AH339" s="377"/>
      <c r="AI339" s="377"/>
      <c r="AJ339" s="377"/>
      <c r="AK339" s="377"/>
      <c r="AL339" s="574"/>
      <c r="AM339" s="377"/>
      <c r="AN339" s="377"/>
      <c r="AO339" s="377"/>
      <c r="AP339" s="377"/>
      <c r="AQ339" s="377"/>
      <c r="AR339" s="377"/>
      <c r="AS339" s="377"/>
      <c r="AT339" s="377"/>
      <c r="AU339" s="377"/>
      <c r="AV339" s="377"/>
      <c r="AW339" s="575"/>
      <c r="AX339" s="377"/>
      <c r="AY339" s="377"/>
      <c r="AZ339" s="377"/>
      <c r="BA339" s="377"/>
      <c r="BB339" s="377"/>
      <c r="BC339" s="377"/>
      <c r="BD339" s="377"/>
      <c r="BE339" s="377"/>
      <c r="BF339" s="377"/>
      <c r="BG339" s="377"/>
      <c r="BH339" s="377"/>
      <c r="BI339" s="377"/>
      <c r="BJ339" s="377"/>
      <c r="BK339" s="377"/>
      <c r="BL339" s="377"/>
      <c r="BM339" s="377"/>
      <c r="BN339" s="576"/>
      <c r="BO339" s="377"/>
      <c r="BP339" s="377"/>
      <c r="BQ339" s="377"/>
      <c r="BR339" s="377"/>
      <c r="BS339" s="377"/>
      <c r="BT339" s="377"/>
      <c r="BU339" s="377"/>
      <c r="BV339" s="377"/>
      <c r="BW339" s="377"/>
      <c r="BX339" s="377"/>
      <c r="BY339" s="377"/>
      <c r="BZ339" s="377"/>
      <c r="CA339" s="377"/>
      <c r="CB339" s="377"/>
      <c r="CC339" s="377"/>
      <c r="CD339" s="377"/>
      <c r="CE339" s="377"/>
      <c r="CF339" s="377"/>
      <c r="CG339" s="377"/>
      <c r="CH339" s="377"/>
      <c r="CI339" s="377"/>
    </row>
    <row r="340" spans="1:87" ht="15">
      <c r="A340" s="377"/>
      <c r="B340" s="377"/>
      <c r="C340" s="572"/>
      <c r="D340" s="377"/>
      <c r="E340" s="377"/>
      <c r="F340" s="377"/>
      <c r="G340" s="377"/>
      <c r="H340" s="573"/>
      <c r="I340" s="377"/>
      <c r="J340" s="377"/>
      <c r="K340" s="377"/>
      <c r="L340" s="377"/>
      <c r="M340" s="377"/>
      <c r="N340" s="377"/>
      <c r="O340" s="377"/>
      <c r="P340" s="377"/>
      <c r="Q340" s="377"/>
      <c r="R340" s="377"/>
      <c r="S340" s="377"/>
      <c r="T340" s="377"/>
      <c r="U340" s="377"/>
      <c r="V340" s="377"/>
      <c r="W340" s="377"/>
      <c r="X340" s="574"/>
      <c r="Y340" s="377"/>
      <c r="Z340" s="377"/>
      <c r="AA340" s="377"/>
      <c r="AB340" s="377"/>
      <c r="AC340" s="377"/>
      <c r="AD340" s="377"/>
      <c r="AE340" s="377"/>
      <c r="AF340" s="377"/>
      <c r="AG340" s="377"/>
      <c r="AH340" s="377"/>
      <c r="AI340" s="377"/>
      <c r="AJ340" s="377"/>
      <c r="AK340" s="377"/>
      <c r="AL340" s="574"/>
      <c r="AM340" s="377"/>
      <c r="AN340" s="377"/>
      <c r="AO340" s="377"/>
      <c r="AP340" s="377"/>
      <c r="AQ340" s="377"/>
      <c r="AR340" s="377"/>
      <c r="AS340" s="377"/>
      <c r="AT340" s="377"/>
      <c r="AU340" s="377"/>
      <c r="AV340" s="377"/>
      <c r="AW340" s="575"/>
      <c r="AX340" s="377"/>
      <c r="AY340" s="377"/>
      <c r="AZ340" s="377"/>
      <c r="BA340" s="377"/>
      <c r="BB340" s="377"/>
      <c r="BC340" s="377"/>
      <c r="BD340" s="377"/>
      <c r="BE340" s="377"/>
      <c r="BF340" s="377"/>
      <c r="BG340" s="377"/>
      <c r="BH340" s="377"/>
      <c r="BI340" s="377"/>
      <c r="BJ340" s="377"/>
      <c r="BK340" s="377"/>
      <c r="BL340" s="377"/>
      <c r="BM340" s="377"/>
      <c r="BN340" s="576"/>
      <c r="BO340" s="377"/>
      <c r="BP340" s="377"/>
      <c r="BQ340" s="377"/>
      <c r="BR340" s="377"/>
      <c r="BS340" s="377"/>
      <c r="BT340" s="377"/>
      <c r="BU340" s="377"/>
      <c r="BV340" s="377"/>
      <c r="BW340" s="377"/>
      <c r="BX340" s="377"/>
      <c r="BY340" s="377"/>
      <c r="BZ340" s="377"/>
      <c r="CA340" s="377"/>
      <c r="CB340" s="377"/>
      <c r="CC340" s="377"/>
      <c r="CD340" s="377"/>
      <c r="CE340" s="377"/>
      <c r="CF340" s="377"/>
      <c r="CG340" s="377"/>
      <c r="CH340" s="377"/>
      <c r="CI340" s="377"/>
    </row>
    <row r="341" spans="1:87" ht="15">
      <c r="A341" s="377"/>
      <c r="B341" s="377"/>
      <c r="C341" s="572"/>
      <c r="D341" s="377"/>
      <c r="E341" s="377"/>
      <c r="F341" s="377"/>
      <c r="G341" s="377"/>
      <c r="H341" s="573"/>
      <c r="I341" s="377"/>
      <c r="J341" s="377"/>
      <c r="K341" s="377"/>
      <c r="L341" s="377"/>
      <c r="M341" s="377"/>
      <c r="N341" s="377"/>
      <c r="O341" s="377"/>
      <c r="P341" s="377"/>
      <c r="Q341" s="377"/>
      <c r="R341" s="377"/>
      <c r="S341" s="377"/>
      <c r="T341" s="377"/>
      <c r="U341" s="377"/>
      <c r="V341" s="377"/>
      <c r="W341" s="377"/>
      <c r="X341" s="574"/>
      <c r="Y341" s="377"/>
      <c r="Z341" s="377"/>
      <c r="AA341" s="377"/>
      <c r="AB341" s="377"/>
      <c r="AC341" s="377"/>
      <c r="AD341" s="377"/>
      <c r="AE341" s="377"/>
      <c r="AF341" s="377"/>
      <c r="AG341" s="377"/>
      <c r="AH341" s="377"/>
      <c r="AI341" s="377"/>
      <c r="AJ341" s="377"/>
      <c r="AK341" s="377"/>
      <c r="AL341" s="574"/>
      <c r="AM341" s="377"/>
      <c r="AN341" s="377"/>
      <c r="AO341" s="377"/>
      <c r="AP341" s="377"/>
      <c r="AQ341" s="377"/>
      <c r="AR341" s="377"/>
      <c r="AS341" s="377"/>
      <c r="AT341" s="377"/>
      <c r="AU341" s="377"/>
      <c r="AV341" s="377"/>
      <c r="AW341" s="575"/>
      <c r="AX341" s="377"/>
      <c r="AY341" s="377"/>
      <c r="AZ341" s="377"/>
      <c r="BA341" s="377"/>
      <c r="BB341" s="377"/>
      <c r="BC341" s="377"/>
      <c r="BD341" s="377"/>
      <c r="BE341" s="377"/>
      <c r="BF341" s="377"/>
      <c r="BG341" s="377"/>
      <c r="BH341" s="377"/>
      <c r="BI341" s="377"/>
      <c r="BJ341" s="377"/>
      <c r="BK341" s="377"/>
      <c r="BL341" s="377"/>
      <c r="BM341" s="377"/>
      <c r="BN341" s="576"/>
      <c r="BO341" s="377"/>
      <c r="BP341" s="377"/>
      <c r="BQ341" s="377"/>
      <c r="BR341" s="377"/>
      <c r="BS341" s="377"/>
      <c r="BT341" s="377"/>
      <c r="BU341" s="377"/>
      <c r="BV341" s="377"/>
      <c r="BW341" s="377"/>
      <c r="BX341" s="377"/>
      <c r="BY341" s="377"/>
      <c r="BZ341" s="377"/>
      <c r="CA341" s="377"/>
      <c r="CB341" s="377"/>
      <c r="CC341" s="377"/>
      <c r="CD341" s="377"/>
      <c r="CE341" s="377"/>
      <c r="CF341" s="377"/>
      <c r="CG341" s="377"/>
      <c r="CH341" s="377"/>
      <c r="CI341" s="377"/>
    </row>
    <row r="342" spans="1:87" ht="15">
      <c r="A342" s="377"/>
      <c r="B342" s="377"/>
      <c r="C342" s="572"/>
      <c r="D342" s="377"/>
      <c r="E342" s="377"/>
      <c r="F342" s="377"/>
      <c r="G342" s="377"/>
      <c r="H342" s="573"/>
      <c r="I342" s="377"/>
      <c r="J342" s="377"/>
      <c r="K342" s="377"/>
      <c r="L342" s="377"/>
      <c r="M342" s="377"/>
      <c r="N342" s="377"/>
      <c r="O342" s="377"/>
      <c r="P342" s="377"/>
      <c r="Q342" s="377"/>
      <c r="R342" s="377"/>
      <c r="S342" s="377"/>
      <c r="T342" s="377"/>
      <c r="U342" s="377"/>
      <c r="V342" s="377"/>
      <c r="W342" s="377"/>
      <c r="X342" s="574"/>
      <c r="Y342" s="377"/>
      <c r="Z342" s="377"/>
      <c r="AA342" s="377"/>
      <c r="AB342" s="377"/>
      <c r="AC342" s="377"/>
      <c r="AD342" s="377"/>
      <c r="AE342" s="377"/>
      <c r="AF342" s="377"/>
      <c r="AG342" s="377"/>
      <c r="AH342" s="377"/>
      <c r="AI342" s="377"/>
      <c r="AJ342" s="377"/>
      <c r="AK342" s="377"/>
      <c r="AL342" s="574"/>
      <c r="AM342" s="377"/>
      <c r="AN342" s="377"/>
      <c r="AO342" s="377"/>
      <c r="AP342" s="377"/>
      <c r="AQ342" s="377"/>
      <c r="AR342" s="377"/>
      <c r="AS342" s="377"/>
      <c r="AT342" s="377"/>
      <c r="AU342" s="377"/>
      <c r="AV342" s="377"/>
      <c r="AW342" s="575"/>
      <c r="AX342" s="377"/>
      <c r="AY342" s="377"/>
      <c r="AZ342" s="377"/>
      <c r="BA342" s="377"/>
      <c r="BB342" s="377"/>
      <c r="BC342" s="377"/>
      <c r="BD342" s="377"/>
      <c r="BE342" s="377"/>
      <c r="BF342" s="377"/>
      <c r="BG342" s="377"/>
      <c r="BH342" s="377"/>
      <c r="BI342" s="377"/>
      <c r="BJ342" s="377"/>
      <c r="BK342" s="377"/>
      <c r="BL342" s="377"/>
      <c r="BM342" s="377"/>
      <c r="BN342" s="576"/>
      <c r="BO342" s="377"/>
      <c r="BP342" s="377"/>
      <c r="BQ342" s="377"/>
      <c r="BR342" s="377"/>
      <c r="BS342" s="377"/>
      <c r="BT342" s="377"/>
      <c r="BU342" s="377"/>
      <c r="BV342" s="377"/>
      <c r="BW342" s="377"/>
      <c r="BX342" s="377"/>
      <c r="BY342" s="377"/>
      <c r="BZ342" s="377"/>
      <c r="CA342" s="377"/>
      <c r="CB342" s="377"/>
      <c r="CC342" s="377"/>
      <c r="CD342" s="377"/>
      <c r="CE342" s="377"/>
      <c r="CF342" s="377"/>
      <c r="CG342" s="377"/>
      <c r="CH342" s="377"/>
      <c r="CI342" s="377"/>
    </row>
    <row r="343" spans="1:87" ht="15">
      <c r="A343" s="377"/>
      <c r="B343" s="377"/>
      <c r="C343" s="572"/>
      <c r="D343" s="377"/>
      <c r="E343" s="377"/>
      <c r="F343" s="377"/>
      <c r="G343" s="377"/>
      <c r="H343" s="573"/>
      <c r="I343" s="377"/>
      <c r="J343" s="377"/>
      <c r="K343" s="377"/>
      <c r="L343" s="377"/>
      <c r="M343" s="377"/>
      <c r="N343" s="377"/>
      <c r="O343" s="377"/>
      <c r="P343" s="377"/>
      <c r="Q343" s="377"/>
      <c r="R343" s="377"/>
      <c r="S343" s="377"/>
      <c r="T343" s="377"/>
      <c r="U343" s="377"/>
      <c r="V343" s="377"/>
      <c r="W343" s="377"/>
      <c r="X343" s="574"/>
      <c r="Y343" s="377"/>
      <c r="Z343" s="377"/>
      <c r="AA343" s="377"/>
      <c r="AB343" s="377"/>
      <c r="AC343" s="377"/>
      <c r="AD343" s="377"/>
      <c r="AE343" s="377"/>
      <c r="AF343" s="377"/>
      <c r="AG343" s="377"/>
      <c r="AH343" s="377"/>
      <c r="AI343" s="377"/>
      <c r="AJ343" s="377"/>
      <c r="AK343" s="377"/>
      <c r="AL343" s="574"/>
      <c r="AM343" s="377"/>
      <c r="AN343" s="377"/>
      <c r="AO343" s="377"/>
      <c r="AP343" s="377"/>
      <c r="AQ343" s="377"/>
      <c r="AR343" s="377"/>
      <c r="AS343" s="377"/>
      <c r="AT343" s="377"/>
      <c r="AU343" s="377"/>
      <c r="AV343" s="377"/>
      <c r="AW343" s="575"/>
      <c r="AX343" s="377"/>
      <c r="AY343" s="377"/>
      <c r="AZ343" s="377"/>
      <c r="BA343" s="377"/>
      <c r="BB343" s="377"/>
      <c r="BC343" s="377"/>
      <c r="BD343" s="377"/>
      <c r="BE343" s="377"/>
      <c r="BF343" s="377"/>
      <c r="BG343" s="377"/>
      <c r="BH343" s="377"/>
      <c r="BI343" s="377"/>
      <c r="BJ343" s="377"/>
      <c r="BK343" s="377"/>
      <c r="BL343" s="377"/>
      <c r="BM343" s="377"/>
      <c r="BN343" s="576"/>
      <c r="BO343" s="377"/>
      <c r="BP343" s="377"/>
      <c r="BQ343" s="377"/>
      <c r="BR343" s="377"/>
      <c r="BS343" s="377"/>
      <c r="BT343" s="377"/>
      <c r="BU343" s="377"/>
      <c r="BV343" s="377"/>
      <c r="BW343" s="377"/>
      <c r="BX343" s="377"/>
      <c r="BY343" s="377"/>
      <c r="BZ343" s="377"/>
      <c r="CA343" s="377"/>
      <c r="CB343" s="377"/>
      <c r="CC343" s="377"/>
      <c r="CD343" s="377"/>
      <c r="CE343" s="377"/>
      <c r="CF343" s="377"/>
      <c r="CG343" s="377"/>
      <c r="CH343" s="377"/>
      <c r="CI343" s="377"/>
    </row>
    <row r="344" spans="1:87" ht="15">
      <c r="A344" s="377"/>
      <c r="B344" s="377"/>
      <c r="C344" s="572"/>
      <c r="D344" s="377"/>
      <c r="E344" s="377"/>
      <c r="F344" s="377"/>
      <c r="G344" s="377"/>
      <c r="H344" s="573"/>
      <c r="I344" s="377"/>
      <c r="J344" s="377"/>
      <c r="K344" s="377"/>
      <c r="L344" s="377"/>
      <c r="M344" s="377"/>
      <c r="N344" s="377"/>
      <c r="O344" s="377"/>
      <c r="P344" s="377"/>
      <c r="Q344" s="377"/>
      <c r="R344" s="377"/>
      <c r="S344" s="377"/>
      <c r="T344" s="377"/>
      <c r="U344" s="377"/>
      <c r="V344" s="377"/>
      <c r="W344" s="377"/>
      <c r="X344" s="574"/>
      <c r="Y344" s="377"/>
      <c r="Z344" s="377"/>
      <c r="AA344" s="377"/>
      <c r="AB344" s="377"/>
      <c r="AC344" s="377"/>
      <c r="AD344" s="377"/>
      <c r="AE344" s="377"/>
      <c r="AF344" s="377"/>
      <c r="AG344" s="377"/>
      <c r="AH344" s="377"/>
      <c r="AI344" s="377"/>
      <c r="AJ344" s="377"/>
      <c r="AK344" s="377"/>
      <c r="AL344" s="574"/>
      <c r="AM344" s="377"/>
      <c r="AN344" s="377"/>
      <c r="AO344" s="377"/>
      <c r="AP344" s="377"/>
      <c r="AQ344" s="377"/>
      <c r="AR344" s="377"/>
      <c r="AS344" s="377"/>
      <c r="AT344" s="377"/>
      <c r="AU344" s="377"/>
      <c r="AV344" s="377"/>
      <c r="AW344" s="575"/>
      <c r="AX344" s="377"/>
      <c r="AY344" s="377"/>
      <c r="AZ344" s="377"/>
      <c r="BA344" s="377"/>
      <c r="BB344" s="377"/>
      <c r="BC344" s="377"/>
      <c r="BD344" s="377"/>
      <c r="BE344" s="377"/>
      <c r="BF344" s="377"/>
      <c r="BG344" s="377"/>
      <c r="BH344" s="377"/>
      <c r="BI344" s="377"/>
      <c r="BJ344" s="377"/>
      <c r="BK344" s="377"/>
      <c r="BL344" s="377"/>
      <c r="BM344" s="377"/>
      <c r="BN344" s="576"/>
      <c r="BO344" s="377"/>
      <c r="BP344" s="377"/>
      <c r="BQ344" s="377"/>
      <c r="BR344" s="377"/>
      <c r="BS344" s="377"/>
      <c r="BT344" s="377"/>
      <c r="BU344" s="377"/>
      <c r="BV344" s="377"/>
      <c r="BW344" s="377"/>
      <c r="BX344" s="377"/>
      <c r="BY344" s="377"/>
      <c r="BZ344" s="377"/>
      <c r="CA344" s="377"/>
      <c r="CB344" s="377"/>
      <c r="CC344" s="377"/>
      <c r="CD344" s="377"/>
      <c r="CE344" s="377"/>
      <c r="CF344" s="377"/>
      <c r="CG344" s="377"/>
      <c r="CH344" s="377"/>
      <c r="CI344" s="377"/>
    </row>
    <row r="345" spans="1:87" ht="15">
      <c r="A345" s="377"/>
      <c r="B345" s="377"/>
      <c r="C345" s="572"/>
      <c r="D345" s="377"/>
      <c r="E345" s="377"/>
      <c r="F345" s="377"/>
      <c r="G345" s="377"/>
      <c r="H345" s="573"/>
      <c r="I345" s="377"/>
      <c r="J345" s="377"/>
      <c r="K345" s="377"/>
      <c r="L345" s="377"/>
      <c r="M345" s="377"/>
      <c r="N345" s="377"/>
      <c r="O345" s="377"/>
      <c r="P345" s="377"/>
      <c r="Q345" s="377"/>
      <c r="R345" s="377"/>
      <c r="S345" s="377"/>
      <c r="T345" s="377"/>
      <c r="U345" s="377"/>
      <c r="V345" s="377"/>
      <c r="W345" s="377"/>
      <c r="X345" s="574"/>
      <c r="Y345" s="377"/>
      <c r="Z345" s="377"/>
      <c r="AA345" s="377"/>
      <c r="AB345" s="377"/>
      <c r="AC345" s="377"/>
      <c r="AD345" s="377"/>
      <c r="AE345" s="377"/>
      <c r="AF345" s="377"/>
      <c r="AG345" s="377"/>
      <c r="AH345" s="377"/>
      <c r="AI345" s="377"/>
      <c r="AJ345" s="377"/>
      <c r="AK345" s="377"/>
      <c r="AL345" s="574"/>
      <c r="AM345" s="377"/>
      <c r="AN345" s="377"/>
      <c r="AO345" s="377"/>
      <c r="AP345" s="377"/>
      <c r="AQ345" s="377"/>
      <c r="AR345" s="377"/>
      <c r="AS345" s="377"/>
      <c r="AT345" s="377"/>
      <c r="AU345" s="377"/>
      <c r="AV345" s="377"/>
      <c r="AW345" s="575"/>
      <c r="AX345" s="377"/>
      <c r="AY345" s="377"/>
      <c r="AZ345" s="377"/>
      <c r="BA345" s="377"/>
      <c r="BB345" s="377"/>
      <c r="BC345" s="377"/>
      <c r="BD345" s="377"/>
      <c r="BE345" s="377"/>
      <c r="BF345" s="377"/>
      <c r="BG345" s="377"/>
      <c r="BH345" s="377"/>
      <c r="BI345" s="377"/>
      <c r="BJ345" s="377"/>
      <c r="BK345" s="377"/>
      <c r="BL345" s="377"/>
      <c r="BM345" s="377"/>
      <c r="BN345" s="576"/>
      <c r="BO345" s="377"/>
      <c r="BP345" s="377"/>
      <c r="BQ345" s="377"/>
      <c r="BR345" s="377"/>
      <c r="BS345" s="377"/>
      <c r="BT345" s="377"/>
      <c r="BU345" s="377"/>
      <c r="BV345" s="377"/>
      <c r="BW345" s="377"/>
      <c r="BX345" s="377"/>
      <c r="BY345" s="377"/>
      <c r="BZ345" s="377"/>
      <c r="CA345" s="377"/>
      <c r="CB345" s="377"/>
      <c r="CC345" s="377"/>
      <c r="CD345" s="377"/>
      <c r="CE345" s="377"/>
      <c r="CF345" s="377"/>
      <c r="CG345" s="377"/>
      <c r="CH345" s="377"/>
      <c r="CI345" s="377"/>
    </row>
    <row r="346" spans="1:87" ht="15">
      <c r="A346" s="377"/>
      <c r="B346" s="377"/>
      <c r="C346" s="572"/>
      <c r="D346" s="377"/>
      <c r="E346" s="377"/>
      <c r="F346" s="377"/>
      <c r="G346" s="377"/>
      <c r="H346" s="573"/>
      <c r="I346" s="377"/>
      <c r="J346" s="377"/>
      <c r="K346" s="377"/>
      <c r="L346" s="377"/>
      <c r="M346" s="377"/>
      <c r="N346" s="377"/>
      <c r="O346" s="377"/>
      <c r="P346" s="377"/>
      <c r="Q346" s="377"/>
      <c r="R346" s="377"/>
      <c r="S346" s="377"/>
      <c r="T346" s="377"/>
      <c r="U346" s="377"/>
      <c r="V346" s="377"/>
      <c r="W346" s="377"/>
      <c r="X346" s="574"/>
      <c r="Y346" s="377"/>
      <c r="Z346" s="377"/>
      <c r="AA346" s="377"/>
      <c r="AB346" s="377"/>
      <c r="AC346" s="377"/>
      <c r="AD346" s="377"/>
      <c r="AE346" s="377"/>
      <c r="AF346" s="377"/>
      <c r="AG346" s="377"/>
      <c r="AH346" s="377"/>
      <c r="AI346" s="377"/>
      <c r="AJ346" s="377"/>
      <c r="AK346" s="377"/>
      <c r="AL346" s="574"/>
      <c r="AM346" s="377"/>
      <c r="AN346" s="377"/>
      <c r="AO346" s="377"/>
      <c r="AP346" s="377"/>
      <c r="AQ346" s="377"/>
      <c r="AR346" s="377"/>
      <c r="AS346" s="377"/>
      <c r="AT346" s="377"/>
      <c r="AU346" s="377"/>
      <c r="AV346" s="377"/>
      <c r="AW346" s="575"/>
      <c r="AX346" s="377"/>
      <c r="AY346" s="377"/>
      <c r="AZ346" s="377"/>
      <c r="BA346" s="377"/>
      <c r="BB346" s="377"/>
      <c r="BC346" s="377"/>
      <c r="BD346" s="377"/>
      <c r="BE346" s="377"/>
      <c r="BF346" s="377"/>
      <c r="BG346" s="377"/>
      <c r="BH346" s="377"/>
      <c r="BI346" s="377"/>
      <c r="BJ346" s="377"/>
      <c r="BK346" s="377"/>
      <c r="BL346" s="377"/>
      <c r="BM346" s="377"/>
      <c r="BN346" s="576"/>
      <c r="BO346" s="377"/>
      <c r="BP346" s="377"/>
      <c r="BQ346" s="377"/>
      <c r="BR346" s="377"/>
      <c r="BS346" s="377"/>
      <c r="BT346" s="377"/>
      <c r="BU346" s="377"/>
      <c r="BV346" s="377"/>
      <c r="BW346" s="377"/>
      <c r="BX346" s="377"/>
      <c r="BY346" s="377"/>
      <c r="BZ346" s="377"/>
      <c r="CA346" s="377"/>
      <c r="CB346" s="377"/>
      <c r="CC346" s="377"/>
      <c r="CD346" s="377"/>
      <c r="CE346" s="377"/>
      <c r="CF346" s="377"/>
      <c r="CG346" s="377"/>
      <c r="CH346" s="377"/>
      <c r="CI346" s="377"/>
    </row>
    <row r="347" spans="1:87" ht="15">
      <c r="A347" s="377"/>
      <c r="B347" s="377"/>
      <c r="C347" s="572"/>
      <c r="D347" s="377"/>
      <c r="E347" s="377"/>
      <c r="F347" s="377"/>
      <c r="G347" s="377"/>
      <c r="H347" s="573"/>
      <c r="I347" s="377"/>
      <c r="J347" s="377"/>
      <c r="K347" s="377"/>
      <c r="L347" s="377"/>
      <c r="M347" s="377"/>
      <c r="N347" s="377"/>
      <c r="O347" s="377"/>
      <c r="P347" s="377"/>
      <c r="Q347" s="377"/>
      <c r="R347" s="377"/>
      <c r="S347" s="377"/>
      <c r="T347" s="377"/>
      <c r="U347" s="377"/>
      <c r="V347" s="377"/>
      <c r="W347" s="377"/>
      <c r="X347" s="574"/>
      <c r="Y347" s="377"/>
      <c r="Z347" s="377"/>
      <c r="AA347" s="377"/>
      <c r="AB347" s="377"/>
      <c r="AC347" s="377"/>
      <c r="AD347" s="377"/>
      <c r="AE347" s="377"/>
      <c r="AF347" s="377"/>
      <c r="AG347" s="377"/>
      <c r="AH347" s="377"/>
      <c r="AI347" s="377"/>
      <c r="AJ347" s="377"/>
      <c r="AK347" s="377"/>
      <c r="AL347" s="574"/>
      <c r="AM347" s="377"/>
      <c r="AN347" s="377"/>
      <c r="AO347" s="377"/>
      <c r="AP347" s="377"/>
      <c r="AQ347" s="377"/>
      <c r="AR347" s="377"/>
      <c r="AS347" s="377"/>
      <c r="AT347" s="377"/>
      <c r="AU347" s="377"/>
      <c r="AV347" s="377"/>
      <c r="AW347" s="575"/>
      <c r="AX347" s="377"/>
      <c r="AY347" s="377"/>
      <c r="AZ347" s="377"/>
      <c r="BA347" s="377"/>
      <c r="BB347" s="377"/>
      <c r="BC347" s="377"/>
      <c r="BD347" s="377"/>
      <c r="BE347" s="377"/>
      <c r="BF347" s="377"/>
      <c r="BG347" s="377"/>
      <c r="BH347" s="377"/>
      <c r="BI347" s="377"/>
      <c r="BJ347" s="377"/>
      <c r="BK347" s="377"/>
      <c r="BL347" s="377"/>
      <c r="BM347" s="377"/>
      <c r="BN347" s="576"/>
      <c r="BO347" s="377"/>
      <c r="BP347" s="377"/>
      <c r="BQ347" s="377"/>
      <c r="BR347" s="377"/>
      <c r="BS347" s="377"/>
      <c r="BT347" s="377"/>
      <c r="BU347" s="377"/>
      <c r="BV347" s="377"/>
      <c r="BW347" s="377"/>
      <c r="BX347" s="377"/>
      <c r="BY347" s="377"/>
      <c r="BZ347" s="377"/>
      <c r="CA347" s="377"/>
      <c r="CB347" s="377"/>
      <c r="CC347" s="377"/>
      <c r="CD347" s="377"/>
      <c r="CE347" s="377"/>
      <c r="CF347" s="377"/>
      <c r="CG347" s="377"/>
      <c r="CH347" s="377"/>
      <c r="CI347" s="377"/>
    </row>
    <row r="348" spans="1:87" ht="15">
      <c r="A348" s="377"/>
      <c r="B348" s="377"/>
      <c r="C348" s="572"/>
      <c r="D348" s="377"/>
      <c r="E348" s="377"/>
      <c r="F348" s="377"/>
      <c r="G348" s="377"/>
      <c r="H348" s="573"/>
      <c r="I348" s="377"/>
      <c r="J348" s="377"/>
      <c r="K348" s="377"/>
      <c r="L348" s="377"/>
      <c r="M348" s="377"/>
      <c r="N348" s="377"/>
      <c r="O348" s="377"/>
      <c r="P348" s="377"/>
      <c r="Q348" s="377"/>
      <c r="R348" s="377"/>
      <c r="S348" s="377"/>
      <c r="T348" s="377"/>
      <c r="U348" s="377"/>
      <c r="V348" s="377"/>
      <c r="W348" s="377"/>
      <c r="X348" s="574"/>
      <c r="Y348" s="377"/>
      <c r="Z348" s="377"/>
      <c r="AA348" s="377"/>
      <c r="AB348" s="377"/>
      <c r="AC348" s="377"/>
      <c r="AD348" s="377"/>
      <c r="AE348" s="377"/>
      <c r="AF348" s="377"/>
      <c r="AG348" s="377"/>
      <c r="AH348" s="377"/>
      <c r="AI348" s="377"/>
      <c r="AJ348" s="377"/>
      <c r="AK348" s="377"/>
      <c r="AL348" s="574"/>
      <c r="AM348" s="377"/>
      <c r="AN348" s="377"/>
      <c r="AO348" s="377"/>
      <c r="AP348" s="377"/>
      <c r="AQ348" s="377"/>
      <c r="AR348" s="377"/>
      <c r="AS348" s="377"/>
      <c r="AT348" s="377"/>
      <c r="AU348" s="377"/>
      <c r="AV348" s="377"/>
      <c r="AW348" s="575"/>
      <c r="AX348" s="377"/>
      <c r="AY348" s="377"/>
      <c r="AZ348" s="377"/>
      <c r="BA348" s="377"/>
      <c r="BB348" s="377"/>
      <c r="BC348" s="377"/>
      <c r="BD348" s="377"/>
      <c r="BE348" s="377"/>
      <c r="BF348" s="377"/>
      <c r="BG348" s="377"/>
      <c r="BH348" s="377"/>
      <c r="BI348" s="377"/>
      <c r="BJ348" s="377"/>
      <c r="BK348" s="377"/>
      <c r="BL348" s="377"/>
      <c r="BM348" s="377"/>
      <c r="BN348" s="576"/>
      <c r="BO348" s="377"/>
      <c r="BP348" s="377"/>
      <c r="BQ348" s="377"/>
      <c r="BR348" s="377"/>
      <c r="BS348" s="377"/>
      <c r="BT348" s="377"/>
      <c r="BU348" s="377"/>
      <c r="BV348" s="377"/>
      <c r="BW348" s="377"/>
      <c r="BX348" s="377"/>
      <c r="BY348" s="377"/>
      <c r="BZ348" s="377"/>
      <c r="CA348" s="377"/>
      <c r="CB348" s="377"/>
      <c r="CC348" s="377"/>
      <c r="CD348" s="377"/>
      <c r="CE348" s="377"/>
      <c r="CF348" s="377"/>
      <c r="CG348" s="377"/>
      <c r="CH348" s="377"/>
      <c r="CI348" s="377"/>
    </row>
    <row r="349" spans="1:87" ht="15">
      <c r="A349" s="377"/>
      <c r="B349" s="377"/>
      <c r="C349" s="572"/>
      <c r="D349" s="377"/>
      <c r="E349" s="377"/>
      <c r="F349" s="377"/>
      <c r="G349" s="377"/>
      <c r="H349" s="573"/>
      <c r="I349" s="377"/>
      <c r="J349" s="377"/>
      <c r="K349" s="377"/>
      <c r="L349" s="377"/>
      <c r="M349" s="377"/>
      <c r="N349" s="377"/>
      <c r="O349" s="377"/>
      <c r="P349" s="377"/>
      <c r="Q349" s="377"/>
      <c r="R349" s="377"/>
      <c r="S349" s="377"/>
      <c r="T349" s="377"/>
      <c r="U349" s="377"/>
      <c r="V349" s="377"/>
      <c r="W349" s="377"/>
      <c r="X349" s="574"/>
      <c r="Y349" s="377"/>
      <c r="Z349" s="377"/>
      <c r="AA349" s="377"/>
      <c r="AB349" s="377"/>
      <c r="AC349" s="377"/>
      <c r="AD349" s="377"/>
      <c r="AE349" s="377"/>
      <c r="AF349" s="377"/>
      <c r="AG349" s="377"/>
      <c r="AH349" s="377"/>
      <c r="AI349" s="377"/>
      <c r="AJ349" s="377"/>
      <c r="AK349" s="377"/>
      <c r="AL349" s="574"/>
      <c r="AM349" s="377"/>
      <c r="AN349" s="377"/>
      <c r="AO349" s="377"/>
      <c r="AP349" s="377"/>
      <c r="AQ349" s="377"/>
      <c r="AR349" s="377"/>
      <c r="AS349" s="377"/>
      <c r="AT349" s="377"/>
      <c r="AU349" s="377"/>
      <c r="AV349" s="377"/>
      <c r="AW349" s="575"/>
      <c r="AX349" s="377"/>
      <c r="AY349" s="377"/>
      <c r="AZ349" s="377"/>
      <c r="BA349" s="377"/>
      <c r="BB349" s="377"/>
      <c r="BC349" s="377"/>
      <c r="BD349" s="377"/>
      <c r="BE349" s="377"/>
      <c r="BF349" s="377"/>
      <c r="BG349" s="377"/>
      <c r="BH349" s="377"/>
      <c r="BI349" s="377"/>
      <c r="BJ349" s="377"/>
      <c r="BK349" s="377"/>
      <c r="BL349" s="377"/>
      <c r="BM349" s="377"/>
      <c r="BN349" s="576"/>
      <c r="BO349" s="377"/>
      <c r="BP349" s="377"/>
      <c r="BQ349" s="377"/>
      <c r="BR349" s="377"/>
      <c r="BS349" s="377"/>
      <c r="BT349" s="377"/>
      <c r="BU349" s="377"/>
      <c r="BV349" s="377"/>
      <c r="BW349" s="377"/>
      <c r="BX349" s="377"/>
      <c r="BY349" s="377"/>
      <c r="BZ349" s="377"/>
      <c r="CA349" s="377"/>
      <c r="CB349" s="377"/>
      <c r="CC349" s="377"/>
      <c r="CD349" s="377"/>
      <c r="CE349" s="377"/>
      <c r="CF349" s="377"/>
      <c r="CG349" s="377"/>
      <c r="CH349" s="377"/>
      <c r="CI349" s="377"/>
    </row>
    <row r="350" spans="1:87" ht="15">
      <c r="A350" s="377"/>
      <c r="B350" s="377"/>
      <c r="C350" s="572"/>
      <c r="D350" s="377"/>
      <c r="E350" s="377"/>
      <c r="F350" s="377"/>
      <c r="G350" s="377"/>
      <c r="H350" s="573"/>
      <c r="I350" s="377"/>
      <c r="J350" s="377"/>
      <c r="K350" s="377"/>
      <c r="L350" s="377"/>
      <c r="M350" s="377"/>
      <c r="N350" s="377"/>
      <c r="O350" s="377"/>
      <c r="P350" s="377"/>
      <c r="Q350" s="377"/>
      <c r="R350" s="377"/>
      <c r="S350" s="377"/>
      <c r="T350" s="377"/>
      <c r="U350" s="377"/>
      <c r="V350" s="377"/>
      <c r="W350" s="377"/>
      <c r="X350" s="574"/>
      <c r="Y350" s="377"/>
      <c r="Z350" s="377"/>
      <c r="AA350" s="377"/>
      <c r="AB350" s="377"/>
      <c r="AC350" s="377"/>
      <c r="AD350" s="377"/>
      <c r="AE350" s="377"/>
      <c r="AF350" s="377"/>
      <c r="AG350" s="377"/>
      <c r="AH350" s="377"/>
      <c r="AI350" s="377"/>
      <c r="AJ350" s="377"/>
      <c r="AK350" s="377"/>
      <c r="AL350" s="574"/>
      <c r="AM350" s="377"/>
      <c r="AN350" s="377"/>
      <c r="AO350" s="377"/>
      <c r="AP350" s="377"/>
      <c r="AQ350" s="377"/>
      <c r="AR350" s="377"/>
      <c r="AS350" s="377"/>
      <c r="AT350" s="377"/>
      <c r="AU350" s="377"/>
      <c r="AV350" s="377"/>
      <c r="AW350" s="575"/>
      <c r="AX350" s="377"/>
      <c r="AY350" s="377"/>
      <c r="AZ350" s="377"/>
      <c r="BA350" s="377"/>
      <c r="BB350" s="377"/>
      <c r="BC350" s="377"/>
      <c r="BD350" s="377"/>
      <c r="BE350" s="377"/>
      <c r="BF350" s="377"/>
      <c r="BG350" s="377"/>
      <c r="BH350" s="377"/>
      <c r="BI350" s="377"/>
      <c r="BJ350" s="377"/>
      <c r="BK350" s="377"/>
      <c r="BL350" s="377"/>
      <c r="BM350" s="377"/>
      <c r="BN350" s="576"/>
      <c r="BO350" s="377"/>
      <c r="BP350" s="377"/>
      <c r="BQ350" s="377"/>
      <c r="BR350" s="377"/>
      <c r="BS350" s="377"/>
      <c r="BT350" s="377"/>
      <c r="BU350" s="377"/>
      <c r="BV350" s="377"/>
      <c r="BW350" s="377"/>
      <c r="BX350" s="377"/>
      <c r="BY350" s="377"/>
      <c r="BZ350" s="377"/>
      <c r="CA350" s="377"/>
      <c r="CB350" s="377"/>
      <c r="CC350" s="377"/>
      <c r="CD350" s="377"/>
      <c r="CE350" s="377"/>
      <c r="CF350" s="377"/>
      <c r="CG350" s="377"/>
      <c r="CH350" s="377"/>
      <c r="CI350" s="377"/>
    </row>
    <row r="351" spans="1:87" ht="15">
      <c r="A351" s="377"/>
      <c r="B351" s="377"/>
      <c r="C351" s="572"/>
      <c r="D351" s="377"/>
      <c r="E351" s="377"/>
      <c r="F351" s="377"/>
      <c r="G351" s="377"/>
      <c r="H351" s="573"/>
      <c r="I351" s="377"/>
      <c r="J351" s="377"/>
      <c r="K351" s="377"/>
      <c r="L351" s="377"/>
      <c r="M351" s="377"/>
      <c r="N351" s="377"/>
      <c r="O351" s="377"/>
      <c r="P351" s="377"/>
      <c r="Q351" s="377"/>
      <c r="R351" s="377"/>
      <c r="S351" s="377"/>
      <c r="T351" s="377"/>
      <c r="U351" s="377"/>
      <c r="V351" s="377"/>
      <c r="W351" s="377"/>
      <c r="X351" s="574"/>
      <c r="Y351" s="377"/>
      <c r="Z351" s="377"/>
      <c r="AA351" s="377"/>
      <c r="AB351" s="377"/>
      <c r="AC351" s="377"/>
      <c r="AD351" s="377"/>
      <c r="AE351" s="377"/>
      <c r="AF351" s="377"/>
      <c r="AG351" s="377"/>
      <c r="AH351" s="377"/>
      <c r="AI351" s="377"/>
      <c r="AJ351" s="377"/>
      <c r="AK351" s="377"/>
      <c r="AL351" s="574"/>
      <c r="AM351" s="377"/>
      <c r="AN351" s="377"/>
      <c r="AO351" s="377"/>
      <c r="AP351" s="377"/>
      <c r="AQ351" s="377"/>
      <c r="AR351" s="377"/>
      <c r="AS351" s="377"/>
      <c r="AT351" s="377"/>
      <c r="AU351" s="377"/>
      <c r="AV351" s="377"/>
      <c r="AW351" s="575"/>
      <c r="AX351" s="377"/>
      <c r="AY351" s="377"/>
      <c r="AZ351" s="377"/>
      <c r="BA351" s="377"/>
      <c r="BB351" s="377"/>
      <c r="BC351" s="377"/>
      <c r="BD351" s="377"/>
      <c r="BE351" s="377"/>
      <c r="BF351" s="377"/>
      <c r="BG351" s="377"/>
      <c r="BH351" s="377"/>
      <c r="BI351" s="377"/>
      <c r="BJ351" s="377"/>
      <c r="BK351" s="377"/>
      <c r="BL351" s="377"/>
      <c r="BM351" s="377"/>
      <c r="BN351" s="576"/>
      <c r="BO351" s="377"/>
      <c r="BP351" s="377"/>
      <c r="BQ351" s="377"/>
      <c r="BR351" s="377"/>
      <c r="BS351" s="377"/>
      <c r="BT351" s="377"/>
      <c r="BU351" s="377"/>
      <c r="BV351" s="377"/>
      <c r="BW351" s="377"/>
      <c r="BX351" s="377"/>
      <c r="BY351" s="377"/>
      <c r="BZ351" s="377"/>
      <c r="CA351" s="377"/>
      <c r="CB351" s="377"/>
      <c r="CC351" s="377"/>
      <c r="CD351" s="377"/>
      <c r="CE351" s="377"/>
      <c r="CF351" s="377"/>
      <c r="CG351" s="377"/>
      <c r="CH351" s="377"/>
      <c r="CI351" s="377"/>
    </row>
    <row r="352" spans="1:87" ht="15">
      <c r="A352" s="377"/>
      <c r="B352" s="377"/>
      <c r="C352" s="572"/>
      <c r="D352" s="377"/>
      <c r="E352" s="377"/>
      <c r="F352" s="377"/>
      <c r="G352" s="377"/>
      <c r="H352" s="573"/>
      <c r="I352" s="377"/>
      <c r="J352" s="377"/>
      <c r="K352" s="377"/>
      <c r="L352" s="377"/>
      <c r="M352" s="377"/>
      <c r="N352" s="377"/>
      <c r="O352" s="377"/>
      <c r="P352" s="377"/>
      <c r="Q352" s="377"/>
      <c r="R352" s="377"/>
      <c r="S352" s="377"/>
      <c r="T352" s="377"/>
      <c r="U352" s="377"/>
      <c r="V352" s="377"/>
      <c r="W352" s="377"/>
      <c r="X352" s="574"/>
      <c r="Y352" s="377"/>
      <c r="Z352" s="377"/>
      <c r="AA352" s="377"/>
      <c r="AB352" s="377"/>
      <c r="AC352" s="377"/>
      <c r="AD352" s="377"/>
      <c r="AE352" s="377"/>
      <c r="AF352" s="377"/>
      <c r="AG352" s="377"/>
      <c r="AH352" s="377"/>
      <c r="AI352" s="377"/>
      <c r="AJ352" s="377"/>
      <c r="AK352" s="377"/>
      <c r="AL352" s="574"/>
      <c r="AM352" s="377"/>
      <c r="AN352" s="377"/>
      <c r="AO352" s="377"/>
      <c r="AP352" s="377"/>
      <c r="AQ352" s="377"/>
      <c r="AR352" s="377"/>
      <c r="AS352" s="377"/>
      <c r="AT352" s="377"/>
      <c r="AU352" s="377"/>
      <c r="AV352" s="377"/>
      <c r="AW352" s="575"/>
      <c r="AX352" s="377"/>
      <c r="AY352" s="377"/>
      <c r="AZ352" s="377"/>
      <c r="BA352" s="377"/>
      <c r="BB352" s="377"/>
      <c r="BC352" s="377"/>
      <c r="BD352" s="377"/>
      <c r="BE352" s="377"/>
      <c r="BF352" s="377"/>
      <c r="BG352" s="377"/>
      <c r="BH352" s="377"/>
      <c r="BI352" s="377"/>
      <c r="BJ352" s="377"/>
      <c r="BK352" s="377"/>
      <c r="BL352" s="377"/>
      <c r="BM352" s="377"/>
      <c r="BN352" s="576"/>
      <c r="BO352" s="377"/>
      <c r="BP352" s="377"/>
      <c r="BQ352" s="377"/>
      <c r="BR352" s="377"/>
      <c r="BS352" s="377"/>
      <c r="BT352" s="377"/>
      <c r="BU352" s="377"/>
      <c r="BV352" s="377"/>
      <c r="BW352" s="377"/>
      <c r="BX352" s="377"/>
      <c r="BY352" s="377"/>
      <c r="BZ352" s="377"/>
      <c r="CA352" s="377"/>
      <c r="CB352" s="377"/>
      <c r="CC352" s="377"/>
      <c r="CD352" s="377"/>
      <c r="CE352" s="377"/>
      <c r="CF352" s="377"/>
      <c r="CG352" s="377"/>
      <c r="CH352" s="377"/>
      <c r="CI352" s="377"/>
    </row>
    <row r="353" spans="1:87" ht="15">
      <c r="A353" s="377"/>
      <c r="B353" s="377"/>
      <c r="C353" s="572"/>
      <c r="D353" s="377"/>
      <c r="E353" s="377"/>
      <c r="F353" s="377"/>
      <c r="G353" s="377"/>
      <c r="H353" s="573"/>
      <c r="I353" s="377"/>
      <c r="J353" s="377"/>
      <c r="K353" s="377"/>
      <c r="L353" s="377"/>
      <c r="M353" s="377"/>
      <c r="N353" s="377"/>
      <c r="O353" s="377"/>
      <c r="P353" s="377"/>
      <c r="Q353" s="377"/>
      <c r="R353" s="377"/>
      <c r="S353" s="377"/>
      <c r="T353" s="377"/>
      <c r="U353" s="377"/>
      <c r="V353" s="377"/>
      <c r="W353" s="377"/>
      <c r="X353" s="574"/>
      <c r="Y353" s="377"/>
      <c r="Z353" s="377"/>
      <c r="AA353" s="377"/>
      <c r="AB353" s="377"/>
      <c r="AC353" s="377"/>
      <c r="AD353" s="377"/>
      <c r="AE353" s="377"/>
      <c r="AF353" s="377"/>
      <c r="AG353" s="377"/>
      <c r="AH353" s="377"/>
      <c r="AI353" s="377"/>
      <c r="AJ353" s="377"/>
      <c r="AK353" s="377"/>
      <c r="AL353" s="574"/>
      <c r="AM353" s="377"/>
      <c r="AN353" s="377"/>
      <c r="AO353" s="377"/>
      <c r="AP353" s="377"/>
      <c r="AQ353" s="377"/>
      <c r="AR353" s="377"/>
      <c r="AS353" s="377"/>
      <c r="AT353" s="377"/>
      <c r="AU353" s="377"/>
      <c r="AV353" s="377"/>
      <c r="AW353" s="575"/>
      <c r="AX353" s="377"/>
      <c r="AY353" s="377"/>
      <c r="AZ353" s="377"/>
      <c r="BA353" s="377"/>
      <c r="BB353" s="377"/>
      <c r="BC353" s="377"/>
      <c r="BD353" s="377"/>
      <c r="BE353" s="377"/>
      <c r="BF353" s="377"/>
      <c r="BG353" s="377"/>
      <c r="BH353" s="377"/>
      <c r="BI353" s="377"/>
      <c r="BJ353" s="377"/>
      <c r="BK353" s="377"/>
      <c r="BL353" s="377"/>
      <c r="BM353" s="377"/>
      <c r="BN353" s="576"/>
      <c r="BO353" s="377"/>
      <c r="BP353" s="377"/>
      <c r="BQ353" s="377"/>
      <c r="BR353" s="377"/>
      <c r="BS353" s="377"/>
      <c r="BT353" s="377"/>
      <c r="BU353" s="377"/>
      <c r="BV353" s="377"/>
      <c r="BW353" s="377"/>
      <c r="BX353" s="377"/>
      <c r="BY353" s="377"/>
      <c r="BZ353" s="377"/>
      <c r="CA353" s="377"/>
      <c r="CB353" s="377"/>
      <c r="CC353" s="377"/>
      <c r="CD353" s="377"/>
      <c r="CE353" s="377"/>
      <c r="CF353" s="377"/>
      <c r="CG353" s="377"/>
      <c r="CH353" s="377"/>
      <c r="CI353" s="377"/>
    </row>
    <row r="354" spans="1:87" ht="15">
      <c r="A354" s="377"/>
      <c r="B354" s="377"/>
      <c r="C354" s="572"/>
      <c r="D354" s="377"/>
      <c r="E354" s="377"/>
      <c r="F354" s="377"/>
      <c r="G354" s="377"/>
      <c r="H354" s="573"/>
      <c r="I354" s="377"/>
      <c r="J354" s="377"/>
      <c r="K354" s="377"/>
      <c r="L354" s="377"/>
      <c r="M354" s="377"/>
      <c r="N354" s="377"/>
      <c r="O354" s="377"/>
      <c r="P354" s="377"/>
      <c r="Q354" s="377"/>
      <c r="R354" s="377"/>
      <c r="S354" s="377"/>
      <c r="T354" s="377"/>
      <c r="U354" s="377"/>
      <c r="V354" s="377"/>
      <c r="W354" s="377"/>
      <c r="X354" s="574"/>
      <c r="Y354" s="377"/>
      <c r="Z354" s="377"/>
      <c r="AA354" s="377"/>
      <c r="AB354" s="377"/>
      <c r="AC354" s="377"/>
      <c r="AD354" s="377"/>
      <c r="AE354" s="377"/>
      <c r="AF354" s="377"/>
      <c r="AG354" s="377"/>
      <c r="AH354" s="377"/>
      <c r="AI354" s="377"/>
      <c r="AJ354" s="377"/>
      <c r="AK354" s="377"/>
      <c r="AL354" s="574"/>
      <c r="AM354" s="377"/>
      <c r="AN354" s="377"/>
      <c r="AO354" s="377"/>
      <c r="AP354" s="377"/>
      <c r="AQ354" s="377"/>
      <c r="AR354" s="377"/>
      <c r="AS354" s="377"/>
      <c r="AT354" s="377"/>
      <c r="AU354" s="377"/>
      <c r="AV354" s="377"/>
      <c r="AW354" s="575"/>
      <c r="AX354" s="377"/>
      <c r="AY354" s="377"/>
      <c r="AZ354" s="377"/>
      <c r="BA354" s="377"/>
      <c r="BB354" s="377"/>
      <c r="BC354" s="377"/>
      <c r="BD354" s="377"/>
      <c r="BE354" s="377"/>
      <c r="BF354" s="377"/>
      <c r="BG354" s="377"/>
      <c r="BH354" s="377"/>
      <c r="BI354" s="377"/>
      <c r="BJ354" s="377"/>
      <c r="BK354" s="377"/>
      <c r="BL354" s="377"/>
      <c r="BM354" s="377"/>
      <c r="BN354" s="576"/>
      <c r="BO354" s="377"/>
      <c r="BP354" s="377"/>
      <c r="BQ354" s="377"/>
      <c r="BR354" s="377"/>
      <c r="BS354" s="377"/>
      <c r="BT354" s="377"/>
      <c r="BU354" s="377"/>
      <c r="BV354" s="377"/>
      <c r="BW354" s="377"/>
      <c r="BX354" s="377"/>
      <c r="BY354" s="377"/>
      <c r="BZ354" s="377"/>
      <c r="CA354" s="377"/>
      <c r="CB354" s="377"/>
      <c r="CC354" s="377"/>
      <c r="CD354" s="377"/>
      <c r="CE354" s="377"/>
      <c r="CF354" s="377"/>
      <c r="CG354" s="377"/>
      <c r="CH354" s="377"/>
      <c r="CI354" s="377"/>
    </row>
    <row r="355" spans="1:87" ht="15">
      <c r="A355" s="377"/>
      <c r="B355" s="377"/>
      <c r="C355" s="572"/>
      <c r="D355" s="377"/>
      <c r="E355" s="377"/>
      <c r="F355" s="377"/>
      <c r="G355" s="377"/>
      <c r="H355" s="573"/>
      <c r="I355" s="377"/>
      <c r="J355" s="377"/>
      <c r="K355" s="377"/>
      <c r="L355" s="377"/>
      <c r="M355" s="377"/>
      <c r="N355" s="377"/>
      <c r="O355" s="377"/>
      <c r="P355" s="377"/>
      <c r="Q355" s="377"/>
      <c r="R355" s="377"/>
      <c r="S355" s="377"/>
      <c r="T355" s="377"/>
      <c r="U355" s="377"/>
      <c r="V355" s="377"/>
      <c r="W355" s="377"/>
      <c r="X355" s="574"/>
      <c r="Y355" s="377"/>
      <c r="Z355" s="377"/>
      <c r="AA355" s="377"/>
      <c r="AB355" s="377"/>
      <c r="AC355" s="377"/>
      <c r="AD355" s="377"/>
      <c r="AE355" s="377"/>
      <c r="AF355" s="377"/>
      <c r="AG355" s="377"/>
      <c r="AH355" s="377"/>
      <c r="AI355" s="377"/>
      <c r="AJ355" s="377"/>
      <c r="AK355" s="377"/>
      <c r="AL355" s="574"/>
      <c r="AM355" s="377"/>
      <c r="AN355" s="377"/>
      <c r="AO355" s="377"/>
      <c r="AP355" s="377"/>
      <c r="AQ355" s="377"/>
      <c r="AR355" s="377"/>
      <c r="AS355" s="377"/>
      <c r="AT355" s="377"/>
      <c r="AU355" s="377"/>
      <c r="AV355" s="377"/>
      <c r="AW355" s="575"/>
      <c r="AX355" s="377"/>
      <c r="AY355" s="377"/>
      <c r="AZ355" s="377"/>
      <c r="BA355" s="377"/>
      <c r="BB355" s="377"/>
      <c r="BC355" s="377"/>
      <c r="BD355" s="377"/>
      <c r="BE355" s="377"/>
      <c r="BF355" s="377"/>
      <c r="BG355" s="377"/>
      <c r="BH355" s="377"/>
      <c r="BI355" s="377"/>
      <c r="BJ355" s="377"/>
      <c r="BK355" s="377"/>
      <c r="BL355" s="377"/>
      <c r="BM355" s="377"/>
      <c r="BN355" s="576"/>
      <c r="BO355" s="377"/>
      <c r="BP355" s="377"/>
      <c r="BQ355" s="377"/>
      <c r="BR355" s="377"/>
      <c r="BS355" s="377"/>
      <c r="BT355" s="377"/>
      <c r="BU355" s="377"/>
      <c r="BV355" s="377"/>
      <c r="BW355" s="377"/>
      <c r="BX355" s="377"/>
      <c r="BY355" s="377"/>
      <c r="BZ355" s="377"/>
      <c r="CA355" s="377"/>
      <c r="CB355" s="377"/>
      <c r="CC355" s="377"/>
      <c r="CD355" s="377"/>
      <c r="CE355" s="377"/>
      <c r="CF355" s="377"/>
      <c r="CG355" s="377"/>
      <c r="CH355" s="377"/>
      <c r="CI355" s="377"/>
    </row>
    <row r="356" spans="1:87" ht="15">
      <c r="A356" s="377"/>
      <c r="B356" s="377"/>
      <c r="C356" s="572"/>
      <c r="D356" s="377"/>
      <c r="E356" s="377"/>
      <c r="F356" s="377"/>
      <c r="G356" s="377"/>
      <c r="H356" s="573"/>
      <c r="I356" s="377"/>
      <c r="J356" s="377"/>
      <c r="K356" s="377"/>
      <c r="L356" s="377"/>
      <c r="M356" s="377"/>
      <c r="N356" s="377"/>
      <c r="O356" s="377"/>
      <c r="P356" s="377"/>
      <c r="Q356" s="377"/>
      <c r="R356" s="377"/>
      <c r="S356" s="377"/>
      <c r="T356" s="377"/>
      <c r="U356" s="377"/>
      <c r="V356" s="377"/>
      <c r="W356" s="377"/>
      <c r="X356" s="574"/>
      <c r="Y356" s="377"/>
      <c r="Z356" s="377"/>
      <c r="AA356" s="377"/>
      <c r="AB356" s="377"/>
      <c r="AC356" s="377"/>
      <c r="AD356" s="377"/>
      <c r="AE356" s="377"/>
      <c r="AF356" s="377"/>
      <c r="AG356" s="377"/>
      <c r="AH356" s="377"/>
      <c r="AI356" s="377"/>
      <c r="AJ356" s="377"/>
      <c r="AK356" s="377"/>
      <c r="AL356" s="574"/>
      <c r="AM356" s="377"/>
      <c r="AN356" s="377"/>
      <c r="AO356" s="377"/>
      <c r="AP356" s="377"/>
      <c r="AQ356" s="377"/>
      <c r="AR356" s="377"/>
      <c r="AS356" s="377"/>
      <c r="AT356" s="377"/>
      <c r="AU356" s="377"/>
      <c r="AV356" s="377"/>
      <c r="AW356" s="575"/>
      <c r="AX356" s="377"/>
      <c r="AY356" s="377"/>
      <c r="AZ356" s="377"/>
      <c r="BA356" s="377"/>
      <c r="BB356" s="377"/>
      <c r="BC356" s="377"/>
      <c r="BD356" s="377"/>
      <c r="BE356" s="377"/>
      <c r="BF356" s="377"/>
      <c r="BG356" s="377"/>
      <c r="BH356" s="377"/>
      <c r="BI356" s="377"/>
      <c r="BJ356" s="377"/>
      <c r="BK356" s="377"/>
      <c r="BL356" s="377"/>
      <c r="BM356" s="377"/>
      <c r="BN356" s="576"/>
      <c r="BO356" s="377"/>
      <c r="BP356" s="377"/>
      <c r="BQ356" s="377"/>
      <c r="BR356" s="377"/>
      <c r="BS356" s="377"/>
      <c r="BT356" s="377"/>
      <c r="BU356" s="377"/>
      <c r="BV356" s="377"/>
      <c r="BW356" s="377"/>
      <c r="BX356" s="377"/>
      <c r="BY356" s="377"/>
      <c r="BZ356" s="377"/>
      <c r="CA356" s="377"/>
      <c r="CB356" s="377"/>
      <c r="CC356" s="377"/>
      <c r="CD356" s="377"/>
      <c r="CE356" s="377"/>
      <c r="CF356" s="377"/>
      <c r="CG356" s="377"/>
      <c r="CH356" s="377"/>
      <c r="CI356" s="377"/>
    </row>
    <row r="357" spans="1:87" ht="15">
      <c r="A357" s="377"/>
      <c r="B357" s="377"/>
      <c r="C357" s="572"/>
      <c r="D357" s="377"/>
      <c r="E357" s="377"/>
      <c r="F357" s="377"/>
      <c r="G357" s="377"/>
      <c r="H357" s="573"/>
      <c r="I357" s="377"/>
      <c r="J357" s="377"/>
      <c r="K357" s="377"/>
      <c r="L357" s="377"/>
      <c r="M357" s="377"/>
      <c r="N357" s="377"/>
      <c r="O357" s="377"/>
      <c r="P357" s="377"/>
      <c r="Q357" s="377"/>
      <c r="R357" s="377"/>
      <c r="S357" s="377"/>
      <c r="T357" s="377"/>
      <c r="U357" s="377"/>
      <c r="V357" s="377"/>
      <c r="W357" s="377"/>
      <c r="X357" s="574"/>
      <c r="Y357" s="377"/>
      <c r="Z357" s="377"/>
      <c r="AA357" s="377"/>
      <c r="AB357" s="377"/>
      <c r="AC357" s="377"/>
      <c r="AD357" s="377"/>
      <c r="AE357" s="377"/>
      <c r="AF357" s="377"/>
      <c r="AG357" s="377"/>
      <c r="AH357" s="377"/>
      <c r="AI357" s="377"/>
      <c r="AJ357" s="377"/>
      <c r="AK357" s="377"/>
      <c r="AL357" s="574"/>
      <c r="AM357" s="377"/>
      <c r="AN357" s="377"/>
      <c r="AO357" s="377"/>
      <c r="AP357" s="377"/>
      <c r="AQ357" s="377"/>
      <c r="AR357" s="377"/>
      <c r="AS357" s="377"/>
      <c r="AT357" s="377"/>
      <c r="AU357" s="377"/>
      <c r="AV357" s="377"/>
      <c r="AW357" s="575"/>
      <c r="AX357" s="377"/>
      <c r="AY357" s="377"/>
      <c r="AZ357" s="377"/>
      <c r="BA357" s="377"/>
      <c r="BB357" s="377"/>
      <c r="BC357" s="377"/>
      <c r="BD357" s="377"/>
      <c r="BE357" s="377"/>
      <c r="BF357" s="377"/>
      <c r="BG357" s="377"/>
      <c r="BH357" s="377"/>
      <c r="BI357" s="377"/>
      <c r="BJ357" s="377"/>
      <c r="BK357" s="377"/>
      <c r="BL357" s="377"/>
      <c r="BM357" s="377"/>
      <c r="BN357" s="576"/>
      <c r="BO357" s="377"/>
      <c r="BP357" s="377"/>
      <c r="BQ357" s="377"/>
      <c r="BR357" s="377"/>
      <c r="BS357" s="377"/>
      <c r="BT357" s="377"/>
      <c r="BU357" s="377"/>
      <c r="BV357" s="377"/>
      <c r="BW357" s="377"/>
      <c r="BX357" s="377"/>
      <c r="BY357" s="377"/>
      <c r="BZ357" s="377"/>
      <c r="CA357" s="377"/>
      <c r="CB357" s="377"/>
      <c r="CC357" s="377"/>
      <c r="CD357" s="377"/>
      <c r="CE357" s="377"/>
      <c r="CF357" s="377"/>
      <c r="CG357" s="377"/>
      <c r="CH357" s="377"/>
      <c r="CI357" s="377"/>
    </row>
    <row r="358" spans="1:87" ht="15">
      <c r="A358" s="377"/>
      <c r="B358" s="377"/>
      <c r="C358" s="572"/>
      <c r="D358" s="377"/>
      <c r="E358" s="377"/>
      <c r="F358" s="377"/>
      <c r="G358" s="377"/>
      <c r="H358" s="573"/>
      <c r="I358" s="377"/>
      <c r="J358" s="377"/>
      <c r="K358" s="377"/>
      <c r="L358" s="377"/>
      <c r="M358" s="377"/>
      <c r="N358" s="377"/>
      <c r="O358" s="377"/>
      <c r="P358" s="377"/>
      <c r="Q358" s="377"/>
      <c r="R358" s="377"/>
      <c r="S358" s="377"/>
      <c r="T358" s="377"/>
      <c r="U358" s="377"/>
      <c r="V358" s="377"/>
      <c r="W358" s="377"/>
      <c r="X358" s="574"/>
      <c r="Y358" s="377"/>
      <c r="Z358" s="377"/>
      <c r="AA358" s="377"/>
      <c r="AB358" s="377"/>
      <c r="AC358" s="377"/>
      <c r="AD358" s="377"/>
      <c r="AE358" s="377"/>
      <c r="AF358" s="377"/>
      <c r="AG358" s="377"/>
      <c r="AH358" s="377"/>
      <c r="AI358" s="377"/>
      <c r="AJ358" s="377"/>
      <c r="AK358" s="377"/>
      <c r="AL358" s="574"/>
      <c r="AM358" s="377"/>
      <c r="AN358" s="377"/>
      <c r="AO358" s="377"/>
      <c r="AP358" s="377"/>
      <c r="AQ358" s="377"/>
      <c r="AR358" s="377"/>
      <c r="AS358" s="377"/>
      <c r="AT358" s="377"/>
      <c r="AU358" s="377"/>
      <c r="AV358" s="377"/>
      <c r="AW358" s="575"/>
      <c r="AX358" s="377"/>
      <c r="AY358" s="377"/>
      <c r="AZ358" s="377"/>
      <c r="BA358" s="377"/>
      <c r="BB358" s="377"/>
      <c r="BC358" s="377"/>
      <c r="BD358" s="377"/>
      <c r="BE358" s="377"/>
      <c r="BF358" s="377"/>
      <c r="BG358" s="377"/>
      <c r="BH358" s="377"/>
      <c r="BI358" s="377"/>
      <c r="BJ358" s="377"/>
      <c r="BK358" s="377"/>
      <c r="BL358" s="377"/>
      <c r="BM358" s="377"/>
      <c r="BN358" s="576"/>
      <c r="BO358" s="377"/>
      <c r="BP358" s="377"/>
      <c r="BQ358" s="377"/>
      <c r="BR358" s="377"/>
      <c r="BS358" s="377"/>
      <c r="BT358" s="377"/>
      <c r="BU358" s="377"/>
      <c r="BV358" s="377"/>
      <c r="BW358" s="377"/>
      <c r="BX358" s="377"/>
      <c r="BY358" s="377"/>
      <c r="BZ358" s="377"/>
      <c r="CA358" s="377"/>
      <c r="CB358" s="377"/>
      <c r="CC358" s="377"/>
      <c r="CD358" s="377"/>
      <c r="CE358" s="377"/>
      <c r="CF358" s="377"/>
      <c r="CG358" s="377"/>
      <c r="CH358" s="377"/>
      <c r="CI358" s="377"/>
    </row>
    <row r="359" spans="1:87" ht="15">
      <c r="A359" s="377"/>
      <c r="B359" s="377"/>
      <c r="C359" s="572"/>
      <c r="D359" s="377"/>
      <c r="E359" s="377"/>
      <c r="F359" s="377"/>
      <c r="G359" s="377"/>
      <c r="H359" s="573"/>
      <c r="I359" s="377"/>
      <c r="J359" s="377"/>
      <c r="K359" s="377"/>
      <c r="L359" s="377"/>
      <c r="M359" s="377"/>
      <c r="N359" s="377"/>
      <c r="O359" s="377"/>
      <c r="P359" s="377"/>
      <c r="Q359" s="377"/>
      <c r="R359" s="377"/>
      <c r="S359" s="377"/>
      <c r="T359" s="377"/>
      <c r="U359" s="377"/>
      <c r="V359" s="377"/>
      <c r="W359" s="377"/>
      <c r="X359" s="574"/>
      <c r="Y359" s="377"/>
      <c r="Z359" s="377"/>
      <c r="AA359" s="377"/>
      <c r="AB359" s="377"/>
      <c r="AC359" s="377"/>
      <c r="AD359" s="377"/>
      <c r="AE359" s="377"/>
      <c r="AF359" s="377"/>
      <c r="AG359" s="377"/>
      <c r="AH359" s="377"/>
      <c r="AI359" s="377"/>
      <c r="AJ359" s="377"/>
      <c r="AK359" s="377"/>
      <c r="AL359" s="574"/>
      <c r="AM359" s="377"/>
      <c r="AN359" s="377"/>
      <c r="AO359" s="377"/>
      <c r="AP359" s="377"/>
      <c r="AQ359" s="377"/>
      <c r="AR359" s="377"/>
      <c r="AS359" s="377"/>
      <c r="AT359" s="377"/>
      <c r="AU359" s="377"/>
      <c r="AV359" s="377"/>
      <c r="AW359" s="575"/>
      <c r="AX359" s="377"/>
      <c r="AY359" s="377"/>
      <c r="AZ359" s="377"/>
      <c r="BA359" s="377"/>
      <c r="BB359" s="377"/>
      <c r="BC359" s="377"/>
      <c r="BD359" s="377"/>
      <c r="BE359" s="377"/>
      <c r="BF359" s="377"/>
      <c r="BG359" s="377"/>
      <c r="BH359" s="377"/>
      <c r="BI359" s="377"/>
      <c r="BJ359" s="377"/>
      <c r="BK359" s="377"/>
      <c r="BL359" s="377"/>
      <c r="BM359" s="377"/>
      <c r="BN359" s="576"/>
      <c r="BO359" s="377"/>
      <c r="BP359" s="377"/>
      <c r="BQ359" s="377"/>
      <c r="BR359" s="377"/>
      <c r="BS359" s="377"/>
      <c r="BT359" s="377"/>
      <c r="BU359" s="377"/>
      <c r="BV359" s="377"/>
      <c r="BW359" s="377"/>
      <c r="BX359" s="377"/>
      <c r="BY359" s="377"/>
      <c r="BZ359" s="377"/>
      <c r="CA359" s="377"/>
      <c r="CB359" s="377"/>
      <c r="CC359" s="377"/>
      <c r="CD359" s="377"/>
      <c r="CE359" s="377"/>
      <c r="CF359" s="377"/>
      <c r="CG359" s="377"/>
      <c r="CH359" s="377"/>
      <c r="CI359" s="377"/>
    </row>
    <row r="360" spans="1:87" ht="15">
      <c r="A360" s="377"/>
      <c r="B360" s="377"/>
      <c r="C360" s="572"/>
      <c r="D360" s="377"/>
      <c r="E360" s="377"/>
      <c r="F360" s="377"/>
      <c r="G360" s="377"/>
      <c r="H360" s="573"/>
      <c r="I360" s="377"/>
      <c r="J360" s="377"/>
      <c r="K360" s="377"/>
      <c r="L360" s="377"/>
      <c r="M360" s="377"/>
      <c r="N360" s="377"/>
      <c r="O360" s="377"/>
      <c r="P360" s="377"/>
      <c r="Q360" s="377"/>
      <c r="R360" s="377"/>
      <c r="S360" s="377"/>
      <c r="T360" s="377"/>
      <c r="U360" s="377"/>
      <c r="V360" s="377"/>
      <c r="W360" s="377"/>
      <c r="X360" s="574"/>
      <c r="Y360" s="377"/>
      <c r="Z360" s="377"/>
      <c r="AA360" s="377"/>
      <c r="AB360" s="377"/>
      <c r="AC360" s="377"/>
      <c r="AD360" s="377"/>
      <c r="AE360" s="377"/>
      <c r="AF360" s="377"/>
      <c r="AG360" s="377"/>
      <c r="AH360" s="377"/>
      <c r="AI360" s="377"/>
      <c r="AJ360" s="377"/>
      <c r="AK360" s="377"/>
      <c r="AL360" s="574"/>
      <c r="AM360" s="377"/>
      <c r="AN360" s="377"/>
      <c r="AO360" s="377"/>
      <c r="AP360" s="377"/>
      <c r="AQ360" s="377"/>
      <c r="AR360" s="377"/>
      <c r="AS360" s="377"/>
      <c r="AT360" s="377"/>
      <c r="AU360" s="377"/>
      <c r="AV360" s="377"/>
      <c r="AW360" s="575"/>
      <c r="AX360" s="377"/>
      <c r="AY360" s="377"/>
      <c r="AZ360" s="377"/>
      <c r="BA360" s="377"/>
      <c r="BB360" s="377"/>
      <c r="BC360" s="377"/>
      <c r="BD360" s="377"/>
      <c r="BE360" s="377"/>
      <c r="BF360" s="377"/>
      <c r="BG360" s="377"/>
      <c r="BH360" s="377"/>
      <c r="BI360" s="377"/>
      <c r="BJ360" s="377"/>
      <c r="BK360" s="377"/>
      <c r="BL360" s="377"/>
      <c r="BM360" s="377"/>
      <c r="BN360" s="576"/>
      <c r="BO360" s="377"/>
      <c r="BP360" s="377"/>
      <c r="BQ360" s="377"/>
      <c r="BR360" s="377"/>
      <c r="BS360" s="377"/>
      <c r="BT360" s="377"/>
      <c r="BU360" s="377"/>
      <c r="BV360" s="377"/>
      <c r="BW360" s="377"/>
      <c r="BX360" s="377"/>
      <c r="BY360" s="377"/>
      <c r="BZ360" s="377"/>
      <c r="CA360" s="377"/>
      <c r="CB360" s="377"/>
      <c r="CC360" s="377"/>
      <c r="CD360" s="377"/>
      <c r="CE360" s="377"/>
      <c r="CF360" s="377"/>
      <c r="CG360" s="377"/>
      <c r="CH360" s="377"/>
      <c r="CI360" s="377"/>
    </row>
    <row r="361" spans="1:87" ht="15">
      <c r="A361" s="377"/>
      <c r="B361" s="377"/>
      <c r="C361" s="572"/>
      <c r="D361" s="377"/>
      <c r="E361" s="377"/>
      <c r="F361" s="377"/>
      <c r="G361" s="377"/>
      <c r="H361" s="573"/>
      <c r="I361" s="377"/>
      <c r="J361" s="377"/>
      <c r="K361" s="377"/>
      <c r="L361" s="377"/>
      <c r="M361" s="377"/>
      <c r="N361" s="377"/>
      <c r="O361" s="377"/>
      <c r="P361" s="377"/>
      <c r="Q361" s="377"/>
      <c r="R361" s="377"/>
      <c r="S361" s="377"/>
      <c r="T361" s="377"/>
      <c r="U361" s="377"/>
      <c r="V361" s="377"/>
      <c r="W361" s="377"/>
      <c r="X361" s="574"/>
      <c r="Y361" s="377"/>
      <c r="Z361" s="377"/>
      <c r="AA361" s="377"/>
      <c r="AB361" s="377"/>
      <c r="AC361" s="377"/>
      <c r="AD361" s="377"/>
      <c r="AE361" s="377"/>
      <c r="AF361" s="377"/>
      <c r="AG361" s="377"/>
      <c r="AH361" s="377"/>
      <c r="AI361" s="377"/>
      <c r="AJ361" s="377"/>
      <c r="AK361" s="377"/>
      <c r="AL361" s="574"/>
      <c r="AM361" s="377"/>
      <c r="AN361" s="377"/>
      <c r="AO361" s="377"/>
      <c r="AP361" s="377"/>
      <c r="AQ361" s="377"/>
      <c r="AR361" s="377"/>
      <c r="AS361" s="377"/>
      <c r="AT361" s="377"/>
      <c r="AU361" s="377"/>
      <c r="AV361" s="377"/>
      <c r="AW361" s="575"/>
      <c r="AX361" s="377"/>
      <c r="AY361" s="377"/>
      <c r="AZ361" s="377"/>
      <c r="BA361" s="377"/>
      <c r="BB361" s="377"/>
      <c r="BC361" s="377"/>
      <c r="BD361" s="377"/>
      <c r="BE361" s="377"/>
      <c r="BF361" s="377"/>
      <c r="BG361" s="377"/>
      <c r="BH361" s="377"/>
      <c r="BI361" s="377"/>
      <c r="BJ361" s="377"/>
      <c r="BK361" s="377"/>
      <c r="BL361" s="377"/>
      <c r="BM361" s="377"/>
      <c r="BN361" s="576"/>
      <c r="BO361" s="377"/>
      <c r="BP361" s="377"/>
      <c r="BQ361" s="377"/>
      <c r="BR361" s="377"/>
      <c r="BS361" s="377"/>
      <c r="BT361" s="377"/>
      <c r="BU361" s="377"/>
      <c r="BV361" s="377"/>
      <c r="BW361" s="377"/>
      <c r="BX361" s="377"/>
      <c r="BY361" s="377"/>
      <c r="BZ361" s="377"/>
      <c r="CA361" s="377"/>
      <c r="CB361" s="377"/>
      <c r="CC361" s="377"/>
      <c r="CD361" s="377"/>
      <c r="CE361" s="377"/>
      <c r="CF361" s="377"/>
      <c r="CG361" s="377"/>
      <c r="CH361" s="377"/>
      <c r="CI361" s="377"/>
    </row>
    <row r="362" spans="1:87" ht="15">
      <c r="A362" s="377"/>
      <c r="B362" s="377"/>
      <c r="C362" s="572"/>
      <c r="D362" s="377"/>
      <c r="E362" s="377"/>
      <c r="F362" s="377"/>
      <c r="G362" s="377"/>
      <c r="H362" s="573"/>
      <c r="I362" s="377"/>
      <c r="J362" s="377"/>
      <c r="K362" s="377"/>
      <c r="L362" s="377"/>
      <c r="M362" s="377"/>
      <c r="N362" s="377"/>
      <c r="O362" s="377"/>
      <c r="P362" s="377"/>
      <c r="Q362" s="377"/>
      <c r="R362" s="377"/>
      <c r="S362" s="377"/>
      <c r="T362" s="377"/>
      <c r="U362" s="377"/>
      <c r="V362" s="377"/>
      <c r="W362" s="377"/>
      <c r="X362" s="574"/>
      <c r="Y362" s="377"/>
      <c r="Z362" s="377"/>
      <c r="AA362" s="377"/>
      <c r="AB362" s="377"/>
      <c r="AC362" s="377"/>
      <c r="AD362" s="377"/>
      <c r="AE362" s="377"/>
      <c r="AF362" s="377"/>
      <c r="AG362" s="377"/>
      <c r="AH362" s="377"/>
      <c r="AI362" s="377"/>
      <c r="AJ362" s="377"/>
      <c r="AK362" s="377"/>
      <c r="AL362" s="574"/>
      <c r="AM362" s="377"/>
      <c r="AN362" s="377"/>
      <c r="AO362" s="377"/>
      <c r="AP362" s="377"/>
      <c r="AQ362" s="377"/>
      <c r="AR362" s="377"/>
      <c r="AS362" s="377"/>
      <c r="AT362" s="377"/>
      <c r="AU362" s="377"/>
      <c r="AV362" s="377"/>
      <c r="AW362" s="575"/>
      <c r="AX362" s="377"/>
      <c r="AY362" s="377"/>
      <c r="AZ362" s="377"/>
      <c r="BA362" s="377"/>
      <c r="BB362" s="377"/>
      <c r="BC362" s="377"/>
      <c r="BD362" s="377"/>
      <c r="BE362" s="377"/>
      <c r="BF362" s="377"/>
      <c r="BG362" s="377"/>
      <c r="BH362" s="377"/>
      <c r="BI362" s="377"/>
      <c r="BJ362" s="377"/>
      <c r="BK362" s="377"/>
      <c r="BL362" s="377"/>
      <c r="BM362" s="377"/>
      <c r="BN362" s="576"/>
      <c r="BO362" s="377"/>
      <c r="BP362" s="377"/>
      <c r="BQ362" s="377"/>
      <c r="BR362" s="377"/>
      <c r="BS362" s="377"/>
      <c r="BT362" s="377"/>
      <c r="BU362" s="377"/>
      <c r="BV362" s="377"/>
      <c r="BW362" s="377"/>
      <c r="BX362" s="377"/>
      <c r="BY362" s="377"/>
      <c r="BZ362" s="377"/>
      <c r="CA362" s="377"/>
      <c r="CB362" s="377"/>
      <c r="CC362" s="377"/>
      <c r="CD362" s="377"/>
      <c r="CE362" s="377"/>
      <c r="CF362" s="377"/>
      <c r="CG362" s="377"/>
      <c r="CH362" s="377"/>
      <c r="CI362" s="377"/>
    </row>
    <row r="363" spans="1:87" ht="15">
      <c r="A363" s="377"/>
      <c r="B363" s="377"/>
      <c r="C363" s="572"/>
      <c r="D363" s="377"/>
      <c r="E363" s="377"/>
      <c r="F363" s="377"/>
      <c r="G363" s="377"/>
      <c r="H363" s="573"/>
      <c r="I363" s="377"/>
      <c r="J363" s="377"/>
      <c r="K363" s="377"/>
      <c r="L363" s="377"/>
      <c r="M363" s="377"/>
      <c r="N363" s="377"/>
      <c r="O363" s="377"/>
      <c r="P363" s="377"/>
      <c r="Q363" s="377"/>
      <c r="R363" s="377"/>
      <c r="S363" s="377"/>
      <c r="T363" s="377"/>
      <c r="U363" s="377"/>
      <c r="V363" s="377"/>
      <c r="W363" s="377"/>
      <c r="X363" s="574"/>
      <c r="Y363" s="377"/>
      <c r="Z363" s="377"/>
      <c r="AA363" s="377"/>
      <c r="AB363" s="377"/>
      <c r="AC363" s="377"/>
      <c r="AD363" s="377"/>
      <c r="AE363" s="377"/>
      <c r="AF363" s="377"/>
      <c r="AG363" s="377"/>
      <c r="AH363" s="377"/>
      <c r="AI363" s="377"/>
      <c r="AJ363" s="377"/>
      <c r="AK363" s="377"/>
      <c r="AL363" s="574"/>
      <c r="AM363" s="377"/>
      <c r="AN363" s="377"/>
      <c r="AO363" s="377"/>
      <c r="AP363" s="377"/>
      <c r="AQ363" s="377"/>
      <c r="AR363" s="377"/>
      <c r="AS363" s="377"/>
      <c r="AT363" s="377"/>
      <c r="AU363" s="377"/>
      <c r="AV363" s="377"/>
      <c r="AW363" s="575"/>
      <c r="AX363" s="377"/>
      <c r="AY363" s="377"/>
      <c r="AZ363" s="377"/>
      <c r="BA363" s="377"/>
      <c r="BB363" s="377"/>
      <c r="BC363" s="377"/>
      <c r="BD363" s="377"/>
      <c r="BE363" s="377"/>
      <c r="BF363" s="377"/>
      <c r="BG363" s="377"/>
      <c r="BH363" s="377"/>
      <c r="BI363" s="377"/>
      <c r="BJ363" s="377"/>
      <c r="BK363" s="377"/>
      <c r="BL363" s="377"/>
      <c r="BM363" s="377"/>
      <c r="BN363" s="576"/>
      <c r="BO363" s="377"/>
      <c r="BP363" s="377"/>
      <c r="BQ363" s="377"/>
      <c r="BR363" s="377"/>
      <c r="BS363" s="377"/>
      <c r="BT363" s="377"/>
      <c r="BU363" s="377"/>
      <c r="BV363" s="377"/>
      <c r="BW363" s="377"/>
      <c r="BX363" s="377"/>
      <c r="BY363" s="377"/>
      <c r="BZ363" s="377"/>
      <c r="CA363" s="377"/>
      <c r="CB363" s="377"/>
      <c r="CC363" s="377"/>
      <c r="CD363" s="377"/>
      <c r="CE363" s="377"/>
      <c r="CF363" s="377"/>
      <c r="CG363" s="377"/>
      <c r="CH363" s="377"/>
      <c r="CI363" s="377"/>
    </row>
    <row r="364" spans="1:87" ht="15">
      <c r="A364" s="377"/>
      <c r="B364" s="377"/>
      <c r="C364" s="572"/>
      <c r="D364" s="377"/>
      <c r="E364" s="377"/>
      <c r="F364" s="377"/>
      <c r="G364" s="377"/>
      <c r="H364" s="573"/>
      <c r="I364" s="377"/>
      <c r="J364" s="377"/>
      <c r="K364" s="377"/>
      <c r="L364" s="377"/>
      <c r="M364" s="377"/>
      <c r="N364" s="377"/>
      <c r="O364" s="377"/>
      <c r="P364" s="377"/>
      <c r="Q364" s="377"/>
      <c r="R364" s="377"/>
      <c r="S364" s="377"/>
      <c r="T364" s="377"/>
      <c r="U364" s="377"/>
      <c r="V364" s="377"/>
      <c r="W364" s="377"/>
      <c r="X364" s="574"/>
      <c r="Y364" s="377"/>
      <c r="Z364" s="377"/>
      <c r="AA364" s="377"/>
      <c r="AB364" s="377"/>
      <c r="AC364" s="377"/>
      <c r="AD364" s="377"/>
      <c r="AE364" s="377"/>
      <c r="AF364" s="377"/>
      <c r="AG364" s="377"/>
      <c r="AH364" s="377"/>
      <c r="AI364" s="377"/>
      <c r="AJ364" s="377"/>
      <c r="AK364" s="377"/>
      <c r="AL364" s="574"/>
      <c r="AM364" s="377"/>
      <c r="AN364" s="377"/>
      <c r="AO364" s="377"/>
      <c r="AP364" s="377"/>
      <c r="AQ364" s="377"/>
      <c r="AR364" s="377"/>
      <c r="AS364" s="377"/>
      <c r="AT364" s="377"/>
      <c r="AU364" s="377"/>
      <c r="AV364" s="377"/>
      <c r="AW364" s="575"/>
      <c r="AX364" s="377"/>
      <c r="AY364" s="377"/>
      <c r="AZ364" s="377"/>
      <c r="BA364" s="377"/>
      <c r="BB364" s="377"/>
      <c r="BC364" s="377"/>
      <c r="BD364" s="377"/>
      <c r="BE364" s="377"/>
      <c r="BF364" s="377"/>
      <c r="BG364" s="377"/>
      <c r="BH364" s="377"/>
      <c r="BI364" s="377"/>
      <c r="BJ364" s="377"/>
      <c r="BK364" s="377"/>
      <c r="BL364" s="377"/>
      <c r="BM364" s="377"/>
      <c r="BN364" s="576"/>
      <c r="BO364" s="377"/>
      <c r="BP364" s="377"/>
      <c r="BQ364" s="377"/>
      <c r="BR364" s="377"/>
      <c r="BS364" s="377"/>
      <c r="BT364" s="377"/>
      <c r="BU364" s="377"/>
      <c r="BV364" s="377"/>
      <c r="BW364" s="377"/>
      <c r="BX364" s="377"/>
      <c r="BY364" s="377"/>
      <c r="BZ364" s="377"/>
      <c r="CA364" s="377"/>
      <c r="CB364" s="377"/>
      <c r="CC364" s="377"/>
      <c r="CD364" s="377"/>
      <c r="CE364" s="377"/>
      <c r="CF364" s="377"/>
      <c r="CG364" s="377"/>
      <c r="CH364" s="377"/>
      <c r="CI364" s="377"/>
    </row>
    <row r="365" spans="1:87" ht="15">
      <c r="A365" s="377"/>
      <c r="B365" s="377"/>
      <c r="C365" s="572"/>
      <c r="D365" s="377"/>
      <c r="E365" s="377"/>
      <c r="F365" s="377"/>
      <c r="G365" s="377"/>
      <c r="H365" s="573"/>
      <c r="I365" s="377"/>
      <c r="J365" s="377"/>
      <c r="K365" s="377"/>
      <c r="L365" s="377"/>
      <c r="M365" s="377"/>
      <c r="N365" s="377"/>
      <c r="O365" s="377"/>
      <c r="P365" s="377"/>
      <c r="Q365" s="377"/>
      <c r="R365" s="377"/>
      <c r="S365" s="377"/>
      <c r="T365" s="377"/>
      <c r="U365" s="377"/>
      <c r="V365" s="377"/>
      <c r="W365" s="377"/>
      <c r="X365" s="574"/>
      <c r="Y365" s="377"/>
      <c r="Z365" s="377"/>
      <c r="AA365" s="377"/>
      <c r="AB365" s="377"/>
      <c r="AC365" s="377"/>
      <c r="AD365" s="377"/>
      <c r="AE365" s="377"/>
      <c r="AF365" s="377"/>
      <c r="AG365" s="377"/>
      <c r="AH365" s="377"/>
      <c r="AI365" s="377"/>
      <c r="AJ365" s="377"/>
      <c r="AK365" s="377"/>
      <c r="AL365" s="574"/>
      <c r="AM365" s="377"/>
      <c r="AN365" s="377"/>
      <c r="AO365" s="377"/>
      <c r="AP365" s="377"/>
      <c r="AQ365" s="377"/>
      <c r="AR365" s="377"/>
      <c r="AS365" s="377"/>
      <c r="AT365" s="377"/>
      <c r="AU365" s="377"/>
      <c r="AV365" s="377"/>
      <c r="AW365" s="575"/>
      <c r="AX365" s="377"/>
      <c r="AY365" s="377"/>
      <c r="AZ365" s="377"/>
      <c r="BA365" s="377"/>
      <c r="BB365" s="377"/>
      <c r="BC365" s="377"/>
      <c r="BD365" s="377"/>
      <c r="BE365" s="377"/>
      <c r="BF365" s="377"/>
      <c r="BG365" s="377"/>
      <c r="BH365" s="377"/>
      <c r="BI365" s="377"/>
      <c r="BJ365" s="377"/>
      <c r="BK365" s="377"/>
      <c r="BL365" s="377"/>
      <c r="BM365" s="377"/>
      <c r="BN365" s="576"/>
      <c r="BO365" s="377"/>
      <c r="BP365" s="377"/>
      <c r="BQ365" s="377"/>
      <c r="BR365" s="377"/>
      <c r="BS365" s="377"/>
      <c r="BT365" s="377"/>
      <c r="BU365" s="377"/>
      <c r="BV365" s="377"/>
      <c r="BW365" s="377"/>
      <c r="BX365" s="377"/>
      <c r="BY365" s="377"/>
      <c r="BZ365" s="377"/>
      <c r="CA365" s="377"/>
      <c r="CB365" s="377"/>
      <c r="CC365" s="377"/>
      <c r="CD365" s="377"/>
      <c r="CE365" s="377"/>
      <c r="CF365" s="377"/>
      <c r="CG365" s="377"/>
      <c r="CH365" s="377"/>
      <c r="CI365" s="377"/>
    </row>
    <row r="366" spans="1:87" ht="15">
      <c r="A366" s="377"/>
      <c r="B366" s="377"/>
      <c r="C366" s="572"/>
      <c r="D366" s="377"/>
      <c r="E366" s="377"/>
      <c r="F366" s="377"/>
      <c r="G366" s="377"/>
      <c r="H366" s="573"/>
      <c r="I366" s="377"/>
      <c r="J366" s="377"/>
      <c r="K366" s="377"/>
      <c r="L366" s="377"/>
      <c r="M366" s="377"/>
      <c r="N366" s="377"/>
      <c r="O366" s="377"/>
      <c r="P366" s="377"/>
      <c r="Q366" s="377"/>
      <c r="R366" s="377"/>
      <c r="S366" s="377"/>
      <c r="T366" s="377"/>
      <c r="U366" s="377"/>
      <c r="V366" s="377"/>
      <c r="W366" s="377"/>
      <c r="X366" s="574"/>
      <c r="Y366" s="377"/>
      <c r="Z366" s="377"/>
      <c r="AA366" s="377"/>
      <c r="AB366" s="377"/>
      <c r="AC366" s="377"/>
      <c r="AD366" s="377"/>
      <c r="AE366" s="377"/>
      <c r="AF366" s="377"/>
      <c r="AG366" s="377"/>
      <c r="AH366" s="377"/>
      <c r="AI366" s="377"/>
      <c r="AJ366" s="377"/>
      <c r="AK366" s="377"/>
      <c r="AL366" s="574"/>
      <c r="AM366" s="377"/>
      <c r="AN366" s="377"/>
      <c r="AO366" s="377"/>
      <c r="AP366" s="377"/>
      <c r="AQ366" s="377"/>
      <c r="AR366" s="377"/>
      <c r="AS366" s="377"/>
      <c r="AT366" s="377"/>
      <c r="AU366" s="377"/>
      <c r="AV366" s="377"/>
      <c r="AW366" s="575"/>
      <c r="AX366" s="377"/>
      <c r="AY366" s="377"/>
      <c r="AZ366" s="377"/>
      <c r="BA366" s="377"/>
      <c r="BB366" s="377"/>
      <c r="BC366" s="377"/>
      <c r="BD366" s="377"/>
      <c r="BE366" s="377"/>
      <c r="BF366" s="377"/>
      <c r="BG366" s="377"/>
      <c r="BH366" s="377"/>
      <c r="BI366" s="377"/>
      <c r="BJ366" s="377"/>
      <c r="BK366" s="377"/>
      <c r="BL366" s="377"/>
      <c r="BM366" s="377"/>
      <c r="BN366" s="576"/>
      <c r="BO366" s="377"/>
      <c r="BP366" s="377"/>
      <c r="BQ366" s="377"/>
      <c r="BR366" s="377"/>
      <c r="BS366" s="377"/>
      <c r="BT366" s="377"/>
      <c r="BU366" s="377"/>
      <c r="BV366" s="377"/>
      <c r="BW366" s="377"/>
      <c r="BX366" s="377"/>
      <c r="BY366" s="377"/>
      <c r="BZ366" s="377"/>
      <c r="CA366" s="377"/>
      <c r="CB366" s="377"/>
      <c r="CC366" s="377"/>
      <c r="CD366" s="377"/>
      <c r="CE366" s="377"/>
      <c r="CF366" s="377"/>
      <c r="CG366" s="377"/>
      <c r="CH366" s="377"/>
      <c r="CI366" s="377"/>
    </row>
    <row r="367" spans="1:87" ht="15">
      <c r="A367" s="377"/>
      <c r="B367" s="377"/>
      <c r="C367" s="572"/>
      <c r="D367" s="377"/>
      <c r="E367" s="377"/>
      <c r="F367" s="377"/>
      <c r="G367" s="377"/>
      <c r="H367" s="573"/>
      <c r="I367" s="377"/>
      <c r="J367" s="377"/>
      <c r="K367" s="377"/>
      <c r="L367" s="377"/>
      <c r="M367" s="377"/>
      <c r="N367" s="377"/>
      <c r="O367" s="377"/>
      <c r="P367" s="377"/>
      <c r="Q367" s="377"/>
      <c r="R367" s="377"/>
      <c r="S367" s="377"/>
      <c r="T367" s="377"/>
      <c r="U367" s="377"/>
      <c r="V367" s="377"/>
      <c r="W367" s="377"/>
      <c r="X367" s="574"/>
      <c r="Y367" s="377"/>
      <c r="Z367" s="377"/>
      <c r="AA367" s="377"/>
      <c r="AB367" s="377"/>
      <c r="AC367" s="377"/>
      <c r="AD367" s="377"/>
      <c r="AE367" s="377"/>
      <c r="AF367" s="377"/>
      <c r="AG367" s="377"/>
      <c r="AH367" s="377"/>
      <c r="AI367" s="377"/>
      <c r="AJ367" s="377"/>
      <c r="AK367" s="377"/>
      <c r="AL367" s="574"/>
      <c r="AM367" s="377"/>
      <c r="AN367" s="377"/>
      <c r="AO367" s="377"/>
      <c r="AP367" s="377"/>
      <c r="AQ367" s="377"/>
      <c r="AR367" s="377"/>
      <c r="AS367" s="377"/>
      <c r="AT367" s="377"/>
      <c r="AU367" s="377"/>
      <c r="AV367" s="377"/>
      <c r="AW367" s="575"/>
      <c r="AX367" s="377"/>
      <c r="AY367" s="377"/>
      <c r="AZ367" s="377"/>
      <c r="BA367" s="377"/>
      <c r="BB367" s="377"/>
      <c r="BC367" s="377"/>
      <c r="BD367" s="377"/>
      <c r="BE367" s="377"/>
      <c r="BF367" s="377"/>
      <c r="BG367" s="377"/>
      <c r="BH367" s="377"/>
      <c r="BI367" s="377"/>
      <c r="BJ367" s="377"/>
      <c r="BK367" s="377"/>
      <c r="BL367" s="377"/>
      <c r="BM367" s="377"/>
      <c r="BN367" s="576"/>
      <c r="BO367" s="377"/>
      <c r="BP367" s="377"/>
      <c r="BQ367" s="377"/>
      <c r="BR367" s="377"/>
      <c r="BS367" s="377"/>
      <c r="BT367" s="377"/>
      <c r="BU367" s="377"/>
      <c r="BV367" s="377"/>
      <c r="BW367" s="377"/>
      <c r="BX367" s="377"/>
      <c r="BY367" s="377"/>
      <c r="BZ367" s="377"/>
      <c r="CA367" s="377"/>
      <c r="CB367" s="377"/>
      <c r="CC367" s="377"/>
      <c r="CD367" s="377"/>
      <c r="CE367" s="377"/>
      <c r="CF367" s="377"/>
      <c r="CG367" s="377"/>
      <c r="CH367" s="377"/>
      <c r="CI367" s="377"/>
    </row>
    <row r="368" spans="1:87" ht="15">
      <c r="A368" s="377"/>
      <c r="B368" s="377"/>
      <c r="C368" s="572"/>
      <c r="D368" s="377"/>
      <c r="E368" s="377"/>
      <c r="F368" s="377"/>
      <c r="G368" s="377"/>
      <c r="H368" s="573"/>
      <c r="I368" s="377"/>
      <c r="J368" s="377"/>
      <c r="K368" s="377"/>
      <c r="L368" s="377"/>
      <c r="M368" s="377"/>
      <c r="N368" s="377"/>
      <c r="O368" s="377"/>
      <c r="P368" s="377"/>
      <c r="Q368" s="377"/>
      <c r="R368" s="377"/>
      <c r="S368" s="377"/>
      <c r="T368" s="377"/>
      <c r="U368" s="377"/>
      <c r="V368" s="377"/>
      <c r="W368" s="377"/>
      <c r="X368" s="574"/>
      <c r="Y368" s="377"/>
      <c r="Z368" s="377"/>
      <c r="AA368" s="377"/>
      <c r="AB368" s="377"/>
      <c r="AC368" s="377"/>
      <c r="AD368" s="377"/>
      <c r="AE368" s="377"/>
      <c r="AF368" s="377"/>
      <c r="AG368" s="377"/>
      <c r="AH368" s="377"/>
      <c r="AI368" s="377"/>
      <c r="AJ368" s="377"/>
      <c r="AK368" s="377"/>
      <c r="AL368" s="574"/>
      <c r="AM368" s="377"/>
      <c r="AN368" s="377"/>
      <c r="AO368" s="377"/>
      <c r="AP368" s="377"/>
      <c r="AQ368" s="377"/>
      <c r="AR368" s="377"/>
      <c r="AS368" s="377"/>
      <c r="AT368" s="377"/>
      <c r="AU368" s="377"/>
      <c r="AV368" s="377"/>
      <c r="AW368" s="575"/>
      <c r="AX368" s="377"/>
      <c r="AY368" s="377"/>
      <c r="AZ368" s="377"/>
      <c r="BA368" s="377"/>
      <c r="BB368" s="377"/>
      <c r="BC368" s="377"/>
      <c r="BD368" s="377"/>
      <c r="BE368" s="377"/>
      <c r="BF368" s="377"/>
      <c r="BG368" s="377"/>
      <c r="BH368" s="377"/>
      <c r="BI368" s="377"/>
      <c r="BJ368" s="377"/>
      <c r="BK368" s="377"/>
      <c r="BL368" s="377"/>
      <c r="BM368" s="377"/>
      <c r="BN368" s="576"/>
      <c r="BO368" s="377"/>
      <c r="BP368" s="377"/>
      <c r="BQ368" s="377"/>
      <c r="BR368" s="377"/>
      <c r="BS368" s="377"/>
      <c r="BT368" s="377"/>
      <c r="BU368" s="377"/>
      <c r="BV368" s="377"/>
      <c r="BW368" s="377"/>
      <c r="BX368" s="377"/>
      <c r="BY368" s="377"/>
      <c r="BZ368" s="377"/>
      <c r="CA368" s="377"/>
      <c r="CB368" s="377"/>
      <c r="CC368" s="377"/>
      <c r="CD368" s="377"/>
      <c r="CE368" s="377"/>
      <c r="CF368" s="377"/>
      <c r="CG368" s="377"/>
      <c r="CH368" s="377"/>
      <c r="CI368" s="377"/>
    </row>
    <row r="369" spans="1:87" ht="15">
      <c r="A369" s="377"/>
      <c r="B369" s="377"/>
      <c r="C369" s="572"/>
      <c r="D369" s="377"/>
      <c r="E369" s="377"/>
      <c r="F369" s="377"/>
      <c r="G369" s="377"/>
      <c r="H369" s="573"/>
      <c r="I369" s="377"/>
      <c r="J369" s="377"/>
      <c r="K369" s="377"/>
      <c r="L369" s="377"/>
      <c r="M369" s="377"/>
      <c r="N369" s="377"/>
      <c r="O369" s="377"/>
      <c r="P369" s="377"/>
      <c r="Q369" s="377"/>
      <c r="R369" s="377"/>
      <c r="S369" s="377"/>
      <c r="T369" s="377"/>
      <c r="U369" s="377"/>
      <c r="V369" s="377"/>
      <c r="W369" s="377"/>
      <c r="X369" s="574"/>
      <c r="Y369" s="377"/>
      <c r="Z369" s="377"/>
      <c r="AA369" s="377"/>
      <c r="AB369" s="377"/>
      <c r="AC369" s="377"/>
      <c r="AD369" s="377"/>
      <c r="AE369" s="377"/>
      <c r="AF369" s="377"/>
      <c r="AG369" s="377"/>
      <c r="AH369" s="377"/>
      <c r="AI369" s="377"/>
      <c r="AJ369" s="377"/>
      <c r="AK369" s="377"/>
      <c r="AL369" s="574"/>
      <c r="AM369" s="377"/>
      <c r="AN369" s="377"/>
      <c r="AO369" s="377"/>
      <c r="AP369" s="377"/>
      <c r="AQ369" s="377"/>
      <c r="AR369" s="377"/>
      <c r="AS369" s="377"/>
      <c r="AT369" s="377"/>
      <c r="AU369" s="377"/>
      <c r="AV369" s="377"/>
      <c r="AW369" s="575"/>
      <c r="AX369" s="377"/>
      <c r="AY369" s="377"/>
      <c r="AZ369" s="377"/>
      <c r="BA369" s="377"/>
      <c r="BB369" s="377"/>
      <c r="BC369" s="377"/>
      <c r="BD369" s="377"/>
      <c r="BE369" s="377"/>
      <c r="BF369" s="377"/>
      <c r="BG369" s="377"/>
      <c r="BH369" s="377"/>
      <c r="BI369" s="377"/>
      <c r="BJ369" s="377"/>
      <c r="BK369" s="377"/>
      <c r="BL369" s="377"/>
      <c r="BM369" s="377"/>
      <c r="BN369" s="576"/>
      <c r="BO369" s="377"/>
      <c r="BP369" s="377"/>
      <c r="BQ369" s="377"/>
      <c r="BR369" s="377"/>
      <c r="BS369" s="377"/>
      <c r="BT369" s="377"/>
      <c r="BU369" s="377"/>
      <c r="BV369" s="377"/>
      <c r="BW369" s="377"/>
      <c r="BX369" s="377"/>
      <c r="BY369" s="377"/>
      <c r="BZ369" s="377"/>
      <c r="CA369" s="377"/>
      <c r="CB369" s="377"/>
      <c r="CC369" s="377"/>
      <c r="CD369" s="377"/>
      <c r="CE369" s="377"/>
      <c r="CF369" s="377"/>
      <c r="CG369" s="377"/>
      <c r="CH369" s="377"/>
      <c r="CI369" s="377"/>
    </row>
    <row r="370" spans="1:87" ht="15">
      <c r="A370" s="377"/>
      <c r="B370" s="377"/>
      <c r="C370" s="572"/>
      <c r="D370" s="377"/>
      <c r="E370" s="377"/>
      <c r="F370" s="377"/>
      <c r="G370" s="377"/>
      <c r="H370" s="573"/>
      <c r="I370" s="377"/>
      <c r="J370" s="377"/>
      <c r="K370" s="377"/>
      <c r="L370" s="377"/>
      <c r="M370" s="377"/>
      <c r="N370" s="377"/>
      <c r="O370" s="377"/>
      <c r="P370" s="377"/>
      <c r="Q370" s="377"/>
      <c r="R370" s="377"/>
      <c r="S370" s="377"/>
      <c r="T370" s="377"/>
      <c r="U370" s="377"/>
      <c r="V370" s="377"/>
      <c r="W370" s="377"/>
      <c r="X370" s="574"/>
      <c r="Y370" s="377"/>
      <c r="Z370" s="377"/>
      <c r="AA370" s="377"/>
      <c r="AB370" s="377"/>
      <c r="AC370" s="377"/>
      <c r="AD370" s="377"/>
      <c r="AE370" s="377"/>
      <c r="AF370" s="377"/>
      <c r="AG370" s="377"/>
      <c r="AH370" s="377"/>
      <c r="AI370" s="377"/>
      <c r="AJ370" s="377"/>
      <c r="AK370" s="377"/>
      <c r="AL370" s="574"/>
      <c r="AM370" s="377"/>
      <c r="AN370" s="377"/>
      <c r="AO370" s="377"/>
      <c r="AP370" s="377"/>
      <c r="AQ370" s="377"/>
      <c r="AR370" s="377"/>
      <c r="AS370" s="377"/>
      <c r="AT370" s="377"/>
      <c r="AU370" s="377"/>
      <c r="AV370" s="377"/>
      <c r="AW370" s="575"/>
      <c r="AX370" s="377"/>
      <c r="AY370" s="377"/>
      <c r="AZ370" s="377"/>
      <c r="BA370" s="377"/>
      <c r="BB370" s="377"/>
      <c r="BC370" s="377"/>
      <c r="BD370" s="377"/>
      <c r="BE370" s="377"/>
      <c r="BF370" s="377"/>
      <c r="BG370" s="377"/>
      <c r="BH370" s="377"/>
      <c r="BI370" s="377"/>
      <c r="BJ370" s="377"/>
      <c r="BK370" s="377"/>
      <c r="BL370" s="377"/>
      <c r="BM370" s="377"/>
      <c r="BN370" s="576"/>
      <c r="BO370" s="377"/>
      <c r="BP370" s="377"/>
      <c r="BQ370" s="377"/>
      <c r="BR370" s="377"/>
      <c r="BS370" s="377"/>
      <c r="BT370" s="377"/>
      <c r="BU370" s="377"/>
      <c r="BV370" s="377"/>
      <c r="BW370" s="377"/>
      <c r="BX370" s="377"/>
      <c r="BY370" s="377"/>
      <c r="BZ370" s="377"/>
      <c r="CA370" s="377"/>
      <c r="CB370" s="377"/>
      <c r="CC370" s="377"/>
      <c r="CD370" s="377"/>
      <c r="CE370" s="377"/>
      <c r="CF370" s="377"/>
      <c r="CG370" s="377"/>
      <c r="CH370" s="377"/>
      <c r="CI370" s="377"/>
    </row>
    <row r="371" spans="1:87" ht="15">
      <c r="A371" s="377"/>
      <c r="B371" s="377"/>
      <c r="C371" s="572"/>
      <c r="D371" s="377"/>
      <c r="E371" s="377"/>
      <c r="F371" s="377"/>
      <c r="G371" s="377"/>
      <c r="H371" s="573"/>
      <c r="I371" s="377"/>
      <c r="J371" s="377"/>
      <c r="K371" s="377"/>
      <c r="L371" s="377"/>
      <c r="M371" s="377"/>
      <c r="N371" s="377"/>
      <c r="O371" s="377"/>
      <c r="P371" s="377"/>
      <c r="Q371" s="377"/>
      <c r="R371" s="377"/>
      <c r="S371" s="377"/>
      <c r="T371" s="377"/>
      <c r="U371" s="377"/>
      <c r="V371" s="377"/>
      <c r="W371" s="377"/>
      <c r="X371" s="574"/>
      <c r="Y371" s="377"/>
      <c r="Z371" s="377"/>
      <c r="AA371" s="377"/>
      <c r="AB371" s="377"/>
      <c r="AC371" s="377"/>
      <c r="AD371" s="377"/>
      <c r="AE371" s="377"/>
      <c r="AF371" s="377"/>
      <c r="AG371" s="377"/>
      <c r="AH371" s="377"/>
      <c r="AI371" s="377"/>
      <c r="AJ371" s="377"/>
      <c r="AK371" s="377"/>
      <c r="AL371" s="574"/>
      <c r="AM371" s="377"/>
      <c r="AN371" s="377"/>
      <c r="AO371" s="377"/>
      <c r="AP371" s="377"/>
      <c r="AQ371" s="377"/>
      <c r="AR371" s="377"/>
      <c r="AS371" s="377"/>
      <c r="AT371" s="377"/>
      <c r="AU371" s="377"/>
      <c r="AV371" s="377"/>
      <c r="AW371" s="575"/>
      <c r="AX371" s="377"/>
      <c r="AY371" s="377"/>
      <c r="AZ371" s="377"/>
      <c r="BA371" s="377"/>
      <c r="BB371" s="377"/>
      <c r="BC371" s="377"/>
      <c r="BD371" s="377"/>
      <c r="BE371" s="377"/>
      <c r="BF371" s="377"/>
      <c r="BG371" s="377"/>
      <c r="BH371" s="377"/>
      <c r="BI371" s="377"/>
      <c r="BJ371" s="377"/>
      <c r="BK371" s="377"/>
      <c r="BL371" s="377"/>
      <c r="BM371" s="377"/>
      <c r="BN371" s="576"/>
      <c r="BO371" s="377"/>
      <c r="BP371" s="377"/>
      <c r="BQ371" s="377"/>
      <c r="BR371" s="377"/>
      <c r="BS371" s="377"/>
      <c r="BT371" s="377"/>
      <c r="BU371" s="377"/>
      <c r="BV371" s="377"/>
      <c r="BW371" s="377"/>
      <c r="BX371" s="377"/>
      <c r="BY371" s="377"/>
      <c r="BZ371" s="377"/>
      <c r="CA371" s="377"/>
      <c r="CB371" s="377"/>
      <c r="CC371" s="377"/>
      <c r="CD371" s="377"/>
      <c r="CE371" s="377"/>
      <c r="CF371" s="377"/>
      <c r="CG371" s="377"/>
      <c r="CH371" s="377"/>
      <c r="CI371" s="377"/>
    </row>
    <row r="372" spans="1:87" ht="15">
      <c r="A372" s="377"/>
      <c r="B372" s="377"/>
      <c r="C372" s="572"/>
      <c r="D372" s="377"/>
      <c r="E372" s="377"/>
      <c r="F372" s="377"/>
      <c r="G372" s="377"/>
      <c r="H372" s="573"/>
      <c r="I372" s="377"/>
      <c r="J372" s="377"/>
      <c r="K372" s="377"/>
      <c r="L372" s="377"/>
      <c r="M372" s="377"/>
      <c r="N372" s="377"/>
      <c r="O372" s="377"/>
      <c r="P372" s="377"/>
      <c r="Q372" s="377"/>
      <c r="R372" s="377"/>
      <c r="S372" s="377"/>
      <c r="T372" s="377"/>
      <c r="U372" s="377"/>
      <c r="V372" s="377"/>
      <c r="W372" s="377"/>
      <c r="X372" s="574"/>
      <c r="Y372" s="377"/>
      <c r="Z372" s="377"/>
      <c r="AA372" s="377"/>
      <c r="AB372" s="377"/>
      <c r="AC372" s="377"/>
      <c r="AD372" s="377"/>
      <c r="AE372" s="377"/>
      <c r="AF372" s="377"/>
      <c r="AG372" s="377"/>
      <c r="AH372" s="377"/>
      <c r="AI372" s="377"/>
      <c r="AJ372" s="377"/>
      <c r="AK372" s="377"/>
      <c r="AL372" s="574"/>
      <c r="AM372" s="377"/>
      <c r="AN372" s="377"/>
      <c r="AO372" s="377"/>
      <c r="AP372" s="377"/>
      <c r="AQ372" s="377"/>
      <c r="AR372" s="377"/>
      <c r="AS372" s="377"/>
      <c r="AT372" s="377"/>
      <c r="AU372" s="377"/>
      <c r="AV372" s="377"/>
      <c r="AW372" s="575"/>
      <c r="AX372" s="377"/>
      <c r="AY372" s="377"/>
      <c r="AZ372" s="377"/>
      <c r="BA372" s="377"/>
      <c r="BB372" s="377"/>
      <c r="BC372" s="377"/>
      <c r="BD372" s="377"/>
      <c r="BE372" s="377"/>
      <c r="BF372" s="377"/>
      <c r="BG372" s="377"/>
      <c r="BH372" s="377"/>
      <c r="BI372" s="377"/>
      <c r="BJ372" s="377"/>
      <c r="BK372" s="377"/>
      <c r="BL372" s="377"/>
      <c r="BM372" s="377"/>
      <c r="BN372" s="576"/>
      <c r="BO372" s="377"/>
      <c r="BP372" s="377"/>
      <c r="BQ372" s="377"/>
      <c r="BR372" s="377"/>
      <c r="BS372" s="377"/>
      <c r="BT372" s="377"/>
      <c r="BU372" s="377"/>
      <c r="BV372" s="377"/>
      <c r="BW372" s="377"/>
      <c r="BX372" s="377"/>
      <c r="BY372" s="377"/>
      <c r="BZ372" s="377"/>
      <c r="CA372" s="377"/>
      <c r="CB372" s="377"/>
      <c r="CC372" s="377"/>
      <c r="CD372" s="377"/>
      <c r="CE372" s="377"/>
      <c r="CF372" s="377"/>
      <c r="CG372" s="377"/>
      <c r="CH372" s="377"/>
      <c r="CI372" s="377"/>
    </row>
    <row r="373" spans="1:87" ht="15">
      <c r="A373" s="377"/>
      <c r="B373" s="377"/>
      <c r="C373" s="572"/>
      <c r="D373" s="377"/>
      <c r="E373" s="377"/>
      <c r="F373" s="377"/>
      <c r="G373" s="377"/>
      <c r="H373" s="573"/>
      <c r="I373" s="377"/>
      <c r="J373" s="377"/>
      <c r="K373" s="377"/>
      <c r="L373" s="377"/>
      <c r="M373" s="377"/>
      <c r="N373" s="377"/>
      <c r="O373" s="377"/>
      <c r="P373" s="377"/>
      <c r="Q373" s="377"/>
      <c r="R373" s="377"/>
      <c r="S373" s="377"/>
      <c r="T373" s="377"/>
      <c r="U373" s="377"/>
      <c r="V373" s="377"/>
      <c r="W373" s="377"/>
      <c r="X373" s="574"/>
      <c r="Y373" s="377"/>
      <c r="Z373" s="377"/>
      <c r="AA373" s="377"/>
      <c r="AB373" s="377"/>
      <c r="AC373" s="377"/>
      <c r="AD373" s="377"/>
      <c r="AE373" s="377"/>
      <c r="AF373" s="377"/>
      <c r="AG373" s="377"/>
      <c r="AH373" s="377"/>
      <c r="AI373" s="377"/>
      <c r="AJ373" s="377"/>
      <c r="AK373" s="377"/>
      <c r="AL373" s="574"/>
      <c r="AM373" s="377"/>
      <c r="AN373" s="377"/>
      <c r="AO373" s="377"/>
      <c r="AP373" s="377"/>
      <c r="AQ373" s="377"/>
      <c r="AR373" s="377"/>
      <c r="AS373" s="377"/>
      <c r="AT373" s="377"/>
      <c r="AU373" s="377"/>
      <c r="AV373" s="377"/>
      <c r="AW373" s="575"/>
      <c r="AX373" s="377"/>
      <c r="AY373" s="377"/>
      <c r="AZ373" s="377"/>
      <c r="BA373" s="377"/>
      <c r="BB373" s="377"/>
      <c r="BC373" s="377"/>
      <c r="BD373" s="377"/>
      <c r="BE373" s="377"/>
      <c r="BF373" s="377"/>
      <c r="BG373" s="377"/>
      <c r="BH373" s="377"/>
      <c r="BI373" s="377"/>
      <c r="BJ373" s="377"/>
      <c r="BK373" s="377"/>
      <c r="BL373" s="377"/>
      <c r="BM373" s="377"/>
      <c r="BN373" s="576"/>
      <c r="BO373" s="377"/>
      <c r="BP373" s="377"/>
      <c r="BQ373" s="377"/>
      <c r="BR373" s="377"/>
      <c r="BS373" s="377"/>
      <c r="BT373" s="377"/>
      <c r="BU373" s="377"/>
      <c r="BV373" s="377"/>
      <c r="BW373" s="377"/>
      <c r="BX373" s="377"/>
      <c r="BY373" s="377"/>
      <c r="BZ373" s="377"/>
      <c r="CA373" s="377"/>
      <c r="CB373" s="377"/>
      <c r="CC373" s="377"/>
      <c r="CD373" s="377"/>
      <c r="CE373" s="377"/>
      <c r="CF373" s="377"/>
      <c r="CG373" s="377"/>
      <c r="CH373" s="377"/>
      <c r="CI373" s="377"/>
    </row>
    <row r="374" spans="1:87" ht="15">
      <c r="A374" s="377"/>
      <c r="B374" s="377"/>
      <c r="C374" s="572"/>
      <c r="D374" s="377"/>
      <c r="E374" s="377"/>
      <c r="F374" s="377"/>
      <c r="G374" s="377"/>
      <c r="H374" s="573"/>
      <c r="I374" s="377"/>
      <c r="J374" s="377"/>
      <c r="K374" s="377"/>
      <c r="L374" s="377"/>
      <c r="M374" s="377"/>
      <c r="N374" s="377"/>
      <c r="O374" s="377"/>
      <c r="P374" s="377"/>
      <c r="Q374" s="377"/>
      <c r="R374" s="377"/>
      <c r="S374" s="377"/>
      <c r="T374" s="377"/>
      <c r="U374" s="377"/>
      <c r="V374" s="377"/>
      <c r="W374" s="377"/>
      <c r="X374" s="574"/>
      <c r="Y374" s="377"/>
      <c r="Z374" s="377"/>
      <c r="AA374" s="377"/>
      <c r="AB374" s="377"/>
      <c r="AC374" s="377"/>
      <c r="AD374" s="377"/>
      <c r="AE374" s="377"/>
      <c r="AF374" s="377"/>
      <c r="AG374" s="377"/>
      <c r="AH374" s="377"/>
      <c r="AI374" s="377"/>
      <c r="AJ374" s="377"/>
      <c r="AK374" s="377"/>
      <c r="AL374" s="574"/>
      <c r="AM374" s="377"/>
      <c r="AN374" s="377"/>
      <c r="AO374" s="377"/>
      <c r="AP374" s="377"/>
      <c r="AQ374" s="377"/>
      <c r="AR374" s="377"/>
      <c r="AS374" s="377"/>
      <c r="AT374" s="377"/>
      <c r="AU374" s="377"/>
      <c r="AV374" s="377"/>
      <c r="AW374" s="575"/>
      <c r="AX374" s="377"/>
      <c r="AY374" s="377"/>
      <c r="AZ374" s="377"/>
      <c r="BA374" s="377"/>
      <c r="BB374" s="377"/>
      <c r="BC374" s="377"/>
      <c r="BD374" s="377"/>
      <c r="BE374" s="377"/>
      <c r="BF374" s="377"/>
      <c r="BG374" s="377"/>
      <c r="BH374" s="377"/>
      <c r="BI374" s="377"/>
      <c r="BJ374" s="377"/>
      <c r="BK374" s="377"/>
      <c r="BL374" s="377"/>
      <c r="BM374" s="377"/>
      <c r="BN374" s="576"/>
      <c r="BO374" s="377"/>
      <c r="BP374" s="377"/>
      <c r="BQ374" s="377"/>
      <c r="BR374" s="377"/>
      <c r="BS374" s="377"/>
      <c r="BT374" s="377"/>
      <c r="BU374" s="377"/>
      <c r="BV374" s="377"/>
      <c r="BW374" s="377"/>
      <c r="BX374" s="377"/>
      <c r="BY374" s="377"/>
      <c r="BZ374" s="377"/>
      <c r="CA374" s="377"/>
      <c r="CB374" s="377"/>
      <c r="CC374" s="377"/>
      <c r="CD374" s="377"/>
      <c r="CE374" s="377"/>
      <c r="CF374" s="377"/>
      <c r="CG374" s="377"/>
      <c r="CH374" s="377"/>
      <c r="CI374" s="377"/>
    </row>
    <row r="375" spans="1:87" ht="15">
      <c r="A375" s="377"/>
      <c r="B375" s="377"/>
      <c r="C375" s="572"/>
      <c r="D375" s="377"/>
      <c r="E375" s="377"/>
      <c r="F375" s="377"/>
      <c r="G375" s="377"/>
      <c r="H375" s="573"/>
      <c r="I375" s="377"/>
      <c r="J375" s="377"/>
      <c r="K375" s="377"/>
      <c r="L375" s="377"/>
      <c r="M375" s="377"/>
      <c r="N375" s="377"/>
      <c r="O375" s="377"/>
      <c r="P375" s="377"/>
      <c r="Q375" s="377"/>
      <c r="R375" s="377"/>
      <c r="S375" s="377"/>
      <c r="T375" s="377"/>
      <c r="U375" s="377"/>
      <c r="V375" s="377"/>
      <c r="W375" s="377"/>
      <c r="X375" s="574"/>
      <c r="Y375" s="377"/>
      <c r="Z375" s="377"/>
      <c r="AA375" s="377"/>
      <c r="AB375" s="377"/>
      <c r="AC375" s="377"/>
      <c r="AD375" s="377"/>
      <c r="AE375" s="377"/>
      <c r="AF375" s="377"/>
      <c r="AG375" s="377"/>
      <c r="AH375" s="377"/>
      <c r="AI375" s="377"/>
      <c r="AJ375" s="377"/>
      <c r="AK375" s="377"/>
      <c r="AL375" s="574"/>
      <c r="AM375" s="377"/>
      <c r="AN375" s="377"/>
      <c r="AO375" s="377"/>
      <c r="AP375" s="377"/>
      <c r="AQ375" s="377"/>
      <c r="AR375" s="377"/>
      <c r="AS375" s="377"/>
      <c r="AT375" s="377"/>
      <c r="AU375" s="377"/>
      <c r="AV375" s="377"/>
      <c r="AW375" s="575"/>
      <c r="AX375" s="377"/>
      <c r="AY375" s="377"/>
      <c r="AZ375" s="377"/>
      <c r="BA375" s="377"/>
      <c r="BB375" s="377"/>
      <c r="BC375" s="377"/>
      <c r="BD375" s="377"/>
      <c r="BE375" s="377"/>
      <c r="BF375" s="377"/>
      <c r="BG375" s="377"/>
      <c r="BH375" s="377"/>
      <c r="BI375" s="377"/>
      <c r="BJ375" s="377"/>
      <c r="BK375" s="377"/>
      <c r="BL375" s="377"/>
      <c r="BM375" s="377"/>
      <c r="BN375" s="576"/>
      <c r="BO375" s="377"/>
      <c r="BP375" s="377"/>
      <c r="BQ375" s="377"/>
      <c r="BR375" s="377"/>
      <c r="BS375" s="377"/>
      <c r="BT375" s="377"/>
      <c r="BU375" s="377"/>
      <c r="BV375" s="377"/>
      <c r="BW375" s="377"/>
      <c r="BX375" s="377"/>
      <c r="BY375" s="377"/>
      <c r="BZ375" s="377"/>
      <c r="CA375" s="377"/>
      <c r="CB375" s="377"/>
      <c r="CC375" s="377"/>
      <c r="CD375" s="377"/>
      <c r="CE375" s="377"/>
      <c r="CF375" s="377"/>
      <c r="CG375" s="377"/>
      <c r="CH375" s="377"/>
      <c r="CI375" s="377"/>
    </row>
    <row r="376" spans="1:87" ht="15">
      <c r="A376" s="377"/>
      <c r="B376" s="377"/>
      <c r="C376" s="572"/>
      <c r="D376" s="377"/>
      <c r="E376" s="377"/>
      <c r="F376" s="377"/>
      <c r="G376" s="377"/>
      <c r="H376" s="573"/>
      <c r="I376" s="377"/>
      <c r="J376" s="377"/>
      <c r="K376" s="377"/>
      <c r="L376" s="377"/>
      <c r="M376" s="377"/>
      <c r="N376" s="377"/>
      <c r="O376" s="377"/>
      <c r="P376" s="377"/>
      <c r="Q376" s="377"/>
      <c r="R376" s="377"/>
      <c r="S376" s="377"/>
      <c r="T376" s="377"/>
      <c r="U376" s="377"/>
      <c r="V376" s="377"/>
      <c r="W376" s="377"/>
      <c r="X376" s="574"/>
      <c r="Y376" s="377"/>
      <c r="Z376" s="377"/>
      <c r="AA376" s="377"/>
      <c r="AB376" s="377"/>
      <c r="AC376" s="377"/>
      <c r="AD376" s="377"/>
      <c r="AE376" s="377"/>
      <c r="AF376" s="377"/>
      <c r="AG376" s="377"/>
      <c r="AH376" s="377"/>
      <c r="AI376" s="377"/>
      <c r="AJ376" s="377"/>
      <c r="AK376" s="377"/>
      <c r="AL376" s="574"/>
      <c r="AM376" s="377"/>
      <c r="AN376" s="377"/>
      <c r="AO376" s="377"/>
      <c r="AP376" s="377"/>
      <c r="AQ376" s="377"/>
      <c r="AR376" s="377"/>
      <c r="AS376" s="377"/>
      <c r="AT376" s="377"/>
      <c r="AU376" s="377"/>
      <c r="AV376" s="377"/>
      <c r="AW376" s="575"/>
      <c r="AX376" s="377"/>
      <c r="AY376" s="377"/>
      <c r="AZ376" s="377"/>
      <c r="BA376" s="377"/>
      <c r="BB376" s="377"/>
      <c r="BC376" s="377"/>
      <c r="BD376" s="377"/>
      <c r="BE376" s="377"/>
      <c r="BF376" s="377"/>
      <c r="BG376" s="377"/>
      <c r="BH376" s="377"/>
      <c r="BI376" s="377"/>
      <c r="BJ376" s="377"/>
      <c r="BK376" s="377"/>
      <c r="BL376" s="377"/>
      <c r="BM376" s="377"/>
      <c r="BN376" s="576"/>
      <c r="BO376" s="377"/>
      <c r="BP376" s="377"/>
      <c r="BQ376" s="377"/>
      <c r="BR376" s="377"/>
      <c r="BS376" s="377"/>
      <c r="BT376" s="377"/>
      <c r="BU376" s="377"/>
      <c r="BV376" s="377"/>
      <c r="BW376" s="377"/>
      <c r="BX376" s="377"/>
      <c r="BY376" s="377"/>
      <c r="BZ376" s="377"/>
      <c r="CA376" s="377"/>
      <c r="CB376" s="377"/>
      <c r="CC376" s="377"/>
      <c r="CD376" s="377"/>
      <c r="CE376" s="377"/>
      <c r="CF376" s="377"/>
      <c r="CG376" s="377"/>
      <c r="CH376" s="377"/>
      <c r="CI376" s="377"/>
    </row>
    <row r="377" spans="1:87" ht="15">
      <c r="A377" s="377"/>
      <c r="B377" s="377"/>
      <c r="C377" s="572"/>
      <c r="D377" s="377"/>
      <c r="E377" s="377"/>
      <c r="F377" s="377"/>
      <c r="G377" s="377"/>
      <c r="H377" s="573"/>
      <c r="I377" s="377"/>
      <c r="J377" s="377"/>
      <c r="K377" s="377"/>
      <c r="L377" s="377"/>
      <c r="M377" s="377"/>
      <c r="N377" s="377"/>
      <c r="O377" s="377"/>
      <c r="P377" s="377"/>
      <c r="Q377" s="377"/>
      <c r="R377" s="377"/>
      <c r="S377" s="377"/>
      <c r="T377" s="377"/>
      <c r="U377" s="377"/>
      <c r="V377" s="377"/>
      <c r="W377" s="377"/>
      <c r="X377" s="574"/>
      <c r="Y377" s="377"/>
      <c r="Z377" s="377"/>
      <c r="AA377" s="377"/>
      <c r="AB377" s="377"/>
      <c r="AC377" s="377"/>
      <c r="AD377" s="377"/>
      <c r="AE377" s="377"/>
      <c r="AF377" s="377"/>
      <c r="AG377" s="377"/>
      <c r="AH377" s="377"/>
      <c r="AI377" s="377"/>
      <c r="AJ377" s="377"/>
      <c r="AK377" s="377"/>
      <c r="AL377" s="574"/>
      <c r="AM377" s="377"/>
      <c r="AN377" s="377"/>
      <c r="AO377" s="377"/>
      <c r="AP377" s="377"/>
      <c r="AQ377" s="377"/>
      <c r="AR377" s="377"/>
      <c r="AS377" s="377"/>
      <c r="AT377" s="377"/>
      <c r="AU377" s="377"/>
      <c r="AV377" s="377"/>
      <c r="AW377" s="575"/>
      <c r="AX377" s="377"/>
      <c r="AY377" s="377"/>
      <c r="AZ377" s="377"/>
      <c r="BA377" s="377"/>
      <c r="BB377" s="377"/>
      <c r="BC377" s="377"/>
      <c r="BD377" s="377"/>
      <c r="BE377" s="377"/>
      <c r="BF377" s="377"/>
      <c r="BG377" s="377"/>
      <c r="BH377" s="377"/>
      <c r="BI377" s="377"/>
      <c r="BJ377" s="377"/>
      <c r="BK377" s="377"/>
      <c r="BL377" s="377"/>
      <c r="BM377" s="377"/>
      <c r="BN377" s="576"/>
      <c r="BO377" s="377"/>
      <c r="BP377" s="377"/>
      <c r="BQ377" s="377"/>
      <c r="BR377" s="377"/>
      <c r="BS377" s="377"/>
      <c r="BT377" s="377"/>
      <c r="BU377" s="377"/>
      <c r="BV377" s="377"/>
      <c r="BW377" s="377"/>
      <c r="BX377" s="377"/>
      <c r="BY377" s="377"/>
      <c r="BZ377" s="377"/>
      <c r="CA377" s="377"/>
      <c r="CB377" s="377"/>
      <c r="CC377" s="377"/>
      <c r="CD377" s="377"/>
      <c r="CE377" s="377"/>
      <c r="CF377" s="377"/>
      <c r="CG377" s="377"/>
      <c r="CH377" s="377"/>
      <c r="CI377" s="377"/>
    </row>
    <row r="378" spans="1:87" ht="15">
      <c r="A378" s="377"/>
      <c r="B378" s="377"/>
      <c r="C378" s="572"/>
      <c r="D378" s="377"/>
      <c r="E378" s="377"/>
      <c r="F378" s="377"/>
      <c r="G378" s="377"/>
      <c r="H378" s="573"/>
      <c r="I378" s="377"/>
      <c r="J378" s="377"/>
      <c r="K378" s="377"/>
      <c r="L378" s="377"/>
      <c r="M378" s="377"/>
      <c r="N378" s="377"/>
      <c r="O378" s="377"/>
      <c r="P378" s="377"/>
      <c r="Q378" s="377"/>
      <c r="R378" s="377"/>
      <c r="S378" s="377"/>
      <c r="T378" s="377"/>
      <c r="U378" s="377"/>
      <c r="V378" s="377"/>
      <c r="W378" s="377"/>
      <c r="X378" s="574"/>
      <c r="Y378" s="377"/>
      <c r="Z378" s="377"/>
      <c r="AA378" s="377"/>
      <c r="AB378" s="377"/>
      <c r="AC378" s="377"/>
      <c r="AD378" s="377"/>
      <c r="AE378" s="377"/>
      <c r="AF378" s="377"/>
      <c r="AG378" s="377"/>
      <c r="AH378" s="377"/>
      <c r="AI378" s="377"/>
      <c r="AJ378" s="377"/>
      <c r="AK378" s="377"/>
      <c r="AL378" s="574"/>
      <c r="AM378" s="377"/>
      <c r="AN378" s="377"/>
      <c r="AO378" s="377"/>
      <c r="AP378" s="377"/>
      <c r="AQ378" s="377"/>
      <c r="AR378" s="377"/>
      <c r="AS378" s="377"/>
      <c r="AT378" s="377"/>
      <c r="AU378" s="377"/>
      <c r="AV378" s="377"/>
      <c r="AW378" s="575"/>
      <c r="AX378" s="377"/>
      <c r="AY378" s="377"/>
      <c r="AZ378" s="377"/>
      <c r="BA378" s="377"/>
      <c r="BB378" s="377"/>
      <c r="BC378" s="377"/>
      <c r="BD378" s="377"/>
      <c r="BE378" s="377"/>
      <c r="BF378" s="377"/>
      <c r="BG378" s="377"/>
      <c r="BH378" s="377"/>
      <c r="BI378" s="377"/>
      <c r="BJ378" s="377"/>
      <c r="BK378" s="377"/>
      <c r="BL378" s="377"/>
      <c r="BM378" s="377"/>
      <c r="BN378" s="576"/>
      <c r="BO378" s="377"/>
      <c r="BP378" s="377"/>
      <c r="BQ378" s="377"/>
      <c r="BR378" s="377"/>
      <c r="BS378" s="377"/>
      <c r="BT378" s="377"/>
      <c r="BU378" s="377"/>
      <c r="BV378" s="377"/>
      <c r="BW378" s="377"/>
      <c r="BX378" s="377"/>
      <c r="BY378" s="377"/>
      <c r="BZ378" s="377"/>
      <c r="CA378" s="377"/>
      <c r="CB378" s="377"/>
      <c r="CC378" s="377"/>
      <c r="CD378" s="377"/>
      <c r="CE378" s="377"/>
      <c r="CF378" s="377"/>
      <c r="CG378" s="377"/>
      <c r="CH378" s="377"/>
      <c r="CI378" s="377"/>
    </row>
    <row r="379" spans="1:87" ht="15">
      <c r="A379" s="377"/>
      <c r="B379" s="377"/>
      <c r="C379" s="572"/>
      <c r="D379" s="377"/>
      <c r="E379" s="377"/>
      <c r="F379" s="377"/>
      <c r="G379" s="377"/>
      <c r="H379" s="573"/>
      <c r="I379" s="377"/>
      <c r="J379" s="377"/>
      <c r="K379" s="377"/>
      <c r="L379" s="377"/>
      <c r="M379" s="377"/>
      <c r="N379" s="377"/>
      <c r="O379" s="377"/>
      <c r="P379" s="377"/>
      <c r="Q379" s="377"/>
      <c r="R379" s="377"/>
      <c r="S379" s="377"/>
      <c r="T379" s="377"/>
      <c r="U379" s="377"/>
      <c r="V379" s="377"/>
      <c r="W379" s="377"/>
      <c r="X379" s="574"/>
      <c r="Y379" s="377"/>
      <c r="Z379" s="377"/>
      <c r="AA379" s="377"/>
      <c r="AB379" s="377"/>
      <c r="AC379" s="377"/>
      <c r="AD379" s="377"/>
      <c r="AE379" s="377"/>
      <c r="AF379" s="377"/>
      <c r="AG379" s="377"/>
      <c r="AH379" s="377"/>
      <c r="AI379" s="377"/>
      <c r="AJ379" s="377"/>
      <c r="AK379" s="377"/>
      <c r="AL379" s="574"/>
      <c r="AM379" s="377"/>
      <c r="AN379" s="377"/>
      <c r="AO379" s="377"/>
      <c r="AP379" s="377"/>
      <c r="AQ379" s="377"/>
      <c r="AR379" s="377"/>
      <c r="AS379" s="377"/>
      <c r="AT379" s="377"/>
      <c r="AU379" s="377"/>
      <c r="AV379" s="377"/>
      <c r="AW379" s="575"/>
      <c r="AX379" s="377"/>
      <c r="AY379" s="377"/>
      <c r="AZ379" s="377"/>
      <c r="BA379" s="377"/>
      <c r="BB379" s="377"/>
      <c r="BC379" s="377"/>
      <c r="BD379" s="377"/>
      <c r="BE379" s="377"/>
      <c r="BF379" s="377"/>
      <c r="BG379" s="377"/>
      <c r="BH379" s="377"/>
      <c r="BI379" s="377"/>
      <c r="BJ379" s="377"/>
      <c r="BK379" s="377"/>
      <c r="BL379" s="377"/>
      <c r="BM379" s="377"/>
      <c r="BN379" s="576"/>
      <c r="BO379" s="377"/>
      <c r="BP379" s="377"/>
      <c r="BQ379" s="377"/>
      <c r="BR379" s="377"/>
      <c r="BS379" s="377"/>
      <c r="BT379" s="377"/>
      <c r="BU379" s="377"/>
      <c r="BV379" s="377"/>
      <c r="BW379" s="377"/>
      <c r="BX379" s="377"/>
      <c r="BY379" s="377"/>
      <c r="BZ379" s="377"/>
      <c r="CA379" s="377"/>
      <c r="CB379" s="377"/>
      <c r="CC379" s="377"/>
      <c r="CD379" s="377"/>
      <c r="CE379" s="377"/>
      <c r="CF379" s="377"/>
      <c r="CG379" s="377"/>
      <c r="CH379" s="377"/>
      <c r="CI379" s="377"/>
    </row>
    <row r="380" spans="1:87" ht="15">
      <c r="A380" s="377"/>
      <c r="B380" s="377"/>
      <c r="C380" s="572"/>
      <c r="D380" s="377"/>
      <c r="E380" s="377"/>
      <c r="F380" s="377"/>
      <c r="G380" s="377"/>
      <c r="H380" s="573"/>
      <c r="I380" s="377"/>
      <c r="J380" s="377"/>
      <c r="K380" s="377"/>
      <c r="L380" s="377"/>
      <c r="M380" s="377"/>
      <c r="N380" s="377"/>
      <c r="O380" s="377"/>
      <c r="P380" s="377"/>
      <c r="Q380" s="377"/>
      <c r="R380" s="377"/>
      <c r="S380" s="377"/>
      <c r="T380" s="377"/>
      <c r="U380" s="377"/>
      <c r="V380" s="377"/>
      <c r="W380" s="377"/>
      <c r="X380" s="574"/>
      <c r="Y380" s="377"/>
      <c r="Z380" s="377"/>
      <c r="AA380" s="377"/>
      <c r="AB380" s="377"/>
      <c r="AC380" s="377"/>
      <c r="AD380" s="377"/>
      <c r="AE380" s="377"/>
      <c r="AF380" s="377"/>
      <c r="AG380" s="377"/>
      <c r="AH380" s="377"/>
      <c r="AI380" s="377"/>
      <c r="AJ380" s="377"/>
      <c r="AK380" s="377"/>
      <c r="AL380" s="574"/>
      <c r="AM380" s="377"/>
      <c r="AN380" s="377"/>
      <c r="AO380" s="377"/>
      <c r="AP380" s="377"/>
      <c r="AQ380" s="377"/>
      <c r="AR380" s="377"/>
      <c r="AS380" s="377"/>
      <c r="AT380" s="377"/>
      <c r="AU380" s="377"/>
      <c r="AV380" s="377"/>
      <c r="AW380" s="575"/>
      <c r="AX380" s="377"/>
      <c r="AY380" s="377"/>
      <c r="AZ380" s="377"/>
      <c r="BA380" s="377"/>
      <c r="BB380" s="377"/>
      <c r="BC380" s="377"/>
      <c r="BD380" s="377"/>
      <c r="BE380" s="377"/>
      <c r="BF380" s="377"/>
      <c r="BG380" s="377"/>
      <c r="BH380" s="377"/>
      <c r="BI380" s="377"/>
      <c r="BJ380" s="377"/>
      <c r="BK380" s="377"/>
      <c r="BL380" s="377"/>
      <c r="BM380" s="377"/>
      <c r="BN380" s="576"/>
      <c r="BO380" s="377"/>
      <c r="BP380" s="377"/>
      <c r="BQ380" s="377"/>
      <c r="BR380" s="377"/>
      <c r="BS380" s="377"/>
      <c r="BT380" s="377"/>
      <c r="BU380" s="377"/>
      <c r="BV380" s="377"/>
      <c r="BW380" s="377"/>
      <c r="BX380" s="377"/>
      <c r="BY380" s="377"/>
      <c r="BZ380" s="377"/>
      <c r="CA380" s="377"/>
      <c r="CB380" s="377"/>
      <c r="CC380" s="377"/>
      <c r="CD380" s="377"/>
      <c r="CE380" s="377"/>
      <c r="CF380" s="377"/>
      <c r="CG380" s="377"/>
      <c r="CH380" s="377"/>
      <c r="CI380" s="377"/>
    </row>
    <row r="381" spans="1:87" ht="15">
      <c r="A381" s="377"/>
      <c r="B381" s="377"/>
      <c r="C381" s="572"/>
      <c r="D381" s="377"/>
      <c r="E381" s="377"/>
      <c r="F381" s="377"/>
      <c r="G381" s="377"/>
      <c r="H381" s="573"/>
      <c r="I381" s="377"/>
      <c r="J381" s="377"/>
      <c r="K381" s="377"/>
      <c r="L381" s="377"/>
      <c r="M381" s="377"/>
      <c r="N381" s="377"/>
      <c r="O381" s="377"/>
      <c r="P381" s="377"/>
      <c r="Q381" s="377"/>
      <c r="R381" s="377"/>
      <c r="S381" s="377"/>
      <c r="T381" s="377"/>
      <c r="U381" s="377"/>
      <c r="V381" s="377"/>
      <c r="W381" s="377"/>
      <c r="X381" s="574"/>
      <c r="Y381" s="377"/>
      <c r="Z381" s="377"/>
      <c r="AA381" s="377"/>
      <c r="AB381" s="377"/>
      <c r="AC381" s="377"/>
      <c r="AD381" s="377"/>
      <c r="AE381" s="377"/>
      <c r="AF381" s="377"/>
      <c r="AG381" s="377"/>
      <c r="AH381" s="377"/>
      <c r="AI381" s="377"/>
      <c r="AJ381" s="377"/>
      <c r="AK381" s="377"/>
      <c r="AL381" s="574"/>
      <c r="AM381" s="377"/>
      <c r="AN381" s="377"/>
      <c r="AO381" s="377"/>
      <c r="AP381" s="377"/>
      <c r="AQ381" s="377"/>
      <c r="AR381" s="377"/>
      <c r="AS381" s="377"/>
      <c r="AT381" s="377"/>
      <c r="AU381" s="377"/>
      <c r="AV381" s="377"/>
      <c r="AW381" s="575"/>
      <c r="AX381" s="377"/>
      <c r="AY381" s="377"/>
      <c r="AZ381" s="377"/>
      <c r="BA381" s="377"/>
      <c r="BB381" s="377"/>
      <c r="BC381" s="377"/>
      <c r="BD381" s="377"/>
      <c r="BE381" s="377"/>
      <c r="BF381" s="377"/>
      <c r="BG381" s="377"/>
      <c r="BH381" s="377"/>
      <c r="BI381" s="377"/>
      <c r="BJ381" s="377"/>
      <c r="BK381" s="377"/>
      <c r="BL381" s="377"/>
      <c r="BM381" s="377"/>
      <c r="BN381" s="576"/>
      <c r="BO381" s="377"/>
      <c r="BP381" s="377"/>
      <c r="BQ381" s="377"/>
      <c r="BR381" s="377"/>
      <c r="BS381" s="377"/>
      <c r="BT381" s="377"/>
      <c r="BU381" s="377"/>
      <c r="BV381" s="377"/>
      <c r="BW381" s="377"/>
      <c r="BX381" s="377"/>
      <c r="BY381" s="377"/>
      <c r="BZ381" s="377"/>
      <c r="CA381" s="377"/>
      <c r="CB381" s="377"/>
      <c r="CC381" s="377"/>
      <c r="CD381" s="377"/>
      <c r="CE381" s="377"/>
      <c r="CF381" s="377"/>
      <c r="CG381" s="377"/>
      <c r="CH381" s="377"/>
      <c r="CI381" s="377"/>
    </row>
    <row r="382" spans="1:87" ht="15">
      <c r="A382" s="377"/>
      <c r="B382" s="377"/>
      <c r="C382" s="572"/>
      <c r="D382" s="377"/>
      <c r="E382" s="377"/>
      <c r="F382" s="377"/>
      <c r="G382" s="377"/>
      <c r="H382" s="573"/>
      <c r="I382" s="377"/>
      <c r="J382" s="377"/>
      <c r="K382" s="377"/>
      <c r="L382" s="377"/>
      <c r="M382" s="377"/>
      <c r="N382" s="377"/>
      <c r="O382" s="377"/>
      <c r="P382" s="377"/>
      <c r="Q382" s="377"/>
      <c r="R382" s="377"/>
      <c r="S382" s="377"/>
      <c r="T382" s="377"/>
      <c r="U382" s="377"/>
      <c r="V382" s="377"/>
      <c r="W382" s="377"/>
      <c r="X382" s="574"/>
      <c r="Y382" s="377"/>
      <c r="Z382" s="377"/>
      <c r="AA382" s="377"/>
      <c r="AB382" s="377"/>
      <c r="AC382" s="377"/>
      <c r="AD382" s="377"/>
      <c r="AE382" s="377"/>
      <c r="AF382" s="377"/>
      <c r="AG382" s="377"/>
      <c r="AH382" s="377"/>
      <c r="AI382" s="377"/>
      <c r="AJ382" s="377"/>
      <c r="AK382" s="377"/>
      <c r="AL382" s="574"/>
      <c r="AM382" s="377"/>
      <c r="AN382" s="377"/>
      <c r="AO382" s="377"/>
      <c r="AP382" s="377"/>
      <c r="AQ382" s="377"/>
      <c r="AR382" s="377"/>
      <c r="AS382" s="377"/>
      <c r="AT382" s="377"/>
      <c r="AU382" s="377"/>
      <c r="AV382" s="377"/>
      <c r="AW382" s="575"/>
      <c r="AX382" s="377"/>
      <c r="AY382" s="377"/>
      <c r="AZ382" s="377"/>
      <c r="BA382" s="377"/>
      <c r="BB382" s="377"/>
      <c r="BC382" s="377"/>
      <c r="BD382" s="377"/>
      <c r="BE382" s="377"/>
      <c r="BF382" s="377"/>
      <c r="BG382" s="377"/>
      <c r="BH382" s="377"/>
      <c r="BI382" s="377"/>
      <c r="BJ382" s="377"/>
      <c r="BK382" s="377"/>
      <c r="BL382" s="377"/>
      <c r="BM382" s="377"/>
      <c r="BN382" s="576"/>
      <c r="BO382" s="377"/>
      <c r="BP382" s="377"/>
      <c r="BQ382" s="377"/>
      <c r="BR382" s="377"/>
      <c r="BS382" s="377"/>
      <c r="BT382" s="377"/>
      <c r="BU382" s="377"/>
      <c r="BV382" s="377"/>
      <c r="BW382" s="377"/>
      <c r="BX382" s="377"/>
      <c r="BY382" s="377"/>
      <c r="BZ382" s="377"/>
      <c r="CA382" s="377"/>
      <c r="CB382" s="377"/>
      <c r="CC382" s="377"/>
      <c r="CD382" s="377"/>
      <c r="CE382" s="377"/>
      <c r="CF382" s="377"/>
      <c r="CG382" s="377"/>
      <c r="CH382" s="377"/>
      <c r="CI382" s="377"/>
    </row>
    <row r="383" spans="1:87" ht="15">
      <c r="A383" s="377"/>
      <c r="B383" s="377"/>
      <c r="C383" s="572"/>
      <c r="D383" s="377"/>
      <c r="E383" s="377"/>
      <c r="F383" s="377"/>
      <c r="G383" s="377"/>
      <c r="H383" s="573"/>
      <c r="I383" s="377"/>
      <c r="J383" s="377"/>
      <c r="K383" s="377"/>
      <c r="L383" s="377"/>
      <c r="M383" s="377"/>
      <c r="N383" s="377"/>
      <c r="O383" s="377"/>
      <c r="P383" s="377"/>
      <c r="Q383" s="377"/>
      <c r="R383" s="377"/>
      <c r="S383" s="377"/>
      <c r="T383" s="377"/>
      <c r="U383" s="377"/>
      <c r="V383" s="377"/>
      <c r="W383" s="377"/>
      <c r="X383" s="574"/>
      <c r="Y383" s="377"/>
      <c r="Z383" s="377"/>
      <c r="AA383" s="377"/>
      <c r="AB383" s="377"/>
      <c r="AC383" s="377"/>
      <c r="AD383" s="377"/>
      <c r="AE383" s="377"/>
      <c r="AF383" s="377"/>
      <c r="AG383" s="377"/>
      <c r="AH383" s="377"/>
      <c r="AI383" s="377"/>
      <c r="AJ383" s="377"/>
      <c r="AK383" s="377"/>
      <c r="AL383" s="574"/>
      <c r="AM383" s="377"/>
      <c r="AN383" s="377"/>
      <c r="AO383" s="377"/>
      <c r="AP383" s="377"/>
      <c r="AQ383" s="377"/>
      <c r="AR383" s="377"/>
      <c r="AS383" s="377"/>
      <c r="AT383" s="377"/>
      <c r="AU383" s="377"/>
      <c r="AV383" s="377"/>
      <c r="AW383" s="575"/>
      <c r="AX383" s="377"/>
      <c r="AY383" s="377"/>
      <c r="AZ383" s="377"/>
      <c r="BA383" s="377"/>
      <c r="BB383" s="377"/>
      <c r="BC383" s="377"/>
      <c r="BD383" s="377"/>
      <c r="BE383" s="377"/>
      <c r="BF383" s="377"/>
      <c r="BG383" s="377"/>
      <c r="BH383" s="377"/>
      <c r="BI383" s="377"/>
      <c r="BJ383" s="377"/>
      <c r="BK383" s="377"/>
      <c r="BL383" s="377"/>
      <c r="BM383" s="377"/>
      <c r="BN383" s="576"/>
      <c r="BO383" s="377"/>
      <c r="BP383" s="377"/>
      <c r="BQ383" s="377"/>
      <c r="BR383" s="377"/>
      <c r="BS383" s="377"/>
      <c r="BT383" s="377"/>
      <c r="BU383" s="377"/>
      <c r="BV383" s="377"/>
      <c r="BW383" s="377"/>
      <c r="BX383" s="377"/>
      <c r="BY383" s="377"/>
      <c r="BZ383" s="377"/>
      <c r="CA383" s="377"/>
      <c r="CB383" s="377"/>
      <c r="CC383" s="377"/>
      <c r="CD383" s="377"/>
      <c r="CE383" s="377"/>
      <c r="CF383" s="377"/>
      <c r="CG383" s="377"/>
      <c r="CH383" s="377"/>
      <c r="CI383" s="377"/>
    </row>
    <row r="384" spans="1:87" ht="15">
      <c r="A384" s="377"/>
      <c r="B384" s="377"/>
      <c r="C384" s="572"/>
      <c r="D384" s="377"/>
      <c r="E384" s="377"/>
      <c r="F384" s="377"/>
      <c r="G384" s="377"/>
      <c r="H384" s="573"/>
      <c r="I384" s="377"/>
      <c r="J384" s="377"/>
      <c r="K384" s="377"/>
      <c r="L384" s="377"/>
      <c r="M384" s="377"/>
      <c r="N384" s="377"/>
      <c r="O384" s="377"/>
      <c r="P384" s="377"/>
      <c r="Q384" s="377"/>
      <c r="R384" s="377"/>
      <c r="S384" s="377"/>
      <c r="T384" s="377"/>
      <c r="U384" s="377"/>
      <c r="V384" s="377"/>
      <c r="W384" s="377"/>
      <c r="X384" s="574"/>
      <c r="Y384" s="377"/>
      <c r="Z384" s="377"/>
      <c r="AA384" s="377"/>
      <c r="AB384" s="377"/>
      <c r="AC384" s="377"/>
      <c r="AD384" s="377"/>
      <c r="AE384" s="377"/>
      <c r="AF384" s="377"/>
      <c r="AG384" s="377"/>
      <c r="AH384" s="377"/>
      <c r="AI384" s="377"/>
      <c r="AJ384" s="377"/>
      <c r="AK384" s="377"/>
      <c r="AL384" s="574"/>
      <c r="AM384" s="377"/>
      <c r="AN384" s="377"/>
      <c r="AO384" s="377"/>
      <c r="AP384" s="377"/>
      <c r="AQ384" s="377"/>
      <c r="AR384" s="377"/>
      <c r="AS384" s="377"/>
      <c r="AT384" s="377"/>
      <c r="AU384" s="377"/>
      <c r="AV384" s="377"/>
      <c r="AW384" s="575"/>
      <c r="AX384" s="377"/>
      <c r="AY384" s="377"/>
      <c r="AZ384" s="377"/>
      <c r="BA384" s="377"/>
      <c r="BB384" s="377"/>
      <c r="BC384" s="377"/>
      <c r="BD384" s="377"/>
      <c r="BE384" s="377"/>
      <c r="BF384" s="377"/>
      <c r="BG384" s="377"/>
      <c r="BH384" s="377"/>
      <c r="BI384" s="377"/>
      <c r="BJ384" s="377"/>
      <c r="BK384" s="377"/>
      <c r="BL384" s="377"/>
      <c r="BM384" s="377"/>
      <c r="BN384" s="576"/>
      <c r="BO384" s="377"/>
      <c r="BP384" s="377"/>
      <c r="BQ384" s="377"/>
      <c r="BR384" s="377"/>
      <c r="BS384" s="377"/>
      <c r="BT384" s="377"/>
      <c r="BU384" s="377"/>
      <c r="BV384" s="377"/>
      <c r="BW384" s="377"/>
      <c r="BX384" s="377"/>
      <c r="BY384" s="377"/>
      <c r="BZ384" s="377"/>
      <c r="CA384" s="377"/>
      <c r="CB384" s="377"/>
      <c r="CC384" s="377"/>
      <c r="CD384" s="377"/>
      <c r="CE384" s="377"/>
      <c r="CF384" s="377"/>
      <c r="CG384" s="377"/>
      <c r="CH384" s="377"/>
      <c r="CI384" s="377"/>
    </row>
    <row r="385" spans="1:87" ht="15">
      <c r="A385" s="377"/>
      <c r="B385" s="377"/>
      <c r="C385" s="572"/>
      <c r="D385" s="377"/>
      <c r="E385" s="377"/>
      <c r="F385" s="377"/>
      <c r="G385" s="377"/>
      <c r="H385" s="573"/>
      <c r="I385" s="377"/>
      <c r="J385" s="377"/>
      <c r="K385" s="377"/>
      <c r="L385" s="377"/>
      <c r="M385" s="377"/>
      <c r="N385" s="377"/>
      <c r="O385" s="377"/>
      <c r="P385" s="377"/>
      <c r="Q385" s="377"/>
      <c r="R385" s="377"/>
      <c r="S385" s="377"/>
      <c r="T385" s="377"/>
      <c r="U385" s="377"/>
      <c r="V385" s="377"/>
      <c r="W385" s="377"/>
      <c r="X385" s="574"/>
      <c r="Y385" s="377"/>
      <c r="Z385" s="377"/>
      <c r="AA385" s="377"/>
      <c r="AB385" s="377"/>
      <c r="AC385" s="377"/>
      <c r="AD385" s="377"/>
      <c r="AE385" s="377"/>
      <c r="AF385" s="377"/>
      <c r="AG385" s="377"/>
      <c r="AH385" s="377"/>
      <c r="AI385" s="377"/>
      <c r="AJ385" s="377"/>
      <c r="AK385" s="377"/>
      <c r="AL385" s="574"/>
      <c r="AM385" s="377"/>
      <c r="AN385" s="377"/>
      <c r="AO385" s="377"/>
      <c r="AP385" s="377"/>
      <c r="AQ385" s="377"/>
      <c r="AR385" s="377"/>
      <c r="AS385" s="377"/>
      <c r="AT385" s="377"/>
      <c r="AU385" s="377"/>
      <c r="AV385" s="377"/>
      <c r="AW385" s="575"/>
      <c r="AX385" s="377"/>
      <c r="AY385" s="377"/>
      <c r="AZ385" s="377"/>
      <c r="BA385" s="377"/>
      <c r="BB385" s="377"/>
      <c r="BC385" s="377"/>
      <c r="BD385" s="377"/>
      <c r="BE385" s="377"/>
      <c r="BF385" s="377"/>
      <c r="BG385" s="377"/>
      <c r="BH385" s="377"/>
      <c r="BI385" s="377"/>
      <c r="BJ385" s="377"/>
      <c r="BK385" s="377"/>
      <c r="BL385" s="377"/>
      <c r="BM385" s="377"/>
      <c r="BN385" s="576"/>
      <c r="BO385" s="377"/>
      <c r="BP385" s="377"/>
      <c r="BQ385" s="377"/>
      <c r="BR385" s="377"/>
      <c r="BS385" s="377"/>
      <c r="BT385" s="377"/>
      <c r="BU385" s="377"/>
      <c r="BV385" s="377"/>
      <c r="BW385" s="377"/>
      <c r="BX385" s="377"/>
      <c r="BY385" s="377"/>
      <c r="BZ385" s="377"/>
      <c r="CA385" s="377"/>
      <c r="CB385" s="377"/>
      <c r="CC385" s="377"/>
      <c r="CD385" s="377"/>
      <c r="CE385" s="377"/>
      <c r="CF385" s="377"/>
      <c r="CG385" s="377"/>
      <c r="CH385" s="377"/>
      <c r="CI385" s="377"/>
    </row>
    <row r="386" spans="1:87" ht="15">
      <c r="A386" s="377"/>
      <c r="B386" s="377"/>
      <c r="C386" s="572"/>
      <c r="D386" s="377"/>
      <c r="E386" s="377"/>
      <c r="F386" s="377"/>
      <c r="G386" s="377"/>
      <c r="H386" s="573"/>
      <c r="I386" s="377"/>
      <c r="J386" s="377"/>
      <c r="K386" s="377"/>
      <c r="L386" s="377"/>
      <c r="M386" s="377"/>
      <c r="N386" s="377"/>
      <c r="O386" s="377"/>
      <c r="P386" s="377"/>
      <c r="Q386" s="377"/>
      <c r="R386" s="377"/>
      <c r="S386" s="377"/>
      <c r="T386" s="377"/>
      <c r="U386" s="377"/>
      <c r="V386" s="377"/>
      <c r="W386" s="377"/>
      <c r="X386" s="574"/>
      <c r="Y386" s="377"/>
      <c r="Z386" s="377"/>
      <c r="AA386" s="377"/>
      <c r="AB386" s="377"/>
      <c r="AC386" s="377"/>
      <c r="AD386" s="377"/>
      <c r="AE386" s="377"/>
      <c r="AF386" s="377"/>
      <c r="AG386" s="377"/>
      <c r="AH386" s="377"/>
      <c r="AI386" s="377"/>
      <c r="AJ386" s="377"/>
      <c r="AK386" s="377"/>
      <c r="AL386" s="574"/>
      <c r="AM386" s="377"/>
      <c r="AN386" s="377"/>
      <c r="AO386" s="377"/>
      <c r="AP386" s="377"/>
      <c r="AQ386" s="377"/>
      <c r="AR386" s="377"/>
      <c r="AS386" s="377"/>
      <c r="AT386" s="377"/>
      <c r="AU386" s="377"/>
      <c r="AV386" s="377"/>
      <c r="AW386" s="575"/>
      <c r="AX386" s="377"/>
      <c r="AY386" s="377"/>
      <c r="AZ386" s="377"/>
      <c r="BA386" s="377"/>
      <c r="BB386" s="377"/>
      <c r="BC386" s="377"/>
      <c r="BD386" s="377"/>
      <c r="BE386" s="377"/>
      <c r="BF386" s="377"/>
      <c r="BG386" s="377"/>
      <c r="BH386" s="377"/>
      <c r="BI386" s="377"/>
      <c r="BJ386" s="377"/>
      <c r="BK386" s="377"/>
      <c r="BL386" s="377"/>
      <c r="BM386" s="377"/>
      <c r="BN386" s="576"/>
      <c r="BO386" s="377"/>
      <c r="BP386" s="377"/>
      <c r="BQ386" s="377"/>
      <c r="BR386" s="377"/>
      <c r="BS386" s="377"/>
      <c r="BT386" s="377"/>
      <c r="BU386" s="377"/>
      <c r="BV386" s="377"/>
      <c r="BW386" s="377"/>
      <c r="BX386" s="377"/>
      <c r="BY386" s="377"/>
      <c r="BZ386" s="377"/>
      <c r="CA386" s="377"/>
      <c r="CB386" s="377"/>
      <c r="CC386" s="377"/>
      <c r="CD386" s="377"/>
      <c r="CE386" s="377"/>
      <c r="CF386" s="377"/>
      <c r="CG386" s="377"/>
      <c r="CH386" s="377"/>
      <c r="CI386" s="377"/>
    </row>
    <row r="387" spans="1:87" ht="15">
      <c r="A387" s="377"/>
      <c r="B387" s="377"/>
      <c r="C387" s="572"/>
      <c r="D387" s="377"/>
      <c r="E387" s="377"/>
      <c r="F387" s="377"/>
      <c r="G387" s="377"/>
      <c r="H387" s="573"/>
      <c r="I387" s="377"/>
      <c r="J387" s="377"/>
      <c r="K387" s="377"/>
      <c r="L387" s="377"/>
      <c r="M387" s="377"/>
      <c r="N387" s="377"/>
      <c r="O387" s="377"/>
      <c r="P387" s="377"/>
      <c r="Q387" s="377"/>
      <c r="R387" s="377"/>
      <c r="S387" s="377"/>
      <c r="T387" s="377"/>
      <c r="U387" s="377"/>
      <c r="V387" s="377"/>
      <c r="W387" s="377"/>
      <c r="X387" s="574"/>
      <c r="Y387" s="377"/>
      <c r="Z387" s="377"/>
      <c r="AA387" s="377"/>
      <c r="AB387" s="377"/>
      <c r="AC387" s="377"/>
      <c r="AD387" s="377"/>
      <c r="AE387" s="377"/>
      <c r="AF387" s="377"/>
      <c r="AG387" s="377"/>
      <c r="AH387" s="377"/>
      <c r="AI387" s="377"/>
      <c r="AJ387" s="377"/>
      <c r="AK387" s="377"/>
      <c r="AL387" s="574"/>
      <c r="AM387" s="377"/>
      <c r="AN387" s="377"/>
      <c r="AO387" s="377"/>
      <c r="AP387" s="377"/>
      <c r="AQ387" s="377"/>
      <c r="AR387" s="377"/>
      <c r="AS387" s="377"/>
      <c r="AT387" s="377"/>
      <c r="AU387" s="377"/>
      <c r="AV387" s="377"/>
      <c r="AW387" s="575"/>
      <c r="AX387" s="377"/>
      <c r="AY387" s="377"/>
      <c r="AZ387" s="377"/>
      <c r="BA387" s="377"/>
      <c r="BB387" s="377"/>
      <c r="BC387" s="377"/>
      <c r="BD387" s="377"/>
      <c r="BE387" s="377"/>
      <c r="BF387" s="377"/>
      <c r="BG387" s="377"/>
      <c r="BH387" s="377"/>
      <c r="BI387" s="377"/>
      <c r="BJ387" s="377"/>
      <c r="BK387" s="377"/>
      <c r="BL387" s="377"/>
      <c r="BM387" s="377"/>
      <c r="BN387" s="576"/>
      <c r="BO387" s="377"/>
      <c r="BP387" s="377"/>
      <c r="BQ387" s="377"/>
      <c r="BR387" s="377"/>
      <c r="BS387" s="377"/>
      <c r="BT387" s="377"/>
      <c r="BU387" s="377"/>
      <c r="BV387" s="377"/>
      <c r="BW387" s="377"/>
      <c r="BX387" s="377"/>
      <c r="BY387" s="377"/>
      <c r="BZ387" s="377"/>
      <c r="CA387" s="377"/>
      <c r="CB387" s="377"/>
      <c r="CC387" s="377"/>
      <c r="CD387" s="377"/>
      <c r="CE387" s="377"/>
      <c r="CF387" s="377"/>
      <c r="CG387" s="377"/>
      <c r="CH387" s="377"/>
      <c r="CI387" s="377"/>
    </row>
    <row r="388" spans="1:87" ht="15">
      <c r="A388" s="377"/>
      <c r="B388" s="377"/>
      <c r="C388" s="572"/>
      <c r="D388" s="377"/>
      <c r="E388" s="377"/>
      <c r="F388" s="377"/>
      <c r="G388" s="377"/>
      <c r="H388" s="573"/>
      <c r="I388" s="377"/>
      <c r="J388" s="377"/>
      <c r="K388" s="377"/>
      <c r="L388" s="377"/>
      <c r="M388" s="377"/>
      <c r="N388" s="377"/>
      <c r="O388" s="377"/>
      <c r="P388" s="377"/>
      <c r="Q388" s="377"/>
      <c r="R388" s="377"/>
      <c r="S388" s="377"/>
      <c r="T388" s="377"/>
      <c r="U388" s="377"/>
      <c r="V388" s="377"/>
      <c r="W388" s="377"/>
      <c r="X388" s="574"/>
      <c r="Y388" s="377"/>
      <c r="Z388" s="377"/>
      <c r="AA388" s="377"/>
      <c r="AB388" s="377"/>
      <c r="AC388" s="377"/>
      <c r="AD388" s="377"/>
      <c r="AE388" s="377"/>
      <c r="AF388" s="377"/>
      <c r="AG388" s="377"/>
      <c r="AH388" s="377"/>
      <c r="AI388" s="377"/>
      <c r="AJ388" s="377"/>
      <c r="AK388" s="377"/>
      <c r="AL388" s="574"/>
      <c r="AM388" s="377"/>
      <c r="AN388" s="377"/>
      <c r="AO388" s="377"/>
      <c r="AP388" s="377"/>
      <c r="AQ388" s="377"/>
      <c r="AR388" s="377"/>
      <c r="AS388" s="377"/>
      <c r="AT388" s="377"/>
      <c r="AU388" s="377"/>
      <c r="AV388" s="377"/>
      <c r="AW388" s="575"/>
      <c r="AX388" s="377"/>
      <c r="AY388" s="377"/>
      <c r="AZ388" s="377"/>
      <c r="BA388" s="377"/>
      <c r="BB388" s="377"/>
      <c r="BC388" s="377"/>
      <c r="BD388" s="377"/>
      <c r="BE388" s="377"/>
      <c r="BF388" s="377"/>
      <c r="BG388" s="377"/>
      <c r="BH388" s="377"/>
      <c r="BI388" s="377"/>
      <c r="BJ388" s="377"/>
      <c r="BK388" s="377"/>
      <c r="BL388" s="377"/>
      <c r="BM388" s="377"/>
      <c r="BN388" s="576"/>
      <c r="BO388" s="377"/>
      <c r="BP388" s="377"/>
      <c r="BQ388" s="377"/>
      <c r="BR388" s="377"/>
      <c r="BS388" s="377"/>
      <c r="BT388" s="377"/>
      <c r="BU388" s="377"/>
      <c r="BV388" s="377"/>
      <c r="BW388" s="377"/>
      <c r="BX388" s="377"/>
      <c r="BY388" s="377"/>
      <c r="BZ388" s="377"/>
      <c r="CA388" s="377"/>
      <c r="CB388" s="377"/>
      <c r="CC388" s="377"/>
      <c r="CD388" s="377"/>
      <c r="CE388" s="377"/>
      <c r="CF388" s="377"/>
      <c r="CG388" s="377"/>
      <c r="CH388" s="377"/>
      <c r="CI388" s="377"/>
    </row>
    <row r="389" spans="1:87" ht="15">
      <c r="A389" s="377"/>
      <c r="B389" s="377"/>
      <c r="C389" s="572"/>
      <c r="D389" s="377"/>
      <c r="E389" s="377"/>
      <c r="F389" s="377"/>
      <c r="G389" s="377"/>
      <c r="H389" s="573"/>
      <c r="I389" s="377"/>
      <c r="J389" s="377"/>
      <c r="K389" s="377"/>
      <c r="L389" s="377"/>
      <c r="M389" s="377"/>
      <c r="N389" s="377"/>
      <c r="O389" s="377"/>
      <c r="P389" s="377"/>
      <c r="Q389" s="377"/>
      <c r="R389" s="377"/>
      <c r="S389" s="377"/>
      <c r="T389" s="377"/>
      <c r="U389" s="377"/>
      <c r="V389" s="377"/>
      <c r="W389" s="377"/>
      <c r="X389" s="574"/>
      <c r="Y389" s="377"/>
      <c r="Z389" s="377"/>
      <c r="AA389" s="377"/>
      <c r="AB389" s="377"/>
      <c r="AC389" s="377"/>
      <c r="AD389" s="377"/>
      <c r="AE389" s="377"/>
      <c r="AF389" s="377"/>
      <c r="AG389" s="377"/>
      <c r="AH389" s="377"/>
      <c r="AI389" s="377"/>
      <c r="AJ389" s="377"/>
      <c r="AK389" s="377"/>
      <c r="AL389" s="574"/>
      <c r="AM389" s="377"/>
      <c r="AN389" s="377"/>
      <c r="AO389" s="377"/>
      <c r="AP389" s="377"/>
      <c r="AQ389" s="377"/>
      <c r="AR389" s="377"/>
      <c r="AS389" s="377"/>
      <c r="AT389" s="377"/>
      <c r="AU389" s="377"/>
      <c r="AV389" s="377"/>
      <c r="AW389" s="575"/>
      <c r="AX389" s="377"/>
      <c r="AY389" s="377"/>
      <c r="AZ389" s="377"/>
      <c r="BA389" s="377"/>
      <c r="BB389" s="377"/>
      <c r="BC389" s="377"/>
      <c r="BD389" s="377"/>
      <c r="BE389" s="377"/>
      <c r="BF389" s="377"/>
      <c r="BG389" s="377"/>
      <c r="BH389" s="377"/>
      <c r="BI389" s="377"/>
      <c r="BJ389" s="377"/>
      <c r="BK389" s="377"/>
      <c r="BL389" s="377"/>
      <c r="BM389" s="377"/>
      <c r="BN389" s="576"/>
      <c r="BO389" s="377"/>
      <c r="BP389" s="377"/>
      <c r="BQ389" s="377"/>
      <c r="BR389" s="377"/>
      <c r="BS389" s="377"/>
      <c r="BT389" s="377"/>
      <c r="BU389" s="377"/>
      <c r="BV389" s="377"/>
      <c r="BW389" s="377"/>
      <c r="BX389" s="377"/>
      <c r="BY389" s="377"/>
      <c r="BZ389" s="377"/>
      <c r="CA389" s="377"/>
      <c r="CB389" s="377"/>
      <c r="CC389" s="377"/>
      <c r="CD389" s="377"/>
      <c r="CE389" s="377"/>
      <c r="CF389" s="377"/>
      <c r="CG389" s="377"/>
      <c r="CH389" s="377"/>
      <c r="CI389" s="377"/>
    </row>
    <row r="390" spans="1:87" ht="15">
      <c r="A390" s="377"/>
      <c r="B390" s="377"/>
      <c r="C390" s="572"/>
      <c r="D390" s="377"/>
      <c r="E390" s="377"/>
      <c r="F390" s="377"/>
      <c r="G390" s="377"/>
      <c r="H390" s="573"/>
      <c r="I390" s="377"/>
      <c r="J390" s="377"/>
      <c r="K390" s="377"/>
      <c r="L390" s="377"/>
      <c r="M390" s="377"/>
      <c r="N390" s="377"/>
      <c r="O390" s="377"/>
      <c r="P390" s="377"/>
      <c r="Q390" s="377"/>
      <c r="R390" s="377"/>
      <c r="S390" s="377"/>
      <c r="T390" s="377"/>
      <c r="U390" s="377"/>
      <c r="V390" s="377"/>
      <c r="W390" s="377"/>
      <c r="X390" s="574"/>
      <c r="Y390" s="377"/>
      <c r="Z390" s="377"/>
      <c r="AA390" s="377"/>
      <c r="AB390" s="377"/>
      <c r="AC390" s="377"/>
      <c r="AD390" s="377"/>
      <c r="AE390" s="377"/>
      <c r="AF390" s="377"/>
      <c r="AG390" s="377"/>
      <c r="AH390" s="377"/>
      <c r="AI390" s="377"/>
      <c r="AJ390" s="377"/>
      <c r="AK390" s="377"/>
      <c r="AL390" s="574"/>
      <c r="AM390" s="377"/>
      <c r="AN390" s="377"/>
      <c r="AO390" s="377"/>
      <c r="AP390" s="377"/>
      <c r="AQ390" s="377"/>
      <c r="AR390" s="377"/>
      <c r="AS390" s="377"/>
      <c r="AT390" s="377"/>
      <c r="AU390" s="377"/>
      <c r="AV390" s="377"/>
      <c r="AW390" s="575"/>
      <c r="AX390" s="377"/>
      <c r="AY390" s="377"/>
      <c r="AZ390" s="377"/>
      <c r="BA390" s="377"/>
      <c r="BB390" s="377"/>
      <c r="BC390" s="377"/>
      <c r="BD390" s="377"/>
      <c r="BE390" s="377"/>
      <c r="BF390" s="377"/>
      <c r="BG390" s="377"/>
      <c r="BH390" s="377"/>
      <c r="BI390" s="377"/>
      <c r="BJ390" s="377"/>
      <c r="BK390" s="377"/>
      <c r="BL390" s="377"/>
      <c r="BM390" s="377"/>
      <c r="BN390" s="576"/>
      <c r="BO390" s="377"/>
      <c r="BP390" s="377"/>
      <c r="BQ390" s="377"/>
      <c r="BR390" s="377"/>
      <c r="BS390" s="377"/>
      <c r="BT390" s="377"/>
      <c r="BU390" s="377"/>
      <c r="BV390" s="377"/>
      <c r="BW390" s="377"/>
      <c r="BX390" s="377"/>
      <c r="BY390" s="377"/>
      <c r="BZ390" s="377"/>
      <c r="CA390" s="377"/>
      <c r="CB390" s="377"/>
      <c r="CC390" s="377"/>
      <c r="CD390" s="377"/>
      <c r="CE390" s="377"/>
      <c r="CF390" s="377"/>
      <c r="CG390" s="377"/>
      <c r="CH390" s="377"/>
      <c r="CI390" s="377"/>
    </row>
    <row r="391" spans="1:87" ht="15">
      <c r="A391" s="377"/>
      <c r="B391" s="377"/>
      <c r="C391" s="572"/>
      <c r="D391" s="377"/>
      <c r="E391" s="377"/>
      <c r="F391" s="377"/>
      <c r="G391" s="377"/>
      <c r="H391" s="573"/>
      <c r="I391" s="377"/>
      <c r="J391" s="377"/>
      <c r="K391" s="377"/>
      <c r="L391" s="377"/>
      <c r="M391" s="377"/>
      <c r="N391" s="377"/>
      <c r="O391" s="377"/>
      <c r="P391" s="377"/>
      <c r="Q391" s="377"/>
      <c r="R391" s="377"/>
      <c r="S391" s="377"/>
      <c r="T391" s="377"/>
      <c r="U391" s="377"/>
      <c r="V391" s="377"/>
      <c r="W391" s="377"/>
      <c r="X391" s="574"/>
      <c r="Y391" s="377"/>
      <c r="Z391" s="377"/>
      <c r="AA391" s="377"/>
      <c r="AB391" s="377"/>
      <c r="AC391" s="377"/>
      <c r="AD391" s="377"/>
      <c r="AE391" s="377"/>
      <c r="AF391" s="377"/>
      <c r="AG391" s="377"/>
      <c r="AH391" s="377"/>
      <c r="AI391" s="377"/>
      <c r="AJ391" s="377"/>
      <c r="AK391" s="377"/>
      <c r="AL391" s="574"/>
      <c r="AM391" s="377"/>
      <c r="AN391" s="377"/>
      <c r="AO391" s="377"/>
      <c r="AP391" s="377"/>
      <c r="AQ391" s="377"/>
      <c r="AR391" s="377"/>
      <c r="AS391" s="377"/>
      <c r="AT391" s="377"/>
      <c r="AU391" s="377"/>
      <c r="AV391" s="377"/>
      <c r="AW391" s="575"/>
      <c r="AX391" s="377"/>
      <c r="AY391" s="377"/>
      <c r="AZ391" s="377"/>
      <c r="BA391" s="377"/>
      <c r="BB391" s="377"/>
      <c r="BC391" s="377"/>
      <c r="BD391" s="377"/>
      <c r="BE391" s="377"/>
      <c r="BF391" s="377"/>
      <c r="BG391" s="377"/>
      <c r="BH391" s="377"/>
      <c r="BI391" s="377"/>
      <c r="BJ391" s="377"/>
      <c r="BK391" s="377"/>
      <c r="BL391" s="377"/>
      <c r="BM391" s="377"/>
      <c r="BN391" s="576"/>
      <c r="BO391" s="377"/>
      <c r="BP391" s="377"/>
      <c r="BQ391" s="377"/>
      <c r="BR391" s="377"/>
      <c r="BS391" s="377"/>
      <c r="BT391" s="377"/>
      <c r="BU391" s="377"/>
      <c r="BV391" s="377"/>
      <c r="BW391" s="377"/>
      <c r="BX391" s="377"/>
      <c r="BY391" s="377"/>
      <c r="BZ391" s="377"/>
      <c r="CA391" s="377"/>
      <c r="CB391" s="377"/>
      <c r="CC391" s="377"/>
      <c r="CD391" s="377"/>
      <c r="CE391" s="377"/>
      <c r="CF391" s="377"/>
      <c r="CG391" s="377"/>
      <c r="CH391" s="377"/>
      <c r="CI391" s="377"/>
    </row>
    <row r="392" spans="1:87" ht="15">
      <c r="A392" s="377"/>
      <c r="B392" s="377"/>
      <c r="C392" s="572"/>
      <c r="D392" s="377"/>
      <c r="E392" s="377"/>
      <c r="F392" s="377"/>
      <c r="G392" s="377"/>
      <c r="H392" s="573"/>
      <c r="I392" s="377"/>
      <c r="J392" s="377"/>
      <c r="K392" s="377"/>
      <c r="L392" s="377"/>
      <c r="M392" s="377"/>
      <c r="N392" s="377"/>
      <c r="O392" s="377"/>
      <c r="P392" s="377"/>
      <c r="Q392" s="377"/>
      <c r="R392" s="377"/>
      <c r="S392" s="377"/>
      <c r="T392" s="377"/>
      <c r="U392" s="377"/>
      <c r="V392" s="377"/>
      <c r="W392" s="377"/>
      <c r="X392" s="574"/>
      <c r="Y392" s="377"/>
      <c r="Z392" s="377"/>
      <c r="AA392" s="377"/>
      <c r="AB392" s="377"/>
      <c r="AC392" s="377"/>
      <c r="AD392" s="377"/>
      <c r="AE392" s="377"/>
      <c r="AF392" s="377"/>
      <c r="AG392" s="377"/>
      <c r="AH392" s="377"/>
      <c r="AI392" s="377"/>
      <c r="AJ392" s="377"/>
      <c r="AK392" s="377"/>
      <c r="AL392" s="574"/>
      <c r="AM392" s="377"/>
      <c r="AN392" s="377"/>
      <c r="AO392" s="377"/>
      <c r="AP392" s="377"/>
      <c r="AQ392" s="377"/>
      <c r="AR392" s="377"/>
      <c r="AS392" s="377"/>
      <c r="AT392" s="377"/>
      <c r="AU392" s="377"/>
      <c r="AV392" s="377"/>
      <c r="AW392" s="575"/>
      <c r="AX392" s="377"/>
      <c r="AY392" s="377"/>
      <c r="AZ392" s="377"/>
      <c r="BA392" s="377"/>
      <c r="BB392" s="377"/>
      <c r="BC392" s="377"/>
      <c r="BD392" s="377"/>
      <c r="BE392" s="377"/>
      <c r="BF392" s="377"/>
      <c r="BG392" s="377"/>
      <c r="BH392" s="377"/>
      <c r="BI392" s="377"/>
      <c r="BJ392" s="377"/>
      <c r="BK392" s="377"/>
      <c r="BL392" s="377"/>
      <c r="BM392" s="377"/>
      <c r="BN392" s="576"/>
      <c r="BO392" s="377"/>
      <c r="BP392" s="377"/>
      <c r="BQ392" s="377"/>
      <c r="BR392" s="377"/>
      <c r="BS392" s="377"/>
      <c r="BT392" s="377"/>
      <c r="BU392" s="377"/>
      <c r="BV392" s="377"/>
      <c r="BW392" s="377"/>
      <c r="BX392" s="377"/>
      <c r="BY392" s="377"/>
      <c r="BZ392" s="377"/>
      <c r="CA392" s="377"/>
      <c r="CB392" s="377"/>
      <c r="CC392" s="377"/>
      <c r="CD392" s="377"/>
      <c r="CE392" s="377"/>
      <c r="CF392" s="377"/>
      <c r="CG392" s="377"/>
      <c r="CH392" s="377"/>
      <c r="CI392" s="377"/>
    </row>
    <row r="393" spans="1:87" ht="15">
      <c r="A393" s="377"/>
      <c r="B393" s="377"/>
      <c r="C393" s="572"/>
      <c r="D393" s="377"/>
      <c r="E393" s="377"/>
      <c r="F393" s="377"/>
      <c r="G393" s="377"/>
      <c r="H393" s="573"/>
      <c r="I393" s="377"/>
      <c r="J393" s="377"/>
      <c r="K393" s="377"/>
      <c r="L393" s="377"/>
      <c r="M393" s="377"/>
      <c r="N393" s="377"/>
      <c r="O393" s="377"/>
      <c r="P393" s="377"/>
      <c r="Q393" s="377"/>
      <c r="R393" s="377"/>
      <c r="S393" s="377"/>
      <c r="T393" s="377"/>
      <c r="U393" s="377"/>
      <c r="V393" s="377"/>
      <c r="W393" s="377"/>
      <c r="X393" s="574"/>
      <c r="Y393" s="377"/>
      <c r="Z393" s="377"/>
      <c r="AA393" s="377"/>
      <c r="AB393" s="377"/>
      <c r="AC393" s="377"/>
      <c r="AD393" s="377"/>
      <c r="AE393" s="377"/>
      <c r="AF393" s="377"/>
      <c r="AG393" s="377"/>
      <c r="AH393" s="377"/>
      <c r="AI393" s="377"/>
      <c r="AJ393" s="377"/>
      <c r="AK393" s="377"/>
      <c r="AL393" s="574"/>
      <c r="AM393" s="377"/>
      <c r="AN393" s="377"/>
      <c r="AO393" s="377"/>
      <c r="AP393" s="377"/>
      <c r="AQ393" s="377"/>
      <c r="AR393" s="377"/>
      <c r="AS393" s="377"/>
      <c r="AT393" s="377"/>
      <c r="AU393" s="377"/>
      <c r="AV393" s="377"/>
      <c r="AW393" s="575"/>
      <c r="AX393" s="377"/>
      <c r="AY393" s="377"/>
      <c r="AZ393" s="377"/>
      <c r="BA393" s="377"/>
      <c r="BB393" s="377"/>
      <c r="BC393" s="377"/>
      <c r="BD393" s="377"/>
      <c r="BE393" s="377"/>
      <c r="BF393" s="377"/>
      <c r="BG393" s="377"/>
      <c r="BH393" s="377"/>
      <c r="BI393" s="377"/>
      <c r="BJ393" s="377"/>
      <c r="BK393" s="377"/>
      <c r="BL393" s="377"/>
      <c r="BM393" s="377"/>
      <c r="BN393" s="576"/>
      <c r="BO393" s="377"/>
      <c r="BP393" s="377"/>
      <c r="BQ393" s="377"/>
      <c r="BR393" s="377"/>
      <c r="BS393" s="377"/>
      <c r="BT393" s="377"/>
      <c r="BU393" s="377"/>
      <c r="BV393" s="377"/>
      <c r="BW393" s="377"/>
      <c r="BX393" s="377"/>
      <c r="BY393" s="377"/>
      <c r="BZ393" s="377"/>
      <c r="CA393" s="377"/>
      <c r="CB393" s="377"/>
      <c r="CC393" s="377"/>
      <c r="CD393" s="377"/>
      <c r="CE393" s="377"/>
      <c r="CF393" s="377"/>
      <c r="CG393" s="377"/>
      <c r="CH393" s="377"/>
      <c r="CI393" s="377"/>
    </row>
    <row r="394" spans="1:87" ht="15">
      <c r="A394" s="377"/>
      <c r="B394" s="377"/>
      <c r="C394" s="572"/>
      <c r="D394" s="377"/>
      <c r="E394" s="377"/>
      <c r="F394" s="377"/>
      <c r="G394" s="377"/>
      <c r="H394" s="573"/>
      <c r="I394" s="377"/>
      <c r="J394" s="377"/>
      <c r="K394" s="377"/>
      <c r="L394" s="377"/>
      <c r="M394" s="377"/>
      <c r="N394" s="377"/>
      <c r="O394" s="377"/>
      <c r="P394" s="377"/>
      <c r="Q394" s="377"/>
      <c r="R394" s="377"/>
      <c r="S394" s="377"/>
      <c r="T394" s="377"/>
      <c r="U394" s="377"/>
      <c r="V394" s="377"/>
      <c r="W394" s="377"/>
      <c r="X394" s="574"/>
      <c r="Y394" s="377"/>
      <c r="Z394" s="377"/>
      <c r="AA394" s="377"/>
      <c r="AB394" s="377"/>
      <c r="AC394" s="377"/>
      <c r="AD394" s="377"/>
      <c r="AE394" s="377"/>
      <c r="AF394" s="377"/>
      <c r="AG394" s="377"/>
      <c r="AH394" s="377"/>
      <c r="AI394" s="377"/>
      <c r="AJ394" s="377"/>
      <c r="AK394" s="377"/>
      <c r="AL394" s="574"/>
      <c r="AM394" s="377"/>
      <c r="AN394" s="377"/>
      <c r="AO394" s="377"/>
      <c r="AP394" s="377"/>
      <c r="AQ394" s="377"/>
      <c r="AR394" s="377"/>
      <c r="AS394" s="377"/>
      <c r="AT394" s="377"/>
      <c r="AU394" s="377"/>
      <c r="AV394" s="377"/>
      <c r="AW394" s="575"/>
      <c r="AX394" s="377"/>
      <c r="AY394" s="377"/>
      <c r="AZ394" s="377"/>
      <c r="BA394" s="377"/>
      <c r="BB394" s="377"/>
      <c r="BC394" s="377"/>
      <c r="BD394" s="377"/>
      <c r="BE394" s="377"/>
      <c r="BF394" s="377"/>
      <c r="BG394" s="377"/>
      <c r="BH394" s="377"/>
      <c r="BI394" s="377"/>
      <c r="BJ394" s="377"/>
      <c r="BK394" s="377"/>
      <c r="BL394" s="377"/>
      <c r="BM394" s="377"/>
      <c r="BN394" s="576"/>
      <c r="BO394" s="377"/>
      <c r="BP394" s="377"/>
      <c r="BQ394" s="377"/>
      <c r="BR394" s="377"/>
      <c r="BS394" s="377"/>
      <c r="BT394" s="377"/>
      <c r="BU394" s="377"/>
      <c r="BV394" s="377"/>
      <c r="BW394" s="377"/>
      <c r="BX394" s="377"/>
      <c r="BY394" s="377"/>
      <c r="BZ394" s="377"/>
      <c r="CA394" s="377"/>
      <c r="CB394" s="377"/>
      <c r="CC394" s="377"/>
      <c r="CD394" s="377"/>
      <c r="CE394" s="377"/>
      <c r="CF394" s="377"/>
      <c r="CG394" s="377"/>
      <c r="CH394" s="377"/>
      <c r="CI394" s="377"/>
    </row>
    <row r="395" spans="1:87" ht="15">
      <c r="A395" s="377"/>
      <c r="B395" s="377"/>
      <c r="C395" s="572"/>
      <c r="D395" s="377"/>
      <c r="E395" s="377"/>
      <c r="F395" s="377"/>
      <c r="G395" s="377"/>
      <c r="H395" s="573"/>
      <c r="I395" s="377"/>
      <c r="J395" s="377"/>
      <c r="K395" s="377"/>
      <c r="L395" s="377"/>
      <c r="M395" s="377"/>
      <c r="N395" s="377"/>
      <c r="O395" s="377"/>
      <c r="P395" s="377"/>
      <c r="Q395" s="377"/>
      <c r="R395" s="377"/>
      <c r="S395" s="377"/>
      <c r="T395" s="377"/>
      <c r="U395" s="377"/>
      <c r="V395" s="377"/>
      <c r="W395" s="377"/>
      <c r="X395" s="574"/>
      <c r="Y395" s="377"/>
      <c r="Z395" s="377"/>
      <c r="AA395" s="377"/>
      <c r="AB395" s="377"/>
      <c r="AC395" s="377"/>
      <c r="AD395" s="377"/>
      <c r="AE395" s="377"/>
      <c r="AF395" s="377"/>
      <c r="AG395" s="377"/>
      <c r="AH395" s="377"/>
      <c r="AI395" s="377"/>
      <c r="AJ395" s="377"/>
      <c r="AK395" s="377"/>
      <c r="AL395" s="574"/>
      <c r="AM395" s="377"/>
      <c r="AN395" s="377"/>
      <c r="AO395" s="377"/>
      <c r="AP395" s="377"/>
      <c r="AQ395" s="377"/>
      <c r="AR395" s="377"/>
      <c r="AS395" s="377"/>
      <c r="AT395" s="377"/>
      <c r="AU395" s="377"/>
      <c r="AV395" s="377"/>
      <c r="AW395" s="575"/>
      <c r="AX395" s="377"/>
      <c r="AY395" s="377"/>
      <c r="AZ395" s="377"/>
      <c r="BA395" s="377"/>
      <c r="BB395" s="377"/>
      <c r="BC395" s="377"/>
      <c r="BD395" s="377"/>
      <c r="BE395" s="377"/>
      <c r="BF395" s="377"/>
      <c r="BG395" s="377"/>
      <c r="BH395" s="377"/>
      <c r="BI395" s="377"/>
      <c r="BJ395" s="377"/>
      <c r="BK395" s="377"/>
      <c r="BL395" s="377"/>
      <c r="BM395" s="377"/>
      <c r="BN395" s="576"/>
      <c r="BO395" s="377"/>
      <c r="BP395" s="377"/>
      <c r="BQ395" s="377"/>
      <c r="BR395" s="377"/>
      <c r="BS395" s="377"/>
      <c r="BT395" s="377"/>
      <c r="BU395" s="377"/>
      <c r="BV395" s="377"/>
      <c r="BW395" s="377"/>
      <c r="BX395" s="377"/>
      <c r="BY395" s="377"/>
      <c r="BZ395" s="377"/>
      <c r="CA395" s="377"/>
      <c r="CB395" s="377"/>
      <c r="CC395" s="377"/>
      <c r="CD395" s="377"/>
      <c r="CE395" s="377"/>
      <c r="CF395" s="377"/>
      <c r="CG395" s="377"/>
      <c r="CH395" s="377"/>
      <c r="CI395" s="377"/>
    </row>
    <row r="396" spans="1:87" ht="15">
      <c r="A396" s="377"/>
      <c r="B396" s="377"/>
      <c r="C396" s="572"/>
      <c r="D396" s="377"/>
      <c r="E396" s="377"/>
      <c r="F396" s="377"/>
      <c r="G396" s="377"/>
      <c r="H396" s="573"/>
      <c r="I396" s="377"/>
      <c r="J396" s="377"/>
      <c r="K396" s="377"/>
      <c r="L396" s="377"/>
      <c r="M396" s="377"/>
      <c r="N396" s="377"/>
      <c r="O396" s="377"/>
      <c r="P396" s="377"/>
      <c r="Q396" s="377"/>
      <c r="R396" s="377"/>
      <c r="S396" s="377"/>
      <c r="T396" s="377"/>
      <c r="U396" s="377"/>
      <c r="V396" s="377"/>
      <c r="W396" s="377"/>
      <c r="X396" s="574"/>
      <c r="Y396" s="377"/>
      <c r="Z396" s="377"/>
      <c r="AA396" s="377"/>
      <c r="AB396" s="377"/>
      <c r="AC396" s="377"/>
      <c r="AD396" s="377"/>
      <c r="AE396" s="377"/>
      <c r="AF396" s="377"/>
      <c r="AG396" s="377"/>
      <c r="AH396" s="377"/>
      <c r="AI396" s="377"/>
      <c r="AJ396" s="377"/>
      <c r="AK396" s="377"/>
      <c r="AL396" s="574"/>
      <c r="AM396" s="377"/>
      <c r="AN396" s="377"/>
      <c r="AO396" s="377"/>
      <c r="AP396" s="377"/>
      <c r="AQ396" s="377"/>
      <c r="AR396" s="377"/>
      <c r="AS396" s="377"/>
      <c r="AT396" s="377"/>
      <c r="AU396" s="377"/>
      <c r="AV396" s="377"/>
      <c r="AW396" s="575"/>
      <c r="AX396" s="377"/>
      <c r="AY396" s="377"/>
      <c r="AZ396" s="377"/>
      <c r="BA396" s="377"/>
      <c r="BB396" s="377"/>
      <c r="BC396" s="377"/>
      <c r="BD396" s="377"/>
      <c r="BE396" s="377"/>
      <c r="BF396" s="377"/>
      <c r="BG396" s="377"/>
      <c r="BH396" s="377"/>
      <c r="BI396" s="377"/>
      <c r="BJ396" s="377"/>
      <c r="BK396" s="377"/>
      <c r="BL396" s="377"/>
      <c r="BM396" s="377"/>
      <c r="BN396" s="576"/>
      <c r="BO396" s="377"/>
      <c r="BP396" s="377"/>
      <c r="BQ396" s="377"/>
      <c r="BR396" s="377"/>
      <c r="BS396" s="377"/>
      <c r="BT396" s="377"/>
      <c r="BU396" s="377"/>
      <c r="BV396" s="377"/>
      <c r="BW396" s="377"/>
      <c r="BX396" s="377"/>
      <c r="BY396" s="377"/>
      <c r="BZ396" s="377"/>
      <c r="CA396" s="377"/>
      <c r="CB396" s="377"/>
      <c r="CC396" s="377"/>
      <c r="CD396" s="377"/>
      <c r="CE396" s="377"/>
      <c r="CF396" s="377"/>
      <c r="CG396" s="377"/>
      <c r="CH396" s="377"/>
      <c r="CI396" s="377"/>
    </row>
    <row r="397" spans="1:87" ht="15">
      <c r="A397" s="377"/>
      <c r="B397" s="377"/>
      <c r="C397" s="572"/>
      <c r="D397" s="377"/>
      <c r="E397" s="377"/>
      <c r="F397" s="377"/>
      <c r="G397" s="377"/>
      <c r="H397" s="573"/>
      <c r="I397" s="377"/>
      <c r="J397" s="377"/>
      <c r="K397" s="377"/>
      <c r="L397" s="377"/>
      <c r="M397" s="377"/>
      <c r="N397" s="377"/>
      <c r="O397" s="377"/>
      <c r="P397" s="377"/>
      <c r="Q397" s="377"/>
      <c r="R397" s="377"/>
      <c r="S397" s="377"/>
      <c r="T397" s="377"/>
      <c r="U397" s="377"/>
      <c r="V397" s="377"/>
      <c r="W397" s="377"/>
      <c r="X397" s="574"/>
      <c r="Y397" s="377"/>
      <c r="Z397" s="377"/>
      <c r="AA397" s="377"/>
      <c r="AB397" s="377"/>
      <c r="AC397" s="377"/>
      <c r="AD397" s="377"/>
      <c r="AE397" s="377"/>
      <c r="AF397" s="377"/>
      <c r="AG397" s="377"/>
      <c r="AH397" s="377"/>
      <c r="AI397" s="377"/>
      <c r="AJ397" s="377"/>
      <c r="AK397" s="377"/>
      <c r="AL397" s="574"/>
      <c r="AM397" s="377"/>
      <c r="AN397" s="377"/>
      <c r="AO397" s="377"/>
      <c r="AP397" s="377"/>
      <c r="AQ397" s="377"/>
      <c r="AR397" s="377"/>
      <c r="AS397" s="377"/>
      <c r="AT397" s="377"/>
      <c r="AU397" s="377"/>
      <c r="AV397" s="377"/>
      <c r="AW397" s="575"/>
      <c r="AX397" s="377"/>
      <c r="AY397" s="377"/>
      <c r="AZ397" s="377"/>
      <c r="BA397" s="377"/>
      <c r="BB397" s="377"/>
      <c r="BC397" s="377"/>
      <c r="BD397" s="377"/>
      <c r="BE397" s="377"/>
      <c r="BF397" s="377"/>
      <c r="BG397" s="377"/>
      <c r="BH397" s="377"/>
      <c r="BI397" s="377"/>
      <c r="BJ397" s="377"/>
      <c r="BK397" s="377"/>
      <c r="BL397" s="377"/>
      <c r="BM397" s="377"/>
      <c r="BN397" s="576"/>
      <c r="BO397" s="377"/>
      <c r="BP397" s="377"/>
      <c r="BQ397" s="377"/>
      <c r="BR397" s="377"/>
      <c r="BS397" s="377"/>
      <c r="BT397" s="377"/>
      <c r="BU397" s="377"/>
      <c r="BV397" s="377"/>
      <c r="BW397" s="377"/>
      <c r="BX397" s="377"/>
      <c r="BY397" s="377"/>
      <c r="BZ397" s="377"/>
      <c r="CA397" s="377"/>
      <c r="CB397" s="377"/>
      <c r="CC397" s="377"/>
      <c r="CD397" s="377"/>
      <c r="CE397" s="377"/>
      <c r="CF397" s="377"/>
      <c r="CG397" s="377"/>
      <c r="CH397" s="377"/>
      <c r="CI397" s="377"/>
    </row>
    <row r="398" spans="1:87" ht="15">
      <c r="A398" s="377"/>
      <c r="B398" s="377"/>
      <c r="C398" s="572"/>
      <c r="D398" s="377"/>
      <c r="E398" s="377"/>
      <c r="F398" s="377"/>
      <c r="G398" s="377"/>
      <c r="H398" s="573"/>
      <c r="I398" s="377"/>
      <c r="J398" s="377"/>
      <c r="K398" s="377"/>
      <c r="L398" s="377"/>
      <c r="M398" s="377"/>
      <c r="N398" s="377"/>
      <c r="O398" s="377"/>
      <c r="P398" s="377"/>
      <c r="Q398" s="377"/>
      <c r="R398" s="377"/>
      <c r="S398" s="377"/>
      <c r="T398" s="377"/>
      <c r="U398" s="377"/>
      <c r="V398" s="377"/>
      <c r="W398" s="377"/>
      <c r="X398" s="574"/>
      <c r="Y398" s="377"/>
      <c r="Z398" s="377"/>
      <c r="AA398" s="377"/>
      <c r="AB398" s="377"/>
      <c r="AC398" s="377"/>
      <c r="AD398" s="377"/>
      <c r="AE398" s="377"/>
      <c r="AF398" s="377"/>
      <c r="AG398" s="377"/>
      <c r="AH398" s="377"/>
      <c r="AI398" s="377"/>
      <c r="AJ398" s="377"/>
      <c r="AK398" s="377"/>
      <c r="AL398" s="574"/>
      <c r="AM398" s="377"/>
      <c r="AN398" s="377"/>
      <c r="AO398" s="377"/>
      <c r="AP398" s="377"/>
      <c r="AQ398" s="377"/>
      <c r="AR398" s="377"/>
      <c r="AS398" s="377"/>
      <c r="AT398" s="377"/>
      <c r="AU398" s="377"/>
      <c r="AV398" s="377"/>
      <c r="AW398" s="575"/>
      <c r="AX398" s="377"/>
      <c r="AY398" s="377"/>
      <c r="AZ398" s="377"/>
      <c r="BA398" s="377"/>
      <c r="BB398" s="377"/>
      <c r="BC398" s="377"/>
      <c r="BD398" s="377"/>
      <c r="BE398" s="377"/>
      <c r="BF398" s="377"/>
      <c r="BG398" s="377"/>
      <c r="BH398" s="377"/>
      <c r="BI398" s="377"/>
      <c r="BJ398" s="377"/>
      <c r="BK398" s="377"/>
      <c r="BL398" s="377"/>
      <c r="BM398" s="377"/>
      <c r="BN398" s="576"/>
      <c r="BO398" s="377"/>
      <c r="BP398" s="377"/>
      <c r="BQ398" s="377"/>
      <c r="BR398" s="377"/>
      <c r="BS398" s="377"/>
      <c r="BT398" s="377"/>
      <c r="BU398" s="377"/>
      <c r="BV398" s="377"/>
      <c r="BW398" s="377"/>
      <c r="BX398" s="377"/>
      <c r="BY398" s="377"/>
      <c r="BZ398" s="377"/>
      <c r="CA398" s="377"/>
      <c r="CB398" s="377"/>
      <c r="CC398" s="377"/>
      <c r="CD398" s="377"/>
      <c r="CE398" s="377"/>
      <c r="CF398" s="377"/>
      <c r="CG398" s="377"/>
      <c r="CH398" s="377"/>
      <c r="CI398" s="377"/>
    </row>
    <row r="399" spans="1:87" ht="15">
      <c r="A399" s="377"/>
      <c r="B399" s="377"/>
      <c r="C399" s="572"/>
      <c r="D399" s="377"/>
      <c r="E399" s="377"/>
      <c r="F399" s="377"/>
      <c r="G399" s="377"/>
      <c r="H399" s="573"/>
      <c r="I399" s="377"/>
      <c r="J399" s="377"/>
      <c r="K399" s="377"/>
      <c r="L399" s="377"/>
      <c r="M399" s="377"/>
      <c r="N399" s="377"/>
      <c r="O399" s="377"/>
      <c r="P399" s="377"/>
      <c r="Q399" s="377"/>
      <c r="R399" s="377"/>
      <c r="S399" s="377"/>
      <c r="T399" s="377"/>
      <c r="U399" s="377"/>
      <c r="V399" s="377"/>
      <c r="W399" s="377"/>
      <c r="X399" s="574"/>
      <c r="Y399" s="377"/>
      <c r="Z399" s="377"/>
      <c r="AA399" s="377"/>
      <c r="AB399" s="377"/>
      <c r="AC399" s="377"/>
      <c r="AD399" s="377"/>
      <c r="AE399" s="377"/>
      <c r="AF399" s="377"/>
      <c r="AG399" s="377"/>
      <c r="AH399" s="377"/>
      <c r="AI399" s="377"/>
      <c r="AJ399" s="377"/>
      <c r="AK399" s="377"/>
      <c r="AL399" s="574"/>
      <c r="AM399" s="377"/>
      <c r="AN399" s="377"/>
      <c r="AO399" s="377"/>
      <c r="AP399" s="377"/>
      <c r="AQ399" s="377"/>
      <c r="AR399" s="377"/>
      <c r="AS399" s="377"/>
      <c r="AT399" s="377"/>
      <c r="AU399" s="377"/>
      <c r="AV399" s="377"/>
      <c r="AW399" s="575"/>
      <c r="AX399" s="377"/>
      <c r="AY399" s="377"/>
      <c r="AZ399" s="377"/>
      <c r="BA399" s="377"/>
      <c r="BB399" s="377"/>
      <c r="BC399" s="377"/>
      <c r="BD399" s="377"/>
      <c r="BE399" s="377"/>
      <c r="BF399" s="377"/>
      <c r="BG399" s="377"/>
      <c r="BH399" s="377"/>
      <c r="BI399" s="377"/>
      <c r="BJ399" s="377"/>
      <c r="BK399" s="377"/>
      <c r="BL399" s="377"/>
      <c r="BM399" s="377"/>
      <c r="BN399" s="576"/>
      <c r="BO399" s="377"/>
      <c r="BP399" s="377"/>
      <c r="BQ399" s="377"/>
      <c r="BR399" s="377"/>
      <c r="BS399" s="377"/>
      <c r="BT399" s="377"/>
      <c r="BU399" s="377"/>
      <c r="BV399" s="377"/>
      <c r="BW399" s="377"/>
      <c r="BX399" s="377"/>
      <c r="BY399" s="377"/>
      <c r="BZ399" s="377"/>
      <c r="CA399" s="377"/>
      <c r="CB399" s="377"/>
      <c r="CC399" s="377"/>
      <c r="CD399" s="377"/>
      <c r="CE399" s="377"/>
      <c r="CF399" s="377"/>
      <c r="CG399" s="377"/>
      <c r="CH399" s="377"/>
      <c r="CI399" s="377"/>
    </row>
    <row r="400" spans="1:87" ht="15">
      <c r="A400" s="377"/>
      <c r="B400" s="377"/>
      <c r="C400" s="572"/>
      <c r="D400" s="377"/>
      <c r="E400" s="377"/>
      <c r="F400" s="377"/>
      <c r="G400" s="377"/>
      <c r="H400" s="573"/>
      <c r="I400" s="377"/>
      <c r="J400" s="377"/>
      <c r="K400" s="377"/>
      <c r="L400" s="377"/>
      <c r="M400" s="377"/>
      <c r="N400" s="377"/>
      <c r="O400" s="377"/>
      <c r="P400" s="377"/>
      <c r="Q400" s="377"/>
      <c r="R400" s="377"/>
      <c r="S400" s="377"/>
      <c r="T400" s="377"/>
      <c r="U400" s="377"/>
      <c r="V400" s="377"/>
      <c r="W400" s="377"/>
      <c r="X400" s="574"/>
      <c r="Y400" s="377"/>
      <c r="Z400" s="377"/>
      <c r="AA400" s="377"/>
      <c r="AB400" s="377"/>
      <c r="AC400" s="377"/>
      <c r="AD400" s="377"/>
      <c r="AE400" s="377"/>
      <c r="AF400" s="377"/>
      <c r="AG400" s="377"/>
      <c r="AH400" s="377"/>
      <c r="AI400" s="377"/>
      <c r="AJ400" s="377"/>
      <c r="AK400" s="377"/>
      <c r="AL400" s="574"/>
      <c r="AM400" s="377"/>
      <c r="AN400" s="377"/>
      <c r="AO400" s="377"/>
      <c r="AP400" s="377"/>
      <c r="AQ400" s="377"/>
      <c r="AR400" s="377"/>
      <c r="AS400" s="377"/>
      <c r="AT400" s="377"/>
      <c r="AU400" s="377"/>
      <c r="AV400" s="377"/>
      <c r="AW400" s="575"/>
      <c r="AX400" s="377"/>
      <c r="AY400" s="377"/>
      <c r="AZ400" s="377"/>
      <c r="BA400" s="377"/>
      <c r="BB400" s="377"/>
      <c r="BC400" s="377"/>
      <c r="BD400" s="377"/>
      <c r="BE400" s="377"/>
      <c r="BF400" s="377"/>
      <c r="BG400" s="377"/>
      <c r="BH400" s="377"/>
      <c r="BI400" s="377"/>
      <c r="BJ400" s="377"/>
      <c r="BK400" s="377"/>
      <c r="BL400" s="377"/>
      <c r="BM400" s="377"/>
      <c r="BN400" s="576"/>
      <c r="BO400" s="377"/>
      <c r="BP400" s="377"/>
      <c r="BQ400" s="377"/>
      <c r="BR400" s="377"/>
      <c r="BS400" s="377"/>
      <c r="BT400" s="377"/>
      <c r="BU400" s="377"/>
      <c r="BV400" s="377"/>
      <c r="BW400" s="377"/>
      <c r="BX400" s="377"/>
      <c r="BY400" s="377"/>
      <c r="BZ400" s="377"/>
      <c r="CA400" s="377"/>
      <c r="CB400" s="377"/>
      <c r="CC400" s="377"/>
      <c r="CD400" s="377"/>
      <c r="CE400" s="377"/>
      <c r="CF400" s="377"/>
      <c r="CG400" s="377"/>
      <c r="CH400" s="377"/>
      <c r="CI400" s="377"/>
    </row>
    <row r="401" spans="1:87" ht="15">
      <c r="A401" s="377"/>
      <c r="B401" s="377"/>
      <c r="C401" s="572"/>
      <c r="D401" s="377"/>
      <c r="E401" s="377"/>
      <c r="F401" s="377"/>
      <c r="G401" s="377"/>
      <c r="H401" s="573"/>
      <c r="I401" s="377"/>
      <c r="J401" s="377"/>
      <c r="K401" s="377"/>
      <c r="L401" s="377"/>
      <c r="M401" s="377"/>
      <c r="N401" s="377"/>
      <c r="O401" s="377"/>
      <c r="P401" s="377"/>
      <c r="Q401" s="377"/>
      <c r="R401" s="377"/>
      <c r="S401" s="377"/>
      <c r="T401" s="377"/>
      <c r="U401" s="377"/>
      <c r="V401" s="377"/>
      <c r="W401" s="377"/>
      <c r="X401" s="574"/>
      <c r="Y401" s="377"/>
      <c r="Z401" s="377"/>
      <c r="AA401" s="377"/>
      <c r="AB401" s="377"/>
      <c r="AC401" s="377"/>
      <c r="AD401" s="377"/>
      <c r="AE401" s="377"/>
      <c r="AF401" s="377"/>
      <c r="AG401" s="377"/>
      <c r="AH401" s="377"/>
      <c r="AI401" s="377"/>
      <c r="AJ401" s="377"/>
      <c r="AK401" s="377"/>
      <c r="AL401" s="574"/>
      <c r="AM401" s="377"/>
      <c r="AN401" s="377"/>
      <c r="AO401" s="377"/>
      <c r="AP401" s="377"/>
      <c r="AQ401" s="377"/>
      <c r="AR401" s="377"/>
      <c r="AS401" s="377"/>
      <c r="AT401" s="377"/>
      <c r="AU401" s="377"/>
      <c r="AV401" s="377"/>
      <c r="AW401" s="575"/>
      <c r="AX401" s="377"/>
      <c r="AY401" s="377"/>
      <c r="AZ401" s="377"/>
      <c r="BA401" s="377"/>
      <c r="BB401" s="377"/>
      <c r="BC401" s="377"/>
      <c r="BD401" s="377"/>
      <c r="BE401" s="377"/>
      <c r="BF401" s="377"/>
      <c r="BG401" s="377"/>
      <c r="BH401" s="377"/>
      <c r="BI401" s="377"/>
      <c r="BJ401" s="377"/>
      <c r="BK401" s="377"/>
      <c r="BL401" s="377"/>
      <c r="BM401" s="377"/>
      <c r="BN401" s="576"/>
      <c r="BO401" s="377"/>
      <c r="BP401" s="377"/>
      <c r="BQ401" s="377"/>
      <c r="BR401" s="377"/>
      <c r="BS401" s="377"/>
      <c r="BT401" s="377"/>
      <c r="BU401" s="377"/>
      <c r="BV401" s="377"/>
      <c r="BW401" s="377"/>
      <c r="BX401" s="377"/>
      <c r="BY401" s="377"/>
      <c r="BZ401" s="377"/>
      <c r="CA401" s="377"/>
      <c r="CB401" s="377"/>
      <c r="CC401" s="377"/>
      <c r="CD401" s="377"/>
      <c r="CE401" s="377"/>
      <c r="CF401" s="377"/>
      <c r="CG401" s="377"/>
      <c r="CH401" s="377"/>
      <c r="CI401" s="377"/>
    </row>
    <row r="402" spans="1:87" ht="15">
      <c r="A402" s="377"/>
      <c r="B402" s="377"/>
      <c r="C402" s="572"/>
      <c r="D402" s="377"/>
      <c r="E402" s="377"/>
      <c r="F402" s="377"/>
      <c r="G402" s="377"/>
      <c r="H402" s="573"/>
      <c r="I402" s="377"/>
      <c r="J402" s="377"/>
      <c r="K402" s="377"/>
      <c r="L402" s="377"/>
      <c r="M402" s="377"/>
      <c r="N402" s="377"/>
      <c r="O402" s="377"/>
      <c r="P402" s="377"/>
      <c r="Q402" s="377"/>
      <c r="R402" s="377"/>
      <c r="S402" s="377"/>
      <c r="T402" s="377"/>
      <c r="U402" s="377"/>
      <c r="V402" s="377"/>
      <c r="W402" s="377"/>
      <c r="X402" s="574"/>
      <c r="Y402" s="377"/>
      <c r="Z402" s="377"/>
      <c r="AA402" s="377"/>
      <c r="AB402" s="377"/>
      <c r="AC402" s="377"/>
      <c r="AD402" s="377"/>
      <c r="AE402" s="377"/>
      <c r="AF402" s="377"/>
      <c r="AG402" s="377"/>
      <c r="AH402" s="377"/>
      <c r="AI402" s="377"/>
      <c r="AJ402" s="377"/>
      <c r="AK402" s="377"/>
      <c r="AL402" s="574"/>
      <c r="AM402" s="377"/>
      <c r="AN402" s="377"/>
      <c r="AO402" s="377"/>
      <c r="AP402" s="377"/>
      <c r="AQ402" s="377"/>
      <c r="AR402" s="377"/>
      <c r="AS402" s="377"/>
      <c r="AT402" s="377"/>
      <c r="AU402" s="377"/>
      <c r="AV402" s="377"/>
      <c r="AW402" s="575"/>
      <c r="AX402" s="377"/>
      <c r="AY402" s="377"/>
      <c r="AZ402" s="377"/>
      <c r="BA402" s="377"/>
      <c r="BB402" s="377"/>
      <c r="BC402" s="377"/>
      <c r="BD402" s="377"/>
      <c r="BE402" s="377"/>
      <c r="BF402" s="377"/>
      <c r="BG402" s="377"/>
      <c r="BH402" s="377"/>
      <c r="BI402" s="377"/>
      <c r="BJ402" s="377"/>
      <c r="BK402" s="377"/>
      <c r="BL402" s="377"/>
      <c r="BM402" s="377"/>
      <c r="BN402" s="576"/>
      <c r="BO402" s="377"/>
      <c r="BP402" s="377"/>
      <c r="BQ402" s="377"/>
      <c r="BR402" s="377"/>
      <c r="BS402" s="377"/>
      <c r="BT402" s="377"/>
      <c r="BU402" s="377"/>
      <c r="BV402" s="377"/>
      <c r="BW402" s="377"/>
      <c r="BX402" s="377"/>
      <c r="BY402" s="377"/>
      <c r="BZ402" s="377"/>
      <c r="CA402" s="377"/>
      <c r="CB402" s="377"/>
      <c r="CC402" s="377"/>
      <c r="CD402" s="377"/>
      <c r="CE402" s="377"/>
      <c r="CF402" s="377"/>
      <c r="CG402" s="377"/>
      <c r="CH402" s="377"/>
      <c r="CI402" s="377"/>
    </row>
    <row r="403" spans="1:87" ht="15">
      <c r="A403" s="377"/>
      <c r="B403" s="377"/>
      <c r="C403" s="572"/>
      <c r="D403" s="377"/>
      <c r="E403" s="377"/>
      <c r="F403" s="377"/>
      <c r="G403" s="377"/>
      <c r="H403" s="573"/>
      <c r="I403" s="377"/>
      <c r="J403" s="377"/>
      <c r="K403" s="377"/>
      <c r="L403" s="377"/>
      <c r="M403" s="377"/>
      <c r="N403" s="377"/>
      <c r="O403" s="377"/>
      <c r="P403" s="377"/>
      <c r="Q403" s="377"/>
      <c r="R403" s="377"/>
      <c r="S403" s="377"/>
      <c r="T403" s="377"/>
      <c r="U403" s="377"/>
      <c r="V403" s="377"/>
      <c r="W403" s="377"/>
      <c r="X403" s="574"/>
      <c r="Y403" s="377"/>
      <c r="Z403" s="377"/>
      <c r="AA403" s="377"/>
      <c r="AB403" s="377"/>
      <c r="AC403" s="377"/>
      <c r="AD403" s="377"/>
      <c r="AE403" s="377"/>
      <c r="AF403" s="377"/>
      <c r="AG403" s="377"/>
      <c r="AH403" s="377"/>
      <c r="AI403" s="377"/>
      <c r="AJ403" s="377"/>
      <c r="AK403" s="377"/>
      <c r="AL403" s="574"/>
      <c r="AM403" s="377"/>
      <c r="AN403" s="377"/>
      <c r="AO403" s="377"/>
      <c r="AP403" s="377"/>
      <c r="AQ403" s="377"/>
      <c r="AR403" s="377"/>
      <c r="AS403" s="377"/>
      <c r="AT403" s="377"/>
      <c r="AU403" s="377"/>
      <c r="AV403" s="377"/>
      <c r="AW403" s="575"/>
      <c r="AX403" s="377"/>
      <c r="AY403" s="377"/>
      <c r="AZ403" s="377"/>
      <c r="BA403" s="377"/>
      <c r="BB403" s="377"/>
      <c r="BC403" s="377"/>
      <c r="BD403" s="377"/>
      <c r="BE403" s="377"/>
      <c r="BF403" s="377"/>
      <c r="BG403" s="377"/>
      <c r="BH403" s="377"/>
      <c r="BI403" s="377"/>
      <c r="BJ403" s="377"/>
      <c r="BK403" s="377"/>
      <c r="BL403" s="377"/>
      <c r="BM403" s="377"/>
      <c r="BN403" s="576"/>
      <c r="BO403" s="377"/>
      <c r="BP403" s="377"/>
      <c r="BQ403" s="377"/>
      <c r="BR403" s="377"/>
      <c r="BS403" s="377"/>
      <c r="BT403" s="377"/>
      <c r="BU403" s="377"/>
      <c r="BV403" s="377"/>
      <c r="BW403" s="377"/>
      <c r="BX403" s="377"/>
      <c r="BY403" s="377"/>
      <c r="BZ403" s="377"/>
      <c r="CA403" s="377"/>
      <c r="CB403" s="377"/>
      <c r="CC403" s="377"/>
      <c r="CD403" s="377"/>
      <c r="CE403" s="377"/>
      <c r="CF403" s="377"/>
      <c r="CG403" s="377"/>
      <c r="CH403" s="377"/>
      <c r="CI403" s="377"/>
    </row>
    <row r="404" spans="1:87" ht="15">
      <c r="A404" s="377"/>
      <c r="B404" s="377"/>
      <c r="C404" s="572"/>
      <c r="D404" s="377"/>
      <c r="E404" s="377"/>
      <c r="F404" s="377"/>
      <c r="G404" s="377"/>
      <c r="H404" s="573"/>
      <c r="I404" s="377"/>
      <c r="J404" s="377"/>
      <c r="K404" s="377"/>
      <c r="L404" s="377"/>
      <c r="M404" s="377"/>
      <c r="N404" s="377"/>
      <c r="O404" s="377"/>
      <c r="P404" s="377"/>
      <c r="Q404" s="377"/>
      <c r="R404" s="377"/>
      <c r="S404" s="377"/>
      <c r="T404" s="377"/>
      <c r="U404" s="377"/>
      <c r="V404" s="377"/>
      <c r="W404" s="377"/>
      <c r="X404" s="574"/>
      <c r="Y404" s="377"/>
      <c r="Z404" s="377"/>
      <c r="AA404" s="377"/>
      <c r="AB404" s="377"/>
      <c r="AC404" s="377"/>
      <c r="AD404" s="377"/>
      <c r="AE404" s="377"/>
      <c r="AF404" s="377"/>
      <c r="AG404" s="377"/>
      <c r="AH404" s="377"/>
      <c r="AI404" s="377"/>
      <c r="AJ404" s="377"/>
      <c r="AK404" s="377"/>
      <c r="AL404" s="574"/>
      <c r="AM404" s="377"/>
      <c r="AN404" s="377"/>
      <c r="AO404" s="377"/>
      <c r="AP404" s="377"/>
      <c r="AQ404" s="377"/>
      <c r="AR404" s="377"/>
      <c r="AS404" s="377"/>
      <c r="AT404" s="377"/>
      <c r="AU404" s="377"/>
      <c r="AV404" s="377"/>
      <c r="AW404" s="575"/>
      <c r="AX404" s="377"/>
      <c r="AY404" s="377"/>
      <c r="AZ404" s="377"/>
      <c r="BA404" s="377"/>
      <c r="BB404" s="377"/>
      <c r="BC404" s="377"/>
      <c r="BD404" s="377"/>
      <c r="BE404" s="377"/>
      <c r="BF404" s="377"/>
      <c r="BG404" s="377"/>
      <c r="BH404" s="377"/>
      <c r="BI404" s="377"/>
      <c r="BJ404" s="377"/>
      <c r="BK404" s="377"/>
      <c r="BL404" s="377"/>
      <c r="BM404" s="377"/>
      <c r="BN404" s="576"/>
      <c r="BO404" s="377"/>
      <c r="BP404" s="377"/>
      <c r="BQ404" s="377"/>
      <c r="BR404" s="377"/>
      <c r="BS404" s="377"/>
      <c r="BT404" s="377"/>
      <c r="BU404" s="377"/>
      <c r="BV404" s="377"/>
      <c r="BW404" s="377"/>
      <c r="BX404" s="377"/>
      <c r="BY404" s="377"/>
      <c r="BZ404" s="377"/>
      <c r="CA404" s="377"/>
      <c r="CB404" s="377"/>
      <c r="CC404" s="377"/>
      <c r="CD404" s="377"/>
      <c r="CE404" s="377"/>
      <c r="CF404" s="377"/>
      <c r="CG404" s="377"/>
      <c r="CH404" s="377"/>
      <c r="CI404" s="377"/>
    </row>
    <row r="405" spans="1:87" ht="15">
      <c r="A405" s="377"/>
      <c r="B405" s="377"/>
      <c r="C405" s="572"/>
      <c r="D405" s="377"/>
      <c r="E405" s="377"/>
      <c r="F405" s="377"/>
      <c r="G405" s="377"/>
      <c r="H405" s="573"/>
      <c r="I405" s="377"/>
      <c r="J405" s="377"/>
      <c r="K405" s="377"/>
      <c r="L405" s="377"/>
      <c r="M405" s="377"/>
      <c r="N405" s="377"/>
      <c r="O405" s="377"/>
      <c r="P405" s="377"/>
      <c r="Q405" s="377"/>
      <c r="R405" s="377"/>
      <c r="S405" s="377"/>
      <c r="T405" s="377"/>
      <c r="U405" s="377"/>
      <c r="V405" s="377"/>
      <c r="W405" s="377"/>
      <c r="X405" s="574"/>
      <c r="Y405" s="377"/>
      <c r="Z405" s="377"/>
      <c r="AA405" s="377"/>
      <c r="AB405" s="377"/>
      <c r="AC405" s="377"/>
      <c r="AD405" s="377"/>
      <c r="AE405" s="377"/>
      <c r="AF405" s="377"/>
      <c r="AG405" s="377"/>
      <c r="AH405" s="377"/>
      <c r="AI405" s="377"/>
      <c r="AJ405" s="377"/>
      <c r="AK405" s="377"/>
      <c r="AL405" s="574"/>
      <c r="AM405" s="377"/>
      <c r="AN405" s="377"/>
      <c r="AO405" s="377"/>
      <c r="AP405" s="377"/>
      <c r="AQ405" s="377"/>
      <c r="AR405" s="377"/>
      <c r="AS405" s="377"/>
      <c r="AT405" s="377"/>
      <c r="AU405" s="377"/>
      <c r="AV405" s="377"/>
      <c r="AW405" s="575"/>
      <c r="AX405" s="377"/>
      <c r="AY405" s="377"/>
      <c r="AZ405" s="377"/>
      <c r="BA405" s="377"/>
      <c r="BB405" s="377"/>
      <c r="BC405" s="377"/>
      <c r="BD405" s="377"/>
      <c r="BE405" s="377"/>
      <c r="BF405" s="377"/>
      <c r="BG405" s="377"/>
      <c r="BH405" s="377"/>
      <c r="BI405" s="377"/>
      <c r="BJ405" s="377"/>
      <c r="BK405" s="377"/>
      <c r="BL405" s="377"/>
      <c r="BM405" s="377"/>
      <c r="BN405" s="576"/>
      <c r="BO405" s="377"/>
      <c r="BP405" s="377"/>
      <c r="BQ405" s="377"/>
      <c r="BR405" s="377"/>
      <c r="BS405" s="377"/>
      <c r="BT405" s="377"/>
      <c r="BU405" s="377"/>
      <c r="BV405" s="377"/>
      <c r="BW405" s="377"/>
      <c r="BX405" s="377"/>
      <c r="BY405" s="377"/>
      <c r="BZ405" s="377"/>
      <c r="CA405" s="377"/>
      <c r="CB405" s="377"/>
      <c r="CC405" s="377"/>
      <c r="CD405" s="377"/>
      <c r="CE405" s="377"/>
      <c r="CF405" s="377"/>
      <c r="CG405" s="377"/>
      <c r="CH405" s="377"/>
      <c r="CI405" s="377"/>
    </row>
    <row r="406" spans="1:87" ht="15">
      <c r="A406" s="377"/>
      <c r="B406" s="377"/>
      <c r="C406" s="572"/>
      <c r="D406" s="377"/>
      <c r="E406" s="377"/>
      <c r="F406" s="377"/>
      <c r="G406" s="377"/>
      <c r="H406" s="573"/>
      <c r="I406" s="377"/>
      <c r="J406" s="377"/>
      <c r="K406" s="377"/>
      <c r="L406" s="377"/>
      <c r="M406" s="377"/>
      <c r="N406" s="377"/>
      <c r="O406" s="377"/>
      <c r="P406" s="377"/>
      <c r="Q406" s="377"/>
      <c r="R406" s="377"/>
      <c r="S406" s="377"/>
      <c r="T406" s="377"/>
      <c r="U406" s="377"/>
      <c r="V406" s="377"/>
      <c r="W406" s="377"/>
      <c r="X406" s="574"/>
      <c r="Y406" s="377"/>
      <c r="Z406" s="377"/>
      <c r="AA406" s="377"/>
      <c r="AB406" s="377"/>
      <c r="AC406" s="377"/>
      <c r="AD406" s="377"/>
      <c r="AE406" s="377"/>
      <c r="AF406" s="377"/>
      <c r="AG406" s="377"/>
      <c r="AH406" s="377"/>
      <c r="AI406" s="377"/>
      <c r="AJ406" s="377"/>
      <c r="AK406" s="377"/>
      <c r="AL406" s="574"/>
      <c r="AM406" s="377"/>
      <c r="AN406" s="377"/>
      <c r="AO406" s="377"/>
      <c r="AP406" s="377"/>
      <c r="AQ406" s="377"/>
      <c r="AR406" s="377"/>
      <c r="AS406" s="377"/>
      <c r="AT406" s="377"/>
      <c r="AU406" s="377"/>
      <c r="AV406" s="377"/>
      <c r="AW406" s="575"/>
      <c r="AX406" s="377"/>
      <c r="AY406" s="377"/>
      <c r="AZ406" s="377"/>
      <c r="BA406" s="377"/>
      <c r="BB406" s="377"/>
      <c r="BC406" s="377"/>
      <c r="BD406" s="377"/>
      <c r="BE406" s="377"/>
      <c r="BF406" s="377"/>
      <c r="BG406" s="377"/>
      <c r="BH406" s="377"/>
      <c r="BI406" s="377"/>
      <c r="BJ406" s="377"/>
      <c r="BK406" s="377"/>
      <c r="BL406" s="377"/>
      <c r="BM406" s="377"/>
      <c r="BN406" s="576"/>
      <c r="BO406" s="377"/>
      <c r="BP406" s="377"/>
      <c r="BQ406" s="377"/>
      <c r="BR406" s="377"/>
      <c r="BS406" s="377"/>
      <c r="BT406" s="377"/>
      <c r="BU406" s="377"/>
      <c r="BV406" s="377"/>
      <c r="BW406" s="377"/>
      <c r="BX406" s="377"/>
      <c r="BY406" s="377"/>
      <c r="BZ406" s="377"/>
      <c r="CA406" s="377"/>
      <c r="CB406" s="377"/>
      <c r="CC406" s="377"/>
      <c r="CD406" s="377"/>
      <c r="CE406" s="377"/>
      <c r="CF406" s="377"/>
      <c r="CG406" s="377"/>
      <c r="CH406" s="377"/>
      <c r="CI406" s="377"/>
    </row>
    <row r="407" spans="1:87" ht="15">
      <c r="A407" s="377"/>
      <c r="B407" s="377"/>
      <c r="C407" s="572"/>
      <c r="D407" s="377"/>
      <c r="E407" s="377"/>
      <c r="F407" s="377"/>
      <c r="G407" s="377"/>
      <c r="H407" s="573"/>
      <c r="I407" s="377"/>
      <c r="J407" s="377"/>
      <c r="K407" s="377"/>
      <c r="L407" s="377"/>
      <c r="M407" s="377"/>
      <c r="N407" s="377"/>
      <c r="O407" s="377"/>
      <c r="P407" s="377"/>
      <c r="Q407" s="377"/>
      <c r="R407" s="377"/>
      <c r="S407" s="377"/>
      <c r="T407" s="377"/>
      <c r="U407" s="377"/>
      <c r="V407" s="377"/>
      <c r="W407" s="377"/>
      <c r="X407" s="574"/>
      <c r="Y407" s="377"/>
      <c r="Z407" s="377"/>
      <c r="AA407" s="377"/>
      <c r="AB407" s="377"/>
      <c r="AC407" s="377"/>
      <c r="AD407" s="377"/>
      <c r="AE407" s="377"/>
      <c r="AF407" s="377"/>
      <c r="AG407" s="377"/>
      <c r="AH407" s="377"/>
      <c r="AI407" s="377"/>
      <c r="AJ407" s="377"/>
      <c r="AK407" s="377"/>
      <c r="AL407" s="574"/>
      <c r="AM407" s="377"/>
      <c r="AN407" s="377"/>
      <c r="AO407" s="377"/>
      <c r="AP407" s="377"/>
      <c r="AQ407" s="377"/>
      <c r="AR407" s="377"/>
      <c r="AS407" s="377"/>
      <c r="AT407" s="377"/>
      <c r="AU407" s="377"/>
      <c r="AV407" s="377"/>
      <c r="AW407" s="575"/>
      <c r="AX407" s="377"/>
      <c r="AY407" s="377"/>
      <c r="AZ407" s="377"/>
      <c r="BA407" s="377"/>
      <c r="BB407" s="377"/>
      <c r="BC407" s="377"/>
      <c r="BD407" s="377"/>
      <c r="BE407" s="377"/>
      <c r="BF407" s="377"/>
      <c r="BG407" s="377"/>
      <c r="BH407" s="377"/>
      <c r="BI407" s="377"/>
      <c r="BJ407" s="377"/>
      <c r="BK407" s="377"/>
      <c r="BL407" s="377"/>
      <c r="BM407" s="377"/>
      <c r="BN407" s="576"/>
      <c r="BO407" s="377"/>
      <c r="BP407" s="377"/>
      <c r="BQ407" s="377"/>
      <c r="BR407" s="377"/>
      <c r="BS407" s="377"/>
      <c r="BT407" s="377"/>
      <c r="BU407" s="377"/>
      <c r="BV407" s="377"/>
      <c r="BW407" s="377"/>
      <c r="BX407" s="377"/>
      <c r="BY407" s="377"/>
      <c r="BZ407" s="377"/>
      <c r="CA407" s="377"/>
      <c r="CB407" s="377"/>
      <c r="CC407" s="377"/>
      <c r="CD407" s="377"/>
      <c r="CE407" s="377"/>
      <c r="CF407" s="377"/>
      <c r="CG407" s="377"/>
      <c r="CH407" s="377"/>
      <c r="CI407" s="377"/>
    </row>
    <row r="408" spans="1:87" ht="15">
      <c r="A408" s="377"/>
      <c r="B408" s="377"/>
      <c r="C408" s="572"/>
      <c r="D408" s="377"/>
      <c r="E408" s="377"/>
      <c r="F408" s="377"/>
      <c r="G408" s="377"/>
      <c r="H408" s="573"/>
      <c r="I408" s="377"/>
      <c r="J408" s="377"/>
      <c r="K408" s="377"/>
      <c r="L408" s="377"/>
      <c r="M408" s="377"/>
      <c r="N408" s="377"/>
      <c r="O408" s="377"/>
      <c r="P408" s="377"/>
      <c r="Q408" s="377"/>
      <c r="R408" s="377"/>
      <c r="S408" s="377"/>
      <c r="T408" s="377"/>
      <c r="U408" s="377"/>
      <c r="V408" s="377"/>
      <c r="W408" s="377"/>
      <c r="X408" s="574"/>
      <c r="Y408" s="377"/>
      <c r="Z408" s="377"/>
      <c r="AA408" s="377"/>
      <c r="AB408" s="377"/>
      <c r="AC408" s="377"/>
      <c r="AD408" s="377"/>
      <c r="AE408" s="377"/>
      <c r="AF408" s="377"/>
      <c r="AG408" s="377"/>
      <c r="AH408" s="377"/>
      <c r="AI408" s="377"/>
      <c r="AJ408" s="377"/>
      <c r="AK408" s="377"/>
      <c r="AL408" s="574"/>
      <c r="AM408" s="377"/>
      <c r="AN408" s="377"/>
      <c r="AO408" s="377"/>
      <c r="AP408" s="377"/>
      <c r="AQ408" s="377"/>
      <c r="AR408" s="377"/>
      <c r="AS408" s="377"/>
      <c r="AT408" s="377"/>
      <c r="AU408" s="377"/>
      <c r="AV408" s="377"/>
      <c r="AW408" s="575"/>
      <c r="AX408" s="377"/>
      <c r="AY408" s="377"/>
      <c r="AZ408" s="377"/>
      <c r="BA408" s="377"/>
      <c r="BB408" s="377"/>
      <c r="BC408" s="377"/>
      <c r="BD408" s="377"/>
      <c r="BE408" s="377"/>
      <c r="BF408" s="377"/>
      <c r="BG408" s="377"/>
      <c r="BH408" s="377"/>
      <c r="BI408" s="377"/>
      <c r="BJ408" s="377"/>
      <c r="BK408" s="377"/>
      <c r="BL408" s="377"/>
      <c r="BM408" s="377"/>
      <c r="BN408" s="576"/>
      <c r="BO408" s="377"/>
      <c r="BP408" s="377"/>
      <c r="BQ408" s="377"/>
      <c r="BR408" s="377"/>
      <c r="BS408" s="377"/>
      <c r="BT408" s="377"/>
      <c r="BU408" s="377"/>
      <c r="BV408" s="377"/>
      <c r="BW408" s="377"/>
      <c r="BX408" s="377"/>
      <c r="BY408" s="377"/>
      <c r="BZ408" s="377"/>
      <c r="CA408" s="377"/>
      <c r="CB408" s="377"/>
      <c r="CC408" s="377"/>
      <c r="CD408" s="377"/>
      <c r="CE408" s="377"/>
      <c r="CF408" s="377"/>
      <c r="CG408" s="377"/>
      <c r="CH408" s="377"/>
      <c r="CI408" s="377"/>
    </row>
    <row r="409" spans="1:87" ht="15">
      <c r="A409" s="377"/>
      <c r="B409" s="377"/>
      <c r="C409" s="572"/>
      <c r="D409" s="377"/>
      <c r="E409" s="377"/>
      <c r="F409" s="377"/>
      <c r="G409" s="377"/>
      <c r="H409" s="573"/>
      <c r="I409" s="377"/>
      <c r="J409" s="377"/>
      <c r="K409" s="377"/>
      <c r="L409" s="377"/>
      <c r="M409" s="377"/>
      <c r="N409" s="377"/>
      <c r="O409" s="377"/>
      <c r="P409" s="377"/>
      <c r="Q409" s="377"/>
      <c r="R409" s="377"/>
      <c r="S409" s="377"/>
      <c r="T409" s="377"/>
      <c r="U409" s="377"/>
      <c r="V409" s="377"/>
      <c r="W409" s="377"/>
      <c r="X409" s="574"/>
      <c r="Y409" s="377"/>
      <c r="Z409" s="377"/>
      <c r="AA409" s="377"/>
      <c r="AB409" s="377"/>
      <c r="AC409" s="377"/>
      <c r="AD409" s="377"/>
      <c r="AE409" s="377"/>
      <c r="AF409" s="377"/>
      <c r="AG409" s="377"/>
      <c r="AH409" s="377"/>
      <c r="AI409" s="377"/>
      <c r="AJ409" s="377"/>
      <c r="AK409" s="377"/>
      <c r="AL409" s="574"/>
      <c r="AM409" s="377"/>
      <c r="AN409" s="377"/>
      <c r="AO409" s="377"/>
      <c r="AP409" s="377"/>
      <c r="AQ409" s="377"/>
      <c r="AR409" s="377"/>
      <c r="AS409" s="377"/>
      <c r="AT409" s="377"/>
      <c r="AU409" s="377"/>
      <c r="AV409" s="377"/>
      <c r="AW409" s="575"/>
      <c r="AX409" s="377"/>
      <c r="AY409" s="377"/>
      <c r="AZ409" s="377"/>
      <c r="BA409" s="377"/>
      <c r="BB409" s="377"/>
      <c r="BC409" s="377"/>
      <c r="BD409" s="377"/>
      <c r="BE409" s="377"/>
      <c r="BF409" s="377"/>
      <c r="BG409" s="377"/>
      <c r="BH409" s="377"/>
      <c r="BI409" s="377"/>
      <c r="BJ409" s="377"/>
      <c r="BK409" s="377"/>
      <c r="BL409" s="377"/>
      <c r="BM409" s="377"/>
      <c r="BN409" s="576"/>
      <c r="BO409" s="377"/>
      <c r="BP409" s="377"/>
      <c r="BQ409" s="377"/>
      <c r="BR409" s="377"/>
      <c r="BS409" s="377"/>
      <c r="BT409" s="377"/>
      <c r="BU409" s="377"/>
      <c r="BV409" s="377"/>
      <c r="BW409" s="377"/>
      <c r="BX409" s="377"/>
      <c r="BY409" s="377"/>
      <c r="BZ409" s="377"/>
      <c r="CA409" s="377"/>
      <c r="CB409" s="377"/>
      <c r="CC409" s="377"/>
      <c r="CD409" s="377"/>
      <c r="CE409" s="377"/>
      <c r="CF409" s="377"/>
      <c r="CG409" s="377"/>
      <c r="CH409" s="377"/>
      <c r="CI409" s="377"/>
    </row>
    <row r="410" spans="1:87" ht="15">
      <c r="A410" s="377"/>
      <c r="B410" s="377"/>
      <c r="C410" s="572"/>
      <c r="D410" s="377"/>
      <c r="E410" s="377"/>
      <c r="F410" s="377"/>
      <c r="G410" s="377"/>
      <c r="H410" s="573"/>
      <c r="I410" s="377"/>
      <c r="J410" s="377"/>
      <c r="K410" s="377"/>
      <c r="L410" s="377"/>
      <c r="M410" s="377"/>
      <c r="N410" s="377"/>
      <c r="O410" s="377"/>
      <c r="P410" s="377"/>
      <c r="Q410" s="377"/>
      <c r="R410" s="377"/>
      <c r="S410" s="377"/>
      <c r="T410" s="377"/>
      <c r="U410" s="377"/>
      <c r="V410" s="377"/>
      <c r="W410" s="377"/>
      <c r="X410" s="574"/>
      <c r="Y410" s="377"/>
      <c r="Z410" s="377"/>
      <c r="AA410" s="377"/>
      <c r="AB410" s="377"/>
      <c r="AC410" s="377"/>
      <c r="AD410" s="377"/>
      <c r="AE410" s="377"/>
      <c r="AF410" s="377"/>
      <c r="AG410" s="377"/>
      <c r="AH410" s="377"/>
      <c r="AI410" s="377"/>
      <c r="AJ410" s="377"/>
      <c r="AK410" s="377"/>
      <c r="AL410" s="574"/>
      <c r="AM410" s="377"/>
      <c r="AN410" s="377"/>
      <c r="AO410" s="377"/>
      <c r="AP410" s="377"/>
      <c r="AQ410" s="377"/>
      <c r="AR410" s="377"/>
      <c r="AS410" s="377"/>
      <c r="AT410" s="377"/>
      <c r="AU410" s="377"/>
      <c r="AV410" s="377"/>
      <c r="AW410" s="575"/>
      <c r="AX410" s="377"/>
      <c r="AY410" s="377"/>
      <c r="AZ410" s="377"/>
      <c r="BA410" s="377"/>
      <c r="BB410" s="377"/>
      <c r="BC410" s="377"/>
      <c r="BD410" s="377"/>
      <c r="BE410" s="377"/>
      <c r="BF410" s="377"/>
      <c r="BG410" s="377"/>
      <c r="BH410" s="377"/>
      <c r="BI410" s="377"/>
      <c r="BJ410" s="377"/>
      <c r="BK410" s="377"/>
      <c r="BL410" s="377"/>
      <c r="BM410" s="377"/>
      <c r="BN410" s="576"/>
      <c r="BO410" s="377"/>
      <c r="BP410" s="377"/>
      <c r="BQ410" s="377"/>
      <c r="BR410" s="377"/>
      <c r="BS410" s="377"/>
      <c r="BT410" s="377"/>
      <c r="BU410" s="377"/>
      <c r="BV410" s="377"/>
      <c r="BW410" s="377"/>
      <c r="BX410" s="377"/>
      <c r="BY410" s="377"/>
      <c r="BZ410" s="377"/>
      <c r="CA410" s="377"/>
      <c r="CB410" s="377"/>
      <c r="CC410" s="377"/>
      <c r="CD410" s="377"/>
      <c r="CE410" s="377"/>
      <c r="CF410" s="377"/>
      <c r="CG410" s="377"/>
      <c r="CH410" s="377"/>
      <c r="CI410" s="377"/>
    </row>
    <row r="411" spans="1:87" ht="15">
      <c r="A411" s="377"/>
      <c r="B411" s="377"/>
      <c r="C411" s="572"/>
      <c r="D411" s="377"/>
      <c r="E411" s="377"/>
      <c r="F411" s="377"/>
      <c r="G411" s="377"/>
      <c r="H411" s="573"/>
      <c r="I411" s="377"/>
      <c r="J411" s="377"/>
      <c r="K411" s="377"/>
      <c r="L411" s="377"/>
      <c r="M411" s="377"/>
      <c r="N411" s="377"/>
      <c r="O411" s="377"/>
      <c r="P411" s="377"/>
      <c r="Q411" s="377"/>
      <c r="R411" s="377"/>
      <c r="S411" s="377"/>
      <c r="T411" s="377"/>
      <c r="U411" s="377"/>
      <c r="V411" s="377"/>
      <c r="W411" s="377"/>
      <c r="X411" s="574"/>
      <c r="Y411" s="377"/>
      <c r="Z411" s="377"/>
      <c r="AA411" s="377"/>
      <c r="AB411" s="377"/>
      <c r="AC411" s="377"/>
      <c r="AD411" s="377"/>
      <c r="AE411" s="377"/>
      <c r="AF411" s="377"/>
      <c r="AG411" s="377"/>
      <c r="AH411" s="377"/>
      <c r="AI411" s="377"/>
      <c r="AJ411" s="377"/>
      <c r="AK411" s="377"/>
      <c r="AL411" s="574"/>
      <c r="AM411" s="377"/>
      <c r="AN411" s="377"/>
      <c r="AO411" s="377"/>
      <c r="AP411" s="377"/>
      <c r="AQ411" s="377"/>
      <c r="AR411" s="377"/>
      <c r="AS411" s="377"/>
      <c r="AT411" s="377"/>
      <c r="AU411" s="377"/>
      <c r="AV411" s="377"/>
      <c r="AW411" s="575"/>
      <c r="AX411" s="377"/>
      <c r="AY411" s="377"/>
      <c r="AZ411" s="377"/>
      <c r="BA411" s="377"/>
      <c r="BB411" s="377"/>
      <c r="BC411" s="377"/>
      <c r="BD411" s="377"/>
      <c r="BE411" s="377"/>
      <c r="BF411" s="377"/>
      <c r="BG411" s="377"/>
      <c r="BH411" s="377"/>
      <c r="BI411" s="377"/>
      <c r="BJ411" s="377"/>
      <c r="BK411" s="377"/>
      <c r="BL411" s="377"/>
      <c r="BM411" s="377"/>
      <c r="BN411" s="576"/>
      <c r="BO411" s="377"/>
      <c r="BP411" s="377"/>
      <c r="BQ411" s="377"/>
      <c r="BR411" s="377"/>
      <c r="BS411" s="377"/>
      <c r="BT411" s="377"/>
      <c r="BU411" s="377"/>
      <c r="BV411" s="377"/>
      <c r="BW411" s="377"/>
      <c r="BX411" s="377"/>
      <c r="BY411" s="377"/>
      <c r="BZ411" s="377"/>
      <c r="CA411" s="377"/>
      <c r="CB411" s="377"/>
      <c r="CC411" s="377"/>
      <c r="CD411" s="377"/>
      <c r="CE411" s="377"/>
      <c r="CF411" s="377"/>
      <c r="CG411" s="377"/>
      <c r="CH411" s="377"/>
      <c r="CI411" s="377"/>
    </row>
  </sheetData>
  <mergeCells count="75">
    <mergeCell ref="C211:E211"/>
    <mergeCell ref="G211:J211"/>
    <mergeCell ref="A201:B201"/>
    <mergeCell ref="C205:E205"/>
    <mergeCell ref="G205:J205"/>
    <mergeCell ref="C207:E207"/>
    <mergeCell ref="G207:J207"/>
    <mergeCell ref="C209:E209"/>
    <mergeCell ref="G209:J209"/>
    <mergeCell ref="A86:B86"/>
    <mergeCell ref="C86:J86"/>
    <mergeCell ref="A103:B103"/>
    <mergeCell ref="C103:J103"/>
    <mergeCell ref="A135:B135"/>
    <mergeCell ref="A143:B143"/>
    <mergeCell ref="BK12:BK13"/>
    <mergeCell ref="BL12:BL13"/>
    <mergeCell ref="BM12:BM13"/>
    <mergeCell ref="BN12:BN13"/>
    <mergeCell ref="A66:B66"/>
    <mergeCell ref="C66:J66"/>
    <mergeCell ref="BE12:BE13"/>
    <mergeCell ref="BF12:BF13"/>
    <mergeCell ref="BG12:BG13"/>
    <mergeCell ref="BH12:BH13"/>
    <mergeCell ref="BI12:BI13"/>
    <mergeCell ref="BJ12:BJ13"/>
    <mergeCell ref="AY12:AY13"/>
    <mergeCell ref="AZ12:AZ13"/>
    <mergeCell ref="BA12:BA13"/>
    <mergeCell ref="BB12:BB13"/>
    <mergeCell ref="BC12:BC13"/>
    <mergeCell ref="BD12:BD13"/>
    <mergeCell ref="AN12:AN13"/>
    <mergeCell ref="AO12:AR12"/>
    <mergeCell ref="AS12:AT12"/>
    <mergeCell ref="AU12:AV12"/>
    <mergeCell ref="AW12:AW13"/>
    <mergeCell ref="AX12:AX13"/>
    <mergeCell ref="AL12:AM12"/>
    <mergeCell ref="R12:V12"/>
    <mergeCell ref="W12:W13"/>
    <mergeCell ref="X12:X13"/>
    <mergeCell ref="Y12:Y13"/>
    <mergeCell ref="Z12:Z13"/>
    <mergeCell ref="AA12:AB12"/>
    <mergeCell ref="AC12:AD12"/>
    <mergeCell ref="AE12:AE13"/>
    <mergeCell ref="AF12:AG12"/>
    <mergeCell ref="AH12:AI12"/>
    <mergeCell ref="AJ12:AK12"/>
    <mergeCell ref="Q12:Q13"/>
    <mergeCell ref="A12:B13"/>
    <mergeCell ref="C12:C13"/>
    <mergeCell ref="D12:D13"/>
    <mergeCell ref="E12:E13"/>
    <mergeCell ref="F12:F13"/>
    <mergeCell ref="G12:G13"/>
    <mergeCell ref="H12:H13"/>
    <mergeCell ref="I12:I13"/>
    <mergeCell ref="J12:J13"/>
    <mergeCell ref="K12:K13"/>
    <mergeCell ref="L12:P12"/>
    <mergeCell ref="A10:AB10"/>
    <mergeCell ref="A3:I4"/>
    <mergeCell ref="P3:AB4"/>
    <mergeCell ref="A5:I5"/>
    <mergeCell ref="P5:AB5"/>
    <mergeCell ref="A6:I6"/>
    <mergeCell ref="P6:AB6"/>
    <mergeCell ref="A7:I7"/>
    <mergeCell ref="P7:AB7"/>
    <mergeCell ref="A8:I8"/>
    <mergeCell ref="P8:AB8"/>
    <mergeCell ref="A9:AB9"/>
  </mergeCells>
  <pageMargins left="0.23622047244094491" right="0.23622047244094491" top="0.35433070866141736" bottom="0.35433070866141736" header="0.31496062992125984" footer="0.31496062992125984"/>
  <pageSetup paperSize="9" scale="45"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Лист21">
    <pageSetUpPr fitToPage="1"/>
  </sheetPr>
  <dimension ref="A1:E247"/>
  <sheetViews>
    <sheetView topLeftCell="A11" zoomScaleSheetLayoutView="100" workbookViewId="0">
      <selection activeCell="B35" sqref="B35:E37"/>
    </sheetView>
  </sheetViews>
  <sheetFormatPr defaultColWidth="9.140625" defaultRowHeight="15"/>
  <cols>
    <col min="1" max="1" width="5.140625" style="43" customWidth="1"/>
    <col min="2" max="2" width="43.7109375" style="43" customWidth="1"/>
    <col min="3" max="3" width="17.7109375" style="81" customWidth="1"/>
    <col min="4" max="4" width="18.140625" style="43" customWidth="1"/>
    <col min="5" max="5" width="21.28515625" style="43" customWidth="1"/>
    <col min="6" max="16384" width="9.140625" style="43"/>
  </cols>
  <sheetData>
    <row r="1" spans="1:5">
      <c r="C1" s="43"/>
    </row>
    <row r="2" spans="1:5" ht="36" customHeight="1">
      <c r="B2" s="1431" t="s">
        <v>408</v>
      </c>
      <c r="C2" s="1431"/>
      <c r="D2" s="1431"/>
      <c r="E2" s="1431"/>
    </row>
    <row r="3" spans="1:5">
      <c r="B3" s="60"/>
      <c r="C3" s="60"/>
    </row>
    <row r="4" spans="1:5" ht="30.6" customHeight="1">
      <c r="A4" s="3" t="s">
        <v>1</v>
      </c>
      <c r="B4" s="3" t="s">
        <v>34</v>
      </c>
      <c r="C4" s="3" t="s">
        <v>410</v>
      </c>
      <c r="D4" s="88" t="s">
        <v>388</v>
      </c>
      <c r="E4" s="88" t="s">
        <v>389</v>
      </c>
    </row>
    <row r="5" spans="1:5" ht="24.95" customHeight="1">
      <c r="A5" s="45">
        <v>1</v>
      </c>
      <c r="B5" s="46" t="s">
        <v>6</v>
      </c>
      <c r="C5" s="79">
        <f>'Свод '!C10</f>
        <v>1595622564.3607502</v>
      </c>
      <c r="D5" s="79">
        <f>C5/1186</f>
        <v>1345381.5888370576</v>
      </c>
      <c r="E5" s="79">
        <f>D5/12</f>
        <v>112115.13240308814</v>
      </c>
    </row>
    <row r="6" spans="1:5" ht="24.95" customHeight="1">
      <c r="A6" s="45">
        <f>A5+1</f>
        <v>2</v>
      </c>
      <c r="B6" s="46" t="s">
        <v>109</v>
      </c>
      <c r="C6" s="79">
        <f>'Свод '!C11</f>
        <v>182000770.4325</v>
      </c>
      <c r="D6" s="79">
        <f t="shared" ref="D6:D20" si="0">C6/1186</f>
        <v>153457.64791947723</v>
      </c>
      <c r="E6" s="79">
        <f t="shared" ref="E6:E20" si="1">D6/12</f>
        <v>12788.137326623102</v>
      </c>
    </row>
    <row r="7" spans="1:5" ht="24.95" customHeight="1">
      <c r="A7" s="45">
        <f t="shared" ref="A7:A20" si="2">A6+1</f>
        <v>3</v>
      </c>
      <c r="B7" s="46" t="s">
        <v>2473</v>
      </c>
      <c r="C7" s="79">
        <f>'Свод '!C12</f>
        <v>66216816.717763752</v>
      </c>
      <c r="D7" s="79">
        <f t="shared" si="0"/>
        <v>55832.054568097599</v>
      </c>
      <c r="E7" s="79">
        <f t="shared" si="1"/>
        <v>4652.6712140081336</v>
      </c>
    </row>
    <row r="8" spans="1:5" ht="24.95" customHeight="1">
      <c r="A8" s="45">
        <f t="shared" si="2"/>
        <v>4</v>
      </c>
      <c r="B8" s="46" t="s">
        <v>75</v>
      </c>
      <c r="C8" s="79">
        <f>'Свод '!C13</f>
        <v>136070121.62724182</v>
      </c>
      <c r="D8" s="79">
        <f t="shared" si="0"/>
        <v>114730.28804995095</v>
      </c>
      <c r="E8" s="79">
        <f t="shared" si="1"/>
        <v>9560.8573374959124</v>
      </c>
    </row>
    <row r="9" spans="1:5" ht="24.95" customHeight="1">
      <c r="A9" s="45">
        <f t="shared" si="2"/>
        <v>5</v>
      </c>
      <c r="B9" s="46" t="s">
        <v>132</v>
      </c>
      <c r="C9" s="79">
        <f>'Свод '!C14</f>
        <v>79993050.065696269</v>
      </c>
      <c r="D9" s="79">
        <f t="shared" si="0"/>
        <v>67447.765654044066</v>
      </c>
      <c r="E9" s="79">
        <f t="shared" si="1"/>
        <v>5620.6471378370052</v>
      </c>
    </row>
    <row r="10" spans="1:5" ht="24.95" customHeight="1">
      <c r="A10" s="45">
        <f t="shared" si="2"/>
        <v>6</v>
      </c>
      <c r="B10" s="46" t="s">
        <v>76</v>
      </c>
      <c r="C10" s="79">
        <f>'Свод '!C15</f>
        <v>53328700.043797508</v>
      </c>
      <c r="D10" s="79">
        <f t="shared" si="0"/>
        <v>44965.177102696041</v>
      </c>
      <c r="E10" s="79">
        <f t="shared" si="1"/>
        <v>3747.0980918913369</v>
      </c>
    </row>
    <row r="11" spans="1:5" ht="35.25" customHeight="1">
      <c r="A11" s="45">
        <f t="shared" si="2"/>
        <v>7</v>
      </c>
      <c r="B11" s="46" t="s">
        <v>884</v>
      </c>
      <c r="C11" s="79">
        <f>'Свод '!C16</f>
        <v>2510052.9100529095</v>
      </c>
      <c r="D11" s="79">
        <f t="shared" si="0"/>
        <v>2116.402116402116</v>
      </c>
      <c r="E11" s="79">
        <f t="shared" si="1"/>
        <v>176.36684303350967</v>
      </c>
    </row>
    <row r="12" spans="1:5" ht="35.25" customHeight="1">
      <c r="A12" s="45">
        <f t="shared" si="2"/>
        <v>8</v>
      </c>
      <c r="B12" s="46" t="s">
        <v>885</v>
      </c>
      <c r="C12" s="79">
        <f>'Свод '!C17</f>
        <v>565550.00000000012</v>
      </c>
      <c r="D12" s="79">
        <f t="shared" si="0"/>
        <v>476.85497470489048</v>
      </c>
      <c r="E12" s="79">
        <f t="shared" si="1"/>
        <v>39.737914558740876</v>
      </c>
    </row>
    <row r="13" spans="1:5" ht="34.5" customHeight="1">
      <c r="A13" s="45">
        <f t="shared" si="2"/>
        <v>9</v>
      </c>
      <c r="B13" s="46" t="s">
        <v>77</v>
      </c>
      <c r="C13" s="79">
        <f>'Свод '!C18</f>
        <v>531700</v>
      </c>
      <c r="D13" s="79">
        <f t="shared" si="0"/>
        <v>448.31365935919058</v>
      </c>
      <c r="E13" s="79">
        <f t="shared" si="1"/>
        <v>37.359471613265882</v>
      </c>
    </row>
    <row r="14" spans="1:5" ht="24.95" customHeight="1">
      <c r="A14" s="45">
        <f t="shared" si="2"/>
        <v>10</v>
      </c>
      <c r="B14" s="46" t="s">
        <v>78</v>
      </c>
      <c r="C14" s="79">
        <f>'Свод '!C19</f>
        <v>49098620.950000003</v>
      </c>
      <c r="D14" s="79">
        <f t="shared" si="0"/>
        <v>41398.499957841486</v>
      </c>
      <c r="E14" s="79">
        <f t="shared" si="1"/>
        <v>3449.8749964867907</v>
      </c>
    </row>
    <row r="15" spans="1:5" ht="24.95" customHeight="1">
      <c r="A15" s="45">
        <f t="shared" si="2"/>
        <v>11</v>
      </c>
      <c r="B15" s="46" t="s">
        <v>131</v>
      </c>
      <c r="C15" s="79">
        <f>'Свод '!C20</f>
        <v>61221609.38970273</v>
      </c>
      <c r="D15" s="79">
        <f t="shared" si="0"/>
        <v>51620.244004808374</v>
      </c>
      <c r="E15" s="79">
        <f t="shared" si="1"/>
        <v>4301.6870004006978</v>
      </c>
    </row>
    <row r="16" spans="1:5" ht="24.95" customHeight="1">
      <c r="A16" s="45">
        <f t="shared" si="2"/>
        <v>12</v>
      </c>
      <c r="B16" s="46" t="s">
        <v>133</v>
      </c>
      <c r="C16" s="79">
        <f>'Свод '!C21</f>
        <v>11100000</v>
      </c>
      <c r="D16" s="79">
        <f t="shared" si="0"/>
        <v>9359.1905564924109</v>
      </c>
      <c r="E16" s="79">
        <f t="shared" si="1"/>
        <v>779.93254637436758</v>
      </c>
    </row>
    <row r="17" spans="1:5" ht="24.95" customHeight="1">
      <c r="A17" s="45">
        <f t="shared" si="2"/>
        <v>13</v>
      </c>
      <c r="B17" s="46" t="s">
        <v>107</v>
      </c>
      <c r="C17" s="79">
        <f>'Свод '!C22</f>
        <v>85576966</v>
      </c>
      <c r="D17" s="79">
        <f t="shared" si="0"/>
        <v>72155.957841483978</v>
      </c>
      <c r="E17" s="79">
        <f t="shared" si="1"/>
        <v>6012.9964867903318</v>
      </c>
    </row>
    <row r="18" spans="1:5" ht="36" customHeight="1">
      <c r="A18" s="45">
        <f t="shared" si="2"/>
        <v>14</v>
      </c>
      <c r="B18" s="46" t="s">
        <v>185</v>
      </c>
      <c r="C18" s="79">
        <f>'Свод '!C23</f>
        <v>5256583</v>
      </c>
      <c r="D18" s="79">
        <f t="shared" si="0"/>
        <v>4432.1947723440135</v>
      </c>
      <c r="E18" s="79">
        <f t="shared" si="1"/>
        <v>369.3495643620011</v>
      </c>
    </row>
    <row r="19" spans="1:5" ht="33" customHeight="1">
      <c r="A19" s="45">
        <f t="shared" si="2"/>
        <v>15</v>
      </c>
      <c r="B19" s="46" t="s">
        <v>383</v>
      </c>
      <c r="C19" s="79">
        <f>'Свод '!C24</f>
        <v>362880000</v>
      </c>
      <c r="D19" s="79">
        <f t="shared" si="0"/>
        <v>305969.64586846542</v>
      </c>
      <c r="E19" s="79">
        <f t="shared" si="1"/>
        <v>25497.470489038784</v>
      </c>
    </row>
    <row r="20" spans="1:5" ht="24.95" customHeight="1">
      <c r="A20" s="45">
        <f t="shared" si="2"/>
        <v>16</v>
      </c>
      <c r="B20" s="46" t="s">
        <v>293</v>
      </c>
      <c r="C20" s="79">
        <f>'Свод '!C25</f>
        <v>144022.5</v>
      </c>
      <c r="D20" s="79">
        <f t="shared" si="0"/>
        <v>121.43549747048904</v>
      </c>
      <c r="E20" s="79">
        <f t="shared" si="1"/>
        <v>10.119624789207419</v>
      </c>
    </row>
    <row r="21" spans="1:5" s="48" customFormat="1" ht="24.95" customHeight="1">
      <c r="A21" s="47"/>
      <c r="B21" s="64" t="s">
        <v>35</v>
      </c>
      <c r="C21" s="93">
        <f>SUM(C5:C20)</f>
        <v>2692117127.9975052</v>
      </c>
      <c r="D21" s="93">
        <f>SUM(D5:D20)</f>
        <v>2269913.2613806962</v>
      </c>
      <c r="E21" s="93">
        <f>SUM(E5:E20)</f>
        <v>189159.43844839133</v>
      </c>
    </row>
    <row r="22" spans="1:5">
      <c r="A22" s="40"/>
      <c r="B22" s="40"/>
      <c r="C22" s="60"/>
    </row>
    <row r="23" spans="1:5" ht="15.75">
      <c r="B23" s="49"/>
      <c r="C23" s="60"/>
    </row>
    <row r="24" spans="1:5" hidden="1">
      <c r="B24" s="12" t="s">
        <v>240</v>
      </c>
      <c r="C24" s="60"/>
    </row>
    <row r="25" spans="1:5" ht="15.75" hidden="1">
      <c r="B25" s="26" t="s">
        <v>166</v>
      </c>
      <c r="C25" s="43"/>
      <c r="D25" s="49"/>
      <c r="E25" s="49" t="s">
        <v>407</v>
      </c>
    </row>
    <row r="26" spans="1:5" hidden="1">
      <c r="B26" s="10"/>
      <c r="C26" s="43"/>
      <c r="D26"/>
      <c r="E26"/>
    </row>
    <row r="27" spans="1:5" ht="15.75" hidden="1">
      <c r="B27" s="26" t="s">
        <v>167</v>
      </c>
      <c r="C27" s="43"/>
      <c r="D27" s="49"/>
      <c r="E27" s="49" t="s">
        <v>407</v>
      </c>
    </row>
    <row r="28" spans="1:5" hidden="1">
      <c r="B28" s="53"/>
      <c r="C28" s="43"/>
      <c r="D28"/>
      <c r="E28"/>
    </row>
    <row r="29" spans="1:5" ht="15.75" hidden="1">
      <c r="B29" s="74" t="s">
        <v>168</v>
      </c>
      <c r="C29" s="43"/>
      <c r="D29" s="49"/>
      <c r="E29" s="49" t="s">
        <v>407</v>
      </c>
    </row>
    <row r="30" spans="1:5" hidden="1">
      <c r="B30" s="53"/>
      <c r="C30" s="43"/>
      <c r="D30"/>
      <c r="E30"/>
    </row>
    <row r="31" spans="1:5" hidden="1">
      <c r="B31" s="12" t="s">
        <v>216</v>
      </c>
      <c r="C31" s="43"/>
      <c r="D31"/>
      <c r="E31"/>
    </row>
    <row r="32" spans="1:5" ht="15.75" hidden="1">
      <c r="B32" s="26" t="s">
        <v>403</v>
      </c>
      <c r="C32" s="43"/>
      <c r="D32" s="49"/>
      <c r="E32" s="49" t="s">
        <v>407</v>
      </c>
    </row>
    <row r="33" spans="2:5">
      <c r="C33"/>
      <c r="D33"/>
    </row>
    <row r="34" spans="2:5" ht="12" customHeight="1">
      <c r="C34" s="60"/>
    </row>
    <row r="35" spans="2:5" ht="24" customHeight="1">
      <c r="B35" s="1351" t="s">
        <v>2475</v>
      </c>
      <c r="C35" s="1351"/>
      <c r="D35" s="1351"/>
      <c r="E35" s="1351" t="s">
        <v>2476</v>
      </c>
    </row>
    <row r="36" spans="2:5">
      <c r="B36" s="1351"/>
      <c r="C36" s="1351"/>
      <c r="D36" s="1351"/>
      <c r="E36" s="1351"/>
    </row>
    <row r="37" spans="2:5" ht="25.5" customHeight="1">
      <c r="B37" s="1351" t="s">
        <v>52</v>
      </c>
      <c r="C37" s="1351"/>
      <c r="D37" s="1351"/>
      <c r="E37" s="1351" t="s">
        <v>386</v>
      </c>
    </row>
    <row r="38" spans="2:5" ht="15.75">
      <c r="B38" s="84"/>
      <c r="C38" s="60"/>
    </row>
    <row r="39" spans="2:5">
      <c r="B39" s="72"/>
      <c r="C39" s="60"/>
    </row>
    <row r="40" spans="2:5">
      <c r="B40" s="72"/>
      <c r="C40" s="60"/>
    </row>
    <row r="41" spans="2:5">
      <c r="B41" s="72"/>
      <c r="C41" s="60"/>
    </row>
    <row r="42" spans="2:5">
      <c r="C42" s="60"/>
    </row>
    <row r="43" spans="2:5">
      <c r="C43" s="60"/>
    </row>
    <row r="44" spans="2:5">
      <c r="C44" s="60"/>
    </row>
    <row r="45" spans="2:5">
      <c r="C45" s="60"/>
    </row>
    <row r="46" spans="2:5">
      <c r="C46" s="60"/>
    </row>
    <row r="47" spans="2:5">
      <c r="C47" s="60"/>
    </row>
    <row r="48" spans="2:5">
      <c r="C48" s="60"/>
    </row>
    <row r="49" spans="3:3">
      <c r="C49" s="60"/>
    </row>
    <row r="50" spans="3:3">
      <c r="C50" s="60"/>
    </row>
    <row r="51" spans="3:3">
      <c r="C51" s="60"/>
    </row>
    <row r="52" spans="3:3">
      <c r="C52" s="60"/>
    </row>
    <row r="53" spans="3:3">
      <c r="C53" s="60"/>
    </row>
    <row r="54" spans="3:3">
      <c r="C54" s="60"/>
    </row>
    <row r="55" spans="3:3">
      <c r="C55" s="60"/>
    </row>
    <row r="56" spans="3:3">
      <c r="C56" s="60"/>
    </row>
    <row r="57" spans="3:3">
      <c r="C57" s="60"/>
    </row>
    <row r="58" spans="3:3">
      <c r="C58" s="60"/>
    </row>
    <row r="59" spans="3:3">
      <c r="C59" s="60"/>
    </row>
    <row r="60" spans="3:3">
      <c r="C60" s="60"/>
    </row>
    <row r="61" spans="3:3">
      <c r="C61" s="60"/>
    </row>
    <row r="62" spans="3:3">
      <c r="C62" s="60"/>
    </row>
    <row r="63" spans="3:3">
      <c r="C63" s="60"/>
    </row>
    <row r="64" spans="3:3">
      <c r="C64" s="60"/>
    </row>
    <row r="65" spans="3:3">
      <c r="C65" s="60"/>
    </row>
    <row r="66" spans="3:3">
      <c r="C66" s="60"/>
    </row>
    <row r="67" spans="3:3">
      <c r="C67" s="60"/>
    </row>
    <row r="68" spans="3:3">
      <c r="C68" s="60"/>
    </row>
    <row r="69" spans="3:3">
      <c r="C69" s="60"/>
    </row>
    <row r="70" spans="3:3">
      <c r="C70" s="60"/>
    </row>
    <row r="71" spans="3:3">
      <c r="C71" s="60"/>
    </row>
    <row r="72" spans="3:3">
      <c r="C72" s="60"/>
    </row>
    <row r="73" spans="3:3">
      <c r="C73" s="60"/>
    </row>
    <row r="74" spans="3:3">
      <c r="C74" s="60"/>
    </row>
    <row r="75" spans="3:3">
      <c r="C75" s="60"/>
    </row>
    <row r="76" spans="3:3">
      <c r="C76" s="60"/>
    </row>
    <row r="77" spans="3:3">
      <c r="C77" s="60"/>
    </row>
    <row r="78" spans="3:3">
      <c r="C78" s="60"/>
    </row>
    <row r="79" spans="3:3">
      <c r="C79" s="60"/>
    </row>
    <row r="80" spans="3:3">
      <c r="C80" s="60"/>
    </row>
    <row r="81" spans="3:3">
      <c r="C81" s="60"/>
    </row>
    <row r="82" spans="3:3">
      <c r="C82" s="60"/>
    </row>
    <row r="83" spans="3:3">
      <c r="C83" s="60"/>
    </row>
    <row r="84" spans="3:3">
      <c r="C84" s="60"/>
    </row>
    <row r="85" spans="3:3">
      <c r="C85" s="60"/>
    </row>
    <row r="86" spans="3:3">
      <c r="C86" s="60"/>
    </row>
    <row r="87" spans="3:3">
      <c r="C87" s="60"/>
    </row>
    <row r="88" spans="3:3">
      <c r="C88" s="60"/>
    </row>
    <row r="89" spans="3:3">
      <c r="C89" s="60"/>
    </row>
    <row r="90" spans="3:3">
      <c r="C90" s="60"/>
    </row>
    <row r="91" spans="3:3">
      <c r="C91" s="60"/>
    </row>
    <row r="92" spans="3:3">
      <c r="C92" s="60"/>
    </row>
    <row r="93" spans="3:3">
      <c r="C93" s="60"/>
    </row>
    <row r="94" spans="3:3">
      <c r="C94" s="60"/>
    </row>
    <row r="95" spans="3:3">
      <c r="C95" s="60"/>
    </row>
    <row r="96" spans="3:3">
      <c r="C96" s="60"/>
    </row>
    <row r="97" spans="3:3">
      <c r="C97" s="60"/>
    </row>
    <row r="98" spans="3:3">
      <c r="C98" s="60"/>
    </row>
    <row r="99" spans="3:3">
      <c r="C99" s="60"/>
    </row>
    <row r="100" spans="3:3">
      <c r="C100" s="60"/>
    </row>
    <row r="101" spans="3:3">
      <c r="C101" s="60"/>
    </row>
    <row r="102" spans="3:3">
      <c r="C102" s="60"/>
    </row>
    <row r="103" spans="3:3">
      <c r="C103" s="60"/>
    </row>
    <row r="104" spans="3:3">
      <c r="C104" s="60"/>
    </row>
    <row r="105" spans="3:3">
      <c r="C105" s="60"/>
    </row>
    <row r="106" spans="3:3">
      <c r="C106" s="60"/>
    </row>
    <row r="107" spans="3:3">
      <c r="C107" s="60"/>
    </row>
    <row r="108" spans="3:3">
      <c r="C108" s="60"/>
    </row>
    <row r="109" spans="3:3">
      <c r="C109" s="60"/>
    </row>
    <row r="110" spans="3:3">
      <c r="C110" s="60"/>
    </row>
    <row r="111" spans="3:3">
      <c r="C111" s="60"/>
    </row>
    <row r="112" spans="3:3">
      <c r="C112" s="60"/>
    </row>
    <row r="113" spans="3:3">
      <c r="C113" s="60"/>
    </row>
    <row r="114" spans="3:3">
      <c r="C114" s="60"/>
    </row>
    <row r="115" spans="3:3">
      <c r="C115" s="60"/>
    </row>
    <row r="116" spans="3:3">
      <c r="C116" s="60"/>
    </row>
    <row r="117" spans="3:3">
      <c r="C117" s="60"/>
    </row>
    <row r="118" spans="3:3">
      <c r="C118" s="60"/>
    </row>
    <row r="119" spans="3:3">
      <c r="C119" s="60"/>
    </row>
    <row r="120" spans="3:3">
      <c r="C120" s="60"/>
    </row>
    <row r="121" spans="3:3">
      <c r="C121" s="60"/>
    </row>
    <row r="122" spans="3:3">
      <c r="C122" s="60"/>
    </row>
    <row r="123" spans="3:3">
      <c r="C123" s="60"/>
    </row>
    <row r="124" spans="3:3">
      <c r="C124" s="60"/>
    </row>
    <row r="125" spans="3:3">
      <c r="C125" s="60"/>
    </row>
    <row r="126" spans="3:3">
      <c r="C126" s="60"/>
    </row>
    <row r="127" spans="3:3">
      <c r="C127" s="60"/>
    </row>
    <row r="128" spans="3:3">
      <c r="C128" s="60"/>
    </row>
    <row r="129" spans="3:3">
      <c r="C129" s="60"/>
    </row>
    <row r="130" spans="3:3">
      <c r="C130" s="60"/>
    </row>
    <row r="131" spans="3:3">
      <c r="C131" s="60"/>
    </row>
    <row r="132" spans="3:3">
      <c r="C132" s="60"/>
    </row>
    <row r="133" spans="3:3">
      <c r="C133" s="60"/>
    </row>
    <row r="134" spans="3:3">
      <c r="C134" s="60"/>
    </row>
    <row r="135" spans="3:3">
      <c r="C135" s="60"/>
    </row>
    <row r="136" spans="3:3">
      <c r="C136" s="60"/>
    </row>
    <row r="137" spans="3:3">
      <c r="C137" s="60"/>
    </row>
    <row r="138" spans="3:3">
      <c r="C138" s="60"/>
    </row>
    <row r="139" spans="3:3">
      <c r="C139" s="60"/>
    </row>
    <row r="140" spans="3:3">
      <c r="C140" s="60"/>
    </row>
    <row r="141" spans="3:3">
      <c r="C141" s="60"/>
    </row>
    <row r="142" spans="3:3">
      <c r="C142" s="60"/>
    </row>
    <row r="143" spans="3:3">
      <c r="C143" s="60"/>
    </row>
    <row r="144" spans="3:3">
      <c r="C144" s="60"/>
    </row>
    <row r="145" spans="3:3">
      <c r="C145" s="60"/>
    </row>
    <row r="146" spans="3:3">
      <c r="C146" s="60"/>
    </row>
    <row r="147" spans="3:3">
      <c r="C147" s="60"/>
    </row>
    <row r="148" spans="3:3">
      <c r="C148" s="60"/>
    </row>
    <row r="149" spans="3:3">
      <c r="C149" s="60"/>
    </row>
    <row r="150" spans="3:3">
      <c r="C150" s="60"/>
    </row>
    <row r="151" spans="3:3">
      <c r="C151" s="60"/>
    </row>
    <row r="152" spans="3:3">
      <c r="C152" s="60"/>
    </row>
    <row r="153" spans="3:3">
      <c r="C153" s="60"/>
    </row>
    <row r="154" spans="3:3">
      <c r="C154" s="60"/>
    </row>
    <row r="155" spans="3:3">
      <c r="C155" s="60"/>
    </row>
    <row r="156" spans="3:3">
      <c r="C156" s="60"/>
    </row>
    <row r="157" spans="3:3">
      <c r="C157" s="60"/>
    </row>
    <row r="158" spans="3:3">
      <c r="C158" s="60"/>
    </row>
    <row r="159" spans="3:3">
      <c r="C159" s="60"/>
    </row>
    <row r="160" spans="3:3">
      <c r="C160" s="60"/>
    </row>
    <row r="161" spans="3:3">
      <c r="C161" s="60"/>
    </row>
    <row r="162" spans="3:3">
      <c r="C162" s="60"/>
    </row>
    <row r="163" spans="3:3">
      <c r="C163" s="60"/>
    </row>
    <row r="164" spans="3:3">
      <c r="C164" s="60"/>
    </row>
    <row r="165" spans="3:3">
      <c r="C165" s="60"/>
    </row>
    <row r="166" spans="3:3">
      <c r="C166" s="60"/>
    </row>
    <row r="167" spans="3:3">
      <c r="C167" s="60"/>
    </row>
    <row r="168" spans="3:3">
      <c r="C168" s="60"/>
    </row>
    <row r="169" spans="3:3">
      <c r="C169" s="60"/>
    </row>
    <row r="170" spans="3:3">
      <c r="C170" s="60"/>
    </row>
    <row r="171" spans="3:3">
      <c r="C171" s="60"/>
    </row>
    <row r="172" spans="3:3">
      <c r="C172" s="60"/>
    </row>
    <row r="173" spans="3:3">
      <c r="C173" s="60"/>
    </row>
    <row r="174" spans="3:3">
      <c r="C174" s="60"/>
    </row>
    <row r="175" spans="3:3">
      <c r="C175" s="60"/>
    </row>
    <row r="176" spans="3:3">
      <c r="C176" s="60"/>
    </row>
    <row r="177" spans="3:3">
      <c r="C177" s="60"/>
    </row>
    <row r="178" spans="3:3">
      <c r="C178" s="60"/>
    </row>
    <row r="179" spans="3:3">
      <c r="C179" s="60"/>
    </row>
    <row r="180" spans="3:3">
      <c r="C180" s="60"/>
    </row>
    <row r="181" spans="3:3">
      <c r="C181" s="60"/>
    </row>
    <row r="182" spans="3:3">
      <c r="C182" s="60"/>
    </row>
    <row r="183" spans="3:3">
      <c r="C183" s="60"/>
    </row>
    <row r="184" spans="3:3">
      <c r="C184" s="60"/>
    </row>
    <row r="185" spans="3:3">
      <c r="C185" s="60"/>
    </row>
    <row r="186" spans="3:3">
      <c r="C186" s="60"/>
    </row>
    <row r="187" spans="3:3">
      <c r="C187" s="60"/>
    </row>
    <row r="188" spans="3:3">
      <c r="C188" s="60"/>
    </row>
    <row r="189" spans="3:3">
      <c r="C189" s="60"/>
    </row>
    <row r="190" spans="3:3">
      <c r="C190" s="60"/>
    </row>
    <row r="191" spans="3:3">
      <c r="C191" s="60"/>
    </row>
    <row r="192" spans="3:3">
      <c r="C192" s="60"/>
    </row>
    <row r="193" spans="3:3">
      <c r="C193" s="60"/>
    </row>
    <row r="194" spans="3:3">
      <c r="C194" s="60"/>
    </row>
    <row r="195" spans="3:3">
      <c r="C195" s="60"/>
    </row>
    <row r="196" spans="3:3">
      <c r="C196" s="60"/>
    </row>
    <row r="197" spans="3:3">
      <c r="C197" s="60"/>
    </row>
    <row r="198" spans="3:3">
      <c r="C198" s="60"/>
    </row>
    <row r="199" spans="3:3">
      <c r="C199" s="60"/>
    </row>
    <row r="200" spans="3:3">
      <c r="C200" s="60"/>
    </row>
    <row r="201" spans="3:3">
      <c r="C201" s="60"/>
    </row>
    <row r="202" spans="3:3">
      <c r="C202" s="60"/>
    </row>
    <row r="203" spans="3:3">
      <c r="C203" s="60"/>
    </row>
    <row r="204" spans="3:3">
      <c r="C204" s="60"/>
    </row>
    <row r="205" spans="3:3">
      <c r="C205" s="60"/>
    </row>
    <row r="206" spans="3:3">
      <c r="C206" s="60"/>
    </row>
    <row r="207" spans="3:3">
      <c r="C207" s="60"/>
    </row>
    <row r="208" spans="3:3">
      <c r="C208" s="60"/>
    </row>
    <row r="209" spans="3:3">
      <c r="C209" s="60"/>
    </row>
    <row r="210" spans="3:3">
      <c r="C210" s="60"/>
    </row>
    <row r="211" spans="3:3">
      <c r="C211" s="60"/>
    </row>
    <row r="212" spans="3:3">
      <c r="C212" s="60"/>
    </row>
    <row r="213" spans="3:3">
      <c r="C213" s="60"/>
    </row>
    <row r="214" spans="3:3">
      <c r="C214" s="60"/>
    </row>
    <row r="215" spans="3:3">
      <c r="C215" s="60"/>
    </row>
    <row r="216" spans="3:3">
      <c r="C216" s="60"/>
    </row>
    <row r="217" spans="3:3">
      <c r="C217" s="60"/>
    </row>
    <row r="218" spans="3:3">
      <c r="C218" s="60"/>
    </row>
    <row r="219" spans="3:3">
      <c r="C219" s="60"/>
    </row>
    <row r="220" spans="3:3">
      <c r="C220" s="60"/>
    </row>
    <row r="221" spans="3:3">
      <c r="C221" s="60"/>
    </row>
    <row r="222" spans="3:3">
      <c r="C222" s="60"/>
    </row>
    <row r="223" spans="3:3">
      <c r="C223" s="60"/>
    </row>
    <row r="224" spans="3:3">
      <c r="C224" s="60"/>
    </row>
    <row r="225" spans="3:3">
      <c r="C225" s="60"/>
    </row>
    <row r="226" spans="3:3">
      <c r="C226" s="60"/>
    </row>
    <row r="227" spans="3:3">
      <c r="C227" s="60"/>
    </row>
    <row r="228" spans="3:3">
      <c r="C228" s="60"/>
    </row>
    <row r="229" spans="3:3">
      <c r="C229" s="60"/>
    </row>
    <row r="230" spans="3:3">
      <c r="C230" s="60"/>
    </row>
    <row r="231" spans="3:3">
      <c r="C231" s="60"/>
    </row>
    <row r="232" spans="3:3">
      <c r="C232" s="60"/>
    </row>
    <row r="233" spans="3:3">
      <c r="C233" s="60"/>
    </row>
    <row r="234" spans="3:3">
      <c r="C234" s="60"/>
    </row>
    <row r="235" spans="3:3">
      <c r="C235" s="60"/>
    </row>
    <row r="236" spans="3:3">
      <c r="C236" s="60"/>
    </row>
    <row r="237" spans="3:3">
      <c r="C237" s="60"/>
    </row>
    <row r="238" spans="3:3">
      <c r="C238" s="60"/>
    </row>
    <row r="239" spans="3:3">
      <c r="C239" s="60"/>
    </row>
    <row r="240" spans="3:3">
      <c r="C240" s="60"/>
    </row>
    <row r="241" spans="3:3">
      <c r="C241" s="60"/>
    </row>
    <row r="242" spans="3:3">
      <c r="C242" s="60"/>
    </row>
    <row r="243" spans="3:3">
      <c r="C243" s="60"/>
    </row>
    <row r="244" spans="3:3">
      <c r="C244" s="60"/>
    </row>
    <row r="245" spans="3:3">
      <c r="C245" s="60"/>
    </row>
    <row r="246" spans="3:3">
      <c r="C246" s="60"/>
    </row>
    <row r="247" spans="3:3">
      <c r="C247" s="60"/>
    </row>
  </sheetData>
  <mergeCells count="1">
    <mergeCell ref="B2:E2"/>
  </mergeCells>
  <pageMargins left="0.59055118110236227" right="0.19685039370078741" top="0.59055118110236227" bottom="0.19685039370078741" header="0.31496062992125984" footer="0.31496062992125984"/>
  <pageSetup paperSize="9"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Лист22">
    <pageSetUpPr fitToPage="1"/>
  </sheetPr>
  <dimension ref="A1:E247"/>
  <sheetViews>
    <sheetView zoomScaleSheetLayoutView="100" workbookViewId="0">
      <selection activeCell="C21" sqref="C21"/>
    </sheetView>
  </sheetViews>
  <sheetFormatPr defaultColWidth="9.140625" defaultRowHeight="15"/>
  <cols>
    <col min="1" max="1" width="5.140625" style="43" customWidth="1"/>
    <col min="2" max="2" width="51" style="43" customWidth="1"/>
    <col min="3" max="3" width="18.42578125" style="81" customWidth="1"/>
    <col min="4" max="4" width="15.85546875" style="43" customWidth="1"/>
    <col min="5" max="5" width="15.7109375" style="43" customWidth="1"/>
    <col min="6" max="16384" width="9.140625" style="43"/>
  </cols>
  <sheetData>
    <row r="1" spans="1:5">
      <c r="C1" s="43"/>
    </row>
    <row r="2" spans="1:5" ht="32.450000000000003" customHeight="1">
      <c r="B2" s="1431" t="s">
        <v>852</v>
      </c>
      <c r="C2" s="1431"/>
      <c r="D2" s="1431"/>
      <c r="E2" s="1431"/>
    </row>
    <row r="3" spans="1:5">
      <c r="B3" s="60"/>
      <c r="C3" s="60"/>
    </row>
    <row r="4" spans="1:5" ht="31.5">
      <c r="A4" s="3" t="s">
        <v>1</v>
      </c>
      <c r="B4" s="3" t="s">
        <v>34</v>
      </c>
      <c r="C4" s="3" t="s">
        <v>853</v>
      </c>
      <c r="D4" s="88" t="s">
        <v>388</v>
      </c>
      <c r="E4" s="88" t="s">
        <v>389</v>
      </c>
    </row>
    <row r="5" spans="1:5" ht="15.75">
      <c r="A5" s="45">
        <v>1</v>
      </c>
      <c r="B5" s="46" t="s">
        <v>6</v>
      </c>
      <c r="C5" s="79">
        <f>'Свод '!D10</f>
        <v>1764039230.3474996</v>
      </c>
      <c r="D5" s="79">
        <f>C5/1186</f>
        <v>1487385.5230586</v>
      </c>
      <c r="E5" s="79">
        <f>D5/12</f>
        <v>123948.79358821666</v>
      </c>
    </row>
    <row r="6" spans="1:5" ht="15.75">
      <c r="A6" s="45">
        <f>A5+1</f>
        <v>2</v>
      </c>
      <c r="B6" s="46" t="s">
        <v>109</v>
      </c>
      <c r="C6" s="79">
        <f>'Свод '!D11</f>
        <v>139840831.27125001</v>
      </c>
      <c r="D6" s="79">
        <f t="shared" ref="D6:D20" si="0">C6/1186</f>
        <v>117909.6385086425</v>
      </c>
      <c r="E6" s="79">
        <f t="shared" ref="E6:E20" si="1">D6/12</f>
        <v>9825.8032090535417</v>
      </c>
    </row>
    <row r="7" spans="1:5" ht="15.75">
      <c r="A7" s="45">
        <f t="shared" ref="A7:A20" si="2">A6+1</f>
        <v>3</v>
      </c>
      <c r="B7" s="46" t="s">
        <v>2474</v>
      </c>
      <c r="C7" s="79">
        <f>'Свод '!D12</f>
        <v>85732202.582843751</v>
      </c>
      <c r="D7" s="79">
        <f t="shared" ref="D7" si="3">C7/1186</f>
        <v>72286.848720778886</v>
      </c>
      <c r="E7" s="79">
        <f t="shared" ref="E7" si="4">D7/12</f>
        <v>6023.9040600649068</v>
      </c>
    </row>
    <row r="8" spans="1:5" ht="15.75">
      <c r="A8" s="45">
        <f t="shared" si="2"/>
        <v>4</v>
      </c>
      <c r="B8" s="46" t="s">
        <v>75</v>
      </c>
      <c r="C8" s="79">
        <f>'Свод '!D13</f>
        <v>98935321.627368003</v>
      </c>
      <c r="D8" s="79">
        <f t="shared" si="0"/>
        <v>83419.326835892076</v>
      </c>
      <c r="E8" s="79">
        <f t="shared" si="1"/>
        <v>6951.6105696576733</v>
      </c>
    </row>
    <row r="9" spans="1:5" ht="17.25" customHeight="1">
      <c r="A9" s="45">
        <f t="shared" si="2"/>
        <v>5</v>
      </c>
      <c r="B9" s="46" t="s">
        <v>132</v>
      </c>
      <c r="C9" s="79">
        <f>'Свод '!D14</f>
        <v>85674602.772843748</v>
      </c>
      <c r="D9" s="79">
        <f t="shared" si="0"/>
        <v>72238.282270525931</v>
      </c>
      <c r="E9" s="79">
        <f t="shared" si="1"/>
        <v>6019.8568558771613</v>
      </c>
    </row>
    <row r="10" spans="1:5" ht="19.5" customHeight="1">
      <c r="A10" s="45">
        <f t="shared" si="2"/>
        <v>6</v>
      </c>
      <c r="B10" s="46" t="s">
        <v>76</v>
      </c>
      <c r="C10" s="79">
        <f>'Свод '!D15</f>
        <v>52921176.910425</v>
      </c>
      <c r="D10" s="79">
        <f t="shared" si="0"/>
        <v>44621.565691758013</v>
      </c>
      <c r="E10" s="79">
        <f t="shared" si="1"/>
        <v>3718.4638076465012</v>
      </c>
    </row>
    <row r="11" spans="1:5" ht="19.5" customHeight="1">
      <c r="A11" s="45">
        <f t="shared" si="2"/>
        <v>7</v>
      </c>
      <c r="B11" s="46" t="s">
        <v>884</v>
      </c>
      <c r="C11" s="79">
        <f>'Свод '!D16</f>
        <v>6400634.9206349198</v>
      </c>
      <c r="D11" s="79">
        <f t="shared" si="0"/>
        <v>5396.8253968253957</v>
      </c>
      <c r="E11" s="79">
        <f t="shared" si="1"/>
        <v>449.73544973544966</v>
      </c>
    </row>
    <row r="12" spans="1:5" ht="15.75">
      <c r="A12" s="45">
        <f t="shared" si="2"/>
        <v>8</v>
      </c>
      <c r="B12" s="46" t="s">
        <v>885</v>
      </c>
      <c r="C12" s="79">
        <f>'Свод '!D17</f>
        <v>262415</v>
      </c>
      <c r="D12" s="79">
        <f t="shared" si="0"/>
        <v>221.26053962900505</v>
      </c>
      <c r="E12" s="79">
        <f t="shared" si="1"/>
        <v>18.438378302417089</v>
      </c>
    </row>
    <row r="13" spans="1:5" ht="33.75" customHeight="1">
      <c r="A13" s="45">
        <f t="shared" si="2"/>
        <v>9</v>
      </c>
      <c r="B13" s="46" t="s">
        <v>77</v>
      </c>
      <c r="C13" s="79">
        <f>'Свод '!D18</f>
        <v>702000</v>
      </c>
      <c r="D13" s="79">
        <f t="shared" si="0"/>
        <v>591.90556492411463</v>
      </c>
      <c r="E13" s="79">
        <f t="shared" si="1"/>
        <v>49.325463743676217</v>
      </c>
    </row>
    <row r="14" spans="1:5" ht="15.75">
      <c r="A14" s="45">
        <f t="shared" si="2"/>
        <v>10</v>
      </c>
      <c r="B14" s="46" t="s">
        <v>78</v>
      </c>
      <c r="C14" s="79">
        <f>'Свод '!D19</f>
        <v>14373593.220000001</v>
      </c>
      <c r="D14" s="79">
        <f t="shared" si="0"/>
        <v>12119.387200674537</v>
      </c>
      <c r="E14" s="79">
        <f t="shared" si="1"/>
        <v>1009.9489333895448</v>
      </c>
    </row>
    <row r="15" spans="1:5" ht="15.75">
      <c r="A15" s="45">
        <f t="shared" si="2"/>
        <v>11</v>
      </c>
      <c r="B15" s="46" t="s">
        <v>131</v>
      </c>
      <c r="C15" s="79">
        <f>'Свод '!D20</f>
        <v>41917668.8843472</v>
      </c>
      <c r="D15" s="79">
        <f t="shared" si="0"/>
        <v>35343.734303834062</v>
      </c>
      <c r="E15" s="79">
        <f t="shared" si="1"/>
        <v>2945.3111919861717</v>
      </c>
    </row>
    <row r="16" spans="1:5" ht="15.75">
      <c r="A16" s="45">
        <f t="shared" si="2"/>
        <v>12</v>
      </c>
      <c r="B16" s="46" t="s">
        <v>133</v>
      </c>
      <c r="C16" s="79">
        <f>'Свод '!D21</f>
        <v>1781232</v>
      </c>
      <c r="D16" s="79">
        <f t="shared" si="0"/>
        <v>1501.8819561551434</v>
      </c>
      <c r="E16" s="79">
        <f t="shared" si="1"/>
        <v>125.15682967959528</v>
      </c>
    </row>
    <row r="17" spans="1:5" ht="15.75">
      <c r="A17" s="45">
        <f t="shared" si="2"/>
        <v>13</v>
      </c>
      <c r="B17" s="46" t="s">
        <v>107</v>
      </c>
      <c r="C17" s="79">
        <f>'Свод '!D22</f>
        <v>49238590.799999997</v>
      </c>
      <c r="D17" s="79">
        <f t="shared" si="0"/>
        <v>41516.518381112983</v>
      </c>
      <c r="E17" s="79">
        <f t="shared" si="1"/>
        <v>3459.7098650927487</v>
      </c>
    </row>
    <row r="18" spans="1:5" ht="35.25" customHeight="1">
      <c r="A18" s="45">
        <f t="shared" si="2"/>
        <v>14</v>
      </c>
      <c r="B18" s="46" t="s">
        <v>185</v>
      </c>
      <c r="C18" s="79">
        <f>'Свод '!D23</f>
        <v>944172</v>
      </c>
      <c r="D18" s="79">
        <f t="shared" si="0"/>
        <v>796.09780775716695</v>
      </c>
      <c r="E18" s="79">
        <f t="shared" si="1"/>
        <v>66.341483979763908</v>
      </c>
    </row>
    <row r="19" spans="1:5" ht="15.75">
      <c r="A19" s="45">
        <f t="shared" si="2"/>
        <v>15</v>
      </c>
      <c r="B19" s="46" t="s">
        <v>383</v>
      </c>
      <c r="C19" s="79">
        <f>'Свод '!D24</f>
        <v>347040000</v>
      </c>
      <c r="D19" s="79">
        <f t="shared" si="0"/>
        <v>292613.82799325464</v>
      </c>
      <c r="E19" s="79">
        <f t="shared" si="1"/>
        <v>24384.485666104552</v>
      </c>
    </row>
    <row r="20" spans="1:5" ht="15.75">
      <c r="A20" s="45">
        <f t="shared" si="2"/>
        <v>16</v>
      </c>
      <c r="B20" s="46" t="s">
        <v>293</v>
      </c>
      <c r="C20" s="79">
        <f>'Свод '!D25</f>
        <v>144355.5</v>
      </c>
      <c r="D20" s="79">
        <f t="shared" si="0"/>
        <v>121.71627318718382</v>
      </c>
      <c r="E20" s="79">
        <f t="shared" si="1"/>
        <v>10.143022765598651</v>
      </c>
    </row>
    <row r="21" spans="1:5" s="48" customFormat="1" ht="15.75">
      <c r="A21" s="47"/>
      <c r="B21" s="64" t="s">
        <v>35</v>
      </c>
      <c r="C21" s="93">
        <f>SUM(C5:C20)-1</f>
        <v>2689948026.8372126</v>
      </c>
      <c r="D21" s="93">
        <f>SUM(D5:D20)</f>
        <v>2268084.3405035515</v>
      </c>
      <c r="E21" s="93">
        <f>SUM(E5:E20)</f>
        <v>189007.02837529595</v>
      </c>
    </row>
    <row r="22" spans="1:5">
      <c r="A22" s="40"/>
      <c r="B22" s="40"/>
      <c r="C22" s="60"/>
    </row>
    <row r="23" spans="1:5" ht="15.75">
      <c r="B23" s="49"/>
      <c r="C23" s="60"/>
    </row>
    <row r="24" spans="1:5">
      <c r="B24" s="12" t="s">
        <v>240</v>
      </c>
      <c r="C24" s="60"/>
    </row>
    <row r="25" spans="1:5" ht="15.75">
      <c r="B25" s="26" t="s">
        <v>166</v>
      </c>
      <c r="C25" s="43"/>
      <c r="D25" s="49"/>
      <c r="E25" s="49" t="s">
        <v>407</v>
      </c>
    </row>
    <row r="26" spans="1:5">
      <c r="B26" s="10"/>
      <c r="C26" s="43"/>
      <c r="D26"/>
      <c r="E26"/>
    </row>
    <row r="27" spans="1:5" ht="15.75">
      <c r="B27" s="26" t="s">
        <v>167</v>
      </c>
      <c r="C27" s="43"/>
      <c r="D27" s="49"/>
      <c r="E27" s="49" t="s">
        <v>407</v>
      </c>
    </row>
    <row r="28" spans="1:5">
      <c r="B28" s="53"/>
      <c r="C28" s="43"/>
      <c r="D28"/>
      <c r="E28"/>
    </row>
    <row r="29" spans="1:5" ht="15.75">
      <c r="B29" s="74" t="s">
        <v>168</v>
      </c>
      <c r="C29" s="43"/>
      <c r="D29" s="49"/>
      <c r="E29" s="49" t="s">
        <v>407</v>
      </c>
    </row>
    <row r="30" spans="1:5">
      <c r="B30" s="53"/>
      <c r="C30" s="43"/>
      <c r="D30"/>
      <c r="E30"/>
    </row>
    <row r="31" spans="1:5">
      <c r="B31" s="12" t="s">
        <v>216</v>
      </c>
      <c r="C31" s="43"/>
      <c r="D31"/>
      <c r="E31"/>
    </row>
    <row r="32" spans="1:5" ht="15.75">
      <c r="B32" s="26" t="s">
        <v>403</v>
      </c>
      <c r="C32" s="43"/>
      <c r="D32" s="49"/>
      <c r="E32" s="49" t="s">
        <v>407</v>
      </c>
    </row>
    <row r="33" spans="2:4">
      <c r="C33"/>
      <c r="D33"/>
    </row>
    <row r="34" spans="2:4" ht="12" customHeight="1">
      <c r="C34" s="60"/>
    </row>
    <row r="35" spans="2:4" ht="15.75" hidden="1" customHeight="1">
      <c r="B35" s="86" t="s">
        <v>180</v>
      </c>
      <c r="C35" s="60"/>
    </row>
    <row r="36" spans="2:4" ht="15.75" hidden="1">
      <c r="B36" s="30"/>
      <c r="C36" s="60"/>
    </row>
    <row r="37" spans="2:4" ht="35.25" hidden="1" customHeight="1">
      <c r="B37" s="83" t="s">
        <v>183</v>
      </c>
      <c r="C37" s="60"/>
    </row>
    <row r="38" spans="2:4" ht="15.75" hidden="1">
      <c r="B38" s="84"/>
      <c r="C38" s="60"/>
    </row>
    <row r="39" spans="2:4" hidden="1">
      <c r="B39" s="72" t="s">
        <v>181</v>
      </c>
      <c r="C39" s="60"/>
    </row>
    <row r="40" spans="2:4" hidden="1">
      <c r="B40" s="72"/>
      <c r="C40" s="60"/>
    </row>
    <row r="41" spans="2:4" hidden="1">
      <c r="B41" s="72" t="s">
        <v>182</v>
      </c>
      <c r="C41" s="60"/>
    </row>
    <row r="42" spans="2:4">
      <c r="C42" s="60"/>
    </row>
    <row r="43" spans="2:4">
      <c r="C43" s="60"/>
    </row>
    <row r="44" spans="2:4">
      <c r="C44" s="60"/>
    </row>
    <row r="45" spans="2:4">
      <c r="C45" s="60"/>
    </row>
    <row r="46" spans="2:4">
      <c r="C46" s="60"/>
    </row>
    <row r="47" spans="2:4">
      <c r="C47" s="60"/>
    </row>
    <row r="48" spans="2:4">
      <c r="C48" s="60"/>
    </row>
    <row r="49" spans="3:3">
      <c r="C49" s="60"/>
    </row>
    <row r="50" spans="3:3">
      <c r="C50" s="60"/>
    </row>
    <row r="51" spans="3:3">
      <c r="C51" s="60"/>
    </row>
    <row r="52" spans="3:3">
      <c r="C52" s="60"/>
    </row>
    <row r="53" spans="3:3">
      <c r="C53" s="60"/>
    </row>
    <row r="54" spans="3:3">
      <c r="C54" s="60"/>
    </row>
    <row r="55" spans="3:3">
      <c r="C55" s="60"/>
    </row>
    <row r="56" spans="3:3">
      <c r="C56" s="60"/>
    </row>
    <row r="57" spans="3:3">
      <c r="C57" s="60"/>
    </row>
    <row r="58" spans="3:3">
      <c r="C58" s="60"/>
    </row>
    <row r="59" spans="3:3">
      <c r="C59" s="60"/>
    </row>
    <row r="60" spans="3:3">
      <c r="C60" s="60"/>
    </row>
    <row r="61" spans="3:3">
      <c r="C61" s="60"/>
    </row>
    <row r="62" spans="3:3">
      <c r="C62" s="60"/>
    </row>
    <row r="63" spans="3:3">
      <c r="C63" s="60"/>
    </row>
    <row r="64" spans="3:3">
      <c r="C64" s="60"/>
    </row>
    <row r="65" spans="3:3">
      <c r="C65" s="60"/>
    </row>
    <row r="66" spans="3:3">
      <c r="C66" s="60"/>
    </row>
    <row r="67" spans="3:3">
      <c r="C67" s="60"/>
    </row>
    <row r="68" spans="3:3">
      <c r="C68" s="60"/>
    </row>
    <row r="69" spans="3:3">
      <c r="C69" s="60"/>
    </row>
    <row r="70" spans="3:3">
      <c r="C70" s="60"/>
    </row>
    <row r="71" spans="3:3">
      <c r="C71" s="60"/>
    </row>
    <row r="72" spans="3:3">
      <c r="C72" s="60"/>
    </row>
    <row r="73" spans="3:3">
      <c r="C73" s="60"/>
    </row>
    <row r="74" spans="3:3">
      <c r="C74" s="60"/>
    </row>
    <row r="75" spans="3:3">
      <c r="C75" s="60"/>
    </row>
    <row r="76" spans="3:3">
      <c r="C76" s="60"/>
    </row>
    <row r="77" spans="3:3">
      <c r="C77" s="60"/>
    </row>
    <row r="78" spans="3:3">
      <c r="C78" s="60"/>
    </row>
    <row r="79" spans="3:3">
      <c r="C79" s="60"/>
    </row>
    <row r="80" spans="3:3">
      <c r="C80" s="60"/>
    </row>
    <row r="81" spans="3:3">
      <c r="C81" s="60"/>
    </row>
    <row r="82" spans="3:3">
      <c r="C82" s="60"/>
    </row>
    <row r="83" spans="3:3">
      <c r="C83" s="60"/>
    </row>
    <row r="84" spans="3:3">
      <c r="C84" s="60"/>
    </row>
    <row r="85" spans="3:3">
      <c r="C85" s="60"/>
    </row>
    <row r="86" spans="3:3">
      <c r="C86" s="60"/>
    </row>
    <row r="87" spans="3:3">
      <c r="C87" s="60"/>
    </row>
    <row r="88" spans="3:3">
      <c r="C88" s="60"/>
    </row>
    <row r="89" spans="3:3">
      <c r="C89" s="60"/>
    </row>
    <row r="90" spans="3:3">
      <c r="C90" s="60"/>
    </row>
    <row r="91" spans="3:3">
      <c r="C91" s="60"/>
    </row>
    <row r="92" spans="3:3">
      <c r="C92" s="60"/>
    </row>
    <row r="93" spans="3:3">
      <c r="C93" s="60"/>
    </row>
    <row r="94" spans="3:3">
      <c r="C94" s="60"/>
    </row>
    <row r="95" spans="3:3">
      <c r="C95" s="60"/>
    </row>
    <row r="96" spans="3:3">
      <c r="C96" s="60"/>
    </row>
    <row r="97" spans="3:3">
      <c r="C97" s="60"/>
    </row>
    <row r="98" spans="3:3">
      <c r="C98" s="60"/>
    </row>
    <row r="99" spans="3:3">
      <c r="C99" s="60"/>
    </row>
    <row r="100" spans="3:3">
      <c r="C100" s="60"/>
    </row>
    <row r="101" spans="3:3">
      <c r="C101" s="60"/>
    </row>
    <row r="102" spans="3:3">
      <c r="C102" s="60"/>
    </row>
    <row r="103" spans="3:3">
      <c r="C103" s="60"/>
    </row>
    <row r="104" spans="3:3">
      <c r="C104" s="60"/>
    </row>
    <row r="105" spans="3:3">
      <c r="C105" s="60"/>
    </row>
    <row r="106" spans="3:3">
      <c r="C106" s="60"/>
    </row>
    <row r="107" spans="3:3">
      <c r="C107" s="60"/>
    </row>
    <row r="108" spans="3:3">
      <c r="C108" s="60"/>
    </row>
    <row r="109" spans="3:3">
      <c r="C109" s="60"/>
    </row>
    <row r="110" spans="3:3">
      <c r="C110" s="60"/>
    </row>
    <row r="111" spans="3:3">
      <c r="C111" s="60"/>
    </row>
    <row r="112" spans="3:3">
      <c r="C112" s="60"/>
    </row>
    <row r="113" spans="3:3">
      <c r="C113" s="60"/>
    </row>
    <row r="114" spans="3:3">
      <c r="C114" s="60"/>
    </row>
    <row r="115" spans="3:3">
      <c r="C115" s="60"/>
    </row>
    <row r="116" spans="3:3">
      <c r="C116" s="60"/>
    </row>
    <row r="117" spans="3:3">
      <c r="C117" s="60"/>
    </row>
    <row r="118" spans="3:3">
      <c r="C118" s="60"/>
    </row>
    <row r="119" spans="3:3">
      <c r="C119" s="60"/>
    </row>
    <row r="120" spans="3:3">
      <c r="C120" s="60"/>
    </row>
    <row r="121" spans="3:3">
      <c r="C121" s="60"/>
    </row>
    <row r="122" spans="3:3">
      <c r="C122" s="60"/>
    </row>
    <row r="123" spans="3:3">
      <c r="C123" s="60"/>
    </row>
    <row r="124" spans="3:3">
      <c r="C124" s="60"/>
    </row>
    <row r="125" spans="3:3">
      <c r="C125" s="60"/>
    </row>
    <row r="126" spans="3:3">
      <c r="C126" s="60"/>
    </row>
    <row r="127" spans="3:3">
      <c r="C127" s="60"/>
    </row>
    <row r="128" spans="3:3">
      <c r="C128" s="60"/>
    </row>
    <row r="129" spans="3:3">
      <c r="C129" s="60"/>
    </row>
    <row r="130" spans="3:3">
      <c r="C130" s="60"/>
    </row>
    <row r="131" spans="3:3">
      <c r="C131" s="60"/>
    </row>
    <row r="132" spans="3:3">
      <c r="C132" s="60"/>
    </row>
    <row r="133" spans="3:3">
      <c r="C133" s="60"/>
    </row>
    <row r="134" spans="3:3">
      <c r="C134" s="60"/>
    </row>
    <row r="135" spans="3:3">
      <c r="C135" s="60"/>
    </row>
    <row r="136" spans="3:3">
      <c r="C136" s="60"/>
    </row>
    <row r="137" spans="3:3">
      <c r="C137" s="60"/>
    </row>
    <row r="138" spans="3:3">
      <c r="C138" s="60"/>
    </row>
    <row r="139" spans="3:3">
      <c r="C139" s="60"/>
    </row>
    <row r="140" spans="3:3">
      <c r="C140" s="60"/>
    </row>
    <row r="141" spans="3:3">
      <c r="C141" s="60"/>
    </row>
    <row r="142" spans="3:3">
      <c r="C142" s="60"/>
    </row>
    <row r="143" spans="3:3">
      <c r="C143" s="60"/>
    </row>
    <row r="144" spans="3:3">
      <c r="C144" s="60"/>
    </row>
    <row r="145" spans="3:3">
      <c r="C145" s="60"/>
    </row>
    <row r="146" spans="3:3">
      <c r="C146" s="60"/>
    </row>
    <row r="147" spans="3:3">
      <c r="C147" s="60"/>
    </row>
    <row r="148" spans="3:3">
      <c r="C148" s="60"/>
    </row>
    <row r="149" spans="3:3">
      <c r="C149" s="60"/>
    </row>
    <row r="150" spans="3:3">
      <c r="C150" s="60"/>
    </row>
    <row r="151" spans="3:3">
      <c r="C151" s="60"/>
    </row>
    <row r="152" spans="3:3">
      <c r="C152" s="60"/>
    </row>
    <row r="153" spans="3:3">
      <c r="C153" s="60"/>
    </row>
    <row r="154" spans="3:3">
      <c r="C154" s="60"/>
    </row>
    <row r="155" spans="3:3">
      <c r="C155" s="60"/>
    </row>
    <row r="156" spans="3:3">
      <c r="C156" s="60"/>
    </row>
    <row r="157" spans="3:3">
      <c r="C157" s="60"/>
    </row>
    <row r="158" spans="3:3">
      <c r="C158" s="60"/>
    </row>
    <row r="159" spans="3:3">
      <c r="C159" s="60"/>
    </row>
    <row r="160" spans="3:3">
      <c r="C160" s="60"/>
    </row>
    <row r="161" spans="3:3">
      <c r="C161" s="60"/>
    </row>
    <row r="162" spans="3:3">
      <c r="C162" s="60"/>
    </row>
    <row r="163" spans="3:3">
      <c r="C163" s="60"/>
    </row>
    <row r="164" spans="3:3">
      <c r="C164" s="60"/>
    </row>
    <row r="165" spans="3:3">
      <c r="C165" s="60"/>
    </row>
    <row r="166" spans="3:3">
      <c r="C166" s="60"/>
    </row>
    <row r="167" spans="3:3">
      <c r="C167" s="60"/>
    </row>
    <row r="168" spans="3:3">
      <c r="C168" s="60"/>
    </row>
    <row r="169" spans="3:3">
      <c r="C169" s="60"/>
    </row>
    <row r="170" spans="3:3">
      <c r="C170" s="60"/>
    </row>
    <row r="171" spans="3:3">
      <c r="C171" s="60"/>
    </row>
    <row r="172" spans="3:3">
      <c r="C172" s="60"/>
    </row>
    <row r="173" spans="3:3">
      <c r="C173" s="60"/>
    </row>
    <row r="174" spans="3:3">
      <c r="C174" s="60"/>
    </row>
    <row r="175" spans="3:3">
      <c r="C175" s="60"/>
    </row>
    <row r="176" spans="3:3">
      <c r="C176" s="60"/>
    </row>
    <row r="177" spans="3:3">
      <c r="C177" s="60"/>
    </row>
    <row r="178" spans="3:3">
      <c r="C178" s="60"/>
    </row>
    <row r="179" spans="3:3">
      <c r="C179" s="60"/>
    </row>
    <row r="180" spans="3:3">
      <c r="C180" s="60"/>
    </row>
    <row r="181" spans="3:3">
      <c r="C181" s="60"/>
    </row>
    <row r="182" spans="3:3">
      <c r="C182" s="60"/>
    </row>
    <row r="183" spans="3:3">
      <c r="C183" s="60"/>
    </row>
    <row r="184" spans="3:3">
      <c r="C184" s="60"/>
    </row>
    <row r="185" spans="3:3">
      <c r="C185" s="60"/>
    </row>
    <row r="186" spans="3:3">
      <c r="C186" s="60"/>
    </row>
    <row r="187" spans="3:3">
      <c r="C187" s="60"/>
    </row>
    <row r="188" spans="3:3">
      <c r="C188" s="60"/>
    </row>
    <row r="189" spans="3:3">
      <c r="C189" s="60"/>
    </row>
    <row r="190" spans="3:3">
      <c r="C190" s="60"/>
    </row>
    <row r="191" spans="3:3">
      <c r="C191" s="60"/>
    </row>
    <row r="192" spans="3:3">
      <c r="C192" s="60"/>
    </row>
    <row r="193" spans="3:3">
      <c r="C193" s="60"/>
    </row>
    <row r="194" spans="3:3">
      <c r="C194" s="60"/>
    </row>
    <row r="195" spans="3:3">
      <c r="C195" s="60"/>
    </row>
    <row r="196" spans="3:3">
      <c r="C196" s="60"/>
    </row>
    <row r="197" spans="3:3">
      <c r="C197" s="60"/>
    </row>
    <row r="198" spans="3:3">
      <c r="C198" s="60"/>
    </row>
    <row r="199" spans="3:3">
      <c r="C199" s="60"/>
    </row>
    <row r="200" spans="3:3">
      <c r="C200" s="60"/>
    </row>
    <row r="201" spans="3:3">
      <c r="C201" s="60"/>
    </row>
    <row r="202" spans="3:3">
      <c r="C202" s="60"/>
    </row>
    <row r="203" spans="3:3">
      <c r="C203" s="60"/>
    </row>
    <row r="204" spans="3:3">
      <c r="C204" s="60"/>
    </row>
    <row r="205" spans="3:3">
      <c r="C205" s="60"/>
    </row>
    <row r="206" spans="3:3">
      <c r="C206" s="60"/>
    </row>
    <row r="207" spans="3:3">
      <c r="C207" s="60"/>
    </row>
    <row r="208" spans="3:3">
      <c r="C208" s="60"/>
    </row>
    <row r="209" spans="3:3">
      <c r="C209" s="60"/>
    </row>
    <row r="210" spans="3:3">
      <c r="C210" s="60"/>
    </row>
    <row r="211" spans="3:3">
      <c r="C211" s="60"/>
    </row>
    <row r="212" spans="3:3">
      <c r="C212" s="60"/>
    </row>
    <row r="213" spans="3:3">
      <c r="C213" s="60"/>
    </row>
    <row r="214" spans="3:3">
      <c r="C214" s="60"/>
    </row>
    <row r="215" spans="3:3">
      <c r="C215" s="60"/>
    </row>
    <row r="216" spans="3:3">
      <c r="C216" s="60"/>
    </row>
    <row r="217" spans="3:3">
      <c r="C217" s="60"/>
    </row>
    <row r="218" spans="3:3">
      <c r="C218" s="60"/>
    </row>
    <row r="219" spans="3:3">
      <c r="C219" s="60"/>
    </row>
    <row r="220" spans="3:3">
      <c r="C220" s="60"/>
    </row>
    <row r="221" spans="3:3">
      <c r="C221" s="60"/>
    </row>
    <row r="222" spans="3:3">
      <c r="C222" s="60"/>
    </row>
    <row r="223" spans="3:3">
      <c r="C223" s="60"/>
    </row>
    <row r="224" spans="3:3">
      <c r="C224" s="60"/>
    </row>
    <row r="225" spans="3:3">
      <c r="C225" s="60"/>
    </row>
    <row r="226" spans="3:3">
      <c r="C226" s="60"/>
    </row>
    <row r="227" spans="3:3">
      <c r="C227" s="60"/>
    </row>
    <row r="228" spans="3:3">
      <c r="C228" s="60"/>
    </row>
    <row r="229" spans="3:3">
      <c r="C229" s="60"/>
    </row>
    <row r="230" spans="3:3">
      <c r="C230" s="60"/>
    </row>
    <row r="231" spans="3:3">
      <c r="C231" s="60"/>
    </row>
    <row r="232" spans="3:3">
      <c r="C232" s="60"/>
    </row>
    <row r="233" spans="3:3">
      <c r="C233" s="60"/>
    </row>
    <row r="234" spans="3:3">
      <c r="C234" s="60"/>
    </row>
    <row r="235" spans="3:3">
      <c r="C235" s="60"/>
    </row>
    <row r="236" spans="3:3">
      <c r="C236" s="60"/>
    </row>
    <row r="237" spans="3:3">
      <c r="C237" s="60"/>
    </row>
    <row r="238" spans="3:3">
      <c r="C238" s="60"/>
    </row>
    <row r="239" spans="3:3">
      <c r="C239" s="60"/>
    </row>
    <row r="240" spans="3:3">
      <c r="C240" s="60"/>
    </row>
    <row r="241" spans="3:3">
      <c r="C241" s="60"/>
    </row>
    <row r="242" spans="3:3">
      <c r="C242" s="60"/>
    </row>
    <row r="243" spans="3:3">
      <c r="C243" s="60"/>
    </row>
    <row r="244" spans="3:3">
      <c r="C244" s="60"/>
    </row>
    <row r="245" spans="3:3">
      <c r="C245" s="60"/>
    </row>
    <row r="246" spans="3:3">
      <c r="C246" s="60"/>
    </row>
    <row r="247" spans="3:3">
      <c r="C247" s="60"/>
    </row>
  </sheetData>
  <mergeCells count="1">
    <mergeCell ref="B2:E2"/>
  </mergeCells>
  <pageMargins left="0.78740157480314965" right="0.19685039370078741" top="0.19685039370078741" bottom="0.19685039370078741" header="0.31496062992125984" footer="0.31496062992125984"/>
  <pageSetup paperSize="9"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6E89B-DEEF-481B-A5E5-3E483AF268B9}">
  <sheetPr codeName="Лист26">
    <pageSetUpPr fitToPage="1"/>
  </sheetPr>
  <dimension ref="A1:E247"/>
  <sheetViews>
    <sheetView zoomScaleSheetLayoutView="100" workbookViewId="0">
      <selection activeCell="D22" sqref="D22"/>
    </sheetView>
  </sheetViews>
  <sheetFormatPr defaultColWidth="9.140625" defaultRowHeight="15"/>
  <cols>
    <col min="1" max="1" width="5.140625" style="43" customWidth="1"/>
    <col min="2" max="2" width="51" style="43" customWidth="1"/>
    <col min="3" max="3" width="18.42578125" style="81" customWidth="1"/>
    <col min="4" max="4" width="15.85546875" style="43" customWidth="1"/>
    <col min="5" max="5" width="15.7109375" style="43" customWidth="1"/>
    <col min="6" max="16384" width="9.140625" style="43"/>
  </cols>
  <sheetData>
    <row r="1" spans="1:5">
      <c r="C1" s="43"/>
    </row>
    <row r="2" spans="1:5" ht="32.450000000000003" customHeight="1">
      <c r="B2" s="1431" t="s">
        <v>867</v>
      </c>
      <c r="C2" s="1431"/>
      <c r="D2" s="1431"/>
      <c r="E2" s="1431"/>
    </row>
    <row r="3" spans="1:5">
      <c r="B3" s="60"/>
      <c r="C3" s="60"/>
    </row>
    <row r="4" spans="1:5" ht="31.5">
      <c r="A4" s="3" t="s">
        <v>1</v>
      </c>
      <c r="B4" s="3" t="s">
        <v>34</v>
      </c>
      <c r="C4" s="3" t="s">
        <v>868</v>
      </c>
      <c r="D4" s="88" t="s">
        <v>388</v>
      </c>
      <c r="E4" s="88" t="s">
        <v>389</v>
      </c>
    </row>
    <row r="5" spans="1:5" ht="15.75">
      <c r="A5" s="45">
        <v>1</v>
      </c>
      <c r="B5" s="46" t="s">
        <v>6</v>
      </c>
      <c r="C5" s="79">
        <f>'Свод '!E10</f>
        <v>1757681684.5792499</v>
      </c>
      <c r="D5" s="79">
        <f>C5/1186</f>
        <v>1482025.0291561971</v>
      </c>
      <c r="E5" s="79">
        <f>D5/12</f>
        <v>123502.08576301642</v>
      </c>
    </row>
    <row r="6" spans="1:5" ht="15.75">
      <c r="A6" s="45">
        <f>A5+1</f>
        <v>2</v>
      </c>
      <c r="B6" s="46" t="s">
        <v>109</v>
      </c>
      <c r="C6" s="79">
        <f>'Свод '!E11</f>
        <v>139133349.45375001</v>
      </c>
      <c r="D6" s="79">
        <f t="shared" ref="D6:D20" si="0">C6/1186</f>
        <v>117313.11083790052</v>
      </c>
      <c r="E6" s="79">
        <f t="shared" ref="E6:E20" si="1">D6/12</f>
        <v>9776.092569825043</v>
      </c>
    </row>
    <row r="7" spans="1:5" ht="15.75">
      <c r="A7" s="45">
        <f t="shared" ref="A7:A13" si="2">A6+1</f>
        <v>3</v>
      </c>
      <c r="B7" s="46" t="s">
        <v>141</v>
      </c>
      <c r="C7" s="79">
        <f>'Свод '!E12</f>
        <v>94818192.99165</v>
      </c>
      <c r="D7" s="79">
        <f t="shared" ref="D7:D11" si="3">C7/1186</f>
        <v>79947.886164966272</v>
      </c>
      <c r="E7" s="79">
        <f t="shared" ref="E7:E11" si="4">D7/12</f>
        <v>6662.3238470805227</v>
      </c>
    </row>
    <row r="8" spans="1:5" ht="15.75">
      <c r="A8" s="45">
        <f t="shared" si="2"/>
        <v>4</v>
      </c>
      <c r="B8" s="46" t="s">
        <v>75</v>
      </c>
      <c r="C8" s="79">
        <f>'Свод '!E13</f>
        <v>98567796.738427669</v>
      </c>
      <c r="D8" s="79">
        <f t="shared" si="3"/>
        <v>83109.44075752754</v>
      </c>
      <c r="E8" s="79">
        <f t="shared" si="4"/>
        <v>6925.786729793962</v>
      </c>
    </row>
    <row r="9" spans="1:5" ht="17.25" customHeight="1">
      <c r="A9" s="45">
        <f t="shared" si="2"/>
        <v>5</v>
      </c>
      <c r="B9" s="46" t="s">
        <v>132</v>
      </c>
      <c r="C9" s="79">
        <f>'Свод '!E14</f>
        <v>85356676.531485021</v>
      </c>
      <c r="D9" s="79">
        <f t="shared" si="3"/>
        <v>71970.216299734413</v>
      </c>
      <c r="E9" s="79">
        <f t="shared" si="4"/>
        <v>5997.5180249778678</v>
      </c>
    </row>
    <row r="10" spans="1:5" ht="19.5" customHeight="1">
      <c r="A10" s="45">
        <f t="shared" si="2"/>
        <v>6</v>
      </c>
      <c r="B10" s="46" t="s">
        <v>76</v>
      </c>
      <c r="C10" s="79">
        <f>'Свод '!E15</f>
        <v>52730450.537377506</v>
      </c>
      <c r="D10" s="79">
        <f t="shared" si="3"/>
        <v>44460.750874685924</v>
      </c>
      <c r="E10" s="79">
        <f t="shared" si="4"/>
        <v>3705.0625728904938</v>
      </c>
    </row>
    <row r="11" spans="1:5" ht="19.5" customHeight="1">
      <c r="A11" s="45">
        <f t="shared" si="2"/>
        <v>7</v>
      </c>
      <c r="B11" s="46" t="s">
        <v>884</v>
      </c>
      <c r="C11" s="79">
        <f>'Свод '!E16</f>
        <v>6400634.9206349198</v>
      </c>
      <c r="D11" s="79">
        <f t="shared" si="3"/>
        <v>5396.8253968253957</v>
      </c>
      <c r="E11" s="79">
        <f t="shared" si="4"/>
        <v>449.73544973544966</v>
      </c>
    </row>
    <row r="12" spans="1:5" ht="15.75">
      <c r="A12" s="45">
        <f t="shared" si="2"/>
        <v>8</v>
      </c>
      <c r="B12" s="46" t="s">
        <v>885</v>
      </c>
      <c r="C12" s="79">
        <f>'Свод '!E17</f>
        <v>262415</v>
      </c>
      <c r="D12" s="79">
        <f t="shared" si="0"/>
        <v>221.26053962900505</v>
      </c>
      <c r="E12" s="79">
        <f t="shared" si="1"/>
        <v>18.438378302417089</v>
      </c>
    </row>
    <row r="13" spans="1:5" ht="33.75" customHeight="1">
      <c r="A13" s="45">
        <f t="shared" si="2"/>
        <v>9</v>
      </c>
      <c r="B13" s="46" t="s">
        <v>77</v>
      </c>
      <c r="C13" s="79">
        <f>'Свод '!E18</f>
        <v>702000</v>
      </c>
      <c r="D13" s="79">
        <f t="shared" si="0"/>
        <v>591.90556492411463</v>
      </c>
      <c r="E13" s="79">
        <f t="shared" si="1"/>
        <v>49.325463743676217</v>
      </c>
    </row>
    <row r="14" spans="1:5" ht="15.75">
      <c r="A14" s="45">
        <f t="shared" ref="A14:A20" si="5">A13+1</f>
        <v>10</v>
      </c>
      <c r="B14" s="46" t="s">
        <v>78</v>
      </c>
      <c r="C14" s="79">
        <f>'Свод '!E19</f>
        <v>14373593.220000001</v>
      </c>
      <c r="D14" s="79">
        <f t="shared" si="0"/>
        <v>12119.387200674537</v>
      </c>
      <c r="E14" s="79">
        <f t="shared" si="1"/>
        <v>1009.9489333895448</v>
      </c>
    </row>
    <row r="15" spans="1:5" ht="15.75">
      <c r="A15" s="45">
        <f t="shared" si="5"/>
        <v>11</v>
      </c>
      <c r="B15" s="46" t="s">
        <v>131</v>
      </c>
      <c r="C15" s="79">
        <f>'Свод '!E20</f>
        <v>41917668.8843472</v>
      </c>
      <c r="D15" s="79">
        <f t="shared" si="0"/>
        <v>35343.734303834062</v>
      </c>
      <c r="E15" s="79">
        <f t="shared" si="1"/>
        <v>2945.3111919861717</v>
      </c>
    </row>
    <row r="16" spans="1:5" ht="15.75">
      <c r="A16" s="45">
        <f t="shared" si="5"/>
        <v>12</v>
      </c>
      <c r="B16" s="46" t="s">
        <v>133</v>
      </c>
      <c r="C16" s="79">
        <f>'Свод '!E21</f>
        <v>1781232</v>
      </c>
      <c r="D16" s="79">
        <f t="shared" si="0"/>
        <v>1501.8819561551434</v>
      </c>
      <c r="E16" s="79">
        <f t="shared" si="1"/>
        <v>125.15682967959528</v>
      </c>
    </row>
    <row r="17" spans="1:5" ht="15.75">
      <c r="A17" s="45">
        <f t="shared" si="5"/>
        <v>13</v>
      </c>
      <c r="B17" s="46" t="s">
        <v>107</v>
      </c>
      <c r="C17" s="79">
        <f>'Свод '!E22</f>
        <v>49238590</v>
      </c>
      <c r="D17" s="79">
        <f t="shared" si="0"/>
        <v>41516.517706576728</v>
      </c>
      <c r="E17" s="79">
        <f t="shared" si="1"/>
        <v>3459.7098088813941</v>
      </c>
    </row>
    <row r="18" spans="1:5" ht="35.25" customHeight="1">
      <c r="A18" s="45">
        <f t="shared" si="5"/>
        <v>14</v>
      </c>
      <c r="B18" s="46" t="s">
        <v>185</v>
      </c>
      <c r="C18" s="79">
        <f>'Свод '!E23</f>
        <v>944172</v>
      </c>
      <c r="D18" s="79">
        <f t="shared" si="0"/>
        <v>796.09780775716695</v>
      </c>
      <c r="E18" s="79">
        <f t="shared" si="1"/>
        <v>66.341483979763908</v>
      </c>
    </row>
    <row r="19" spans="1:5" ht="15.75">
      <c r="A19" s="45">
        <f t="shared" si="5"/>
        <v>15</v>
      </c>
      <c r="B19" s="46" t="s">
        <v>383</v>
      </c>
      <c r="C19" s="79">
        <f>'Свод '!E24</f>
        <v>347040000</v>
      </c>
      <c r="D19" s="79">
        <f t="shared" si="0"/>
        <v>292613.82799325464</v>
      </c>
      <c r="E19" s="79">
        <f t="shared" si="1"/>
        <v>24384.485666104552</v>
      </c>
    </row>
    <row r="20" spans="1:5" ht="15.75">
      <c r="A20" s="45">
        <f t="shared" si="5"/>
        <v>16</v>
      </c>
      <c r="B20" s="46" t="s">
        <v>293</v>
      </c>
      <c r="C20" s="79">
        <f>'Свод '!E25</f>
        <v>151581.6</v>
      </c>
      <c r="D20" s="79">
        <f t="shared" si="0"/>
        <v>127.80910623946038</v>
      </c>
      <c r="E20" s="79">
        <f t="shared" si="1"/>
        <v>10.650758853288364</v>
      </c>
    </row>
    <row r="21" spans="1:5" s="48" customFormat="1" ht="15.75">
      <c r="A21" s="47"/>
      <c r="B21" s="64" t="s">
        <v>35</v>
      </c>
      <c r="C21" s="93">
        <f>SUM(C5:C20)-1</f>
        <v>2691100037.4569221</v>
      </c>
      <c r="D21" s="93">
        <f>SUM(D5:D20)</f>
        <v>2269055.6816668818</v>
      </c>
      <c r="E21" s="93">
        <f>SUM(E5:E20)</f>
        <v>189087.97347224018</v>
      </c>
    </row>
    <row r="22" spans="1:5">
      <c r="A22" s="40"/>
      <c r="B22" s="40"/>
      <c r="C22" s="60"/>
    </row>
    <row r="23" spans="1:5" ht="15.75">
      <c r="B23" s="49"/>
      <c r="C23" s="60"/>
    </row>
    <row r="24" spans="1:5">
      <c r="B24" s="12" t="s">
        <v>240</v>
      </c>
      <c r="C24" s="60"/>
    </row>
    <row r="25" spans="1:5" ht="15.75">
      <c r="B25" s="26" t="s">
        <v>166</v>
      </c>
      <c r="C25" s="43"/>
      <c r="D25" s="49"/>
      <c r="E25" s="49" t="s">
        <v>407</v>
      </c>
    </row>
    <row r="26" spans="1:5">
      <c r="B26" s="10"/>
      <c r="C26" s="43"/>
      <c r="D26"/>
      <c r="E26"/>
    </row>
    <row r="27" spans="1:5" ht="15.75">
      <c r="B27" s="26" t="s">
        <v>167</v>
      </c>
      <c r="C27" s="43"/>
      <c r="D27" s="49"/>
      <c r="E27" s="49" t="s">
        <v>407</v>
      </c>
    </row>
    <row r="28" spans="1:5">
      <c r="B28" s="53"/>
      <c r="C28" s="43"/>
      <c r="D28"/>
      <c r="E28"/>
    </row>
    <row r="29" spans="1:5" ht="15.75">
      <c r="B29" s="74" t="s">
        <v>168</v>
      </c>
      <c r="C29" s="43"/>
      <c r="D29" s="49"/>
      <c r="E29" s="49" t="s">
        <v>407</v>
      </c>
    </row>
    <row r="30" spans="1:5">
      <c r="B30" s="53"/>
      <c r="C30" s="43"/>
      <c r="D30"/>
      <c r="E30"/>
    </row>
    <row r="31" spans="1:5">
      <c r="B31" s="12" t="s">
        <v>216</v>
      </c>
      <c r="C31" s="43"/>
      <c r="D31"/>
      <c r="E31"/>
    </row>
    <row r="32" spans="1:5" ht="15.75">
      <c r="B32" s="26" t="s">
        <v>403</v>
      </c>
      <c r="C32" s="43"/>
      <c r="D32" s="49"/>
      <c r="E32" s="49" t="s">
        <v>407</v>
      </c>
    </row>
    <row r="33" spans="2:4">
      <c r="C33"/>
      <c r="D33"/>
    </row>
    <row r="34" spans="2:4" ht="12" customHeight="1">
      <c r="C34" s="60"/>
    </row>
    <row r="35" spans="2:4" ht="15.75" hidden="1" customHeight="1">
      <c r="B35" s="86" t="s">
        <v>180</v>
      </c>
      <c r="C35" s="60"/>
    </row>
    <row r="36" spans="2:4" ht="15.75" hidden="1">
      <c r="B36" s="30"/>
      <c r="C36" s="60"/>
    </row>
    <row r="37" spans="2:4" ht="35.25" hidden="1" customHeight="1">
      <c r="B37" s="83" t="s">
        <v>183</v>
      </c>
      <c r="C37" s="60"/>
    </row>
    <row r="38" spans="2:4" ht="15.75" hidden="1">
      <c r="B38" s="84"/>
      <c r="C38" s="60"/>
    </row>
    <row r="39" spans="2:4" hidden="1">
      <c r="B39" s="72" t="s">
        <v>181</v>
      </c>
      <c r="C39" s="60"/>
    </row>
    <row r="40" spans="2:4" hidden="1">
      <c r="B40" s="72"/>
      <c r="C40" s="60"/>
    </row>
    <row r="41" spans="2:4" hidden="1">
      <c r="B41" s="72" t="s">
        <v>182</v>
      </c>
      <c r="C41" s="60"/>
    </row>
    <row r="42" spans="2:4">
      <c r="C42" s="60"/>
    </row>
    <row r="43" spans="2:4">
      <c r="C43" s="60"/>
    </row>
    <row r="44" spans="2:4">
      <c r="C44" s="60"/>
    </row>
    <row r="45" spans="2:4">
      <c r="C45" s="60"/>
    </row>
    <row r="46" spans="2:4">
      <c r="C46" s="60"/>
    </row>
    <row r="47" spans="2:4">
      <c r="C47" s="60"/>
    </row>
    <row r="48" spans="2:4">
      <c r="C48" s="60"/>
    </row>
    <row r="49" spans="3:3">
      <c r="C49" s="60"/>
    </row>
    <row r="50" spans="3:3">
      <c r="C50" s="60"/>
    </row>
    <row r="51" spans="3:3">
      <c r="C51" s="60"/>
    </row>
    <row r="52" spans="3:3">
      <c r="C52" s="60"/>
    </row>
    <row r="53" spans="3:3">
      <c r="C53" s="60"/>
    </row>
    <row r="54" spans="3:3">
      <c r="C54" s="60"/>
    </row>
    <row r="55" spans="3:3">
      <c r="C55" s="60"/>
    </row>
    <row r="56" spans="3:3">
      <c r="C56" s="60"/>
    </row>
    <row r="57" spans="3:3">
      <c r="C57" s="60"/>
    </row>
    <row r="58" spans="3:3">
      <c r="C58" s="60"/>
    </row>
    <row r="59" spans="3:3">
      <c r="C59" s="60"/>
    </row>
    <row r="60" spans="3:3">
      <c r="C60" s="60"/>
    </row>
    <row r="61" spans="3:3">
      <c r="C61" s="60"/>
    </row>
    <row r="62" spans="3:3">
      <c r="C62" s="60"/>
    </row>
    <row r="63" spans="3:3">
      <c r="C63" s="60"/>
    </row>
    <row r="64" spans="3:3">
      <c r="C64" s="60"/>
    </row>
    <row r="65" spans="3:3">
      <c r="C65" s="60"/>
    </row>
    <row r="66" spans="3:3">
      <c r="C66" s="60"/>
    </row>
    <row r="67" spans="3:3">
      <c r="C67" s="60"/>
    </row>
    <row r="68" spans="3:3">
      <c r="C68" s="60"/>
    </row>
    <row r="69" spans="3:3">
      <c r="C69" s="60"/>
    </row>
    <row r="70" spans="3:3">
      <c r="C70" s="60"/>
    </row>
    <row r="71" spans="3:3">
      <c r="C71" s="60"/>
    </row>
    <row r="72" spans="3:3">
      <c r="C72" s="60"/>
    </row>
    <row r="73" spans="3:3">
      <c r="C73" s="60"/>
    </row>
    <row r="74" spans="3:3">
      <c r="C74" s="60"/>
    </row>
    <row r="75" spans="3:3">
      <c r="C75" s="60"/>
    </row>
    <row r="76" spans="3:3">
      <c r="C76" s="60"/>
    </row>
    <row r="77" spans="3:3">
      <c r="C77" s="60"/>
    </row>
    <row r="78" spans="3:3">
      <c r="C78" s="60"/>
    </row>
    <row r="79" spans="3:3">
      <c r="C79" s="60"/>
    </row>
    <row r="80" spans="3:3">
      <c r="C80" s="60"/>
    </row>
    <row r="81" spans="3:3">
      <c r="C81" s="60"/>
    </row>
    <row r="82" spans="3:3">
      <c r="C82" s="60"/>
    </row>
    <row r="83" spans="3:3">
      <c r="C83" s="60"/>
    </row>
    <row r="84" spans="3:3">
      <c r="C84" s="60"/>
    </row>
    <row r="85" spans="3:3">
      <c r="C85" s="60"/>
    </row>
    <row r="86" spans="3:3">
      <c r="C86" s="60"/>
    </row>
    <row r="87" spans="3:3">
      <c r="C87" s="60"/>
    </row>
    <row r="88" spans="3:3">
      <c r="C88" s="60"/>
    </row>
    <row r="89" spans="3:3">
      <c r="C89" s="60"/>
    </row>
    <row r="90" spans="3:3">
      <c r="C90" s="60"/>
    </row>
    <row r="91" spans="3:3">
      <c r="C91" s="60"/>
    </row>
    <row r="92" spans="3:3">
      <c r="C92" s="60"/>
    </row>
    <row r="93" spans="3:3">
      <c r="C93" s="60"/>
    </row>
    <row r="94" spans="3:3">
      <c r="C94" s="60"/>
    </row>
    <row r="95" spans="3:3">
      <c r="C95" s="60"/>
    </row>
    <row r="96" spans="3:3">
      <c r="C96" s="60"/>
    </row>
    <row r="97" spans="3:3">
      <c r="C97" s="60"/>
    </row>
    <row r="98" spans="3:3">
      <c r="C98" s="60"/>
    </row>
    <row r="99" spans="3:3">
      <c r="C99" s="60"/>
    </row>
    <row r="100" spans="3:3">
      <c r="C100" s="60"/>
    </row>
    <row r="101" spans="3:3">
      <c r="C101" s="60"/>
    </row>
    <row r="102" spans="3:3">
      <c r="C102" s="60"/>
    </row>
    <row r="103" spans="3:3">
      <c r="C103" s="60"/>
    </row>
    <row r="104" spans="3:3">
      <c r="C104" s="60"/>
    </row>
    <row r="105" spans="3:3">
      <c r="C105" s="60"/>
    </row>
    <row r="106" spans="3:3">
      <c r="C106" s="60"/>
    </row>
    <row r="107" spans="3:3">
      <c r="C107" s="60"/>
    </row>
    <row r="108" spans="3:3">
      <c r="C108" s="60"/>
    </row>
    <row r="109" spans="3:3">
      <c r="C109" s="60"/>
    </row>
    <row r="110" spans="3:3">
      <c r="C110" s="60"/>
    </row>
    <row r="111" spans="3:3">
      <c r="C111" s="60"/>
    </row>
    <row r="112" spans="3:3">
      <c r="C112" s="60"/>
    </row>
    <row r="113" spans="3:3">
      <c r="C113" s="60"/>
    </row>
    <row r="114" spans="3:3">
      <c r="C114" s="60"/>
    </row>
    <row r="115" spans="3:3">
      <c r="C115" s="60"/>
    </row>
    <row r="116" spans="3:3">
      <c r="C116" s="60"/>
    </row>
    <row r="117" spans="3:3">
      <c r="C117" s="60"/>
    </row>
    <row r="118" spans="3:3">
      <c r="C118" s="60"/>
    </row>
    <row r="119" spans="3:3">
      <c r="C119" s="60"/>
    </row>
    <row r="120" spans="3:3">
      <c r="C120" s="60"/>
    </row>
    <row r="121" spans="3:3">
      <c r="C121" s="60"/>
    </row>
    <row r="122" spans="3:3">
      <c r="C122" s="60"/>
    </row>
    <row r="123" spans="3:3">
      <c r="C123" s="60"/>
    </row>
    <row r="124" spans="3:3">
      <c r="C124" s="60"/>
    </row>
    <row r="125" spans="3:3">
      <c r="C125" s="60"/>
    </row>
    <row r="126" spans="3:3">
      <c r="C126" s="60"/>
    </row>
    <row r="127" spans="3:3">
      <c r="C127" s="60"/>
    </row>
    <row r="128" spans="3:3">
      <c r="C128" s="60"/>
    </row>
    <row r="129" spans="3:3">
      <c r="C129" s="60"/>
    </row>
    <row r="130" spans="3:3">
      <c r="C130" s="60"/>
    </row>
    <row r="131" spans="3:3">
      <c r="C131" s="60"/>
    </row>
    <row r="132" spans="3:3">
      <c r="C132" s="60"/>
    </row>
    <row r="133" spans="3:3">
      <c r="C133" s="60"/>
    </row>
    <row r="134" spans="3:3">
      <c r="C134" s="60"/>
    </row>
    <row r="135" spans="3:3">
      <c r="C135" s="60"/>
    </row>
    <row r="136" spans="3:3">
      <c r="C136" s="60"/>
    </row>
    <row r="137" spans="3:3">
      <c r="C137" s="60"/>
    </row>
    <row r="138" spans="3:3">
      <c r="C138" s="60"/>
    </row>
    <row r="139" spans="3:3">
      <c r="C139" s="60"/>
    </row>
    <row r="140" spans="3:3">
      <c r="C140" s="60"/>
    </row>
    <row r="141" spans="3:3">
      <c r="C141" s="60"/>
    </row>
    <row r="142" spans="3:3">
      <c r="C142" s="60"/>
    </row>
    <row r="143" spans="3:3">
      <c r="C143" s="60"/>
    </row>
    <row r="144" spans="3:3">
      <c r="C144" s="60"/>
    </row>
    <row r="145" spans="3:3">
      <c r="C145" s="60"/>
    </row>
    <row r="146" spans="3:3">
      <c r="C146" s="60"/>
    </row>
    <row r="147" spans="3:3">
      <c r="C147" s="60"/>
    </row>
    <row r="148" spans="3:3">
      <c r="C148" s="60"/>
    </row>
    <row r="149" spans="3:3">
      <c r="C149" s="60"/>
    </row>
    <row r="150" spans="3:3">
      <c r="C150" s="60"/>
    </row>
    <row r="151" spans="3:3">
      <c r="C151" s="60"/>
    </row>
    <row r="152" spans="3:3">
      <c r="C152" s="60"/>
    </row>
    <row r="153" spans="3:3">
      <c r="C153" s="60"/>
    </row>
    <row r="154" spans="3:3">
      <c r="C154" s="60"/>
    </row>
    <row r="155" spans="3:3">
      <c r="C155" s="60"/>
    </row>
    <row r="156" spans="3:3">
      <c r="C156" s="60"/>
    </row>
    <row r="157" spans="3:3">
      <c r="C157" s="60"/>
    </row>
    <row r="158" spans="3:3">
      <c r="C158" s="60"/>
    </row>
    <row r="159" spans="3:3">
      <c r="C159" s="60"/>
    </row>
    <row r="160" spans="3:3">
      <c r="C160" s="60"/>
    </row>
    <row r="161" spans="3:3">
      <c r="C161" s="60"/>
    </row>
    <row r="162" spans="3:3">
      <c r="C162" s="60"/>
    </row>
    <row r="163" spans="3:3">
      <c r="C163" s="60"/>
    </row>
    <row r="164" spans="3:3">
      <c r="C164" s="60"/>
    </row>
    <row r="165" spans="3:3">
      <c r="C165" s="60"/>
    </row>
    <row r="166" spans="3:3">
      <c r="C166" s="60"/>
    </row>
    <row r="167" spans="3:3">
      <c r="C167" s="60"/>
    </row>
    <row r="168" spans="3:3">
      <c r="C168" s="60"/>
    </row>
    <row r="169" spans="3:3">
      <c r="C169" s="60"/>
    </row>
    <row r="170" spans="3:3">
      <c r="C170" s="60"/>
    </row>
    <row r="171" spans="3:3">
      <c r="C171" s="60"/>
    </row>
    <row r="172" spans="3:3">
      <c r="C172" s="60"/>
    </row>
    <row r="173" spans="3:3">
      <c r="C173" s="60"/>
    </row>
    <row r="174" spans="3:3">
      <c r="C174" s="60"/>
    </row>
    <row r="175" spans="3:3">
      <c r="C175" s="60"/>
    </row>
    <row r="176" spans="3:3">
      <c r="C176" s="60"/>
    </row>
    <row r="177" spans="3:3">
      <c r="C177" s="60"/>
    </row>
    <row r="178" spans="3:3">
      <c r="C178" s="60"/>
    </row>
    <row r="179" spans="3:3">
      <c r="C179" s="60"/>
    </row>
    <row r="180" spans="3:3">
      <c r="C180" s="60"/>
    </row>
    <row r="181" spans="3:3">
      <c r="C181" s="60"/>
    </row>
    <row r="182" spans="3:3">
      <c r="C182" s="60"/>
    </row>
    <row r="183" spans="3:3">
      <c r="C183" s="60"/>
    </row>
    <row r="184" spans="3:3">
      <c r="C184" s="60"/>
    </row>
    <row r="185" spans="3:3">
      <c r="C185" s="60"/>
    </row>
    <row r="186" spans="3:3">
      <c r="C186" s="60"/>
    </row>
    <row r="187" spans="3:3">
      <c r="C187" s="60"/>
    </row>
    <row r="188" spans="3:3">
      <c r="C188" s="60"/>
    </row>
    <row r="189" spans="3:3">
      <c r="C189" s="60"/>
    </row>
    <row r="190" spans="3:3">
      <c r="C190" s="60"/>
    </row>
    <row r="191" spans="3:3">
      <c r="C191" s="60"/>
    </row>
    <row r="192" spans="3:3">
      <c r="C192" s="60"/>
    </row>
    <row r="193" spans="3:3">
      <c r="C193" s="60"/>
    </row>
    <row r="194" spans="3:3">
      <c r="C194" s="60"/>
    </row>
    <row r="195" spans="3:3">
      <c r="C195" s="60"/>
    </row>
    <row r="196" spans="3:3">
      <c r="C196" s="60"/>
    </row>
    <row r="197" spans="3:3">
      <c r="C197" s="60"/>
    </row>
    <row r="198" spans="3:3">
      <c r="C198" s="60"/>
    </row>
    <row r="199" spans="3:3">
      <c r="C199" s="60"/>
    </row>
    <row r="200" spans="3:3">
      <c r="C200" s="60"/>
    </row>
    <row r="201" spans="3:3">
      <c r="C201" s="60"/>
    </row>
    <row r="202" spans="3:3">
      <c r="C202" s="60"/>
    </row>
    <row r="203" spans="3:3">
      <c r="C203" s="60"/>
    </row>
    <row r="204" spans="3:3">
      <c r="C204" s="60"/>
    </row>
    <row r="205" spans="3:3">
      <c r="C205" s="60"/>
    </row>
    <row r="206" spans="3:3">
      <c r="C206" s="60"/>
    </row>
    <row r="207" spans="3:3">
      <c r="C207" s="60"/>
    </row>
    <row r="208" spans="3:3">
      <c r="C208" s="60"/>
    </row>
    <row r="209" spans="3:3">
      <c r="C209" s="60"/>
    </row>
    <row r="210" spans="3:3">
      <c r="C210" s="60"/>
    </row>
    <row r="211" spans="3:3">
      <c r="C211" s="60"/>
    </row>
    <row r="212" spans="3:3">
      <c r="C212" s="60"/>
    </row>
    <row r="213" spans="3:3">
      <c r="C213" s="60"/>
    </row>
    <row r="214" spans="3:3">
      <c r="C214" s="60"/>
    </row>
    <row r="215" spans="3:3">
      <c r="C215" s="60"/>
    </row>
    <row r="216" spans="3:3">
      <c r="C216" s="60"/>
    </row>
    <row r="217" spans="3:3">
      <c r="C217" s="60"/>
    </row>
    <row r="218" spans="3:3">
      <c r="C218" s="60"/>
    </row>
    <row r="219" spans="3:3">
      <c r="C219" s="60"/>
    </row>
    <row r="220" spans="3:3">
      <c r="C220" s="60"/>
    </row>
    <row r="221" spans="3:3">
      <c r="C221" s="60"/>
    </row>
    <row r="222" spans="3:3">
      <c r="C222" s="60"/>
    </row>
    <row r="223" spans="3:3">
      <c r="C223" s="60"/>
    </row>
    <row r="224" spans="3:3">
      <c r="C224" s="60"/>
    </row>
    <row r="225" spans="3:3">
      <c r="C225" s="60"/>
    </row>
    <row r="226" spans="3:3">
      <c r="C226" s="60"/>
    </row>
    <row r="227" spans="3:3">
      <c r="C227" s="60"/>
    </row>
    <row r="228" spans="3:3">
      <c r="C228" s="60"/>
    </row>
    <row r="229" spans="3:3">
      <c r="C229" s="60"/>
    </row>
    <row r="230" spans="3:3">
      <c r="C230" s="60"/>
    </row>
    <row r="231" spans="3:3">
      <c r="C231" s="60"/>
    </row>
    <row r="232" spans="3:3">
      <c r="C232" s="60"/>
    </row>
    <row r="233" spans="3:3">
      <c r="C233" s="60"/>
    </row>
    <row r="234" spans="3:3">
      <c r="C234" s="60"/>
    </row>
    <row r="235" spans="3:3">
      <c r="C235" s="60"/>
    </row>
    <row r="236" spans="3:3">
      <c r="C236" s="60"/>
    </row>
    <row r="237" spans="3:3">
      <c r="C237" s="60"/>
    </row>
    <row r="238" spans="3:3">
      <c r="C238" s="60"/>
    </row>
    <row r="239" spans="3:3">
      <c r="C239" s="60"/>
    </row>
    <row r="240" spans="3:3">
      <c r="C240" s="60"/>
    </row>
    <row r="241" spans="3:3">
      <c r="C241" s="60"/>
    </row>
    <row r="242" spans="3:3">
      <c r="C242" s="60"/>
    </row>
    <row r="243" spans="3:3">
      <c r="C243" s="60"/>
    </row>
    <row r="244" spans="3:3">
      <c r="C244" s="60"/>
    </row>
    <row r="245" spans="3:3">
      <c r="C245" s="60"/>
    </row>
    <row r="246" spans="3:3">
      <c r="C246" s="60"/>
    </row>
    <row r="247" spans="3:3">
      <c r="C247" s="60"/>
    </row>
  </sheetData>
  <mergeCells count="1">
    <mergeCell ref="B2:E2"/>
  </mergeCells>
  <pageMargins left="0.78740157480314965" right="0.19685039370078741" top="0.19685039370078741" bottom="0.19685039370078741" header="0.31496062992125984" footer="0.31496062992125984"/>
  <pageSetup paperSize="9"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Лист23"/>
  <dimension ref="B2:G29"/>
  <sheetViews>
    <sheetView workbookViewId="0">
      <selection activeCell="B29" sqref="B6:F29"/>
    </sheetView>
  </sheetViews>
  <sheetFormatPr defaultColWidth="9.140625" defaultRowHeight="15"/>
  <cols>
    <col min="1" max="1" width="5.42578125" style="22" customWidth="1"/>
    <col min="2" max="2" width="5.85546875" style="22" customWidth="1"/>
    <col min="3" max="3" width="24" style="22" customWidth="1"/>
    <col min="4" max="4" width="19.85546875" style="22" customWidth="1"/>
    <col min="5" max="5" width="21.140625" style="22" customWidth="1"/>
    <col min="6" max="6" width="18.85546875" style="22" customWidth="1"/>
    <col min="7" max="7" width="12.7109375" style="22" bestFit="1" customWidth="1"/>
    <col min="8" max="16384" width="9.140625" style="22"/>
  </cols>
  <sheetData>
    <row r="2" spans="2:7">
      <c r="E2" s="71"/>
    </row>
    <row r="3" spans="2:7">
      <c r="E3" s="71"/>
    </row>
    <row r="4" spans="2:7">
      <c r="E4" s="71"/>
    </row>
    <row r="6" spans="2:7" ht="37.5" customHeight="1">
      <c r="B6" s="1567" t="s">
        <v>387</v>
      </c>
      <c r="C6" s="1567"/>
      <c r="D6" s="1567"/>
      <c r="E6" s="1567"/>
      <c r="F6" s="1567"/>
    </row>
    <row r="7" spans="2:7">
      <c r="B7" s="72"/>
      <c r="C7" s="72"/>
      <c r="D7" s="72"/>
      <c r="E7" s="72"/>
    </row>
    <row r="9" spans="2:7" ht="34.15" customHeight="1">
      <c r="B9" s="287" t="s">
        <v>7</v>
      </c>
      <c r="C9" s="287" t="s">
        <v>0</v>
      </c>
      <c r="D9" s="3" t="s">
        <v>409</v>
      </c>
      <c r="E9" s="3" t="s">
        <v>854</v>
      </c>
      <c r="F9" s="3" t="s">
        <v>866</v>
      </c>
    </row>
    <row r="10" spans="2:7" ht="38.25" customHeight="1">
      <c r="B10" s="42">
        <v>1</v>
      </c>
      <c r="C10" s="1355" t="s">
        <v>104</v>
      </c>
      <c r="D10" s="137">
        <f>'Калькуляция 2026'!C21</f>
        <v>2692117127.9975052</v>
      </c>
      <c r="E10" s="137">
        <f>'Калькуляция 2027'!C21</f>
        <v>2689948026.8372126</v>
      </c>
      <c r="F10" s="137">
        <f>'Калькуляция 2028'!C21</f>
        <v>2691100037.4569221</v>
      </c>
    </row>
    <row r="11" spans="2:7" ht="33.75" customHeight="1">
      <c r="B11" s="42">
        <v>2</v>
      </c>
      <c r="C11" s="1355" t="s">
        <v>105</v>
      </c>
      <c r="D11" s="138">
        <v>1186</v>
      </c>
      <c r="E11" s="138">
        <v>1186</v>
      </c>
      <c r="F11" s="137">
        <v>1186</v>
      </c>
    </row>
    <row r="12" spans="2:7" ht="63" customHeight="1">
      <c r="B12" s="42">
        <v>3</v>
      </c>
      <c r="C12" s="1356" t="s">
        <v>106</v>
      </c>
      <c r="D12" s="139">
        <f>D10/D11/12</f>
        <v>189159.4384483913</v>
      </c>
      <c r="E12" s="139">
        <f>E10/E11/12</f>
        <v>189007.0283050318</v>
      </c>
      <c r="F12" s="139">
        <f>F10/F11/12</f>
        <v>189087.97340197596</v>
      </c>
      <c r="G12" s="290"/>
    </row>
    <row r="13" spans="2:7" ht="30">
      <c r="B13" s="42">
        <v>4</v>
      </c>
      <c r="C13" s="1356" t="s">
        <v>244</v>
      </c>
      <c r="D13" s="285">
        <f>D12*12</f>
        <v>2269913.2613806957</v>
      </c>
      <c r="E13" s="285">
        <f>E12*12</f>
        <v>2268084.3396603814</v>
      </c>
      <c r="F13" s="285">
        <f>F12*12</f>
        <v>2269055.6808237117</v>
      </c>
    </row>
    <row r="14" spans="2:7">
      <c r="B14" s="73"/>
    </row>
    <row r="15" spans="2:7" ht="15.75">
      <c r="C15" s="49"/>
      <c r="D15" s="49"/>
      <c r="E15" s="49"/>
      <c r="F15" s="60"/>
      <c r="G15" s="52"/>
    </row>
    <row r="16" spans="2:7" ht="15.75" hidden="1">
      <c r="C16" s="12" t="s">
        <v>240</v>
      </c>
      <c r="D16" s="10"/>
      <c r="E16" s="10"/>
      <c r="F16" s="60"/>
      <c r="G16" s="52"/>
    </row>
    <row r="17" spans="2:7" ht="15.75" hidden="1" customHeight="1">
      <c r="C17" s="1358" t="s">
        <v>166</v>
      </c>
      <c r="D17" s="1358"/>
      <c r="E17" s="26"/>
      <c r="F17" s="49" t="s">
        <v>407</v>
      </c>
      <c r="G17" s="52"/>
    </row>
    <row r="18" spans="2:7" ht="15.75" hidden="1">
      <c r="C18" s="10"/>
      <c r="D18" s="286"/>
      <c r="E18" s="286"/>
      <c r="F18"/>
      <c r="G18" s="52"/>
    </row>
    <row r="19" spans="2:7" ht="15.75" hidden="1" customHeight="1">
      <c r="C19" s="1358" t="s">
        <v>167</v>
      </c>
      <c r="D19" s="1358"/>
      <c r="E19" s="26"/>
      <c r="F19" s="49" t="s">
        <v>407</v>
      </c>
      <c r="G19" s="52"/>
    </row>
    <row r="20" spans="2:7" ht="15.75" hidden="1">
      <c r="C20" s="53"/>
      <c r="D20" s="10"/>
      <c r="E20" s="10"/>
      <c r="F20"/>
      <c r="G20" s="52"/>
    </row>
    <row r="21" spans="2:7" ht="15.75" hidden="1">
      <c r="C21" s="74" t="s">
        <v>168</v>
      </c>
      <c r="D21" s="12"/>
      <c r="E21" s="10"/>
      <c r="F21" s="49" t="s">
        <v>407</v>
      </c>
      <c r="G21" s="52"/>
    </row>
    <row r="22" spans="2:7" ht="15.75" hidden="1">
      <c r="C22" s="53"/>
      <c r="D22" s="1359"/>
      <c r="E22" s="1359"/>
      <c r="F22"/>
      <c r="G22" s="52"/>
    </row>
    <row r="23" spans="2:7" ht="15.75" hidden="1">
      <c r="C23" s="12" t="s">
        <v>216</v>
      </c>
      <c r="D23" s="10"/>
      <c r="E23" s="10"/>
      <c r="F23"/>
      <c r="G23" s="52"/>
    </row>
    <row r="24" spans="2:7" ht="15.75" hidden="1" customHeight="1">
      <c r="C24" s="1358" t="s">
        <v>403</v>
      </c>
      <c r="D24" s="1358"/>
      <c r="E24" s="26"/>
      <c r="F24" s="49" t="s">
        <v>407</v>
      </c>
      <c r="G24" s="52"/>
    </row>
    <row r="25" spans="2:7" ht="15.75">
      <c r="C25" s="39"/>
      <c r="D25" s="51"/>
      <c r="E25" s="70"/>
      <c r="F25" s="52"/>
      <c r="G25" s="52"/>
    </row>
    <row r="27" spans="2:7">
      <c r="B27" s="1351" t="s">
        <v>2475</v>
      </c>
      <c r="C27" s="1351"/>
      <c r="D27" s="1351"/>
      <c r="F27" s="1351" t="s">
        <v>2476</v>
      </c>
    </row>
    <row r="28" spans="2:7">
      <c r="B28" s="1351"/>
      <c r="C28" s="1351"/>
      <c r="D28" s="1351"/>
      <c r="F28" s="1351"/>
    </row>
    <row r="29" spans="2:7">
      <c r="B29" s="1351" t="s">
        <v>52</v>
      </c>
      <c r="C29" s="1351"/>
      <c r="D29" s="1351"/>
      <c r="F29" s="1351" t="s">
        <v>386</v>
      </c>
    </row>
  </sheetData>
  <mergeCells count="5">
    <mergeCell ref="C17:D17"/>
    <mergeCell ref="C19:D19"/>
    <mergeCell ref="D22:E22"/>
    <mergeCell ref="C24:D24"/>
    <mergeCell ref="B6:F6"/>
  </mergeCells>
  <pageMargins left="0.39370078740157483" right="0.19685039370078741" top="0.39370078740157483" bottom="0.39370078740157483" header="0.31496062992125984" footer="0.31496062992125984"/>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Лист27">
    <pageSetUpPr fitToPage="1"/>
  </sheetPr>
  <dimension ref="A2:Z46"/>
  <sheetViews>
    <sheetView topLeftCell="A8" zoomScale="90" zoomScaleNormal="90" workbookViewId="0">
      <pane ySplit="10" topLeftCell="A18" activePane="bottomLeft" state="frozen"/>
      <selection activeCell="A8" sqref="A8"/>
      <selection pane="bottomLeft" activeCell="A36" sqref="A9:R36"/>
    </sheetView>
  </sheetViews>
  <sheetFormatPr defaultColWidth="9.140625" defaultRowHeight="12.75"/>
  <cols>
    <col min="1" max="1" width="4.42578125" style="2" customWidth="1"/>
    <col min="2" max="2" width="27.85546875" style="2" customWidth="1"/>
    <col min="3" max="3" width="13.7109375" style="2" customWidth="1"/>
    <col min="4" max="4" width="7.7109375" style="202" customWidth="1"/>
    <col min="5" max="5" width="7.28515625" style="202" customWidth="1"/>
    <col min="6" max="6" width="5.85546875" style="202" customWidth="1"/>
    <col min="7" max="7" width="7.7109375" style="202" customWidth="1"/>
    <col min="8" max="8" width="7.42578125" style="202" customWidth="1"/>
    <col min="9" max="9" width="7.28515625" style="202" customWidth="1"/>
    <col min="10" max="10" width="10.7109375" style="202" customWidth="1"/>
    <col min="11" max="12" width="11" style="36" customWidth="1"/>
    <col min="13" max="13" width="10.28515625" style="202" customWidth="1"/>
    <col min="14" max="14" width="11" style="202" customWidth="1"/>
    <col min="15" max="15" width="9" style="202" hidden="1" customWidth="1"/>
    <col min="16" max="16" width="13.28515625" style="202" customWidth="1"/>
    <col min="17" max="17" width="10" style="202" hidden="1" customWidth="1"/>
    <col min="18" max="18" width="15.42578125" style="1" customWidth="1"/>
    <col min="19" max="19" width="11.42578125" style="2" customWidth="1"/>
    <col min="20" max="20" width="9.28515625" style="2" customWidth="1"/>
    <col min="21" max="21" width="11.7109375" style="2" customWidth="1"/>
    <col min="22" max="22" width="12" style="2" customWidth="1"/>
    <col min="23" max="23" width="44.85546875" style="2" customWidth="1"/>
    <col min="24" max="24" width="12.42578125" style="2" customWidth="1"/>
    <col min="25" max="16384" width="9.140625" style="2"/>
  </cols>
  <sheetData>
    <row r="2" spans="1:26" ht="12.75" customHeight="1">
      <c r="E2" s="1568" t="s">
        <v>245</v>
      </c>
      <c r="F2" s="1569"/>
      <c r="G2" s="1569"/>
      <c r="H2" s="1569"/>
      <c r="I2" s="1569"/>
      <c r="J2" s="1569"/>
      <c r="K2" s="1569"/>
      <c r="L2" s="1569"/>
      <c r="M2" s="1569"/>
      <c r="N2" s="1569"/>
      <c r="O2" s="1569"/>
      <c r="P2" s="1569"/>
      <c r="Q2" s="1569"/>
      <c r="R2" s="1569"/>
    </row>
    <row r="3" spans="1:26" ht="12.75" customHeight="1">
      <c r="E3" s="1569"/>
      <c r="F3" s="1569"/>
      <c r="G3" s="1569"/>
      <c r="H3" s="1569"/>
      <c r="I3" s="1569"/>
      <c r="J3" s="1569"/>
      <c r="K3" s="1569"/>
      <c r="L3" s="1569"/>
      <c r="M3" s="1569"/>
      <c r="N3" s="1569"/>
      <c r="O3" s="1569"/>
      <c r="P3" s="1569"/>
      <c r="Q3" s="1569"/>
      <c r="R3" s="1569"/>
    </row>
    <row r="4" spans="1:26" ht="15" customHeight="1">
      <c r="E4" s="1568" t="s">
        <v>246</v>
      </c>
      <c r="F4" s="1569"/>
      <c r="G4" s="1569"/>
      <c r="H4" s="1569"/>
      <c r="I4" s="1569"/>
      <c r="J4" s="1569"/>
      <c r="K4" s="1569"/>
      <c r="L4" s="1569"/>
      <c r="M4" s="1569"/>
      <c r="N4" s="1569"/>
      <c r="O4" s="1569"/>
      <c r="P4" s="1569"/>
      <c r="Q4" s="1569"/>
      <c r="R4" s="1569"/>
    </row>
    <row r="5" spans="1:26" ht="15" customHeight="1">
      <c r="E5" s="1568" t="s">
        <v>247</v>
      </c>
      <c r="F5" s="1569"/>
      <c r="G5" s="1569"/>
      <c r="H5" s="1569"/>
      <c r="I5" s="1569"/>
      <c r="J5" s="1569"/>
      <c r="K5" s="1569"/>
      <c r="L5" s="1569"/>
      <c r="M5" s="1569"/>
      <c r="N5" s="1569"/>
      <c r="O5" s="1569"/>
      <c r="P5" s="1569"/>
      <c r="Q5" s="1569"/>
      <c r="R5" s="1569"/>
    </row>
    <row r="7" spans="1:26">
      <c r="R7" s="202"/>
    </row>
    <row r="8" spans="1:26">
      <c r="R8" s="202"/>
    </row>
    <row r="9" spans="1:26" ht="20.25" customHeight="1">
      <c r="J9"/>
      <c r="K9" s="1568" t="s">
        <v>245</v>
      </c>
      <c r="L9" s="1568"/>
      <c r="M9" s="1568"/>
      <c r="N9" s="1568"/>
      <c r="O9" s="1568"/>
      <c r="P9" s="1568"/>
      <c r="Q9" s="1568"/>
      <c r="R9" s="1568"/>
      <c r="S9" s="202"/>
      <c r="T9" s="36"/>
      <c r="U9" s="36"/>
      <c r="V9" s="202"/>
      <c r="W9" s="202"/>
      <c r="X9" s="202"/>
      <c r="Y9" s="202"/>
      <c r="Z9" s="202"/>
    </row>
    <row r="10" spans="1:26" ht="21.75" customHeight="1">
      <c r="J10"/>
      <c r="K10" s="1568" t="s">
        <v>425</v>
      </c>
      <c r="L10" s="1568"/>
      <c r="M10" s="1568"/>
      <c r="N10" s="1568"/>
      <c r="O10" s="1568"/>
      <c r="P10" s="1568"/>
      <c r="Q10" s="1568"/>
      <c r="R10" s="1568"/>
      <c r="S10" s="202"/>
      <c r="T10" s="36"/>
      <c r="U10" s="36"/>
      <c r="V10" s="202"/>
      <c r="W10" s="202"/>
      <c r="X10" s="202"/>
      <c r="Y10" s="202"/>
      <c r="Z10" s="202"/>
    </row>
    <row r="11" spans="1:26" ht="21" customHeight="1">
      <c r="J11" s="1568" t="s">
        <v>247</v>
      </c>
      <c r="K11" s="1568"/>
      <c r="L11" s="1568"/>
      <c r="M11" s="1568"/>
      <c r="N11" s="1568"/>
      <c r="O11" s="1568"/>
      <c r="P11" s="1568"/>
      <c r="Q11" s="1568"/>
      <c r="R11" s="1568"/>
      <c r="S11" s="202"/>
      <c r="T11" s="36"/>
      <c r="U11" s="36"/>
      <c r="V11" s="202"/>
      <c r="W11" s="202"/>
      <c r="X11" s="202"/>
      <c r="Y11" s="202"/>
      <c r="Z11" s="202"/>
    </row>
    <row r="12" spans="1:26">
      <c r="R12" s="202"/>
    </row>
    <row r="13" spans="1:26" ht="15.75">
      <c r="A13" s="1570" t="s">
        <v>855</v>
      </c>
      <c r="B13" s="1570"/>
      <c r="C13" s="1570"/>
      <c r="D13" s="1570"/>
      <c r="E13" s="1570"/>
      <c r="F13" s="1570"/>
      <c r="G13" s="1570"/>
      <c r="H13" s="1570"/>
      <c r="I13" s="1570"/>
      <c r="J13" s="1570"/>
      <c r="K13" s="1570"/>
      <c r="L13" s="1570"/>
      <c r="M13" s="1570"/>
      <c r="N13" s="1570"/>
      <c r="O13" s="1570"/>
      <c r="P13" s="1570"/>
      <c r="Q13" s="1570"/>
      <c r="R13" s="1570"/>
    </row>
    <row r="14" spans="1:26" ht="14.25">
      <c r="A14" s="54"/>
      <c r="B14" s="55"/>
      <c r="C14" s="56"/>
      <c r="D14" s="204"/>
      <c r="E14" s="204"/>
      <c r="F14" s="204"/>
      <c r="G14" s="204"/>
      <c r="H14" s="203"/>
      <c r="I14" s="204"/>
      <c r="J14" s="204"/>
      <c r="K14" s="203"/>
      <c r="L14" s="203"/>
      <c r="M14" s="204"/>
      <c r="N14" s="204"/>
      <c r="O14" s="204"/>
      <c r="P14" s="204"/>
      <c r="Q14" s="204"/>
      <c r="R14" s="204"/>
    </row>
    <row r="15" spans="1:26">
      <c r="A15" s="1571" t="s">
        <v>7</v>
      </c>
      <c r="B15" s="1573" t="s">
        <v>149</v>
      </c>
      <c r="C15" s="1573" t="s">
        <v>38</v>
      </c>
      <c r="D15" s="1574" t="s">
        <v>150</v>
      </c>
      <c r="E15" s="1575"/>
      <c r="F15" s="1575"/>
      <c r="G15" s="1575"/>
      <c r="H15" s="1575"/>
      <c r="I15" s="1574" t="s">
        <v>151</v>
      </c>
      <c r="J15" s="1574"/>
      <c r="K15" s="1574"/>
      <c r="L15" s="1574"/>
      <c r="M15" s="1574"/>
      <c r="N15" s="1574"/>
      <c r="O15" s="1574"/>
      <c r="P15" s="1574"/>
      <c r="Q15" s="1572" t="s">
        <v>238</v>
      </c>
      <c r="R15" s="1571" t="s">
        <v>39</v>
      </c>
    </row>
    <row r="16" spans="1:26">
      <c r="A16" s="1571"/>
      <c r="B16" s="1573"/>
      <c r="C16" s="1573"/>
      <c r="D16" s="1574" t="s">
        <v>152</v>
      </c>
      <c r="E16" s="1573" t="s">
        <v>40</v>
      </c>
      <c r="F16" s="1573" t="s">
        <v>41</v>
      </c>
      <c r="G16" s="1573" t="s">
        <v>153</v>
      </c>
      <c r="H16" s="1578" t="s">
        <v>31</v>
      </c>
      <c r="I16" s="1574" t="s">
        <v>155</v>
      </c>
      <c r="J16" s="1574"/>
      <c r="K16" s="1574" t="s">
        <v>42</v>
      </c>
      <c r="L16" s="1574"/>
      <c r="M16" s="1574"/>
      <c r="N16" s="1574" t="s">
        <v>43</v>
      </c>
      <c r="O16" s="1574"/>
      <c r="P16" s="1574"/>
      <c r="Q16" s="1576"/>
      <c r="R16" s="1571"/>
    </row>
    <row r="17" spans="1:18" ht="39" customHeight="1">
      <c r="A17" s="1572"/>
      <c r="B17" s="1573"/>
      <c r="C17" s="1573"/>
      <c r="D17" s="1574"/>
      <c r="E17" s="1573"/>
      <c r="F17" s="1573"/>
      <c r="G17" s="1573"/>
      <c r="H17" s="1578"/>
      <c r="I17" s="1097" t="s">
        <v>154</v>
      </c>
      <c r="J17" s="1097" t="s">
        <v>44</v>
      </c>
      <c r="K17" s="1098" t="s">
        <v>421</v>
      </c>
      <c r="L17" s="1098" t="s">
        <v>422</v>
      </c>
      <c r="M17" s="1097" t="s">
        <v>44</v>
      </c>
      <c r="N17" s="1097" t="s">
        <v>154</v>
      </c>
      <c r="O17" s="1097"/>
      <c r="P17" s="1097" t="s">
        <v>44</v>
      </c>
      <c r="Q17" s="1576"/>
      <c r="R17" s="1572"/>
    </row>
    <row r="18" spans="1:18" ht="75">
      <c r="A18" s="674">
        <v>1</v>
      </c>
      <c r="B18" s="1099" t="s">
        <v>1839</v>
      </c>
      <c r="C18" s="673" t="s">
        <v>420</v>
      </c>
      <c r="D18" s="675">
        <v>4325</v>
      </c>
      <c r="E18" s="1100">
        <v>1</v>
      </c>
      <c r="F18" s="1028">
        <v>6</v>
      </c>
      <c r="G18" s="1100">
        <v>2</v>
      </c>
      <c r="H18" s="596">
        <v>4</v>
      </c>
      <c r="I18" s="678">
        <v>2</v>
      </c>
      <c r="J18" s="1024">
        <f t="shared" ref="J18:J22" si="0">I18*D18*F18*H18</f>
        <v>207600</v>
      </c>
      <c r="K18" s="319">
        <v>14277</v>
      </c>
      <c r="L18" s="319">
        <v>14777</v>
      </c>
      <c r="M18" s="1024">
        <f t="shared" ref="M18:M22" si="1">(K18+L18)*H18</f>
        <v>116216</v>
      </c>
      <c r="N18" s="1024">
        <f>20000</f>
        <v>20000</v>
      </c>
      <c r="O18" s="1024"/>
      <c r="P18" s="319">
        <f>N18*F18*H18</f>
        <v>480000</v>
      </c>
      <c r="Q18" s="25">
        <v>0</v>
      </c>
      <c r="R18" s="248">
        <f t="shared" ref="R18:R22" si="2">J18+M18+P18+Q18</f>
        <v>803816</v>
      </c>
    </row>
    <row r="19" spans="1:18" ht="75">
      <c r="A19" s="674">
        <v>2</v>
      </c>
      <c r="B19" s="1099" t="s">
        <v>1840</v>
      </c>
      <c r="C19" s="673" t="s">
        <v>420</v>
      </c>
      <c r="D19" s="675">
        <v>4325</v>
      </c>
      <c r="E19" s="1100">
        <v>1</v>
      </c>
      <c r="F19" s="1028">
        <v>7</v>
      </c>
      <c r="G19" s="1100">
        <v>4</v>
      </c>
      <c r="H19" s="596">
        <v>4</v>
      </c>
      <c r="I19" s="678">
        <v>2</v>
      </c>
      <c r="J19" s="1024">
        <f t="shared" si="0"/>
        <v>242200</v>
      </c>
      <c r="K19" s="319">
        <v>14277</v>
      </c>
      <c r="L19" s="319">
        <v>14777</v>
      </c>
      <c r="M19" s="1024">
        <f t="shared" si="1"/>
        <v>116216</v>
      </c>
      <c r="N19" s="1024">
        <f>20000</f>
        <v>20000</v>
      </c>
      <c r="O19" s="1024"/>
      <c r="P19" s="319">
        <f>N19*F19*H19</f>
        <v>560000</v>
      </c>
      <c r="Q19" s="25">
        <v>0</v>
      </c>
      <c r="R19" s="248">
        <f t="shared" si="2"/>
        <v>918416</v>
      </c>
    </row>
    <row r="20" spans="1:18" ht="75">
      <c r="A20" s="674">
        <f t="shared" ref="A20:A32" si="3">A19+1</f>
        <v>3</v>
      </c>
      <c r="B20" s="1099" t="s">
        <v>1841</v>
      </c>
      <c r="C20" s="673" t="s">
        <v>1842</v>
      </c>
      <c r="D20" s="675">
        <v>4325</v>
      </c>
      <c r="E20" s="1100">
        <v>1</v>
      </c>
      <c r="F20" s="1028">
        <v>7</v>
      </c>
      <c r="G20" s="1100">
        <v>4</v>
      </c>
      <c r="H20" s="596">
        <v>1</v>
      </c>
      <c r="I20" s="678">
        <v>2</v>
      </c>
      <c r="J20" s="1024">
        <f t="shared" si="0"/>
        <v>60550</v>
      </c>
      <c r="K20" s="319">
        <v>18655</v>
      </c>
      <c r="L20" s="319">
        <v>18655</v>
      </c>
      <c r="M20" s="1024">
        <f t="shared" si="1"/>
        <v>37310</v>
      </c>
      <c r="N20" s="1024">
        <f>20000</f>
        <v>20000</v>
      </c>
      <c r="O20" s="1024"/>
      <c r="P20" s="319">
        <f>N20*5*H20</f>
        <v>100000</v>
      </c>
      <c r="Q20" s="25">
        <v>0</v>
      </c>
      <c r="R20" s="248">
        <f t="shared" si="2"/>
        <v>197860</v>
      </c>
    </row>
    <row r="21" spans="1:18" ht="75">
      <c r="A21" s="674">
        <f t="shared" si="3"/>
        <v>4</v>
      </c>
      <c r="B21" s="1099" t="s">
        <v>1843</v>
      </c>
      <c r="C21" s="673" t="s">
        <v>881</v>
      </c>
      <c r="D21" s="675">
        <v>4325</v>
      </c>
      <c r="E21" s="1100">
        <v>1</v>
      </c>
      <c r="F21" s="1028">
        <v>6</v>
      </c>
      <c r="G21" s="1100">
        <v>2</v>
      </c>
      <c r="H21" s="596">
        <v>1</v>
      </c>
      <c r="I21" s="678">
        <v>2</v>
      </c>
      <c r="J21" s="1024">
        <f t="shared" si="0"/>
        <v>51900</v>
      </c>
      <c r="K21" s="319">
        <v>13351</v>
      </c>
      <c r="L21" s="319">
        <v>13351</v>
      </c>
      <c r="M21" s="1024">
        <f t="shared" si="1"/>
        <v>26702</v>
      </c>
      <c r="N21" s="1024">
        <v>20000</v>
      </c>
      <c r="O21" s="1024"/>
      <c r="P21" s="319">
        <f>N21*6*H21</f>
        <v>120000</v>
      </c>
      <c r="Q21" s="25">
        <v>0</v>
      </c>
      <c r="R21" s="248">
        <f t="shared" si="2"/>
        <v>198602</v>
      </c>
    </row>
    <row r="22" spans="1:18" ht="75">
      <c r="A22" s="674">
        <f t="shared" si="3"/>
        <v>5</v>
      </c>
      <c r="B22" s="673" t="s">
        <v>1844</v>
      </c>
      <c r="C22" s="673" t="s">
        <v>1845</v>
      </c>
      <c r="D22" s="675">
        <v>4325</v>
      </c>
      <c r="E22" s="1100">
        <v>1</v>
      </c>
      <c r="F22" s="1028">
        <v>5</v>
      </c>
      <c r="G22" s="1100">
        <v>2</v>
      </c>
      <c r="H22" s="596">
        <v>1</v>
      </c>
      <c r="I22" s="678">
        <v>2</v>
      </c>
      <c r="J22" s="1024">
        <f t="shared" si="0"/>
        <v>43250</v>
      </c>
      <c r="K22" s="319">
        <v>14277</v>
      </c>
      <c r="L22" s="319">
        <v>14777</v>
      </c>
      <c r="M22" s="1024">
        <f t="shared" si="1"/>
        <v>29054</v>
      </c>
      <c r="N22" s="1024">
        <v>20000</v>
      </c>
      <c r="O22" s="1024"/>
      <c r="P22" s="319">
        <f>N22*4*H22</f>
        <v>80000</v>
      </c>
      <c r="Q22" s="25">
        <v>0</v>
      </c>
      <c r="R22" s="248">
        <f t="shared" si="2"/>
        <v>152304</v>
      </c>
    </row>
    <row r="23" spans="1:18" ht="75">
      <c r="A23" s="674">
        <f t="shared" si="3"/>
        <v>6</v>
      </c>
      <c r="B23" s="679" t="s">
        <v>1846</v>
      </c>
      <c r="C23" s="673" t="s">
        <v>1847</v>
      </c>
      <c r="D23" s="675">
        <v>4325</v>
      </c>
      <c r="E23" s="676">
        <v>1</v>
      </c>
      <c r="F23" s="677">
        <v>6</v>
      </c>
      <c r="G23" s="676">
        <v>2</v>
      </c>
      <c r="H23" s="664">
        <v>2</v>
      </c>
      <c r="I23" s="678">
        <v>2</v>
      </c>
      <c r="J23" s="248">
        <f t="shared" ref="J23:J32" si="4">I23*D23*F23*H23</f>
        <v>103800</v>
      </c>
      <c r="K23" s="25">
        <v>14277</v>
      </c>
      <c r="L23" s="25">
        <v>14777</v>
      </c>
      <c r="M23" s="248">
        <f t="shared" ref="M23:M32" si="5">(K23+L23)*H23</f>
        <v>58108</v>
      </c>
      <c r="N23" s="248">
        <v>20000</v>
      </c>
      <c r="O23" s="248"/>
      <c r="P23" s="25">
        <f t="shared" ref="P23:P32" si="6">N23*4*H23</f>
        <v>160000</v>
      </c>
      <c r="Q23" s="25">
        <v>1</v>
      </c>
      <c r="R23" s="248">
        <f t="shared" ref="R23:R32" si="7">J23+M23+P23+Q23</f>
        <v>321909</v>
      </c>
    </row>
    <row r="24" spans="1:18" ht="75">
      <c r="A24" s="674">
        <f t="shared" si="3"/>
        <v>7</v>
      </c>
      <c r="B24" s="679" t="s">
        <v>1848</v>
      </c>
      <c r="C24" s="673" t="s">
        <v>880</v>
      </c>
      <c r="D24" s="675">
        <v>4325</v>
      </c>
      <c r="E24" s="676">
        <v>1</v>
      </c>
      <c r="F24" s="677">
        <v>6</v>
      </c>
      <c r="G24" s="676">
        <v>2</v>
      </c>
      <c r="H24" s="664">
        <v>2</v>
      </c>
      <c r="I24" s="678">
        <v>2</v>
      </c>
      <c r="J24" s="248">
        <f t="shared" si="4"/>
        <v>103800</v>
      </c>
      <c r="K24" s="25">
        <v>14277</v>
      </c>
      <c r="L24" s="25">
        <v>14777</v>
      </c>
      <c r="M24" s="248">
        <f t="shared" si="5"/>
        <v>58108</v>
      </c>
      <c r="N24" s="248">
        <v>20000</v>
      </c>
      <c r="O24" s="248"/>
      <c r="P24" s="25">
        <f t="shared" si="6"/>
        <v>160000</v>
      </c>
      <c r="Q24" s="25">
        <v>2</v>
      </c>
      <c r="R24" s="248">
        <f t="shared" si="7"/>
        <v>321910</v>
      </c>
    </row>
    <row r="25" spans="1:18" ht="45">
      <c r="A25" s="674">
        <f t="shared" si="3"/>
        <v>8</v>
      </c>
      <c r="B25" s="680" t="s">
        <v>786</v>
      </c>
      <c r="C25" s="681" t="s">
        <v>787</v>
      </c>
      <c r="D25" s="675">
        <v>4325</v>
      </c>
      <c r="E25" s="682">
        <v>1</v>
      </c>
      <c r="F25" s="683">
        <v>6</v>
      </c>
      <c r="G25" s="682">
        <v>4</v>
      </c>
      <c r="H25" s="606">
        <v>3</v>
      </c>
      <c r="I25" s="678">
        <v>2</v>
      </c>
      <c r="J25" s="248">
        <f t="shared" si="4"/>
        <v>155700</v>
      </c>
      <c r="K25" s="25">
        <v>14277</v>
      </c>
      <c r="L25" s="25">
        <v>14777</v>
      </c>
      <c r="M25" s="248">
        <f t="shared" si="5"/>
        <v>87162</v>
      </c>
      <c r="N25" s="248">
        <v>20000</v>
      </c>
      <c r="O25" s="248"/>
      <c r="P25" s="25">
        <f t="shared" si="6"/>
        <v>240000</v>
      </c>
      <c r="Q25" s="25">
        <v>3</v>
      </c>
      <c r="R25" s="248">
        <f t="shared" si="7"/>
        <v>482865</v>
      </c>
    </row>
    <row r="26" spans="1:18" ht="60">
      <c r="A26" s="674">
        <f t="shared" si="3"/>
        <v>9</v>
      </c>
      <c r="B26" s="680" t="s">
        <v>411</v>
      </c>
      <c r="C26" s="681" t="s">
        <v>788</v>
      </c>
      <c r="D26" s="675">
        <v>4325</v>
      </c>
      <c r="E26" s="682">
        <v>1</v>
      </c>
      <c r="F26" s="683">
        <v>4</v>
      </c>
      <c r="G26" s="682">
        <v>2</v>
      </c>
      <c r="H26" s="606">
        <v>2</v>
      </c>
      <c r="I26" s="678">
        <v>2</v>
      </c>
      <c r="J26" s="248">
        <f t="shared" si="4"/>
        <v>69200</v>
      </c>
      <c r="K26" s="25">
        <v>14277</v>
      </c>
      <c r="L26" s="25">
        <v>14777</v>
      </c>
      <c r="M26" s="248">
        <f t="shared" si="5"/>
        <v>58108</v>
      </c>
      <c r="N26" s="248">
        <v>20000</v>
      </c>
      <c r="O26" s="248"/>
      <c r="P26" s="25">
        <f t="shared" si="6"/>
        <v>160000</v>
      </c>
      <c r="Q26" s="25">
        <v>4</v>
      </c>
      <c r="R26" s="248">
        <f t="shared" si="7"/>
        <v>287312</v>
      </c>
    </row>
    <row r="27" spans="1:18" ht="60">
      <c r="A27" s="674">
        <f t="shared" si="3"/>
        <v>10</v>
      </c>
      <c r="B27" s="680" t="s">
        <v>412</v>
      </c>
      <c r="C27" s="681" t="s">
        <v>420</v>
      </c>
      <c r="D27" s="675">
        <v>4325</v>
      </c>
      <c r="E27" s="682">
        <v>1</v>
      </c>
      <c r="F27" s="683">
        <v>4</v>
      </c>
      <c r="G27" s="682">
        <v>2</v>
      </c>
      <c r="H27" s="606">
        <v>1</v>
      </c>
      <c r="I27" s="678">
        <v>2</v>
      </c>
      <c r="J27" s="248">
        <f t="shared" si="4"/>
        <v>34600</v>
      </c>
      <c r="K27" s="25">
        <v>14277</v>
      </c>
      <c r="L27" s="25">
        <v>14777</v>
      </c>
      <c r="M27" s="248">
        <f t="shared" si="5"/>
        <v>29054</v>
      </c>
      <c r="N27" s="248">
        <v>20000</v>
      </c>
      <c r="O27" s="248"/>
      <c r="P27" s="25">
        <f t="shared" si="6"/>
        <v>80000</v>
      </c>
      <c r="Q27" s="25">
        <v>5</v>
      </c>
      <c r="R27" s="248">
        <f t="shared" si="7"/>
        <v>143659</v>
      </c>
    </row>
    <row r="28" spans="1:18" ht="60">
      <c r="A28" s="674">
        <f t="shared" si="3"/>
        <v>11</v>
      </c>
      <c r="B28" s="680" t="s">
        <v>790</v>
      </c>
      <c r="C28" s="681" t="s">
        <v>791</v>
      </c>
      <c r="D28" s="675">
        <v>4325</v>
      </c>
      <c r="E28" s="682">
        <v>1</v>
      </c>
      <c r="F28" s="683">
        <v>4</v>
      </c>
      <c r="G28" s="682">
        <v>2</v>
      </c>
      <c r="H28" s="606">
        <v>1</v>
      </c>
      <c r="I28" s="678">
        <v>2</v>
      </c>
      <c r="J28" s="248">
        <f t="shared" si="4"/>
        <v>34600</v>
      </c>
      <c r="K28" s="25">
        <v>14277</v>
      </c>
      <c r="L28" s="25">
        <v>14777</v>
      </c>
      <c r="M28" s="248">
        <f t="shared" si="5"/>
        <v>29054</v>
      </c>
      <c r="N28" s="248">
        <v>20000</v>
      </c>
      <c r="O28" s="248"/>
      <c r="P28" s="25">
        <f t="shared" si="6"/>
        <v>80000</v>
      </c>
      <c r="Q28" s="25">
        <v>6</v>
      </c>
      <c r="R28" s="248">
        <f t="shared" si="7"/>
        <v>143660</v>
      </c>
    </row>
    <row r="29" spans="1:18" ht="45">
      <c r="A29" s="674">
        <f t="shared" si="3"/>
        <v>12</v>
      </c>
      <c r="B29" s="680" t="s">
        <v>792</v>
      </c>
      <c r="C29" s="681" t="s">
        <v>420</v>
      </c>
      <c r="D29" s="675">
        <v>4325</v>
      </c>
      <c r="E29" s="682">
        <v>1</v>
      </c>
      <c r="F29" s="683">
        <v>4</v>
      </c>
      <c r="G29" s="682">
        <v>2</v>
      </c>
      <c r="H29" s="606">
        <v>3</v>
      </c>
      <c r="I29" s="678">
        <v>2</v>
      </c>
      <c r="J29" s="248">
        <f t="shared" si="4"/>
        <v>103800</v>
      </c>
      <c r="K29" s="25">
        <v>14277</v>
      </c>
      <c r="L29" s="25">
        <v>14777</v>
      </c>
      <c r="M29" s="248">
        <f t="shared" si="5"/>
        <v>87162</v>
      </c>
      <c r="N29" s="248">
        <v>20000</v>
      </c>
      <c r="O29" s="248"/>
      <c r="P29" s="25">
        <f t="shared" si="6"/>
        <v>240000</v>
      </c>
      <c r="Q29" s="25">
        <v>7</v>
      </c>
      <c r="R29" s="248">
        <f t="shared" si="7"/>
        <v>430969</v>
      </c>
    </row>
    <row r="30" spans="1:18" ht="75">
      <c r="A30" s="674">
        <f t="shared" si="3"/>
        <v>13</v>
      </c>
      <c r="B30" s="680" t="s">
        <v>793</v>
      </c>
      <c r="C30" s="681" t="s">
        <v>420</v>
      </c>
      <c r="D30" s="675">
        <v>4325</v>
      </c>
      <c r="E30" s="682">
        <v>1</v>
      </c>
      <c r="F30" s="683">
        <v>4</v>
      </c>
      <c r="G30" s="682">
        <v>2</v>
      </c>
      <c r="H30" s="606">
        <v>3</v>
      </c>
      <c r="I30" s="678">
        <v>2</v>
      </c>
      <c r="J30" s="248">
        <f t="shared" si="4"/>
        <v>103800</v>
      </c>
      <c r="K30" s="25">
        <v>14277</v>
      </c>
      <c r="L30" s="25">
        <v>14777</v>
      </c>
      <c r="M30" s="248">
        <f t="shared" si="5"/>
        <v>87162</v>
      </c>
      <c r="N30" s="248">
        <v>20000</v>
      </c>
      <c r="O30" s="248"/>
      <c r="P30" s="25">
        <f t="shared" si="6"/>
        <v>240000</v>
      </c>
      <c r="Q30" s="25">
        <v>8</v>
      </c>
      <c r="R30" s="248">
        <f t="shared" si="7"/>
        <v>430970</v>
      </c>
    </row>
    <row r="31" spans="1:18" ht="75">
      <c r="A31" s="674">
        <f t="shared" si="3"/>
        <v>14</v>
      </c>
      <c r="B31" s="680" t="s">
        <v>413</v>
      </c>
      <c r="C31" s="681" t="s">
        <v>787</v>
      </c>
      <c r="D31" s="675">
        <v>4325</v>
      </c>
      <c r="E31" s="682">
        <v>1</v>
      </c>
      <c r="F31" s="683">
        <v>4</v>
      </c>
      <c r="G31" s="682">
        <v>2</v>
      </c>
      <c r="H31" s="606">
        <v>2</v>
      </c>
      <c r="I31" s="678">
        <v>2</v>
      </c>
      <c r="J31" s="248">
        <f t="shared" si="4"/>
        <v>69200</v>
      </c>
      <c r="K31" s="25">
        <v>14277</v>
      </c>
      <c r="L31" s="25">
        <v>14777</v>
      </c>
      <c r="M31" s="248">
        <f t="shared" si="5"/>
        <v>58108</v>
      </c>
      <c r="N31" s="248">
        <v>20000</v>
      </c>
      <c r="O31" s="248"/>
      <c r="P31" s="25">
        <f t="shared" si="6"/>
        <v>160000</v>
      </c>
      <c r="Q31" s="25">
        <v>9</v>
      </c>
      <c r="R31" s="248">
        <f t="shared" si="7"/>
        <v>287317</v>
      </c>
    </row>
    <row r="32" spans="1:18" ht="75">
      <c r="A32" s="678">
        <f t="shared" si="3"/>
        <v>15</v>
      </c>
      <c r="B32" s="681" t="s">
        <v>795</v>
      </c>
      <c r="C32" s="681" t="s">
        <v>420</v>
      </c>
      <c r="D32" s="675">
        <v>4325</v>
      </c>
      <c r="E32" s="682">
        <v>1</v>
      </c>
      <c r="F32" s="683">
        <v>3</v>
      </c>
      <c r="G32" s="682">
        <v>1</v>
      </c>
      <c r="H32" s="606">
        <v>1</v>
      </c>
      <c r="I32" s="678">
        <v>2</v>
      </c>
      <c r="J32" s="248">
        <f t="shared" si="4"/>
        <v>25950</v>
      </c>
      <c r="K32" s="25">
        <v>14277</v>
      </c>
      <c r="L32" s="25">
        <v>14777</v>
      </c>
      <c r="M32" s="248">
        <f t="shared" si="5"/>
        <v>29054</v>
      </c>
      <c r="N32" s="248">
        <v>20000</v>
      </c>
      <c r="O32" s="248"/>
      <c r="P32" s="25">
        <f t="shared" si="6"/>
        <v>80000</v>
      </c>
      <c r="Q32" s="25">
        <v>10</v>
      </c>
      <c r="R32" s="248">
        <f t="shared" si="7"/>
        <v>135014</v>
      </c>
    </row>
    <row r="33" spans="1:18" ht="16.5" customHeight="1">
      <c r="A33" s="200"/>
      <c r="B33" s="201" t="s">
        <v>45</v>
      </c>
      <c r="C33" s="200"/>
      <c r="D33" s="196"/>
      <c r="E33" s="196">
        <f t="shared" ref="E33:R33" si="8">SUM(E18:E32)</f>
        <v>15</v>
      </c>
      <c r="F33" s="196">
        <f t="shared" si="8"/>
        <v>76</v>
      </c>
      <c r="G33" s="196">
        <f t="shared" si="8"/>
        <v>35</v>
      </c>
      <c r="H33" s="196">
        <f t="shared" si="8"/>
        <v>31</v>
      </c>
      <c r="I33" s="196">
        <f t="shared" si="8"/>
        <v>30</v>
      </c>
      <c r="J33" s="1101">
        <f t="shared" si="8"/>
        <v>1409950</v>
      </c>
      <c r="K33" s="1101">
        <f t="shared" si="8"/>
        <v>217607</v>
      </c>
      <c r="L33" s="1101">
        <f t="shared" si="8"/>
        <v>224107</v>
      </c>
      <c r="M33" s="1101">
        <f t="shared" si="8"/>
        <v>906578</v>
      </c>
      <c r="N33" s="1101">
        <f t="shared" si="8"/>
        <v>300000</v>
      </c>
      <c r="O33" s="1101">
        <f t="shared" si="8"/>
        <v>0</v>
      </c>
      <c r="P33" s="1101">
        <f t="shared" si="8"/>
        <v>2940000</v>
      </c>
      <c r="Q33" s="1101">
        <f t="shared" si="8"/>
        <v>55</v>
      </c>
      <c r="R33" s="1101">
        <f t="shared" si="8"/>
        <v>5256583</v>
      </c>
    </row>
    <row r="36" spans="1:18" ht="15" customHeight="1">
      <c r="B36" s="1579" t="s">
        <v>2454</v>
      </c>
      <c r="C36" s="1580"/>
      <c r="D36" s="1580"/>
      <c r="E36" s="320"/>
      <c r="F36" s="321"/>
      <c r="G36" s="1581"/>
      <c r="H36" s="1582"/>
      <c r="I36" s="1582"/>
      <c r="J36" s="1582"/>
      <c r="K36" s="322"/>
      <c r="L36" s="322"/>
      <c r="M36" s="1577" t="s">
        <v>281</v>
      </c>
      <c r="N36" s="1577"/>
      <c r="O36" s="1577"/>
      <c r="P36" s="1577"/>
      <c r="Q36" s="1577"/>
    </row>
    <row r="37" spans="1:18" ht="14.25">
      <c r="B37" s="12"/>
      <c r="C37" s="12"/>
      <c r="D37" s="205"/>
      <c r="E37" s="182"/>
      <c r="F37" s="182"/>
      <c r="G37" s="182"/>
      <c r="H37" s="182"/>
    </row>
    <row r="38" spans="1:18" ht="15.75">
      <c r="B38" s="1358"/>
      <c r="C38" s="1358"/>
      <c r="D38" s="1358"/>
      <c r="E38" s="182"/>
      <c r="F38" s="182"/>
      <c r="G38" s="206"/>
      <c r="H38" s="206"/>
    </row>
    <row r="39" spans="1:18">
      <c r="B39"/>
      <c r="C39"/>
      <c r="D39" s="182"/>
      <c r="E39" s="182"/>
      <c r="F39" s="182"/>
      <c r="G39" s="182"/>
      <c r="H39" s="182"/>
    </row>
    <row r="40" spans="1:18" ht="15.75">
      <c r="B40" s="1358"/>
      <c r="C40" s="1358"/>
      <c r="D40" s="1358"/>
      <c r="E40" s="182"/>
      <c r="F40" s="182"/>
      <c r="G40" s="206"/>
      <c r="H40" s="206"/>
    </row>
    <row r="41" spans="1:18" ht="15.6" customHeight="1">
      <c r="B41"/>
      <c r="C41"/>
      <c r="D41" s="182"/>
      <c r="E41" s="182"/>
      <c r="F41" s="182"/>
      <c r="G41" s="182"/>
      <c r="H41" s="182"/>
    </row>
    <row r="42" spans="1:18" ht="15.75">
      <c r="B42" s="74"/>
      <c r="C42"/>
      <c r="D42" s="182"/>
      <c r="E42" s="182"/>
      <c r="F42" s="182"/>
      <c r="G42" s="206"/>
      <c r="H42" s="206"/>
    </row>
    <row r="43" spans="1:18">
      <c r="B43"/>
      <c r="C43"/>
      <c r="D43" s="182"/>
      <c r="E43" s="182"/>
      <c r="F43" s="182"/>
      <c r="G43" s="182"/>
      <c r="H43" s="182"/>
    </row>
    <row r="44" spans="1:18" ht="14.25">
      <c r="B44" s="12"/>
      <c r="C44" s="12"/>
      <c r="D44" s="205"/>
      <c r="E44" s="182"/>
      <c r="F44" s="182"/>
      <c r="G44" s="182"/>
      <c r="H44" s="182"/>
    </row>
    <row r="45" spans="1:18" ht="15.75">
      <c r="B45" s="1358"/>
      <c r="C45" s="1358"/>
      <c r="D45" s="1358"/>
      <c r="E45" s="182"/>
      <c r="F45" s="182"/>
      <c r="G45" s="206"/>
      <c r="H45" s="206"/>
    </row>
    <row r="46" spans="1:18">
      <c r="B46"/>
      <c r="C46"/>
      <c r="D46" s="182"/>
      <c r="E46" s="182"/>
      <c r="F46" s="182"/>
      <c r="G46" s="182"/>
      <c r="H46" s="182"/>
    </row>
  </sheetData>
  <mergeCells count="28">
    <mergeCell ref="M36:Q36"/>
    <mergeCell ref="B38:D38"/>
    <mergeCell ref="B40:D40"/>
    <mergeCell ref="B45:D45"/>
    <mergeCell ref="F16:F17"/>
    <mergeCell ref="G16:G17"/>
    <mergeCell ref="H16:H17"/>
    <mergeCell ref="I16:J16"/>
    <mergeCell ref="B36:D36"/>
    <mergeCell ref="G36:J36"/>
    <mergeCell ref="K16:M16"/>
    <mergeCell ref="N16:P16"/>
    <mergeCell ref="A13:R13"/>
    <mergeCell ref="A15:A17"/>
    <mergeCell ref="B15:B17"/>
    <mergeCell ref="C15:C17"/>
    <mergeCell ref="D15:H15"/>
    <mergeCell ref="I15:P15"/>
    <mergeCell ref="Q15:Q17"/>
    <mergeCell ref="R15:R17"/>
    <mergeCell ref="D16:D17"/>
    <mergeCell ref="E16:E17"/>
    <mergeCell ref="J11:R11"/>
    <mergeCell ref="E2:R3"/>
    <mergeCell ref="E4:R4"/>
    <mergeCell ref="E5:R5"/>
    <mergeCell ref="K9:R9"/>
    <mergeCell ref="K10:R10"/>
  </mergeCells>
  <pageMargins left="0.19685039370078741" right="0.19685039370078741" top="0.19685039370078741" bottom="0.19685039370078741" header="0.31496062992125984" footer="0.31496062992125984"/>
  <pageSetup paperSize="9" scale="72"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4AA27-C3A4-44A6-BE54-A6C0B12C7FC3}">
  <sheetPr>
    <pageSetUpPr fitToPage="1"/>
  </sheetPr>
  <dimension ref="A2:Z42"/>
  <sheetViews>
    <sheetView topLeftCell="A8" zoomScale="90" zoomScaleNormal="90" workbookViewId="0">
      <pane ySplit="10" topLeftCell="A24" activePane="bottomLeft" state="frozen"/>
      <selection activeCell="K22" sqref="K22"/>
      <selection pane="bottomLeft" activeCell="R29" sqref="R29"/>
    </sheetView>
  </sheetViews>
  <sheetFormatPr defaultColWidth="9.140625" defaultRowHeight="12.75"/>
  <cols>
    <col min="1" max="1" width="4.42578125" style="2" customWidth="1"/>
    <col min="2" max="2" width="27.85546875" style="2" customWidth="1"/>
    <col min="3" max="3" width="13.7109375" style="2" customWidth="1"/>
    <col min="4" max="4" width="7.7109375" style="202" customWidth="1"/>
    <col min="5" max="5" width="7.28515625" style="202" customWidth="1"/>
    <col min="6" max="6" width="5.85546875" style="202" customWidth="1"/>
    <col min="7" max="7" width="7.7109375" style="202" customWidth="1"/>
    <col min="8" max="8" width="7.42578125" style="202" customWidth="1"/>
    <col min="9" max="9" width="7.28515625" style="202" customWidth="1"/>
    <col min="10" max="10" width="10.7109375" style="202" customWidth="1"/>
    <col min="11" max="12" width="11" style="36" customWidth="1"/>
    <col min="13" max="13" width="10.28515625" style="202" customWidth="1"/>
    <col min="14" max="14" width="11" style="202" customWidth="1"/>
    <col min="15" max="15" width="9" style="202" hidden="1" customWidth="1"/>
    <col min="16" max="16" width="13.28515625" style="202" customWidth="1"/>
    <col min="17" max="17" width="10" style="202" customWidth="1"/>
    <col min="18" max="18" width="15.42578125" style="1" customWidth="1"/>
    <col min="19" max="19" width="11.42578125" style="2" customWidth="1"/>
    <col min="20" max="20" width="9.28515625" style="2" customWidth="1"/>
    <col min="21" max="21" width="11.7109375" style="2" customWidth="1"/>
    <col min="22" max="22" width="12" style="2" customWidth="1"/>
    <col min="23" max="23" width="44.85546875" style="2" customWidth="1"/>
    <col min="24" max="24" width="12.42578125" style="2" customWidth="1"/>
    <col min="25" max="16384" width="9.140625" style="2"/>
  </cols>
  <sheetData>
    <row r="2" spans="1:26" ht="12.75" customHeight="1">
      <c r="E2" s="1568" t="s">
        <v>245</v>
      </c>
      <c r="F2" s="1569"/>
      <c r="G2" s="1569"/>
      <c r="H2" s="1569"/>
      <c r="I2" s="1569"/>
      <c r="J2" s="1569"/>
      <c r="K2" s="1569"/>
      <c r="L2" s="1569"/>
      <c r="M2" s="1569"/>
      <c r="N2" s="1569"/>
      <c r="O2" s="1569"/>
      <c r="P2" s="1569"/>
      <c r="Q2" s="1569"/>
      <c r="R2" s="1569"/>
    </row>
    <row r="3" spans="1:26" ht="12.75" customHeight="1">
      <c r="E3" s="1569"/>
      <c r="F3" s="1569"/>
      <c r="G3" s="1569"/>
      <c r="H3" s="1569"/>
      <c r="I3" s="1569"/>
      <c r="J3" s="1569"/>
      <c r="K3" s="1569"/>
      <c r="L3" s="1569"/>
      <c r="M3" s="1569"/>
      <c r="N3" s="1569"/>
      <c r="O3" s="1569"/>
      <c r="P3" s="1569"/>
      <c r="Q3" s="1569"/>
      <c r="R3" s="1569"/>
    </row>
    <row r="4" spans="1:26" ht="15" customHeight="1">
      <c r="E4" s="1568" t="s">
        <v>246</v>
      </c>
      <c r="F4" s="1569"/>
      <c r="G4" s="1569"/>
      <c r="H4" s="1569"/>
      <c r="I4" s="1569"/>
      <c r="J4" s="1569"/>
      <c r="K4" s="1569"/>
      <c r="L4" s="1569"/>
      <c r="M4" s="1569"/>
      <c r="N4" s="1569"/>
      <c r="O4" s="1569"/>
      <c r="P4" s="1569"/>
      <c r="Q4" s="1569"/>
      <c r="R4" s="1569"/>
    </row>
    <row r="5" spans="1:26" ht="15" customHeight="1">
      <c r="E5" s="1568" t="s">
        <v>247</v>
      </c>
      <c r="F5" s="1569"/>
      <c r="G5" s="1569"/>
      <c r="H5" s="1569"/>
      <c r="I5" s="1569"/>
      <c r="J5" s="1569"/>
      <c r="K5" s="1569"/>
      <c r="L5" s="1569"/>
      <c r="M5" s="1569"/>
      <c r="N5" s="1569"/>
      <c r="O5" s="1569"/>
      <c r="P5" s="1569"/>
      <c r="Q5" s="1569"/>
      <c r="R5" s="1569"/>
    </row>
    <row r="7" spans="1:26">
      <c r="R7" s="202"/>
    </row>
    <row r="8" spans="1:26">
      <c r="R8" s="202"/>
    </row>
    <row r="9" spans="1:26" ht="15.75">
      <c r="J9"/>
      <c r="K9" s="1568" t="s">
        <v>245</v>
      </c>
      <c r="L9" s="1568"/>
      <c r="M9" s="1568"/>
      <c r="N9" s="1568"/>
      <c r="O9" s="1568"/>
      <c r="P9" s="1568"/>
      <c r="Q9" s="1568"/>
      <c r="R9" s="1568"/>
      <c r="S9" s="202"/>
      <c r="T9" s="36"/>
      <c r="U9" s="36"/>
      <c r="V9" s="202"/>
      <c r="W9" s="202"/>
      <c r="X9" s="202"/>
      <c r="Y9" s="202"/>
      <c r="Z9" s="202"/>
    </row>
    <row r="10" spans="1:26" ht="15.75">
      <c r="J10"/>
      <c r="K10" s="1568" t="s">
        <v>425</v>
      </c>
      <c r="L10" s="1568"/>
      <c r="M10" s="1568"/>
      <c r="N10" s="1568"/>
      <c r="O10" s="1568"/>
      <c r="P10" s="1568"/>
      <c r="Q10" s="1568"/>
      <c r="R10" s="1568"/>
      <c r="S10" s="202"/>
      <c r="T10" s="36"/>
      <c r="U10" s="36"/>
      <c r="V10" s="202"/>
      <c r="W10" s="202"/>
      <c r="X10" s="202"/>
      <c r="Y10" s="202"/>
      <c r="Z10" s="202"/>
    </row>
    <row r="11" spans="1:26" ht="15.75">
      <c r="J11" s="1568" t="s">
        <v>247</v>
      </c>
      <c r="K11" s="1568"/>
      <c r="L11" s="1568"/>
      <c r="M11" s="1568"/>
      <c r="N11" s="1568"/>
      <c r="O11" s="1568"/>
      <c r="P11" s="1568"/>
      <c r="Q11" s="1568"/>
      <c r="R11" s="1568"/>
      <c r="S11" s="202"/>
      <c r="T11" s="36"/>
      <c r="U11" s="36"/>
      <c r="V11" s="202"/>
      <c r="W11" s="202"/>
      <c r="X11" s="202"/>
      <c r="Y11" s="202"/>
      <c r="Z11" s="202"/>
    </row>
    <row r="12" spans="1:26">
      <c r="R12" s="202"/>
    </row>
    <row r="13" spans="1:26" ht="15.75">
      <c r="A13" s="1570" t="s">
        <v>856</v>
      </c>
      <c r="B13" s="1570"/>
      <c r="C13" s="1570"/>
      <c r="D13" s="1570"/>
      <c r="E13" s="1570"/>
      <c r="F13" s="1570"/>
      <c r="G13" s="1570"/>
      <c r="H13" s="1570"/>
      <c r="I13" s="1570"/>
      <c r="J13" s="1570"/>
      <c r="K13" s="1570"/>
      <c r="L13" s="1570"/>
      <c r="M13" s="1570"/>
      <c r="N13" s="1570"/>
      <c r="O13" s="1570"/>
      <c r="P13" s="1570"/>
      <c r="Q13" s="1570"/>
      <c r="R13" s="1570"/>
    </row>
    <row r="14" spans="1:26" ht="14.25">
      <c r="A14" s="54"/>
      <c r="B14" s="1013"/>
      <c r="C14" s="1014"/>
      <c r="D14" s="1015"/>
      <c r="E14" s="1015"/>
      <c r="F14" s="1015"/>
      <c r="G14" s="1015"/>
      <c r="H14" s="1016"/>
      <c r="I14" s="1015"/>
      <c r="J14" s="1015"/>
      <c r="K14" s="1016"/>
      <c r="L14" s="1016"/>
      <c r="M14" s="1015"/>
      <c r="N14" s="1015"/>
      <c r="O14" s="1015"/>
      <c r="P14" s="1015"/>
      <c r="Q14" s="1015"/>
      <c r="R14" s="1015"/>
    </row>
    <row r="15" spans="1:26">
      <c r="A15" s="1574" t="s">
        <v>7</v>
      </c>
      <c r="B15" s="1584" t="s">
        <v>149</v>
      </c>
      <c r="C15" s="1584" t="s">
        <v>38</v>
      </c>
      <c r="D15" s="1586" t="s">
        <v>150</v>
      </c>
      <c r="E15" s="1587"/>
      <c r="F15" s="1587"/>
      <c r="G15" s="1587"/>
      <c r="H15" s="1587"/>
      <c r="I15" s="1574" t="s">
        <v>151</v>
      </c>
      <c r="J15" s="1574"/>
      <c r="K15" s="1574"/>
      <c r="L15" s="1574"/>
      <c r="M15" s="1574"/>
      <c r="N15" s="1574"/>
      <c r="O15" s="1574"/>
      <c r="P15" s="1574"/>
      <c r="Q15" s="1583" t="s">
        <v>238</v>
      </c>
      <c r="R15" s="1574" t="s">
        <v>39</v>
      </c>
    </row>
    <row r="16" spans="1:26">
      <c r="A16" s="1574"/>
      <c r="B16" s="1584"/>
      <c r="C16" s="1584"/>
      <c r="D16" s="1574" t="s">
        <v>152</v>
      </c>
      <c r="E16" s="1585" t="s">
        <v>40</v>
      </c>
      <c r="F16" s="1584" t="s">
        <v>41</v>
      </c>
      <c r="G16" s="1584" t="s">
        <v>153</v>
      </c>
      <c r="H16" s="1590" t="s">
        <v>31</v>
      </c>
      <c r="I16" s="1586" t="s">
        <v>155</v>
      </c>
      <c r="J16" s="1592"/>
      <c r="K16" s="1574" t="s">
        <v>42</v>
      </c>
      <c r="L16" s="1574"/>
      <c r="M16" s="1574"/>
      <c r="N16" s="1574" t="s">
        <v>43</v>
      </c>
      <c r="O16" s="1574"/>
      <c r="P16" s="1574"/>
      <c r="Q16" s="1576"/>
      <c r="R16" s="1574"/>
    </row>
    <row r="17" spans="1:18" ht="39" customHeight="1">
      <c r="A17" s="1583"/>
      <c r="B17" s="1585"/>
      <c r="C17" s="1585"/>
      <c r="D17" s="1583"/>
      <c r="E17" s="1588"/>
      <c r="F17" s="1585"/>
      <c r="G17" s="1585"/>
      <c r="H17" s="1591"/>
      <c r="I17" s="1017" t="s">
        <v>154</v>
      </c>
      <c r="J17" s="1017" t="s">
        <v>44</v>
      </c>
      <c r="K17" s="1018" t="s">
        <v>421</v>
      </c>
      <c r="L17" s="1018" t="s">
        <v>422</v>
      </c>
      <c r="M17" s="1017" t="s">
        <v>44</v>
      </c>
      <c r="N17" s="1017" t="s">
        <v>154</v>
      </c>
      <c r="O17" s="1017"/>
      <c r="P17" s="1017" t="s">
        <v>44</v>
      </c>
      <c r="Q17" s="1576"/>
      <c r="R17" s="1583"/>
    </row>
    <row r="18" spans="1:18" ht="75">
      <c r="A18" s="1019">
        <v>1</v>
      </c>
      <c r="B18" s="1020" t="s">
        <v>375</v>
      </c>
      <c r="C18" s="673" t="s">
        <v>420</v>
      </c>
      <c r="D18" s="1021">
        <v>4335</v>
      </c>
      <c r="E18" s="1022">
        <v>1</v>
      </c>
      <c r="F18" s="1023">
        <v>2</v>
      </c>
      <c r="G18" s="1022">
        <v>1</v>
      </c>
      <c r="H18" s="727">
        <v>1</v>
      </c>
      <c r="I18" s="1021">
        <v>2</v>
      </c>
      <c r="J18" s="1024">
        <f t="shared" ref="J18:J23" si="0">I18*D18*F18*H18</f>
        <v>17340</v>
      </c>
      <c r="K18" s="1025">
        <v>6380</v>
      </c>
      <c r="L18" s="1025">
        <v>7733</v>
      </c>
      <c r="M18" s="1024">
        <f>(K18+L18)*H18</f>
        <v>14113</v>
      </c>
      <c r="N18" s="1024">
        <f t="shared" ref="N18:N28" si="1">7*4335</f>
        <v>30345</v>
      </c>
      <c r="O18" s="1024"/>
      <c r="P18" s="1026">
        <f t="shared" ref="P18:P26" si="2">N18*F18*H18</f>
        <v>60690</v>
      </c>
      <c r="Q18" s="319">
        <v>0</v>
      </c>
      <c r="R18" s="1024">
        <f t="shared" ref="R18:R28" si="3">J18+M18+P18+Q18</f>
        <v>92143</v>
      </c>
    </row>
    <row r="19" spans="1:18" ht="45">
      <c r="A19" s="1019">
        <f>A18+1</f>
        <v>2</v>
      </c>
      <c r="B19" s="1020" t="s">
        <v>786</v>
      </c>
      <c r="C19" s="673" t="s">
        <v>787</v>
      </c>
      <c r="D19" s="1021">
        <v>4335</v>
      </c>
      <c r="E19" s="1027">
        <v>1</v>
      </c>
      <c r="F19" s="1028">
        <v>2</v>
      </c>
      <c r="G19" s="1027">
        <v>2</v>
      </c>
      <c r="H19" s="596">
        <v>2</v>
      </c>
      <c r="I19" s="1019">
        <v>2</v>
      </c>
      <c r="J19" s="1024">
        <f t="shared" si="0"/>
        <v>34680</v>
      </c>
      <c r="K19" s="1026">
        <v>6380</v>
      </c>
      <c r="L19" s="1026">
        <v>7733</v>
      </c>
      <c r="M19" s="1024">
        <f>(K19+L19)*H19</f>
        <v>28226</v>
      </c>
      <c r="N19" s="1024">
        <f t="shared" si="1"/>
        <v>30345</v>
      </c>
      <c r="O19" s="1024"/>
      <c r="P19" s="1026">
        <f t="shared" si="2"/>
        <v>121380</v>
      </c>
      <c r="Q19" s="319">
        <v>0</v>
      </c>
      <c r="R19" s="1024">
        <f t="shared" si="3"/>
        <v>184286</v>
      </c>
    </row>
    <row r="20" spans="1:18" ht="60">
      <c r="A20" s="1019">
        <f t="shared" ref="A20:A28" si="4">A19+1</f>
        <v>3</v>
      </c>
      <c r="B20" s="1020" t="s">
        <v>411</v>
      </c>
      <c r="C20" s="673" t="s">
        <v>788</v>
      </c>
      <c r="D20" s="1021">
        <v>4335</v>
      </c>
      <c r="E20" s="1027">
        <v>1</v>
      </c>
      <c r="F20" s="1028">
        <v>2</v>
      </c>
      <c r="G20" s="1027">
        <v>2</v>
      </c>
      <c r="H20" s="596">
        <v>1</v>
      </c>
      <c r="I20" s="1019">
        <v>2</v>
      </c>
      <c r="J20" s="1024">
        <f t="shared" si="0"/>
        <v>17340</v>
      </c>
      <c r="K20" s="1026">
        <v>6303</v>
      </c>
      <c r="L20" s="1026">
        <v>4382</v>
      </c>
      <c r="M20" s="1024">
        <f t="shared" ref="M20:M28" si="5">(K20+L20)*H20</f>
        <v>10685</v>
      </c>
      <c r="N20" s="1024">
        <f t="shared" si="1"/>
        <v>30345</v>
      </c>
      <c r="O20" s="1024"/>
      <c r="P20" s="1026">
        <f t="shared" si="2"/>
        <v>60690</v>
      </c>
      <c r="Q20" s="319">
        <v>0</v>
      </c>
      <c r="R20" s="1024">
        <f t="shared" si="3"/>
        <v>88715</v>
      </c>
    </row>
    <row r="21" spans="1:18" ht="60">
      <c r="A21" s="1019">
        <f t="shared" si="4"/>
        <v>4</v>
      </c>
      <c r="B21" s="1020" t="s">
        <v>789</v>
      </c>
      <c r="C21" s="673" t="s">
        <v>787</v>
      </c>
      <c r="D21" s="1021">
        <v>4335</v>
      </c>
      <c r="E21" s="1027">
        <v>1</v>
      </c>
      <c r="F21" s="1028">
        <v>2</v>
      </c>
      <c r="G21" s="1027">
        <v>2</v>
      </c>
      <c r="H21" s="596">
        <v>1</v>
      </c>
      <c r="I21" s="1019">
        <v>2</v>
      </c>
      <c r="J21" s="1024">
        <f t="shared" si="0"/>
        <v>17340</v>
      </c>
      <c r="K21" s="1026">
        <v>6380</v>
      </c>
      <c r="L21" s="1026">
        <v>7733</v>
      </c>
      <c r="M21" s="1024">
        <f t="shared" si="5"/>
        <v>14113</v>
      </c>
      <c r="N21" s="1024">
        <f t="shared" si="1"/>
        <v>30345</v>
      </c>
      <c r="O21" s="1024"/>
      <c r="P21" s="1026">
        <f t="shared" si="2"/>
        <v>60690</v>
      </c>
      <c r="Q21" s="319">
        <v>0</v>
      </c>
      <c r="R21" s="1024">
        <f t="shared" si="3"/>
        <v>92143</v>
      </c>
    </row>
    <row r="22" spans="1:18" ht="60">
      <c r="A22" s="1019">
        <f t="shared" si="4"/>
        <v>5</v>
      </c>
      <c r="B22" s="1020" t="s">
        <v>412</v>
      </c>
      <c r="C22" s="673" t="s">
        <v>420</v>
      </c>
      <c r="D22" s="1021">
        <v>4335</v>
      </c>
      <c r="E22" s="1027">
        <v>1</v>
      </c>
      <c r="F22" s="1028">
        <v>2</v>
      </c>
      <c r="G22" s="1027">
        <v>2</v>
      </c>
      <c r="H22" s="596">
        <v>1</v>
      </c>
      <c r="I22" s="1019">
        <v>2</v>
      </c>
      <c r="J22" s="1024">
        <f t="shared" si="0"/>
        <v>17340</v>
      </c>
      <c r="K22" s="1026">
        <v>6380</v>
      </c>
      <c r="L22" s="1026">
        <v>7733</v>
      </c>
      <c r="M22" s="1024">
        <f t="shared" si="5"/>
        <v>14113</v>
      </c>
      <c r="N22" s="1024">
        <f t="shared" si="1"/>
        <v>30345</v>
      </c>
      <c r="O22" s="1024"/>
      <c r="P22" s="1026">
        <f t="shared" si="2"/>
        <v>60690</v>
      </c>
      <c r="Q22" s="319">
        <v>0</v>
      </c>
      <c r="R22" s="1024">
        <f t="shared" si="3"/>
        <v>92143</v>
      </c>
    </row>
    <row r="23" spans="1:18" ht="60">
      <c r="A23" s="1019">
        <f t="shared" si="4"/>
        <v>6</v>
      </c>
      <c r="B23" s="1020" t="s">
        <v>790</v>
      </c>
      <c r="C23" s="673" t="s">
        <v>791</v>
      </c>
      <c r="D23" s="1021">
        <v>4335</v>
      </c>
      <c r="E23" s="1027">
        <v>1</v>
      </c>
      <c r="F23" s="1028">
        <v>2</v>
      </c>
      <c r="G23" s="1027">
        <v>2</v>
      </c>
      <c r="H23" s="596">
        <v>1</v>
      </c>
      <c r="I23" s="1019">
        <v>2</v>
      </c>
      <c r="J23" s="1024">
        <f t="shared" si="0"/>
        <v>17340</v>
      </c>
      <c r="K23" s="1026"/>
      <c r="L23" s="1026"/>
      <c r="M23" s="1024">
        <f t="shared" si="5"/>
        <v>0</v>
      </c>
      <c r="N23" s="1024">
        <f t="shared" si="1"/>
        <v>30345</v>
      </c>
      <c r="O23" s="1024"/>
      <c r="P23" s="1026">
        <f t="shared" si="2"/>
        <v>60690</v>
      </c>
      <c r="Q23" s="319">
        <v>0</v>
      </c>
      <c r="R23" s="1024">
        <f t="shared" si="3"/>
        <v>78030</v>
      </c>
    </row>
    <row r="24" spans="1:18" ht="45">
      <c r="A24" s="1019">
        <f t="shared" si="4"/>
        <v>7</v>
      </c>
      <c r="B24" s="1020" t="s">
        <v>792</v>
      </c>
      <c r="C24" s="673" t="s">
        <v>420</v>
      </c>
      <c r="D24" s="1021">
        <v>4335</v>
      </c>
      <c r="E24" s="1027">
        <v>1</v>
      </c>
      <c r="F24" s="1028">
        <v>1</v>
      </c>
      <c r="G24" s="1027">
        <v>2</v>
      </c>
      <c r="H24" s="596">
        <v>1</v>
      </c>
      <c r="I24" s="1019">
        <v>2</v>
      </c>
      <c r="J24" s="1024">
        <f>I24*D24*F24*H24</f>
        <v>8670</v>
      </c>
      <c r="K24" s="1026">
        <v>5313</v>
      </c>
      <c r="L24" s="1026">
        <v>7569</v>
      </c>
      <c r="M24" s="1024">
        <f t="shared" si="5"/>
        <v>12882</v>
      </c>
      <c r="N24" s="1024">
        <f t="shared" si="1"/>
        <v>30345</v>
      </c>
      <c r="O24" s="1024"/>
      <c r="P24" s="1026">
        <f t="shared" si="2"/>
        <v>30345</v>
      </c>
      <c r="Q24" s="319">
        <v>0</v>
      </c>
      <c r="R24" s="1024">
        <f t="shared" si="3"/>
        <v>51897</v>
      </c>
    </row>
    <row r="25" spans="1:18" ht="75">
      <c r="A25" s="1019">
        <f t="shared" si="4"/>
        <v>8</v>
      </c>
      <c r="B25" s="1020" t="s">
        <v>793</v>
      </c>
      <c r="C25" s="673" t="s">
        <v>420</v>
      </c>
      <c r="D25" s="1021">
        <v>4335</v>
      </c>
      <c r="E25" s="1027">
        <v>1</v>
      </c>
      <c r="F25" s="1028">
        <v>1</v>
      </c>
      <c r="G25" s="1027">
        <v>2</v>
      </c>
      <c r="H25" s="596">
        <v>1</v>
      </c>
      <c r="I25" s="1019">
        <v>2</v>
      </c>
      <c r="J25" s="1024">
        <f>I25*D25*F25*H25</f>
        <v>8670</v>
      </c>
      <c r="K25" s="1026">
        <v>6380</v>
      </c>
      <c r="L25" s="1026">
        <v>7733</v>
      </c>
      <c r="M25" s="1024">
        <f t="shared" si="5"/>
        <v>14113</v>
      </c>
      <c r="N25" s="1024">
        <f t="shared" si="1"/>
        <v>30345</v>
      </c>
      <c r="O25" s="1024"/>
      <c r="P25" s="1026">
        <f t="shared" si="2"/>
        <v>30345</v>
      </c>
      <c r="Q25" s="319">
        <v>37962</v>
      </c>
      <c r="R25" s="1024">
        <f t="shared" si="3"/>
        <v>91090</v>
      </c>
    </row>
    <row r="26" spans="1:18" ht="45">
      <c r="A26" s="1019">
        <f t="shared" si="4"/>
        <v>9</v>
      </c>
      <c r="B26" s="1020" t="s">
        <v>794</v>
      </c>
      <c r="C26" s="673" t="s">
        <v>420</v>
      </c>
      <c r="D26" s="1021">
        <v>4335</v>
      </c>
      <c r="E26" s="1027">
        <v>1</v>
      </c>
      <c r="F26" s="1028">
        <v>1</v>
      </c>
      <c r="G26" s="1027">
        <v>1</v>
      </c>
      <c r="H26" s="596">
        <v>1</v>
      </c>
      <c r="I26" s="1019">
        <v>2</v>
      </c>
      <c r="J26" s="1024">
        <f>I26*D26*F26*H26</f>
        <v>8670</v>
      </c>
      <c r="K26" s="1026">
        <v>6380</v>
      </c>
      <c r="L26" s="1026">
        <v>7733</v>
      </c>
      <c r="M26" s="1024">
        <f t="shared" si="5"/>
        <v>14113</v>
      </c>
      <c r="N26" s="1024">
        <f t="shared" si="1"/>
        <v>30345</v>
      </c>
      <c r="O26" s="1024"/>
      <c r="P26" s="1026">
        <f t="shared" si="2"/>
        <v>30345</v>
      </c>
      <c r="Q26" s="319">
        <v>0</v>
      </c>
      <c r="R26" s="1024">
        <f t="shared" si="3"/>
        <v>53128</v>
      </c>
    </row>
    <row r="27" spans="1:18" ht="75">
      <c r="A27" s="1019">
        <f t="shared" si="4"/>
        <v>10</v>
      </c>
      <c r="B27" s="1020" t="s">
        <v>413</v>
      </c>
      <c r="C27" s="673" t="s">
        <v>796</v>
      </c>
      <c r="D27" s="1021">
        <v>4335</v>
      </c>
      <c r="E27" s="1027">
        <v>1</v>
      </c>
      <c r="F27" s="1028">
        <v>1</v>
      </c>
      <c r="G27" s="1027">
        <v>2</v>
      </c>
      <c r="H27" s="596">
        <v>1</v>
      </c>
      <c r="I27" s="1019">
        <v>2</v>
      </c>
      <c r="J27" s="1024">
        <f>I27*D27*F27*1</f>
        <v>8670</v>
      </c>
      <c r="K27" s="1026">
        <v>14227</v>
      </c>
      <c r="L27" s="1026">
        <v>14227</v>
      </c>
      <c r="M27" s="1024">
        <f t="shared" si="5"/>
        <v>28454</v>
      </c>
      <c r="N27" s="1024">
        <f t="shared" si="1"/>
        <v>30345</v>
      </c>
      <c r="O27" s="1024"/>
      <c r="P27" s="1026">
        <f>N27*F27*1</f>
        <v>30345</v>
      </c>
      <c r="Q27" s="319">
        <v>0</v>
      </c>
      <c r="R27" s="1024">
        <f t="shared" si="3"/>
        <v>67469</v>
      </c>
    </row>
    <row r="28" spans="1:18" ht="75">
      <c r="A28" s="1019">
        <f t="shared" si="4"/>
        <v>11</v>
      </c>
      <c r="B28" s="1020" t="s">
        <v>795</v>
      </c>
      <c r="C28" s="673" t="s">
        <v>420</v>
      </c>
      <c r="D28" s="1021">
        <v>4335</v>
      </c>
      <c r="E28" s="1027">
        <v>1</v>
      </c>
      <c r="F28" s="1028">
        <v>1</v>
      </c>
      <c r="G28" s="1027">
        <v>1</v>
      </c>
      <c r="H28" s="596">
        <v>1</v>
      </c>
      <c r="I28" s="1019">
        <v>2</v>
      </c>
      <c r="J28" s="1024">
        <f>I28*D28*F28*1</f>
        <v>8670</v>
      </c>
      <c r="K28" s="1026">
        <v>6380</v>
      </c>
      <c r="L28" s="1026">
        <v>7733</v>
      </c>
      <c r="M28" s="1024">
        <f t="shared" si="5"/>
        <v>14113</v>
      </c>
      <c r="N28" s="1024">
        <f t="shared" si="1"/>
        <v>30345</v>
      </c>
      <c r="O28" s="1024"/>
      <c r="P28" s="1026">
        <f>N28*F28*1</f>
        <v>30345</v>
      </c>
      <c r="Q28" s="319">
        <v>0</v>
      </c>
      <c r="R28" s="1024">
        <f t="shared" si="3"/>
        <v>53128</v>
      </c>
    </row>
    <row r="29" spans="1:18" ht="16.5" customHeight="1">
      <c r="A29" s="200"/>
      <c r="B29" s="201" t="s">
        <v>45</v>
      </c>
      <c r="C29" s="200"/>
      <c r="D29" s="196"/>
      <c r="E29" s="196">
        <f t="shared" ref="E29:R29" si="6">SUM(E18:E28)</f>
        <v>11</v>
      </c>
      <c r="F29" s="196">
        <f t="shared" si="6"/>
        <v>17</v>
      </c>
      <c r="G29" s="196">
        <f t="shared" si="6"/>
        <v>19</v>
      </c>
      <c r="H29" s="196">
        <f t="shared" si="6"/>
        <v>12</v>
      </c>
      <c r="I29" s="196">
        <f t="shared" si="6"/>
        <v>22</v>
      </c>
      <c r="J29" s="196">
        <f t="shared" si="6"/>
        <v>164730</v>
      </c>
      <c r="K29" s="196">
        <f t="shared" si="6"/>
        <v>70503</v>
      </c>
      <c r="L29" s="196">
        <f t="shared" si="6"/>
        <v>80309</v>
      </c>
      <c r="M29" s="196">
        <f t="shared" si="6"/>
        <v>164925</v>
      </c>
      <c r="N29" s="196">
        <f t="shared" si="6"/>
        <v>333795</v>
      </c>
      <c r="O29" s="196">
        <f t="shared" si="6"/>
        <v>0</v>
      </c>
      <c r="P29" s="196">
        <f t="shared" si="6"/>
        <v>576555</v>
      </c>
      <c r="Q29" s="196">
        <f t="shared" si="6"/>
        <v>37962</v>
      </c>
      <c r="R29" s="196">
        <f t="shared" si="6"/>
        <v>944172</v>
      </c>
    </row>
    <row r="32" spans="1:18" ht="15" customHeight="1">
      <c r="B32" s="1593" t="s">
        <v>277</v>
      </c>
      <c r="C32" s="1594"/>
      <c r="D32" s="1594"/>
      <c r="E32" s="160"/>
      <c r="F32" s="718"/>
      <c r="G32" s="1595"/>
      <c r="H32" s="1596"/>
      <c r="I32" s="1596"/>
      <c r="J32" s="1596"/>
      <c r="M32" s="1589" t="s">
        <v>281</v>
      </c>
      <c r="N32" s="1589"/>
      <c r="O32" s="1589"/>
      <c r="P32" s="1589"/>
      <c r="Q32" s="1589"/>
    </row>
    <row r="33" spans="2:8" ht="14.25">
      <c r="B33" s="12"/>
      <c r="C33" s="12"/>
      <c r="D33" s="205"/>
      <c r="E33" s="182"/>
      <c r="F33" s="182"/>
      <c r="G33" s="182"/>
      <c r="H33" s="182"/>
    </row>
    <row r="34" spans="2:8" ht="15.75">
      <c r="B34" s="1358"/>
      <c r="C34" s="1358"/>
      <c r="D34" s="1358"/>
      <c r="E34" s="182"/>
      <c r="F34" s="182"/>
      <c r="G34" s="206"/>
      <c r="H34" s="206"/>
    </row>
    <row r="35" spans="2:8">
      <c r="B35"/>
      <c r="C35"/>
      <c r="D35" s="182"/>
      <c r="E35" s="182"/>
      <c r="F35" s="182"/>
      <c r="G35" s="182"/>
      <c r="H35" s="182"/>
    </row>
    <row r="36" spans="2:8" ht="15.75">
      <c r="B36" s="1358"/>
      <c r="C36" s="1358"/>
      <c r="D36" s="1358"/>
      <c r="E36" s="182"/>
      <c r="F36" s="182"/>
      <c r="G36" s="206"/>
      <c r="H36" s="206"/>
    </row>
    <row r="37" spans="2:8" ht="15.6" customHeight="1">
      <c r="B37"/>
      <c r="C37"/>
      <c r="D37" s="182"/>
      <c r="E37" s="182"/>
      <c r="F37" s="182"/>
      <c r="G37" s="182"/>
      <c r="H37" s="182"/>
    </row>
    <row r="38" spans="2:8" ht="15.75">
      <c r="B38" s="74"/>
      <c r="C38"/>
      <c r="D38" s="182"/>
      <c r="E38" s="182"/>
      <c r="F38" s="182"/>
      <c r="G38" s="206"/>
      <c r="H38" s="206"/>
    </row>
    <row r="39" spans="2:8">
      <c r="B39"/>
      <c r="C39"/>
      <c r="D39" s="182"/>
      <c r="E39" s="182"/>
      <c r="F39" s="182"/>
      <c r="G39" s="182"/>
      <c r="H39" s="182"/>
    </row>
    <row r="40" spans="2:8" ht="14.25">
      <c r="B40" s="12"/>
      <c r="C40" s="12"/>
      <c r="D40" s="205"/>
      <c r="E40" s="182"/>
      <c r="F40" s="182"/>
      <c r="G40" s="182"/>
      <c r="H40" s="182"/>
    </row>
    <row r="41" spans="2:8" ht="15.75">
      <c r="B41" s="1358"/>
      <c r="C41" s="1358"/>
      <c r="D41" s="1358"/>
      <c r="E41" s="182"/>
      <c r="F41" s="182"/>
      <c r="G41" s="206"/>
      <c r="H41" s="206"/>
    </row>
    <row r="42" spans="2:8">
      <c r="B42"/>
      <c r="C42"/>
      <c r="D42" s="182"/>
      <c r="E42" s="182"/>
      <c r="F42" s="182"/>
      <c r="G42" s="182"/>
      <c r="H42" s="182"/>
    </row>
  </sheetData>
  <mergeCells count="28">
    <mergeCell ref="M32:Q32"/>
    <mergeCell ref="B34:D34"/>
    <mergeCell ref="B36:D36"/>
    <mergeCell ref="B41:D41"/>
    <mergeCell ref="F16:F17"/>
    <mergeCell ref="G16:G17"/>
    <mergeCell ref="H16:H17"/>
    <mergeCell ref="I16:J16"/>
    <mergeCell ref="B32:D32"/>
    <mergeCell ref="G32:J32"/>
    <mergeCell ref="K16:M16"/>
    <mergeCell ref="N16:P16"/>
    <mergeCell ref="A13:R13"/>
    <mergeCell ref="A15:A17"/>
    <mergeCell ref="B15:B17"/>
    <mergeCell ref="C15:C17"/>
    <mergeCell ref="D15:H15"/>
    <mergeCell ref="I15:P15"/>
    <mergeCell ref="Q15:Q17"/>
    <mergeCell ref="R15:R17"/>
    <mergeCell ref="D16:D17"/>
    <mergeCell ref="E16:E17"/>
    <mergeCell ref="J11:R11"/>
    <mergeCell ref="E2:R3"/>
    <mergeCell ref="E4:R4"/>
    <mergeCell ref="E5:R5"/>
    <mergeCell ref="K9:R9"/>
    <mergeCell ref="K10:R10"/>
  </mergeCells>
  <pageMargins left="0.19685039370078741" right="0.19685039370078741" top="0.19685039370078741" bottom="0.19685039370078741" header="0.31496062992125984" footer="0.31496062992125984"/>
  <pageSetup paperSize="9" scale="54" fitToWidth="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B06E-6461-410C-9D40-72B7B4F4415C}">
  <sheetPr>
    <pageSetUpPr fitToPage="1"/>
  </sheetPr>
  <dimension ref="A2:Z42"/>
  <sheetViews>
    <sheetView topLeftCell="A8" zoomScale="90" zoomScaleNormal="90" workbookViewId="0">
      <pane ySplit="10" topLeftCell="A27" activePane="bottomLeft" state="frozen"/>
      <selection activeCell="K22" sqref="K22"/>
      <selection pane="bottomLeft" activeCell="V35" sqref="V35"/>
    </sheetView>
  </sheetViews>
  <sheetFormatPr defaultColWidth="9.140625" defaultRowHeight="12.75"/>
  <cols>
    <col min="1" max="1" width="4.42578125" style="2" customWidth="1"/>
    <col min="2" max="2" width="27.85546875" style="2" customWidth="1"/>
    <col min="3" max="3" width="13.7109375" style="2" customWidth="1"/>
    <col min="4" max="4" width="7.7109375" style="202" customWidth="1"/>
    <col min="5" max="5" width="7.28515625" style="202" customWidth="1"/>
    <col min="6" max="6" width="5.85546875" style="202" customWidth="1"/>
    <col min="7" max="7" width="7.7109375" style="202" customWidth="1"/>
    <col min="8" max="8" width="7.42578125" style="202" customWidth="1"/>
    <col min="9" max="9" width="7.28515625" style="202" customWidth="1"/>
    <col min="10" max="10" width="10.7109375" style="202" customWidth="1"/>
    <col min="11" max="12" width="11" style="36" customWidth="1"/>
    <col min="13" max="13" width="10.28515625" style="202" customWidth="1"/>
    <col min="14" max="14" width="11" style="202" customWidth="1"/>
    <col min="15" max="15" width="9" style="202" hidden="1" customWidth="1"/>
    <col min="16" max="16" width="13.28515625" style="202" customWidth="1"/>
    <col min="17" max="17" width="10" style="202" customWidth="1"/>
    <col min="18" max="18" width="15.42578125" style="1" customWidth="1"/>
    <col min="19" max="19" width="11.42578125" style="2" customWidth="1"/>
    <col min="20" max="20" width="9.28515625" style="2" customWidth="1"/>
    <col min="21" max="21" width="11.7109375" style="2" customWidth="1"/>
    <col min="22" max="22" width="12" style="2" customWidth="1"/>
    <col min="23" max="23" width="6" style="2" customWidth="1"/>
    <col min="24" max="24" width="12.42578125" style="2" customWidth="1"/>
    <col min="25" max="16384" width="9.140625" style="2"/>
  </cols>
  <sheetData>
    <row r="2" spans="1:26" ht="12.75" customHeight="1">
      <c r="E2" s="1568" t="s">
        <v>245</v>
      </c>
      <c r="F2" s="1569"/>
      <c r="G2" s="1569"/>
      <c r="H2" s="1569"/>
      <c r="I2" s="1569"/>
      <c r="J2" s="1569"/>
      <c r="K2" s="1569"/>
      <c r="L2" s="1569"/>
      <c r="M2" s="1569"/>
      <c r="N2" s="1569"/>
      <c r="O2" s="1569"/>
      <c r="P2" s="1569"/>
      <c r="Q2" s="1569"/>
      <c r="R2" s="1569"/>
    </row>
    <row r="3" spans="1:26" ht="12.75" customHeight="1">
      <c r="E3" s="1569"/>
      <c r="F3" s="1569"/>
      <c r="G3" s="1569"/>
      <c r="H3" s="1569"/>
      <c r="I3" s="1569"/>
      <c r="J3" s="1569"/>
      <c r="K3" s="1569"/>
      <c r="L3" s="1569"/>
      <c r="M3" s="1569"/>
      <c r="N3" s="1569"/>
      <c r="O3" s="1569"/>
      <c r="P3" s="1569"/>
      <c r="Q3" s="1569"/>
      <c r="R3" s="1569"/>
    </row>
    <row r="4" spans="1:26" ht="15" customHeight="1">
      <c r="E4" s="1568" t="s">
        <v>246</v>
      </c>
      <c r="F4" s="1569"/>
      <c r="G4" s="1569"/>
      <c r="H4" s="1569"/>
      <c r="I4" s="1569"/>
      <c r="J4" s="1569"/>
      <c r="K4" s="1569"/>
      <c r="L4" s="1569"/>
      <c r="M4" s="1569"/>
      <c r="N4" s="1569"/>
      <c r="O4" s="1569"/>
      <c r="P4" s="1569"/>
      <c r="Q4" s="1569"/>
      <c r="R4" s="1569"/>
    </row>
    <row r="5" spans="1:26" ht="15" customHeight="1">
      <c r="E5" s="1568" t="s">
        <v>247</v>
      </c>
      <c r="F5" s="1569"/>
      <c r="G5" s="1569"/>
      <c r="H5" s="1569"/>
      <c r="I5" s="1569"/>
      <c r="J5" s="1569"/>
      <c r="K5" s="1569"/>
      <c r="L5" s="1569"/>
      <c r="M5" s="1569"/>
      <c r="N5" s="1569"/>
      <c r="O5" s="1569"/>
      <c r="P5" s="1569"/>
      <c r="Q5" s="1569"/>
      <c r="R5" s="1569"/>
    </row>
    <row r="7" spans="1:26">
      <c r="R7" s="202"/>
    </row>
    <row r="8" spans="1:26">
      <c r="R8" s="202"/>
    </row>
    <row r="9" spans="1:26" ht="15.75">
      <c r="J9"/>
      <c r="K9" s="1568" t="s">
        <v>245</v>
      </c>
      <c r="L9" s="1568"/>
      <c r="M9" s="1568"/>
      <c r="N9" s="1568"/>
      <c r="O9" s="1568"/>
      <c r="P9" s="1568"/>
      <c r="Q9" s="1568"/>
      <c r="R9" s="1568"/>
      <c r="S9" s="202"/>
      <c r="T9" s="36"/>
      <c r="U9" s="36"/>
      <c r="V9" s="202"/>
      <c r="W9" s="202"/>
      <c r="X9" s="202"/>
      <c r="Y9" s="202"/>
      <c r="Z9" s="202"/>
    </row>
    <row r="10" spans="1:26" ht="15.75">
      <c r="J10"/>
      <c r="K10" s="1568" t="s">
        <v>425</v>
      </c>
      <c r="L10" s="1568"/>
      <c r="M10" s="1568"/>
      <c r="N10" s="1568"/>
      <c r="O10" s="1568"/>
      <c r="P10" s="1568"/>
      <c r="Q10" s="1568"/>
      <c r="R10" s="1568"/>
      <c r="S10" s="202"/>
      <c r="T10" s="36"/>
      <c r="U10" s="36"/>
      <c r="V10" s="202"/>
      <c r="W10" s="202"/>
      <c r="X10" s="202"/>
      <c r="Y10" s="202"/>
      <c r="Z10" s="202"/>
    </row>
    <row r="11" spans="1:26" ht="15.75">
      <c r="J11" s="1568" t="s">
        <v>247</v>
      </c>
      <c r="K11" s="1568"/>
      <c r="L11" s="1568"/>
      <c r="M11" s="1568"/>
      <c r="N11" s="1568"/>
      <c r="O11" s="1568"/>
      <c r="P11" s="1568"/>
      <c r="Q11" s="1568"/>
      <c r="R11" s="1568"/>
      <c r="S11" s="202"/>
      <c r="T11" s="36"/>
      <c r="U11" s="36"/>
      <c r="V11" s="202"/>
      <c r="W11" s="202"/>
      <c r="X11" s="202"/>
      <c r="Y11" s="202"/>
      <c r="Z11" s="202"/>
    </row>
    <row r="12" spans="1:26">
      <c r="R12" s="202"/>
    </row>
    <row r="13" spans="1:26" ht="15.75">
      <c r="A13" s="1570" t="s">
        <v>865</v>
      </c>
      <c r="B13" s="1570"/>
      <c r="C13" s="1570"/>
      <c r="D13" s="1570"/>
      <c r="E13" s="1570"/>
      <c r="F13" s="1570"/>
      <c r="G13" s="1570"/>
      <c r="H13" s="1570"/>
      <c r="I13" s="1570"/>
      <c r="J13" s="1570"/>
      <c r="K13" s="1570"/>
      <c r="L13" s="1570"/>
      <c r="M13" s="1570"/>
      <c r="N13" s="1570"/>
      <c r="O13" s="1570"/>
      <c r="P13" s="1570"/>
      <c r="Q13" s="1570"/>
      <c r="R13" s="1570"/>
    </row>
    <row r="14" spans="1:26" ht="14.25">
      <c r="A14" s="54"/>
      <c r="B14" s="1013"/>
      <c r="C14" s="1014"/>
      <c r="D14" s="1015"/>
      <c r="E14" s="1015"/>
      <c r="F14" s="1015"/>
      <c r="G14" s="1015"/>
      <c r="H14" s="1016"/>
      <c r="I14" s="1015"/>
      <c r="J14" s="1015"/>
      <c r="K14" s="1016"/>
      <c r="L14" s="1016"/>
      <c r="M14" s="1015"/>
      <c r="N14" s="1015"/>
      <c r="O14" s="1015"/>
      <c r="P14" s="1015"/>
      <c r="Q14" s="1015"/>
      <c r="R14" s="1015"/>
    </row>
    <row r="15" spans="1:26">
      <c r="A15" s="1574" t="s">
        <v>7</v>
      </c>
      <c r="B15" s="1584" t="s">
        <v>149</v>
      </c>
      <c r="C15" s="1584" t="s">
        <v>38</v>
      </c>
      <c r="D15" s="1586" t="s">
        <v>150</v>
      </c>
      <c r="E15" s="1587"/>
      <c r="F15" s="1587"/>
      <c r="G15" s="1587"/>
      <c r="H15" s="1587"/>
      <c r="I15" s="1574" t="s">
        <v>151</v>
      </c>
      <c r="J15" s="1574"/>
      <c r="K15" s="1574"/>
      <c r="L15" s="1574"/>
      <c r="M15" s="1574"/>
      <c r="N15" s="1574"/>
      <c r="O15" s="1574"/>
      <c r="P15" s="1574"/>
      <c r="Q15" s="1583" t="s">
        <v>238</v>
      </c>
      <c r="R15" s="1574" t="s">
        <v>39</v>
      </c>
    </row>
    <row r="16" spans="1:26">
      <c r="A16" s="1574"/>
      <c r="B16" s="1584"/>
      <c r="C16" s="1584"/>
      <c r="D16" s="1574" t="s">
        <v>152</v>
      </c>
      <c r="E16" s="1585" t="s">
        <v>40</v>
      </c>
      <c r="F16" s="1584" t="s">
        <v>41</v>
      </c>
      <c r="G16" s="1584" t="s">
        <v>153</v>
      </c>
      <c r="H16" s="1590" t="s">
        <v>31</v>
      </c>
      <c r="I16" s="1586" t="s">
        <v>155</v>
      </c>
      <c r="J16" s="1592"/>
      <c r="K16" s="1574" t="s">
        <v>42</v>
      </c>
      <c r="L16" s="1574"/>
      <c r="M16" s="1574"/>
      <c r="N16" s="1574" t="s">
        <v>43</v>
      </c>
      <c r="O16" s="1574"/>
      <c r="P16" s="1574"/>
      <c r="Q16" s="1576"/>
      <c r="R16" s="1574"/>
    </row>
    <row r="17" spans="1:18" ht="39" customHeight="1">
      <c r="A17" s="1583"/>
      <c r="B17" s="1585"/>
      <c r="C17" s="1585"/>
      <c r="D17" s="1583"/>
      <c r="E17" s="1588"/>
      <c r="F17" s="1585"/>
      <c r="G17" s="1585"/>
      <c r="H17" s="1591"/>
      <c r="I17" s="1017" t="s">
        <v>154</v>
      </c>
      <c r="J17" s="1017" t="s">
        <v>44</v>
      </c>
      <c r="K17" s="1018" t="s">
        <v>421</v>
      </c>
      <c r="L17" s="1018" t="s">
        <v>422</v>
      </c>
      <c r="M17" s="1017" t="s">
        <v>44</v>
      </c>
      <c r="N17" s="1017" t="s">
        <v>154</v>
      </c>
      <c r="O17" s="1017"/>
      <c r="P17" s="1017" t="s">
        <v>44</v>
      </c>
      <c r="Q17" s="1576"/>
      <c r="R17" s="1583"/>
    </row>
    <row r="18" spans="1:18" ht="75">
      <c r="A18" s="1019">
        <v>1</v>
      </c>
      <c r="B18" s="1020" t="s">
        <v>375</v>
      </c>
      <c r="C18" s="673" t="s">
        <v>420</v>
      </c>
      <c r="D18" s="1021">
        <v>4552</v>
      </c>
      <c r="E18" s="1022">
        <v>1</v>
      </c>
      <c r="F18" s="1023">
        <v>2</v>
      </c>
      <c r="G18" s="1022">
        <v>1</v>
      </c>
      <c r="H18" s="727">
        <v>1</v>
      </c>
      <c r="I18" s="1021">
        <v>2</v>
      </c>
      <c r="J18" s="1024">
        <f t="shared" ref="J18:J23" si="0">I18*D18*F18*H18</f>
        <v>18208</v>
      </c>
      <c r="K18" s="1025">
        <v>6380</v>
      </c>
      <c r="L18" s="1025">
        <v>7733</v>
      </c>
      <c r="M18" s="1024">
        <f>(K18+L18)*H18</f>
        <v>14113</v>
      </c>
      <c r="N18" s="1024">
        <f t="shared" ref="N18:N25" si="1">7*4552</f>
        <v>31864</v>
      </c>
      <c r="O18" s="1024"/>
      <c r="P18" s="1026">
        <f t="shared" ref="P18:P26" si="2">N18*F18*H18</f>
        <v>63728</v>
      </c>
      <c r="Q18" s="319">
        <v>0</v>
      </c>
      <c r="R18" s="1024">
        <f t="shared" ref="R18:R28" si="3">J18+M18+P18+Q18</f>
        <v>96049</v>
      </c>
    </row>
    <row r="19" spans="1:18" ht="45">
      <c r="A19" s="1019">
        <f>A18+1</f>
        <v>2</v>
      </c>
      <c r="B19" s="1020" t="s">
        <v>786</v>
      </c>
      <c r="C19" s="673" t="s">
        <v>787</v>
      </c>
      <c r="D19" s="1021">
        <v>4552</v>
      </c>
      <c r="E19" s="1027">
        <v>1</v>
      </c>
      <c r="F19" s="1028">
        <v>2</v>
      </c>
      <c r="G19" s="1027">
        <v>2</v>
      </c>
      <c r="H19" s="596">
        <v>2</v>
      </c>
      <c r="I19" s="1019">
        <v>2</v>
      </c>
      <c r="J19" s="1024">
        <f t="shared" si="0"/>
        <v>36416</v>
      </c>
      <c r="K19" s="1025">
        <v>6380</v>
      </c>
      <c r="L19" s="1025">
        <v>7733</v>
      </c>
      <c r="M19" s="1024">
        <f>(K19+L19)*H19</f>
        <v>28226</v>
      </c>
      <c r="N19" s="1024">
        <f t="shared" si="1"/>
        <v>31864</v>
      </c>
      <c r="O19" s="1024"/>
      <c r="P19" s="1026">
        <f t="shared" si="2"/>
        <v>127456</v>
      </c>
      <c r="Q19" s="319">
        <v>0</v>
      </c>
      <c r="R19" s="1024">
        <f t="shared" si="3"/>
        <v>192098</v>
      </c>
    </row>
    <row r="20" spans="1:18" ht="60">
      <c r="A20" s="1019">
        <f t="shared" ref="A20:A28" si="4">A19+1</f>
        <v>3</v>
      </c>
      <c r="B20" s="1020" t="s">
        <v>411</v>
      </c>
      <c r="C20" s="673" t="s">
        <v>788</v>
      </c>
      <c r="D20" s="1021">
        <v>4552</v>
      </c>
      <c r="E20" s="1027">
        <v>1</v>
      </c>
      <c r="F20" s="1028">
        <v>2</v>
      </c>
      <c r="G20" s="1027">
        <v>2</v>
      </c>
      <c r="H20" s="596">
        <v>1</v>
      </c>
      <c r="I20" s="1019">
        <v>2</v>
      </c>
      <c r="J20" s="1024">
        <f t="shared" si="0"/>
        <v>18208</v>
      </c>
      <c r="K20" s="1026">
        <v>6303</v>
      </c>
      <c r="L20" s="1026">
        <v>4382</v>
      </c>
      <c r="M20" s="1024">
        <f t="shared" ref="M20:M28" si="5">(K20+L20)*H20</f>
        <v>10685</v>
      </c>
      <c r="N20" s="1024">
        <f>5*4552</f>
        <v>22760</v>
      </c>
      <c r="O20" s="1024"/>
      <c r="P20" s="1026">
        <f t="shared" si="2"/>
        <v>45520</v>
      </c>
      <c r="Q20" s="319">
        <v>0</v>
      </c>
      <c r="R20" s="1024">
        <f t="shared" si="3"/>
        <v>74413</v>
      </c>
    </row>
    <row r="21" spans="1:18" ht="60">
      <c r="A21" s="1019">
        <f t="shared" si="4"/>
        <v>4</v>
      </c>
      <c r="B21" s="1020" t="s">
        <v>789</v>
      </c>
      <c r="C21" s="673" t="s">
        <v>787</v>
      </c>
      <c r="D21" s="1021">
        <v>4552</v>
      </c>
      <c r="E21" s="1027">
        <v>1</v>
      </c>
      <c r="F21" s="1028">
        <v>2</v>
      </c>
      <c r="G21" s="1027">
        <v>2</v>
      </c>
      <c r="H21" s="596">
        <v>1</v>
      </c>
      <c r="I21" s="1019">
        <v>2</v>
      </c>
      <c r="J21" s="1024">
        <f t="shared" si="0"/>
        <v>18208</v>
      </c>
      <c r="K21" s="1026">
        <v>6380</v>
      </c>
      <c r="L21" s="1026">
        <v>7733</v>
      </c>
      <c r="M21" s="1024">
        <f t="shared" si="5"/>
        <v>14113</v>
      </c>
      <c r="N21" s="1024">
        <f t="shared" si="1"/>
        <v>31864</v>
      </c>
      <c r="O21" s="1024"/>
      <c r="P21" s="1026">
        <f t="shared" si="2"/>
        <v>63728</v>
      </c>
      <c r="Q21" s="319">
        <v>0</v>
      </c>
      <c r="R21" s="1024">
        <f t="shared" si="3"/>
        <v>96049</v>
      </c>
    </row>
    <row r="22" spans="1:18" ht="60">
      <c r="A22" s="1019">
        <f t="shared" si="4"/>
        <v>5</v>
      </c>
      <c r="B22" s="1020" t="s">
        <v>412</v>
      </c>
      <c r="C22" s="673" t="s">
        <v>420</v>
      </c>
      <c r="D22" s="1021">
        <v>4552</v>
      </c>
      <c r="E22" s="1027">
        <v>1</v>
      </c>
      <c r="F22" s="1028">
        <v>2</v>
      </c>
      <c r="G22" s="1027">
        <v>2</v>
      </c>
      <c r="H22" s="596">
        <v>1</v>
      </c>
      <c r="I22" s="1019">
        <v>2</v>
      </c>
      <c r="J22" s="1024">
        <f t="shared" si="0"/>
        <v>18208</v>
      </c>
      <c r="K22" s="1026">
        <v>6380</v>
      </c>
      <c r="L22" s="1026">
        <v>7733</v>
      </c>
      <c r="M22" s="1024">
        <f t="shared" si="5"/>
        <v>14113</v>
      </c>
      <c r="N22" s="1024">
        <f t="shared" si="1"/>
        <v>31864</v>
      </c>
      <c r="O22" s="1024"/>
      <c r="P22" s="1026">
        <f t="shared" si="2"/>
        <v>63728</v>
      </c>
      <c r="Q22" s="319">
        <v>0</v>
      </c>
      <c r="R22" s="1024">
        <f t="shared" si="3"/>
        <v>96049</v>
      </c>
    </row>
    <row r="23" spans="1:18" ht="60">
      <c r="A23" s="1019">
        <f t="shared" si="4"/>
        <v>6</v>
      </c>
      <c r="B23" s="1020" t="s">
        <v>790</v>
      </c>
      <c r="C23" s="673" t="s">
        <v>791</v>
      </c>
      <c r="D23" s="1021">
        <v>4552</v>
      </c>
      <c r="E23" s="1027">
        <v>1</v>
      </c>
      <c r="F23" s="1028">
        <v>2</v>
      </c>
      <c r="G23" s="1027">
        <v>2</v>
      </c>
      <c r="H23" s="596">
        <v>1</v>
      </c>
      <c r="I23" s="1019">
        <v>2</v>
      </c>
      <c r="J23" s="1024">
        <f t="shared" si="0"/>
        <v>18208</v>
      </c>
      <c r="K23" s="1026"/>
      <c r="L23" s="1026"/>
      <c r="M23" s="1024">
        <f t="shared" si="5"/>
        <v>0</v>
      </c>
      <c r="N23" s="1024">
        <f>5*4552</f>
        <v>22760</v>
      </c>
      <c r="O23" s="1024"/>
      <c r="P23" s="1026">
        <f t="shared" si="2"/>
        <v>45520</v>
      </c>
      <c r="Q23" s="319">
        <v>0</v>
      </c>
      <c r="R23" s="1024">
        <f t="shared" si="3"/>
        <v>63728</v>
      </c>
    </row>
    <row r="24" spans="1:18" ht="45">
      <c r="A24" s="1019">
        <f t="shared" si="4"/>
        <v>7</v>
      </c>
      <c r="B24" s="1020" t="s">
        <v>792</v>
      </c>
      <c r="C24" s="673" t="s">
        <v>420</v>
      </c>
      <c r="D24" s="1021">
        <v>4552</v>
      </c>
      <c r="E24" s="1027">
        <v>1</v>
      </c>
      <c r="F24" s="1028">
        <v>1</v>
      </c>
      <c r="G24" s="1027">
        <v>2</v>
      </c>
      <c r="H24" s="596">
        <v>1</v>
      </c>
      <c r="I24" s="1019">
        <v>2</v>
      </c>
      <c r="J24" s="1024">
        <f>I24*D24*F24*H24</f>
        <v>9104</v>
      </c>
      <c r="K24" s="1026">
        <v>5313</v>
      </c>
      <c r="L24" s="1026">
        <v>7733</v>
      </c>
      <c r="M24" s="1024">
        <f t="shared" si="5"/>
        <v>13046</v>
      </c>
      <c r="N24" s="1024">
        <f t="shared" si="1"/>
        <v>31864</v>
      </c>
      <c r="O24" s="1024"/>
      <c r="P24" s="1026">
        <f t="shared" si="2"/>
        <v>31864</v>
      </c>
      <c r="Q24" s="319">
        <v>0</v>
      </c>
      <c r="R24" s="1024">
        <f t="shared" si="3"/>
        <v>54014</v>
      </c>
    </row>
    <row r="25" spans="1:18" ht="75">
      <c r="A25" s="1019">
        <f t="shared" si="4"/>
        <v>8</v>
      </c>
      <c r="B25" s="1020" t="s">
        <v>793</v>
      </c>
      <c r="C25" s="673" t="s">
        <v>420</v>
      </c>
      <c r="D25" s="1021">
        <v>4552</v>
      </c>
      <c r="E25" s="1027">
        <v>1</v>
      </c>
      <c r="F25" s="1028">
        <v>1</v>
      </c>
      <c r="G25" s="1027">
        <v>2</v>
      </c>
      <c r="H25" s="596">
        <v>1</v>
      </c>
      <c r="I25" s="1019">
        <v>2</v>
      </c>
      <c r="J25" s="1024">
        <f>I25*D25*F25*H25</f>
        <v>9104</v>
      </c>
      <c r="K25" s="1026">
        <v>7733</v>
      </c>
      <c r="L25" s="1026">
        <v>7733</v>
      </c>
      <c r="M25" s="1024">
        <f t="shared" si="5"/>
        <v>15466</v>
      </c>
      <c r="N25" s="1024">
        <f t="shared" si="1"/>
        <v>31864</v>
      </c>
      <c r="O25" s="1024"/>
      <c r="P25" s="1026">
        <f t="shared" si="2"/>
        <v>31864</v>
      </c>
      <c r="Q25" s="319">
        <v>37962</v>
      </c>
      <c r="R25" s="1024">
        <f t="shared" si="3"/>
        <v>94396</v>
      </c>
    </row>
    <row r="26" spans="1:18" ht="45">
      <c r="A26" s="1019">
        <f t="shared" si="4"/>
        <v>9</v>
      </c>
      <c r="B26" s="1020" t="s">
        <v>794</v>
      </c>
      <c r="C26" s="673" t="s">
        <v>420</v>
      </c>
      <c r="D26" s="1021">
        <v>4552</v>
      </c>
      <c r="E26" s="1027">
        <v>1</v>
      </c>
      <c r="F26" s="1028">
        <v>1</v>
      </c>
      <c r="G26" s="1027">
        <v>1</v>
      </c>
      <c r="H26" s="596">
        <v>1</v>
      </c>
      <c r="I26" s="1019">
        <v>2</v>
      </c>
      <c r="J26" s="1024">
        <f>I26*D26*F26*H26</f>
        <v>9104</v>
      </c>
      <c r="K26" s="1026">
        <v>6380</v>
      </c>
      <c r="L26" s="1026">
        <v>7733</v>
      </c>
      <c r="M26" s="1024">
        <f t="shared" si="5"/>
        <v>14113</v>
      </c>
      <c r="N26" s="1024">
        <f>7*4552</f>
        <v>31864</v>
      </c>
      <c r="O26" s="1024"/>
      <c r="P26" s="1026">
        <f t="shared" si="2"/>
        <v>31864</v>
      </c>
      <c r="Q26" s="319">
        <v>0</v>
      </c>
      <c r="R26" s="1024">
        <f t="shared" si="3"/>
        <v>55081</v>
      </c>
    </row>
    <row r="27" spans="1:18" ht="75">
      <c r="A27" s="1019">
        <f t="shared" si="4"/>
        <v>10</v>
      </c>
      <c r="B27" s="1020" t="s">
        <v>413</v>
      </c>
      <c r="C27" s="673" t="s">
        <v>796</v>
      </c>
      <c r="D27" s="1021">
        <v>4552</v>
      </c>
      <c r="E27" s="1027">
        <v>1</v>
      </c>
      <c r="F27" s="1028">
        <v>1</v>
      </c>
      <c r="G27" s="1027">
        <v>2</v>
      </c>
      <c r="H27" s="596">
        <v>1</v>
      </c>
      <c r="I27" s="1019">
        <v>2</v>
      </c>
      <c r="J27" s="1024">
        <f>I27*D27*F27*1</f>
        <v>9104</v>
      </c>
      <c r="K27" s="1026">
        <v>14227</v>
      </c>
      <c r="L27" s="1026">
        <v>14227</v>
      </c>
      <c r="M27" s="1024">
        <f t="shared" si="5"/>
        <v>28454</v>
      </c>
      <c r="N27" s="1024">
        <f>5*4552</f>
        <v>22760</v>
      </c>
      <c r="O27" s="1024"/>
      <c r="P27" s="1026">
        <f>N27*F27*1</f>
        <v>22760</v>
      </c>
      <c r="Q27" s="319">
        <v>0</v>
      </c>
      <c r="R27" s="1024">
        <f t="shared" si="3"/>
        <v>60318</v>
      </c>
    </row>
    <row r="28" spans="1:18" ht="75">
      <c r="A28" s="1019">
        <f t="shared" si="4"/>
        <v>11</v>
      </c>
      <c r="B28" s="1020" t="s">
        <v>795</v>
      </c>
      <c r="C28" s="673" t="s">
        <v>420</v>
      </c>
      <c r="D28" s="1021">
        <v>4552</v>
      </c>
      <c r="E28" s="1027">
        <v>1</v>
      </c>
      <c r="F28" s="1028">
        <v>1</v>
      </c>
      <c r="G28" s="1027">
        <v>1</v>
      </c>
      <c r="H28" s="596">
        <v>1</v>
      </c>
      <c r="I28" s="1019">
        <v>2</v>
      </c>
      <c r="J28" s="1024">
        <f>I28*D28*F28*1</f>
        <v>9104</v>
      </c>
      <c r="K28" s="1026">
        <f>6380+6896</f>
        <v>13276</v>
      </c>
      <c r="L28" s="1026">
        <f>7733</f>
        <v>7733</v>
      </c>
      <c r="M28" s="1024">
        <f t="shared" si="5"/>
        <v>21009</v>
      </c>
      <c r="N28" s="1024">
        <f>7*4552</f>
        <v>31864</v>
      </c>
      <c r="O28" s="1024"/>
      <c r="P28" s="1026">
        <f>N28*F28*1</f>
        <v>31864</v>
      </c>
      <c r="Q28" s="319">
        <v>0</v>
      </c>
      <c r="R28" s="1024">
        <f t="shared" si="3"/>
        <v>61977</v>
      </c>
    </row>
    <row r="29" spans="1:18" ht="16.5" customHeight="1">
      <c r="A29" s="200"/>
      <c r="B29" s="201" t="s">
        <v>45</v>
      </c>
      <c r="C29" s="200"/>
      <c r="D29" s="196"/>
      <c r="E29" s="196">
        <f t="shared" ref="E29:R29" si="6">SUM(E18:E28)</f>
        <v>11</v>
      </c>
      <c r="F29" s="196">
        <f t="shared" si="6"/>
        <v>17</v>
      </c>
      <c r="G29" s="196">
        <f t="shared" si="6"/>
        <v>19</v>
      </c>
      <c r="H29" s="196">
        <f t="shared" si="6"/>
        <v>12</v>
      </c>
      <c r="I29" s="196">
        <f t="shared" si="6"/>
        <v>22</v>
      </c>
      <c r="J29" s="196">
        <f t="shared" si="6"/>
        <v>172976</v>
      </c>
      <c r="K29" s="196">
        <f t="shared" si="6"/>
        <v>78752</v>
      </c>
      <c r="L29" s="196">
        <f t="shared" si="6"/>
        <v>80473</v>
      </c>
      <c r="M29" s="196">
        <f t="shared" si="6"/>
        <v>173338</v>
      </c>
      <c r="N29" s="196">
        <f t="shared" si="6"/>
        <v>323192</v>
      </c>
      <c r="O29" s="196">
        <f t="shared" si="6"/>
        <v>0</v>
      </c>
      <c r="P29" s="196">
        <f t="shared" si="6"/>
        <v>559896</v>
      </c>
      <c r="Q29" s="196">
        <f t="shared" si="6"/>
        <v>37962</v>
      </c>
      <c r="R29" s="196">
        <f t="shared" si="6"/>
        <v>944172</v>
      </c>
    </row>
    <row r="32" spans="1:18" ht="15" customHeight="1">
      <c r="B32" s="1593" t="s">
        <v>277</v>
      </c>
      <c r="C32" s="1594"/>
      <c r="D32" s="1594"/>
      <c r="E32" s="160"/>
      <c r="F32" s="718"/>
      <c r="G32" s="1595"/>
      <c r="H32" s="1596"/>
      <c r="I32" s="1596"/>
      <c r="J32" s="1596"/>
      <c r="M32" s="1589" t="s">
        <v>281</v>
      </c>
      <c r="N32" s="1589"/>
      <c r="O32" s="1589"/>
      <c r="P32" s="1589"/>
      <c r="Q32" s="1589"/>
    </row>
    <row r="33" spans="2:8" ht="14.25">
      <c r="B33" s="12"/>
      <c r="C33" s="12"/>
      <c r="D33" s="205"/>
      <c r="E33" s="182"/>
      <c r="F33" s="182"/>
      <c r="G33" s="182"/>
      <c r="H33" s="182"/>
    </row>
    <row r="34" spans="2:8" ht="15.75">
      <c r="B34" s="1358"/>
      <c r="C34" s="1358"/>
      <c r="D34" s="1358"/>
      <c r="E34" s="182"/>
      <c r="F34" s="182"/>
      <c r="G34" s="206"/>
      <c r="H34" s="206"/>
    </row>
    <row r="35" spans="2:8">
      <c r="B35"/>
      <c r="C35"/>
      <c r="D35" s="182"/>
      <c r="E35" s="182"/>
      <c r="F35" s="182"/>
      <c r="G35" s="182"/>
      <c r="H35" s="182"/>
    </row>
    <row r="36" spans="2:8" ht="15.75">
      <c r="B36" s="1358"/>
      <c r="C36" s="1358"/>
      <c r="D36" s="1358"/>
      <c r="E36" s="182"/>
      <c r="F36" s="182"/>
      <c r="G36" s="206"/>
      <c r="H36" s="206"/>
    </row>
    <row r="37" spans="2:8" ht="15.6" customHeight="1">
      <c r="B37"/>
      <c r="C37"/>
      <c r="D37" s="182"/>
      <c r="E37" s="182"/>
      <c r="F37" s="182"/>
      <c r="G37" s="182"/>
      <c r="H37" s="182"/>
    </row>
    <row r="38" spans="2:8" ht="15.75">
      <c r="B38" s="74"/>
      <c r="C38"/>
      <c r="D38" s="182"/>
      <c r="E38" s="182"/>
      <c r="F38" s="182"/>
      <c r="G38" s="206"/>
      <c r="H38" s="206"/>
    </row>
    <row r="39" spans="2:8">
      <c r="B39"/>
      <c r="C39"/>
      <c r="D39" s="182"/>
      <c r="E39" s="182"/>
      <c r="F39" s="182"/>
      <c r="G39" s="182"/>
      <c r="H39" s="182"/>
    </row>
    <row r="40" spans="2:8" ht="14.25">
      <c r="B40" s="12"/>
      <c r="C40" s="12"/>
      <c r="D40" s="205"/>
      <c r="E40" s="182"/>
      <c r="F40" s="182"/>
      <c r="G40" s="182"/>
      <c r="H40" s="182"/>
    </row>
    <row r="41" spans="2:8" ht="15.75">
      <c r="B41" s="1358"/>
      <c r="C41" s="1358"/>
      <c r="D41" s="1358"/>
      <c r="E41" s="182"/>
      <c r="F41" s="182"/>
      <c r="G41" s="206"/>
      <c r="H41" s="206"/>
    </row>
    <row r="42" spans="2:8">
      <c r="B42"/>
      <c r="C42"/>
      <c r="D42" s="182"/>
      <c r="E42" s="182"/>
      <c r="F42" s="182"/>
      <c r="G42" s="182"/>
      <c r="H42" s="182"/>
    </row>
  </sheetData>
  <mergeCells count="28">
    <mergeCell ref="M32:Q32"/>
    <mergeCell ref="B34:D34"/>
    <mergeCell ref="B36:D36"/>
    <mergeCell ref="B41:D41"/>
    <mergeCell ref="F16:F17"/>
    <mergeCell ref="G16:G17"/>
    <mergeCell ref="H16:H17"/>
    <mergeCell ref="I16:J16"/>
    <mergeCell ref="B32:D32"/>
    <mergeCell ref="G32:J32"/>
    <mergeCell ref="K16:M16"/>
    <mergeCell ref="N16:P16"/>
    <mergeCell ref="A13:R13"/>
    <mergeCell ref="A15:A17"/>
    <mergeCell ref="B15:B17"/>
    <mergeCell ref="C15:C17"/>
    <mergeCell ref="D15:H15"/>
    <mergeCell ref="I15:P15"/>
    <mergeCell ref="Q15:Q17"/>
    <mergeCell ref="R15:R17"/>
    <mergeCell ref="D16:D17"/>
    <mergeCell ref="E16:E17"/>
    <mergeCell ref="J11:R11"/>
    <mergeCell ref="E2:R3"/>
    <mergeCell ref="E4:R4"/>
    <mergeCell ref="E5:R5"/>
    <mergeCell ref="K9:R9"/>
    <mergeCell ref="K10:R10"/>
  </mergeCells>
  <pageMargins left="0.19685039370078741" right="0.19685039370078741" top="0.19685039370078741" bottom="0.19685039370078741" header="0.31496062992125984" footer="0.31496062992125984"/>
  <pageSetup paperSize="9" scale="54" fitToWidth="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сводная</vt:lpstr>
      <vt:lpstr>Свод </vt:lpstr>
      <vt:lpstr>СВОД ФЗП</vt:lpstr>
      <vt:lpstr>Сводная общая 2026г.</vt:lpstr>
      <vt:lpstr>Сводная общая 2027г.</vt:lpstr>
      <vt:lpstr>Сводная общая 2028г.</vt:lpstr>
      <vt:lpstr>ШР СВОД Алматы 2026 </vt:lpstr>
      <vt:lpstr>ШР РБ Алматы</vt:lpstr>
      <vt:lpstr>Тариф Свод Алматы 2026 </vt:lpstr>
      <vt:lpstr>Тариф РБ Алматы</vt:lpstr>
      <vt:lpstr>ШР 2027</vt:lpstr>
      <vt:lpstr>ШР 2028</vt:lpstr>
      <vt:lpstr>Тариф 2027</vt:lpstr>
      <vt:lpstr>Тариф 2028</vt:lpstr>
      <vt:lpstr>Калькуляция 2026</vt:lpstr>
      <vt:lpstr>Калькуляция 2027</vt:lpstr>
      <vt:lpstr>Калькуляция 2028</vt:lpstr>
      <vt:lpstr>Средняя стоимость на 1 ого</vt:lpstr>
      <vt:lpstr>План командир 2026</vt:lpstr>
      <vt:lpstr>План командир 2027</vt:lpstr>
      <vt:lpstr>План командир 2028</vt:lpstr>
      <vt:lpstr>'Калькуляция 2026'!Область_печати</vt:lpstr>
      <vt:lpstr>'Калькуляция 2027'!Область_печати</vt:lpstr>
      <vt:lpstr>'Калькуляция 2028'!Область_печати</vt:lpstr>
      <vt:lpstr>'Свод '!Область_печати</vt:lpstr>
      <vt:lpstr>сводная!Область_печати</vt:lpstr>
      <vt:lpstr>'Сводная общая 2026г.'!Область_печати</vt:lpstr>
      <vt:lpstr>'Сводная общая 2027г.'!Область_печати</vt:lpstr>
      <vt:lpstr>'Сводная общая 2028г.'!Область_печати</vt:lpstr>
      <vt:lpstr>'Средняя стоимость на 1 ого'!Область_печати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Saltanat Baibergenova</dc:creator>
  <cp:lastModifiedBy>Fizmat</cp:lastModifiedBy>
  <cp:lastPrinted>2026-01-26T06:03:28Z</cp:lastPrinted>
  <dcterms:created xsi:type="dcterms:W3CDTF">2016-07-18T06:06:52Z</dcterms:created>
  <dcterms:modified xsi:type="dcterms:W3CDTF">2026-05-18T07:42:18Z</dcterms:modified>
</cp:coreProperties>
</file>